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Z10" i="7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F9" i="7"/>
  <c r="B9" i="7"/>
  <c r="AA10" i="7" l="1"/>
  <c r="H9" i="7"/>
  <c r="C9" i="7"/>
  <c r="V10" i="7"/>
  <c r="X9" i="7"/>
  <c r="AD9" i="7" s="1"/>
  <c r="U10" i="7"/>
  <c r="N9" i="7" l="1"/>
  <c r="I9" i="7"/>
  <c r="T9" i="7" l="1"/>
  <c r="O9" i="7"/>
  <c r="U9" i="7" l="1"/>
  <c r="Z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CF380" i="6" l="1"/>
  <c r="CE380" i="6"/>
  <c r="CD380" i="6"/>
  <c r="CB380" i="6"/>
  <c r="CA380" i="6"/>
  <c r="BZ380" i="6"/>
  <c r="BX380" i="6"/>
  <c r="BW380" i="6"/>
  <c r="BW287" i="6"/>
  <c r="BW286" i="6"/>
  <c r="BW285" i="6"/>
  <c r="BW284" i="6"/>
  <c r="BW283" i="6"/>
  <c r="BW282" i="6"/>
  <c r="BW281" i="6"/>
  <c r="BW280" i="6"/>
  <c r="BW279" i="6"/>
  <c r="BW278" i="6"/>
  <c r="BW277" i="6"/>
  <c r="BW276" i="6"/>
  <c r="BW275" i="6"/>
  <c r="BW274" i="6"/>
  <c r="BW273" i="6"/>
  <c r="BW272" i="6"/>
  <c r="BW271" i="6"/>
  <c r="BW270" i="6"/>
  <c r="BW269" i="6"/>
  <c r="BW268" i="6"/>
  <c r="BW267" i="6"/>
  <c r="BW266" i="6"/>
  <c r="BW265" i="6"/>
  <c r="BW264" i="6"/>
  <c r="BW263" i="6"/>
  <c r="BW262" i="6"/>
  <c r="BW261" i="6"/>
  <c r="BW260" i="6"/>
  <c r="BW259" i="6"/>
  <c r="BW258" i="6"/>
  <c r="BW257" i="6"/>
  <c r="BW256" i="6"/>
  <c r="BW255" i="6"/>
  <c r="BW254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380" i="18"/>
  <c r="B274" i="18"/>
  <c r="B71" i="18" l="1"/>
  <c r="L32" i="19" l="1"/>
  <c r="K32" i="19"/>
  <c r="M32" i="19" l="1"/>
  <c r="H10" i="7"/>
  <c r="AF10" i="7"/>
  <c r="I35" i="27"/>
  <c r="I36" i="27"/>
  <c r="AJ9" i="7" l="1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L9" i="7"/>
  <c r="N10" i="7" s="1"/>
  <c r="K10" i="7"/>
  <c r="J10" i="7"/>
  <c r="I21" i="27"/>
  <c r="I37" i="27"/>
  <c r="I38" i="27" s="1"/>
  <c r="I39" i="27" s="1"/>
  <c r="I40" i="27" s="1"/>
  <c r="I41" i="27" s="1"/>
  <c r="I42" i="27" s="1"/>
  <c r="I43" i="27" s="1"/>
  <c r="W10" i="27"/>
  <c r="W11" i="27"/>
  <c r="AB7" i="27"/>
  <c r="AB6" i="27"/>
  <c r="AB5" i="27"/>
  <c r="AB4" i="27"/>
  <c r="Z2" i="27"/>
  <c r="Z3" i="27" s="1"/>
  <c r="D12" i="27"/>
  <c r="AV9" i="7" l="1"/>
  <c r="AX10" i="7" s="1"/>
  <c r="BB9" i="7" s="1"/>
  <c r="BD10" i="7" s="1"/>
  <c r="P10" i="7"/>
  <c r="R9" i="7"/>
  <c r="Q10" i="7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W3" i="27"/>
  <c r="E12" i="27"/>
  <c r="G12" i="27"/>
  <c r="W12" i="27"/>
  <c r="L19" i="27"/>
  <c r="K19" i="27"/>
  <c r="J19" i="27"/>
  <c r="K18" i="27"/>
  <c r="K17" i="27"/>
  <c r="K16" i="27"/>
  <c r="D10" i="27"/>
  <c r="E10" i="27" s="1"/>
  <c r="G10" i="27" s="1"/>
  <c r="E11" i="27"/>
  <c r="G11" i="27" s="1"/>
  <c r="D11" i="27"/>
  <c r="L10" i="27"/>
  <c r="M42" i="27"/>
  <c r="N78" i="27" s="1"/>
  <c r="L42" i="27"/>
  <c r="H78" i="27" s="1"/>
  <c r="K42" i="27"/>
  <c r="J42" i="27"/>
  <c r="M41" i="27"/>
  <c r="N77" i="27" s="1"/>
  <c r="K41" i="27"/>
  <c r="L41" i="27" s="1"/>
  <c r="J41" i="27"/>
  <c r="M40" i="27"/>
  <c r="N76" i="27" s="1"/>
  <c r="K40" i="27"/>
  <c r="J40" i="27"/>
  <c r="M39" i="27"/>
  <c r="N75" i="27" s="1"/>
  <c r="K39" i="27"/>
  <c r="J39" i="27"/>
  <c r="L39" i="27" s="1"/>
  <c r="M38" i="27"/>
  <c r="N74" i="27" s="1"/>
  <c r="K38" i="27"/>
  <c r="J38" i="27"/>
  <c r="K37" i="27"/>
  <c r="J37" i="27"/>
  <c r="K36" i="27"/>
  <c r="J36" i="27"/>
  <c r="K35" i="27"/>
  <c r="J35" i="27"/>
  <c r="L35" i="27" s="1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G56" i="27" s="1"/>
  <c r="K20" i="27"/>
  <c r="J20" i="27"/>
  <c r="BN12" i="6"/>
  <c r="BN13" i="6"/>
  <c r="D13" i="27"/>
  <c r="E13" i="27" s="1"/>
  <c r="AW56" i="27"/>
  <c r="H79" i="27"/>
  <c r="A62" i="27"/>
  <c r="AF56" i="27"/>
  <c r="N79" i="27"/>
  <c r="N34" i="27"/>
  <c r="O70" i="27" s="1"/>
  <c r="N35" i="27"/>
  <c r="O71" i="27" s="1"/>
  <c r="N36" i="27"/>
  <c r="O72" i="27" s="1"/>
  <c r="N37" i="27"/>
  <c r="O73" i="27" s="1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61" i="27"/>
  <c r="AF60" i="27"/>
  <c r="A60" i="27"/>
  <c r="A59" i="27"/>
  <c r="AF58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H11" i="27"/>
  <c r="H10" i="27"/>
  <c r="C6" i="27"/>
  <c r="B6" i="27"/>
  <c r="N5" i="27"/>
  <c r="D5" i="27"/>
  <c r="F5" i="27"/>
  <c r="C6" i="19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AC226" i="1" s="1"/>
  <c r="BF225" i="6"/>
  <c r="AC225" i="1" s="1"/>
  <c r="BF224" i="6"/>
  <c r="O224" i="1" s="1"/>
  <c r="BF223" i="6"/>
  <c r="O223" i="1" s="1"/>
  <c r="BF222" i="6"/>
  <c r="BF221" i="6"/>
  <c r="O221" i="1" s="1"/>
  <c r="BF220" i="6"/>
  <c r="O220" i="1" s="1"/>
  <c r="BF219" i="6"/>
  <c r="O219" i="1" s="1"/>
  <c r="BF218" i="6"/>
  <c r="BF217" i="6"/>
  <c r="AC217" i="1" s="1"/>
  <c r="BF216" i="6"/>
  <c r="AC216" i="1" s="1"/>
  <c r="BF215" i="6"/>
  <c r="O215" i="1" s="1"/>
  <c r="BF214" i="6"/>
  <c r="BF213" i="6"/>
  <c r="O213" i="1" s="1"/>
  <c r="BF212" i="6"/>
  <c r="BF211" i="6"/>
  <c r="O211" i="1" s="1"/>
  <c r="BF210" i="6"/>
  <c r="BF209" i="6"/>
  <c r="O209" i="1" s="1"/>
  <c r="BF208" i="6"/>
  <c r="O208" i="1" s="1"/>
  <c r="BF207" i="6"/>
  <c r="BF206" i="6"/>
  <c r="BF205" i="6"/>
  <c r="AC205" i="1" s="1"/>
  <c r="BF204" i="6"/>
  <c r="O204" i="1" s="1"/>
  <c r="BF203" i="6"/>
  <c r="AC203" i="1" s="1"/>
  <c r="BF202" i="6"/>
  <c r="BF201" i="6"/>
  <c r="BF200" i="6"/>
  <c r="BF199" i="6"/>
  <c r="BF198" i="6"/>
  <c r="AC198" i="1" s="1"/>
  <c r="BF197" i="6"/>
  <c r="O197" i="1" s="1"/>
  <c r="BF196" i="6"/>
  <c r="O196" i="1" s="1"/>
  <c r="BF195" i="6"/>
  <c r="BF194" i="6"/>
  <c r="O194" i="1" s="1"/>
  <c r="BF193" i="6"/>
  <c r="BF192" i="6"/>
  <c r="BF191" i="6"/>
  <c r="BF190" i="6"/>
  <c r="O190" i="1" s="1"/>
  <c r="BF189" i="6"/>
  <c r="O189" i="1" s="1"/>
  <c r="BF188" i="6"/>
  <c r="O188" i="1" s="1"/>
  <c r="BF187" i="6"/>
  <c r="AC187" i="1" s="1"/>
  <c r="BF186" i="6"/>
  <c r="O186" i="1" s="1"/>
  <c r="BF185" i="6"/>
  <c r="BF184" i="6"/>
  <c r="O184" i="1" s="1"/>
  <c r="BF183" i="6"/>
  <c r="BF182" i="6"/>
  <c r="AC182" i="1" s="1"/>
  <c r="BF181" i="6"/>
  <c r="AC181" i="1" s="1"/>
  <c r="BF180" i="6"/>
  <c r="AC180" i="1" s="1"/>
  <c r="BF179" i="6"/>
  <c r="BF178" i="6"/>
  <c r="BF177" i="6"/>
  <c r="O177" i="1" s="1"/>
  <c r="BF176" i="6"/>
  <c r="O176" i="1" s="1"/>
  <c r="BF175" i="6"/>
  <c r="O175" i="1" s="1"/>
  <c r="BF174" i="6"/>
  <c r="AC174" i="1" s="1"/>
  <c r="BF173" i="6"/>
  <c r="O173" i="1" s="1"/>
  <c r="BF172" i="6"/>
  <c r="O172" i="1" s="1"/>
  <c r="BF171" i="6"/>
  <c r="BF170" i="6"/>
  <c r="O170" i="1" s="1"/>
  <c r="BF169" i="6"/>
  <c r="O169" i="1" s="1"/>
  <c r="BF168" i="6"/>
  <c r="BF167" i="6"/>
  <c r="AC167" i="1" s="1"/>
  <c r="BF166" i="6"/>
  <c r="AC166" i="1" s="1"/>
  <c r="BF165" i="6"/>
  <c r="AC165" i="1" s="1"/>
  <c r="BF164" i="6"/>
  <c r="AC164" i="1" s="1"/>
  <c r="BF163" i="6"/>
  <c r="BF162" i="6"/>
  <c r="BF161" i="6"/>
  <c r="O161" i="1" s="1"/>
  <c r="BF160" i="6"/>
  <c r="AC160" i="1" s="1"/>
  <c r="BF159" i="6"/>
  <c r="BF158" i="6"/>
  <c r="BF157" i="6"/>
  <c r="BF156" i="6"/>
  <c r="O156" i="1" s="1"/>
  <c r="BF155" i="6"/>
  <c r="O155" i="1" s="1"/>
  <c r="BF154" i="6"/>
  <c r="BF153" i="6"/>
  <c r="BF152" i="6"/>
  <c r="BF151" i="6"/>
  <c r="AC151" i="1" s="1"/>
  <c r="BF150" i="6"/>
  <c r="BF149" i="6"/>
  <c r="AC149" i="1" s="1"/>
  <c r="BF148" i="6"/>
  <c r="BF147" i="6"/>
  <c r="AC147" i="1" s="1"/>
  <c r="BF146" i="6"/>
  <c r="BF145" i="6"/>
  <c r="AC145" i="1" s="1"/>
  <c r="BF144" i="6"/>
  <c r="O144" i="1" s="1"/>
  <c r="BF143" i="6"/>
  <c r="AC143" i="1" s="1"/>
  <c r="BF142" i="6"/>
  <c r="AC142" i="1" s="1"/>
  <c r="BF141" i="6"/>
  <c r="BF140" i="6"/>
  <c r="O140" i="1" s="1"/>
  <c r="BF139" i="6"/>
  <c r="BF138" i="6"/>
  <c r="BF137" i="6"/>
  <c r="O137" i="1" s="1"/>
  <c r="BF136" i="6"/>
  <c r="AC136" i="1" s="1"/>
  <c r="BF135" i="6"/>
  <c r="BF134" i="6"/>
  <c r="BF133" i="6"/>
  <c r="AC133" i="1" s="1"/>
  <c r="BF132" i="6"/>
  <c r="AC132" i="1" s="1"/>
  <c r="BF131" i="6"/>
  <c r="O131" i="1" s="1"/>
  <c r="BF130" i="6"/>
  <c r="O130" i="1" s="1"/>
  <c r="BF129" i="6"/>
  <c r="BF128" i="6"/>
  <c r="O128" i="1" s="1"/>
  <c r="BF127" i="6"/>
  <c r="AC127" i="1" s="1"/>
  <c r="BF126" i="6"/>
  <c r="BF125" i="6"/>
  <c r="BF124" i="6"/>
  <c r="AC124" i="1" s="1"/>
  <c r="BF123" i="6"/>
  <c r="AC123" i="1" s="1"/>
  <c r="BF122" i="6"/>
  <c r="BF121" i="6"/>
  <c r="AC121" i="1" s="1"/>
  <c r="BF120" i="6"/>
  <c r="BF119" i="6"/>
  <c r="AC119" i="1" s="1"/>
  <c r="BF118" i="6"/>
  <c r="BF117" i="6"/>
  <c r="AC117" i="1" s="1"/>
  <c r="BF116" i="6"/>
  <c r="BF115" i="6"/>
  <c r="O115" i="1" s="1"/>
  <c r="BF114" i="6"/>
  <c r="AC114" i="1" s="1"/>
  <c r="BF113" i="6"/>
  <c r="AC113" i="1" s="1"/>
  <c r="BF112" i="6"/>
  <c r="O112" i="1" s="1"/>
  <c r="BF111" i="6"/>
  <c r="O111" i="1" s="1"/>
  <c r="BF110" i="6"/>
  <c r="BF109" i="6"/>
  <c r="AC109" i="1" s="1"/>
  <c r="BF108" i="6"/>
  <c r="AC108" i="1" s="1"/>
  <c r="BF107" i="6"/>
  <c r="O107" i="1" s="1"/>
  <c r="BF106" i="6"/>
  <c r="O106" i="1" s="1"/>
  <c r="BF105" i="6"/>
  <c r="BF104" i="6"/>
  <c r="BF103" i="6"/>
  <c r="AC103" i="1" s="1"/>
  <c r="BF102" i="6"/>
  <c r="AC102" i="1" s="1"/>
  <c r="BF101" i="6"/>
  <c r="BF100" i="6"/>
  <c r="AC100" i="1" s="1"/>
  <c r="BF99" i="6"/>
  <c r="O99" i="1" s="1"/>
  <c r="BF98" i="6"/>
  <c r="O98" i="1" s="1"/>
  <c r="BF97" i="6"/>
  <c r="AC97" i="1" s="1"/>
  <c r="BF96" i="6"/>
  <c r="AC96" i="1" s="1"/>
  <c r="BF95" i="6"/>
  <c r="BF94" i="6"/>
  <c r="BF93" i="6"/>
  <c r="AC93" i="1" s="1"/>
  <c r="BF92" i="6"/>
  <c r="O92" i="1" s="1"/>
  <c r="BF91" i="6"/>
  <c r="O91" i="1" s="1"/>
  <c r="BF90" i="6"/>
  <c r="AC90" i="1" s="1"/>
  <c r="BF89" i="6"/>
  <c r="O89" i="1" s="1"/>
  <c r="BF88" i="6"/>
  <c r="O88" i="1" s="1"/>
  <c r="C22" i="7" s="1"/>
  <c r="BF87" i="6"/>
  <c r="O87" i="1" s="1"/>
  <c r="BF86" i="6"/>
  <c r="AC86" i="1" s="1"/>
  <c r="BF85" i="6"/>
  <c r="O85" i="1" s="1"/>
  <c r="BF84" i="6"/>
  <c r="O84" i="1" s="1"/>
  <c r="BF83" i="6"/>
  <c r="O83" i="1" s="1"/>
  <c r="BF82" i="6"/>
  <c r="AC82" i="1" s="1"/>
  <c r="BF81" i="6"/>
  <c r="BF80" i="6"/>
  <c r="O80" i="1" s="1"/>
  <c r="BF79" i="6"/>
  <c r="O79" i="1" s="1"/>
  <c r="BF78" i="6"/>
  <c r="AC78" i="1" s="1"/>
  <c r="BF77" i="6"/>
  <c r="O77" i="1" s="1"/>
  <c r="BF76" i="6"/>
  <c r="O76" i="1" s="1"/>
  <c r="BF75" i="6"/>
  <c r="AC75" i="1" s="1"/>
  <c r="BF74" i="6"/>
  <c r="BF73" i="6"/>
  <c r="AC73" i="1" s="1"/>
  <c r="BF72" i="6"/>
  <c r="O72" i="1" s="1"/>
  <c r="BF71" i="6"/>
  <c r="AC71" i="1" s="1"/>
  <c r="BF70" i="6"/>
  <c r="BF69" i="6"/>
  <c r="BF68" i="6"/>
  <c r="O68" i="1" s="1"/>
  <c r="BF67" i="6"/>
  <c r="AC67" i="1" s="1"/>
  <c r="BF66" i="6"/>
  <c r="O66" i="1" s="1"/>
  <c r="BF65" i="6"/>
  <c r="O65" i="1" s="1"/>
  <c r="BF64" i="6"/>
  <c r="O64" i="1" s="1"/>
  <c r="BF63" i="6"/>
  <c r="BF62" i="6"/>
  <c r="O62" i="1" s="1"/>
  <c r="BF61" i="6"/>
  <c r="BF60" i="6"/>
  <c r="BF59" i="6"/>
  <c r="BF58" i="6"/>
  <c r="AC58" i="1" s="1"/>
  <c r="BF57" i="6"/>
  <c r="BF56" i="6"/>
  <c r="AC56" i="1" s="1"/>
  <c r="BF55" i="6"/>
  <c r="O55" i="1" s="1"/>
  <c r="BF54" i="6"/>
  <c r="BF53" i="6"/>
  <c r="O53" i="1" s="1"/>
  <c r="BF52" i="6"/>
  <c r="O52" i="1" s="1"/>
  <c r="BF51" i="6"/>
  <c r="BF50" i="6"/>
  <c r="BF49" i="6"/>
  <c r="AC49" i="1" s="1"/>
  <c r="BF48" i="6"/>
  <c r="AC48" i="1" s="1"/>
  <c r="BF47" i="6"/>
  <c r="O47" i="1" s="1"/>
  <c r="BF46" i="6"/>
  <c r="BF45" i="6"/>
  <c r="BF44" i="6"/>
  <c r="BF43" i="6"/>
  <c r="O43" i="1" s="1"/>
  <c r="BF42" i="6"/>
  <c r="AC42" i="1" s="1"/>
  <c r="BF41" i="6"/>
  <c r="O41" i="1" s="1"/>
  <c r="BF40" i="6"/>
  <c r="BF39" i="6"/>
  <c r="O39" i="1" s="1"/>
  <c r="BF38" i="6"/>
  <c r="AC38" i="1" s="1"/>
  <c r="BF37" i="6"/>
  <c r="BF36" i="6"/>
  <c r="BF35" i="6"/>
  <c r="AC35" i="1" s="1"/>
  <c r="BF34" i="6"/>
  <c r="AC34" i="1" s="1"/>
  <c r="BF33" i="6"/>
  <c r="BF32" i="6"/>
  <c r="AC32" i="1" s="1"/>
  <c r="BF31" i="6"/>
  <c r="BF30" i="6"/>
  <c r="AC30" i="1" s="1"/>
  <c r="BF29" i="6"/>
  <c r="BF28" i="6"/>
  <c r="AC28" i="1" s="1"/>
  <c r="BF27" i="6"/>
  <c r="AC27" i="1" s="1"/>
  <c r="BF26" i="6"/>
  <c r="AC26" i="1" s="1"/>
  <c r="BF25" i="6"/>
  <c r="AC25" i="1" s="1"/>
  <c r="BF24" i="6"/>
  <c r="BF23" i="6"/>
  <c r="BF22" i="6"/>
  <c r="O22" i="1" s="1"/>
  <c r="BF21" i="6"/>
  <c r="BF20" i="6"/>
  <c r="AC20" i="1" s="1"/>
  <c r="BF19" i="6"/>
  <c r="BF18" i="6"/>
  <c r="BF17" i="6"/>
  <c r="BF16" i="6"/>
  <c r="O16" i="1" s="1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AJ20" i="6" s="1"/>
  <c r="AJ13" i="6"/>
  <c r="E330" i="6" s="1"/>
  <c r="AI13" i="6"/>
  <c r="E316" i="6" s="1"/>
  <c r="AH13" i="6"/>
  <c r="AI16" i="6" s="1"/>
  <c r="AG13" i="6"/>
  <c r="AF13" i="6"/>
  <c r="AE20" i="6" s="1"/>
  <c r="AE13" i="6"/>
  <c r="E260" i="6" s="1"/>
  <c r="AD13" i="6"/>
  <c r="AC20" i="6" s="1"/>
  <c r="AC13" i="6"/>
  <c r="AD16" i="6" s="1"/>
  <c r="AB13" i="6"/>
  <c r="AB18" i="6" s="1"/>
  <c r="AA13" i="6"/>
  <c r="AB16" i="6" s="1"/>
  <c r="Z13" i="6"/>
  <c r="E190" i="6" s="1"/>
  <c r="Y13" i="6"/>
  <c r="S44" i="6" s="1"/>
  <c r="X13" i="6"/>
  <c r="Y16" i="6" s="1"/>
  <c r="W13" i="6"/>
  <c r="W18" i="6" s="1"/>
  <c r="V13" i="6"/>
  <c r="U13" i="6"/>
  <c r="E120" i="6" s="1"/>
  <c r="T13" i="6"/>
  <c r="T18" i="6" s="1"/>
  <c r="S13" i="6"/>
  <c r="T16" i="6" s="1"/>
  <c r="R13" i="6"/>
  <c r="Q20" i="6" s="1"/>
  <c r="Q13" i="6"/>
  <c r="O44" i="6" s="1"/>
  <c r="N50" i="6" s="1"/>
  <c r="P13" i="6"/>
  <c r="P18" i="6" s="1"/>
  <c r="O13" i="6"/>
  <c r="N20" i="6" s="1"/>
  <c r="N13" i="6"/>
  <c r="O16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/>
  <c r="B383" i="17"/>
  <c r="B381" i="17"/>
  <c r="B382" i="17"/>
  <c r="I15" i="1"/>
  <c r="V14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AE370" i="1" s="1"/>
  <c r="BE368" i="6"/>
  <c r="AE368" i="1" s="1"/>
  <c r="BE367" i="6"/>
  <c r="AE367" i="1" s="1"/>
  <c r="BE366" i="6"/>
  <c r="BE365" i="6"/>
  <c r="AE365" i="1" s="1"/>
  <c r="BE364" i="6"/>
  <c r="AE364" i="1" s="1"/>
  <c r="BE363" i="6"/>
  <c r="AE363" i="1" s="1"/>
  <c r="BE362" i="6"/>
  <c r="BE361" i="6"/>
  <c r="AE361" i="1" s="1"/>
  <c r="BE360" i="6"/>
  <c r="AE360" i="1" s="1"/>
  <c r="BE359" i="6"/>
  <c r="AE359" i="1" s="1"/>
  <c r="BE358" i="6"/>
  <c r="BE357" i="6"/>
  <c r="AE357" i="1" s="1"/>
  <c r="BE356" i="6"/>
  <c r="BE355" i="6"/>
  <c r="AE355" i="1" s="1"/>
  <c r="BE354" i="6"/>
  <c r="AE354" i="1" s="1"/>
  <c r="BE353" i="6"/>
  <c r="AE353" i="1" s="1"/>
  <c r="BE352" i="6"/>
  <c r="AE352" i="1" s="1"/>
  <c r="BE351" i="6"/>
  <c r="AE351" i="1" s="1"/>
  <c r="BE350" i="6"/>
  <c r="BE349" i="6"/>
  <c r="AE349" i="1" s="1"/>
  <c r="BE348" i="6"/>
  <c r="AE348" i="1" s="1"/>
  <c r="BE347" i="6"/>
  <c r="AE347" i="1" s="1"/>
  <c r="BE346" i="6"/>
  <c r="BE345" i="6"/>
  <c r="AE345" i="1" s="1"/>
  <c r="BE344" i="6"/>
  <c r="BE343" i="6"/>
  <c r="AE343" i="1" s="1"/>
  <c r="BE342" i="6"/>
  <c r="AE342" i="1" s="1"/>
  <c r="BE341" i="6"/>
  <c r="AE341" i="1" s="1"/>
  <c r="BE340" i="6"/>
  <c r="BE339" i="6"/>
  <c r="AE339" i="1" s="1"/>
  <c r="BE338" i="6"/>
  <c r="AE338" i="1" s="1"/>
  <c r="BE337" i="6"/>
  <c r="AE337" i="1" s="1"/>
  <c r="BE336" i="6"/>
  <c r="AE336" i="1" s="1"/>
  <c r="BE335" i="6"/>
  <c r="AE335" i="1" s="1"/>
  <c r="BE334" i="6"/>
  <c r="AE334" i="1" s="1"/>
  <c r="BE333" i="6"/>
  <c r="AE333" i="1" s="1"/>
  <c r="BE332" i="6"/>
  <c r="AE332" i="1" s="1"/>
  <c r="BE331" i="6"/>
  <c r="AE331" i="1" s="1"/>
  <c r="BE330" i="6"/>
  <c r="Q330" i="1" s="1"/>
  <c r="BE329" i="6"/>
  <c r="AE329" i="1" s="1"/>
  <c r="BE328" i="6"/>
  <c r="AE328" i="1" s="1"/>
  <c r="BE327" i="6"/>
  <c r="AE327" i="1" s="1"/>
  <c r="BE326" i="6"/>
  <c r="AE326" i="1" s="1"/>
  <c r="BE325" i="6"/>
  <c r="AE325" i="1" s="1"/>
  <c r="BE324" i="6"/>
  <c r="AE324" i="1" s="1"/>
  <c r="BE323" i="6"/>
  <c r="AE323" i="1" s="1"/>
  <c r="BE322" i="6"/>
  <c r="AE322" i="1" s="1"/>
  <c r="BE321" i="6"/>
  <c r="AE321" i="1" s="1"/>
  <c r="BE320" i="6"/>
  <c r="AE320" i="1" s="1"/>
  <c r="BE319" i="6"/>
  <c r="AE319" i="1" s="1"/>
  <c r="BE318" i="6"/>
  <c r="AE318" i="1" s="1"/>
  <c r="BE317" i="6"/>
  <c r="Q317" i="1" s="1"/>
  <c r="BE316" i="6"/>
  <c r="AE316" i="1" s="1"/>
  <c r="BE315" i="6"/>
  <c r="AE315" i="1" s="1"/>
  <c r="BE314" i="6"/>
  <c r="AE314" i="1" s="1"/>
  <c r="BE313" i="6"/>
  <c r="AE313" i="1" s="1"/>
  <c r="BE312" i="6"/>
  <c r="AE312" i="1" s="1"/>
  <c r="BE311" i="6"/>
  <c r="AE311" i="1" s="1"/>
  <c r="BE310" i="6"/>
  <c r="AE310" i="1" s="1"/>
  <c r="BE309" i="6"/>
  <c r="AE309" i="1" s="1"/>
  <c r="BE308" i="6"/>
  <c r="AE308" i="1" s="1"/>
  <c r="BE307" i="6"/>
  <c r="AE307" i="1" s="1"/>
  <c r="BE306" i="6"/>
  <c r="AE306" i="1" s="1"/>
  <c r="BE305" i="6"/>
  <c r="AE305" i="1" s="1"/>
  <c r="BE304" i="6"/>
  <c r="AE304" i="1" s="1"/>
  <c r="BE303" i="6"/>
  <c r="AE303" i="1" s="1"/>
  <c r="BE302" i="6"/>
  <c r="AE302" i="1" s="1"/>
  <c r="BE301" i="6"/>
  <c r="BE300" i="6"/>
  <c r="AE300" i="1" s="1"/>
  <c r="BE299" i="6"/>
  <c r="BE298" i="6"/>
  <c r="AE298" i="1" s="1"/>
  <c r="BE297" i="6"/>
  <c r="BE296" i="6"/>
  <c r="AE296" i="1" s="1"/>
  <c r="BE295" i="6"/>
  <c r="BE294" i="6"/>
  <c r="AE294" i="1" s="1"/>
  <c r="BE293" i="6"/>
  <c r="AE293" i="1" s="1"/>
  <c r="BE292" i="6"/>
  <c r="BE291" i="6"/>
  <c r="AE291" i="1" s="1"/>
  <c r="BE290" i="6"/>
  <c r="BE289" i="6"/>
  <c r="AE289" i="1" s="1"/>
  <c r="BE288" i="6"/>
  <c r="BE287" i="6"/>
  <c r="Q287" i="1" s="1"/>
  <c r="BE286" i="6"/>
  <c r="Q286" i="1" s="1"/>
  <c r="BE285" i="6"/>
  <c r="AE285" i="1" s="1"/>
  <c r="BE284" i="6"/>
  <c r="AE284" i="1" s="1"/>
  <c r="BE283" i="6"/>
  <c r="AE283" i="1" s="1"/>
  <c r="BE282" i="6"/>
  <c r="BE281" i="6"/>
  <c r="AE281" i="1" s="1"/>
  <c r="BE280" i="6"/>
  <c r="BE279" i="6"/>
  <c r="AE279" i="1" s="1"/>
  <c r="BE278" i="6"/>
  <c r="AE278" i="1" s="1"/>
  <c r="BE277" i="6"/>
  <c r="AE277" i="1" s="1"/>
  <c r="BE276" i="6"/>
  <c r="BE275" i="6"/>
  <c r="AE275" i="1" s="1"/>
  <c r="BE274" i="6"/>
  <c r="AE274" i="1" s="1"/>
  <c r="BE273" i="6"/>
  <c r="AE273" i="1" s="1"/>
  <c r="BE272" i="6"/>
  <c r="BE271" i="6"/>
  <c r="AE271" i="1" s="1"/>
  <c r="BE270" i="6"/>
  <c r="BE269" i="6"/>
  <c r="AE269" i="1" s="1"/>
  <c r="BE268" i="6"/>
  <c r="BE267" i="6"/>
  <c r="AE267" i="1" s="1"/>
  <c r="BE266" i="6"/>
  <c r="AE266" i="1" s="1"/>
  <c r="BE265" i="6"/>
  <c r="AE265" i="1" s="1"/>
  <c r="BE264" i="6"/>
  <c r="AE264" i="1" s="1"/>
  <c r="BE263" i="6"/>
  <c r="AE263" i="1" s="1"/>
  <c r="BE262" i="6"/>
  <c r="AE262" i="1" s="1"/>
  <c r="BE261" i="6"/>
  <c r="AE261" i="1" s="1"/>
  <c r="BE260" i="6"/>
  <c r="BE259" i="6"/>
  <c r="Q259" i="1" s="1"/>
  <c r="BE258" i="6"/>
  <c r="BE257" i="6"/>
  <c r="AE257" i="1" s="1"/>
  <c r="BE256" i="6"/>
  <c r="BE255" i="6"/>
  <c r="AE255" i="1" s="1"/>
  <c r="BE254" i="6"/>
  <c r="BE253" i="6"/>
  <c r="AE253" i="1" s="1"/>
  <c r="BE252" i="6"/>
  <c r="BE251" i="6"/>
  <c r="Q251" i="1" s="1"/>
  <c r="BE250" i="6"/>
  <c r="AE250" i="1" s="1"/>
  <c r="BE249" i="6"/>
  <c r="AE249" i="1" s="1"/>
  <c r="BE248" i="6"/>
  <c r="AE248" i="1" s="1"/>
  <c r="BE247" i="6"/>
  <c r="AE247" i="1" s="1"/>
  <c r="BE246" i="6"/>
  <c r="BE245" i="6"/>
  <c r="AE245" i="1" s="1"/>
  <c r="BE244" i="6"/>
  <c r="AE244" i="1" s="1"/>
  <c r="BE243" i="6"/>
  <c r="AE243" i="1" s="1"/>
  <c r="BE242" i="6"/>
  <c r="AE242" i="1" s="1"/>
  <c r="BE241" i="6"/>
  <c r="AE241" i="1" s="1"/>
  <c r="BE240" i="6"/>
  <c r="AE240" i="1" s="1"/>
  <c r="BE239" i="6"/>
  <c r="Q239" i="1" s="1"/>
  <c r="BE238" i="6"/>
  <c r="BE237" i="6"/>
  <c r="AE237" i="1" s="1"/>
  <c r="BE236" i="6"/>
  <c r="BE235" i="6"/>
  <c r="AE235" i="1" s="1"/>
  <c r="BE234" i="6"/>
  <c r="AE234" i="1" s="1"/>
  <c r="BE233" i="6"/>
  <c r="AE233" i="1" s="1"/>
  <c r="BE232" i="6"/>
  <c r="BE231" i="6"/>
  <c r="AE231" i="1" s="1"/>
  <c r="BE230" i="6"/>
  <c r="AE230" i="1" s="1"/>
  <c r="BE229" i="6"/>
  <c r="Q229" i="1" s="1"/>
  <c r="BE228" i="6"/>
  <c r="AE228" i="1" s="1"/>
  <c r="BE227" i="6"/>
  <c r="AE227" i="1" s="1"/>
  <c r="BE226" i="6"/>
  <c r="AE226" i="1" s="1"/>
  <c r="BE225" i="6"/>
  <c r="Q225" i="1" s="1"/>
  <c r="BE224" i="6"/>
  <c r="BE223" i="6"/>
  <c r="AE223" i="1" s="1"/>
  <c r="BE222" i="6"/>
  <c r="Q222" i="1" s="1"/>
  <c r="BE221" i="6"/>
  <c r="BE220" i="6"/>
  <c r="BE219" i="6"/>
  <c r="BE218" i="6"/>
  <c r="BE217" i="6"/>
  <c r="BE216" i="6"/>
  <c r="BE215" i="6"/>
  <c r="BE214" i="6"/>
  <c r="AE214" i="1" s="1"/>
  <c r="BE213" i="6"/>
  <c r="BE212" i="6"/>
  <c r="BE211" i="6"/>
  <c r="AE211" i="1" s="1"/>
  <c r="BE210" i="6"/>
  <c r="BE209" i="6"/>
  <c r="AE209" i="1" s="1"/>
  <c r="BE208" i="6"/>
  <c r="BE207" i="6"/>
  <c r="AE207" i="1" s="1"/>
  <c r="BE206" i="6"/>
  <c r="BE205" i="6"/>
  <c r="AE205" i="1" s="1"/>
  <c r="BE204" i="6"/>
  <c r="BE203" i="6"/>
  <c r="AE203" i="1" s="1"/>
  <c r="BE202" i="6"/>
  <c r="AE202" i="1" s="1"/>
  <c r="BE201" i="6"/>
  <c r="AE201" i="1" s="1"/>
  <c r="BE200" i="6"/>
  <c r="AE200" i="1" s="1"/>
  <c r="BE199" i="6"/>
  <c r="AE199" i="1" s="1"/>
  <c r="BE198" i="6"/>
  <c r="AE198" i="1" s="1"/>
  <c r="BE197" i="6"/>
  <c r="BE196" i="6"/>
  <c r="Q196" i="1" s="1"/>
  <c r="BE195" i="6"/>
  <c r="AE195" i="1" s="1"/>
  <c r="BE194" i="6"/>
  <c r="BE193" i="6"/>
  <c r="AE193" i="1" s="1"/>
  <c r="BE192" i="6"/>
  <c r="BE191" i="6"/>
  <c r="AE191" i="1" s="1"/>
  <c r="BE190" i="6"/>
  <c r="BE189" i="6"/>
  <c r="AE189" i="1" s="1"/>
  <c r="BE188" i="6"/>
  <c r="BE187" i="6"/>
  <c r="BE186" i="6"/>
  <c r="Q186" i="1" s="1"/>
  <c r="BE185" i="6"/>
  <c r="BE184" i="6"/>
  <c r="BE183" i="6"/>
  <c r="BE182" i="6"/>
  <c r="BE181" i="6"/>
  <c r="AE181" i="1" s="1"/>
  <c r="BE180" i="6"/>
  <c r="AE180" i="1" s="1"/>
  <c r="BE179" i="6"/>
  <c r="BE178" i="6"/>
  <c r="BE177" i="6"/>
  <c r="AE177" i="1" s="1"/>
  <c r="BE176" i="6"/>
  <c r="Q176" i="1" s="1"/>
  <c r="BE175" i="6"/>
  <c r="BE174" i="6"/>
  <c r="Q174" i="1" s="1"/>
  <c r="BE173" i="6"/>
  <c r="AE173" i="1" s="1"/>
  <c r="BE172" i="6"/>
  <c r="BE171" i="6"/>
  <c r="AE171" i="1" s="1"/>
  <c r="BE170" i="6"/>
  <c r="AE170" i="1" s="1"/>
  <c r="BE169" i="6"/>
  <c r="BE168" i="6"/>
  <c r="Q168" i="1" s="1"/>
  <c r="BE167" i="6"/>
  <c r="AE167" i="1" s="1"/>
  <c r="BE166" i="6"/>
  <c r="Q166" i="1" s="1"/>
  <c r="BE165" i="6"/>
  <c r="BE164" i="6"/>
  <c r="AE164" i="1" s="1"/>
  <c r="BE163" i="6"/>
  <c r="BE162" i="6"/>
  <c r="BE161" i="6"/>
  <c r="BE160" i="6"/>
  <c r="BE159" i="6"/>
  <c r="BE158" i="6"/>
  <c r="BE157" i="6"/>
  <c r="BE156" i="6"/>
  <c r="Q156" i="1" s="1"/>
  <c r="BE155" i="6"/>
  <c r="BE154" i="6"/>
  <c r="Q154" i="1" s="1"/>
  <c r="BE153" i="6"/>
  <c r="AE153" i="1" s="1"/>
  <c r="BE152" i="6"/>
  <c r="AE152" i="1" s="1"/>
  <c r="BE151" i="6"/>
  <c r="BE150" i="6"/>
  <c r="BE149" i="6"/>
  <c r="AE149" i="1" s="1"/>
  <c r="BE148" i="6"/>
  <c r="AE148" i="1" s="1"/>
  <c r="BE147" i="6"/>
  <c r="BE146" i="6"/>
  <c r="BE145" i="6"/>
  <c r="BE144" i="6"/>
  <c r="BE143" i="6"/>
  <c r="AE143" i="1" s="1"/>
  <c r="BE142" i="6"/>
  <c r="BE141" i="6"/>
  <c r="AE141" i="1" s="1"/>
  <c r="BE140" i="6"/>
  <c r="BE139" i="6"/>
  <c r="BE138" i="6"/>
  <c r="BE137" i="6"/>
  <c r="AE137" i="1" s="1"/>
  <c r="BE136" i="6"/>
  <c r="AE136" i="1" s="1"/>
  <c r="BE135" i="6"/>
  <c r="AE135" i="1" s="1"/>
  <c r="BE134" i="6"/>
  <c r="AE134" i="1" s="1"/>
  <c r="BE133" i="6"/>
  <c r="AE133" i="1" s="1"/>
  <c r="BE132" i="6"/>
  <c r="BE131" i="6"/>
  <c r="BE130" i="6"/>
  <c r="AE130" i="1" s="1"/>
  <c r="BE129" i="6"/>
  <c r="AE129" i="1" s="1"/>
  <c r="BE128" i="6"/>
  <c r="AE128" i="1" s="1"/>
  <c r="BE127" i="6"/>
  <c r="BE126" i="6"/>
  <c r="BE125" i="6"/>
  <c r="BE124" i="6"/>
  <c r="AE124" i="1" s="1"/>
  <c r="BE123" i="6"/>
  <c r="BE122" i="6"/>
  <c r="AE122" i="1" s="1"/>
  <c r="BE121" i="6"/>
  <c r="BE120" i="6"/>
  <c r="AE120" i="1" s="1"/>
  <c r="BE119" i="6"/>
  <c r="Q119" i="1" s="1"/>
  <c r="BE118" i="6"/>
  <c r="BE117" i="6"/>
  <c r="Q117" i="1" s="1"/>
  <c r="BE116" i="6"/>
  <c r="BE115" i="6"/>
  <c r="AE115" i="1" s="1"/>
  <c r="BE114" i="6"/>
  <c r="BE113" i="6"/>
  <c r="AE113" i="1" s="1"/>
  <c r="BE112" i="6"/>
  <c r="BE111" i="6"/>
  <c r="Q111" i="1" s="1"/>
  <c r="BE110" i="6"/>
  <c r="BE109" i="6"/>
  <c r="AE109" i="1" s="1"/>
  <c r="BE108" i="6"/>
  <c r="AE108" i="1" s="1"/>
  <c r="BE107" i="6"/>
  <c r="BE106" i="6"/>
  <c r="BE105" i="6"/>
  <c r="Q105" i="1" s="1"/>
  <c r="BE104" i="6"/>
  <c r="AE104" i="1" s="1"/>
  <c r="BE103" i="6"/>
  <c r="BE102" i="6"/>
  <c r="BE101" i="6"/>
  <c r="Q101" i="1" s="1"/>
  <c r="BE100" i="6"/>
  <c r="BE99" i="6"/>
  <c r="AE99" i="1" s="1"/>
  <c r="BE98" i="6"/>
  <c r="AE98" i="1" s="1"/>
  <c r="BE97" i="6"/>
  <c r="AE97" i="1" s="1"/>
  <c r="BE96" i="6"/>
  <c r="BE95" i="6"/>
  <c r="BE94" i="6"/>
  <c r="BE93" i="6"/>
  <c r="Q93" i="1" s="1"/>
  <c r="BE92" i="6"/>
  <c r="BE91" i="6"/>
  <c r="BE90" i="6"/>
  <c r="BE89" i="6"/>
  <c r="AE89" i="1" s="1"/>
  <c r="BE88" i="6"/>
  <c r="AE88" i="1" s="1"/>
  <c r="BE87" i="6"/>
  <c r="Q87" i="1" s="1"/>
  <c r="BE86" i="6"/>
  <c r="BE85" i="6"/>
  <c r="AE85" i="1" s="1"/>
  <c r="BE84" i="6"/>
  <c r="BE83" i="6"/>
  <c r="AE83" i="1" s="1"/>
  <c r="BE82" i="6"/>
  <c r="BE81" i="6"/>
  <c r="BE80" i="6"/>
  <c r="BE79" i="6"/>
  <c r="AE79" i="1" s="1"/>
  <c r="BE78" i="6"/>
  <c r="BE77" i="6"/>
  <c r="AE77" i="1" s="1"/>
  <c r="BE76" i="6"/>
  <c r="BE75" i="6"/>
  <c r="BE74" i="6"/>
  <c r="BE73" i="6"/>
  <c r="BE72" i="6"/>
  <c r="AE72" i="1" s="1"/>
  <c r="BE71" i="6"/>
  <c r="AE71" i="1" s="1"/>
  <c r="BE70" i="6"/>
  <c r="AE70" i="1" s="1"/>
  <c r="BE69" i="6"/>
  <c r="BE68" i="6"/>
  <c r="BE67" i="6"/>
  <c r="AE67" i="1" s="1"/>
  <c r="BE66" i="6"/>
  <c r="BE65" i="6"/>
  <c r="BE64" i="6"/>
  <c r="BE63" i="6"/>
  <c r="BE62" i="6"/>
  <c r="BE61" i="6"/>
  <c r="AE61" i="1" s="1"/>
  <c r="BE60" i="6"/>
  <c r="BE59" i="6"/>
  <c r="Q59" i="1" s="1"/>
  <c r="BE58" i="6"/>
  <c r="BE57" i="6"/>
  <c r="BE56" i="6"/>
  <c r="BE55" i="6"/>
  <c r="AE55" i="1" s="1"/>
  <c r="BE54" i="6"/>
  <c r="Q54" i="1" s="1"/>
  <c r="BE53" i="6"/>
  <c r="AE53" i="1" s="1"/>
  <c r="BE52" i="6"/>
  <c r="BE51" i="6"/>
  <c r="AE51" i="1" s="1"/>
  <c r="BE50" i="6"/>
  <c r="AE50" i="1" s="1"/>
  <c r="BE49" i="6"/>
  <c r="AE49" i="1" s="1"/>
  <c r="BE48" i="6"/>
  <c r="BE47" i="6"/>
  <c r="AE47" i="1" s="1"/>
  <c r="BE46" i="6"/>
  <c r="BE45" i="6"/>
  <c r="AE45" i="1" s="1"/>
  <c r="BE44" i="6"/>
  <c r="BE43" i="6"/>
  <c r="AE43" i="1" s="1"/>
  <c r="BE42" i="6"/>
  <c r="Q42" i="1" s="1"/>
  <c r="BE41" i="6"/>
  <c r="AE41" i="1" s="1"/>
  <c r="BE40" i="6"/>
  <c r="Q40" i="1" s="1"/>
  <c r="BE39" i="6"/>
  <c r="AE39" i="1" s="1"/>
  <c r="BE38" i="6"/>
  <c r="BE37" i="6"/>
  <c r="BE36" i="6"/>
  <c r="Q36" i="1" s="1"/>
  <c r="BE35" i="6"/>
  <c r="BE34" i="6"/>
  <c r="BE33" i="6"/>
  <c r="AE33" i="1" s="1"/>
  <c r="BE32" i="6"/>
  <c r="BE31" i="6"/>
  <c r="BE30" i="6"/>
  <c r="BE29" i="6"/>
  <c r="AE29" i="1" s="1"/>
  <c r="BE28" i="6"/>
  <c r="BE27" i="6"/>
  <c r="BE26" i="6"/>
  <c r="AE26" i="1" s="1"/>
  <c r="BE25" i="6"/>
  <c r="BE24" i="6"/>
  <c r="AE24" i="1" s="1"/>
  <c r="BE23" i="6"/>
  <c r="BE22" i="6"/>
  <c r="AE22" i="1" s="1"/>
  <c r="BE21" i="6"/>
  <c r="BE20" i="6"/>
  <c r="BE19" i="6"/>
  <c r="Q19" i="1" s="1"/>
  <c r="BE18" i="6"/>
  <c r="BE17" i="6"/>
  <c r="Q17" i="1" s="1"/>
  <c r="BE16" i="6"/>
  <c r="Q16" i="1" s="1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AE371" i="1" s="1"/>
  <c r="BE372" i="6"/>
  <c r="AE372" i="1" s="1"/>
  <c r="BE373" i="6"/>
  <c r="AE373" i="1" s="1"/>
  <c r="BE374" i="6"/>
  <c r="AE374" i="1" s="1"/>
  <c r="BE375" i="6"/>
  <c r="AE375" i="1" s="1"/>
  <c r="BE376" i="6"/>
  <c r="AE376" i="1" s="1"/>
  <c r="BE377" i="6"/>
  <c r="AE377" i="1" s="1"/>
  <c r="BE378" i="6"/>
  <c r="AE378" i="1" s="1"/>
  <c r="BE379" i="6"/>
  <c r="AE379" i="1" s="1"/>
  <c r="AE12" i="15" s="1"/>
  <c r="BE380" i="6"/>
  <c r="F14" i="1"/>
  <c r="X1" i="1"/>
  <c r="BK15" i="7"/>
  <c r="O9" i="1"/>
  <c r="AJ380" i="1" s="1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BP14" i="6"/>
  <c r="AF63" i="27"/>
  <c r="AF70" i="27"/>
  <c r="BW15" i="7"/>
  <c r="BQ15" i="7"/>
  <c r="A3" i="7"/>
  <c r="A15" i="1"/>
  <c r="L1" i="1"/>
  <c r="F7" i="1"/>
  <c r="AC9" i="1" s="1"/>
  <c r="BV13" i="7"/>
  <c r="K15" i="1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Q18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O5" i="27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AC12" i="1"/>
  <c r="BJ13" i="7"/>
  <c r="BP13" i="7"/>
  <c r="E7" i="1"/>
  <c r="B11" i="7"/>
  <c r="O11" i="1"/>
  <c r="AJ15" i="1"/>
  <c r="A16" i="1"/>
  <c r="X15" i="1"/>
  <c r="AB15" i="1"/>
  <c r="Y14" i="1"/>
  <c r="A11" i="19"/>
  <c r="A35" i="19" s="1"/>
  <c r="A6" i="6"/>
  <c r="A61" i="19"/>
  <c r="J1" i="15"/>
  <c r="E8" i="1"/>
  <c r="K11" i="19" s="1"/>
  <c r="K35" i="19" s="1"/>
  <c r="L11" i="1"/>
  <c r="L12" i="1"/>
  <c r="AB16" i="1"/>
  <c r="X16" i="1"/>
  <c r="K16" i="1"/>
  <c r="A17" i="1"/>
  <c r="L16" i="1"/>
  <c r="AJ16" i="1"/>
  <c r="L11" i="15"/>
  <c r="L15" i="1"/>
  <c r="A15" i="15"/>
  <c r="G3" i="7"/>
  <c r="F14" i="15"/>
  <c r="X1" i="15"/>
  <c r="A62" i="19"/>
  <c r="V14" i="15"/>
  <c r="Y14" i="15"/>
  <c r="A12" i="19"/>
  <c r="A36" i="19" s="1"/>
  <c r="J1" i="16"/>
  <c r="B6" i="6"/>
  <c r="L1" i="15"/>
  <c r="J380" i="15"/>
  <c r="B15" i="7"/>
  <c r="P11" i="1"/>
  <c r="F8" i="1"/>
  <c r="AK380" i="1"/>
  <c r="AK15" i="1"/>
  <c r="L11" i="16"/>
  <c r="X17" i="1"/>
  <c r="AJ17" i="1"/>
  <c r="AB17" i="1"/>
  <c r="L17" i="1"/>
  <c r="A18" i="1"/>
  <c r="K17" i="1"/>
  <c r="AK17" i="1"/>
  <c r="F14" i="16"/>
  <c r="C6" i="6"/>
  <c r="X1" i="16"/>
  <c r="J1" i="17"/>
  <c r="L1" i="16"/>
  <c r="M3" i="7"/>
  <c r="A13" i="19"/>
  <c r="A37" i="19" s="1"/>
  <c r="V14" i="16"/>
  <c r="A15" i="16"/>
  <c r="Y14" i="16"/>
  <c r="A63" i="19"/>
  <c r="AB15" i="15"/>
  <c r="K15" i="15"/>
  <c r="A16" i="15"/>
  <c r="X15" i="15"/>
  <c r="L12" i="15"/>
  <c r="AK16" i="1"/>
  <c r="A17" i="15"/>
  <c r="K16" i="15"/>
  <c r="AB16" i="15"/>
  <c r="X16" i="15"/>
  <c r="S3" i="7"/>
  <c r="X1" i="17"/>
  <c r="A14" i="19"/>
  <c r="A38" i="19" s="1"/>
  <c r="J1" i="18"/>
  <c r="Y14" i="17"/>
  <c r="A15" i="17"/>
  <c r="A64" i="19"/>
  <c r="L1" i="17"/>
  <c r="D6" i="6"/>
  <c r="V14" i="17"/>
  <c r="F14" i="17"/>
  <c r="AK18" i="1"/>
  <c r="AJ18" i="1"/>
  <c r="AB18" i="1"/>
  <c r="K18" i="1"/>
  <c r="A19" i="1"/>
  <c r="X18" i="1"/>
  <c r="L18" i="1"/>
  <c r="L12" i="16"/>
  <c r="AE11" i="1"/>
  <c r="L11" i="19"/>
  <c r="Q10" i="1"/>
  <c r="AI11" i="1"/>
  <c r="P10" i="1"/>
  <c r="A16" i="16"/>
  <c r="X15" i="16"/>
  <c r="K15" i="16"/>
  <c r="AB15" i="16"/>
  <c r="L12" i="17"/>
  <c r="L11" i="17"/>
  <c r="A17" i="16"/>
  <c r="AB16" i="16"/>
  <c r="K16" i="16"/>
  <c r="X16" i="16"/>
  <c r="AE225" i="1"/>
  <c r="BM15" i="7"/>
  <c r="AE101" i="1"/>
  <c r="BS15" i="7"/>
  <c r="AE35" i="1"/>
  <c r="BY15" i="7"/>
  <c r="E15" i="7"/>
  <c r="A20" i="1"/>
  <c r="K19" i="1"/>
  <c r="AJ19" i="1"/>
  <c r="AB19" i="1"/>
  <c r="L19" i="1"/>
  <c r="X19" i="1"/>
  <c r="AK19" i="1"/>
  <c r="A18" i="15"/>
  <c r="X17" i="15"/>
  <c r="K17" i="15"/>
  <c r="AB17" i="15"/>
  <c r="L11" i="18"/>
  <c r="K15" i="17"/>
  <c r="AB15" i="17"/>
  <c r="A16" i="17"/>
  <c r="X15" i="17"/>
  <c r="V14" i="18"/>
  <c r="E6" i="6"/>
  <c r="A15" i="18"/>
  <c r="L1" i="18"/>
  <c r="J1" i="20"/>
  <c r="Y3" i="7"/>
  <c r="A65" i="19"/>
  <c r="X1" i="18"/>
  <c r="A15" i="19"/>
  <c r="A39" i="19" s="1"/>
  <c r="F14" i="18"/>
  <c r="Y14" i="18"/>
  <c r="X16" i="17"/>
  <c r="A17" i="17"/>
  <c r="AB16" i="17"/>
  <c r="K16" i="17"/>
  <c r="L11" i="20"/>
  <c r="L1" i="20"/>
  <c r="J1" i="22"/>
  <c r="A16" i="19"/>
  <c r="A40" i="19" s="1"/>
  <c r="X1" i="20"/>
  <c r="F14" i="20"/>
  <c r="Y14" i="20"/>
  <c r="A15" i="20"/>
  <c r="F6" i="6"/>
  <c r="V14" i="20"/>
  <c r="AE3" i="7"/>
  <c r="K15" i="18"/>
  <c r="A16" i="18"/>
  <c r="AB15" i="18"/>
  <c r="X15" i="18"/>
  <c r="L12" i="18"/>
  <c r="K18" i="15"/>
  <c r="X18" i="15"/>
  <c r="A19" i="15"/>
  <c r="AB18" i="15"/>
  <c r="A21" i="1"/>
  <c r="X20" i="1"/>
  <c r="L20" i="1"/>
  <c r="K20" i="1"/>
  <c r="AB20" i="1"/>
  <c r="AJ20" i="1"/>
  <c r="AK20" i="1"/>
  <c r="A18" i="16"/>
  <c r="K17" i="16"/>
  <c r="AB17" i="16"/>
  <c r="X17" i="16"/>
  <c r="L12" i="20"/>
  <c r="AB19" i="15"/>
  <c r="K19" i="15"/>
  <c r="A20" i="15"/>
  <c r="X19" i="15"/>
  <c r="A16" i="20"/>
  <c r="K15" i="20"/>
  <c r="AB15" i="20"/>
  <c r="X15" i="20"/>
  <c r="A18" i="17"/>
  <c r="K17" i="17"/>
  <c r="X17" i="17"/>
  <c r="AB17" i="17"/>
  <c r="AB18" i="16"/>
  <c r="X18" i="16"/>
  <c r="K18" i="16"/>
  <c r="A19" i="16"/>
  <c r="X21" i="1"/>
  <c r="L21" i="1"/>
  <c r="AK21" i="1"/>
  <c r="AB21" i="1"/>
  <c r="AJ21" i="1"/>
  <c r="A22" i="1"/>
  <c r="K21" i="1"/>
  <c r="AB16" i="18"/>
  <c r="K16" i="18"/>
  <c r="A17" i="18"/>
  <c r="X16" i="18"/>
  <c r="F14" i="22"/>
  <c r="X1" i="22"/>
  <c r="V14" i="22"/>
  <c r="L1" i="22"/>
  <c r="J1" i="23"/>
  <c r="A15" i="22"/>
  <c r="A17" i="19"/>
  <c r="A41" i="19" s="1"/>
  <c r="AK3" i="7"/>
  <c r="G6" i="6"/>
  <c r="Y14" i="22"/>
  <c r="L11" i="22"/>
  <c r="A18" i="19"/>
  <c r="A42" i="19" s="1"/>
  <c r="F14" i="23"/>
  <c r="H6" i="6"/>
  <c r="AQ3" i="7"/>
  <c r="X1" i="23"/>
  <c r="J1" i="24"/>
  <c r="A15" i="23"/>
  <c r="L1" i="23"/>
  <c r="Y14" i="23"/>
  <c r="V14" i="23"/>
  <c r="A20" i="16"/>
  <c r="K19" i="16"/>
  <c r="X19" i="16"/>
  <c r="AB19" i="16"/>
  <c r="X18" i="17"/>
  <c r="K18" i="17"/>
  <c r="AB18" i="17"/>
  <c r="A19" i="17"/>
  <c r="L12" i="22"/>
  <c r="A17" i="20"/>
  <c r="X16" i="20"/>
  <c r="AB16" i="20"/>
  <c r="K16" i="20"/>
  <c r="L11" i="23"/>
  <c r="AB15" i="22"/>
  <c r="X15" i="22"/>
  <c r="K15" i="22"/>
  <c r="A16" i="22"/>
  <c r="X17" i="18"/>
  <c r="A18" i="18"/>
  <c r="K17" i="18"/>
  <c r="AB17" i="18"/>
  <c r="AK22" i="1"/>
  <c r="AJ22" i="1"/>
  <c r="L22" i="1"/>
  <c r="A23" i="1"/>
  <c r="K22" i="1"/>
  <c r="X22" i="1"/>
  <c r="AB22" i="1"/>
  <c r="X20" i="15"/>
  <c r="K20" i="15"/>
  <c r="AB20" i="15"/>
  <c r="A21" i="15"/>
  <c r="I17" i="1"/>
  <c r="A22" i="15"/>
  <c r="AB21" i="15"/>
  <c r="K21" i="15"/>
  <c r="X21" i="15"/>
  <c r="A18" i="20"/>
  <c r="AB17" i="20"/>
  <c r="X17" i="20"/>
  <c r="K17" i="20"/>
  <c r="L12" i="23"/>
  <c r="K19" i="17"/>
  <c r="A20" i="17"/>
  <c r="X19" i="17"/>
  <c r="AB19" i="17"/>
  <c r="A15" i="24"/>
  <c r="L1" i="24"/>
  <c r="J1" i="25"/>
  <c r="AW3" i="7"/>
  <c r="F14" i="24"/>
  <c r="V14" i="24"/>
  <c r="X1" i="24"/>
  <c r="A19" i="19"/>
  <c r="A43" i="19" s="1"/>
  <c r="I6" i="6"/>
  <c r="Y14" i="24"/>
  <c r="I16" i="1"/>
  <c r="I19" i="1"/>
  <c r="I18" i="1"/>
  <c r="AK23" i="1"/>
  <c r="AJ23" i="1"/>
  <c r="A24" i="1"/>
  <c r="X23" i="1"/>
  <c r="K23" i="1"/>
  <c r="L23" i="1"/>
  <c r="AB23" i="1"/>
  <c r="A19" i="18"/>
  <c r="AB18" i="18"/>
  <c r="K18" i="18"/>
  <c r="X18" i="18"/>
  <c r="AB16" i="22"/>
  <c r="A17" i="22"/>
  <c r="K16" i="22"/>
  <c r="X16" i="22"/>
  <c r="L11" i="24"/>
  <c r="AB20" i="16"/>
  <c r="A21" i="16"/>
  <c r="K20" i="16"/>
  <c r="X20" i="16"/>
  <c r="K15" i="23"/>
  <c r="A16" i="23"/>
  <c r="AB15" i="23"/>
  <c r="X15" i="23"/>
  <c r="L11" i="25"/>
  <c r="X17" i="22"/>
  <c r="K17" i="22"/>
  <c r="A18" i="22"/>
  <c r="AB17" i="22"/>
  <c r="A20" i="18"/>
  <c r="X19" i="18"/>
  <c r="K19" i="18"/>
  <c r="AB19" i="18"/>
  <c r="X20" i="17"/>
  <c r="K20" i="17"/>
  <c r="A21" i="17"/>
  <c r="AB20" i="17"/>
  <c r="A19" i="20"/>
  <c r="K18" i="20"/>
  <c r="X18" i="20"/>
  <c r="AB18" i="20"/>
  <c r="I20" i="1"/>
  <c r="A23" i="15"/>
  <c r="AB22" i="15"/>
  <c r="X22" i="15"/>
  <c r="K22" i="15"/>
  <c r="K16" i="23"/>
  <c r="AB16" i="23"/>
  <c r="X16" i="23"/>
  <c r="A17" i="23"/>
  <c r="A22" i="16"/>
  <c r="X21" i="16"/>
  <c r="AB21" i="16"/>
  <c r="K21" i="16"/>
  <c r="X24" i="1"/>
  <c r="AK24" i="1"/>
  <c r="L24" i="1"/>
  <c r="AB24" i="1"/>
  <c r="A25" i="1"/>
  <c r="AJ24" i="1"/>
  <c r="K24" i="1"/>
  <c r="BC3" i="7"/>
  <c r="A20" i="19"/>
  <c r="A44" i="19" s="1"/>
  <c r="A15" i="25"/>
  <c r="L1" i="25"/>
  <c r="V14" i="25"/>
  <c r="J6" i="6"/>
  <c r="F14" i="25"/>
  <c r="X1" i="25"/>
  <c r="Y14" i="25"/>
  <c r="A16" i="24"/>
  <c r="K15" i="24"/>
  <c r="X15" i="24"/>
  <c r="AB15" i="24"/>
  <c r="L12" i="24"/>
  <c r="L12" i="25"/>
  <c r="A17" i="24"/>
  <c r="AB16" i="24"/>
  <c r="K16" i="24"/>
  <c r="X16" i="24"/>
  <c r="A23" i="16"/>
  <c r="AB22" i="16"/>
  <c r="X22" i="16"/>
  <c r="K22" i="16"/>
  <c r="A18" i="23"/>
  <c r="K17" i="23"/>
  <c r="AB17" i="23"/>
  <c r="X17" i="23"/>
  <c r="A22" i="17"/>
  <c r="K21" i="17"/>
  <c r="X21" i="17"/>
  <c r="AB21" i="17"/>
  <c r="K20" i="18"/>
  <c r="A21" i="18"/>
  <c r="AB20" i="18"/>
  <c r="X20" i="18"/>
  <c r="A19" i="22"/>
  <c r="X18" i="22"/>
  <c r="AB18" i="22"/>
  <c r="K18" i="22"/>
  <c r="K15" i="25"/>
  <c r="AB15" i="25"/>
  <c r="X15" i="25"/>
  <c r="A16" i="25"/>
  <c r="L25" i="1"/>
  <c r="A26" i="1"/>
  <c r="K25" i="1"/>
  <c r="X25" i="1"/>
  <c r="AJ25" i="1"/>
  <c r="AK25" i="1"/>
  <c r="AB25" i="1"/>
  <c r="K23" i="15"/>
  <c r="X23" i="15"/>
  <c r="AB23" i="15"/>
  <c r="A24" i="15"/>
  <c r="X19" i="20"/>
  <c r="AB19" i="20"/>
  <c r="A20" i="20"/>
  <c r="K19" i="20"/>
  <c r="X20" i="20"/>
  <c r="K20" i="20"/>
  <c r="AB20" i="20"/>
  <c r="A21" i="20"/>
  <c r="AB26" i="1"/>
  <c r="AJ26" i="1"/>
  <c r="AK26" i="1"/>
  <c r="K26" i="1"/>
  <c r="X26" i="1"/>
  <c r="A27" i="1"/>
  <c r="L26" i="1"/>
  <c r="K19" i="22"/>
  <c r="AB19" i="22"/>
  <c r="X19" i="22"/>
  <c r="A20" i="22"/>
  <c r="AB21" i="18"/>
  <c r="A22" i="18"/>
  <c r="X21" i="18"/>
  <c r="K21" i="18"/>
  <c r="A23" i="17"/>
  <c r="K22" i="17"/>
  <c r="X22" i="17"/>
  <c r="AB22" i="17"/>
  <c r="A19" i="23"/>
  <c r="AB18" i="23"/>
  <c r="K18" i="23"/>
  <c r="X18" i="23"/>
  <c r="A24" i="16"/>
  <c r="X23" i="16"/>
  <c r="AB23" i="16"/>
  <c r="K23" i="16"/>
  <c r="AB24" i="15"/>
  <c r="K24" i="15"/>
  <c r="X24" i="15"/>
  <c r="A25" i="15"/>
  <c r="X16" i="25"/>
  <c r="AB16" i="25"/>
  <c r="A17" i="25"/>
  <c r="K16" i="25"/>
  <c r="I22" i="1"/>
  <c r="K17" i="24"/>
  <c r="X17" i="24"/>
  <c r="AB17" i="24"/>
  <c r="A18" i="24"/>
  <c r="K18" i="24"/>
  <c r="AB18" i="24"/>
  <c r="A19" i="24"/>
  <c r="X18" i="24"/>
  <c r="AB25" i="15"/>
  <c r="X25" i="15"/>
  <c r="K25" i="15"/>
  <c r="A26" i="15"/>
  <c r="K24" i="16"/>
  <c r="AB24" i="16"/>
  <c r="A25" i="16"/>
  <c r="X24" i="16"/>
  <c r="AB19" i="23"/>
  <c r="A20" i="23"/>
  <c r="X19" i="23"/>
  <c r="K19" i="23"/>
  <c r="A21" i="22"/>
  <c r="X20" i="22"/>
  <c r="AB20" i="22"/>
  <c r="K20" i="22"/>
  <c r="L27" i="1"/>
  <c r="AJ27" i="1"/>
  <c r="X27" i="1"/>
  <c r="AK27" i="1"/>
  <c r="AB27" i="1"/>
  <c r="K27" i="1"/>
  <c r="A28" i="1"/>
  <c r="AB21" i="20"/>
  <c r="K21" i="20"/>
  <c r="X21" i="20"/>
  <c r="A22" i="20"/>
  <c r="I21" i="1"/>
  <c r="X17" i="25"/>
  <c r="AB17" i="25"/>
  <c r="A18" i="25"/>
  <c r="K17" i="25"/>
  <c r="I24" i="1"/>
  <c r="AB23" i="17"/>
  <c r="X23" i="17"/>
  <c r="A24" i="17"/>
  <c r="K23" i="17"/>
  <c r="AB22" i="18"/>
  <c r="X22" i="18"/>
  <c r="A23" i="18"/>
  <c r="K22" i="18"/>
  <c r="X23" i="18"/>
  <c r="A24" i="18"/>
  <c r="K23" i="18"/>
  <c r="AB23" i="18"/>
  <c r="AB24" i="17"/>
  <c r="K24" i="17"/>
  <c r="A25" i="17"/>
  <c r="X24" i="17"/>
  <c r="A21" i="23"/>
  <c r="AB20" i="23"/>
  <c r="K20" i="23"/>
  <c r="X20" i="23"/>
  <c r="X25" i="16"/>
  <c r="AB25" i="16"/>
  <c r="A26" i="16"/>
  <c r="K25" i="16"/>
  <c r="AB26" i="15"/>
  <c r="K26" i="15"/>
  <c r="A27" i="15"/>
  <c r="X26" i="15"/>
  <c r="K18" i="25"/>
  <c r="AB18" i="25"/>
  <c r="A19" i="25"/>
  <c r="X18" i="25"/>
  <c r="X22" i="20"/>
  <c r="AB22" i="20"/>
  <c r="K22" i="20"/>
  <c r="A23" i="20"/>
  <c r="AJ28" i="1"/>
  <c r="A29" i="1"/>
  <c r="AB28" i="1"/>
  <c r="X28" i="1"/>
  <c r="K28" i="1"/>
  <c r="AK28" i="1"/>
  <c r="L28" i="1"/>
  <c r="AB21" i="22"/>
  <c r="A22" i="22"/>
  <c r="X21" i="22"/>
  <c r="K21" i="22"/>
  <c r="AB19" i="24"/>
  <c r="X19" i="24"/>
  <c r="A20" i="24"/>
  <c r="K19" i="24"/>
  <c r="K22" i="22"/>
  <c r="X22" i="22"/>
  <c r="A23" i="22"/>
  <c r="AB22" i="22"/>
  <c r="A20" i="7"/>
  <c r="L29" i="1"/>
  <c r="AJ29" i="1"/>
  <c r="K29" i="1"/>
  <c r="A30" i="1"/>
  <c r="X29" i="1"/>
  <c r="AK29" i="1"/>
  <c r="AB29" i="1"/>
  <c r="K19" i="25"/>
  <c r="A20" i="25"/>
  <c r="X19" i="25"/>
  <c r="AB19" i="25"/>
  <c r="K27" i="15"/>
  <c r="A28" i="15"/>
  <c r="AB27" i="15"/>
  <c r="X27" i="15"/>
  <c r="A27" i="16"/>
  <c r="AB26" i="16"/>
  <c r="X26" i="16"/>
  <c r="K26" i="16"/>
  <c r="I25" i="1"/>
  <c r="A26" i="17"/>
  <c r="K25" i="17"/>
  <c r="X25" i="17"/>
  <c r="AB25" i="17"/>
  <c r="AB24" i="18"/>
  <c r="X24" i="18"/>
  <c r="K24" i="18"/>
  <c r="A25" i="18"/>
  <c r="A21" i="24"/>
  <c r="K20" i="24"/>
  <c r="AB20" i="24"/>
  <c r="X20" i="24"/>
  <c r="AB23" i="20"/>
  <c r="K23" i="20"/>
  <c r="X23" i="20"/>
  <c r="A24" i="20"/>
  <c r="K21" i="23"/>
  <c r="X21" i="23"/>
  <c r="AB21" i="23"/>
  <c r="A22" i="23"/>
  <c r="I23" i="1"/>
  <c r="AB24" i="20"/>
  <c r="A25" i="20"/>
  <c r="X24" i="20"/>
  <c r="K24" i="20"/>
  <c r="X25" i="18"/>
  <c r="A26" i="18"/>
  <c r="K25" i="18"/>
  <c r="AB25" i="18"/>
  <c r="A29" i="15"/>
  <c r="X28" i="15"/>
  <c r="AB28" i="15"/>
  <c r="K28" i="15"/>
  <c r="K20" i="25"/>
  <c r="AB20" i="25"/>
  <c r="A21" i="25"/>
  <c r="X20" i="25"/>
  <c r="X30" i="1"/>
  <c r="L30" i="1"/>
  <c r="K30" i="1"/>
  <c r="A31" i="1"/>
  <c r="AB30" i="1"/>
  <c r="AK30" i="1"/>
  <c r="AJ30" i="1"/>
  <c r="B20" i="7"/>
  <c r="A23" i="23"/>
  <c r="K22" i="23"/>
  <c r="X22" i="23"/>
  <c r="AB22" i="23"/>
  <c r="A22" i="24"/>
  <c r="K21" i="24"/>
  <c r="X21" i="24"/>
  <c r="AB21" i="24"/>
  <c r="AB26" i="17"/>
  <c r="K26" i="17"/>
  <c r="X26" i="17"/>
  <c r="A27" i="17"/>
  <c r="A28" i="16"/>
  <c r="X27" i="16"/>
  <c r="K27" i="16"/>
  <c r="AB27" i="16"/>
  <c r="A24" i="22"/>
  <c r="K23" i="22"/>
  <c r="AB23" i="22"/>
  <c r="X23" i="22"/>
  <c r="K27" i="17"/>
  <c r="X27" i="17"/>
  <c r="A28" i="17"/>
  <c r="AB27" i="17"/>
  <c r="A23" i="24"/>
  <c r="X22" i="24"/>
  <c r="K22" i="24"/>
  <c r="AB22" i="24"/>
  <c r="X23" i="23"/>
  <c r="AB23" i="23"/>
  <c r="A24" i="23"/>
  <c r="K23" i="23"/>
  <c r="AJ31" i="1"/>
  <c r="AB31" i="1"/>
  <c r="K31" i="1"/>
  <c r="A32" i="1"/>
  <c r="X31" i="1"/>
  <c r="AK31" i="1"/>
  <c r="L31" i="1"/>
  <c r="AB24" i="22"/>
  <c r="X24" i="22"/>
  <c r="A25" i="22"/>
  <c r="K24" i="22"/>
  <c r="AB28" i="16"/>
  <c r="X28" i="16"/>
  <c r="A29" i="16"/>
  <c r="K28" i="16"/>
  <c r="AB21" i="25"/>
  <c r="A22" i="25"/>
  <c r="X21" i="25"/>
  <c r="K21" i="25"/>
  <c r="X29" i="15"/>
  <c r="AB29" i="15"/>
  <c r="A30" i="15"/>
  <c r="A32" i="7"/>
  <c r="K29" i="15"/>
  <c r="A27" i="18"/>
  <c r="AB26" i="18"/>
  <c r="X26" i="18"/>
  <c r="K26" i="18"/>
  <c r="K25" i="20"/>
  <c r="AB25" i="20"/>
  <c r="X25" i="20"/>
  <c r="A26" i="20"/>
  <c r="I27" i="1"/>
  <c r="I26" i="1"/>
  <c r="I28" i="1"/>
  <c r="AB27" i="18"/>
  <c r="X27" i="18"/>
  <c r="A28" i="18"/>
  <c r="K27" i="18"/>
  <c r="A31" i="15"/>
  <c r="K30" i="15"/>
  <c r="AB30" i="15"/>
  <c r="X30" i="15"/>
  <c r="X22" i="25"/>
  <c r="A23" i="25"/>
  <c r="K22" i="25"/>
  <c r="AB22" i="25"/>
  <c r="A44" i="7"/>
  <c r="A30" i="16"/>
  <c r="AB29" i="16"/>
  <c r="K29" i="16"/>
  <c r="X29" i="16"/>
  <c r="X25" i="22"/>
  <c r="AB25" i="22"/>
  <c r="K25" i="22"/>
  <c r="A26" i="22"/>
  <c r="X28" i="17"/>
  <c r="AB28" i="17"/>
  <c r="A29" i="17"/>
  <c r="K28" i="17"/>
  <c r="A27" i="20"/>
  <c r="AB26" i="20"/>
  <c r="X26" i="20"/>
  <c r="K26" i="20"/>
  <c r="AK32" i="1"/>
  <c r="X32" i="1"/>
  <c r="AB32" i="1"/>
  <c r="K32" i="1"/>
  <c r="A33" i="1"/>
  <c r="L32" i="1"/>
  <c r="AJ32" i="1"/>
  <c r="X24" i="23"/>
  <c r="AB24" i="23"/>
  <c r="A25" i="23"/>
  <c r="K24" i="23"/>
  <c r="K23" i="24"/>
  <c r="X23" i="24"/>
  <c r="A24" i="24"/>
  <c r="AB23" i="24"/>
  <c r="AB24" i="24"/>
  <c r="A25" i="24"/>
  <c r="K24" i="24"/>
  <c r="X24" i="24"/>
  <c r="K26" i="22"/>
  <c r="AB26" i="22"/>
  <c r="A27" i="22"/>
  <c r="X26" i="22"/>
  <c r="AB28" i="18"/>
  <c r="K28" i="18"/>
  <c r="A29" i="18"/>
  <c r="X28" i="18"/>
  <c r="K25" i="23"/>
  <c r="A26" i="23"/>
  <c r="X25" i="23"/>
  <c r="AB25" i="23"/>
  <c r="A34" i="1"/>
  <c r="AK33" i="1"/>
  <c r="X33" i="1"/>
  <c r="AB33" i="1"/>
  <c r="L33" i="1"/>
  <c r="K33" i="1"/>
  <c r="AJ33" i="1"/>
  <c r="K27" i="20"/>
  <c r="AB27" i="20"/>
  <c r="X27" i="20"/>
  <c r="A28" i="20"/>
  <c r="A30" i="17"/>
  <c r="AB29" i="17"/>
  <c r="K29" i="17"/>
  <c r="X29" i="17"/>
  <c r="A56" i="7"/>
  <c r="AB30" i="16"/>
  <c r="A31" i="16"/>
  <c r="K30" i="16"/>
  <c r="X30" i="16"/>
  <c r="X23" i="25"/>
  <c r="K23" i="25"/>
  <c r="A24" i="25"/>
  <c r="AB23" i="25"/>
  <c r="AB31" i="15"/>
  <c r="K31" i="15"/>
  <c r="X31" i="15"/>
  <c r="A32" i="15"/>
  <c r="I29" i="1"/>
  <c r="A25" i="25"/>
  <c r="K24" i="25"/>
  <c r="X24" i="25"/>
  <c r="AB24" i="25"/>
  <c r="AB30" i="17"/>
  <c r="X30" i="17"/>
  <c r="K30" i="17"/>
  <c r="A31" i="17"/>
  <c r="I30" i="1"/>
  <c r="AB29" i="18"/>
  <c r="X29" i="18"/>
  <c r="A68" i="7"/>
  <c r="A30" i="18"/>
  <c r="K29" i="18"/>
  <c r="K25" i="24"/>
  <c r="A26" i="24"/>
  <c r="X25" i="24"/>
  <c r="AB25" i="24"/>
  <c r="K32" i="15"/>
  <c r="X32" i="15"/>
  <c r="A33" i="15"/>
  <c r="AB32" i="15"/>
  <c r="AB31" i="16"/>
  <c r="A32" i="16"/>
  <c r="X31" i="16"/>
  <c r="K31" i="16"/>
  <c r="L31" i="16"/>
  <c r="D31" i="16" s="1"/>
  <c r="A29" i="20"/>
  <c r="AB28" i="20"/>
  <c r="X28" i="20"/>
  <c r="K28" i="20"/>
  <c r="AB34" i="1"/>
  <c r="AK34" i="1"/>
  <c r="L34" i="1"/>
  <c r="X34" i="1"/>
  <c r="AJ34" i="1"/>
  <c r="K34" i="1"/>
  <c r="A35" i="1"/>
  <c r="AB26" i="23"/>
  <c r="X26" i="23"/>
  <c r="K26" i="23"/>
  <c r="A27" i="23"/>
  <c r="X27" i="22"/>
  <c r="A28" i="22"/>
  <c r="AB27" i="22"/>
  <c r="K27" i="22"/>
  <c r="I31" i="1"/>
  <c r="X28" i="22"/>
  <c r="AB28" i="22"/>
  <c r="A29" i="22"/>
  <c r="K28" i="22"/>
  <c r="AB27" i="23"/>
  <c r="K27" i="23"/>
  <c r="A28" i="23"/>
  <c r="X27" i="23"/>
  <c r="L35" i="1"/>
  <c r="X35" i="1"/>
  <c r="A36" i="1"/>
  <c r="K35" i="1"/>
  <c r="AB35" i="1"/>
  <c r="AJ35" i="1"/>
  <c r="AK35" i="1"/>
  <c r="AE20" i="7"/>
  <c r="X29" i="20"/>
  <c r="AB29" i="20"/>
  <c r="A30" i="20"/>
  <c r="K29" i="20"/>
  <c r="X32" i="16"/>
  <c r="A33" i="16"/>
  <c r="AB32" i="16"/>
  <c r="K32" i="16"/>
  <c r="AB33" i="15"/>
  <c r="K33" i="15"/>
  <c r="A34" i="15"/>
  <c r="X33" i="15"/>
  <c r="X30" i="18"/>
  <c r="AB30" i="18"/>
  <c r="K30" i="18"/>
  <c r="A31" i="18"/>
  <c r="A32" i="17"/>
  <c r="K31" i="17"/>
  <c r="AB31" i="17"/>
  <c r="X31" i="17"/>
  <c r="K25" i="25"/>
  <c r="X25" i="25"/>
  <c r="AB25" i="25"/>
  <c r="A26" i="25"/>
  <c r="X26" i="24"/>
  <c r="K26" i="24"/>
  <c r="AB26" i="24"/>
  <c r="A27" i="24"/>
  <c r="I33" i="1"/>
  <c r="A28" i="24"/>
  <c r="K27" i="24"/>
  <c r="X27" i="24"/>
  <c r="AB27" i="24"/>
  <c r="AB32" i="17"/>
  <c r="K32" i="17"/>
  <c r="A33" i="17"/>
  <c r="X32" i="17"/>
  <c r="AB30" i="20"/>
  <c r="K30" i="20"/>
  <c r="X30" i="20"/>
  <c r="A31" i="20"/>
  <c r="AE32" i="7"/>
  <c r="A30" i="22"/>
  <c r="K29" i="22"/>
  <c r="AB29" i="22"/>
  <c r="X29" i="22"/>
  <c r="I32" i="1"/>
  <c r="X26" i="25"/>
  <c r="A27" i="25"/>
  <c r="AB26" i="25"/>
  <c r="K26" i="25"/>
  <c r="A32" i="18"/>
  <c r="K31" i="18"/>
  <c r="X31" i="18"/>
  <c r="AB31" i="18"/>
  <c r="AB34" i="15"/>
  <c r="A35" i="15"/>
  <c r="K34" i="15"/>
  <c r="X34" i="15"/>
  <c r="A34" i="16"/>
  <c r="K33" i="16"/>
  <c r="AB33" i="16"/>
  <c r="X33" i="16"/>
  <c r="AB36" i="1"/>
  <c r="L36" i="1"/>
  <c r="A37" i="1"/>
  <c r="AK36" i="1"/>
  <c r="X36" i="1"/>
  <c r="K36" i="1"/>
  <c r="AJ36" i="1"/>
  <c r="X28" i="23"/>
  <c r="A29" i="23"/>
  <c r="K28" i="23"/>
  <c r="AB28" i="23"/>
  <c r="I34" i="1"/>
  <c r="A36" i="15"/>
  <c r="K35" i="15"/>
  <c r="AB35" i="15"/>
  <c r="X35" i="15"/>
  <c r="AB32" i="18"/>
  <c r="X32" i="18"/>
  <c r="K32" i="18"/>
  <c r="A33" i="18"/>
  <c r="A32" i="20"/>
  <c r="K31" i="20"/>
  <c r="X31" i="20"/>
  <c r="AB31" i="20"/>
  <c r="AB28" i="24"/>
  <c r="K28" i="24"/>
  <c r="A29" i="24"/>
  <c r="X28" i="24"/>
  <c r="AE44" i="7"/>
  <c r="A30" i="23"/>
  <c r="K29" i="23"/>
  <c r="X29" i="23"/>
  <c r="AB29" i="23"/>
  <c r="L37" i="1"/>
  <c r="K37" i="1"/>
  <c r="AJ37" i="1"/>
  <c r="A38" i="1"/>
  <c r="AB37" i="1"/>
  <c r="AK37" i="1"/>
  <c r="X37" i="1"/>
  <c r="A35" i="16"/>
  <c r="K34" i="16"/>
  <c r="AB34" i="16"/>
  <c r="X34" i="16"/>
  <c r="X27" i="25"/>
  <c r="K27" i="25"/>
  <c r="A28" i="25"/>
  <c r="AB27" i="25"/>
  <c r="X30" i="22"/>
  <c r="A31" i="22"/>
  <c r="AB30" i="22"/>
  <c r="K30" i="22"/>
  <c r="A34" i="17"/>
  <c r="K33" i="17"/>
  <c r="X33" i="17"/>
  <c r="AB33" i="17"/>
  <c r="K31" i="22"/>
  <c r="X31" i="22"/>
  <c r="A32" i="22"/>
  <c r="AB31" i="22"/>
  <c r="K28" i="25"/>
  <c r="AB28" i="25"/>
  <c r="A29" i="25"/>
  <c r="X28" i="25"/>
  <c r="A36" i="16"/>
  <c r="AB35" i="16"/>
  <c r="X35" i="16"/>
  <c r="K35" i="16"/>
  <c r="K32" i="20"/>
  <c r="A33" i="20"/>
  <c r="AB32" i="20"/>
  <c r="X32" i="20"/>
  <c r="K36" i="15"/>
  <c r="A37" i="15"/>
  <c r="AB36" i="15"/>
  <c r="X36" i="15"/>
  <c r="K34" i="17"/>
  <c r="X34" i="17"/>
  <c r="A35" i="17"/>
  <c r="AB34" i="17"/>
  <c r="K38" i="1"/>
  <c r="X38" i="1"/>
  <c r="A39" i="1"/>
  <c r="AK38" i="1"/>
  <c r="AJ38" i="1"/>
  <c r="AB38" i="1"/>
  <c r="L38" i="1"/>
  <c r="X30" i="23"/>
  <c r="AB30" i="23"/>
  <c r="A31" i="23"/>
  <c r="K30" i="23"/>
  <c r="K29" i="24"/>
  <c r="A30" i="24"/>
  <c r="X29" i="24"/>
  <c r="AB29" i="24"/>
  <c r="AE56" i="7"/>
  <c r="A34" i="18"/>
  <c r="K33" i="18"/>
  <c r="AB33" i="18"/>
  <c r="X33" i="18"/>
  <c r="A35" i="18"/>
  <c r="X34" i="18"/>
  <c r="K34" i="18"/>
  <c r="AB34" i="18"/>
  <c r="K31" i="23"/>
  <c r="X31" i="23"/>
  <c r="A32" i="23"/>
  <c r="AB31" i="23"/>
  <c r="AJ39" i="1"/>
  <c r="A40" i="1"/>
  <c r="X39" i="1"/>
  <c r="K39" i="1"/>
  <c r="AK39" i="1"/>
  <c r="L39" i="1"/>
  <c r="AB39" i="1"/>
  <c r="A33" i="22"/>
  <c r="K32" i="22"/>
  <c r="AB32" i="22"/>
  <c r="X32" i="22"/>
  <c r="I35" i="1"/>
  <c r="A31" i="24"/>
  <c r="X30" i="24"/>
  <c r="K30" i="24"/>
  <c r="AB30" i="24"/>
  <c r="X35" i="17"/>
  <c r="A36" i="17"/>
  <c r="K35" i="17"/>
  <c r="AB35" i="17"/>
  <c r="K37" i="15"/>
  <c r="AB37" i="15"/>
  <c r="A38" i="15"/>
  <c r="X37" i="15"/>
  <c r="AB33" i="20"/>
  <c r="X33" i="20"/>
  <c r="A34" i="20"/>
  <c r="K33" i="20"/>
  <c r="K36" i="16"/>
  <c r="AB36" i="16"/>
  <c r="X36" i="16"/>
  <c r="A37" i="16"/>
  <c r="K29" i="25"/>
  <c r="X29" i="25"/>
  <c r="AB29" i="25"/>
  <c r="AE68" i="7"/>
  <c r="A30" i="25"/>
  <c r="I37" i="1"/>
  <c r="A41" i="1"/>
  <c r="L40" i="1"/>
  <c r="AB40" i="1"/>
  <c r="AK40" i="1"/>
  <c r="AJ40" i="1"/>
  <c r="K40" i="1"/>
  <c r="X40" i="1"/>
  <c r="A33" i="23"/>
  <c r="K32" i="23"/>
  <c r="X32" i="23"/>
  <c r="AB32" i="23"/>
  <c r="I36" i="1"/>
  <c r="A31" i="25"/>
  <c r="K30" i="25"/>
  <c r="AB30" i="25"/>
  <c r="X30" i="25"/>
  <c r="X36" i="17"/>
  <c r="K36" i="17"/>
  <c r="A37" i="17"/>
  <c r="AB36" i="17"/>
  <c r="X37" i="16"/>
  <c r="AB37" i="16"/>
  <c r="K37" i="16"/>
  <c r="A38" i="16"/>
  <c r="A35" i="20"/>
  <c r="X34" i="20"/>
  <c r="K34" i="20"/>
  <c r="AB34" i="20"/>
  <c r="AB38" i="15"/>
  <c r="A39" i="15"/>
  <c r="X38" i="15"/>
  <c r="K38" i="15"/>
  <c r="AB31" i="24"/>
  <c r="A32" i="24"/>
  <c r="X31" i="24"/>
  <c r="K31" i="24"/>
  <c r="X33" i="22"/>
  <c r="AB33" i="22"/>
  <c r="K33" i="22"/>
  <c r="A34" i="22"/>
  <c r="K35" i="18"/>
  <c r="X35" i="18"/>
  <c r="A36" i="18"/>
  <c r="AB35" i="18"/>
  <c r="A37" i="18"/>
  <c r="AB36" i="18"/>
  <c r="K36" i="18"/>
  <c r="X36" i="18"/>
  <c r="X34" i="22"/>
  <c r="AB34" i="22"/>
  <c r="K34" i="22"/>
  <c r="A35" i="22"/>
  <c r="K37" i="17"/>
  <c r="X37" i="17"/>
  <c r="AB37" i="17"/>
  <c r="A38" i="17"/>
  <c r="K31" i="25"/>
  <c r="AB31" i="25"/>
  <c r="X31" i="25"/>
  <c r="A32" i="25"/>
  <c r="A34" i="23"/>
  <c r="X33" i="23"/>
  <c r="AB33" i="23"/>
  <c r="K33" i="23"/>
  <c r="A33" i="24"/>
  <c r="AB32" i="24"/>
  <c r="K32" i="24"/>
  <c r="X32" i="24"/>
  <c r="X39" i="15"/>
  <c r="K39" i="15"/>
  <c r="A40" i="15"/>
  <c r="AB39" i="15"/>
  <c r="AB35" i="20"/>
  <c r="A36" i="20"/>
  <c r="K35" i="20"/>
  <c r="X35" i="20"/>
  <c r="A39" i="16"/>
  <c r="AB38" i="16"/>
  <c r="X38" i="16"/>
  <c r="K38" i="16"/>
  <c r="L41" i="1"/>
  <c r="AK41" i="1"/>
  <c r="AB41" i="1"/>
  <c r="X41" i="1"/>
  <c r="A42" i="1"/>
  <c r="AJ41" i="1"/>
  <c r="K41" i="1"/>
  <c r="I39" i="1"/>
  <c r="AB42" i="1"/>
  <c r="X42" i="1"/>
  <c r="K42" i="1"/>
  <c r="L42" i="1"/>
  <c r="A43" i="1"/>
  <c r="AK42" i="1"/>
  <c r="AJ42" i="1"/>
  <c r="AB36" i="20"/>
  <c r="K36" i="20"/>
  <c r="A37" i="20"/>
  <c r="X36" i="20"/>
  <c r="X33" i="24"/>
  <c r="AB33" i="24"/>
  <c r="K33" i="24"/>
  <c r="A34" i="24"/>
  <c r="X38" i="17"/>
  <c r="A39" i="17"/>
  <c r="K38" i="17"/>
  <c r="AB38" i="17"/>
  <c r="AB35" i="22"/>
  <c r="K35" i="22"/>
  <c r="A36" i="22"/>
  <c r="X35" i="22"/>
  <c r="A38" i="18"/>
  <c r="AB37" i="18"/>
  <c r="X37" i="18"/>
  <c r="K37" i="18"/>
  <c r="I38" i="1"/>
  <c r="A40" i="16"/>
  <c r="X39" i="16"/>
  <c r="AB39" i="16"/>
  <c r="K39" i="16"/>
  <c r="A41" i="15"/>
  <c r="K40" i="15"/>
  <c r="X40" i="15"/>
  <c r="AB40" i="15"/>
  <c r="X34" i="23"/>
  <c r="K34" i="23"/>
  <c r="AB34" i="23"/>
  <c r="A35" i="23"/>
  <c r="AB32" i="25"/>
  <c r="A33" i="25"/>
  <c r="X32" i="25"/>
  <c r="K32" i="25"/>
  <c r="K33" i="25"/>
  <c r="A34" i="25"/>
  <c r="AB33" i="25"/>
  <c r="X33" i="25"/>
  <c r="AB35" i="23"/>
  <c r="K35" i="23"/>
  <c r="A36" i="23"/>
  <c r="X35" i="23"/>
  <c r="AB36" i="22"/>
  <c r="K36" i="22"/>
  <c r="X36" i="22"/>
  <c r="A37" i="22"/>
  <c r="X34" i="24"/>
  <c r="K34" i="24"/>
  <c r="AB34" i="24"/>
  <c r="A35" i="24"/>
  <c r="X37" i="20"/>
  <c r="K37" i="20"/>
  <c r="A38" i="20"/>
  <c r="AB37" i="20"/>
  <c r="K43" i="1"/>
  <c r="A44" i="1"/>
  <c r="AK43" i="1"/>
  <c r="AB43" i="1"/>
  <c r="X43" i="1"/>
  <c r="AJ43" i="1"/>
  <c r="L43" i="1"/>
  <c r="AB41" i="15"/>
  <c r="K41" i="15"/>
  <c r="X41" i="15"/>
  <c r="A42" i="15"/>
  <c r="K40" i="16"/>
  <c r="AB40" i="16"/>
  <c r="X40" i="16"/>
  <c r="A41" i="16"/>
  <c r="A39" i="18"/>
  <c r="X38" i="18"/>
  <c r="AB38" i="18"/>
  <c r="K38" i="18"/>
  <c r="K39" i="17"/>
  <c r="A40" i="17"/>
  <c r="X39" i="17"/>
  <c r="AB39" i="17"/>
  <c r="I40" i="1"/>
  <c r="K41" i="16"/>
  <c r="A42" i="16"/>
  <c r="AB41" i="16"/>
  <c r="X41" i="16"/>
  <c r="X38" i="20"/>
  <c r="A39" i="20"/>
  <c r="K38" i="20"/>
  <c r="AB38" i="20"/>
  <c r="A36" i="24"/>
  <c r="X35" i="24"/>
  <c r="K35" i="24"/>
  <c r="AB35" i="24"/>
  <c r="AB34" i="25"/>
  <c r="A35" i="25"/>
  <c r="X34" i="25"/>
  <c r="K34" i="25"/>
  <c r="A41" i="17"/>
  <c r="X40" i="17"/>
  <c r="AB40" i="17"/>
  <c r="K40" i="17"/>
  <c r="AB39" i="18"/>
  <c r="X39" i="18"/>
  <c r="A40" i="18"/>
  <c r="K39" i="18"/>
  <c r="X42" i="15"/>
  <c r="AB42" i="15"/>
  <c r="K42" i="15"/>
  <c r="A43" i="15"/>
  <c r="K44" i="1"/>
  <c r="A45" i="1"/>
  <c r="AJ44" i="1"/>
  <c r="X44" i="1"/>
  <c r="L44" i="1"/>
  <c r="AK44" i="1"/>
  <c r="AB44" i="1"/>
  <c r="AB37" i="22"/>
  <c r="K37" i="22"/>
  <c r="X37" i="22"/>
  <c r="A38" i="22"/>
  <c r="X36" i="23"/>
  <c r="AB36" i="23"/>
  <c r="K36" i="23"/>
  <c r="A37" i="23"/>
  <c r="AJ45" i="1"/>
  <c r="K45" i="1"/>
  <c r="X45" i="1"/>
  <c r="AB45" i="1"/>
  <c r="A46" i="1"/>
  <c r="AK45" i="1"/>
  <c r="L45" i="1"/>
  <c r="AB43" i="15"/>
  <c r="A44" i="15"/>
  <c r="X43" i="15"/>
  <c r="K43" i="15"/>
  <c r="K41" i="17"/>
  <c r="A42" i="17"/>
  <c r="X41" i="17"/>
  <c r="AB41" i="17"/>
  <c r="X36" i="24"/>
  <c r="A37" i="24"/>
  <c r="K36" i="24"/>
  <c r="AB36" i="24"/>
  <c r="A40" i="20"/>
  <c r="K39" i="20"/>
  <c r="AB39" i="20"/>
  <c r="X39" i="20"/>
  <c r="A38" i="23"/>
  <c r="AB37" i="23"/>
  <c r="K37" i="23"/>
  <c r="X37" i="23"/>
  <c r="K38" i="22"/>
  <c r="X38" i="22"/>
  <c r="A39" i="22"/>
  <c r="AB38" i="22"/>
  <c r="A41" i="18"/>
  <c r="AB40" i="18"/>
  <c r="K40" i="18"/>
  <c r="X40" i="18"/>
  <c r="I41" i="1"/>
  <c r="X35" i="25"/>
  <c r="K35" i="25"/>
  <c r="A36" i="25"/>
  <c r="AB35" i="25"/>
  <c r="A43" i="16"/>
  <c r="X42" i="16"/>
  <c r="K42" i="16"/>
  <c r="AB42" i="16"/>
  <c r="X43" i="16"/>
  <c r="AB43" i="16"/>
  <c r="A44" i="16"/>
  <c r="K43" i="16"/>
  <c r="A40" i="22"/>
  <c r="K39" i="22"/>
  <c r="AB39" i="22"/>
  <c r="X39" i="22"/>
  <c r="A39" i="23"/>
  <c r="AB38" i="23"/>
  <c r="X38" i="23"/>
  <c r="K38" i="23"/>
  <c r="I42" i="1"/>
  <c r="K42" i="17"/>
  <c r="X42" i="17"/>
  <c r="AB42" i="17"/>
  <c r="A43" i="17"/>
  <c r="X44" i="15"/>
  <c r="A45" i="15"/>
  <c r="K44" i="15"/>
  <c r="AB44" i="15"/>
  <c r="X36" i="25"/>
  <c r="AB36" i="25"/>
  <c r="A37" i="25"/>
  <c r="K36" i="25"/>
  <c r="K41" i="18"/>
  <c r="X41" i="18"/>
  <c r="AB41" i="18"/>
  <c r="A42" i="18"/>
  <c r="K40" i="20"/>
  <c r="X40" i="20"/>
  <c r="A41" i="20"/>
  <c r="AB40" i="20"/>
  <c r="X37" i="24"/>
  <c r="AB37" i="24"/>
  <c r="K37" i="24"/>
  <c r="A38" i="24"/>
  <c r="AK46" i="1"/>
  <c r="AB46" i="1"/>
  <c r="A47" i="1"/>
  <c r="K46" i="1"/>
  <c r="L46" i="1"/>
  <c r="AJ46" i="1"/>
  <c r="X46" i="1"/>
  <c r="I44" i="1"/>
  <c r="K38" i="24"/>
  <c r="X38" i="24"/>
  <c r="AB38" i="24"/>
  <c r="A39" i="24"/>
  <c r="AB42" i="18"/>
  <c r="K42" i="18"/>
  <c r="X42" i="18"/>
  <c r="A43" i="18"/>
  <c r="A46" i="15"/>
  <c r="X45" i="15"/>
  <c r="K45" i="15"/>
  <c r="AB45" i="15"/>
  <c r="K40" i="22"/>
  <c r="X40" i="22"/>
  <c r="A41" i="22"/>
  <c r="AB40" i="22"/>
  <c r="A45" i="16"/>
  <c r="X44" i="16"/>
  <c r="AB44" i="16"/>
  <c r="K44" i="16"/>
  <c r="I43" i="1"/>
  <c r="A48" i="1"/>
  <c r="AB47" i="1"/>
  <c r="AK47" i="1"/>
  <c r="L47" i="1"/>
  <c r="X47" i="1"/>
  <c r="K47" i="1"/>
  <c r="AJ47" i="1"/>
  <c r="X41" i="20"/>
  <c r="K41" i="20"/>
  <c r="AB41" i="20"/>
  <c r="A42" i="20"/>
  <c r="K37" i="25"/>
  <c r="A38" i="25"/>
  <c r="X37" i="25"/>
  <c r="AB37" i="25"/>
  <c r="AB43" i="17"/>
  <c r="X43" i="17"/>
  <c r="A44" i="17"/>
  <c r="K43" i="17"/>
  <c r="A40" i="23"/>
  <c r="AB39" i="23"/>
  <c r="K39" i="23"/>
  <c r="X39" i="23"/>
  <c r="X38" i="25"/>
  <c r="K38" i="25"/>
  <c r="AB38" i="25"/>
  <c r="A39" i="25"/>
  <c r="X42" i="20"/>
  <c r="A43" i="20"/>
  <c r="AB42" i="20"/>
  <c r="K42" i="20"/>
  <c r="AB46" i="15"/>
  <c r="K46" i="15"/>
  <c r="X46" i="15"/>
  <c r="A47" i="15"/>
  <c r="AB43" i="18"/>
  <c r="K43" i="18"/>
  <c r="X43" i="18"/>
  <c r="A44" i="18"/>
  <c r="A41" i="23"/>
  <c r="K40" i="23"/>
  <c r="X40" i="23"/>
  <c r="AB40" i="23"/>
  <c r="AB44" i="17"/>
  <c r="X44" i="17"/>
  <c r="A45" i="17"/>
  <c r="K44" i="17"/>
  <c r="X48" i="1"/>
  <c r="L48" i="1"/>
  <c r="AJ48" i="1"/>
  <c r="AB48" i="1"/>
  <c r="K48" i="1"/>
  <c r="A49" i="1"/>
  <c r="AK48" i="1"/>
  <c r="A46" i="16"/>
  <c r="K45" i="16"/>
  <c r="AB45" i="16"/>
  <c r="X45" i="16"/>
  <c r="A42" i="22"/>
  <c r="AB41" i="22"/>
  <c r="K41" i="22"/>
  <c r="X41" i="22"/>
  <c r="I45" i="1"/>
  <c r="X39" i="24"/>
  <c r="A40" i="24"/>
  <c r="K39" i="24"/>
  <c r="AB39" i="24"/>
  <c r="K42" i="22"/>
  <c r="AB42" i="22"/>
  <c r="A43" i="22"/>
  <c r="X42" i="22"/>
  <c r="K49" i="1"/>
  <c r="AB49" i="1"/>
  <c r="A50" i="1"/>
  <c r="AK49" i="1"/>
  <c r="L49" i="1"/>
  <c r="AJ49" i="1"/>
  <c r="X49" i="1"/>
  <c r="AB45" i="17"/>
  <c r="K45" i="17"/>
  <c r="X45" i="17"/>
  <c r="A46" i="17"/>
  <c r="I46" i="1"/>
  <c r="AB43" i="20"/>
  <c r="K43" i="20"/>
  <c r="X43" i="20"/>
  <c r="A44" i="20"/>
  <c r="AB39" i="25"/>
  <c r="K39" i="25"/>
  <c r="X39" i="25"/>
  <c r="A40" i="25"/>
  <c r="AB40" i="24"/>
  <c r="K40" i="24"/>
  <c r="A41" i="24"/>
  <c r="X40" i="24"/>
  <c r="K46" i="16"/>
  <c r="A47" i="16"/>
  <c r="X46" i="16"/>
  <c r="AB46" i="16"/>
  <c r="K41" i="23"/>
  <c r="A42" i="23"/>
  <c r="AB41" i="23"/>
  <c r="X41" i="23"/>
  <c r="K44" i="18"/>
  <c r="X44" i="18"/>
  <c r="AB44" i="18"/>
  <c r="A45" i="18"/>
  <c r="K47" i="15"/>
  <c r="A48" i="15"/>
  <c r="AB47" i="15"/>
  <c r="X47" i="15"/>
  <c r="I47" i="1"/>
  <c r="A46" i="18"/>
  <c r="AB45" i="18"/>
  <c r="X45" i="18"/>
  <c r="K45" i="18"/>
  <c r="AB47" i="16"/>
  <c r="K47" i="16"/>
  <c r="A48" i="16"/>
  <c r="X47" i="16"/>
  <c r="K46" i="17"/>
  <c r="AB46" i="17"/>
  <c r="X46" i="17"/>
  <c r="A47" i="17"/>
  <c r="AB43" i="22"/>
  <c r="X43" i="22"/>
  <c r="K43" i="22"/>
  <c r="A44" i="22"/>
  <c r="AB48" i="15"/>
  <c r="A49" i="15"/>
  <c r="K48" i="15"/>
  <c r="X48" i="15"/>
  <c r="X42" i="23"/>
  <c r="AB42" i="23"/>
  <c r="A43" i="23"/>
  <c r="K42" i="23"/>
  <c r="X41" i="24"/>
  <c r="A42" i="24"/>
  <c r="K41" i="24"/>
  <c r="AB41" i="24"/>
  <c r="AB40" i="25"/>
  <c r="K40" i="25"/>
  <c r="A41" i="25"/>
  <c r="X40" i="25"/>
  <c r="X44" i="20"/>
  <c r="A45" i="20"/>
  <c r="K44" i="20"/>
  <c r="AB44" i="20"/>
  <c r="A51" i="1"/>
  <c r="K50" i="1"/>
  <c r="AK50" i="1"/>
  <c r="X50" i="1"/>
  <c r="AB50" i="1"/>
  <c r="L50" i="1"/>
  <c r="AJ50" i="1"/>
  <c r="X51" i="1"/>
  <c r="L51" i="1"/>
  <c r="AK51" i="1"/>
  <c r="A52" i="1"/>
  <c r="K51" i="1"/>
  <c r="AB51" i="1"/>
  <c r="AJ51" i="1"/>
  <c r="A46" i="20"/>
  <c r="K45" i="20"/>
  <c r="X45" i="20"/>
  <c r="AB45" i="20"/>
  <c r="K42" i="24"/>
  <c r="A43" i="24"/>
  <c r="X42" i="24"/>
  <c r="AB42" i="24"/>
  <c r="A44" i="23"/>
  <c r="AB43" i="23"/>
  <c r="X43" i="23"/>
  <c r="K43" i="23"/>
  <c r="A50" i="15"/>
  <c r="AB49" i="15"/>
  <c r="K49" i="15"/>
  <c r="X49" i="15"/>
  <c r="AB44" i="22"/>
  <c r="K44" i="22"/>
  <c r="A45" i="22"/>
  <c r="X44" i="22"/>
  <c r="A47" i="18"/>
  <c r="AB46" i="18"/>
  <c r="X46" i="18"/>
  <c r="K46" i="18"/>
  <c r="A42" i="25"/>
  <c r="X41" i="25"/>
  <c r="AB41" i="25"/>
  <c r="K41" i="25"/>
  <c r="AB47" i="17"/>
  <c r="X47" i="17"/>
  <c r="L47" i="17"/>
  <c r="D47" i="17" s="1"/>
  <c r="A48" i="17"/>
  <c r="K47" i="17"/>
  <c r="A49" i="16"/>
  <c r="K48" i="16"/>
  <c r="X48" i="16"/>
  <c r="AB48" i="16"/>
  <c r="AB47" i="18"/>
  <c r="X47" i="18"/>
  <c r="A48" i="18"/>
  <c r="K47" i="18"/>
  <c r="K50" i="15"/>
  <c r="A51" i="15"/>
  <c r="AB50" i="15"/>
  <c r="X50" i="15"/>
  <c r="K44" i="23"/>
  <c r="AB44" i="23"/>
  <c r="A45" i="23"/>
  <c r="X44" i="23"/>
  <c r="AB43" i="24"/>
  <c r="X43" i="24"/>
  <c r="K43" i="24"/>
  <c r="A44" i="24"/>
  <c r="I48" i="1"/>
  <c r="X49" i="16"/>
  <c r="A50" i="16"/>
  <c r="AB49" i="16"/>
  <c r="K49" i="16"/>
  <c r="A49" i="17"/>
  <c r="AB48" i="17"/>
  <c r="X48" i="17"/>
  <c r="K48" i="17"/>
  <c r="AB42" i="25"/>
  <c r="K42" i="25"/>
  <c r="X42" i="25"/>
  <c r="A43" i="25"/>
  <c r="AB45" i="22"/>
  <c r="A46" i="22"/>
  <c r="X45" i="22"/>
  <c r="K45" i="22"/>
  <c r="K46" i="20"/>
  <c r="AB46" i="20"/>
  <c r="X46" i="20"/>
  <c r="A47" i="20"/>
  <c r="AK52" i="1"/>
  <c r="X52" i="1"/>
  <c r="K52" i="1"/>
  <c r="L52" i="1"/>
  <c r="AB52" i="1"/>
  <c r="A53" i="1"/>
  <c r="AJ52" i="1"/>
  <c r="AB53" i="1"/>
  <c r="A54" i="1"/>
  <c r="X53" i="1"/>
  <c r="AK53" i="1"/>
  <c r="K53" i="1"/>
  <c r="L53" i="1"/>
  <c r="AJ53" i="1"/>
  <c r="K47" i="20"/>
  <c r="L47" i="20"/>
  <c r="AB47" i="20"/>
  <c r="A48" i="20"/>
  <c r="X47" i="20"/>
  <c r="X43" i="25"/>
  <c r="AB43" i="25"/>
  <c r="L43" i="25"/>
  <c r="K43" i="25"/>
  <c r="A44" i="25"/>
  <c r="K44" i="24"/>
  <c r="X44" i="24"/>
  <c r="A45" i="24"/>
  <c r="AB44" i="24"/>
  <c r="AB45" i="23"/>
  <c r="A46" i="23"/>
  <c r="K45" i="23"/>
  <c r="X45" i="23"/>
  <c r="K51" i="15"/>
  <c r="AB51" i="15"/>
  <c r="A52" i="15"/>
  <c r="X51" i="15"/>
  <c r="I49" i="1"/>
  <c r="AB46" i="22"/>
  <c r="K46" i="22"/>
  <c r="A47" i="22"/>
  <c r="X46" i="22"/>
  <c r="AB49" i="17"/>
  <c r="K49" i="17"/>
  <c r="X49" i="17"/>
  <c r="A50" i="17"/>
  <c r="K50" i="16"/>
  <c r="A51" i="16"/>
  <c r="X50" i="16"/>
  <c r="AB50" i="16"/>
  <c r="X48" i="18"/>
  <c r="A49" i="18"/>
  <c r="AB48" i="18"/>
  <c r="K48" i="18"/>
  <c r="X49" i="18"/>
  <c r="A50" i="18"/>
  <c r="K49" i="18"/>
  <c r="AB49" i="18"/>
  <c r="K46" i="23"/>
  <c r="A47" i="23"/>
  <c r="L46" i="23"/>
  <c r="AB46" i="23"/>
  <c r="X46" i="23"/>
  <c r="X45" i="24"/>
  <c r="K45" i="24"/>
  <c r="AB45" i="24"/>
  <c r="A46" i="24"/>
  <c r="A45" i="25"/>
  <c r="X44" i="25"/>
  <c r="K44" i="25"/>
  <c r="AB44" i="25"/>
  <c r="I50" i="1"/>
  <c r="A52" i="16"/>
  <c r="K51" i="16"/>
  <c r="X51" i="16"/>
  <c r="AB51" i="16"/>
  <c r="AB50" i="17"/>
  <c r="X50" i="17"/>
  <c r="K50" i="17"/>
  <c r="A51" i="17"/>
  <c r="A48" i="22"/>
  <c r="K47" i="22"/>
  <c r="X47" i="22"/>
  <c r="AB47" i="22"/>
  <c r="AB52" i="15"/>
  <c r="K52" i="15"/>
  <c r="X52" i="15"/>
  <c r="A53" i="15"/>
  <c r="AB48" i="20"/>
  <c r="K48" i="20"/>
  <c r="A49" i="20"/>
  <c r="X48" i="20"/>
  <c r="AK54" i="1"/>
  <c r="A55" i="1"/>
  <c r="K54" i="1"/>
  <c r="X54" i="1"/>
  <c r="AB54" i="1"/>
  <c r="AJ54" i="1"/>
  <c r="L54" i="1"/>
  <c r="A56" i="1"/>
  <c r="K55" i="1"/>
  <c r="X55" i="1"/>
  <c r="AK55" i="1"/>
  <c r="AB55" i="1"/>
  <c r="AJ55" i="1"/>
  <c r="L55" i="1"/>
  <c r="K49" i="20"/>
  <c r="A50" i="20"/>
  <c r="X49" i="20"/>
  <c r="AB49" i="20"/>
  <c r="AB53" i="15"/>
  <c r="A54" i="15"/>
  <c r="X53" i="15"/>
  <c r="K53" i="15"/>
  <c r="AB48" i="22"/>
  <c r="X48" i="22"/>
  <c r="K48" i="22"/>
  <c r="A49" i="22"/>
  <c r="AB51" i="17"/>
  <c r="X51" i="17"/>
  <c r="A52" i="17"/>
  <c r="K51" i="17"/>
  <c r="A46" i="25"/>
  <c r="AB45" i="25"/>
  <c r="X45" i="25"/>
  <c r="K45" i="25"/>
  <c r="A47" i="24"/>
  <c r="X46" i="24"/>
  <c r="K46" i="24"/>
  <c r="AB46" i="24"/>
  <c r="I51" i="1"/>
  <c r="X52" i="16"/>
  <c r="AB52" i="16"/>
  <c r="A53" i="16"/>
  <c r="K52" i="16"/>
  <c r="AB47" i="23"/>
  <c r="K47" i="23"/>
  <c r="X47" i="23"/>
  <c r="A48" i="23"/>
  <c r="A51" i="18"/>
  <c r="K50" i="18"/>
  <c r="X50" i="18"/>
  <c r="AB50" i="18"/>
  <c r="A49" i="23"/>
  <c r="K48" i="23"/>
  <c r="AB48" i="23"/>
  <c r="X48" i="23"/>
  <c r="A54" i="16"/>
  <c r="AB53" i="16"/>
  <c r="K53" i="16"/>
  <c r="X53" i="16"/>
  <c r="K47" i="24"/>
  <c r="A48" i="24"/>
  <c r="X47" i="24"/>
  <c r="AB47" i="24"/>
  <c r="X49" i="22"/>
  <c r="AB49" i="22"/>
  <c r="K49" i="22"/>
  <c r="A50" i="22"/>
  <c r="K51" i="18"/>
  <c r="AB51" i="18"/>
  <c r="X51" i="18"/>
  <c r="A52" i="18"/>
  <c r="I52" i="1"/>
  <c r="I53" i="1"/>
  <c r="K46" i="25"/>
  <c r="AB46" i="25"/>
  <c r="X46" i="25"/>
  <c r="A47" i="25"/>
  <c r="X52" i="17"/>
  <c r="A53" i="17"/>
  <c r="K52" i="17"/>
  <c r="AB52" i="17"/>
  <c r="A55" i="15"/>
  <c r="K54" i="15"/>
  <c r="X54" i="15"/>
  <c r="AB54" i="15"/>
  <c r="K50" i="20"/>
  <c r="AB50" i="20"/>
  <c r="A51" i="20"/>
  <c r="X50" i="20"/>
  <c r="L56" i="1"/>
  <c r="K56" i="1"/>
  <c r="X56" i="1"/>
  <c r="AK56" i="1"/>
  <c r="A57" i="1"/>
  <c r="AB56" i="1"/>
  <c r="AJ56" i="1"/>
  <c r="X51" i="20"/>
  <c r="A52" i="20"/>
  <c r="K51" i="20"/>
  <c r="AB51" i="20"/>
  <c r="X47" i="25"/>
  <c r="AB47" i="25"/>
  <c r="A48" i="25"/>
  <c r="K47" i="25"/>
  <c r="K52" i="18"/>
  <c r="A53" i="18"/>
  <c r="X52" i="18"/>
  <c r="AB52" i="18"/>
  <c r="AB54" i="16"/>
  <c r="K54" i="16"/>
  <c r="A55" i="16"/>
  <c r="X54" i="16"/>
  <c r="I54" i="1"/>
  <c r="A58" i="1"/>
  <c r="AK57" i="1"/>
  <c r="L57" i="1"/>
  <c r="K57" i="1"/>
  <c r="AJ57" i="1"/>
  <c r="X57" i="1"/>
  <c r="AB57" i="1"/>
  <c r="AB55" i="15"/>
  <c r="X55" i="15"/>
  <c r="A56" i="15"/>
  <c r="K55" i="15"/>
  <c r="AB53" i="17"/>
  <c r="X53" i="17"/>
  <c r="K53" i="17"/>
  <c r="A54" i="17"/>
  <c r="K50" i="22"/>
  <c r="AB50" i="22"/>
  <c r="A51" i="22"/>
  <c r="X50" i="22"/>
  <c r="AB48" i="24"/>
  <c r="A49" i="24"/>
  <c r="X48" i="24"/>
  <c r="K48" i="24"/>
  <c r="AB49" i="23"/>
  <c r="A50" i="23"/>
  <c r="X49" i="23"/>
  <c r="K49" i="23"/>
  <c r="A52" i="22"/>
  <c r="AB51" i="22"/>
  <c r="X51" i="22"/>
  <c r="K51" i="22"/>
  <c r="X54" i="17"/>
  <c r="AB54" i="17"/>
  <c r="A55" i="17"/>
  <c r="K54" i="17"/>
  <c r="A57" i="15"/>
  <c r="AB56" i="15"/>
  <c r="X56" i="15"/>
  <c r="K56" i="15"/>
  <c r="K55" i="16"/>
  <c r="AB55" i="16"/>
  <c r="X55" i="16"/>
  <c r="A56" i="16"/>
  <c r="AB53" i="18"/>
  <c r="K53" i="18"/>
  <c r="X53" i="18"/>
  <c r="A54" i="18"/>
  <c r="A53" i="20"/>
  <c r="X52" i="20"/>
  <c r="AB52" i="20"/>
  <c r="K52" i="20"/>
  <c r="K50" i="23"/>
  <c r="A51" i="23"/>
  <c r="AB50" i="23"/>
  <c r="X50" i="23"/>
  <c r="K49" i="24"/>
  <c r="A50" i="24"/>
  <c r="AB49" i="24"/>
  <c r="X49" i="24"/>
  <c r="AJ58" i="1"/>
  <c r="K58" i="1"/>
  <c r="AB58" i="1"/>
  <c r="AK58" i="1"/>
  <c r="A59" i="1"/>
  <c r="X58" i="1"/>
  <c r="L58" i="1"/>
  <c r="X48" i="25"/>
  <c r="AB48" i="25"/>
  <c r="K48" i="25"/>
  <c r="A49" i="25"/>
  <c r="X49" i="25"/>
  <c r="K49" i="25"/>
  <c r="AB49" i="25"/>
  <c r="A50" i="25"/>
  <c r="K50" i="24"/>
  <c r="AB50" i="24"/>
  <c r="X50" i="24"/>
  <c r="A51" i="24"/>
  <c r="A52" i="23"/>
  <c r="X51" i="23"/>
  <c r="AB51" i="23"/>
  <c r="K51" i="23"/>
  <c r="K56" i="16"/>
  <c r="AB56" i="16"/>
  <c r="X56" i="16"/>
  <c r="A57" i="16"/>
  <c r="AB57" i="15"/>
  <c r="K57" i="15"/>
  <c r="X57" i="15"/>
  <c r="A58" i="15"/>
  <c r="AB55" i="17"/>
  <c r="K55" i="17"/>
  <c r="A56" i="17"/>
  <c r="X55" i="17"/>
  <c r="X52" i="22"/>
  <c r="A53" i="22"/>
  <c r="AB52" i="22"/>
  <c r="K52" i="22"/>
  <c r="I55" i="1"/>
  <c r="AK59" i="1"/>
  <c r="L59" i="1"/>
  <c r="A60" i="1"/>
  <c r="AJ59" i="1"/>
  <c r="K59" i="1"/>
  <c r="X59" i="1"/>
  <c r="AB59" i="1"/>
  <c r="A54" i="20"/>
  <c r="K53" i="20"/>
  <c r="X53" i="20"/>
  <c r="AB53" i="20"/>
  <c r="K54" i="18"/>
  <c r="X54" i="18"/>
  <c r="A55" i="18"/>
  <c r="AB54" i="18"/>
  <c r="A56" i="18"/>
  <c r="K55" i="18"/>
  <c r="X55" i="18"/>
  <c r="AB55" i="18"/>
  <c r="K54" i="20"/>
  <c r="X54" i="20"/>
  <c r="AB54" i="20"/>
  <c r="A55" i="20"/>
  <c r="X60" i="1"/>
  <c r="AJ60" i="1"/>
  <c r="A61" i="1"/>
  <c r="AB60" i="1"/>
  <c r="A21" i="7"/>
  <c r="AK60" i="1"/>
  <c r="L60" i="1"/>
  <c r="B21" i="7" s="1"/>
  <c r="K60" i="1"/>
  <c r="K53" i="22"/>
  <c r="X53" i="22"/>
  <c r="A54" i="22"/>
  <c r="AB53" i="22"/>
  <c r="A59" i="15"/>
  <c r="AB58" i="15"/>
  <c r="L58" i="15"/>
  <c r="D58" i="15" s="1"/>
  <c r="K58" i="15"/>
  <c r="X58" i="15"/>
  <c r="X52" i="23"/>
  <c r="A53" i="23"/>
  <c r="AB52" i="23"/>
  <c r="K52" i="23"/>
  <c r="I56" i="1"/>
  <c r="K56" i="17"/>
  <c r="X56" i="17"/>
  <c r="A57" i="17"/>
  <c r="AB56" i="17"/>
  <c r="A58" i="16"/>
  <c r="AB57" i="16"/>
  <c r="X57" i="16"/>
  <c r="K57" i="16"/>
  <c r="K51" i="24"/>
  <c r="X51" i="24"/>
  <c r="A52" i="24"/>
  <c r="AB51" i="24"/>
  <c r="A51" i="25"/>
  <c r="K50" i="25"/>
  <c r="AB50" i="25"/>
  <c r="X50" i="25"/>
  <c r="K57" i="17"/>
  <c r="X57" i="17"/>
  <c r="A58" i="17"/>
  <c r="AB57" i="17"/>
  <c r="A55" i="22"/>
  <c r="K54" i="22"/>
  <c r="AB54" i="22"/>
  <c r="X54" i="22"/>
  <c r="AB61" i="1"/>
  <c r="L61" i="1"/>
  <c r="K61" i="1"/>
  <c r="AJ61" i="1"/>
  <c r="A62" i="1"/>
  <c r="AK61" i="1"/>
  <c r="X61" i="1"/>
  <c r="A57" i="18"/>
  <c r="X56" i="18"/>
  <c r="K56" i="18"/>
  <c r="AB56" i="18"/>
  <c r="I57" i="1"/>
  <c r="A52" i="25"/>
  <c r="K51" i="25"/>
  <c r="X51" i="25"/>
  <c r="AB51" i="25"/>
  <c r="A53" i="24"/>
  <c r="AB52" i="24"/>
  <c r="X52" i="24"/>
  <c r="K52" i="24"/>
  <c r="K58" i="16"/>
  <c r="X58" i="16"/>
  <c r="A59" i="16"/>
  <c r="AB58" i="16"/>
  <c r="AB53" i="23"/>
  <c r="A54" i="23"/>
  <c r="K53" i="23"/>
  <c r="X53" i="23"/>
  <c r="K59" i="15"/>
  <c r="X59" i="15"/>
  <c r="AB59" i="15"/>
  <c r="A60" i="15"/>
  <c r="K55" i="20"/>
  <c r="X55" i="20"/>
  <c r="A56" i="20"/>
  <c r="AB55" i="20"/>
  <c r="A33" i="7"/>
  <c r="K60" i="15"/>
  <c r="AB60" i="15"/>
  <c r="A61" i="15"/>
  <c r="X60" i="15"/>
  <c r="K56" i="20"/>
  <c r="A57" i="20"/>
  <c r="X56" i="20"/>
  <c r="AB56" i="20"/>
  <c r="AB54" i="23"/>
  <c r="A55" i="23"/>
  <c r="L54" i="23"/>
  <c r="X54" i="23"/>
  <c r="K54" i="23"/>
  <c r="X59" i="16"/>
  <c r="K59" i="16"/>
  <c r="A60" i="16"/>
  <c r="AB59" i="16"/>
  <c r="A54" i="24"/>
  <c r="AB53" i="24"/>
  <c r="X53" i="24"/>
  <c r="K53" i="24"/>
  <c r="K57" i="18"/>
  <c r="AB57" i="18"/>
  <c r="A58" i="18"/>
  <c r="X57" i="18"/>
  <c r="X62" i="1"/>
  <c r="AJ62" i="1"/>
  <c r="AK62" i="1"/>
  <c r="AB62" i="1"/>
  <c r="A63" i="1"/>
  <c r="L62" i="1"/>
  <c r="K62" i="1"/>
  <c r="K55" i="22"/>
  <c r="L55" i="22"/>
  <c r="A56" i="22"/>
  <c r="AB55" i="22"/>
  <c r="X55" i="22"/>
  <c r="AB58" i="17"/>
  <c r="A59" i="17"/>
  <c r="X58" i="17"/>
  <c r="K58" i="17"/>
  <c r="I58" i="1"/>
  <c r="I59" i="1"/>
  <c r="X52" i="25"/>
  <c r="A53" i="25"/>
  <c r="K52" i="25"/>
  <c r="AB52" i="25"/>
  <c r="K53" i="25"/>
  <c r="A54" i="25"/>
  <c r="X53" i="25"/>
  <c r="AB53" i="25"/>
  <c r="A60" i="17"/>
  <c r="AB59" i="17"/>
  <c r="X59" i="17"/>
  <c r="K59" i="17"/>
  <c r="K56" i="22"/>
  <c r="AB56" i="22"/>
  <c r="X56" i="22"/>
  <c r="A57" i="22"/>
  <c r="K63" i="1"/>
  <c r="AB63" i="1"/>
  <c r="A64" i="1"/>
  <c r="X63" i="1"/>
  <c r="AJ63" i="1"/>
  <c r="AK63" i="1"/>
  <c r="L63" i="1"/>
  <c r="X54" i="24"/>
  <c r="A55" i="24"/>
  <c r="AB54" i="24"/>
  <c r="K54" i="24"/>
  <c r="K60" i="16"/>
  <c r="A61" i="16"/>
  <c r="AB60" i="16"/>
  <c r="X60" i="16"/>
  <c r="A45" i="7"/>
  <c r="X61" i="15"/>
  <c r="A62" i="15"/>
  <c r="K61" i="15"/>
  <c r="L61" i="15"/>
  <c r="D61" i="15" s="1"/>
  <c r="AB61" i="15"/>
  <c r="A59" i="18"/>
  <c r="K58" i="18"/>
  <c r="AB58" i="18"/>
  <c r="X58" i="18"/>
  <c r="X55" i="23"/>
  <c r="K55" i="23"/>
  <c r="AB55" i="23"/>
  <c r="A56" i="23"/>
  <c r="A58" i="20"/>
  <c r="X57" i="20"/>
  <c r="K57" i="20"/>
  <c r="AB57" i="20"/>
  <c r="K56" i="23"/>
  <c r="A57" i="23"/>
  <c r="X56" i="23"/>
  <c r="AB56" i="23"/>
  <c r="K58" i="20"/>
  <c r="X58" i="20"/>
  <c r="A59" i="20"/>
  <c r="AB58" i="20"/>
  <c r="A60" i="18"/>
  <c r="X59" i="18"/>
  <c r="K59" i="18"/>
  <c r="AB59" i="18"/>
  <c r="A62" i="16"/>
  <c r="AB61" i="16"/>
  <c r="X61" i="16"/>
  <c r="K61" i="16"/>
  <c r="X57" i="22"/>
  <c r="K57" i="22"/>
  <c r="A58" i="22"/>
  <c r="AB57" i="22"/>
  <c r="I60" i="1"/>
  <c r="A63" i="15"/>
  <c r="K62" i="15"/>
  <c r="AB62" i="15"/>
  <c r="X62" i="15"/>
  <c r="AB55" i="24"/>
  <c r="A56" i="24"/>
  <c r="K55" i="24"/>
  <c r="X55" i="24"/>
  <c r="A65" i="1"/>
  <c r="AK64" i="1"/>
  <c r="K64" i="1"/>
  <c r="X64" i="1"/>
  <c r="L64" i="1"/>
  <c r="AJ64" i="1"/>
  <c r="AB64" i="1"/>
  <c r="K60" i="17"/>
  <c r="X60" i="17"/>
  <c r="A57" i="7"/>
  <c r="A61" i="17"/>
  <c r="AB60" i="17"/>
  <c r="A55" i="25"/>
  <c r="K54" i="25"/>
  <c r="AB54" i="25"/>
  <c r="X54" i="25"/>
  <c r="X55" i="25"/>
  <c r="AB55" i="25"/>
  <c r="A56" i="25"/>
  <c r="K55" i="25"/>
  <c r="K58" i="22"/>
  <c r="X58" i="22"/>
  <c r="AB58" i="22"/>
  <c r="A59" i="22"/>
  <c r="X62" i="16"/>
  <c r="A63" i="16"/>
  <c r="K62" i="16"/>
  <c r="AB62" i="16"/>
  <c r="K59" i="20"/>
  <c r="AB59" i="20"/>
  <c r="A60" i="20"/>
  <c r="X59" i="20"/>
  <c r="L59" i="20"/>
  <c r="I61" i="1"/>
  <c r="A62" i="17"/>
  <c r="AB61" i="17"/>
  <c r="X61" i="17"/>
  <c r="K61" i="17"/>
  <c r="X65" i="1"/>
  <c r="AB65" i="1"/>
  <c r="A66" i="1"/>
  <c r="L65" i="1"/>
  <c r="K65" i="1"/>
  <c r="AK65" i="1"/>
  <c r="AJ65" i="1"/>
  <c r="K56" i="24"/>
  <c r="X56" i="24"/>
  <c r="A57" i="24"/>
  <c r="AB56" i="24"/>
  <c r="A64" i="15"/>
  <c r="AB63" i="15"/>
  <c r="K63" i="15"/>
  <c r="X63" i="15"/>
  <c r="A61" i="18"/>
  <c r="A69" i="7"/>
  <c r="X60" i="18"/>
  <c r="AB60" i="18"/>
  <c r="K60" i="18"/>
  <c r="X57" i="23"/>
  <c r="K57" i="23"/>
  <c r="AB57" i="23"/>
  <c r="A58" i="23"/>
  <c r="K64" i="15"/>
  <c r="AB64" i="15"/>
  <c r="X64" i="15"/>
  <c r="A65" i="15"/>
  <c r="X62" i="17"/>
  <c r="K62" i="17"/>
  <c r="A63" i="17"/>
  <c r="AB62" i="17"/>
  <c r="AB56" i="25"/>
  <c r="X56" i="25"/>
  <c r="L56" i="25"/>
  <c r="A57" i="25"/>
  <c r="K56" i="25"/>
  <c r="I62" i="1"/>
  <c r="L58" i="23"/>
  <c r="X58" i="23"/>
  <c r="K58" i="23"/>
  <c r="AB58" i="23"/>
  <c r="A59" i="23"/>
  <c r="K61" i="18"/>
  <c r="X61" i="18"/>
  <c r="AB61" i="18"/>
  <c r="A62" i="18"/>
  <c r="K57" i="24"/>
  <c r="AB57" i="24"/>
  <c r="A58" i="24"/>
  <c r="X57" i="24"/>
  <c r="L66" i="1"/>
  <c r="AB66" i="1"/>
  <c r="AK66" i="1"/>
  <c r="A67" i="1"/>
  <c r="AJ66" i="1"/>
  <c r="X66" i="1"/>
  <c r="K66" i="1"/>
  <c r="AE21" i="7"/>
  <c r="X60" i="20"/>
  <c r="K60" i="20"/>
  <c r="AB60" i="20"/>
  <c r="A61" i="20"/>
  <c r="A64" i="16"/>
  <c r="K63" i="16"/>
  <c r="X63" i="16"/>
  <c r="AB63" i="16"/>
  <c r="X59" i="22"/>
  <c r="A60" i="22"/>
  <c r="AB59" i="22"/>
  <c r="K59" i="22"/>
  <c r="A63" i="18"/>
  <c r="X62" i="18"/>
  <c r="AB62" i="18"/>
  <c r="K62" i="18"/>
  <c r="A58" i="25"/>
  <c r="AB57" i="25"/>
  <c r="K57" i="25"/>
  <c r="X57" i="25"/>
  <c r="K65" i="15"/>
  <c r="L65" i="15"/>
  <c r="D65" i="15" s="1"/>
  <c r="AB65" i="15"/>
  <c r="A66" i="15"/>
  <c r="X65" i="15"/>
  <c r="I63" i="1"/>
  <c r="K60" i="22"/>
  <c r="AE33" i="7"/>
  <c r="A61" i="22"/>
  <c r="X60" i="22"/>
  <c r="AB60" i="22"/>
  <c r="L60" i="22"/>
  <c r="AF33" i="7" s="1"/>
  <c r="X64" i="16"/>
  <c r="K64" i="16"/>
  <c r="AB64" i="16"/>
  <c r="A65" i="16"/>
  <c r="A62" i="20"/>
  <c r="X61" i="20"/>
  <c r="AB61" i="20"/>
  <c r="K61" i="20"/>
  <c r="I64" i="1"/>
  <c r="X67" i="1"/>
  <c r="A68" i="1"/>
  <c r="L67" i="1"/>
  <c r="K67" i="1"/>
  <c r="AB67" i="1"/>
  <c r="AK67" i="1"/>
  <c r="AJ67" i="1"/>
  <c r="K58" i="24"/>
  <c r="AB58" i="24"/>
  <c r="A59" i="24"/>
  <c r="X58" i="24"/>
  <c r="A60" i="23"/>
  <c r="AB59" i="23"/>
  <c r="L59" i="23"/>
  <c r="X59" i="23"/>
  <c r="K59" i="23"/>
  <c r="X63" i="17"/>
  <c r="L63" i="17"/>
  <c r="D63" i="17" s="1"/>
  <c r="A64" i="17"/>
  <c r="K63" i="17"/>
  <c r="AB63" i="17"/>
  <c r="A61" i="23"/>
  <c r="X60" i="23"/>
  <c r="K60" i="23"/>
  <c r="AE45" i="7"/>
  <c r="AB60" i="23"/>
  <c r="AB65" i="16"/>
  <c r="A66" i="16"/>
  <c r="K65" i="16"/>
  <c r="X65" i="16"/>
  <c r="K66" i="15"/>
  <c r="AB66" i="15"/>
  <c r="A67" i="15"/>
  <c r="X66" i="15"/>
  <c r="L66" i="15"/>
  <c r="D66" i="15" s="1"/>
  <c r="AB63" i="18"/>
  <c r="A64" i="18"/>
  <c r="X63" i="18"/>
  <c r="K63" i="18"/>
  <c r="X64" i="17"/>
  <c r="K64" i="17"/>
  <c r="AB64" i="17"/>
  <c r="A65" i="17"/>
  <c r="K59" i="24"/>
  <c r="AB59" i="24"/>
  <c r="X59" i="24"/>
  <c r="A60" i="24"/>
  <c r="K68" i="1"/>
  <c r="AB68" i="1"/>
  <c r="AJ68" i="1"/>
  <c r="L68" i="1"/>
  <c r="A69" i="1"/>
  <c r="AK68" i="1"/>
  <c r="X68" i="1"/>
  <c r="AB62" i="20"/>
  <c r="X62" i="20"/>
  <c r="K62" i="20"/>
  <c r="A63" i="20"/>
  <c r="A62" i="22"/>
  <c r="X61" i="22"/>
  <c r="K61" i="22"/>
  <c r="AB61" i="22"/>
  <c r="X58" i="25"/>
  <c r="K58" i="25"/>
  <c r="A59" i="25"/>
  <c r="AB58" i="25"/>
  <c r="A63" i="22"/>
  <c r="K62" i="22"/>
  <c r="X62" i="22"/>
  <c r="AB62" i="22"/>
  <c r="L69" i="1"/>
  <c r="AK69" i="1"/>
  <c r="X69" i="1"/>
  <c r="K69" i="1"/>
  <c r="AJ69" i="1"/>
  <c r="A70" i="1"/>
  <c r="AB69" i="1"/>
  <c r="K60" i="24"/>
  <c r="A61" i="24"/>
  <c r="X60" i="24"/>
  <c r="AB60" i="24"/>
  <c r="AE57" i="7"/>
  <c r="A65" i="18"/>
  <c r="X64" i="18"/>
  <c r="K64" i="18"/>
  <c r="AB64" i="18"/>
  <c r="I65" i="1"/>
  <c r="X59" i="25"/>
  <c r="L59" i="25"/>
  <c r="K59" i="25"/>
  <c r="A60" i="25"/>
  <c r="AB59" i="25"/>
  <c r="A64" i="20"/>
  <c r="X63" i="20"/>
  <c r="K63" i="20"/>
  <c r="AB63" i="20"/>
  <c r="L63" i="20"/>
  <c r="I66" i="1"/>
  <c r="AB65" i="17"/>
  <c r="A66" i="17"/>
  <c r="K65" i="17"/>
  <c r="X65" i="17"/>
  <c r="AB67" i="15"/>
  <c r="K67" i="15"/>
  <c r="L67" i="15"/>
  <c r="D67" i="15" s="1"/>
  <c r="X67" i="15"/>
  <c r="A68" i="15"/>
  <c r="X66" i="16"/>
  <c r="K66" i="16"/>
  <c r="AB66" i="16"/>
  <c r="A67" i="16"/>
  <c r="K61" i="23"/>
  <c r="X61" i="23"/>
  <c r="AB61" i="23"/>
  <c r="A62" i="23"/>
  <c r="AB62" i="23"/>
  <c r="A63" i="23"/>
  <c r="X62" i="23"/>
  <c r="K62" i="23"/>
  <c r="A65" i="20"/>
  <c r="X64" i="20"/>
  <c r="K64" i="20"/>
  <c r="AB64" i="20"/>
  <c r="X60" i="25"/>
  <c r="AE69" i="7"/>
  <c r="A61" i="25"/>
  <c r="AB60" i="25"/>
  <c r="K60" i="25"/>
  <c r="K61" i="24"/>
  <c r="A62" i="24"/>
  <c r="X61" i="24"/>
  <c r="AB61" i="24"/>
  <c r="AK70" i="1"/>
  <c r="AB70" i="1"/>
  <c r="K70" i="1"/>
  <c r="L70" i="1"/>
  <c r="X70" i="1"/>
  <c r="A71" i="1"/>
  <c r="AJ70" i="1"/>
  <c r="A68" i="16"/>
  <c r="L67" i="16"/>
  <c r="D67" i="16" s="1"/>
  <c r="K67" i="16"/>
  <c r="AB67" i="16"/>
  <c r="X67" i="16"/>
  <c r="A69" i="15"/>
  <c r="X68" i="15"/>
  <c r="L68" i="15"/>
  <c r="D68" i="15" s="1"/>
  <c r="AB68" i="15"/>
  <c r="K68" i="15"/>
  <c r="AB66" i="17"/>
  <c r="A67" i="17"/>
  <c r="K66" i="17"/>
  <c r="X66" i="17"/>
  <c r="A66" i="18"/>
  <c r="AB65" i="18"/>
  <c r="K65" i="18"/>
  <c r="X65" i="18"/>
  <c r="K63" i="22"/>
  <c r="X63" i="22"/>
  <c r="A64" i="22"/>
  <c r="AB63" i="22"/>
  <c r="A65" i="22"/>
  <c r="X64" i="22"/>
  <c r="L64" i="22"/>
  <c r="K64" i="22"/>
  <c r="AB64" i="22"/>
  <c r="K69" i="15"/>
  <c r="AB69" i="15"/>
  <c r="X69" i="15"/>
  <c r="A70" i="15"/>
  <c r="I67" i="1"/>
  <c r="A72" i="1"/>
  <c r="L71" i="1"/>
  <c r="X71" i="1"/>
  <c r="AJ71" i="1"/>
  <c r="AK71" i="1"/>
  <c r="AB71" i="1"/>
  <c r="K71" i="1"/>
  <c r="A63" i="24"/>
  <c r="K62" i="24"/>
  <c r="AB62" i="24"/>
  <c r="X62" i="24"/>
  <c r="K61" i="25"/>
  <c r="X61" i="25"/>
  <c r="A62" i="25"/>
  <c r="AB61" i="25"/>
  <c r="K65" i="20"/>
  <c r="AB65" i="20"/>
  <c r="A66" i="20"/>
  <c r="X65" i="20"/>
  <c r="AB66" i="18"/>
  <c r="A67" i="18"/>
  <c r="K66" i="18"/>
  <c r="X66" i="18"/>
  <c r="X67" i="17"/>
  <c r="AB67" i="17"/>
  <c r="K67" i="17"/>
  <c r="L67" i="17"/>
  <c r="D67" i="17" s="1"/>
  <c r="A68" i="17"/>
  <c r="X68" i="16"/>
  <c r="A69" i="16"/>
  <c r="K68" i="16"/>
  <c r="AB68" i="16"/>
  <c r="X63" i="23"/>
  <c r="A64" i="23"/>
  <c r="K63" i="23"/>
  <c r="AB63" i="23"/>
  <c r="AB64" i="23"/>
  <c r="A65" i="23"/>
  <c r="K64" i="23"/>
  <c r="X64" i="23"/>
  <c r="AB69" i="16"/>
  <c r="K69" i="16"/>
  <c r="X69" i="16"/>
  <c r="A70" i="16"/>
  <c r="I68" i="1"/>
  <c r="I69" i="1"/>
  <c r="K68" i="17"/>
  <c r="AB68" i="17"/>
  <c r="A69" i="17"/>
  <c r="X68" i="17"/>
  <c r="A68" i="18"/>
  <c r="X67" i="18"/>
  <c r="K67" i="18"/>
  <c r="AB67" i="18"/>
  <c r="X66" i="20"/>
  <c r="K66" i="20"/>
  <c r="AB66" i="20"/>
  <c r="A67" i="20"/>
  <c r="X62" i="25"/>
  <c r="AB62" i="25"/>
  <c r="K62" i="25"/>
  <c r="A63" i="25"/>
  <c r="AB63" i="24"/>
  <c r="X63" i="24"/>
  <c r="K63" i="24"/>
  <c r="A64" i="24"/>
  <c r="AJ72" i="1"/>
  <c r="A73" i="1"/>
  <c r="AB72" i="1"/>
  <c r="X72" i="1"/>
  <c r="K72" i="1"/>
  <c r="AK72" i="1"/>
  <c r="L72" i="1"/>
  <c r="K70" i="15"/>
  <c r="AB70" i="15"/>
  <c r="X70" i="15"/>
  <c r="L70" i="15"/>
  <c r="A71" i="15"/>
  <c r="AB65" i="22"/>
  <c r="K65" i="22"/>
  <c r="A66" i="22"/>
  <c r="X65" i="22"/>
  <c r="X66" i="22"/>
  <c r="K66" i="22"/>
  <c r="AB66" i="22"/>
  <c r="A67" i="22"/>
  <c r="A72" i="15"/>
  <c r="X71" i="15"/>
  <c r="K71" i="15"/>
  <c r="AB71" i="15"/>
  <c r="X64" i="24"/>
  <c r="AB64" i="24"/>
  <c r="K64" i="24"/>
  <c r="A65" i="24"/>
  <c r="X63" i="25"/>
  <c r="K63" i="25"/>
  <c r="AB63" i="25"/>
  <c r="A64" i="25"/>
  <c r="AB68" i="18"/>
  <c r="X68" i="18"/>
  <c r="A69" i="18"/>
  <c r="K68" i="18"/>
  <c r="K69" i="17"/>
  <c r="AB69" i="17"/>
  <c r="A70" i="17"/>
  <c r="X69" i="17"/>
  <c r="K65" i="23"/>
  <c r="AB65" i="23"/>
  <c r="A66" i="23"/>
  <c r="X65" i="23"/>
  <c r="D70" i="15"/>
  <c r="AJ73" i="1"/>
  <c r="L73" i="1"/>
  <c r="AB73" i="1"/>
  <c r="K73" i="1"/>
  <c r="A74" i="1"/>
  <c r="X73" i="1"/>
  <c r="AK73" i="1"/>
  <c r="A68" i="20"/>
  <c r="AB67" i="20"/>
  <c r="K67" i="20"/>
  <c r="X67" i="20"/>
  <c r="X70" i="16"/>
  <c r="AB70" i="16"/>
  <c r="A71" i="16"/>
  <c r="K70" i="16"/>
  <c r="A72" i="16"/>
  <c r="X71" i="16"/>
  <c r="K71" i="16"/>
  <c r="AB71" i="16"/>
  <c r="AB68" i="20"/>
  <c r="A69" i="20"/>
  <c r="X68" i="20"/>
  <c r="K68" i="20"/>
  <c r="AB66" i="23"/>
  <c r="K66" i="23"/>
  <c r="X66" i="23"/>
  <c r="A67" i="23"/>
  <c r="X65" i="24"/>
  <c r="A66" i="24"/>
  <c r="AB65" i="24"/>
  <c r="K65" i="24"/>
  <c r="X74" i="1"/>
  <c r="AK74" i="1"/>
  <c r="A75" i="1"/>
  <c r="L74" i="1"/>
  <c r="K74" i="1"/>
  <c r="AB74" i="1"/>
  <c r="AJ74" i="1"/>
  <c r="A71" i="17"/>
  <c r="X70" i="17"/>
  <c r="K70" i="17"/>
  <c r="AB70" i="17"/>
  <c r="AB69" i="18"/>
  <c r="A70" i="18"/>
  <c r="K69" i="18"/>
  <c r="X69" i="18"/>
  <c r="AB64" i="25"/>
  <c r="X64" i="25"/>
  <c r="K64" i="25"/>
  <c r="A65" i="25"/>
  <c r="A73" i="15"/>
  <c r="AB72" i="15"/>
  <c r="K72" i="15"/>
  <c r="X72" i="15"/>
  <c r="A68" i="22"/>
  <c r="K67" i="22"/>
  <c r="X67" i="22"/>
  <c r="AB67" i="22"/>
  <c r="I70" i="1"/>
  <c r="X68" i="22"/>
  <c r="A69" i="22"/>
  <c r="AB68" i="22"/>
  <c r="K68" i="22"/>
  <c r="AB65" i="25"/>
  <c r="A66" i="25"/>
  <c r="K65" i="25"/>
  <c r="X65" i="25"/>
  <c r="AB70" i="18"/>
  <c r="K70" i="18"/>
  <c r="L70" i="18"/>
  <c r="X70" i="18"/>
  <c r="A71" i="18"/>
  <c r="K71" i="17"/>
  <c r="AB71" i="17"/>
  <c r="X71" i="17"/>
  <c r="A72" i="17"/>
  <c r="AB66" i="24"/>
  <c r="A67" i="24"/>
  <c r="X66" i="24"/>
  <c r="K66" i="24"/>
  <c r="X69" i="20"/>
  <c r="A70" i="20"/>
  <c r="AB69" i="20"/>
  <c r="K69" i="20"/>
  <c r="K73" i="15"/>
  <c r="A74" i="15"/>
  <c r="AB73" i="15"/>
  <c r="X73" i="15"/>
  <c r="K75" i="1"/>
  <c r="A76" i="1"/>
  <c r="L75" i="1"/>
  <c r="X75" i="1"/>
  <c r="AJ75" i="1"/>
  <c r="AK75" i="1"/>
  <c r="AB75" i="1"/>
  <c r="K67" i="23"/>
  <c r="X67" i="23"/>
  <c r="AB67" i="23"/>
  <c r="A68" i="23"/>
  <c r="AB72" i="16"/>
  <c r="A73" i="16"/>
  <c r="K72" i="16"/>
  <c r="X72" i="16"/>
  <c r="I71" i="1"/>
  <c r="X71" i="18"/>
  <c r="K71" i="18"/>
  <c r="AB71" i="18"/>
  <c r="A72" i="18"/>
  <c r="A70" i="22"/>
  <c r="K69" i="22"/>
  <c r="AB69" i="22"/>
  <c r="L69" i="22"/>
  <c r="X69" i="22"/>
  <c r="I72" i="1"/>
  <c r="A74" i="16"/>
  <c r="L73" i="16"/>
  <c r="D73" i="16" s="1"/>
  <c r="K73" i="16"/>
  <c r="X73" i="16"/>
  <c r="AB73" i="16"/>
  <c r="A69" i="23"/>
  <c r="X68" i="23"/>
  <c r="K68" i="23"/>
  <c r="AB68" i="23"/>
  <c r="AK76" i="1"/>
  <c r="AB76" i="1"/>
  <c r="A77" i="1"/>
  <c r="K76" i="1"/>
  <c r="L76" i="1"/>
  <c r="X76" i="1"/>
  <c r="AJ76" i="1"/>
  <c r="K74" i="15"/>
  <c r="AB74" i="15"/>
  <c r="A75" i="15"/>
  <c r="X74" i="15"/>
  <c r="AB70" i="20"/>
  <c r="X70" i="20"/>
  <c r="A71" i="20"/>
  <c r="K70" i="20"/>
  <c r="AB67" i="24"/>
  <c r="A68" i="24"/>
  <c r="K67" i="24"/>
  <c r="X67" i="24"/>
  <c r="A73" i="17"/>
  <c r="K72" i="17"/>
  <c r="X72" i="17"/>
  <c r="AB72" i="17"/>
  <c r="K66" i="25"/>
  <c r="AB66" i="25"/>
  <c r="A67" i="25"/>
  <c r="X66" i="25"/>
  <c r="A68" i="25"/>
  <c r="K67" i="25"/>
  <c r="AB67" i="25"/>
  <c r="X67" i="25"/>
  <c r="X73" i="17"/>
  <c r="AB73" i="17"/>
  <c r="A74" i="17"/>
  <c r="K73" i="17"/>
  <c r="AB69" i="23"/>
  <c r="K69" i="23"/>
  <c r="A70" i="23"/>
  <c r="X69" i="23"/>
  <c r="I73" i="1"/>
  <c r="K68" i="24"/>
  <c r="AB68" i="24"/>
  <c r="A69" i="24"/>
  <c r="X68" i="24"/>
  <c r="K71" i="20"/>
  <c r="A72" i="20"/>
  <c r="AB71" i="20"/>
  <c r="X71" i="20"/>
  <c r="AB75" i="15"/>
  <c r="A76" i="15"/>
  <c r="K75" i="15"/>
  <c r="L75" i="15"/>
  <c r="X75" i="15"/>
  <c r="L77" i="1"/>
  <c r="K77" i="1"/>
  <c r="X77" i="1"/>
  <c r="AJ77" i="1"/>
  <c r="AK77" i="1"/>
  <c r="AB77" i="1"/>
  <c r="A78" i="1"/>
  <c r="AB74" i="16"/>
  <c r="X74" i="16"/>
  <c r="K74" i="16"/>
  <c r="A75" i="16"/>
  <c r="L74" i="16"/>
  <c r="D74" i="16" s="1"/>
  <c r="AB70" i="22"/>
  <c r="L70" i="22"/>
  <c r="A71" i="22"/>
  <c r="X70" i="22"/>
  <c r="K70" i="22"/>
  <c r="A73" i="18"/>
  <c r="K72" i="18"/>
  <c r="AB72" i="18"/>
  <c r="X72" i="18"/>
  <c r="A74" i="18"/>
  <c r="AB73" i="18"/>
  <c r="X73" i="18"/>
  <c r="K73" i="18"/>
  <c r="K75" i="16"/>
  <c r="A76" i="16"/>
  <c r="AB75" i="16"/>
  <c r="X75" i="16"/>
  <c r="L75" i="16"/>
  <c r="D75" i="16" s="1"/>
  <c r="I75" i="1"/>
  <c r="D75" i="15"/>
  <c r="A77" i="15"/>
  <c r="AB76" i="15"/>
  <c r="K76" i="15"/>
  <c r="X76" i="15"/>
  <c r="A70" i="24"/>
  <c r="AB69" i="24"/>
  <c r="K69" i="24"/>
  <c r="X69" i="24"/>
  <c r="A71" i="23"/>
  <c r="K70" i="23"/>
  <c r="X70" i="23"/>
  <c r="AB70" i="23"/>
  <c r="AB74" i="17"/>
  <c r="A75" i="17"/>
  <c r="X74" i="17"/>
  <c r="K74" i="17"/>
  <c r="I74" i="1"/>
  <c r="X71" i="22"/>
  <c r="A72" i="22"/>
  <c r="AB71" i="22"/>
  <c r="K71" i="22"/>
  <c r="AJ78" i="1"/>
  <c r="A79" i="1"/>
  <c r="K78" i="1"/>
  <c r="X78" i="1"/>
  <c r="AK78" i="1"/>
  <c r="L78" i="1"/>
  <c r="AB78" i="1"/>
  <c r="AB72" i="20"/>
  <c r="X72" i="20"/>
  <c r="A73" i="20"/>
  <c r="K72" i="20"/>
  <c r="X68" i="25"/>
  <c r="AB68" i="25"/>
  <c r="K68" i="25"/>
  <c r="A69" i="25"/>
  <c r="X69" i="25"/>
  <c r="K69" i="25"/>
  <c r="AB69" i="25"/>
  <c r="A70" i="25"/>
  <c r="X73" i="20"/>
  <c r="AB73" i="20"/>
  <c r="A74" i="20"/>
  <c r="K73" i="20"/>
  <c r="L79" i="1"/>
  <c r="AK79" i="1"/>
  <c r="AJ79" i="1"/>
  <c r="K79" i="1"/>
  <c r="A80" i="1"/>
  <c r="AB79" i="1"/>
  <c r="X79" i="1"/>
  <c r="X72" i="22"/>
  <c r="K72" i="22"/>
  <c r="A73" i="22"/>
  <c r="AB72" i="22"/>
  <c r="AB75" i="17"/>
  <c r="X75" i="17"/>
  <c r="A76" i="17"/>
  <c r="K75" i="17"/>
  <c r="K71" i="23"/>
  <c r="AB71" i="23"/>
  <c r="X71" i="23"/>
  <c r="A72" i="23"/>
  <c r="A71" i="24"/>
  <c r="K70" i="24"/>
  <c r="X70" i="24"/>
  <c r="AB70" i="24"/>
  <c r="A78" i="15"/>
  <c r="K77" i="15"/>
  <c r="L77" i="15"/>
  <c r="D77" i="15" s="1"/>
  <c r="AB77" i="15"/>
  <c r="X77" i="15"/>
  <c r="K76" i="16"/>
  <c r="AB76" i="16"/>
  <c r="X76" i="16"/>
  <c r="L76" i="16"/>
  <c r="D76" i="16" s="1"/>
  <c r="A77" i="16"/>
  <c r="K74" i="18"/>
  <c r="A75" i="18"/>
  <c r="X74" i="18"/>
  <c r="AB74" i="18"/>
  <c r="X75" i="18"/>
  <c r="A76" i="18"/>
  <c r="AB75" i="18"/>
  <c r="K75" i="18"/>
  <c r="K77" i="16"/>
  <c r="A78" i="16"/>
  <c r="X77" i="16"/>
  <c r="AB77" i="16"/>
  <c r="X71" i="24"/>
  <c r="AB71" i="24"/>
  <c r="A72" i="24"/>
  <c r="K71" i="24"/>
  <c r="AB76" i="17"/>
  <c r="X76" i="17"/>
  <c r="K76" i="17"/>
  <c r="A77" i="17"/>
  <c r="L76" i="17"/>
  <c r="D76" i="17" s="1"/>
  <c r="X70" i="25"/>
  <c r="A71" i="25"/>
  <c r="AB70" i="25"/>
  <c r="K70" i="25"/>
  <c r="I76" i="1"/>
  <c r="K78" i="15"/>
  <c r="X78" i="15"/>
  <c r="A79" i="15"/>
  <c r="AB78" i="15"/>
  <c r="L78" i="15"/>
  <c r="D78" i="15" s="1"/>
  <c r="A73" i="23"/>
  <c r="L72" i="23"/>
  <c r="K72" i="23"/>
  <c r="AB72" i="23"/>
  <c r="X72" i="23"/>
  <c r="AB73" i="22"/>
  <c r="A74" i="22"/>
  <c r="X73" i="22"/>
  <c r="K73" i="22"/>
  <c r="A81" i="1"/>
  <c r="K80" i="1"/>
  <c r="L80" i="1"/>
  <c r="X80" i="1"/>
  <c r="AJ80" i="1"/>
  <c r="AK80" i="1"/>
  <c r="AB80" i="1"/>
  <c r="K74" i="20"/>
  <c r="AB74" i="20"/>
  <c r="X74" i="20"/>
  <c r="A75" i="20"/>
  <c r="A76" i="20"/>
  <c r="AB75" i="20"/>
  <c r="X75" i="20"/>
  <c r="K75" i="20"/>
  <c r="L81" i="1"/>
  <c r="X81" i="1"/>
  <c r="K81" i="1"/>
  <c r="A82" i="1"/>
  <c r="AB81" i="1"/>
  <c r="AJ81" i="1"/>
  <c r="AK81" i="1"/>
  <c r="AB74" i="22"/>
  <c r="K74" i="22"/>
  <c r="A75" i="22"/>
  <c r="L74" i="22"/>
  <c r="X74" i="22"/>
  <c r="A74" i="23"/>
  <c r="X73" i="23"/>
  <c r="K73" i="23"/>
  <c r="AB73" i="23"/>
  <c r="K79" i="15"/>
  <c r="AB79" i="15"/>
  <c r="L79" i="15"/>
  <c r="X79" i="15"/>
  <c r="A80" i="15"/>
  <c r="AB72" i="24"/>
  <c r="X72" i="24"/>
  <c r="A73" i="24"/>
  <c r="K72" i="24"/>
  <c r="X78" i="16"/>
  <c r="A79" i="16"/>
  <c r="K78" i="16"/>
  <c r="AB78" i="16"/>
  <c r="I77" i="1"/>
  <c r="A72" i="25"/>
  <c r="AB71" i="25"/>
  <c r="X71" i="25"/>
  <c r="K71" i="25"/>
  <c r="A78" i="17"/>
  <c r="K77" i="17"/>
  <c r="L77" i="17"/>
  <c r="D77" i="17" s="1"/>
  <c r="X77" i="17"/>
  <c r="AB77" i="17"/>
  <c r="AB76" i="18"/>
  <c r="X76" i="18"/>
  <c r="K76" i="18"/>
  <c r="A77" i="18"/>
  <c r="A78" i="18"/>
  <c r="AB77" i="18"/>
  <c r="K77" i="18"/>
  <c r="X77" i="18"/>
  <c r="I78" i="1"/>
  <c r="L79" i="16"/>
  <c r="D79" i="16" s="1"/>
  <c r="A80" i="16"/>
  <c r="AB79" i="16"/>
  <c r="X79" i="16"/>
  <c r="K79" i="16"/>
  <c r="AB80" i="15"/>
  <c r="X80" i="15"/>
  <c r="K80" i="15"/>
  <c r="L80" i="15"/>
  <c r="D80" i="15" s="1"/>
  <c r="A81" i="15"/>
  <c r="K74" i="23"/>
  <c r="X74" i="23"/>
  <c r="AB74" i="23"/>
  <c r="A75" i="23"/>
  <c r="L74" i="23"/>
  <c r="A79" i="17"/>
  <c r="K78" i="17"/>
  <c r="X78" i="17"/>
  <c r="AB78" i="17"/>
  <c r="L78" i="17"/>
  <c r="D78" i="17" s="1"/>
  <c r="A73" i="25"/>
  <c r="K72" i="25"/>
  <c r="X72" i="25"/>
  <c r="AB72" i="25"/>
  <c r="A74" i="24"/>
  <c r="X73" i="24"/>
  <c r="K73" i="24"/>
  <c r="AB73" i="24"/>
  <c r="D79" i="15"/>
  <c r="A76" i="22"/>
  <c r="AB75" i="22"/>
  <c r="K75" i="22"/>
  <c r="X75" i="22"/>
  <c r="L75" i="22"/>
  <c r="AB82" i="1"/>
  <c r="AK82" i="1"/>
  <c r="K82" i="1"/>
  <c r="A83" i="1"/>
  <c r="AJ82" i="1"/>
  <c r="X82" i="1"/>
  <c r="L82" i="1"/>
  <c r="A77" i="20"/>
  <c r="L76" i="20"/>
  <c r="K76" i="20"/>
  <c r="X76" i="20"/>
  <c r="AB76" i="20"/>
  <c r="X77" i="20"/>
  <c r="A78" i="20"/>
  <c r="AB77" i="20"/>
  <c r="K77" i="20"/>
  <c r="L77" i="20"/>
  <c r="X76" i="22"/>
  <c r="A77" i="22"/>
  <c r="K76" i="22"/>
  <c r="AB76" i="22"/>
  <c r="L76" i="22"/>
  <c r="AB74" i="24"/>
  <c r="A75" i="24"/>
  <c r="X74" i="24"/>
  <c r="K74" i="24"/>
  <c r="A74" i="25"/>
  <c r="X73" i="25"/>
  <c r="AB73" i="25"/>
  <c r="K73" i="25"/>
  <c r="I79" i="1"/>
  <c r="AK83" i="1"/>
  <c r="A84" i="1"/>
  <c r="L83" i="1"/>
  <c r="AJ83" i="1"/>
  <c r="AB83" i="1"/>
  <c r="X83" i="1"/>
  <c r="K83" i="1"/>
  <c r="X79" i="17"/>
  <c r="L79" i="17"/>
  <c r="D79" i="17" s="1"/>
  <c r="AB79" i="17"/>
  <c r="A80" i="17"/>
  <c r="K79" i="17"/>
  <c r="X75" i="23"/>
  <c r="A76" i="23"/>
  <c r="L75" i="23"/>
  <c r="AB75" i="23"/>
  <c r="K75" i="23"/>
  <c r="A82" i="15"/>
  <c r="K81" i="15"/>
  <c r="L81" i="15"/>
  <c r="D81" i="15" s="1"/>
  <c r="AB81" i="15"/>
  <c r="X81" i="15"/>
  <c r="K80" i="16"/>
  <c r="X80" i="16"/>
  <c r="AB80" i="16"/>
  <c r="A81" i="16"/>
  <c r="L80" i="16"/>
  <c r="I80" i="1"/>
  <c r="AB78" i="18"/>
  <c r="X78" i="18"/>
  <c r="K78" i="18"/>
  <c r="A79" i="18"/>
  <c r="I81" i="1"/>
  <c r="D80" i="16"/>
  <c r="K81" i="16"/>
  <c r="AB81" i="16"/>
  <c r="X81" i="16"/>
  <c r="A82" i="16"/>
  <c r="K74" i="25"/>
  <c r="A75" i="25"/>
  <c r="AB74" i="25"/>
  <c r="X74" i="25"/>
  <c r="A78" i="22"/>
  <c r="X77" i="22"/>
  <c r="K77" i="22"/>
  <c r="L77" i="22"/>
  <c r="AB77" i="22"/>
  <c r="A79" i="20"/>
  <c r="K78" i="20"/>
  <c r="AB78" i="20"/>
  <c r="X78" i="20"/>
  <c r="A80" i="18"/>
  <c r="AB79" i="18"/>
  <c r="X79" i="18"/>
  <c r="K79" i="18"/>
  <c r="A83" i="15"/>
  <c r="K82" i="15"/>
  <c r="L82" i="15"/>
  <c r="D82" i="15" s="1"/>
  <c r="X82" i="15"/>
  <c r="AB82" i="15"/>
  <c r="AB76" i="23"/>
  <c r="L76" i="23"/>
  <c r="X76" i="23"/>
  <c r="A77" i="23"/>
  <c r="K76" i="23"/>
  <c r="AB80" i="17"/>
  <c r="K80" i="17"/>
  <c r="A81" i="17"/>
  <c r="L80" i="17"/>
  <c r="X80" i="17"/>
  <c r="X84" i="1"/>
  <c r="AK84" i="1"/>
  <c r="AB84" i="1"/>
  <c r="A85" i="1"/>
  <c r="L84" i="1"/>
  <c r="AJ84" i="1"/>
  <c r="K84" i="1"/>
  <c r="A76" i="24"/>
  <c r="AB75" i="24"/>
  <c r="X75" i="24"/>
  <c r="K75" i="24"/>
  <c r="A86" i="1"/>
  <c r="AJ85" i="1"/>
  <c r="K85" i="1"/>
  <c r="AK85" i="1"/>
  <c r="AB85" i="1"/>
  <c r="L85" i="1"/>
  <c r="X85" i="1"/>
  <c r="AB81" i="17"/>
  <c r="A82" i="17"/>
  <c r="L81" i="17"/>
  <c r="D81" i="17" s="1"/>
  <c r="K81" i="17"/>
  <c r="X81" i="17"/>
  <c r="AB77" i="23"/>
  <c r="X77" i="23"/>
  <c r="K77" i="23"/>
  <c r="A78" i="23"/>
  <c r="L77" i="23"/>
  <c r="L83" i="15"/>
  <c r="D83" i="15" s="1"/>
  <c r="K83" i="15"/>
  <c r="X83" i="15"/>
  <c r="A84" i="15"/>
  <c r="AB83" i="15"/>
  <c r="AB78" i="22"/>
  <c r="A79" i="22"/>
  <c r="X78" i="22"/>
  <c r="L78" i="22"/>
  <c r="K78" i="22"/>
  <c r="AB75" i="25"/>
  <c r="X75" i="25"/>
  <c r="A76" i="25"/>
  <c r="L75" i="25"/>
  <c r="K75" i="25"/>
  <c r="X82" i="16"/>
  <c r="AB82" i="16"/>
  <c r="K82" i="16"/>
  <c r="A83" i="16"/>
  <c r="L82" i="16"/>
  <c r="D82" i="16" s="1"/>
  <c r="X76" i="24"/>
  <c r="AB76" i="24"/>
  <c r="K76" i="24"/>
  <c r="L76" i="24"/>
  <c r="A77" i="24"/>
  <c r="D80" i="17"/>
  <c r="K80" i="18"/>
  <c r="A81" i="18"/>
  <c r="AB80" i="18"/>
  <c r="L80" i="18"/>
  <c r="X80" i="18"/>
  <c r="X79" i="20"/>
  <c r="AB79" i="20"/>
  <c r="A80" i="20"/>
  <c r="K79" i="20"/>
  <c r="X80" i="20"/>
  <c r="K80" i="20"/>
  <c r="A81" i="20"/>
  <c r="AB80" i="20"/>
  <c r="AB77" i="24"/>
  <c r="A78" i="24"/>
  <c r="X77" i="24"/>
  <c r="K77" i="24"/>
  <c r="K83" i="16"/>
  <c r="L83" i="16"/>
  <c r="D83" i="16" s="1"/>
  <c r="X83" i="16"/>
  <c r="A84" i="16"/>
  <c r="AB83" i="16"/>
  <c r="K78" i="23"/>
  <c r="X78" i="23"/>
  <c r="A79" i="23"/>
  <c r="AB78" i="23"/>
  <c r="I82" i="1"/>
  <c r="K81" i="18"/>
  <c r="AB81" i="18"/>
  <c r="X81" i="18"/>
  <c r="A82" i="18"/>
  <c r="AB76" i="25"/>
  <c r="A77" i="25"/>
  <c r="L76" i="25"/>
  <c r="X76" i="25"/>
  <c r="K76" i="25"/>
  <c r="X79" i="22"/>
  <c r="K79" i="22"/>
  <c r="L79" i="22"/>
  <c r="AB79" i="22"/>
  <c r="A80" i="22"/>
  <c r="AB84" i="15"/>
  <c r="K84" i="15"/>
  <c r="L84" i="15"/>
  <c r="D84" i="15" s="1"/>
  <c r="X84" i="15"/>
  <c r="A85" i="15"/>
  <c r="L82" i="17"/>
  <c r="D82" i="17" s="1"/>
  <c r="AB82" i="17"/>
  <c r="A83" i="17"/>
  <c r="K82" i="17"/>
  <c r="X82" i="17"/>
  <c r="L86" i="1"/>
  <c r="AK86" i="1"/>
  <c r="X86" i="1"/>
  <c r="K86" i="1"/>
  <c r="AB86" i="1"/>
  <c r="AJ86" i="1"/>
  <c r="A87" i="1"/>
  <c r="L87" i="1"/>
  <c r="X87" i="1"/>
  <c r="K87" i="1"/>
  <c r="AK87" i="1"/>
  <c r="AB87" i="1"/>
  <c r="A88" i="1"/>
  <c r="AJ87" i="1"/>
  <c r="AB85" i="15"/>
  <c r="K85" i="15"/>
  <c r="L85" i="15"/>
  <c r="D85" i="15" s="1"/>
  <c r="X85" i="15"/>
  <c r="A86" i="15"/>
  <c r="AB77" i="25"/>
  <c r="X77" i="25"/>
  <c r="A78" i="25"/>
  <c r="K77" i="25"/>
  <c r="X82" i="18"/>
  <c r="K82" i="18"/>
  <c r="A83" i="18"/>
  <c r="AB82" i="18"/>
  <c r="X79" i="23"/>
  <c r="L79" i="23"/>
  <c r="K79" i="23"/>
  <c r="AB79" i="23"/>
  <c r="A80" i="23"/>
  <c r="I83" i="1"/>
  <c r="A85" i="16"/>
  <c r="L84" i="16"/>
  <c r="D84" i="16" s="1"/>
  <c r="AB84" i="16"/>
  <c r="X84" i="16"/>
  <c r="K84" i="16"/>
  <c r="A79" i="24"/>
  <c r="K78" i="24"/>
  <c r="X78" i="24"/>
  <c r="AB78" i="24"/>
  <c r="X83" i="17"/>
  <c r="L83" i="17"/>
  <c r="D83" i="17" s="1"/>
  <c r="A84" i="17"/>
  <c r="K83" i="17"/>
  <c r="AB83" i="17"/>
  <c r="A81" i="22"/>
  <c r="L80" i="22"/>
  <c r="AB80" i="22"/>
  <c r="K80" i="22"/>
  <c r="X80" i="22"/>
  <c r="X81" i="20"/>
  <c r="A82" i="20"/>
  <c r="K81" i="20"/>
  <c r="AB81" i="20"/>
  <c r="I85" i="1"/>
  <c r="X82" i="20"/>
  <c r="L82" i="20"/>
  <c r="A83" i="20"/>
  <c r="AB82" i="20"/>
  <c r="K82" i="20"/>
  <c r="AB84" i="17"/>
  <c r="A85" i="17"/>
  <c r="X84" i="17"/>
  <c r="L84" i="17"/>
  <c r="D84" i="17" s="1"/>
  <c r="K84" i="17"/>
  <c r="L86" i="15"/>
  <c r="D86" i="15" s="1"/>
  <c r="A87" i="15"/>
  <c r="X86" i="15"/>
  <c r="K86" i="15"/>
  <c r="AB86" i="15"/>
  <c r="L88" i="1"/>
  <c r="B22" i="7" s="1"/>
  <c r="AK88" i="1"/>
  <c r="X88" i="1"/>
  <c r="K88" i="1"/>
  <c r="AJ88" i="1"/>
  <c r="A89" i="1"/>
  <c r="A22" i="7"/>
  <c r="AB88" i="1"/>
  <c r="I84" i="1"/>
  <c r="K81" i="22"/>
  <c r="AB81" i="22"/>
  <c r="A82" i="22"/>
  <c r="L81" i="22"/>
  <c r="X81" i="22"/>
  <c r="A80" i="24"/>
  <c r="K79" i="24"/>
  <c r="AB79" i="24"/>
  <c r="L79" i="24"/>
  <c r="X79" i="24"/>
  <c r="AB85" i="16"/>
  <c r="K85" i="16"/>
  <c r="A86" i="16"/>
  <c r="X85" i="16"/>
  <c r="AB80" i="23"/>
  <c r="L80" i="23"/>
  <c r="A81" i="23"/>
  <c r="K80" i="23"/>
  <c r="X80" i="23"/>
  <c r="A84" i="18"/>
  <c r="K83" i="18"/>
  <c r="X83" i="18"/>
  <c r="AB83" i="18"/>
  <c r="X78" i="25"/>
  <c r="L78" i="25"/>
  <c r="K78" i="25"/>
  <c r="AB78" i="25"/>
  <c r="A79" i="25"/>
  <c r="K79" i="25"/>
  <c r="A80" i="25"/>
  <c r="L79" i="25"/>
  <c r="AB79" i="25"/>
  <c r="X79" i="25"/>
  <c r="A83" i="22"/>
  <c r="X82" i="22"/>
  <c r="L82" i="22"/>
  <c r="K82" i="22"/>
  <c r="AB82" i="22"/>
  <c r="AB84" i="18"/>
  <c r="A85" i="18"/>
  <c r="K84" i="18"/>
  <c r="X84" i="18"/>
  <c r="K81" i="23"/>
  <c r="AB81" i="23"/>
  <c r="A82" i="23"/>
  <c r="X81" i="23"/>
  <c r="AB86" i="16"/>
  <c r="K86" i="16"/>
  <c r="L86" i="16"/>
  <c r="D86" i="16" s="1"/>
  <c r="A87" i="16"/>
  <c r="X86" i="16"/>
  <c r="K80" i="24"/>
  <c r="X80" i="24"/>
  <c r="AB80" i="24"/>
  <c r="A81" i="24"/>
  <c r="A84" i="20"/>
  <c r="X83" i="20"/>
  <c r="AB83" i="20"/>
  <c r="K83" i="20"/>
  <c r="A90" i="1"/>
  <c r="X89" i="1"/>
  <c r="AK89" i="1"/>
  <c r="AB89" i="1"/>
  <c r="K89" i="1"/>
  <c r="L89" i="1"/>
  <c r="AJ89" i="1"/>
  <c r="A88" i="15"/>
  <c r="AB87" i="15"/>
  <c r="X87" i="15"/>
  <c r="K87" i="15"/>
  <c r="L87" i="15"/>
  <c r="D87" i="15" s="1"/>
  <c r="AB85" i="17"/>
  <c r="L85" i="17"/>
  <c r="X85" i="17"/>
  <c r="A86" i="17"/>
  <c r="K85" i="17"/>
  <c r="I87" i="1"/>
  <c r="AB86" i="17"/>
  <c r="A87" i="17"/>
  <c r="X86" i="17"/>
  <c r="K86" i="17"/>
  <c r="L86" i="17"/>
  <c r="D86" i="17" s="1"/>
  <c r="D85" i="17"/>
  <c r="A34" i="7"/>
  <c r="L88" i="15"/>
  <c r="A89" i="15"/>
  <c r="AB88" i="15"/>
  <c r="X88" i="15"/>
  <c r="K88" i="15"/>
  <c r="K84" i="20"/>
  <c r="L84" i="20"/>
  <c r="AB84" i="20"/>
  <c r="A85" i="20"/>
  <c r="X84" i="20"/>
  <c r="AB85" i="18"/>
  <c r="X85" i="18"/>
  <c r="A86" i="18"/>
  <c r="K85" i="18"/>
  <c r="I86" i="1"/>
  <c r="L90" i="1"/>
  <c r="AJ90" i="1"/>
  <c r="A91" i="1"/>
  <c r="AK90" i="1"/>
  <c r="X90" i="1"/>
  <c r="AB90" i="1"/>
  <c r="K90" i="1"/>
  <c r="AB81" i="24"/>
  <c r="A82" i="24"/>
  <c r="K81" i="24"/>
  <c r="X81" i="24"/>
  <c r="AB87" i="16"/>
  <c r="K87" i="16"/>
  <c r="L87" i="16"/>
  <c r="D87" i="16" s="1"/>
  <c r="A88" i="16"/>
  <c r="X87" i="16"/>
  <c r="X82" i="23"/>
  <c r="K82" i="23"/>
  <c r="A83" i="23"/>
  <c r="AB82" i="23"/>
  <c r="K83" i="22"/>
  <c r="A84" i="22"/>
  <c r="L83" i="22"/>
  <c r="AB83" i="22"/>
  <c r="X83" i="22"/>
  <c r="AB80" i="25"/>
  <c r="K80" i="25"/>
  <c r="A81" i="25"/>
  <c r="X80" i="25"/>
  <c r="L88" i="16"/>
  <c r="K88" i="16"/>
  <c r="X88" i="16"/>
  <c r="A46" i="7"/>
  <c r="AB88" i="16"/>
  <c r="A89" i="16"/>
  <c r="A87" i="18"/>
  <c r="X86" i="18"/>
  <c r="K86" i="18"/>
  <c r="AB86" i="18"/>
  <c r="K85" i="20"/>
  <c r="L85" i="20"/>
  <c r="A86" i="20"/>
  <c r="X85" i="20"/>
  <c r="AB85" i="20"/>
  <c r="K81" i="25"/>
  <c r="X81" i="25"/>
  <c r="A82" i="25"/>
  <c r="AB81" i="25"/>
  <c r="L81" i="25"/>
  <c r="X84" i="22"/>
  <c r="AB84" i="22"/>
  <c r="L84" i="22"/>
  <c r="K84" i="22"/>
  <c r="A85" i="22"/>
  <c r="X83" i="23"/>
  <c r="K83" i="23"/>
  <c r="A84" i="23"/>
  <c r="AB83" i="23"/>
  <c r="X82" i="24"/>
  <c r="A83" i="24"/>
  <c r="K82" i="24"/>
  <c r="AB82" i="24"/>
  <c r="A92" i="1"/>
  <c r="AJ91" i="1"/>
  <c r="X91" i="1"/>
  <c r="AK91" i="1"/>
  <c r="L91" i="1"/>
  <c r="K91" i="1"/>
  <c r="AB91" i="1"/>
  <c r="K89" i="15"/>
  <c r="X89" i="15"/>
  <c r="AB89" i="15"/>
  <c r="A90" i="15"/>
  <c r="L89" i="15"/>
  <c r="X87" i="17"/>
  <c r="K87" i="17"/>
  <c r="L87" i="17"/>
  <c r="A88" i="17"/>
  <c r="AB87" i="17"/>
  <c r="D89" i="15"/>
  <c r="L90" i="15"/>
  <c r="D90" i="15" s="1"/>
  <c r="K90" i="15"/>
  <c r="A91" i="15"/>
  <c r="X90" i="15"/>
  <c r="AB90" i="15"/>
  <c r="I89" i="1"/>
  <c r="AJ92" i="1"/>
  <c r="L92" i="1"/>
  <c r="AB92" i="1"/>
  <c r="X92" i="1"/>
  <c r="A93" i="1"/>
  <c r="K92" i="1"/>
  <c r="AK92" i="1"/>
  <c r="AB83" i="24"/>
  <c r="A84" i="24"/>
  <c r="X83" i="24"/>
  <c r="L83" i="24"/>
  <c r="K83" i="24"/>
  <c r="X85" i="22"/>
  <c r="L85" i="22"/>
  <c r="K85" i="22"/>
  <c r="A86" i="22"/>
  <c r="AB85" i="22"/>
  <c r="A83" i="25"/>
  <c r="L82" i="25"/>
  <c r="X82" i="25"/>
  <c r="K82" i="25"/>
  <c r="AB82" i="25"/>
  <c r="I88" i="1"/>
  <c r="K89" i="16"/>
  <c r="L89" i="16"/>
  <c r="D89" i="16" s="1"/>
  <c r="AB89" i="16"/>
  <c r="A90" i="16"/>
  <c r="X89" i="16"/>
  <c r="D87" i="17"/>
  <c r="X88" i="17"/>
  <c r="K88" i="17"/>
  <c r="L88" i="17"/>
  <c r="B58" i="7" s="1"/>
  <c r="A89" i="17"/>
  <c r="AB88" i="17"/>
  <c r="A58" i="7"/>
  <c r="X84" i="23"/>
  <c r="A85" i="23"/>
  <c r="K84" i="23"/>
  <c r="L84" i="23"/>
  <c r="AB84" i="23"/>
  <c r="X86" i="20"/>
  <c r="AB86" i="20"/>
  <c r="L86" i="20"/>
  <c r="K86" i="20"/>
  <c r="A87" i="20"/>
  <c r="A88" i="18"/>
  <c r="K87" i="18"/>
  <c r="X87" i="18"/>
  <c r="AB87" i="18"/>
  <c r="I90" i="1"/>
  <c r="AB88" i="18"/>
  <c r="K88" i="18"/>
  <c r="X88" i="18"/>
  <c r="A70" i="7"/>
  <c r="A89" i="18"/>
  <c r="D88" i="17"/>
  <c r="A91" i="16"/>
  <c r="AB90" i="16"/>
  <c r="L90" i="16"/>
  <c r="D90" i="16" s="1"/>
  <c r="X90" i="16"/>
  <c r="K90" i="16"/>
  <c r="A84" i="25"/>
  <c r="L83" i="25"/>
  <c r="AB83" i="25"/>
  <c r="K83" i="25"/>
  <c r="X83" i="25"/>
  <c r="X86" i="22"/>
  <c r="A87" i="22"/>
  <c r="K86" i="22"/>
  <c r="AB86" i="22"/>
  <c r="L86" i="22"/>
  <c r="AB87" i="20"/>
  <c r="K87" i="20"/>
  <c r="X87" i="20"/>
  <c r="A88" i="20"/>
  <c r="AB85" i="23"/>
  <c r="A86" i="23"/>
  <c r="K85" i="23"/>
  <c r="X85" i="23"/>
  <c r="AB89" i="17"/>
  <c r="K89" i="17"/>
  <c r="A90" i="17"/>
  <c r="L89" i="17"/>
  <c r="D89" i="17" s="1"/>
  <c r="X89" i="17"/>
  <c r="AB84" i="24"/>
  <c r="X84" i="24"/>
  <c r="A85" i="24"/>
  <c r="K84" i="24"/>
  <c r="L84" i="24"/>
  <c r="AK93" i="1"/>
  <c r="L93" i="1"/>
  <c r="A94" i="1"/>
  <c r="X93" i="1"/>
  <c r="AJ93" i="1"/>
  <c r="AB93" i="1"/>
  <c r="K93" i="1"/>
  <c r="L91" i="15"/>
  <c r="D91" i="15" s="1"/>
  <c r="K91" i="15"/>
  <c r="AB91" i="15"/>
  <c r="X91" i="15"/>
  <c r="A92" i="15"/>
  <c r="K85" i="24"/>
  <c r="A86" i="24"/>
  <c r="AB85" i="24"/>
  <c r="L85" i="24"/>
  <c r="X85" i="24"/>
  <c r="A91" i="17"/>
  <c r="L90" i="17"/>
  <c r="D90" i="17" s="1"/>
  <c r="X90" i="17"/>
  <c r="AB90" i="17"/>
  <c r="K90" i="17"/>
  <c r="A88" i="22"/>
  <c r="AB87" i="22"/>
  <c r="K87" i="22"/>
  <c r="X87" i="22"/>
  <c r="L87" i="22"/>
  <c r="A85" i="25"/>
  <c r="X84" i="25"/>
  <c r="K84" i="25"/>
  <c r="AB84" i="25"/>
  <c r="AB92" i="15"/>
  <c r="K92" i="15"/>
  <c r="L92" i="15"/>
  <c r="D92" i="15" s="1"/>
  <c r="X92" i="15"/>
  <c r="A93" i="15"/>
  <c r="AK94" i="1"/>
  <c r="AB94" i="1"/>
  <c r="L94" i="1"/>
  <c r="X94" i="1"/>
  <c r="AJ94" i="1"/>
  <c r="K94" i="1"/>
  <c r="A95" i="1"/>
  <c r="K86" i="23"/>
  <c r="AB86" i="23"/>
  <c r="A87" i="23"/>
  <c r="X86" i="23"/>
  <c r="X88" i="20"/>
  <c r="AE22" i="7"/>
  <c r="A89" i="20"/>
  <c r="AB88" i="20"/>
  <c r="K88" i="20"/>
  <c r="K91" i="16"/>
  <c r="X91" i="16"/>
  <c r="L91" i="16"/>
  <c r="AB91" i="16"/>
  <c r="A92" i="16"/>
  <c r="A90" i="18"/>
  <c r="AB89" i="18"/>
  <c r="K89" i="18"/>
  <c r="X89" i="18"/>
  <c r="X92" i="16"/>
  <c r="AB92" i="16"/>
  <c r="L92" i="16"/>
  <c r="D92" i="16" s="1"/>
  <c r="A93" i="16"/>
  <c r="K92" i="16"/>
  <c r="K87" i="23"/>
  <c r="AB87" i="23"/>
  <c r="A88" i="23"/>
  <c r="X87" i="23"/>
  <c r="L87" i="23"/>
  <c r="L93" i="15"/>
  <c r="D93" i="15" s="1"/>
  <c r="A94" i="15"/>
  <c r="AB93" i="15"/>
  <c r="X93" i="15"/>
  <c r="K93" i="15"/>
  <c r="A89" i="22"/>
  <c r="AB88" i="22"/>
  <c r="L88" i="22"/>
  <c r="AF34" i="7" s="1"/>
  <c r="K88" i="22"/>
  <c r="X88" i="22"/>
  <c r="AE34" i="7"/>
  <c r="AB91" i="17"/>
  <c r="L91" i="17"/>
  <c r="D91" i="17" s="1"/>
  <c r="X91" i="17"/>
  <c r="K91" i="17"/>
  <c r="A92" i="17"/>
  <c r="X86" i="24"/>
  <c r="A87" i="24"/>
  <c r="AB86" i="24"/>
  <c r="K86" i="24"/>
  <c r="I91" i="1"/>
  <c r="K90" i="18"/>
  <c r="A91" i="18"/>
  <c r="X90" i="18"/>
  <c r="L90" i="18"/>
  <c r="AB90" i="18"/>
  <c r="D91" i="16"/>
  <c r="A90" i="20"/>
  <c r="X89" i="20"/>
  <c r="K89" i="20"/>
  <c r="AB89" i="20"/>
  <c r="X95" i="1"/>
  <c r="AJ95" i="1"/>
  <c r="K95" i="1"/>
  <c r="AB95" i="1"/>
  <c r="L95" i="1"/>
  <c r="A96" i="1"/>
  <c r="AK95" i="1"/>
  <c r="A86" i="25"/>
  <c r="AB85" i="25"/>
  <c r="X85" i="25"/>
  <c r="K85" i="25"/>
  <c r="I92" i="1"/>
  <c r="I93" i="1"/>
  <c r="K86" i="25"/>
  <c r="X86" i="25"/>
  <c r="L86" i="25"/>
  <c r="A87" i="25"/>
  <c r="AB86" i="25"/>
  <c r="K91" i="18"/>
  <c r="AB91" i="18"/>
  <c r="X91" i="18"/>
  <c r="A92" i="18"/>
  <c r="X92" i="17"/>
  <c r="A93" i="17"/>
  <c r="L92" i="17"/>
  <c r="D92" i="17" s="1"/>
  <c r="K92" i="17"/>
  <c r="AB92" i="17"/>
  <c r="K89" i="22"/>
  <c r="A90" i="22"/>
  <c r="L89" i="22"/>
  <c r="AB89" i="22"/>
  <c r="X89" i="22"/>
  <c r="AB88" i="23"/>
  <c r="X88" i="23"/>
  <c r="L88" i="23"/>
  <c r="AF46" i="7" s="1"/>
  <c r="K88" i="23"/>
  <c r="A89" i="23"/>
  <c r="AE46" i="7"/>
  <c r="A94" i="16"/>
  <c r="K93" i="16"/>
  <c r="L93" i="16"/>
  <c r="X93" i="16"/>
  <c r="AB93" i="16"/>
  <c r="A97" i="1"/>
  <c r="L96" i="1"/>
  <c r="AB96" i="1"/>
  <c r="X96" i="1"/>
  <c r="AK96" i="1"/>
  <c r="K96" i="1"/>
  <c r="AJ96" i="1"/>
  <c r="A91" i="20"/>
  <c r="X90" i="20"/>
  <c r="L90" i="20"/>
  <c r="AB90" i="20"/>
  <c r="K90" i="20"/>
  <c r="A88" i="24"/>
  <c r="X87" i="24"/>
  <c r="K87" i="24"/>
  <c r="AB87" i="24"/>
  <c r="X94" i="15"/>
  <c r="K94" i="15"/>
  <c r="L94" i="15"/>
  <c r="D94" i="15" s="1"/>
  <c r="A95" i="15"/>
  <c r="AB94" i="15"/>
  <c r="AK97" i="1"/>
  <c r="L97" i="1"/>
  <c r="A98" i="1"/>
  <c r="AJ97" i="1"/>
  <c r="K97" i="1"/>
  <c r="AB97" i="1"/>
  <c r="X97" i="1"/>
  <c r="A94" i="17"/>
  <c r="K93" i="17"/>
  <c r="X93" i="17"/>
  <c r="L93" i="17"/>
  <c r="D93" i="17" s="1"/>
  <c r="AB93" i="17"/>
  <c r="AB95" i="15"/>
  <c r="X95" i="15"/>
  <c r="L95" i="15"/>
  <c r="D95" i="15" s="1"/>
  <c r="K95" i="15"/>
  <c r="A96" i="15"/>
  <c r="X88" i="24"/>
  <c r="AB88" i="24"/>
  <c r="K88" i="24"/>
  <c r="A89" i="24"/>
  <c r="AE58" i="7"/>
  <c r="X91" i="20"/>
  <c r="AB91" i="20"/>
  <c r="K91" i="20"/>
  <c r="A92" i="20"/>
  <c r="D93" i="16"/>
  <c r="X94" i="16"/>
  <c r="L94" i="16"/>
  <c r="D94" i="16" s="1"/>
  <c r="A95" i="16"/>
  <c r="K94" i="16"/>
  <c r="AB94" i="16"/>
  <c r="A90" i="23"/>
  <c r="AB89" i="23"/>
  <c r="L89" i="23"/>
  <c r="X89" i="23"/>
  <c r="K89" i="23"/>
  <c r="AB90" i="22"/>
  <c r="L90" i="22"/>
  <c r="K90" i="22"/>
  <c r="X90" i="22"/>
  <c r="A91" i="22"/>
  <c r="X92" i="18"/>
  <c r="A93" i="18"/>
  <c r="K92" i="18"/>
  <c r="AB92" i="18"/>
  <c r="X87" i="25"/>
  <c r="L87" i="25"/>
  <c r="K87" i="25"/>
  <c r="A88" i="25"/>
  <c r="AB87" i="25"/>
  <c r="X88" i="25"/>
  <c r="AB88" i="25"/>
  <c r="L88" i="25"/>
  <c r="AF70" i="7" s="1"/>
  <c r="K88" i="25"/>
  <c r="AE70" i="7"/>
  <c r="A89" i="25"/>
  <c r="K91" i="22"/>
  <c r="A92" i="22"/>
  <c r="L91" i="22"/>
  <c r="AB91" i="22"/>
  <c r="X91" i="22"/>
  <c r="A91" i="23"/>
  <c r="L90" i="23"/>
  <c r="AB90" i="23"/>
  <c r="K90" i="23"/>
  <c r="X90" i="23"/>
  <c r="AB92" i="20"/>
  <c r="X92" i="20"/>
  <c r="A93" i="20"/>
  <c r="K92" i="20"/>
  <c r="I94" i="1"/>
  <c r="A94" i="18"/>
  <c r="AB93" i="18"/>
  <c r="X93" i="18"/>
  <c r="K93" i="18"/>
  <c r="L95" i="16"/>
  <c r="D95" i="16" s="1"/>
  <c r="AB95" i="16"/>
  <c r="K95" i="16"/>
  <c r="X95" i="16"/>
  <c r="A96" i="16"/>
  <c r="K89" i="24"/>
  <c r="L89" i="24"/>
  <c r="X89" i="24"/>
  <c r="A90" i="24"/>
  <c r="AB89" i="24"/>
  <c r="K96" i="15"/>
  <c r="X96" i="15"/>
  <c r="L96" i="15"/>
  <c r="D96" i="15" s="1"/>
  <c r="AB96" i="15"/>
  <c r="A97" i="15"/>
  <c r="A95" i="17"/>
  <c r="AB94" i="17"/>
  <c r="L94" i="17"/>
  <c r="D94" i="17" s="1"/>
  <c r="X94" i="17"/>
  <c r="K94" i="17"/>
  <c r="K98" i="1"/>
  <c r="L98" i="1"/>
  <c r="AJ98" i="1"/>
  <c r="X98" i="1"/>
  <c r="AK98" i="1"/>
  <c r="A99" i="1"/>
  <c r="AB98" i="1"/>
  <c r="K99" i="1"/>
  <c r="AK99" i="1"/>
  <c r="X99" i="1"/>
  <c r="L99" i="1"/>
  <c r="AB99" i="1"/>
  <c r="A100" i="1"/>
  <c r="AJ99" i="1"/>
  <c r="X90" i="24"/>
  <c r="L90" i="24"/>
  <c r="K90" i="24"/>
  <c r="AB90" i="24"/>
  <c r="A91" i="24"/>
  <c r="K91" i="23"/>
  <c r="AB91" i="23"/>
  <c r="X91" i="23"/>
  <c r="A92" i="23"/>
  <c r="K92" i="22"/>
  <c r="A93" i="22"/>
  <c r="L92" i="22"/>
  <c r="X92" i="22"/>
  <c r="AB92" i="22"/>
  <c r="K89" i="25"/>
  <c r="A90" i="25"/>
  <c r="L89" i="25"/>
  <c r="AB89" i="25"/>
  <c r="X89" i="25"/>
  <c r="I95" i="1"/>
  <c r="AB95" i="17"/>
  <c r="A96" i="17"/>
  <c r="K95" i="17"/>
  <c r="L95" i="17"/>
  <c r="D95" i="17" s="1"/>
  <c r="X95" i="17"/>
  <c r="A98" i="15"/>
  <c r="K97" i="15"/>
  <c r="X97" i="15"/>
  <c r="AB97" i="15"/>
  <c r="L97" i="15"/>
  <c r="L96" i="16"/>
  <c r="D96" i="16" s="1"/>
  <c r="AB96" i="16"/>
  <c r="A97" i="16"/>
  <c r="X96" i="16"/>
  <c r="K96" i="16"/>
  <c r="A95" i="18"/>
  <c r="X94" i="18"/>
  <c r="K94" i="18"/>
  <c r="AB94" i="18"/>
  <c r="X93" i="20"/>
  <c r="AB93" i="20"/>
  <c r="K93" i="20"/>
  <c r="A94" i="20"/>
  <c r="AB97" i="16"/>
  <c r="K97" i="16"/>
  <c r="X97" i="16"/>
  <c r="A98" i="16"/>
  <c r="D97" i="15"/>
  <c r="K93" i="22"/>
  <c r="X93" i="22"/>
  <c r="L93" i="22"/>
  <c r="A94" i="22"/>
  <c r="AB93" i="22"/>
  <c r="A93" i="23"/>
  <c r="K92" i="23"/>
  <c r="X92" i="23"/>
  <c r="AB92" i="23"/>
  <c r="I96" i="1"/>
  <c r="A95" i="20"/>
  <c r="X94" i="20"/>
  <c r="K94" i="20"/>
  <c r="AB94" i="20"/>
  <c r="AB95" i="18"/>
  <c r="K95" i="18"/>
  <c r="A96" i="18"/>
  <c r="X95" i="18"/>
  <c r="X98" i="15"/>
  <c r="K98" i="15"/>
  <c r="AB98" i="15"/>
  <c r="A99" i="15"/>
  <c r="L98" i="15"/>
  <c r="D98" i="15" s="1"/>
  <c r="A97" i="17"/>
  <c r="AB96" i="17"/>
  <c r="L96" i="17"/>
  <c r="X96" i="17"/>
  <c r="K96" i="17"/>
  <c r="AB90" i="25"/>
  <c r="A91" i="25"/>
  <c r="X90" i="25"/>
  <c r="K90" i="25"/>
  <c r="A92" i="24"/>
  <c r="L91" i="24"/>
  <c r="X91" i="24"/>
  <c r="AB91" i="24"/>
  <c r="K91" i="24"/>
  <c r="AJ100" i="1"/>
  <c r="L100" i="1"/>
  <c r="AB100" i="1"/>
  <c r="K100" i="1"/>
  <c r="AK100" i="1"/>
  <c r="A101" i="1"/>
  <c r="X100" i="1"/>
  <c r="I97" i="1"/>
  <c r="AJ101" i="1"/>
  <c r="AB101" i="1"/>
  <c r="X101" i="1"/>
  <c r="L101" i="1"/>
  <c r="A102" i="1"/>
  <c r="AK101" i="1"/>
  <c r="K101" i="1"/>
  <c r="A93" i="24"/>
  <c r="AB92" i="24"/>
  <c r="X92" i="24"/>
  <c r="K92" i="24"/>
  <c r="X91" i="25"/>
  <c r="K91" i="25"/>
  <c r="A92" i="25"/>
  <c r="L91" i="25"/>
  <c r="AB91" i="25"/>
  <c r="AB96" i="18"/>
  <c r="K96" i="18"/>
  <c r="A97" i="18"/>
  <c r="X96" i="18"/>
  <c r="A96" i="20"/>
  <c r="AB95" i="20"/>
  <c r="K95" i="20"/>
  <c r="X95" i="20"/>
  <c r="D96" i="17"/>
  <c r="AB97" i="17"/>
  <c r="L97" i="17"/>
  <c r="K97" i="17"/>
  <c r="A98" i="17"/>
  <c r="X97" i="17"/>
  <c r="X99" i="15"/>
  <c r="A100" i="15"/>
  <c r="AB99" i="15"/>
  <c r="K99" i="15"/>
  <c r="L99" i="15"/>
  <c r="X93" i="23"/>
  <c r="K93" i="23"/>
  <c r="AB93" i="23"/>
  <c r="A94" i="23"/>
  <c r="AB94" i="22"/>
  <c r="L94" i="22"/>
  <c r="K94" i="22"/>
  <c r="X94" i="22"/>
  <c r="A95" i="22"/>
  <c r="K98" i="16"/>
  <c r="L98" i="16"/>
  <c r="D98" i="16" s="1"/>
  <c r="AB98" i="16"/>
  <c r="A99" i="16"/>
  <c r="X98" i="16"/>
  <c r="L99" i="16"/>
  <c r="D99" i="16" s="1"/>
  <c r="AB99" i="16"/>
  <c r="X99" i="16"/>
  <c r="A100" i="16"/>
  <c r="K99" i="16"/>
  <c r="K95" i="22"/>
  <c r="AB95" i="22"/>
  <c r="L95" i="22"/>
  <c r="X95" i="22"/>
  <c r="A96" i="22"/>
  <c r="AB94" i="23"/>
  <c r="L94" i="23"/>
  <c r="A95" i="23"/>
  <c r="X94" i="23"/>
  <c r="K94" i="23"/>
  <c r="I99" i="1"/>
  <c r="K100" i="15"/>
  <c r="A101" i="15"/>
  <c r="AB100" i="15"/>
  <c r="X100" i="15"/>
  <c r="L100" i="15"/>
  <c r="D100" i="15" s="1"/>
  <c r="AB98" i="17"/>
  <c r="K98" i="17"/>
  <c r="X98" i="17"/>
  <c r="L98" i="17"/>
  <c r="D98" i="17" s="1"/>
  <c r="A99" i="17"/>
  <c r="D97" i="17"/>
  <c r="AB96" i="20"/>
  <c r="K96" i="20"/>
  <c r="X96" i="20"/>
  <c r="L96" i="20"/>
  <c r="A97" i="20"/>
  <c r="X97" i="18"/>
  <c r="K97" i="18"/>
  <c r="L97" i="18"/>
  <c r="AB97" i="18"/>
  <c r="A98" i="18"/>
  <c r="AB92" i="25"/>
  <c r="L92" i="25"/>
  <c r="A93" i="25"/>
  <c r="X92" i="25"/>
  <c r="K92" i="25"/>
  <c r="AJ102" i="1"/>
  <c r="AB102" i="1"/>
  <c r="L102" i="1"/>
  <c r="X102" i="1"/>
  <c r="A103" i="1"/>
  <c r="K102" i="1"/>
  <c r="AK102" i="1"/>
  <c r="I98" i="1"/>
  <c r="D99" i="15"/>
  <c r="K93" i="24"/>
  <c r="A94" i="24"/>
  <c r="AB93" i="24"/>
  <c r="X93" i="24"/>
  <c r="L93" i="24"/>
  <c r="A95" i="24"/>
  <c r="L94" i="24"/>
  <c r="AB94" i="24"/>
  <c r="X94" i="24"/>
  <c r="K94" i="24"/>
  <c r="AB93" i="25"/>
  <c r="A94" i="25"/>
  <c r="X93" i="25"/>
  <c r="K93" i="25"/>
  <c r="L93" i="25"/>
  <c r="A99" i="18"/>
  <c r="K98" i="18"/>
  <c r="X98" i="18"/>
  <c r="AB98" i="18"/>
  <c r="AB95" i="23"/>
  <c r="K95" i="23"/>
  <c r="L95" i="23"/>
  <c r="A96" i="23"/>
  <c r="X95" i="23"/>
  <c r="A104" i="1"/>
  <c r="AK103" i="1"/>
  <c r="AB103" i="1"/>
  <c r="X103" i="1"/>
  <c r="AJ103" i="1"/>
  <c r="L103" i="1"/>
  <c r="K103" i="1"/>
  <c r="X97" i="20"/>
  <c r="K97" i="20"/>
  <c r="A98" i="20"/>
  <c r="L97" i="20"/>
  <c r="AB97" i="20"/>
  <c r="AB99" i="17"/>
  <c r="K99" i="17"/>
  <c r="A100" i="17"/>
  <c r="L99" i="17"/>
  <c r="D99" i="17" s="1"/>
  <c r="X99" i="17"/>
  <c r="X101" i="15"/>
  <c r="A102" i="15"/>
  <c r="AB101" i="15"/>
  <c r="L101" i="15"/>
  <c r="D101" i="15" s="1"/>
  <c r="K101" i="15"/>
  <c r="AB96" i="22"/>
  <c r="L96" i="22"/>
  <c r="A97" i="22"/>
  <c r="K96" i="22"/>
  <c r="X96" i="22"/>
  <c r="L100" i="16"/>
  <c r="D100" i="16" s="1"/>
  <c r="AB100" i="16"/>
  <c r="X100" i="16"/>
  <c r="A101" i="16"/>
  <c r="K100" i="16"/>
  <c r="A102" i="16"/>
  <c r="L101" i="16"/>
  <c r="D101" i="16" s="1"/>
  <c r="K101" i="16"/>
  <c r="X101" i="16"/>
  <c r="AB101" i="16"/>
  <c r="K97" i="22"/>
  <c r="L97" i="22"/>
  <c r="X97" i="22"/>
  <c r="A98" i="22"/>
  <c r="AB97" i="22"/>
  <c r="A105" i="1"/>
  <c r="X104" i="1"/>
  <c r="AK104" i="1"/>
  <c r="AB104" i="1"/>
  <c r="L104" i="1"/>
  <c r="K104" i="1"/>
  <c r="AJ104" i="1"/>
  <c r="X96" i="23"/>
  <c r="AB96" i="23"/>
  <c r="K96" i="23"/>
  <c r="A97" i="23"/>
  <c r="L96" i="23"/>
  <c r="X99" i="18"/>
  <c r="AB99" i="18"/>
  <c r="K99" i="18"/>
  <c r="A100" i="18"/>
  <c r="A95" i="25"/>
  <c r="K94" i="25"/>
  <c r="L94" i="25"/>
  <c r="AB94" i="25"/>
  <c r="X94" i="25"/>
  <c r="I100" i="1"/>
  <c r="X102" i="15"/>
  <c r="AB102" i="15"/>
  <c r="L102" i="15"/>
  <c r="K102" i="15"/>
  <c r="A103" i="15"/>
  <c r="AB100" i="17"/>
  <c r="A101" i="17"/>
  <c r="K100" i="17"/>
  <c r="X100" i="17"/>
  <c r="L100" i="17"/>
  <c r="A99" i="20"/>
  <c r="X98" i="20"/>
  <c r="K98" i="20"/>
  <c r="AB98" i="20"/>
  <c r="L98" i="20"/>
  <c r="AB95" i="24"/>
  <c r="L95" i="24"/>
  <c r="K95" i="24"/>
  <c r="A96" i="24"/>
  <c r="X95" i="24"/>
  <c r="AB99" i="20"/>
  <c r="L99" i="20"/>
  <c r="K99" i="20"/>
  <c r="X99" i="20"/>
  <c r="A100" i="20"/>
  <c r="D100" i="17"/>
  <c r="A102" i="17"/>
  <c r="AB101" i="17"/>
  <c r="L101" i="17"/>
  <c r="D101" i="17" s="1"/>
  <c r="X101" i="17"/>
  <c r="K101" i="17"/>
  <c r="L103" i="15"/>
  <c r="X103" i="15"/>
  <c r="K103" i="15"/>
  <c r="A104" i="15"/>
  <c r="AB103" i="15"/>
  <c r="D102" i="15"/>
  <c r="AB95" i="25"/>
  <c r="X95" i="25"/>
  <c r="L95" i="25"/>
  <c r="A96" i="25"/>
  <c r="K95" i="25"/>
  <c r="I101" i="1"/>
  <c r="X96" i="24"/>
  <c r="AB96" i="24"/>
  <c r="L96" i="24"/>
  <c r="K96" i="24"/>
  <c r="A97" i="24"/>
  <c r="A101" i="18"/>
  <c r="X100" i="18"/>
  <c r="L100" i="18"/>
  <c r="K100" i="18"/>
  <c r="AB100" i="18"/>
  <c r="X97" i="23"/>
  <c r="L97" i="23"/>
  <c r="A98" i="23"/>
  <c r="AB97" i="23"/>
  <c r="K97" i="23"/>
  <c r="X105" i="1"/>
  <c r="AJ105" i="1"/>
  <c r="AB105" i="1"/>
  <c r="L105" i="1"/>
  <c r="AK105" i="1"/>
  <c r="A106" i="1"/>
  <c r="K105" i="1"/>
  <c r="AB98" i="22"/>
  <c r="K98" i="22"/>
  <c r="X98" i="22"/>
  <c r="L98" i="22"/>
  <c r="A99" i="22"/>
  <c r="K102" i="16"/>
  <c r="AB102" i="16"/>
  <c r="X102" i="16"/>
  <c r="A103" i="16"/>
  <c r="L102" i="16"/>
  <c r="D102" i="16" s="1"/>
  <c r="AB99" i="22"/>
  <c r="X99" i="22"/>
  <c r="K99" i="22"/>
  <c r="A100" i="22"/>
  <c r="L99" i="22"/>
  <c r="K97" i="24"/>
  <c r="L97" i="24"/>
  <c r="X97" i="24"/>
  <c r="AB97" i="24"/>
  <c r="A98" i="24"/>
  <c r="X96" i="25"/>
  <c r="A97" i="25"/>
  <c r="L96" i="25"/>
  <c r="K96" i="25"/>
  <c r="AB96" i="25"/>
  <c r="AB104" i="15"/>
  <c r="L104" i="15"/>
  <c r="K104" i="15"/>
  <c r="X104" i="15"/>
  <c r="A105" i="15"/>
  <c r="AB102" i="17"/>
  <c r="K102" i="17"/>
  <c r="A103" i="17"/>
  <c r="L102" i="17"/>
  <c r="D102" i="17" s="1"/>
  <c r="X102" i="17"/>
  <c r="X100" i="20"/>
  <c r="L100" i="20"/>
  <c r="AB100" i="20"/>
  <c r="A101" i="20"/>
  <c r="K100" i="20"/>
  <c r="I102" i="1"/>
  <c r="A104" i="16"/>
  <c r="AB103" i="16"/>
  <c r="K103" i="16"/>
  <c r="L103" i="16"/>
  <c r="D103" i="16" s="1"/>
  <c r="X103" i="16"/>
  <c r="AJ106" i="1"/>
  <c r="AB106" i="1"/>
  <c r="L106" i="1"/>
  <c r="K106" i="1"/>
  <c r="A107" i="1"/>
  <c r="X106" i="1"/>
  <c r="AK106" i="1"/>
  <c r="K98" i="23"/>
  <c r="AB98" i="23"/>
  <c r="A99" i="23"/>
  <c r="X98" i="23"/>
  <c r="L98" i="23"/>
  <c r="X101" i="18"/>
  <c r="L101" i="18"/>
  <c r="A102" i="18"/>
  <c r="AB101" i="18"/>
  <c r="K101" i="18"/>
  <c r="D103" i="15"/>
  <c r="A100" i="23"/>
  <c r="L99" i="23"/>
  <c r="AB99" i="23"/>
  <c r="X99" i="23"/>
  <c r="K99" i="23"/>
  <c r="K107" i="1"/>
  <c r="L107" i="1"/>
  <c r="A108" i="1"/>
  <c r="X107" i="1"/>
  <c r="AK107" i="1"/>
  <c r="AJ107" i="1"/>
  <c r="AB107" i="1"/>
  <c r="AB104" i="16"/>
  <c r="A105" i="16"/>
  <c r="L104" i="16"/>
  <c r="D104" i="16" s="1"/>
  <c r="K104" i="16"/>
  <c r="X104" i="16"/>
  <c r="AB103" i="17"/>
  <c r="X103" i="17"/>
  <c r="L103" i="17"/>
  <c r="D103" i="17" s="1"/>
  <c r="K103" i="17"/>
  <c r="A104" i="17"/>
  <c r="D104" i="15"/>
  <c r="K97" i="25"/>
  <c r="A98" i="25"/>
  <c r="AB97" i="25"/>
  <c r="X97" i="25"/>
  <c r="L97" i="25"/>
  <c r="X98" i="24"/>
  <c r="K98" i="24"/>
  <c r="L98" i="24"/>
  <c r="AB98" i="24"/>
  <c r="A99" i="24"/>
  <c r="A101" i="22"/>
  <c r="AB100" i="22"/>
  <c r="L100" i="22"/>
  <c r="K100" i="22"/>
  <c r="X100" i="22"/>
  <c r="I103" i="1"/>
  <c r="AB102" i="18"/>
  <c r="K102" i="18"/>
  <c r="L102" i="18"/>
  <c r="A103" i="18"/>
  <c r="X102" i="18"/>
  <c r="A102" i="20"/>
  <c r="K101" i="20"/>
  <c r="X101" i="20"/>
  <c r="L101" i="20"/>
  <c r="AB101" i="20"/>
  <c r="L105" i="15"/>
  <c r="D105" i="15" s="1"/>
  <c r="X105" i="15"/>
  <c r="A106" i="15"/>
  <c r="AB105" i="15"/>
  <c r="K105" i="15"/>
  <c r="A102" i="22"/>
  <c r="X101" i="22"/>
  <c r="L101" i="22"/>
  <c r="K101" i="22"/>
  <c r="AB101" i="22"/>
  <c r="I104" i="1"/>
  <c r="K104" i="17"/>
  <c r="X104" i="17"/>
  <c r="L104" i="17"/>
  <c r="D104" i="17" s="1"/>
  <c r="A105" i="17"/>
  <c r="AB104" i="17"/>
  <c r="L105" i="16"/>
  <c r="D105" i="16" s="1"/>
  <c r="AB105" i="16"/>
  <c r="X105" i="16"/>
  <c r="K105" i="16"/>
  <c r="A106" i="16"/>
  <c r="L106" i="15"/>
  <c r="D106" i="15" s="1"/>
  <c r="X106" i="15"/>
  <c r="A107" i="15"/>
  <c r="AB106" i="15"/>
  <c r="K106" i="15"/>
  <c r="AB102" i="20"/>
  <c r="A103" i="20"/>
  <c r="L102" i="20"/>
  <c r="K102" i="20"/>
  <c r="X102" i="20"/>
  <c r="K103" i="18"/>
  <c r="L103" i="18"/>
  <c r="X103" i="18"/>
  <c r="A104" i="18"/>
  <c r="AB103" i="18"/>
  <c r="AB99" i="24"/>
  <c r="K99" i="24"/>
  <c r="X99" i="24"/>
  <c r="A100" i="24"/>
  <c r="L99" i="24"/>
  <c r="AB98" i="25"/>
  <c r="A99" i="25"/>
  <c r="L98" i="25"/>
  <c r="X98" i="25"/>
  <c r="K98" i="25"/>
  <c r="A109" i="1"/>
  <c r="AJ108" i="1"/>
  <c r="K108" i="1"/>
  <c r="AB108" i="1"/>
  <c r="X108" i="1"/>
  <c r="AK108" i="1"/>
  <c r="L108" i="1"/>
  <c r="A101" i="23"/>
  <c r="X100" i="23"/>
  <c r="AB100" i="23"/>
  <c r="K100" i="23"/>
  <c r="L100" i="23"/>
  <c r="A110" i="1"/>
  <c r="L109" i="1"/>
  <c r="X109" i="1"/>
  <c r="AB109" i="1"/>
  <c r="K109" i="1"/>
  <c r="AJ109" i="1"/>
  <c r="AK109" i="1"/>
  <c r="X103" i="20"/>
  <c r="A104" i="20"/>
  <c r="AB103" i="20"/>
  <c r="K103" i="20"/>
  <c r="L103" i="20"/>
  <c r="L106" i="16"/>
  <c r="D106" i="16" s="1"/>
  <c r="K106" i="16"/>
  <c r="A107" i="16"/>
  <c r="X106" i="16"/>
  <c r="AB106" i="16"/>
  <c r="K102" i="22"/>
  <c r="L102" i="22"/>
  <c r="A103" i="22"/>
  <c r="X102" i="22"/>
  <c r="AB102" i="22"/>
  <c r="AB101" i="23"/>
  <c r="A102" i="23"/>
  <c r="X101" i="23"/>
  <c r="K101" i="23"/>
  <c r="L101" i="23"/>
  <c r="I106" i="1"/>
  <c r="X99" i="25"/>
  <c r="K99" i="25"/>
  <c r="L99" i="25"/>
  <c r="AB99" i="25"/>
  <c r="A100" i="25"/>
  <c r="A101" i="24"/>
  <c r="X100" i="24"/>
  <c r="L100" i="24"/>
  <c r="K100" i="24"/>
  <c r="AB100" i="24"/>
  <c r="I105" i="1"/>
  <c r="AB104" i="18"/>
  <c r="A105" i="18"/>
  <c r="X104" i="18"/>
  <c r="L104" i="18"/>
  <c r="K104" i="18"/>
  <c r="L107" i="15"/>
  <c r="D107" i="15" s="1"/>
  <c r="A108" i="15"/>
  <c r="AB107" i="15"/>
  <c r="K107" i="15"/>
  <c r="X107" i="15"/>
  <c r="X105" i="17"/>
  <c r="AB105" i="17"/>
  <c r="A106" i="17"/>
  <c r="L105" i="17"/>
  <c r="D105" i="17" s="1"/>
  <c r="K105" i="17"/>
  <c r="I107" i="1"/>
  <c r="L108" i="15"/>
  <c r="AB108" i="15"/>
  <c r="X108" i="15"/>
  <c r="A109" i="15"/>
  <c r="K108" i="15"/>
  <c r="X105" i="18"/>
  <c r="AB105" i="18"/>
  <c r="K105" i="18"/>
  <c r="A106" i="18"/>
  <c r="A102" i="24"/>
  <c r="X101" i="24"/>
  <c r="K101" i="24"/>
  <c r="L101" i="24"/>
  <c r="AB101" i="24"/>
  <c r="L107" i="16"/>
  <c r="D107" i="16" s="1"/>
  <c r="A108" i="16"/>
  <c r="K107" i="16"/>
  <c r="AB107" i="16"/>
  <c r="X107" i="16"/>
  <c r="X106" i="17"/>
  <c r="AB106" i="17"/>
  <c r="L106" i="17"/>
  <c r="D106" i="17" s="1"/>
  <c r="A107" i="17"/>
  <c r="K106" i="17"/>
  <c r="K100" i="25"/>
  <c r="X100" i="25"/>
  <c r="A101" i="25"/>
  <c r="AB100" i="25"/>
  <c r="L100" i="25"/>
  <c r="K102" i="23"/>
  <c r="L102" i="23"/>
  <c r="AB102" i="23"/>
  <c r="A103" i="23"/>
  <c r="X102" i="23"/>
  <c r="A104" i="22"/>
  <c r="X103" i="22"/>
  <c r="AB103" i="22"/>
  <c r="K103" i="22"/>
  <c r="L103" i="22"/>
  <c r="AB104" i="20"/>
  <c r="K104" i="20"/>
  <c r="L104" i="20"/>
  <c r="X104" i="20"/>
  <c r="A105" i="20"/>
  <c r="K110" i="1"/>
  <c r="L110" i="1"/>
  <c r="X110" i="1"/>
  <c r="AB110" i="1"/>
  <c r="AK110" i="1"/>
  <c r="AJ110" i="1"/>
  <c r="A111" i="1"/>
  <c r="I108" i="1"/>
  <c r="X105" i="20"/>
  <c r="L105" i="20"/>
  <c r="A106" i="20"/>
  <c r="K105" i="20"/>
  <c r="AB105" i="20"/>
  <c r="K104" i="22"/>
  <c r="L104" i="22"/>
  <c r="X104" i="22"/>
  <c r="AB104" i="22"/>
  <c r="A105" i="22"/>
  <c r="A104" i="23"/>
  <c r="L103" i="23"/>
  <c r="K103" i="23"/>
  <c r="X103" i="23"/>
  <c r="AB103" i="23"/>
  <c r="AB101" i="25"/>
  <c r="A102" i="25"/>
  <c r="K101" i="25"/>
  <c r="L101" i="25"/>
  <c r="X101" i="25"/>
  <c r="A108" i="17"/>
  <c r="K107" i="17"/>
  <c r="AB107" i="17"/>
  <c r="L107" i="17"/>
  <c r="D107" i="17" s="1"/>
  <c r="X107" i="17"/>
  <c r="K102" i="24"/>
  <c r="AB102" i="24"/>
  <c r="L102" i="24"/>
  <c r="A103" i="24"/>
  <c r="X102" i="24"/>
  <c r="K106" i="18"/>
  <c r="X106" i="18"/>
  <c r="A107" i="18"/>
  <c r="AB106" i="18"/>
  <c r="D108" i="15"/>
  <c r="A112" i="1"/>
  <c r="X111" i="1"/>
  <c r="AK111" i="1"/>
  <c r="K111" i="1"/>
  <c r="AB111" i="1"/>
  <c r="AJ111" i="1"/>
  <c r="L111" i="1"/>
  <c r="A109" i="16"/>
  <c r="K108" i="16"/>
  <c r="X108" i="16"/>
  <c r="AB108" i="16"/>
  <c r="L108" i="16"/>
  <c r="D108" i="16" s="1"/>
  <c r="AB109" i="15"/>
  <c r="K109" i="15"/>
  <c r="A110" i="15"/>
  <c r="L109" i="15"/>
  <c r="X109" i="15"/>
  <c r="I109" i="1"/>
  <c r="L110" i="15"/>
  <c r="D110" i="15" s="1"/>
  <c r="K110" i="15"/>
  <c r="A111" i="15"/>
  <c r="AB110" i="15"/>
  <c r="X110" i="15"/>
  <c r="D109" i="15"/>
  <c r="A110" i="16"/>
  <c r="AB109" i="16"/>
  <c r="X109" i="16"/>
  <c r="K109" i="16"/>
  <c r="L109" i="16"/>
  <c r="D109" i="16" s="1"/>
  <c r="A113" i="1"/>
  <c r="L112" i="1"/>
  <c r="AK112" i="1"/>
  <c r="K112" i="1"/>
  <c r="AJ112" i="1"/>
  <c r="X112" i="1"/>
  <c r="AB112" i="1"/>
  <c r="K103" i="24"/>
  <c r="AB103" i="24"/>
  <c r="L103" i="24"/>
  <c r="A104" i="24"/>
  <c r="X103" i="24"/>
  <c r="X108" i="17"/>
  <c r="AB108" i="17"/>
  <c r="A109" i="17"/>
  <c r="L108" i="17"/>
  <c r="D108" i="17" s="1"/>
  <c r="K108" i="17"/>
  <c r="AB105" i="22"/>
  <c r="A106" i="22"/>
  <c r="L105" i="22"/>
  <c r="X105" i="22"/>
  <c r="K105" i="22"/>
  <c r="K106" i="20"/>
  <c r="L106" i="20"/>
  <c r="A107" i="20"/>
  <c r="AB106" i="20"/>
  <c r="X106" i="20"/>
  <c r="AB107" i="18"/>
  <c r="A108" i="18"/>
  <c r="L107" i="18"/>
  <c r="X107" i="18"/>
  <c r="K107" i="18"/>
  <c r="A103" i="25"/>
  <c r="X102" i="25"/>
  <c r="AB102" i="25"/>
  <c r="K102" i="25"/>
  <c r="L102" i="25"/>
  <c r="A105" i="23"/>
  <c r="L104" i="23"/>
  <c r="X104" i="23"/>
  <c r="AB104" i="23"/>
  <c r="K104" i="23"/>
  <c r="AB103" i="25"/>
  <c r="L103" i="25"/>
  <c r="K103" i="25"/>
  <c r="A104" i="25"/>
  <c r="X103" i="25"/>
  <c r="A106" i="23"/>
  <c r="AB105" i="23"/>
  <c r="K105" i="23"/>
  <c r="L105" i="23"/>
  <c r="X105" i="23"/>
  <c r="AB107" i="20"/>
  <c r="K107" i="20"/>
  <c r="A108" i="20"/>
  <c r="L107" i="20"/>
  <c r="X107" i="20"/>
  <c r="A107" i="22"/>
  <c r="K106" i="22"/>
  <c r="L106" i="22"/>
  <c r="AB106" i="22"/>
  <c r="X106" i="22"/>
  <c r="A110" i="17"/>
  <c r="K109" i="17"/>
  <c r="L109" i="17"/>
  <c r="AB109" i="17"/>
  <c r="X109" i="17"/>
  <c r="K104" i="24"/>
  <c r="X104" i="24"/>
  <c r="AB104" i="24"/>
  <c r="L104" i="24"/>
  <c r="A105" i="24"/>
  <c r="AJ113" i="1"/>
  <c r="L113" i="1"/>
  <c r="K113" i="1"/>
  <c r="AK113" i="1"/>
  <c r="A114" i="1"/>
  <c r="AB113" i="1"/>
  <c r="X113" i="1"/>
  <c r="A112" i="15"/>
  <c r="K111" i="15"/>
  <c r="L111" i="15"/>
  <c r="D111" i="15" s="1"/>
  <c r="X111" i="15"/>
  <c r="AB111" i="15"/>
  <c r="K108" i="18"/>
  <c r="L108" i="18"/>
  <c r="X108" i="18"/>
  <c r="AB108" i="18"/>
  <c r="A109" i="18"/>
  <c r="I110" i="1"/>
  <c r="A111" i="16"/>
  <c r="L110" i="16"/>
  <c r="D110" i="16" s="1"/>
  <c r="AB110" i="16"/>
  <c r="K110" i="16"/>
  <c r="X110" i="16"/>
  <c r="AB111" i="16"/>
  <c r="K111" i="16"/>
  <c r="L111" i="16"/>
  <c r="D111" i="16" s="1"/>
  <c r="A112" i="16"/>
  <c r="X111" i="16"/>
  <c r="X109" i="18"/>
  <c r="A110" i="18"/>
  <c r="K109" i="18"/>
  <c r="AB109" i="18"/>
  <c r="A115" i="1"/>
  <c r="AK114" i="1"/>
  <c r="K114" i="1"/>
  <c r="AB114" i="1"/>
  <c r="L114" i="1"/>
  <c r="AJ114" i="1"/>
  <c r="X114" i="1"/>
  <c r="D109" i="17"/>
  <c r="K110" i="17"/>
  <c r="AB110" i="17"/>
  <c r="A111" i="17"/>
  <c r="X110" i="17"/>
  <c r="L110" i="17"/>
  <c r="D110" i="17" s="1"/>
  <c r="X108" i="20"/>
  <c r="AB108" i="20"/>
  <c r="L108" i="20"/>
  <c r="K108" i="20"/>
  <c r="A109" i="20"/>
  <c r="K112" i="15"/>
  <c r="X112" i="15"/>
  <c r="A113" i="15"/>
  <c r="AB112" i="15"/>
  <c r="L112" i="15"/>
  <c r="D112" i="15" s="1"/>
  <c r="K105" i="24"/>
  <c r="X105" i="24"/>
  <c r="L105" i="24"/>
  <c r="AB105" i="24"/>
  <c r="A106" i="24"/>
  <c r="K107" i="22"/>
  <c r="X107" i="22"/>
  <c r="AB107" i="22"/>
  <c r="L107" i="22"/>
  <c r="A108" i="22"/>
  <c r="A107" i="23"/>
  <c r="K106" i="23"/>
  <c r="L106" i="23"/>
  <c r="AB106" i="23"/>
  <c r="X106" i="23"/>
  <c r="AB104" i="25"/>
  <c r="L104" i="25"/>
  <c r="X104" i="25"/>
  <c r="A105" i="25"/>
  <c r="K104" i="25"/>
  <c r="K108" i="22"/>
  <c r="AB108" i="22"/>
  <c r="L108" i="22"/>
  <c r="A109" i="22"/>
  <c r="X108" i="22"/>
  <c r="A107" i="24"/>
  <c r="AB106" i="24"/>
  <c r="L106" i="24"/>
  <c r="X106" i="24"/>
  <c r="K106" i="24"/>
  <c r="K109" i="20"/>
  <c r="L109" i="20"/>
  <c r="A110" i="20"/>
  <c r="X109" i="20"/>
  <c r="AB109" i="20"/>
  <c r="AK115" i="1"/>
  <c r="A116" i="1"/>
  <c r="AB115" i="1"/>
  <c r="L115" i="1"/>
  <c r="X115" i="1"/>
  <c r="K115" i="1"/>
  <c r="AJ115" i="1"/>
  <c r="AB110" i="18"/>
  <c r="X110" i="18"/>
  <c r="K110" i="18"/>
  <c r="A111" i="18"/>
  <c r="L112" i="16"/>
  <c r="A113" i="16"/>
  <c r="X112" i="16"/>
  <c r="AB112" i="16"/>
  <c r="K112" i="16"/>
  <c r="I111" i="1"/>
  <c r="AB105" i="25"/>
  <c r="K105" i="25"/>
  <c r="L105" i="25"/>
  <c r="X105" i="25"/>
  <c r="A106" i="25"/>
  <c r="X107" i="23"/>
  <c r="L107" i="23"/>
  <c r="AB107" i="23"/>
  <c r="A108" i="23"/>
  <c r="K107" i="23"/>
  <c r="X113" i="15"/>
  <c r="A114" i="15"/>
  <c r="K113" i="15"/>
  <c r="AB113" i="15"/>
  <c r="L113" i="15"/>
  <c r="D113" i="15" s="1"/>
  <c r="AB111" i="17"/>
  <c r="L111" i="17"/>
  <c r="X111" i="17"/>
  <c r="K111" i="17"/>
  <c r="A112" i="17"/>
  <c r="K112" i="17"/>
  <c r="X112" i="17"/>
  <c r="L112" i="17"/>
  <c r="D112" i="17" s="1"/>
  <c r="A113" i="17"/>
  <c r="AB112" i="17"/>
  <c r="K108" i="23"/>
  <c r="L108" i="23"/>
  <c r="X108" i="23"/>
  <c r="AB108" i="23"/>
  <c r="A109" i="23"/>
  <c r="K106" i="25"/>
  <c r="A107" i="25"/>
  <c r="L106" i="25"/>
  <c r="AB106" i="25"/>
  <c r="X106" i="25"/>
  <c r="D112" i="16"/>
  <c r="A112" i="18"/>
  <c r="L111" i="18"/>
  <c r="K111" i="18"/>
  <c r="AB111" i="18"/>
  <c r="X111" i="18"/>
  <c r="I112" i="1"/>
  <c r="X107" i="24"/>
  <c r="A108" i="24"/>
  <c r="AB107" i="24"/>
  <c r="K107" i="24"/>
  <c r="L107" i="24"/>
  <c r="A110" i="22"/>
  <c r="X109" i="22"/>
  <c r="L109" i="22"/>
  <c r="AB109" i="22"/>
  <c r="K109" i="22"/>
  <c r="D111" i="17"/>
  <c r="AB114" i="15"/>
  <c r="A115" i="15"/>
  <c r="X114" i="15"/>
  <c r="L114" i="15"/>
  <c r="K114" i="15"/>
  <c r="K113" i="16"/>
  <c r="L113" i="16"/>
  <c r="D113" i="16" s="1"/>
  <c r="X113" i="16"/>
  <c r="AB113" i="16"/>
  <c r="A114" i="16"/>
  <c r="K116" i="1"/>
  <c r="AK116" i="1"/>
  <c r="L116" i="1"/>
  <c r="X116" i="1"/>
  <c r="A117" i="1"/>
  <c r="AJ116" i="1"/>
  <c r="AB116" i="1"/>
  <c r="AB110" i="20"/>
  <c r="L110" i="20"/>
  <c r="X110" i="20"/>
  <c r="A111" i="20"/>
  <c r="K110" i="20"/>
  <c r="I114" i="1"/>
  <c r="A112" i="20"/>
  <c r="K111" i="20"/>
  <c r="X111" i="20"/>
  <c r="AB111" i="20"/>
  <c r="L111" i="20"/>
  <c r="A118" i="1"/>
  <c r="AK117" i="1"/>
  <c r="K117" i="1"/>
  <c r="L117" i="1"/>
  <c r="AJ117" i="1"/>
  <c r="AB117" i="1"/>
  <c r="X117" i="1"/>
  <c r="AB114" i="16"/>
  <c r="X114" i="16"/>
  <c r="L114" i="16"/>
  <c r="D114" i="16" s="1"/>
  <c r="A115" i="16"/>
  <c r="K114" i="16"/>
  <c r="D114" i="15"/>
  <c r="L115" i="15"/>
  <c r="K115" i="15"/>
  <c r="AB115" i="15"/>
  <c r="X115" i="15"/>
  <c r="A116" i="15"/>
  <c r="A110" i="23"/>
  <c r="AB109" i="23"/>
  <c r="L109" i="23"/>
  <c r="K109" i="23"/>
  <c r="X109" i="23"/>
  <c r="X113" i="17"/>
  <c r="K113" i="17"/>
  <c r="A114" i="17"/>
  <c r="AB113" i="17"/>
  <c r="L113" i="17"/>
  <c r="D113" i="17" s="1"/>
  <c r="I113" i="1"/>
  <c r="AB110" i="22"/>
  <c r="K110" i="22"/>
  <c r="A111" i="22"/>
  <c r="X110" i="22"/>
  <c r="L110" i="22"/>
  <c r="X108" i="24"/>
  <c r="L108" i="24"/>
  <c r="K108" i="24"/>
  <c r="A109" i="24"/>
  <c r="AB108" i="24"/>
  <c r="AB112" i="18"/>
  <c r="A113" i="18"/>
  <c r="K112" i="18"/>
  <c r="X112" i="18"/>
  <c r="AB107" i="25"/>
  <c r="K107" i="25"/>
  <c r="X107" i="25"/>
  <c r="L107" i="25"/>
  <c r="A108" i="25"/>
  <c r="AB108" i="25"/>
  <c r="K108" i="25"/>
  <c r="X108" i="25"/>
  <c r="L108" i="25"/>
  <c r="A109" i="25"/>
  <c r="X113" i="18"/>
  <c r="AB113" i="18"/>
  <c r="L113" i="18"/>
  <c r="K113" i="18"/>
  <c r="A114" i="18"/>
  <c r="X109" i="24"/>
  <c r="AB109" i="24"/>
  <c r="K109" i="24"/>
  <c r="A110" i="24"/>
  <c r="L109" i="24"/>
  <c r="A112" i="22"/>
  <c r="AB111" i="22"/>
  <c r="L111" i="22"/>
  <c r="X111" i="22"/>
  <c r="K111" i="22"/>
  <c r="X114" i="17"/>
  <c r="AB114" i="17"/>
  <c r="L114" i="17"/>
  <c r="D114" i="17" s="1"/>
  <c r="A115" i="17"/>
  <c r="K114" i="17"/>
  <c r="X110" i="23"/>
  <c r="L110" i="23"/>
  <c r="K110" i="23"/>
  <c r="AB110" i="23"/>
  <c r="A111" i="23"/>
  <c r="AB116" i="15"/>
  <c r="L116" i="15"/>
  <c r="D116" i="15" s="1"/>
  <c r="X116" i="15"/>
  <c r="A117" i="15"/>
  <c r="K116" i="15"/>
  <c r="AB112" i="20"/>
  <c r="L112" i="20"/>
  <c r="A113" i="20"/>
  <c r="K112" i="20"/>
  <c r="X112" i="20"/>
  <c r="D115" i="15"/>
  <c r="A116" i="16"/>
  <c r="AB115" i="16"/>
  <c r="L115" i="16"/>
  <c r="D115" i="16" s="1"/>
  <c r="X115" i="16"/>
  <c r="K115" i="16"/>
  <c r="AJ118" i="1"/>
  <c r="A119" i="1"/>
  <c r="K118" i="1"/>
  <c r="L118" i="1"/>
  <c r="AB118" i="1"/>
  <c r="AK118" i="1"/>
  <c r="X118" i="1"/>
  <c r="K112" i="22"/>
  <c r="A113" i="22"/>
  <c r="L112" i="22"/>
  <c r="AB112" i="22"/>
  <c r="X112" i="22"/>
  <c r="A111" i="24"/>
  <c r="X110" i="24"/>
  <c r="AB110" i="24"/>
  <c r="K110" i="24"/>
  <c r="L110" i="24"/>
  <c r="A110" i="25"/>
  <c r="K109" i="25"/>
  <c r="AB109" i="25"/>
  <c r="L109" i="25"/>
  <c r="X109" i="25"/>
  <c r="I115" i="1"/>
  <c r="AB119" i="1"/>
  <c r="AJ119" i="1"/>
  <c r="A120" i="1"/>
  <c r="X119" i="1"/>
  <c r="AK119" i="1"/>
  <c r="L119" i="1"/>
  <c r="B23" i="7" s="1"/>
  <c r="A23" i="7"/>
  <c r="K119" i="1"/>
  <c r="X116" i="16"/>
  <c r="A117" i="16"/>
  <c r="L116" i="16"/>
  <c r="D116" i="16" s="1"/>
  <c r="K116" i="16"/>
  <c r="AB116" i="16"/>
  <c r="X113" i="20"/>
  <c r="A114" i="20"/>
  <c r="AB113" i="20"/>
  <c r="L113" i="20"/>
  <c r="K113" i="20"/>
  <c r="X117" i="15"/>
  <c r="L117" i="15"/>
  <c r="D117" i="15" s="1"/>
  <c r="AB117" i="15"/>
  <c r="A118" i="15"/>
  <c r="K117" i="15"/>
  <c r="AB111" i="23"/>
  <c r="L111" i="23"/>
  <c r="X111" i="23"/>
  <c r="K111" i="23"/>
  <c r="A112" i="23"/>
  <c r="K115" i="17"/>
  <c r="L115" i="17"/>
  <c r="D115" i="17" s="1"/>
  <c r="X115" i="17"/>
  <c r="AB115" i="17"/>
  <c r="A116" i="17"/>
  <c r="AB114" i="18"/>
  <c r="K114" i="18"/>
  <c r="L114" i="18"/>
  <c r="A115" i="18"/>
  <c r="X114" i="18"/>
  <c r="K115" i="18"/>
  <c r="A116" i="18"/>
  <c r="AB115" i="18"/>
  <c r="X115" i="18"/>
  <c r="A117" i="17"/>
  <c r="L116" i="17"/>
  <c r="D116" i="17" s="1"/>
  <c r="AB116" i="17"/>
  <c r="X116" i="17"/>
  <c r="K116" i="17"/>
  <c r="X112" i="23"/>
  <c r="AB112" i="23"/>
  <c r="L112" i="23"/>
  <c r="A113" i="23"/>
  <c r="K112" i="23"/>
  <c r="X110" i="25"/>
  <c r="L110" i="25"/>
  <c r="AB110" i="25"/>
  <c r="A111" i="25"/>
  <c r="K110" i="25"/>
  <c r="K113" i="22"/>
  <c r="AB113" i="22"/>
  <c r="L113" i="22"/>
  <c r="A114" i="22"/>
  <c r="X113" i="22"/>
  <c r="I116" i="1"/>
  <c r="X118" i="15"/>
  <c r="L118" i="15"/>
  <c r="D118" i="15" s="1"/>
  <c r="K118" i="15"/>
  <c r="AB118" i="15"/>
  <c r="A119" i="15"/>
  <c r="A115" i="20"/>
  <c r="L114" i="20"/>
  <c r="K114" i="20"/>
  <c r="AB114" i="20"/>
  <c r="X114" i="20"/>
  <c r="AB117" i="16"/>
  <c r="K117" i="16"/>
  <c r="L117" i="16"/>
  <c r="X117" i="16"/>
  <c r="A118" i="16"/>
  <c r="AJ120" i="1"/>
  <c r="K120" i="1"/>
  <c r="L120" i="1"/>
  <c r="AB120" i="1"/>
  <c r="A121" i="1"/>
  <c r="X120" i="1"/>
  <c r="AK120" i="1"/>
  <c r="K111" i="24"/>
  <c r="L111" i="24"/>
  <c r="X111" i="24"/>
  <c r="A112" i="24"/>
  <c r="AB111" i="24"/>
  <c r="AB112" i="24"/>
  <c r="K112" i="24"/>
  <c r="X112" i="24"/>
  <c r="A113" i="24"/>
  <c r="L112" i="24"/>
  <c r="A122" i="1"/>
  <c r="AB121" i="1"/>
  <c r="K121" i="1"/>
  <c r="AK121" i="1"/>
  <c r="AJ121" i="1"/>
  <c r="L121" i="1"/>
  <c r="X121" i="1"/>
  <c r="A116" i="20"/>
  <c r="X115" i="20"/>
  <c r="K115" i="20"/>
  <c r="AB115" i="20"/>
  <c r="L115" i="20"/>
  <c r="K119" i="15"/>
  <c r="L119" i="15"/>
  <c r="D119" i="15" s="1"/>
  <c r="X119" i="15"/>
  <c r="A120" i="15"/>
  <c r="AB119" i="15"/>
  <c r="A35" i="7"/>
  <c r="A112" i="25"/>
  <c r="K111" i="25"/>
  <c r="L111" i="25"/>
  <c r="AB111" i="25"/>
  <c r="X111" i="25"/>
  <c r="AB113" i="23"/>
  <c r="X113" i="23"/>
  <c r="L113" i="23"/>
  <c r="K113" i="23"/>
  <c r="A114" i="23"/>
  <c r="AB117" i="17"/>
  <c r="K117" i="17"/>
  <c r="A118" i="17"/>
  <c r="X117" i="17"/>
  <c r="L117" i="17"/>
  <c r="A117" i="18"/>
  <c r="K116" i="18"/>
  <c r="L116" i="18"/>
  <c r="AB116" i="18"/>
  <c r="X116" i="18"/>
  <c r="I117" i="1"/>
  <c r="L118" i="16"/>
  <c r="D118" i="16" s="1"/>
  <c r="A119" i="16"/>
  <c r="X118" i="16"/>
  <c r="AB118" i="16"/>
  <c r="K118" i="16"/>
  <c r="D117" i="16"/>
  <c r="A115" i="22"/>
  <c r="X114" i="22"/>
  <c r="L114" i="22"/>
  <c r="K114" i="22"/>
  <c r="AB114" i="22"/>
  <c r="K115" i="22"/>
  <c r="X115" i="22"/>
  <c r="A116" i="22"/>
  <c r="AB115" i="22"/>
  <c r="L115" i="22"/>
  <c r="K119" i="16"/>
  <c r="A120" i="16"/>
  <c r="X119" i="16"/>
  <c r="L119" i="16"/>
  <c r="A47" i="7"/>
  <c r="AB119" i="16"/>
  <c r="X118" i="17"/>
  <c r="AB118" i="17"/>
  <c r="A119" i="17"/>
  <c r="K118" i="17"/>
  <c r="L118" i="17"/>
  <c r="D118" i="17" s="1"/>
  <c r="A115" i="23"/>
  <c r="X114" i="23"/>
  <c r="L114" i="23"/>
  <c r="K114" i="23"/>
  <c r="AB114" i="23"/>
  <c r="K112" i="25"/>
  <c r="X112" i="25"/>
  <c r="AB112" i="25"/>
  <c r="A113" i="25"/>
  <c r="L112" i="25"/>
  <c r="AB116" i="20"/>
  <c r="L116" i="20"/>
  <c r="A117" i="20"/>
  <c r="K116" i="20"/>
  <c r="X116" i="20"/>
  <c r="AB113" i="24"/>
  <c r="X113" i="24"/>
  <c r="L113" i="24"/>
  <c r="A114" i="24"/>
  <c r="K113" i="24"/>
  <c r="I118" i="1"/>
  <c r="AB117" i="18"/>
  <c r="X117" i="18"/>
  <c r="A118" i="18"/>
  <c r="K117" i="18"/>
  <c r="D117" i="17"/>
  <c r="L120" i="15"/>
  <c r="D120" i="15" s="1"/>
  <c r="X120" i="15"/>
  <c r="AB120" i="15"/>
  <c r="A121" i="15"/>
  <c r="K120" i="15"/>
  <c r="AJ122" i="1"/>
  <c r="AK122" i="1"/>
  <c r="K122" i="1"/>
  <c r="X122" i="1"/>
  <c r="AB122" i="1"/>
  <c r="L122" i="1"/>
  <c r="A123" i="1"/>
  <c r="X113" i="25"/>
  <c r="L113" i="25"/>
  <c r="K113" i="25"/>
  <c r="AB113" i="25"/>
  <c r="A114" i="25"/>
  <c r="K119" i="17"/>
  <c r="A120" i="17"/>
  <c r="AB119" i="17"/>
  <c r="A59" i="7"/>
  <c r="L119" i="17"/>
  <c r="X119" i="17"/>
  <c r="L120" i="16"/>
  <c r="D120" i="16" s="1"/>
  <c r="AB120" i="16"/>
  <c r="X120" i="16"/>
  <c r="K120" i="16"/>
  <c r="A121" i="16"/>
  <c r="I120" i="1"/>
  <c r="K123" i="1"/>
  <c r="AJ123" i="1"/>
  <c r="AK123" i="1"/>
  <c r="L123" i="1"/>
  <c r="A124" i="1"/>
  <c r="AB123" i="1"/>
  <c r="X123" i="1"/>
  <c r="A122" i="15"/>
  <c r="AB121" i="15"/>
  <c r="K121" i="15"/>
  <c r="X121" i="15"/>
  <c r="L121" i="15"/>
  <c r="D121" i="15" s="1"/>
  <c r="X118" i="18"/>
  <c r="AB118" i="18"/>
  <c r="A119" i="18"/>
  <c r="L118" i="18"/>
  <c r="K118" i="18"/>
  <c r="A115" i="24"/>
  <c r="L114" i="24"/>
  <c r="X114" i="24"/>
  <c r="K114" i="24"/>
  <c r="AB114" i="24"/>
  <c r="K117" i="20"/>
  <c r="AB117" i="20"/>
  <c r="A118" i="20"/>
  <c r="L117" i="20"/>
  <c r="X117" i="20"/>
  <c r="A116" i="23"/>
  <c r="L115" i="23"/>
  <c r="X115" i="23"/>
  <c r="K115" i="23"/>
  <c r="AB115" i="23"/>
  <c r="AB116" i="22"/>
  <c r="L116" i="22"/>
  <c r="A117" i="22"/>
  <c r="X116" i="22"/>
  <c r="K116" i="22"/>
  <c r="I119" i="1"/>
  <c r="X117" i="22"/>
  <c r="AB117" i="22"/>
  <c r="L117" i="22"/>
  <c r="A118" i="22"/>
  <c r="K117" i="22"/>
  <c r="X116" i="23"/>
  <c r="A117" i="23"/>
  <c r="AB116" i="23"/>
  <c r="K116" i="23"/>
  <c r="L116" i="23"/>
  <c r="K118" i="20"/>
  <c r="L118" i="20"/>
  <c r="X118" i="20"/>
  <c r="A119" i="20"/>
  <c r="AB118" i="20"/>
  <c r="X122" i="15"/>
  <c r="AB122" i="15"/>
  <c r="L122" i="15"/>
  <c r="D122" i="15" s="1"/>
  <c r="K122" i="15"/>
  <c r="A123" i="15"/>
  <c r="K124" i="1"/>
  <c r="X124" i="1"/>
  <c r="A125" i="1"/>
  <c r="AK124" i="1"/>
  <c r="L124" i="1"/>
  <c r="AJ124" i="1"/>
  <c r="AB124" i="1"/>
  <c r="X121" i="16"/>
  <c r="K121" i="16"/>
  <c r="L121" i="16"/>
  <c r="D121" i="16" s="1"/>
  <c r="AB121" i="16"/>
  <c r="A122" i="16"/>
  <c r="X120" i="17"/>
  <c r="A121" i="17"/>
  <c r="L120" i="17"/>
  <c r="D120" i="17" s="1"/>
  <c r="AB120" i="17"/>
  <c r="K120" i="17"/>
  <c r="K115" i="24"/>
  <c r="X115" i="24"/>
  <c r="AB115" i="24"/>
  <c r="L115" i="24"/>
  <c r="A116" i="24"/>
  <c r="AB119" i="18"/>
  <c r="X119" i="18"/>
  <c r="A120" i="18"/>
  <c r="A71" i="7"/>
  <c r="K119" i="18"/>
  <c r="L119" i="18"/>
  <c r="B71" i="7" s="1"/>
  <c r="X114" i="25"/>
  <c r="K114" i="25"/>
  <c r="A115" i="25"/>
  <c r="AB114" i="25"/>
  <c r="L114" i="25"/>
  <c r="AB116" i="24"/>
  <c r="A117" i="24"/>
  <c r="L116" i="24"/>
  <c r="K116" i="24"/>
  <c r="X116" i="24"/>
  <c r="L125" i="1"/>
  <c r="AB125" i="1"/>
  <c r="AJ125" i="1"/>
  <c r="K125" i="1"/>
  <c r="A126" i="1"/>
  <c r="X125" i="1"/>
  <c r="AK125" i="1"/>
  <c r="AB117" i="23"/>
  <c r="L117" i="23"/>
  <c r="X117" i="23"/>
  <c r="A118" i="23"/>
  <c r="K117" i="23"/>
  <c r="I121" i="1"/>
  <c r="A116" i="25"/>
  <c r="X115" i="25"/>
  <c r="K115" i="25"/>
  <c r="AB115" i="25"/>
  <c r="L115" i="25"/>
  <c r="X120" i="18"/>
  <c r="K120" i="18"/>
  <c r="AB120" i="18"/>
  <c r="L120" i="18"/>
  <c r="A121" i="18"/>
  <c r="K121" i="17"/>
  <c r="L121" i="17"/>
  <c r="D121" i="17" s="1"/>
  <c r="AB121" i="17"/>
  <c r="X121" i="17"/>
  <c r="A122" i="17"/>
  <c r="AB122" i="16"/>
  <c r="L122" i="16"/>
  <c r="D122" i="16" s="1"/>
  <c r="A123" i="16"/>
  <c r="K122" i="16"/>
  <c r="X122" i="16"/>
  <c r="K123" i="15"/>
  <c r="A124" i="15"/>
  <c r="X123" i="15"/>
  <c r="AB123" i="15"/>
  <c r="L123" i="15"/>
  <c r="D123" i="15" s="1"/>
  <c r="A120" i="20"/>
  <c r="AB119" i="20"/>
  <c r="X119" i="20"/>
  <c r="L119" i="20"/>
  <c r="AF23" i="7" s="1"/>
  <c r="AE23" i="7"/>
  <c r="K119" i="20"/>
  <c r="A119" i="22"/>
  <c r="X118" i="22"/>
  <c r="K118" i="22"/>
  <c r="AB118" i="22"/>
  <c r="L118" i="22"/>
  <c r="A121" i="20"/>
  <c r="K120" i="20"/>
  <c r="AB120" i="20"/>
  <c r="L120" i="20"/>
  <c r="X120" i="20"/>
  <c r="L122" i="17"/>
  <c r="D122" i="17" s="1"/>
  <c r="AB122" i="17"/>
  <c r="A123" i="17"/>
  <c r="K122" i="17"/>
  <c r="X122" i="17"/>
  <c r="X121" i="18"/>
  <c r="AB121" i="18"/>
  <c r="K121" i="18"/>
  <c r="A122" i="18"/>
  <c r="L121" i="18"/>
  <c r="AK126" i="1"/>
  <c r="X126" i="1"/>
  <c r="L126" i="1"/>
  <c r="AB126" i="1"/>
  <c r="A127" i="1"/>
  <c r="AJ126" i="1"/>
  <c r="K126" i="1"/>
  <c r="A118" i="24"/>
  <c r="L117" i="24"/>
  <c r="X117" i="24"/>
  <c r="AB117" i="24"/>
  <c r="K117" i="24"/>
  <c r="I122" i="1"/>
  <c r="AB119" i="22"/>
  <c r="AE35" i="7"/>
  <c r="K119" i="22"/>
  <c r="L119" i="22"/>
  <c r="X119" i="22"/>
  <c r="A120" i="22"/>
  <c r="K124" i="15"/>
  <c r="L124" i="15"/>
  <c r="D124" i="15" s="1"/>
  <c r="A125" i="15"/>
  <c r="X124" i="15"/>
  <c r="AB124" i="15"/>
  <c r="A124" i="16"/>
  <c r="AB123" i="16"/>
  <c r="L123" i="16"/>
  <c r="X123" i="16"/>
  <c r="K123" i="16"/>
  <c r="A117" i="25"/>
  <c r="L116" i="25"/>
  <c r="K116" i="25"/>
  <c r="AB116" i="25"/>
  <c r="X116" i="25"/>
  <c r="A119" i="23"/>
  <c r="L118" i="23"/>
  <c r="K118" i="23"/>
  <c r="AB118" i="23"/>
  <c r="X118" i="23"/>
  <c r="K119" i="23"/>
  <c r="X119" i="23"/>
  <c r="L119" i="23"/>
  <c r="AF47" i="7" s="1"/>
  <c r="AB119" i="23"/>
  <c r="A120" i="23"/>
  <c r="AE47" i="7"/>
  <c r="A126" i="15"/>
  <c r="K125" i="15"/>
  <c r="L125" i="15"/>
  <c r="D125" i="15" s="1"/>
  <c r="AB125" i="15"/>
  <c r="X125" i="15"/>
  <c r="AB120" i="22"/>
  <c r="L120" i="22"/>
  <c r="K120" i="22"/>
  <c r="X120" i="22"/>
  <c r="A121" i="22"/>
  <c r="AF35" i="7"/>
  <c r="X118" i="24"/>
  <c r="L118" i="24"/>
  <c r="K118" i="24"/>
  <c r="A119" i="24"/>
  <c r="AB118" i="24"/>
  <c r="AJ127" i="1"/>
  <c r="X127" i="1"/>
  <c r="AK127" i="1"/>
  <c r="L127" i="1"/>
  <c r="A128" i="1"/>
  <c r="K127" i="1"/>
  <c r="AB127" i="1"/>
  <c r="A123" i="18"/>
  <c r="L122" i="18"/>
  <c r="X122" i="18"/>
  <c r="K122" i="18"/>
  <c r="AB122" i="18"/>
  <c r="A124" i="17"/>
  <c r="AB123" i="17"/>
  <c r="L123" i="17"/>
  <c r="D123" i="17" s="1"/>
  <c r="X123" i="17"/>
  <c r="K123" i="17"/>
  <c r="I123" i="1"/>
  <c r="K117" i="25"/>
  <c r="L117" i="25"/>
  <c r="A118" i="25"/>
  <c r="AB117" i="25"/>
  <c r="X117" i="25"/>
  <c r="D123" i="16"/>
  <c r="K124" i="16"/>
  <c r="X124" i="16"/>
  <c r="L124" i="16"/>
  <c r="D124" i="16" s="1"/>
  <c r="A125" i="16"/>
  <c r="AB124" i="16"/>
  <c r="A122" i="20"/>
  <c r="AB121" i="20"/>
  <c r="X121" i="20"/>
  <c r="K121" i="20"/>
  <c r="L121" i="20"/>
  <c r="X125" i="16"/>
  <c r="A126" i="16"/>
  <c r="L125" i="16"/>
  <c r="D125" i="16" s="1"/>
  <c r="K125" i="16"/>
  <c r="AB125" i="16"/>
  <c r="X118" i="25"/>
  <c r="K118" i="25"/>
  <c r="L118" i="25"/>
  <c r="A119" i="25"/>
  <c r="AB118" i="25"/>
  <c r="K124" i="17"/>
  <c r="A125" i="17"/>
  <c r="L124" i="17"/>
  <c r="D124" i="17" s="1"/>
  <c r="X124" i="17"/>
  <c r="AB124" i="17"/>
  <c r="AJ128" i="1"/>
  <c r="X128" i="1"/>
  <c r="K128" i="1"/>
  <c r="L128" i="1"/>
  <c r="AB128" i="1"/>
  <c r="AK128" i="1"/>
  <c r="A129" i="1"/>
  <c r="AB119" i="24"/>
  <c r="AE59" i="7"/>
  <c r="K119" i="24"/>
  <c r="X119" i="24"/>
  <c r="A120" i="24"/>
  <c r="L119" i="24"/>
  <c r="AF59" i="7" s="1"/>
  <c r="L126" i="15"/>
  <c r="D126" i="15" s="1"/>
  <c r="K126" i="15"/>
  <c r="AB126" i="15"/>
  <c r="A127" i="15"/>
  <c r="X126" i="15"/>
  <c r="K120" i="23"/>
  <c r="A121" i="23"/>
  <c r="L120" i="23"/>
  <c r="X120" i="23"/>
  <c r="AB120" i="23"/>
  <c r="I124" i="1"/>
  <c r="X122" i="20"/>
  <c r="AB122" i="20"/>
  <c r="K122" i="20"/>
  <c r="L122" i="20"/>
  <c r="A123" i="20"/>
  <c r="A124" i="18"/>
  <c r="K123" i="18"/>
  <c r="X123" i="18"/>
  <c r="AB123" i="18"/>
  <c r="L123" i="18"/>
  <c r="A122" i="22"/>
  <c r="X121" i="22"/>
  <c r="AB121" i="22"/>
  <c r="L121" i="22"/>
  <c r="K121" i="22"/>
  <c r="I125" i="1"/>
  <c r="K121" i="23"/>
  <c r="X121" i="23"/>
  <c r="AB121" i="23"/>
  <c r="A122" i="23"/>
  <c r="L121" i="23"/>
  <c r="X120" i="24"/>
  <c r="L120" i="24"/>
  <c r="A121" i="24"/>
  <c r="AB120" i="24"/>
  <c r="K120" i="24"/>
  <c r="AE71" i="7"/>
  <c r="K119" i="25"/>
  <c r="A120" i="25"/>
  <c r="AB119" i="25"/>
  <c r="X119" i="25"/>
  <c r="L119" i="25"/>
  <c r="K122" i="22"/>
  <c r="AB122" i="22"/>
  <c r="A123" i="22"/>
  <c r="L122" i="22"/>
  <c r="X122" i="22"/>
  <c r="A125" i="18"/>
  <c r="L124" i="18"/>
  <c r="K124" i="18"/>
  <c r="X124" i="18"/>
  <c r="AB124" i="18"/>
  <c r="AB123" i="20"/>
  <c r="L123" i="20"/>
  <c r="X123" i="20"/>
  <c r="K123" i="20"/>
  <c r="A124" i="20"/>
  <c r="A128" i="15"/>
  <c r="L127" i="15"/>
  <c r="D127" i="15" s="1"/>
  <c r="X127" i="15"/>
  <c r="K127" i="15"/>
  <c r="AB127" i="15"/>
  <c r="A130" i="1"/>
  <c r="K129" i="1"/>
  <c r="AK129" i="1"/>
  <c r="AJ129" i="1"/>
  <c r="X129" i="1"/>
  <c r="AB129" i="1"/>
  <c r="L129" i="1"/>
  <c r="AB125" i="17"/>
  <c r="K125" i="17"/>
  <c r="A126" i="17"/>
  <c r="L125" i="17"/>
  <c r="D125" i="17" s="1"/>
  <c r="X125" i="17"/>
  <c r="A127" i="16"/>
  <c r="X126" i="16"/>
  <c r="K126" i="16"/>
  <c r="AB126" i="16"/>
  <c r="L126" i="16"/>
  <c r="D126" i="16" s="1"/>
  <c r="I127" i="1"/>
  <c r="A131" i="1"/>
  <c r="AK130" i="1"/>
  <c r="K130" i="1"/>
  <c r="L130" i="1"/>
  <c r="AB130" i="1"/>
  <c r="AJ130" i="1"/>
  <c r="X130" i="1"/>
  <c r="K124" i="20"/>
  <c r="A125" i="20"/>
  <c r="L124" i="20"/>
  <c r="AB124" i="20"/>
  <c r="X124" i="20"/>
  <c r="X123" i="22"/>
  <c r="AB123" i="22"/>
  <c r="L123" i="22"/>
  <c r="A124" i="22"/>
  <c r="K123" i="22"/>
  <c r="AF71" i="7"/>
  <c r="A121" i="25"/>
  <c r="K120" i="25"/>
  <c r="L120" i="25"/>
  <c r="X120" i="25"/>
  <c r="AB120" i="25"/>
  <c r="A122" i="24"/>
  <c r="K121" i="24"/>
  <c r="X121" i="24"/>
  <c r="AB121" i="24"/>
  <c r="L121" i="24"/>
  <c r="I126" i="1"/>
  <c r="AB127" i="16"/>
  <c r="L127" i="16"/>
  <c r="D127" i="16" s="1"/>
  <c r="K127" i="16"/>
  <c r="X127" i="16"/>
  <c r="A128" i="16"/>
  <c r="K126" i="17"/>
  <c r="AB126" i="17"/>
  <c r="X126" i="17"/>
  <c r="L126" i="17"/>
  <c r="A127" i="17"/>
  <c r="K128" i="15"/>
  <c r="X128" i="15"/>
  <c r="A129" i="15"/>
  <c r="L128" i="15"/>
  <c r="D128" i="15" s="1"/>
  <c r="AB128" i="15"/>
  <c r="A126" i="18"/>
  <c r="L125" i="18"/>
  <c r="K125" i="18"/>
  <c r="AB125" i="18"/>
  <c r="X125" i="18"/>
  <c r="X122" i="23"/>
  <c r="L122" i="23"/>
  <c r="A123" i="23"/>
  <c r="AB122" i="23"/>
  <c r="K122" i="23"/>
  <c r="A130" i="15"/>
  <c r="X129" i="15"/>
  <c r="K129" i="15"/>
  <c r="AB129" i="15"/>
  <c r="L129" i="15"/>
  <c r="D129" i="15" s="1"/>
  <c r="D126" i="17"/>
  <c r="L128" i="16"/>
  <c r="AB128" i="16"/>
  <c r="K128" i="16"/>
  <c r="X128" i="16"/>
  <c r="A129" i="16"/>
  <c r="I128" i="1"/>
  <c r="K121" i="25"/>
  <c r="AB121" i="25"/>
  <c r="A122" i="25"/>
  <c r="X121" i="25"/>
  <c r="L121" i="25"/>
  <c r="AB125" i="20"/>
  <c r="K125" i="20"/>
  <c r="A126" i="20"/>
  <c r="X125" i="20"/>
  <c r="L125" i="20"/>
  <c r="X131" i="1"/>
  <c r="AJ131" i="1"/>
  <c r="AK131" i="1"/>
  <c r="A132" i="1"/>
  <c r="AB131" i="1"/>
  <c r="L131" i="1"/>
  <c r="K131" i="1"/>
  <c r="AB123" i="23"/>
  <c r="A124" i="23"/>
  <c r="K123" i="23"/>
  <c r="L123" i="23"/>
  <c r="X123" i="23"/>
  <c r="A127" i="18"/>
  <c r="X126" i="18"/>
  <c r="AB126" i="18"/>
  <c r="K126" i="18"/>
  <c r="K127" i="17"/>
  <c r="X127" i="17"/>
  <c r="L127" i="17"/>
  <c r="D127" i="17" s="1"/>
  <c r="AB127" i="17"/>
  <c r="A128" i="17"/>
  <c r="X122" i="24"/>
  <c r="A123" i="24"/>
  <c r="L122" i="24"/>
  <c r="K122" i="24"/>
  <c r="AB122" i="24"/>
  <c r="K124" i="22"/>
  <c r="L124" i="22"/>
  <c r="A125" i="22"/>
  <c r="X124" i="22"/>
  <c r="AB124" i="22"/>
  <c r="K126" i="20"/>
  <c r="X126" i="20"/>
  <c r="A127" i="20"/>
  <c r="L126" i="20"/>
  <c r="AB126" i="20"/>
  <c r="K130" i="15"/>
  <c r="A131" i="15"/>
  <c r="AB130" i="15"/>
  <c r="X130" i="15"/>
  <c r="L130" i="15"/>
  <c r="D130" i="15" s="1"/>
  <c r="AB125" i="22"/>
  <c r="X125" i="22"/>
  <c r="L125" i="22"/>
  <c r="K125" i="22"/>
  <c r="A126" i="22"/>
  <c r="X123" i="24"/>
  <c r="L123" i="24"/>
  <c r="K123" i="24"/>
  <c r="AB123" i="24"/>
  <c r="A124" i="24"/>
  <c r="AB128" i="17"/>
  <c r="A129" i="17"/>
  <c r="L128" i="17"/>
  <c r="X128" i="17"/>
  <c r="K128" i="17"/>
  <c r="X127" i="18"/>
  <c r="K127" i="18"/>
  <c r="A128" i="18"/>
  <c r="AB127" i="18"/>
  <c r="X124" i="23"/>
  <c r="AB124" i="23"/>
  <c r="A125" i="23"/>
  <c r="K124" i="23"/>
  <c r="L124" i="23"/>
  <c r="K132" i="1"/>
  <c r="A133" i="1"/>
  <c r="AB132" i="1"/>
  <c r="AJ132" i="1"/>
  <c r="X132" i="1"/>
  <c r="L132" i="1"/>
  <c r="AK132" i="1"/>
  <c r="A123" i="25"/>
  <c r="AB122" i="25"/>
  <c r="X122" i="25"/>
  <c r="K122" i="25"/>
  <c r="L122" i="25"/>
  <c r="K129" i="16"/>
  <c r="A130" i="16"/>
  <c r="L129" i="16"/>
  <c r="AB129" i="16"/>
  <c r="X129" i="16"/>
  <c r="D128" i="16"/>
  <c r="D129" i="16"/>
  <c r="A131" i="16"/>
  <c r="L130" i="16"/>
  <c r="D130" i="16" s="1"/>
  <c r="AB130" i="16"/>
  <c r="K130" i="16"/>
  <c r="X130" i="16"/>
  <c r="AB123" i="25"/>
  <c r="K123" i="25"/>
  <c r="L123" i="25"/>
  <c r="X123" i="25"/>
  <c r="A124" i="25"/>
  <c r="X133" i="1"/>
  <c r="A134" i="1"/>
  <c r="L133" i="1"/>
  <c r="AB133" i="1"/>
  <c r="AK133" i="1"/>
  <c r="K133" i="1"/>
  <c r="AJ133" i="1"/>
  <c r="X128" i="18"/>
  <c r="A129" i="18"/>
  <c r="AB128" i="18"/>
  <c r="K128" i="18"/>
  <c r="L128" i="18"/>
  <c r="AB129" i="17"/>
  <c r="X129" i="17"/>
  <c r="A130" i="17"/>
  <c r="L129" i="17"/>
  <c r="D129" i="17" s="1"/>
  <c r="K129" i="17"/>
  <c r="AB124" i="24"/>
  <c r="L124" i="24"/>
  <c r="A125" i="24"/>
  <c r="K124" i="24"/>
  <c r="X124" i="24"/>
  <c r="A132" i="15"/>
  <c r="K131" i="15"/>
  <c r="L131" i="15"/>
  <c r="D131" i="15" s="1"/>
  <c r="X131" i="15"/>
  <c r="AB131" i="15"/>
  <c r="I129" i="1"/>
  <c r="A126" i="23"/>
  <c r="K125" i="23"/>
  <c r="AB125" i="23"/>
  <c r="L125" i="23"/>
  <c r="X125" i="23"/>
  <c r="D128" i="17"/>
  <c r="A127" i="22"/>
  <c r="AB126" i="22"/>
  <c r="L126" i="22"/>
  <c r="X126" i="22"/>
  <c r="K126" i="22"/>
  <c r="A128" i="20"/>
  <c r="AB127" i="20"/>
  <c r="L127" i="20"/>
  <c r="K127" i="20"/>
  <c r="X127" i="20"/>
  <c r="A129" i="20"/>
  <c r="L128" i="20"/>
  <c r="X128" i="20"/>
  <c r="AB128" i="20"/>
  <c r="K128" i="20"/>
  <c r="AB127" i="22"/>
  <c r="K127" i="22"/>
  <c r="X127" i="22"/>
  <c r="A128" i="22"/>
  <c r="L127" i="22"/>
  <c r="K126" i="23"/>
  <c r="A127" i="23"/>
  <c r="L126" i="23"/>
  <c r="X126" i="23"/>
  <c r="AB126" i="23"/>
  <c r="AB132" i="15"/>
  <c r="K132" i="15"/>
  <c r="L132" i="15"/>
  <c r="D132" i="15" s="1"/>
  <c r="X132" i="15"/>
  <c r="A133" i="15"/>
  <c r="K130" i="17"/>
  <c r="AB130" i="17"/>
  <c r="A131" i="17"/>
  <c r="X130" i="17"/>
  <c r="L130" i="17"/>
  <c r="D130" i="17" s="1"/>
  <c r="X129" i="18"/>
  <c r="K129" i="18"/>
  <c r="AB129" i="18"/>
  <c r="A130" i="18"/>
  <c r="AK134" i="1"/>
  <c r="AB134" i="1"/>
  <c r="A135" i="1"/>
  <c r="L134" i="1"/>
  <c r="X134" i="1"/>
  <c r="AJ134" i="1"/>
  <c r="K134" i="1"/>
  <c r="X124" i="25"/>
  <c r="A125" i="25"/>
  <c r="K124" i="25"/>
  <c r="AB124" i="25"/>
  <c r="L124" i="25"/>
  <c r="X131" i="16"/>
  <c r="A132" i="16"/>
  <c r="L131" i="16"/>
  <c r="AB131" i="16"/>
  <c r="K131" i="16"/>
  <c r="I130" i="1"/>
  <c r="X125" i="24"/>
  <c r="L125" i="24"/>
  <c r="AB125" i="24"/>
  <c r="A126" i="24"/>
  <c r="K125" i="24"/>
  <c r="D131" i="16"/>
  <c r="K125" i="25"/>
  <c r="L125" i="25"/>
  <c r="A126" i="25"/>
  <c r="X125" i="25"/>
  <c r="AB125" i="25"/>
  <c r="L133" i="15"/>
  <c r="D133" i="15" s="1"/>
  <c r="A134" i="15"/>
  <c r="AB133" i="15"/>
  <c r="K133" i="15"/>
  <c r="X133" i="15"/>
  <c r="I132" i="1"/>
  <c r="I131" i="1"/>
  <c r="A127" i="24"/>
  <c r="X126" i="24"/>
  <c r="AB126" i="24"/>
  <c r="K126" i="24"/>
  <c r="L126" i="24"/>
  <c r="A133" i="16"/>
  <c r="X132" i="16"/>
  <c r="L132" i="16"/>
  <c r="D132" i="16" s="1"/>
  <c r="K132" i="16"/>
  <c r="AB132" i="16"/>
  <c r="AB135" i="1"/>
  <c r="AK135" i="1"/>
  <c r="AJ135" i="1"/>
  <c r="X135" i="1"/>
  <c r="K135" i="1"/>
  <c r="A136" i="1"/>
  <c r="L135" i="1"/>
  <c r="AB130" i="18"/>
  <c r="K130" i="18"/>
  <c r="X130" i="18"/>
  <c r="A131" i="18"/>
  <c r="AB131" i="17"/>
  <c r="L131" i="17"/>
  <c r="D131" i="17" s="1"/>
  <c r="K131" i="17"/>
  <c r="A132" i="17"/>
  <c r="X131" i="17"/>
  <c r="A128" i="23"/>
  <c r="X127" i="23"/>
  <c r="L127" i="23"/>
  <c r="AB127" i="23"/>
  <c r="K127" i="23"/>
  <c r="A129" i="22"/>
  <c r="L128" i="22"/>
  <c r="AB128" i="22"/>
  <c r="K128" i="22"/>
  <c r="X128" i="22"/>
  <c r="K129" i="20"/>
  <c r="AB129" i="20"/>
  <c r="X129" i="20"/>
  <c r="A130" i="20"/>
  <c r="L129" i="20"/>
  <c r="I133" i="1"/>
  <c r="K130" i="20"/>
  <c r="A131" i="20"/>
  <c r="X130" i="20"/>
  <c r="L130" i="20"/>
  <c r="AB130" i="20"/>
  <c r="A130" i="22"/>
  <c r="AB129" i="22"/>
  <c r="L129" i="22"/>
  <c r="K129" i="22"/>
  <c r="X129" i="22"/>
  <c r="AK136" i="1"/>
  <c r="AB136" i="1"/>
  <c r="A137" i="1"/>
  <c r="L136" i="1"/>
  <c r="K136" i="1"/>
  <c r="AJ136" i="1"/>
  <c r="X136" i="1"/>
  <c r="AB127" i="24"/>
  <c r="X127" i="24"/>
  <c r="K127" i="24"/>
  <c r="L127" i="24"/>
  <c r="A128" i="24"/>
  <c r="AB134" i="15"/>
  <c r="A135" i="15"/>
  <c r="L134" i="15"/>
  <c r="K134" i="15"/>
  <c r="X134" i="15"/>
  <c r="A127" i="25"/>
  <c r="L126" i="25"/>
  <c r="AB126" i="25"/>
  <c r="X126" i="25"/>
  <c r="K126" i="25"/>
  <c r="A129" i="23"/>
  <c r="AB128" i="23"/>
  <c r="L128" i="23"/>
  <c r="K128" i="23"/>
  <c r="X128" i="23"/>
  <c r="K132" i="17"/>
  <c r="AB132" i="17"/>
  <c r="X132" i="17"/>
  <c r="L132" i="17"/>
  <c r="D132" i="17" s="1"/>
  <c r="A133" i="17"/>
  <c r="K131" i="18"/>
  <c r="AB131" i="18"/>
  <c r="X131" i="18"/>
  <c r="A132" i="18"/>
  <c r="AB133" i="16"/>
  <c r="A134" i="16"/>
  <c r="L133" i="16"/>
  <c r="D133" i="16" s="1"/>
  <c r="K133" i="16"/>
  <c r="X133" i="16"/>
  <c r="X132" i="18"/>
  <c r="A133" i="18"/>
  <c r="K132" i="18"/>
  <c r="AB132" i="18"/>
  <c r="X129" i="23"/>
  <c r="L129" i="23"/>
  <c r="K129" i="23"/>
  <c r="A130" i="23"/>
  <c r="AB129" i="23"/>
  <c r="D134" i="15"/>
  <c r="A129" i="24"/>
  <c r="AB128" i="24"/>
  <c r="X128" i="24"/>
  <c r="L128" i="24"/>
  <c r="K128" i="24"/>
  <c r="X130" i="22"/>
  <c r="AB130" i="22"/>
  <c r="L130" i="22"/>
  <c r="A131" i="22"/>
  <c r="K130" i="22"/>
  <c r="X131" i="20"/>
  <c r="AB131" i="20"/>
  <c r="A132" i="20"/>
  <c r="K131" i="20"/>
  <c r="L131" i="20"/>
  <c r="K134" i="16"/>
  <c r="L134" i="16"/>
  <c r="AB134" i="16"/>
  <c r="X134" i="16"/>
  <c r="A135" i="16"/>
  <c r="AB133" i="17"/>
  <c r="L133" i="17"/>
  <c r="D133" i="17" s="1"/>
  <c r="A134" i="17"/>
  <c r="X133" i="17"/>
  <c r="K133" i="17"/>
  <c r="A128" i="25"/>
  <c r="AB127" i="25"/>
  <c r="L127" i="25"/>
  <c r="K127" i="25"/>
  <c r="X127" i="25"/>
  <c r="AB135" i="15"/>
  <c r="L135" i="15"/>
  <c r="D135" i="15" s="1"/>
  <c r="X135" i="15"/>
  <c r="A136" i="15"/>
  <c r="K135" i="15"/>
  <c r="X137" i="1"/>
  <c r="AB137" i="1"/>
  <c r="A138" i="1"/>
  <c r="K137" i="1"/>
  <c r="L137" i="1"/>
  <c r="AJ137" i="1"/>
  <c r="AK137" i="1"/>
  <c r="AB134" i="17"/>
  <c r="A135" i="17"/>
  <c r="X134" i="17"/>
  <c r="L134" i="17"/>
  <c r="K134" i="17"/>
  <c r="K135" i="16"/>
  <c r="L135" i="16"/>
  <c r="D135" i="16" s="1"/>
  <c r="A136" i="16"/>
  <c r="X135" i="16"/>
  <c r="AB135" i="16"/>
  <c r="D134" i="16"/>
  <c r="AB131" i="22"/>
  <c r="A132" i="22"/>
  <c r="L131" i="22"/>
  <c r="X131" i="22"/>
  <c r="K131" i="22"/>
  <c r="X129" i="24"/>
  <c r="A130" i="24"/>
  <c r="AB129" i="24"/>
  <c r="K129" i="24"/>
  <c r="L129" i="24"/>
  <c r="K130" i="23"/>
  <c r="L130" i="23"/>
  <c r="A131" i="23"/>
  <c r="X130" i="23"/>
  <c r="AB130" i="23"/>
  <c r="I134" i="1"/>
  <c r="A139" i="1"/>
  <c r="L138" i="1"/>
  <c r="K138" i="1"/>
  <c r="X138" i="1"/>
  <c r="AK138" i="1"/>
  <c r="AB138" i="1"/>
  <c r="AJ138" i="1"/>
  <c r="A137" i="15"/>
  <c r="AB136" i="15"/>
  <c r="K136" i="15"/>
  <c r="L136" i="15"/>
  <c r="D136" i="15" s="1"/>
  <c r="X136" i="15"/>
  <c r="AB128" i="25"/>
  <c r="X128" i="25"/>
  <c r="K128" i="25"/>
  <c r="A129" i="25"/>
  <c r="L128" i="25"/>
  <c r="A133" i="20"/>
  <c r="AB132" i="20"/>
  <c r="L132" i="20"/>
  <c r="K132" i="20"/>
  <c r="X132" i="20"/>
  <c r="K133" i="18"/>
  <c r="AB133" i="18"/>
  <c r="A134" i="18"/>
  <c r="X133" i="18"/>
  <c r="A135" i="18"/>
  <c r="K134" i="18"/>
  <c r="AB134" i="18"/>
  <c r="X134" i="18"/>
  <c r="AB129" i="25"/>
  <c r="L129" i="25"/>
  <c r="K129" i="25"/>
  <c r="A130" i="25"/>
  <c r="X129" i="25"/>
  <c r="K137" i="15"/>
  <c r="X137" i="15"/>
  <c r="AB137" i="15"/>
  <c r="L137" i="15"/>
  <c r="A138" i="15"/>
  <c r="X130" i="24"/>
  <c r="K130" i="24"/>
  <c r="AB130" i="24"/>
  <c r="L130" i="24"/>
  <c r="A131" i="24"/>
  <c r="X132" i="22"/>
  <c r="K132" i="22"/>
  <c r="A133" i="22"/>
  <c r="AB132" i="22"/>
  <c r="L132" i="22"/>
  <c r="X136" i="16"/>
  <c r="AB136" i="16"/>
  <c r="K136" i="16"/>
  <c r="L136" i="16"/>
  <c r="D136" i="16" s="1"/>
  <c r="A137" i="16"/>
  <c r="D134" i="17"/>
  <c r="A136" i="17"/>
  <c r="L135" i="17"/>
  <c r="D135" i="17" s="1"/>
  <c r="X135" i="17"/>
  <c r="K135" i="17"/>
  <c r="AB135" i="17"/>
  <c r="I135" i="1"/>
  <c r="A134" i="20"/>
  <c r="K133" i="20"/>
  <c r="AB133" i="20"/>
  <c r="L133" i="20"/>
  <c r="X133" i="20"/>
  <c r="A140" i="1"/>
  <c r="AJ139" i="1"/>
  <c r="AB139" i="1"/>
  <c r="AK139" i="1"/>
  <c r="K139" i="1"/>
  <c r="L139" i="1"/>
  <c r="X139" i="1"/>
  <c r="K131" i="23"/>
  <c r="X131" i="23"/>
  <c r="L131" i="23"/>
  <c r="A132" i="23"/>
  <c r="AB131" i="23"/>
  <c r="I137" i="1"/>
  <c r="K137" i="16"/>
  <c r="A138" i="16"/>
  <c r="AB137" i="16"/>
  <c r="L137" i="16"/>
  <c r="X137" i="16"/>
  <c r="K138" i="15"/>
  <c r="A139" i="15"/>
  <c r="X138" i="15"/>
  <c r="L138" i="15"/>
  <c r="D138" i="15" s="1"/>
  <c r="AB138" i="15"/>
  <c r="D137" i="15"/>
  <c r="I136" i="1"/>
  <c r="K132" i="23"/>
  <c r="X132" i="23"/>
  <c r="AB132" i="23"/>
  <c r="A133" i="23"/>
  <c r="L132" i="23"/>
  <c r="AK140" i="1"/>
  <c r="K140" i="1"/>
  <c r="A141" i="1"/>
  <c r="AJ140" i="1"/>
  <c r="AB140" i="1"/>
  <c r="L140" i="1"/>
  <c r="X140" i="1"/>
  <c r="AB134" i="20"/>
  <c r="K134" i="20"/>
  <c r="L134" i="20"/>
  <c r="X134" i="20"/>
  <c r="A135" i="20"/>
  <c r="K136" i="17"/>
  <c r="A137" i="17"/>
  <c r="AB136" i="17"/>
  <c r="X136" i="17"/>
  <c r="L136" i="17"/>
  <c r="D136" i="17" s="1"/>
  <c r="K133" i="22"/>
  <c r="X133" i="22"/>
  <c r="L133" i="22"/>
  <c r="A134" i="22"/>
  <c r="AB133" i="22"/>
  <c r="X131" i="24"/>
  <c r="AB131" i="24"/>
  <c r="L131" i="24"/>
  <c r="A132" i="24"/>
  <c r="K131" i="24"/>
  <c r="K130" i="25"/>
  <c r="A131" i="25"/>
  <c r="AB130" i="25"/>
  <c r="X130" i="25"/>
  <c r="L130" i="25"/>
  <c r="A136" i="18"/>
  <c r="L135" i="18"/>
  <c r="K135" i="18"/>
  <c r="AB135" i="18"/>
  <c r="X135" i="18"/>
  <c r="K136" i="18"/>
  <c r="X136" i="18"/>
  <c r="L136" i="18"/>
  <c r="A137" i="18"/>
  <c r="AB136" i="18"/>
  <c r="X131" i="25"/>
  <c r="K131" i="25"/>
  <c r="L131" i="25"/>
  <c r="AB131" i="25"/>
  <c r="A132" i="25"/>
  <c r="K134" i="22"/>
  <c r="L134" i="22"/>
  <c r="A135" i="22"/>
  <c r="X134" i="22"/>
  <c r="AB134" i="22"/>
  <c r="K137" i="17"/>
  <c r="X137" i="17"/>
  <c r="L137" i="17"/>
  <c r="D137" i="17" s="1"/>
  <c r="A138" i="17"/>
  <c r="AB137" i="17"/>
  <c r="AB135" i="20"/>
  <c r="L135" i="20"/>
  <c r="K135" i="20"/>
  <c r="A136" i="20"/>
  <c r="X135" i="20"/>
  <c r="L141" i="1"/>
  <c r="X141" i="1"/>
  <c r="AB141" i="1"/>
  <c r="K141" i="1"/>
  <c r="A142" i="1"/>
  <c r="AK141" i="1"/>
  <c r="AJ141" i="1"/>
  <c r="K133" i="23"/>
  <c r="AB133" i="23"/>
  <c r="X133" i="23"/>
  <c r="L133" i="23"/>
  <c r="A134" i="23"/>
  <c r="D137" i="16"/>
  <c r="L138" i="16"/>
  <c r="D138" i="16" s="1"/>
  <c r="AB138" i="16"/>
  <c r="K138" i="16"/>
  <c r="A139" i="16"/>
  <c r="X138" i="16"/>
  <c r="AB132" i="24"/>
  <c r="A133" i="24"/>
  <c r="K132" i="24"/>
  <c r="X132" i="24"/>
  <c r="L132" i="24"/>
  <c r="K139" i="15"/>
  <c r="A140" i="15"/>
  <c r="L139" i="15"/>
  <c r="D139" i="15" s="1"/>
  <c r="X139" i="15"/>
  <c r="AB139" i="15"/>
  <c r="AB142" i="1"/>
  <c r="L142" i="1"/>
  <c r="K142" i="1"/>
  <c r="A143" i="1"/>
  <c r="X142" i="1"/>
  <c r="AK142" i="1"/>
  <c r="AJ142" i="1"/>
  <c r="X138" i="17"/>
  <c r="L138" i="17"/>
  <c r="D138" i="17" s="1"/>
  <c r="AB138" i="17"/>
  <c r="A139" i="17"/>
  <c r="K138" i="17"/>
  <c r="AB135" i="22"/>
  <c r="A136" i="22"/>
  <c r="L135" i="22"/>
  <c r="K135" i="22"/>
  <c r="X135" i="22"/>
  <c r="K137" i="18"/>
  <c r="A138" i="18"/>
  <c r="L137" i="18"/>
  <c r="AB137" i="18"/>
  <c r="X137" i="18"/>
  <c r="I138" i="1"/>
  <c r="K140" i="15"/>
  <c r="X140" i="15"/>
  <c r="L140" i="15"/>
  <c r="D140" i="15" s="1"/>
  <c r="AB140" i="15"/>
  <c r="A141" i="15"/>
  <c r="A134" i="24"/>
  <c r="K133" i="24"/>
  <c r="X133" i="24"/>
  <c r="AB133" i="24"/>
  <c r="L133" i="24"/>
  <c r="AB139" i="16"/>
  <c r="X139" i="16"/>
  <c r="A140" i="16"/>
  <c r="L139" i="16"/>
  <c r="D139" i="16" s="1"/>
  <c r="K139" i="16"/>
  <c r="AB134" i="23"/>
  <c r="A135" i="23"/>
  <c r="L134" i="23"/>
  <c r="X134" i="23"/>
  <c r="K134" i="23"/>
  <c r="AB136" i="20"/>
  <c r="X136" i="20"/>
  <c r="K136" i="20"/>
  <c r="A137" i="20"/>
  <c r="L136" i="20"/>
  <c r="X132" i="25"/>
  <c r="L132" i="25"/>
  <c r="A133" i="25"/>
  <c r="K132" i="25"/>
  <c r="AB132" i="25"/>
  <c r="A134" i="25"/>
  <c r="K133" i="25"/>
  <c r="L133" i="25"/>
  <c r="X133" i="25"/>
  <c r="AB133" i="25"/>
  <c r="AB134" i="24"/>
  <c r="L134" i="24"/>
  <c r="A135" i="24"/>
  <c r="X134" i="24"/>
  <c r="K134" i="24"/>
  <c r="K141" i="15"/>
  <c r="L141" i="15"/>
  <c r="A142" i="15"/>
  <c r="AB141" i="15"/>
  <c r="X141" i="15"/>
  <c r="AB138" i="18"/>
  <c r="A139" i="18"/>
  <c r="K138" i="18"/>
  <c r="X138" i="18"/>
  <c r="AB139" i="17"/>
  <c r="X139" i="17"/>
  <c r="A140" i="17"/>
  <c r="L139" i="17"/>
  <c r="D139" i="17" s="1"/>
  <c r="K139" i="17"/>
  <c r="I139" i="1"/>
  <c r="AB137" i="20"/>
  <c r="L137" i="20"/>
  <c r="X137" i="20"/>
  <c r="A138" i="20"/>
  <c r="K137" i="20"/>
  <c r="K135" i="23"/>
  <c r="L135" i="23"/>
  <c r="X135" i="23"/>
  <c r="A136" i="23"/>
  <c r="AB135" i="23"/>
  <c r="K140" i="16"/>
  <c r="AB140" i="16"/>
  <c r="A141" i="16"/>
  <c r="L140" i="16"/>
  <c r="D140" i="16" s="1"/>
  <c r="X140" i="16"/>
  <c r="K136" i="22"/>
  <c r="AB136" i="22"/>
  <c r="L136" i="22"/>
  <c r="A137" i="22"/>
  <c r="X136" i="22"/>
  <c r="A144" i="1"/>
  <c r="X143" i="1"/>
  <c r="K143" i="1"/>
  <c r="AJ143" i="1"/>
  <c r="AK143" i="1"/>
  <c r="L143" i="1"/>
  <c r="AB143" i="1"/>
  <c r="I141" i="1"/>
  <c r="X141" i="16"/>
  <c r="L141" i="16"/>
  <c r="D141" i="16" s="1"/>
  <c r="AB141" i="16"/>
  <c r="A142" i="16"/>
  <c r="K141" i="16"/>
  <c r="L136" i="23"/>
  <c r="K136" i="23"/>
  <c r="X136" i="23"/>
  <c r="A137" i="23"/>
  <c r="AB136" i="23"/>
  <c r="I140" i="1"/>
  <c r="X138" i="20"/>
  <c r="K138" i="20"/>
  <c r="AB138" i="20"/>
  <c r="L138" i="20"/>
  <c r="A139" i="20"/>
  <c r="A140" i="18"/>
  <c r="K139" i="18"/>
  <c r="X139" i="18"/>
  <c r="AB139" i="18"/>
  <c r="K142" i="15"/>
  <c r="L142" i="15"/>
  <c r="D142" i="15" s="1"/>
  <c r="A143" i="15"/>
  <c r="AB142" i="15"/>
  <c r="X142" i="15"/>
  <c r="L144" i="1"/>
  <c r="X144" i="1"/>
  <c r="A145" i="1"/>
  <c r="AJ144" i="1"/>
  <c r="K144" i="1"/>
  <c r="AB144" i="1"/>
  <c r="AK144" i="1"/>
  <c r="K137" i="22"/>
  <c r="A138" i="22"/>
  <c r="L137" i="22"/>
  <c r="X137" i="22"/>
  <c r="AB137" i="22"/>
  <c r="AB140" i="17"/>
  <c r="K140" i="17"/>
  <c r="X140" i="17"/>
  <c r="L140" i="17"/>
  <c r="D140" i="17" s="1"/>
  <c r="A141" i="17"/>
  <c r="D141" i="15"/>
  <c r="AB135" i="24"/>
  <c r="A136" i="24"/>
  <c r="X135" i="24"/>
  <c r="K135" i="24"/>
  <c r="L135" i="24"/>
  <c r="K134" i="25"/>
  <c r="L134" i="25"/>
  <c r="X134" i="25"/>
  <c r="A135" i="25"/>
  <c r="AB134" i="25"/>
  <c r="A136" i="25"/>
  <c r="AB135" i="25"/>
  <c r="K135" i="25"/>
  <c r="X135" i="25"/>
  <c r="L135" i="25"/>
  <c r="A142" i="17"/>
  <c r="L141" i="17"/>
  <c r="D141" i="17" s="1"/>
  <c r="X141" i="17"/>
  <c r="AB141" i="17"/>
  <c r="K141" i="17"/>
  <c r="K138" i="22"/>
  <c r="X138" i="22"/>
  <c r="AB138" i="22"/>
  <c r="A139" i="22"/>
  <c r="L138" i="22"/>
  <c r="A146" i="1"/>
  <c r="AJ145" i="1"/>
  <c r="L145" i="1"/>
  <c r="K145" i="1"/>
  <c r="AB145" i="1"/>
  <c r="AK145" i="1"/>
  <c r="X145" i="1"/>
  <c r="AB140" i="18"/>
  <c r="K140" i="18"/>
  <c r="X140" i="18"/>
  <c r="A141" i="18"/>
  <c r="K139" i="20"/>
  <c r="A140" i="20"/>
  <c r="L139" i="20"/>
  <c r="X139" i="20"/>
  <c r="AB139" i="20"/>
  <c r="A138" i="23"/>
  <c r="K137" i="23"/>
  <c r="L137" i="23"/>
  <c r="AB137" i="23"/>
  <c r="X137" i="23"/>
  <c r="X136" i="24"/>
  <c r="K136" i="24"/>
  <c r="L136" i="24"/>
  <c r="A137" i="24"/>
  <c r="AB136" i="24"/>
  <c r="A144" i="15"/>
  <c r="K143" i="15"/>
  <c r="L143" i="15"/>
  <c r="D143" i="15" s="1"/>
  <c r="AB143" i="15"/>
  <c r="X143" i="15"/>
  <c r="A143" i="16"/>
  <c r="L142" i="16"/>
  <c r="X142" i="16"/>
  <c r="AB142" i="16"/>
  <c r="K142" i="16"/>
  <c r="X143" i="16"/>
  <c r="AB143" i="16"/>
  <c r="L143" i="16"/>
  <c r="D143" i="16" s="1"/>
  <c r="K143" i="16"/>
  <c r="A144" i="16"/>
  <c r="I142" i="1"/>
  <c r="AB144" i="15"/>
  <c r="X144" i="15"/>
  <c r="K144" i="15"/>
  <c r="A145" i="15"/>
  <c r="L144" i="15"/>
  <c r="D144" i="15" s="1"/>
  <c r="K138" i="23"/>
  <c r="X138" i="23"/>
  <c r="AB138" i="23"/>
  <c r="A139" i="23"/>
  <c r="L138" i="23"/>
  <c r="D142" i="16"/>
  <c r="K137" i="24"/>
  <c r="X137" i="24"/>
  <c r="L137" i="24"/>
  <c r="AB137" i="24"/>
  <c r="A138" i="24"/>
  <c r="X140" i="20"/>
  <c r="AB140" i="20"/>
  <c r="L140" i="20"/>
  <c r="A141" i="20"/>
  <c r="K140" i="20"/>
  <c r="AB141" i="18"/>
  <c r="L141" i="18"/>
  <c r="A142" i="18"/>
  <c r="K141" i="18"/>
  <c r="X141" i="18"/>
  <c r="AK146" i="1"/>
  <c r="AB146" i="1"/>
  <c r="A147" i="1"/>
  <c r="K146" i="1"/>
  <c r="AJ146" i="1"/>
  <c r="X146" i="1"/>
  <c r="L146" i="1"/>
  <c r="X139" i="22"/>
  <c r="A140" i="22"/>
  <c r="L139" i="22"/>
  <c r="K139" i="22"/>
  <c r="AB139" i="22"/>
  <c r="K142" i="17"/>
  <c r="A143" i="17"/>
  <c r="L142" i="17"/>
  <c r="D142" i="17" s="1"/>
  <c r="AB142" i="17"/>
  <c r="X142" i="17"/>
  <c r="K136" i="25"/>
  <c r="L136" i="25"/>
  <c r="X136" i="25"/>
  <c r="AB136" i="25"/>
  <c r="A137" i="25"/>
  <c r="AB143" i="17"/>
  <c r="L143" i="17"/>
  <c r="K143" i="17"/>
  <c r="X143" i="17"/>
  <c r="A144" i="17"/>
  <c r="A143" i="18"/>
  <c r="L142" i="18"/>
  <c r="X142" i="18"/>
  <c r="K142" i="18"/>
  <c r="AB142" i="18"/>
  <c r="I143" i="1"/>
  <c r="K145" i="15"/>
  <c r="A146" i="15"/>
  <c r="L145" i="15"/>
  <c r="D145" i="15" s="1"/>
  <c r="X145" i="15"/>
  <c r="AB145" i="15"/>
  <c r="X144" i="16"/>
  <c r="K144" i="16"/>
  <c r="A145" i="16"/>
  <c r="AB144" i="16"/>
  <c r="L144" i="16"/>
  <c r="D144" i="16" s="1"/>
  <c r="AB137" i="25"/>
  <c r="L137" i="25"/>
  <c r="X137" i="25"/>
  <c r="A138" i="25"/>
  <c r="K137" i="25"/>
  <c r="K140" i="22"/>
  <c r="A141" i="22"/>
  <c r="AB140" i="22"/>
  <c r="X140" i="22"/>
  <c r="L140" i="22"/>
  <c r="A148" i="1"/>
  <c r="L147" i="1"/>
  <c r="AK147" i="1"/>
  <c r="AJ147" i="1"/>
  <c r="AB147" i="1"/>
  <c r="K147" i="1"/>
  <c r="X147" i="1"/>
  <c r="A142" i="20"/>
  <c r="L141" i="20"/>
  <c r="AB141" i="20"/>
  <c r="K141" i="20"/>
  <c r="X141" i="20"/>
  <c r="X138" i="24"/>
  <c r="K138" i="24"/>
  <c r="A139" i="24"/>
  <c r="AB138" i="24"/>
  <c r="L138" i="24"/>
  <c r="A140" i="23"/>
  <c r="AB139" i="23"/>
  <c r="L139" i="23"/>
  <c r="X139" i="23"/>
  <c r="K139" i="23"/>
  <c r="AB140" i="23"/>
  <c r="L140" i="23"/>
  <c r="X140" i="23"/>
  <c r="K140" i="23"/>
  <c r="A141" i="23"/>
  <c r="A140" i="24"/>
  <c r="AB139" i="24"/>
  <c r="K139" i="24"/>
  <c r="X139" i="24"/>
  <c r="L139" i="24"/>
  <c r="I145" i="1"/>
  <c r="L145" i="16"/>
  <c r="D145" i="16" s="1"/>
  <c r="AB145" i="16"/>
  <c r="X145" i="16"/>
  <c r="A146" i="16"/>
  <c r="K145" i="16"/>
  <c r="K146" i="15"/>
  <c r="X146" i="15"/>
  <c r="L146" i="15"/>
  <c r="D146" i="15" s="1"/>
  <c r="A147" i="15"/>
  <c r="AB146" i="15"/>
  <c r="AB143" i="18"/>
  <c r="A144" i="18"/>
  <c r="X143" i="18"/>
  <c r="K143" i="18"/>
  <c r="A145" i="17"/>
  <c r="X144" i="17"/>
  <c r="L144" i="17"/>
  <c r="K144" i="17"/>
  <c r="AB144" i="17"/>
  <c r="I144" i="1"/>
  <c r="A143" i="20"/>
  <c r="X142" i="20"/>
  <c r="AB142" i="20"/>
  <c r="K142" i="20"/>
  <c r="L142" i="20"/>
  <c r="K148" i="1"/>
  <c r="L148" i="1"/>
  <c r="AK148" i="1"/>
  <c r="AJ148" i="1"/>
  <c r="X148" i="1"/>
  <c r="AB148" i="1"/>
  <c r="A149" i="1"/>
  <c r="K141" i="22"/>
  <c r="X141" i="22"/>
  <c r="A142" i="22"/>
  <c r="AB141" i="22"/>
  <c r="L141" i="22"/>
  <c r="X138" i="25"/>
  <c r="A139" i="25"/>
  <c r="L138" i="25"/>
  <c r="AB138" i="25"/>
  <c r="K138" i="25"/>
  <c r="D143" i="17"/>
  <c r="AB149" i="1"/>
  <c r="A150" i="1"/>
  <c r="L149" i="1"/>
  <c r="AJ149" i="1"/>
  <c r="X149" i="1"/>
  <c r="A24" i="7"/>
  <c r="K149" i="1"/>
  <c r="AK149" i="1"/>
  <c r="X143" i="20"/>
  <c r="K143" i="20"/>
  <c r="AB143" i="20"/>
  <c r="A144" i="20"/>
  <c r="L143" i="20"/>
  <c r="D144" i="17"/>
  <c r="K145" i="17"/>
  <c r="AB145" i="17"/>
  <c r="L145" i="17"/>
  <c r="D145" i="17" s="1"/>
  <c r="A146" i="17"/>
  <c r="X145" i="17"/>
  <c r="K147" i="15"/>
  <c r="AB147" i="15"/>
  <c r="L147" i="15"/>
  <c r="D147" i="15" s="1"/>
  <c r="X147" i="15"/>
  <c r="A148" i="15"/>
  <c r="K139" i="25"/>
  <c r="A140" i="25"/>
  <c r="L139" i="25"/>
  <c r="X139" i="25"/>
  <c r="AB139" i="25"/>
  <c r="K142" i="22"/>
  <c r="L142" i="22"/>
  <c r="AB142" i="22"/>
  <c r="A143" i="22"/>
  <c r="X142" i="22"/>
  <c r="K144" i="18"/>
  <c r="AB144" i="18"/>
  <c r="L144" i="18"/>
  <c r="A145" i="18"/>
  <c r="X144" i="18"/>
  <c r="K146" i="16"/>
  <c r="L146" i="16"/>
  <c r="D146" i="16" s="1"/>
  <c r="AB146" i="16"/>
  <c r="A147" i="16"/>
  <c r="X146" i="16"/>
  <c r="K140" i="24"/>
  <c r="X140" i="24"/>
  <c r="L140" i="24"/>
  <c r="A141" i="24"/>
  <c r="AB140" i="24"/>
  <c r="K141" i="23"/>
  <c r="X141" i="23"/>
  <c r="L141" i="23"/>
  <c r="A142" i="23"/>
  <c r="AB141" i="23"/>
  <c r="I147" i="1"/>
  <c r="K142" i="23"/>
  <c r="X142" i="23"/>
  <c r="A143" i="23"/>
  <c r="L142" i="23"/>
  <c r="AB142" i="23"/>
  <c r="X147" i="16"/>
  <c r="AB147" i="16"/>
  <c r="L147" i="16"/>
  <c r="D147" i="16" s="1"/>
  <c r="K147" i="16"/>
  <c r="A148" i="16"/>
  <c r="AB143" i="22"/>
  <c r="L143" i="22"/>
  <c r="K143" i="22"/>
  <c r="A144" i="22"/>
  <c r="X143" i="22"/>
  <c r="A149" i="15"/>
  <c r="K148" i="15"/>
  <c r="AB148" i="15"/>
  <c r="L148" i="15"/>
  <c r="X148" i="15"/>
  <c r="A145" i="20"/>
  <c r="AB144" i="20"/>
  <c r="X144" i="20"/>
  <c r="L144" i="20"/>
  <c r="K144" i="20"/>
  <c r="B24" i="7"/>
  <c r="I146" i="1"/>
  <c r="X141" i="24"/>
  <c r="A142" i="24"/>
  <c r="AB141" i="24"/>
  <c r="L141" i="24"/>
  <c r="K141" i="24"/>
  <c r="A146" i="18"/>
  <c r="X145" i="18"/>
  <c r="AB145" i="18"/>
  <c r="K145" i="18"/>
  <c r="K140" i="25"/>
  <c r="X140" i="25"/>
  <c r="L140" i="25"/>
  <c r="AB140" i="25"/>
  <c r="A141" i="25"/>
  <c r="A147" i="17"/>
  <c r="X146" i="17"/>
  <c r="K146" i="17"/>
  <c r="L146" i="17"/>
  <c r="D146" i="17" s="1"/>
  <c r="AB146" i="17"/>
  <c r="A151" i="1"/>
  <c r="K150" i="1"/>
  <c r="AJ150" i="1"/>
  <c r="X150" i="1"/>
  <c r="AB150" i="1"/>
  <c r="AK150" i="1"/>
  <c r="L150" i="1"/>
  <c r="A148" i="17"/>
  <c r="AB147" i="17"/>
  <c r="K147" i="17"/>
  <c r="X147" i="17"/>
  <c r="L147" i="17"/>
  <c r="D147" i="17" s="1"/>
  <c r="X141" i="25"/>
  <c r="K141" i="25"/>
  <c r="L141" i="25"/>
  <c r="AB141" i="25"/>
  <c r="A142" i="25"/>
  <c r="A147" i="18"/>
  <c r="K146" i="18"/>
  <c r="X146" i="18"/>
  <c r="L146" i="18"/>
  <c r="AB146" i="18"/>
  <c r="A143" i="24"/>
  <c r="X142" i="24"/>
  <c r="K142" i="24"/>
  <c r="L142" i="24"/>
  <c r="AB142" i="24"/>
  <c r="A146" i="20"/>
  <c r="K145" i="20"/>
  <c r="L145" i="20"/>
  <c r="X145" i="20"/>
  <c r="AB145" i="20"/>
  <c r="K149" i="15"/>
  <c r="AB149" i="15"/>
  <c r="L149" i="15"/>
  <c r="X149" i="15"/>
  <c r="A36" i="7"/>
  <c r="A150" i="15"/>
  <c r="AB144" i="22"/>
  <c r="A145" i="22"/>
  <c r="L144" i="22"/>
  <c r="X144" i="22"/>
  <c r="K144" i="22"/>
  <c r="A144" i="23"/>
  <c r="X143" i="23"/>
  <c r="AB143" i="23"/>
  <c r="K143" i="23"/>
  <c r="L143" i="23"/>
  <c r="AK151" i="1"/>
  <c r="A152" i="1"/>
  <c r="K151" i="1"/>
  <c r="AJ151" i="1"/>
  <c r="L151" i="1"/>
  <c r="X151" i="1"/>
  <c r="AB151" i="1"/>
  <c r="D148" i="15"/>
  <c r="AB148" i="16"/>
  <c r="A149" i="16"/>
  <c r="K148" i="16"/>
  <c r="X148" i="16"/>
  <c r="L148" i="16"/>
  <c r="D148" i="16" s="1"/>
  <c r="I148" i="1"/>
  <c r="K145" i="22"/>
  <c r="AB145" i="22"/>
  <c r="L145" i="22"/>
  <c r="X145" i="22"/>
  <c r="A146" i="22"/>
  <c r="X150" i="15"/>
  <c r="K150" i="15"/>
  <c r="AB150" i="15"/>
  <c r="A151" i="15"/>
  <c r="L150" i="15"/>
  <c r="D150" i="15" s="1"/>
  <c r="K146" i="20"/>
  <c r="L146" i="20"/>
  <c r="AB146" i="20"/>
  <c r="X146" i="20"/>
  <c r="A147" i="20"/>
  <c r="K149" i="16"/>
  <c r="A48" i="7"/>
  <c r="AB149" i="16"/>
  <c r="X149" i="16"/>
  <c r="A150" i="16"/>
  <c r="L149" i="16"/>
  <c r="D149" i="16" s="1"/>
  <c r="AB152" i="1"/>
  <c r="AJ152" i="1"/>
  <c r="AK152" i="1"/>
  <c r="K152" i="1"/>
  <c r="X152" i="1"/>
  <c r="A153" i="1"/>
  <c r="L152" i="1"/>
  <c r="AB144" i="23"/>
  <c r="X144" i="23"/>
  <c r="L144" i="23"/>
  <c r="K144" i="23"/>
  <c r="A145" i="23"/>
  <c r="AB143" i="24"/>
  <c r="L143" i="24"/>
  <c r="K143" i="24"/>
  <c r="X143" i="24"/>
  <c r="A144" i="24"/>
  <c r="K147" i="18"/>
  <c r="X147" i="18"/>
  <c r="A148" i="18"/>
  <c r="AB147" i="18"/>
  <c r="AB142" i="25"/>
  <c r="X142" i="25"/>
  <c r="K142" i="25"/>
  <c r="L142" i="25"/>
  <c r="A143" i="25"/>
  <c r="X148" i="17"/>
  <c r="L148" i="17"/>
  <c r="D148" i="17" s="1"/>
  <c r="A149" i="17"/>
  <c r="K148" i="17"/>
  <c r="AB148" i="17"/>
  <c r="I149" i="1"/>
  <c r="X143" i="25"/>
  <c r="AB143" i="25"/>
  <c r="L143" i="25"/>
  <c r="A144" i="25"/>
  <c r="K143" i="25"/>
  <c r="AB148" i="18"/>
  <c r="A149" i="18"/>
  <c r="K148" i="18"/>
  <c r="L148" i="18"/>
  <c r="X148" i="18"/>
  <c r="A154" i="1"/>
  <c r="AJ153" i="1"/>
  <c r="K153" i="1"/>
  <c r="AB153" i="1"/>
  <c r="X153" i="1"/>
  <c r="L153" i="1"/>
  <c r="AK153" i="1"/>
  <c r="L150" i="16"/>
  <c r="D150" i="16" s="1"/>
  <c r="X150" i="16"/>
  <c r="AB150" i="16"/>
  <c r="K150" i="16"/>
  <c r="A151" i="16"/>
  <c r="A148" i="20"/>
  <c r="L147" i="20"/>
  <c r="AB147" i="20"/>
  <c r="X147" i="20"/>
  <c r="K147" i="20"/>
  <c r="A150" i="17"/>
  <c r="AB149" i="17"/>
  <c r="X149" i="17"/>
  <c r="L149" i="17"/>
  <c r="D149" i="17" s="1"/>
  <c r="A60" i="7"/>
  <c r="K149" i="17"/>
  <c r="X144" i="24"/>
  <c r="AB144" i="24"/>
  <c r="A145" i="24"/>
  <c r="K144" i="24"/>
  <c r="L144" i="24"/>
  <c r="A146" i="23"/>
  <c r="K145" i="23"/>
  <c r="L145" i="23"/>
  <c r="AB145" i="23"/>
  <c r="X145" i="23"/>
  <c r="X151" i="15"/>
  <c r="L151" i="15"/>
  <c r="D151" i="15" s="1"/>
  <c r="AB151" i="15"/>
  <c r="K151" i="15"/>
  <c r="A152" i="15"/>
  <c r="X146" i="22"/>
  <c r="K146" i="22"/>
  <c r="L146" i="22"/>
  <c r="AB146" i="22"/>
  <c r="A147" i="22"/>
  <c r="I150" i="1"/>
  <c r="A148" i="22"/>
  <c r="AB147" i="22"/>
  <c r="X147" i="22"/>
  <c r="L147" i="22"/>
  <c r="K147" i="22"/>
  <c r="A153" i="15"/>
  <c r="AB152" i="15"/>
  <c r="K152" i="15"/>
  <c r="X152" i="15"/>
  <c r="L152" i="15"/>
  <c r="AB150" i="17"/>
  <c r="X150" i="17"/>
  <c r="L150" i="17"/>
  <c r="D150" i="17" s="1"/>
  <c r="K150" i="17"/>
  <c r="A151" i="17"/>
  <c r="A147" i="23"/>
  <c r="AB146" i="23"/>
  <c r="X146" i="23"/>
  <c r="K146" i="23"/>
  <c r="L146" i="23"/>
  <c r="A146" i="24"/>
  <c r="L145" i="24"/>
  <c r="K145" i="24"/>
  <c r="X145" i="24"/>
  <c r="AB145" i="24"/>
  <c r="B60" i="7"/>
  <c r="A149" i="20"/>
  <c r="L148" i="20"/>
  <c r="K148" i="20"/>
  <c r="AB148" i="20"/>
  <c r="X148" i="20"/>
  <c r="L151" i="16"/>
  <c r="D151" i="16" s="1"/>
  <c r="A152" i="16"/>
  <c r="X151" i="16"/>
  <c r="AB151" i="16"/>
  <c r="K151" i="16"/>
  <c r="X154" i="1"/>
  <c r="A155" i="1"/>
  <c r="AJ154" i="1"/>
  <c r="AB154" i="1"/>
  <c r="L154" i="1"/>
  <c r="AK154" i="1"/>
  <c r="K154" i="1"/>
  <c r="AB149" i="18"/>
  <c r="X149" i="18"/>
  <c r="A150" i="18"/>
  <c r="K149" i="18"/>
  <c r="A72" i="7"/>
  <c r="K144" i="25"/>
  <c r="A145" i="25"/>
  <c r="L144" i="25"/>
  <c r="AB144" i="25"/>
  <c r="X144" i="25"/>
  <c r="X146" i="24"/>
  <c r="K146" i="24"/>
  <c r="AB146" i="24"/>
  <c r="A147" i="24"/>
  <c r="L146" i="24"/>
  <c r="A152" i="17"/>
  <c r="AB151" i="17"/>
  <c r="X151" i="17"/>
  <c r="L151" i="17"/>
  <c r="D151" i="17" s="1"/>
  <c r="K151" i="17"/>
  <c r="K148" i="22"/>
  <c r="X148" i="22"/>
  <c r="L148" i="22"/>
  <c r="A149" i="22"/>
  <c r="AB148" i="22"/>
  <c r="I151" i="1"/>
  <c r="AB145" i="25"/>
  <c r="K145" i="25"/>
  <c r="X145" i="25"/>
  <c r="A146" i="25"/>
  <c r="L145" i="25"/>
  <c r="K150" i="18"/>
  <c r="AB150" i="18"/>
  <c r="X150" i="18"/>
  <c r="A151" i="18"/>
  <c r="L155" i="1"/>
  <c r="AK155" i="1"/>
  <c r="A156" i="1"/>
  <c r="X155" i="1"/>
  <c r="K155" i="1"/>
  <c r="AJ155" i="1"/>
  <c r="AB155" i="1"/>
  <c r="X152" i="16"/>
  <c r="L152" i="16"/>
  <c r="A153" i="16"/>
  <c r="K152" i="16"/>
  <c r="AB152" i="16"/>
  <c r="K149" i="20"/>
  <c r="AE24" i="7"/>
  <c r="L149" i="20"/>
  <c r="AF24" i="7" s="1"/>
  <c r="AB149" i="20"/>
  <c r="X149" i="20"/>
  <c r="A150" i="20"/>
  <c r="X147" i="23"/>
  <c r="L147" i="23"/>
  <c r="AB147" i="23"/>
  <c r="A148" i="23"/>
  <c r="K147" i="23"/>
  <c r="A154" i="15"/>
  <c r="X153" i="15"/>
  <c r="L153" i="15"/>
  <c r="D153" i="15" s="1"/>
  <c r="AB153" i="15"/>
  <c r="K153" i="15"/>
  <c r="I153" i="1"/>
  <c r="L154" i="15"/>
  <c r="D154" i="15" s="1"/>
  <c r="AB154" i="15"/>
  <c r="A155" i="15"/>
  <c r="X154" i="15"/>
  <c r="K154" i="15"/>
  <c r="K150" i="20"/>
  <c r="L150" i="20"/>
  <c r="X150" i="20"/>
  <c r="AB150" i="20"/>
  <c r="A151" i="20"/>
  <c r="L153" i="16"/>
  <c r="D153" i="16" s="1"/>
  <c r="X153" i="16"/>
  <c r="K153" i="16"/>
  <c r="A154" i="16"/>
  <c r="AB153" i="16"/>
  <c r="X151" i="18"/>
  <c r="K151" i="18"/>
  <c r="AB151" i="18"/>
  <c r="A152" i="18"/>
  <c r="AB146" i="25"/>
  <c r="K146" i="25"/>
  <c r="X146" i="25"/>
  <c r="A147" i="25"/>
  <c r="L146" i="25"/>
  <c r="AB149" i="22"/>
  <c r="A150" i="22"/>
  <c r="L149" i="22"/>
  <c r="AF36" i="7" s="1"/>
  <c r="X149" i="22"/>
  <c r="K149" i="22"/>
  <c r="AE36" i="7"/>
  <c r="K152" i="17"/>
  <c r="A153" i="17"/>
  <c r="L152" i="17"/>
  <c r="D152" i="17" s="1"/>
  <c r="X152" i="17"/>
  <c r="AB152" i="17"/>
  <c r="K147" i="24"/>
  <c r="X147" i="24"/>
  <c r="L147" i="24"/>
  <c r="A148" i="24"/>
  <c r="AB147" i="24"/>
  <c r="I152" i="1"/>
  <c r="A149" i="23"/>
  <c r="L148" i="23"/>
  <c r="AB148" i="23"/>
  <c r="K148" i="23"/>
  <c r="X148" i="23"/>
  <c r="D152" i="16"/>
  <c r="K156" i="1"/>
  <c r="X156" i="1"/>
  <c r="AJ156" i="1"/>
  <c r="AB156" i="1"/>
  <c r="AK156" i="1"/>
  <c r="L156" i="1"/>
  <c r="A157" i="1"/>
  <c r="I154" i="1"/>
  <c r="AB157" i="1"/>
  <c r="AJ157" i="1"/>
  <c r="K157" i="1"/>
  <c r="X157" i="1"/>
  <c r="AK157" i="1"/>
  <c r="A158" i="1"/>
  <c r="L157" i="1"/>
  <c r="A149" i="24"/>
  <c r="K148" i="24"/>
  <c r="L148" i="24"/>
  <c r="X148" i="24"/>
  <c r="AB148" i="24"/>
  <c r="K147" i="25"/>
  <c r="L147" i="25"/>
  <c r="A148" i="25"/>
  <c r="X147" i="25"/>
  <c r="AB147" i="25"/>
  <c r="A153" i="18"/>
  <c r="AB152" i="18"/>
  <c r="K152" i="18"/>
  <c r="X152" i="18"/>
  <c r="AB151" i="20"/>
  <c r="K151" i="20"/>
  <c r="A152" i="20"/>
  <c r="L151" i="20"/>
  <c r="X151" i="20"/>
  <c r="K155" i="15"/>
  <c r="AB155" i="15"/>
  <c r="X155" i="15"/>
  <c r="A156" i="15"/>
  <c r="L155" i="15"/>
  <c r="D155" i="15" s="1"/>
  <c r="AE48" i="7"/>
  <c r="L149" i="23"/>
  <c r="AF48" i="7" s="1"/>
  <c r="A150" i="23"/>
  <c r="X149" i="23"/>
  <c r="K149" i="23"/>
  <c r="AB149" i="23"/>
  <c r="AB153" i="17"/>
  <c r="X153" i="17"/>
  <c r="A154" i="17"/>
  <c r="K153" i="17"/>
  <c r="L153" i="17"/>
  <c r="D153" i="17" s="1"/>
  <c r="A151" i="22"/>
  <c r="AB150" i="22"/>
  <c r="L150" i="22"/>
  <c r="K150" i="22"/>
  <c r="X150" i="22"/>
  <c r="AB154" i="16"/>
  <c r="L154" i="16"/>
  <c r="D154" i="16" s="1"/>
  <c r="K154" i="16"/>
  <c r="A155" i="16"/>
  <c r="X154" i="16"/>
  <c r="AB151" i="22"/>
  <c r="K151" i="22"/>
  <c r="X151" i="22"/>
  <c r="A152" i="22"/>
  <c r="L151" i="22"/>
  <c r="A151" i="23"/>
  <c r="K150" i="23"/>
  <c r="AB150" i="23"/>
  <c r="L150" i="23"/>
  <c r="X150" i="23"/>
  <c r="K152" i="20"/>
  <c r="L152" i="20"/>
  <c r="X152" i="20"/>
  <c r="AB152" i="20"/>
  <c r="A153" i="20"/>
  <c r="X148" i="25"/>
  <c r="A149" i="25"/>
  <c r="L148" i="25"/>
  <c r="K148" i="25"/>
  <c r="AB148" i="25"/>
  <c r="X155" i="16"/>
  <c r="A156" i="16"/>
  <c r="L155" i="16"/>
  <c r="D155" i="16" s="1"/>
  <c r="AB155" i="16"/>
  <c r="K155" i="16"/>
  <c r="K154" i="17"/>
  <c r="L154" i="17"/>
  <c r="X154" i="17"/>
  <c r="AB154" i="17"/>
  <c r="A155" i="17"/>
  <c r="K156" i="15"/>
  <c r="AB156" i="15"/>
  <c r="L156" i="15"/>
  <c r="D156" i="15" s="1"/>
  <c r="A157" i="15"/>
  <c r="X156" i="15"/>
  <c r="X153" i="18"/>
  <c r="A154" i="18"/>
  <c r="AB153" i="18"/>
  <c r="K153" i="18"/>
  <c r="A150" i="24"/>
  <c r="L149" i="24"/>
  <c r="AF60" i="7" s="1"/>
  <c r="K149" i="24"/>
  <c r="X149" i="24"/>
  <c r="AE60" i="7"/>
  <c r="AB149" i="24"/>
  <c r="L158" i="1"/>
  <c r="K158" i="1"/>
  <c r="X158" i="1"/>
  <c r="AJ158" i="1"/>
  <c r="A159" i="1"/>
  <c r="AK158" i="1"/>
  <c r="AB158" i="1"/>
  <c r="A151" i="24"/>
  <c r="K150" i="24"/>
  <c r="L150" i="24"/>
  <c r="X150" i="24"/>
  <c r="AB150" i="24"/>
  <c r="A155" i="18"/>
  <c r="L154" i="18"/>
  <c r="X154" i="18"/>
  <c r="AB154" i="18"/>
  <c r="K154" i="18"/>
  <c r="K157" i="15"/>
  <c r="AB157" i="15"/>
  <c r="L157" i="15"/>
  <c r="D157" i="15" s="1"/>
  <c r="X157" i="15"/>
  <c r="A158" i="15"/>
  <c r="K155" i="17"/>
  <c r="L155" i="17"/>
  <c r="D155" i="17" s="1"/>
  <c r="X155" i="17"/>
  <c r="A156" i="17"/>
  <c r="AB155" i="17"/>
  <c r="A157" i="16"/>
  <c r="L156" i="16"/>
  <c r="X156" i="16"/>
  <c r="K156" i="16"/>
  <c r="AB156" i="16"/>
  <c r="I156" i="1"/>
  <c r="AB149" i="25"/>
  <c r="L149" i="25"/>
  <c r="AF72" i="7" s="1"/>
  <c r="K149" i="25"/>
  <c r="A150" i="25"/>
  <c r="AE72" i="7"/>
  <c r="X149" i="25"/>
  <c r="X153" i="20"/>
  <c r="A154" i="20"/>
  <c r="L153" i="20"/>
  <c r="K153" i="20"/>
  <c r="AB153" i="20"/>
  <c r="K151" i="23"/>
  <c r="X151" i="23"/>
  <c r="L151" i="23"/>
  <c r="AB151" i="23"/>
  <c r="A152" i="23"/>
  <c r="X152" i="22"/>
  <c r="K152" i="22"/>
  <c r="AB152" i="22"/>
  <c r="A153" i="22"/>
  <c r="L152" i="22"/>
  <c r="K159" i="1"/>
  <c r="L159" i="1"/>
  <c r="AK159" i="1"/>
  <c r="AJ159" i="1"/>
  <c r="X159" i="1"/>
  <c r="A160" i="1"/>
  <c r="AB159" i="1"/>
  <c r="I155" i="1"/>
  <c r="D154" i="17"/>
  <c r="I157" i="1"/>
  <c r="A161" i="1"/>
  <c r="AB160" i="1"/>
  <c r="AJ160" i="1"/>
  <c r="X160" i="1"/>
  <c r="L160" i="1"/>
  <c r="K160" i="1"/>
  <c r="AK160" i="1"/>
  <c r="X153" i="22"/>
  <c r="AB153" i="22"/>
  <c r="L153" i="22"/>
  <c r="K153" i="22"/>
  <c r="A154" i="22"/>
  <c r="K152" i="23"/>
  <c r="A153" i="23"/>
  <c r="AB152" i="23"/>
  <c r="L152" i="23"/>
  <c r="X152" i="23"/>
  <c r="X154" i="20"/>
  <c r="L154" i="20"/>
  <c r="K154" i="20"/>
  <c r="AB154" i="20"/>
  <c r="A155" i="20"/>
  <c r="K150" i="25"/>
  <c r="X150" i="25"/>
  <c r="AB150" i="25"/>
  <c r="A151" i="25"/>
  <c r="L150" i="25"/>
  <c r="D156" i="16"/>
  <c r="A157" i="17"/>
  <c r="L156" i="17"/>
  <c r="D156" i="17" s="1"/>
  <c r="K156" i="17"/>
  <c r="X156" i="17"/>
  <c r="AB156" i="17"/>
  <c r="X158" i="15"/>
  <c r="A159" i="15"/>
  <c r="L158" i="15"/>
  <c r="D158" i="15" s="1"/>
  <c r="K158" i="15"/>
  <c r="AB158" i="15"/>
  <c r="X157" i="16"/>
  <c r="AB157" i="16"/>
  <c r="A158" i="16"/>
  <c r="L157" i="16"/>
  <c r="K157" i="16"/>
  <c r="K155" i="18"/>
  <c r="A156" i="18"/>
  <c r="L155" i="18"/>
  <c r="X155" i="18"/>
  <c r="AB155" i="18"/>
  <c r="A152" i="24"/>
  <c r="L151" i="24"/>
  <c r="AB151" i="24"/>
  <c r="X151" i="24"/>
  <c r="K151" i="24"/>
  <c r="X152" i="24"/>
  <c r="L152" i="24"/>
  <c r="A153" i="24"/>
  <c r="K152" i="24"/>
  <c r="AB152" i="24"/>
  <c r="X156" i="18"/>
  <c r="AB156" i="18"/>
  <c r="K156" i="18"/>
  <c r="A157" i="18"/>
  <c r="AB158" i="16"/>
  <c r="A159" i="16"/>
  <c r="L158" i="16"/>
  <c r="X158" i="16"/>
  <c r="K158" i="16"/>
  <c r="AB155" i="20"/>
  <c r="K155" i="20"/>
  <c r="L155" i="20"/>
  <c r="X155" i="20"/>
  <c r="A156" i="20"/>
  <c r="K154" i="22"/>
  <c r="L154" i="22"/>
  <c r="A155" i="22"/>
  <c r="X154" i="22"/>
  <c r="AB154" i="22"/>
  <c r="AB161" i="1"/>
  <c r="AJ161" i="1"/>
  <c r="L161" i="1"/>
  <c r="A162" i="1"/>
  <c r="X161" i="1"/>
  <c r="K161" i="1"/>
  <c r="AK161" i="1"/>
  <c r="D157" i="16"/>
  <c r="K159" i="15"/>
  <c r="AB159" i="15"/>
  <c r="A160" i="15"/>
  <c r="L159" i="15"/>
  <c r="D159" i="15" s="1"/>
  <c r="X159" i="15"/>
  <c r="A158" i="17"/>
  <c r="AB157" i="17"/>
  <c r="X157" i="17"/>
  <c r="K157" i="17"/>
  <c r="L157" i="17"/>
  <c r="D157" i="17" s="1"/>
  <c r="K151" i="25"/>
  <c r="AB151" i="25"/>
  <c r="L151" i="25"/>
  <c r="A152" i="25"/>
  <c r="X151" i="25"/>
  <c r="A154" i="23"/>
  <c r="L153" i="23"/>
  <c r="K153" i="23"/>
  <c r="X153" i="23"/>
  <c r="AB153" i="23"/>
  <c r="K160" i="15"/>
  <c r="AB160" i="15"/>
  <c r="X160" i="15"/>
  <c r="L160" i="15"/>
  <c r="D160" i="15" s="1"/>
  <c r="A161" i="15"/>
  <c r="L162" i="1"/>
  <c r="AJ162" i="1"/>
  <c r="K162" i="1"/>
  <c r="AK162" i="1"/>
  <c r="A163" i="1"/>
  <c r="AB162" i="1"/>
  <c r="X162" i="1"/>
  <c r="AB156" i="20"/>
  <c r="X156" i="20"/>
  <c r="A157" i="20"/>
  <c r="L156" i="20"/>
  <c r="K156" i="20"/>
  <c r="K159" i="16"/>
  <c r="A160" i="16"/>
  <c r="L159" i="16"/>
  <c r="D159" i="16" s="1"/>
  <c r="AB159" i="16"/>
  <c r="X159" i="16"/>
  <c r="I158" i="1"/>
  <c r="K154" i="23"/>
  <c r="X154" i="23"/>
  <c r="A155" i="23"/>
  <c r="AB154" i="23"/>
  <c r="L154" i="23"/>
  <c r="AB152" i="25"/>
  <c r="A153" i="25"/>
  <c r="L152" i="25"/>
  <c r="K152" i="25"/>
  <c r="X152" i="25"/>
  <c r="A159" i="17"/>
  <c r="AB158" i="17"/>
  <c r="L158" i="17"/>
  <c r="D158" i="17" s="1"/>
  <c r="K158" i="17"/>
  <c r="X158" i="17"/>
  <c r="X155" i="22"/>
  <c r="K155" i="22"/>
  <c r="L155" i="22"/>
  <c r="A156" i="22"/>
  <c r="AB155" i="22"/>
  <c r="D158" i="16"/>
  <c r="AB157" i="18"/>
  <c r="K157" i="18"/>
  <c r="X157" i="18"/>
  <c r="A158" i="18"/>
  <c r="A154" i="24"/>
  <c r="K153" i="24"/>
  <c r="AB153" i="24"/>
  <c r="L153" i="24"/>
  <c r="X153" i="24"/>
  <c r="AB159" i="17"/>
  <c r="K159" i="17"/>
  <c r="A160" i="17"/>
  <c r="X159" i="17"/>
  <c r="L159" i="17"/>
  <c r="D159" i="17" s="1"/>
  <c r="A155" i="24"/>
  <c r="K154" i="24"/>
  <c r="L154" i="24"/>
  <c r="X154" i="24"/>
  <c r="AB154" i="24"/>
  <c r="L158" i="18"/>
  <c r="AB158" i="18"/>
  <c r="K158" i="18"/>
  <c r="A159" i="18"/>
  <c r="X158" i="18"/>
  <c r="K156" i="22"/>
  <c r="X156" i="22"/>
  <c r="A157" i="22"/>
  <c r="AB156" i="22"/>
  <c r="L156" i="22"/>
  <c r="A154" i="25"/>
  <c r="L153" i="25"/>
  <c r="X153" i="25"/>
  <c r="K153" i="25"/>
  <c r="AB153" i="25"/>
  <c r="X155" i="23"/>
  <c r="AB155" i="23"/>
  <c r="L155" i="23"/>
  <c r="A156" i="23"/>
  <c r="K155" i="23"/>
  <c r="K160" i="16"/>
  <c r="AB160" i="16"/>
  <c r="L160" i="16"/>
  <c r="D160" i="16" s="1"/>
  <c r="X160" i="16"/>
  <c r="A161" i="16"/>
  <c r="I159" i="1"/>
  <c r="K157" i="20"/>
  <c r="A158" i="20"/>
  <c r="X157" i="20"/>
  <c r="L157" i="20"/>
  <c r="AB157" i="20"/>
  <c r="AB163" i="1"/>
  <c r="X163" i="1"/>
  <c r="K163" i="1"/>
  <c r="AJ163" i="1"/>
  <c r="L163" i="1"/>
  <c r="A164" i="1"/>
  <c r="AK163" i="1"/>
  <c r="A162" i="15"/>
  <c r="X161" i="15"/>
  <c r="K161" i="15"/>
  <c r="AB161" i="15"/>
  <c r="L161" i="15"/>
  <c r="D161" i="15" s="1"/>
  <c r="X162" i="15"/>
  <c r="L162" i="15"/>
  <c r="D162" i="15" s="1"/>
  <c r="K162" i="15"/>
  <c r="A163" i="15"/>
  <c r="AB162" i="15"/>
  <c r="AB158" i="20"/>
  <c r="X158" i="20"/>
  <c r="A159" i="20"/>
  <c r="L158" i="20"/>
  <c r="K158" i="20"/>
  <c r="L161" i="16"/>
  <c r="D161" i="16" s="1"/>
  <c r="K161" i="16"/>
  <c r="X161" i="16"/>
  <c r="AB161" i="16"/>
  <c r="A162" i="16"/>
  <c r="AB157" i="22"/>
  <c r="L157" i="22"/>
  <c r="K157" i="22"/>
  <c r="A158" i="22"/>
  <c r="X157" i="22"/>
  <c r="AB159" i="18"/>
  <c r="K159" i="18"/>
  <c r="A160" i="18"/>
  <c r="X159" i="18"/>
  <c r="X155" i="24"/>
  <c r="AB155" i="24"/>
  <c r="A156" i="24"/>
  <c r="L155" i="24"/>
  <c r="K155" i="24"/>
  <c r="A165" i="1"/>
  <c r="L164" i="1"/>
  <c r="AK164" i="1"/>
  <c r="AJ164" i="1"/>
  <c r="K164" i="1"/>
  <c r="X164" i="1"/>
  <c r="AB164" i="1"/>
  <c r="X156" i="23"/>
  <c r="A157" i="23"/>
  <c r="AB156" i="23"/>
  <c r="K156" i="23"/>
  <c r="L156" i="23"/>
  <c r="K154" i="25"/>
  <c r="L154" i="25"/>
  <c r="AB154" i="25"/>
  <c r="A155" i="25"/>
  <c r="X154" i="25"/>
  <c r="K160" i="17"/>
  <c r="A161" i="17"/>
  <c r="X160" i="17"/>
  <c r="L160" i="17"/>
  <c r="D160" i="17" s="1"/>
  <c r="AB160" i="17"/>
  <c r="I160" i="1"/>
  <c r="X155" i="25"/>
  <c r="L155" i="25"/>
  <c r="A156" i="25"/>
  <c r="AB155" i="25"/>
  <c r="K155" i="25"/>
  <c r="I162" i="1"/>
  <c r="K161" i="17"/>
  <c r="AB161" i="17"/>
  <c r="L161" i="17"/>
  <c r="D161" i="17" s="1"/>
  <c r="X161" i="17"/>
  <c r="A162" i="17"/>
  <c r="K157" i="23"/>
  <c r="A158" i="23"/>
  <c r="L157" i="23"/>
  <c r="AB157" i="23"/>
  <c r="X157" i="23"/>
  <c r="K165" i="1"/>
  <c r="L165" i="1"/>
  <c r="AJ165" i="1"/>
  <c r="A166" i="1"/>
  <c r="AB165" i="1"/>
  <c r="X165" i="1"/>
  <c r="AK165" i="1"/>
  <c r="AB156" i="24"/>
  <c r="X156" i="24"/>
  <c r="L156" i="24"/>
  <c r="A157" i="24"/>
  <c r="K156" i="24"/>
  <c r="X160" i="18"/>
  <c r="AB160" i="18"/>
  <c r="L160" i="18"/>
  <c r="A161" i="18"/>
  <c r="K160" i="18"/>
  <c r="A159" i="22"/>
  <c r="X158" i="22"/>
  <c r="L158" i="22"/>
  <c r="AB158" i="22"/>
  <c r="K158" i="22"/>
  <c r="AB162" i="16"/>
  <c r="A163" i="16"/>
  <c r="L162" i="16"/>
  <c r="D162" i="16" s="1"/>
  <c r="K162" i="16"/>
  <c r="X162" i="16"/>
  <c r="K159" i="20"/>
  <c r="L159" i="20"/>
  <c r="AB159" i="20"/>
  <c r="A160" i="20"/>
  <c r="X159" i="20"/>
  <c r="X163" i="15"/>
  <c r="AB163" i="15"/>
  <c r="L163" i="15"/>
  <c r="D163" i="15" s="1"/>
  <c r="K163" i="15"/>
  <c r="A164" i="15"/>
  <c r="I161" i="1"/>
  <c r="X160" i="20"/>
  <c r="A161" i="20"/>
  <c r="K160" i="20"/>
  <c r="L160" i="20"/>
  <c r="AB160" i="20"/>
  <c r="K157" i="24"/>
  <c r="L157" i="24"/>
  <c r="X157" i="24"/>
  <c r="AB157" i="24"/>
  <c r="A158" i="24"/>
  <c r="X158" i="23"/>
  <c r="A159" i="23"/>
  <c r="L158" i="23"/>
  <c r="AB158" i="23"/>
  <c r="K158" i="23"/>
  <c r="A163" i="17"/>
  <c r="K162" i="17"/>
  <c r="AB162" i="17"/>
  <c r="L162" i="17"/>
  <c r="D162" i="17" s="1"/>
  <c r="X162" i="17"/>
  <c r="X164" i="15"/>
  <c r="A165" i="15"/>
  <c r="L164" i="15"/>
  <c r="D164" i="15" s="1"/>
  <c r="AB164" i="15"/>
  <c r="K164" i="15"/>
  <c r="K163" i="16"/>
  <c r="AB163" i="16"/>
  <c r="L163" i="16"/>
  <c r="D163" i="16" s="1"/>
  <c r="A164" i="16"/>
  <c r="X163" i="16"/>
  <c r="X159" i="22"/>
  <c r="AB159" i="22"/>
  <c r="K159" i="22"/>
  <c r="L159" i="22"/>
  <c r="A160" i="22"/>
  <c r="X161" i="18"/>
  <c r="A162" i="18"/>
  <c r="K161" i="18"/>
  <c r="AB161" i="18"/>
  <c r="L166" i="1"/>
  <c r="K166" i="1"/>
  <c r="X166" i="1"/>
  <c r="AK166" i="1"/>
  <c r="AJ166" i="1"/>
  <c r="A167" i="1"/>
  <c r="AB166" i="1"/>
  <c r="A157" i="25"/>
  <c r="K156" i="25"/>
  <c r="X156" i="25"/>
  <c r="L156" i="25"/>
  <c r="AB156" i="25"/>
  <c r="A158" i="25"/>
  <c r="X157" i="25"/>
  <c r="L157" i="25"/>
  <c r="K157" i="25"/>
  <c r="AB157" i="25"/>
  <c r="AB160" i="22"/>
  <c r="A161" i="22"/>
  <c r="K160" i="22"/>
  <c r="X160" i="22"/>
  <c r="L160" i="22"/>
  <c r="A165" i="16"/>
  <c r="AB164" i="16"/>
  <c r="K164" i="16"/>
  <c r="X164" i="16"/>
  <c r="L164" i="16"/>
  <c r="D164" i="16" s="1"/>
  <c r="X163" i="17"/>
  <c r="L163" i="17"/>
  <c r="D163" i="17" s="1"/>
  <c r="AB163" i="17"/>
  <c r="A164" i="17"/>
  <c r="K163" i="17"/>
  <c r="A160" i="23"/>
  <c r="K159" i="23"/>
  <c r="X159" i="23"/>
  <c r="L159" i="23"/>
  <c r="AB159" i="23"/>
  <c r="A162" i="20"/>
  <c r="L161" i="20"/>
  <c r="K161" i="20"/>
  <c r="AB161" i="20"/>
  <c r="X161" i="20"/>
  <c r="A168" i="1"/>
  <c r="X167" i="1"/>
  <c r="L167" i="1"/>
  <c r="AB167" i="1"/>
  <c r="K167" i="1"/>
  <c r="AK167" i="1"/>
  <c r="AJ167" i="1"/>
  <c r="K162" i="18"/>
  <c r="X162" i="18"/>
  <c r="A163" i="18"/>
  <c r="AB162" i="18"/>
  <c r="L162" i="18"/>
  <c r="X165" i="15"/>
  <c r="AB165" i="15"/>
  <c r="A166" i="15"/>
  <c r="K165" i="15"/>
  <c r="L165" i="15"/>
  <c r="D165" i="15" s="1"/>
  <c r="A159" i="24"/>
  <c r="K158" i="24"/>
  <c r="X158" i="24"/>
  <c r="L158" i="24"/>
  <c r="AB158" i="24"/>
  <c r="I163" i="1"/>
  <c r="K168" i="1"/>
  <c r="AK168" i="1"/>
  <c r="X168" i="1"/>
  <c r="L168" i="1"/>
  <c r="AB168" i="1"/>
  <c r="AJ168" i="1"/>
  <c r="A169" i="1"/>
  <c r="X160" i="23"/>
  <c r="A161" i="23"/>
  <c r="K160" i="23"/>
  <c r="L160" i="23"/>
  <c r="AB160" i="23"/>
  <c r="AB164" i="17"/>
  <c r="K164" i="17"/>
  <c r="L164" i="17"/>
  <c r="X164" i="17"/>
  <c r="A165" i="17"/>
  <c r="X165" i="16"/>
  <c r="K165" i="16"/>
  <c r="A166" i="16"/>
  <c r="AB165" i="16"/>
  <c r="L165" i="16"/>
  <c r="D165" i="16" s="1"/>
  <c r="K159" i="24"/>
  <c r="X159" i="24"/>
  <c r="L159" i="24"/>
  <c r="AB159" i="24"/>
  <c r="A160" i="24"/>
  <c r="A167" i="15"/>
  <c r="K166" i="15"/>
  <c r="AB166" i="15"/>
  <c r="X166" i="15"/>
  <c r="L166" i="15"/>
  <c r="D166" i="15" s="1"/>
  <c r="X163" i="18"/>
  <c r="AB163" i="18"/>
  <c r="K163" i="18"/>
  <c r="A164" i="18"/>
  <c r="K162" i="20"/>
  <c r="AB162" i="20"/>
  <c r="X162" i="20"/>
  <c r="L162" i="20"/>
  <c r="A163" i="20"/>
  <c r="AB161" i="22"/>
  <c r="L161" i="22"/>
  <c r="X161" i="22"/>
  <c r="A162" i="22"/>
  <c r="K161" i="22"/>
  <c r="K158" i="25"/>
  <c r="L158" i="25"/>
  <c r="X158" i="25"/>
  <c r="AB158" i="25"/>
  <c r="A159" i="25"/>
  <c r="I164" i="1"/>
  <c r="X159" i="25"/>
  <c r="L159" i="25"/>
  <c r="K159" i="25"/>
  <c r="AB159" i="25"/>
  <c r="A160" i="25"/>
  <c r="X163" i="20"/>
  <c r="AB163" i="20"/>
  <c r="A164" i="20"/>
  <c r="L163" i="20"/>
  <c r="K163" i="20"/>
  <c r="X164" i="18"/>
  <c r="AB164" i="18"/>
  <c r="L164" i="18"/>
  <c r="A165" i="18"/>
  <c r="K164" i="18"/>
  <c r="K166" i="16"/>
  <c r="A167" i="16"/>
  <c r="L166" i="16"/>
  <c r="AB166" i="16"/>
  <c r="X166" i="16"/>
  <c r="AK169" i="1"/>
  <c r="A170" i="1"/>
  <c r="K169" i="1"/>
  <c r="X169" i="1"/>
  <c r="AB169" i="1"/>
  <c r="L169" i="1"/>
  <c r="AJ169" i="1"/>
  <c r="AB162" i="22"/>
  <c r="X162" i="22"/>
  <c r="K162" i="22"/>
  <c r="L162" i="22"/>
  <c r="A163" i="22"/>
  <c r="I166" i="1"/>
  <c r="AB167" i="15"/>
  <c r="A168" i="15"/>
  <c r="X167" i="15"/>
  <c r="K167" i="15"/>
  <c r="L167" i="15"/>
  <c r="D167" i="15" s="1"/>
  <c r="AB160" i="24"/>
  <c r="K160" i="24"/>
  <c r="L160" i="24"/>
  <c r="X160" i="24"/>
  <c r="A161" i="24"/>
  <c r="AB165" i="17"/>
  <c r="X165" i="17"/>
  <c r="K165" i="17"/>
  <c r="L165" i="17"/>
  <c r="D165" i="17" s="1"/>
  <c r="A166" i="17"/>
  <c r="D164" i="17"/>
  <c r="AB161" i="23"/>
  <c r="X161" i="23"/>
  <c r="A162" i="23"/>
  <c r="K161" i="23"/>
  <c r="L161" i="23"/>
  <c r="I165" i="1"/>
  <c r="X166" i="17"/>
  <c r="A167" i="17"/>
  <c r="L166" i="17"/>
  <c r="AB166" i="17"/>
  <c r="K166" i="17"/>
  <c r="AB161" i="24"/>
  <c r="X161" i="24"/>
  <c r="K161" i="24"/>
  <c r="A162" i="24"/>
  <c r="L161" i="24"/>
  <c r="X163" i="22"/>
  <c r="A164" i="22"/>
  <c r="L163" i="22"/>
  <c r="AB163" i="22"/>
  <c r="K163" i="22"/>
  <c r="AK170" i="1"/>
  <c r="K170" i="1"/>
  <c r="X170" i="1"/>
  <c r="AJ170" i="1"/>
  <c r="L170" i="1"/>
  <c r="A171" i="1"/>
  <c r="AB170" i="1"/>
  <c r="AC170" i="1"/>
  <c r="D166" i="16"/>
  <c r="K164" i="20"/>
  <c r="AB164" i="20"/>
  <c r="L164" i="20"/>
  <c r="X164" i="20"/>
  <c r="A165" i="20"/>
  <c r="K162" i="23"/>
  <c r="L162" i="23"/>
  <c r="AB162" i="23"/>
  <c r="X162" i="23"/>
  <c r="A163" i="23"/>
  <c r="AB168" i="15"/>
  <c r="X168" i="15"/>
  <c r="A169" i="15"/>
  <c r="L168" i="15"/>
  <c r="D168" i="15" s="1"/>
  <c r="K168" i="15"/>
  <c r="K167" i="16"/>
  <c r="A168" i="16"/>
  <c r="X167" i="16"/>
  <c r="AB167" i="16"/>
  <c r="L167" i="16"/>
  <c r="X165" i="18"/>
  <c r="K165" i="18"/>
  <c r="A166" i="18"/>
  <c r="AB165" i="18"/>
  <c r="X160" i="25"/>
  <c r="A161" i="25"/>
  <c r="AB160" i="25"/>
  <c r="K160" i="25"/>
  <c r="L160" i="25"/>
  <c r="K161" i="25"/>
  <c r="L161" i="25"/>
  <c r="X161" i="25"/>
  <c r="A162" i="25"/>
  <c r="AB161" i="25"/>
  <c r="I167" i="1"/>
  <c r="A167" i="18"/>
  <c r="K166" i="18"/>
  <c r="AB166" i="18"/>
  <c r="X166" i="18"/>
  <c r="D167" i="16"/>
  <c r="AB163" i="23"/>
  <c r="A164" i="23"/>
  <c r="K163" i="23"/>
  <c r="L163" i="23"/>
  <c r="X163" i="23"/>
  <c r="X165" i="20"/>
  <c r="AB165" i="20"/>
  <c r="K165" i="20"/>
  <c r="A166" i="20"/>
  <c r="L165" i="20"/>
  <c r="K164" i="22"/>
  <c r="AB164" i="22"/>
  <c r="A165" i="22"/>
  <c r="X164" i="22"/>
  <c r="L164" i="22"/>
  <c r="X162" i="24"/>
  <c r="K162" i="24"/>
  <c r="AB162" i="24"/>
  <c r="A163" i="24"/>
  <c r="L162" i="24"/>
  <c r="K167" i="17"/>
  <c r="A168" i="17"/>
  <c r="X167" i="17"/>
  <c r="L167" i="17"/>
  <c r="AB167" i="17"/>
  <c r="L168" i="16"/>
  <c r="D168" i="16" s="1"/>
  <c r="AB168" i="16"/>
  <c r="X168" i="16"/>
  <c r="K168" i="16"/>
  <c r="A169" i="16"/>
  <c r="AB169" i="15"/>
  <c r="X169" i="15"/>
  <c r="K169" i="15"/>
  <c r="A170" i="15"/>
  <c r="L169" i="15"/>
  <c r="D169" i="15" s="1"/>
  <c r="A172" i="1"/>
  <c r="L171" i="1"/>
  <c r="K171" i="1"/>
  <c r="AJ171" i="1"/>
  <c r="X171" i="1"/>
  <c r="AK171" i="1"/>
  <c r="AB171" i="1"/>
  <c r="D166" i="17"/>
  <c r="K170" i="15"/>
  <c r="X170" i="15"/>
  <c r="A171" i="15"/>
  <c r="AB170" i="15"/>
  <c r="L170" i="15"/>
  <c r="K169" i="16"/>
  <c r="AB169" i="16"/>
  <c r="A170" i="16"/>
  <c r="L169" i="16"/>
  <c r="D169" i="16" s="1"/>
  <c r="X169" i="16"/>
  <c r="D167" i="17"/>
  <c r="K168" i="17"/>
  <c r="A169" i="17"/>
  <c r="L168" i="17"/>
  <c r="AB168" i="17"/>
  <c r="X168" i="17"/>
  <c r="L165" i="22"/>
  <c r="AB165" i="22"/>
  <c r="X165" i="22"/>
  <c r="A166" i="22"/>
  <c r="K165" i="22"/>
  <c r="A167" i="20"/>
  <c r="L166" i="20"/>
  <c r="K166" i="20"/>
  <c r="X166" i="20"/>
  <c r="AB166" i="20"/>
  <c r="X164" i="23"/>
  <c r="A165" i="23"/>
  <c r="L164" i="23"/>
  <c r="K164" i="23"/>
  <c r="AB164" i="23"/>
  <c r="AB162" i="25"/>
  <c r="A163" i="25"/>
  <c r="X162" i="25"/>
  <c r="L162" i="25"/>
  <c r="K162" i="25"/>
  <c r="I168" i="1"/>
  <c r="AK172" i="1"/>
  <c r="X172" i="1"/>
  <c r="AC172" i="1"/>
  <c r="K172" i="1"/>
  <c r="AB172" i="1"/>
  <c r="L172" i="1"/>
  <c r="AJ172" i="1"/>
  <c r="A173" i="1"/>
  <c r="L163" i="24"/>
  <c r="K163" i="24"/>
  <c r="A164" i="24"/>
  <c r="X163" i="24"/>
  <c r="AB163" i="24"/>
  <c r="AB167" i="18"/>
  <c r="X167" i="18"/>
  <c r="A168" i="18"/>
  <c r="K167" i="18"/>
  <c r="X168" i="18"/>
  <c r="A169" i="18"/>
  <c r="AB168" i="18"/>
  <c r="K168" i="18"/>
  <c r="K164" i="24"/>
  <c r="A165" i="24"/>
  <c r="AB164" i="24"/>
  <c r="X164" i="24"/>
  <c r="L164" i="24"/>
  <c r="L173" i="1"/>
  <c r="AK173" i="1"/>
  <c r="AJ173" i="1"/>
  <c r="K173" i="1"/>
  <c r="A174" i="1"/>
  <c r="AB173" i="1"/>
  <c r="X173" i="1"/>
  <c r="AB166" i="22"/>
  <c r="X166" i="22"/>
  <c r="A167" i="22"/>
  <c r="K166" i="22"/>
  <c r="L166" i="22"/>
  <c r="X169" i="17"/>
  <c r="L169" i="17"/>
  <c r="A170" i="17"/>
  <c r="K169" i="17"/>
  <c r="AB169" i="17"/>
  <c r="X170" i="16"/>
  <c r="L170" i="16"/>
  <c r="D170" i="16" s="1"/>
  <c r="AB170" i="16"/>
  <c r="K170" i="16"/>
  <c r="A171" i="16"/>
  <c r="D170" i="15"/>
  <c r="X163" i="25"/>
  <c r="K163" i="25"/>
  <c r="L163" i="25"/>
  <c r="A164" i="25"/>
  <c r="AB163" i="25"/>
  <c r="I169" i="1"/>
  <c r="K165" i="23"/>
  <c r="L165" i="23"/>
  <c r="X165" i="23"/>
  <c r="A166" i="23"/>
  <c r="AB165" i="23"/>
  <c r="A168" i="20"/>
  <c r="X167" i="20"/>
  <c r="AB167" i="20"/>
  <c r="K167" i="20"/>
  <c r="L167" i="20"/>
  <c r="D168" i="17"/>
  <c r="L171" i="15"/>
  <c r="D171" i="15" s="1"/>
  <c r="X171" i="15"/>
  <c r="AB171" i="15"/>
  <c r="K171" i="15"/>
  <c r="A172" i="15"/>
  <c r="D169" i="17"/>
  <c r="X167" i="22"/>
  <c r="A168" i="22"/>
  <c r="K167" i="22"/>
  <c r="AB167" i="22"/>
  <c r="L167" i="22"/>
  <c r="L174" i="1"/>
  <c r="AB174" i="1"/>
  <c r="K174" i="1"/>
  <c r="A175" i="1"/>
  <c r="X174" i="1"/>
  <c r="AJ174" i="1"/>
  <c r="AK174" i="1"/>
  <c r="A170" i="18"/>
  <c r="AB169" i="18"/>
  <c r="K169" i="18"/>
  <c r="X169" i="18"/>
  <c r="I171" i="1"/>
  <c r="X172" i="15"/>
  <c r="K172" i="15"/>
  <c r="AB172" i="15"/>
  <c r="L172" i="15"/>
  <c r="A173" i="15"/>
  <c r="AB168" i="20"/>
  <c r="L168" i="20"/>
  <c r="X168" i="20"/>
  <c r="K168" i="20"/>
  <c r="A169" i="20"/>
  <c r="K166" i="23"/>
  <c r="X166" i="23"/>
  <c r="AB166" i="23"/>
  <c r="L166" i="23"/>
  <c r="A167" i="23"/>
  <c r="A165" i="25"/>
  <c r="AB164" i="25"/>
  <c r="L164" i="25"/>
  <c r="X164" i="25"/>
  <c r="K164" i="25"/>
  <c r="K171" i="16"/>
  <c r="A172" i="16"/>
  <c r="AB171" i="16"/>
  <c r="X171" i="16"/>
  <c r="L171" i="16"/>
  <c r="D171" i="16" s="1"/>
  <c r="K170" i="17"/>
  <c r="AB170" i="17"/>
  <c r="A171" i="17"/>
  <c r="L170" i="17"/>
  <c r="X170" i="17"/>
  <c r="K165" i="24"/>
  <c r="X165" i="24"/>
  <c r="A166" i="24"/>
  <c r="AB165" i="24"/>
  <c r="L165" i="24"/>
  <c r="I170" i="1"/>
  <c r="D170" i="17"/>
  <c r="A172" i="17"/>
  <c r="L171" i="17"/>
  <c r="D171" i="17" s="1"/>
  <c r="K171" i="17"/>
  <c r="AB171" i="17"/>
  <c r="X171" i="17"/>
  <c r="L172" i="16"/>
  <c r="D172" i="16" s="1"/>
  <c r="K172" i="16"/>
  <c r="AB172" i="16"/>
  <c r="X172" i="16"/>
  <c r="A173" i="16"/>
  <c r="K167" i="23"/>
  <c r="AB167" i="23"/>
  <c r="X167" i="23"/>
  <c r="A168" i="23"/>
  <c r="L167" i="23"/>
  <c r="D172" i="15"/>
  <c r="A176" i="1"/>
  <c r="K175" i="1"/>
  <c r="AJ175" i="1"/>
  <c r="L175" i="1"/>
  <c r="AB175" i="1"/>
  <c r="AK175" i="1"/>
  <c r="X175" i="1"/>
  <c r="K166" i="24"/>
  <c r="L166" i="24"/>
  <c r="A167" i="24"/>
  <c r="AB166" i="24"/>
  <c r="X166" i="24"/>
  <c r="A166" i="25"/>
  <c r="AB165" i="25"/>
  <c r="L165" i="25"/>
  <c r="K165" i="25"/>
  <c r="X165" i="25"/>
  <c r="K169" i="20"/>
  <c r="L169" i="20"/>
  <c r="A170" i="20"/>
  <c r="X169" i="20"/>
  <c r="AB169" i="20"/>
  <c r="X173" i="15"/>
  <c r="L173" i="15"/>
  <c r="D173" i="15" s="1"/>
  <c r="K173" i="15"/>
  <c r="A174" i="15"/>
  <c r="AB173" i="15"/>
  <c r="X170" i="18"/>
  <c r="K170" i="18"/>
  <c r="AB170" i="18"/>
  <c r="A171" i="18"/>
  <c r="AB168" i="22"/>
  <c r="K168" i="22"/>
  <c r="A169" i="22"/>
  <c r="X168" i="22"/>
  <c r="L168" i="22"/>
  <c r="AB169" i="22"/>
  <c r="K169" i="22"/>
  <c r="X169" i="22"/>
  <c r="L169" i="22"/>
  <c r="A170" i="22"/>
  <c r="X171" i="18"/>
  <c r="AB171" i="18"/>
  <c r="A172" i="18"/>
  <c r="K171" i="18"/>
  <c r="K170" i="20"/>
  <c r="AB170" i="20"/>
  <c r="X170" i="20"/>
  <c r="A171" i="20"/>
  <c r="L170" i="20"/>
  <c r="K173" i="16"/>
  <c r="A174" i="16"/>
  <c r="AB173" i="16"/>
  <c r="X173" i="16"/>
  <c r="L173" i="16"/>
  <c r="D173" i="16" s="1"/>
  <c r="I172" i="1"/>
  <c r="X174" i="15"/>
  <c r="L174" i="15"/>
  <c r="D174" i="15" s="1"/>
  <c r="K174" i="15"/>
  <c r="A175" i="15"/>
  <c r="AB174" i="15"/>
  <c r="K166" i="25"/>
  <c r="X166" i="25"/>
  <c r="L166" i="25"/>
  <c r="A167" i="25"/>
  <c r="AB166" i="25"/>
  <c r="K167" i="24"/>
  <c r="L167" i="24"/>
  <c r="AB167" i="24"/>
  <c r="A168" i="24"/>
  <c r="X167" i="24"/>
  <c r="A177" i="1"/>
  <c r="AB176" i="1"/>
  <c r="L176" i="1"/>
  <c r="X176" i="1"/>
  <c r="AK176" i="1"/>
  <c r="AJ176" i="1"/>
  <c r="K176" i="1"/>
  <c r="AB168" i="23"/>
  <c r="L168" i="23"/>
  <c r="A169" i="23"/>
  <c r="K168" i="23"/>
  <c r="X168" i="23"/>
  <c r="K172" i="17"/>
  <c r="A173" i="17"/>
  <c r="L172" i="17"/>
  <c r="X172" i="17"/>
  <c r="AB172" i="17"/>
  <c r="A178" i="1"/>
  <c r="AK177" i="1"/>
  <c r="AB177" i="1"/>
  <c r="X177" i="1"/>
  <c r="AJ177" i="1"/>
  <c r="K177" i="1"/>
  <c r="L177" i="1"/>
  <c r="X168" i="24"/>
  <c r="AB168" i="24"/>
  <c r="L168" i="24"/>
  <c r="A169" i="24"/>
  <c r="K168" i="24"/>
  <c r="X171" i="20"/>
  <c r="A172" i="20"/>
  <c r="L171" i="20"/>
  <c r="AB171" i="20"/>
  <c r="K171" i="20"/>
  <c r="K170" i="22"/>
  <c r="AB170" i="22"/>
  <c r="X170" i="22"/>
  <c r="A171" i="22"/>
  <c r="L170" i="22"/>
  <c r="I173" i="1"/>
  <c r="D172" i="17"/>
  <c r="AB173" i="17"/>
  <c r="K173" i="17"/>
  <c r="L173" i="17"/>
  <c r="X173" i="17"/>
  <c r="A174" i="17"/>
  <c r="X169" i="23"/>
  <c r="AB169" i="23"/>
  <c r="L169" i="23"/>
  <c r="K169" i="23"/>
  <c r="A170" i="23"/>
  <c r="K167" i="25"/>
  <c r="X167" i="25"/>
  <c r="A168" i="25"/>
  <c r="L167" i="25"/>
  <c r="AB167" i="25"/>
  <c r="L175" i="15"/>
  <c r="D175" i="15" s="1"/>
  <c r="AB175" i="15"/>
  <c r="A176" i="15"/>
  <c r="K175" i="15"/>
  <c r="X175" i="15"/>
  <c r="AB174" i="16"/>
  <c r="K174" i="16"/>
  <c r="A175" i="16"/>
  <c r="L174" i="16"/>
  <c r="D174" i="16" s="1"/>
  <c r="X174" i="16"/>
  <c r="I174" i="1"/>
  <c r="A173" i="18"/>
  <c r="AB172" i="18"/>
  <c r="X172" i="18"/>
  <c r="K172" i="18"/>
  <c r="K176" i="15"/>
  <c r="X176" i="15"/>
  <c r="A177" i="15"/>
  <c r="AB176" i="15"/>
  <c r="L176" i="15"/>
  <c r="K168" i="25"/>
  <c r="L168" i="25"/>
  <c r="X168" i="25"/>
  <c r="AB168" i="25"/>
  <c r="A169" i="25"/>
  <c r="X170" i="23"/>
  <c r="AB170" i="23"/>
  <c r="K170" i="23"/>
  <c r="A171" i="23"/>
  <c r="L170" i="23"/>
  <c r="D173" i="17"/>
  <c r="X172" i="20"/>
  <c r="A173" i="20"/>
  <c r="L172" i="20"/>
  <c r="AB172" i="20"/>
  <c r="K172" i="20"/>
  <c r="I175" i="1"/>
  <c r="A170" i="24"/>
  <c r="L169" i="24"/>
  <c r="AB169" i="24"/>
  <c r="X169" i="24"/>
  <c r="K169" i="24"/>
  <c r="A179" i="1"/>
  <c r="L178" i="1"/>
  <c r="K178" i="1"/>
  <c r="AJ178" i="1"/>
  <c r="AB178" i="1"/>
  <c r="X178" i="1"/>
  <c r="AK178" i="1"/>
  <c r="X173" i="18"/>
  <c r="L173" i="18"/>
  <c r="A174" i="18"/>
  <c r="K173" i="18"/>
  <c r="AB173" i="18"/>
  <c r="X175" i="16"/>
  <c r="AB175" i="16"/>
  <c r="A176" i="16"/>
  <c r="K175" i="16"/>
  <c r="L175" i="16"/>
  <c r="D175" i="16" s="1"/>
  <c r="K174" i="17"/>
  <c r="L174" i="17"/>
  <c r="AB174" i="17"/>
  <c r="X174" i="17"/>
  <c r="A175" i="17"/>
  <c r="K171" i="22"/>
  <c r="AB171" i="22"/>
  <c r="L171" i="22"/>
  <c r="A172" i="22"/>
  <c r="X171" i="22"/>
  <c r="X172" i="22"/>
  <c r="K172" i="22"/>
  <c r="AB172" i="22"/>
  <c r="A173" i="22"/>
  <c r="L172" i="22"/>
  <c r="D174" i="17"/>
  <c r="K170" i="24"/>
  <c r="AB170" i="24"/>
  <c r="L170" i="24"/>
  <c r="A171" i="24"/>
  <c r="X170" i="24"/>
  <c r="AB169" i="25"/>
  <c r="A170" i="25"/>
  <c r="L169" i="25"/>
  <c r="X169" i="25"/>
  <c r="K169" i="25"/>
  <c r="D176" i="15"/>
  <c r="K175" i="17"/>
  <c r="A176" i="17"/>
  <c r="L175" i="17"/>
  <c r="D175" i="17" s="1"/>
  <c r="X175" i="17"/>
  <c r="AB175" i="17"/>
  <c r="K176" i="16"/>
  <c r="AB176" i="16"/>
  <c r="L176" i="16"/>
  <c r="X176" i="16"/>
  <c r="A177" i="16"/>
  <c r="X174" i="18"/>
  <c r="A175" i="18"/>
  <c r="L174" i="18"/>
  <c r="AB174" i="18"/>
  <c r="K174" i="18"/>
  <c r="A180" i="1"/>
  <c r="X179" i="1"/>
  <c r="K179" i="1"/>
  <c r="L179" i="1"/>
  <c r="AB179" i="1"/>
  <c r="AJ179" i="1"/>
  <c r="AK179" i="1"/>
  <c r="AB173" i="20"/>
  <c r="K173" i="20"/>
  <c r="L173" i="20"/>
  <c r="A174" i="20"/>
  <c r="X173" i="20"/>
  <c r="A172" i="23"/>
  <c r="L171" i="23"/>
  <c r="AB171" i="23"/>
  <c r="X171" i="23"/>
  <c r="K171" i="23"/>
  <c r="A178" i="15"/>
  <c r="AB177" i="15"/>
  <c r="K177" i="15"/>
  <c r="L177" i="15"/>
  <c r="D177" i="15" s="1"/>
  <c r="X177" i="15"/>
  <c r="AB170" i="25"/>
  <c r="A171" i="25"/>
  <c r="K170" i="25"/>
  <c r="X170" i="25"/>
  <c r="L170" i="25"/>
  <c r="AB171" i="24"/>
  <c r="X171" i="24"/>
  <c r="L171" i="24"/>
  <c r="A172" i="24"/>
  <c r="K171" i="24"/>
  <c r="X173" i="22"/>
  <c r="L173" i="22"/>
  <c r="K173" i="22"/>
  <c r="A174" i="22"/>
  <c r="AB173" i="22"/>
  <c r="X178" i="15"/>
  <c r="L178" i="15"/>
  <c r="D178" i="15" s="1"/>
  <c r="AB178" i="15"/>
  <c r="A179" i="15"/>
  <c r="K178" i="15"/>
  <c r="K172" i="23"/>
  <c r="X172" i="23"/>
  <c r="A173" i="23"/>
  <c r="L172" i="23"/>
  <c r="AB172" i="23"/>
  <c r="X174" i="20"/>
  <c r="L174" i="20"/>
  <c r="K174" i="20"/>
  <c r="AB174" i="20"/>
  <c r="A175" i="20"/>
  <c r="I177" i="1"/>
  <c r="I176" i="1"/>
  <c r="AB180" i="1"/>
  <c r="A181" i="1"/>
  <c r="K180" i="1"/>
  <c r="X180" i="1"/>
  <c r="AK180" i="1"/>
  <c r="L180" i="1"/>
  <c r="B25" i="7" s="1"/>
  <c r="A25" i="7"/>
  <c r="AJ180" i="1"/>
  <c r="AB175" i="18"/>
  <c r="A176" i="18"/>
  <c r="K175" i="18"/>
  <c r="L175" i="18"/>
  <c r="X175" i="18"/>
  <c r="K177" i="16"/>
  <c r="A178" i="16"/>
  <c r="AB177" i="16"/>
  <c r="L177" i="16"/>
  <c r="D177" i="16" s="1"/>
  <c r="X177" i="16"/>
  <c r="D176" i="16"/>
  <c r="K176" i="17"/>
  <c r="X176" i="17"/>
  <c r="L176" i="17"/>
  <c r="AB176" i="17"/>
  <c r="A177" i="17"/>
  <c r="A177" i="18"/>
  <c r="X176" i="18"/>
  <c r="AB176" i="18"/>
  <c r="K176" i="18"/>
  <c r="I178" i="1"/>
  <c r="AB179" i="15"/>
  <c r="L179" i="15"/>
  <c r="D179" i="15" s="1"/>
  <c r="X179" i="15"/>
  <c r="K179" i="15"/>
  <c r="A180" i="15"/>
  <c r="X172" i="24"/>
  <c r="A173" i="24"/>
  <c r="L172" i="24"/>
  <c r="AB172" i="24"/>
  <c r="K172" i="24"/>
  <c r="A178" i="17"/>
  <c r="L177" i="17"/>
  <c r="D177" i="17" s="1"/>
  <c r="AB177" i="17"/>
  <c r="X177" i="17"/>
  <c r="K177" i="17"/>
  <c r="D176" i="17"/>
  <c r="X175" i="20"/>
  <c r="A176" i="20"/>
  <c r="AB175" i="20"/>
  <c r="L175" i="20"/>
  <c r="K175" i="20"/>
  <c r="K174" i="22"/>
  <c r="AB174" i="22"/>
  <c r="L174" i="22"/>
  <c r="A175" i="22"/>
  <c r="X174" i="22"/>
  <c r="AB171" i="25"/>
  <c r="K171" i="25"/>
  <c r="L171" i="25"/>
  <c r="A172" i="25"/>
  <c r="X171" i="25"/>
  <c r="A179" i="16"/>
  <c r="X178" i="16"/>
  <c r="L178" i="16"/>
  <c r="D178" i="16" s="1"/>
  <c r="K178" i="16"/>
  <c r="AB178" i="16"/>
  <c r="AK181" i="1"/>
  <c r="AB181" i="1"/>
  <c r="A182" i="1"/>
  <c r="L181" i="1"/>
  <c r="AJ181" i="1"/>
  <c r="X181" i="1"/>
  <c r="K181" i="1"/>
  <c r="K173" i="23"/>
  <c r="AB173" i="23"/>
  <c r="X173" i="23"/>
  <c r="A174" i="23"/>
  <c r="L173" i="23"/>
  <c r="A183" i="1"/>
  <c r="AJ182" i="1"/>
  <c r="AB182" i="1"/>
  <c r="L182" i="1"/>
  <c r="K182" i="1"/>
  <c r="AK182" i="1"/>
  <c r="X182" i="1"/>
  <c r="K175" i="22"/>
  <c r="L175" i="22"/>
  <c r="AB175" i="22"/>
  <c r="A176" i="22"/>
  <c r="X175" i="22"/>
  <c r="X176" i="20"/>
  <c r="K176" i="20"/>
  <c r="AB176" i="20"/>
  <c r="L176" i="20"/>
  <c r="A177" i="20"/>
  <c r="AB177" i="18"/>
  <c r="A178" i="18"/>
  <c r="L177" i="18"/>
  <c r="X177" i="18"/>
  <c r="K177" i="18"/>
  <c r="A175" i="23"/>
  <c r="X174" i="23"/>
  <c r="AB174" i="23"/>
  <c r="L174" i="23"/>
  <c r="K174" i="23"/>
  <c r="K179" i="16"/>
  <c r="AB179" i="16"/>
  <c r="X179" i="16"/>
  <c r="L179" i="16"/>
  <c r="A180" i="16"/>
  <c r="A173" i="25"/>
  <c r="L172" i="25"/>
  <c r="AB172" i="25"/>
  <c r="X172" i="25"/>
  <c r="K172" i="25"/>
  <c r="AB178" i="17"/>
  <c r="A179" i="17"/>
  <c r="L178" i="17"/>
  <c r="D178" i="17" s="1"/>
  <c r="K178" i="17"/>
  <c r="X178" i="17"/>
  <c r="K173" i="24"/>
  <c r="X173" i="24"/>
  <c r="L173" i="24"/>
  <c r="AB173" i="24"/>
  <c r="A174" i="24"/>
  <c r="AB180" i="15"/>
  <c r="A37" i="7"/>
  <c r="L180" i="15"/>
  <c r="X180" i="15"/>
  <c r="K180" i="15"/>
  <c r="A181" i="15"/>
  <c r="K181" i="15"/>
  <c r="L181" i="15"/>
  <c r="X181" i="15"/>
  <c r="A182" i="15"/>
  <c r="AB181" i="15"/>
  <c r="X179" i="17"/>
  <c r="L179" i="17"/>
  <c r="D179" i="17" s="1"/>
  <c r="AB179" i="17"/>
  <c r="A180" i="17"/>
  <c r="K179" i="17"/>
  <c r="AB178" i="18"/>
  <c r="K178" i="18"/>
  <c r="A179" i="18"/>
  <c r="X178" i="18"/>
  <c r="I179" i="1"/>
  <c r="AB177" i="20"/>
  <c r="K177" i="20"/>
  <c r="L177" i="20"/>
  <c r="X177" i="20"/>
  <c r="A178" i="20"/>
  <c r="AB174" i="24"/>
  <c r="A175" i="24"/>
  <c r="L174" i="24"/>
  <c r="K174" i="24"/>
  <c r="X174" i="24"/>
  <c r="K173" i="25"/>
  <c r="X173" i="25"/>
  <c r="AB173" i="25"/>
  <c r="A174" i="25"/>
  <c r="L173" i="25"/>
  <c r="X180" i="16"/>
  <c r="L180" i="16"/>
  <c r="A181" i="16"/>
  <c r="K180" i="16"/>
  <c r="AB180" i="16"/>
  <c r="A49" i="7"/>
  <c r="D179" i="16"/>
  <c r="A176" i="23"/>
  <c r="L175" i="23"/>
  <c r="X175" i="23"/>
  <c r="K175" i="23"/>
  <c r="AB175" i="23"/>
  <c r="AB176" i="22"/>
  <c r="L176" i="22"/>
  <c r="A177" i="22"/>
  <c r="K176" i="22"/>
  <c r="X176" i="22"/>
  <c r="AJ183" i="1"/>
  <c r="AB183" i="1"/>
  <c r="X183" i="1"/>
  <c r="K183" i="1"/>
  <c r="AK183" i="1"/>
  <c r="A184" i="1"/>
  <c r="L183" i="1"/>
  <c r="I180" i="1"/>
  <c r="AB177" i="22"/>
  <c r="X177" i="22"/>
  <c r="L177" i="22"/>
  <c r="K177" i="22"/>
  <c r="A178" i="22"/>
  <c r="AK184" i="1"/>
  <c r="AB184" i="1"/>
  <c r="AJ184" i="1"/>
  <c r="A185" i="1"/>
  <c r="K184" i="1"/>
  <c r="L184" i="1"/>
  <c r="X184" i="1"/>
  <c r="AB176" i="23"/>
  <c r="K176" i="23"/>
  <c r="A177" i="23"/>
  <c r="X176" i="23"/>
  <c r="L176" i="23"/>
  <c r="K175" i="24"/>
  <c r="A176" i="24"/>
  <c r="L175" i="24"/>
  <c r="AB175" i="24"/>
  <c r="X175" i="24"/>
  <c r="A179" i="20"/>
  <c r="L178" i="20"/>
  <c r="K178" i="20"/>
  <c r="X178" i="20"/>
  <c r="AB178" i="20"/>
  <c r="AB180" i="17"/>
  <c r="A61" i="7"/>
  <c r="A181" i="17"/>
  <c r="X180" i="17"/>
  <c r="L180" i="17"/>
  <c r="K180" i="17"/>
  <c r="K182" i="15"/>
  <c r="A183" i="15"/>
  <c r="AB182" i="15"/>
  <c r="X182" i="15"/>
  <c r="L182" i="15"/>
  <c r="D181" i="15"/>
  <c r="X181" i="16"/>
  <c r="AB181" i="16"/>
  <c r="L181" i="16"/>
  <c r="A182" i="16"/>
  <c r="K181" i="16"/>
  <c r="A175" i="25"/>
  <c r="X174" i="25"/>
  <c r="AB174" i="25"/>
  <c r="K174" i="25"/>
  <c r="L174" i="25"/>
  <c r="I181" i="1"/>
  <c r="A180" i="18"/>
  <c r="X179" i="18"/>
  <c r="AB179" i="18"/>
  <c r="K179" i="18"/>
  <c r="A73" i="7"/>
  <c r="AB180" i="18"/>
  <c r="K180" i="18"/>
  <c r="A181" i="18"/>
  <c r="L180" i="18"/>
  <c r="B73" i="7" s="1"/>
  <c r="X180" i="18"/>
  <c r="AB175" i="25"/>
  <c r="A176" i="25"/>
  <c r="L175" i="25"/>
  <c r="K175" i="25"/>
  <c r="X175" i="25"/>
  <c r="L182" i="16"/>
  <c r="D182" i="16" s="1"/>
  <c r="AB182" i="16"/>
  <c r="X182" i="16"/>
  <c r="A183" i="16"/>
  <c r="K182" i="16"/>
  <c r="D182" i="15"/>
  <c r="AB183" i="15"/>
  <c r="L183" i="15"/>
  <c r="D183" i="15" s="1"/>
  <c r="X183" i="15"/>
  <c r="K183" i="15"/>
  <c r="A184" i="15"/>
  <c r="K179" i="20"/>
  <c r="L179" i="20"/>
  <c r="AB179" i="20"/>
  <c r="A180" i="20"/>
  <c r="X179" i="20"/>
  <c r="A177" i="24"/>
  <c r="X176" i="24"/>
  <c r="K176" i="24"/>
  <c r="AB176" i="24"/>
  <c r="L176" i="24"/>
  <c r="AB177" i="23"/>
  <c r="A178" i="23"/>
  <c r="L177" i="23"/>
  <c r="K177" i="23"/>
  <c r="X177" i="23"/>
  <c r="X185" i="1"/>
  <c r="AK185" i="1"/>
  <c r="AJ185" i="1"/>
  <c r="A186" i="1"/>
  <c r="K185" i="1"/>
  <c r="AB185" i="1"/>
  <c r="L185" i="1"/>
  <c r="D181" i="16"/>
  <c r="K181" i="17"/>
  <c r="AB181" i="17"/>
  <c r="L181" i="17"/>
  <c r="D181" i="17" s="1"/>
  <c r="A182" i="17"/>
  <c r="X181" i="17"/>
  <c r="X178" i="22"/>
  <c r="L178" i="22"/>
  <c r="A179" i="22"/>
  <c r="AB178" i="22"/>
  <c r="K178" i="22"/>
  <c r="A180" i="22"/>
  <c r="L179" i="22"/>
  <c r="K179" i="22"/>
  <c r="AB179" i="22"/>
  <c r="X179" i="22"/>
  <c r="A187" i="1"/>
  <c r="K186" i="1"/>
  <c r="AK186" i="1"/>
  <c r="L186" i="1"/>
  <c r="X186" i="1"/>
  <c r="AJ186" i="1"/>
  <c r="AB186" i="1"/>
  <c r="K177" i="24"/>
  <c r="AB177" i="24"/>
  <c r="X177" i="24"/>
  <c r="A178" i="24"/>
  <c r="L177" i="24"/>
  <c r="AE25" i="7"/>
  <c r="L180" i="20"/>
  <c r="A181" i="20"/>
  <c r="AB180" i="20"/>
  <c r="K180" i="20"/>
  <c r="X180" i="20"/>
  <c r="L184" i="15"/>
  <c r="D184" i="15" s="1"/>
  <c r="X184" i="15"/>
  <c r="AB184" i="15"/>
  <c r="K184" i="15"/>
  <c r="A185" i="15"/>
  <c r="A177" i="25"/>
  <c r="AB176" i="25"/>
  <c r="L176" i="25"/>
  <c r="K176" i="25"/>
  <c r="X176" i="25"/>
  <c r="X181" i="18"/>
  <c r="A182" i="18"/>
  <c r="K181" i="18"/>
  <c r="L181" i="18"/>
  <c r="AB181" i="18"/>
  <c r="A183" i="17"/>
  <c r="K182" i="17"/>
  <c r="X182" i="17"/>
  <c r="L182" i="17"/>
  <c r="D182" i="17" s="1"/>
  <c r="AB182" i="17"/>
  <c r="I182" i="1"/>
  <c r="K178" i="23"/>
  <c r="A179" i="23"/>
  <c r="X178" i="23"/>
  <c r="L178" i="23"/>
  <c r="AB178" i="23"/>
  <c r="K183" i="16"/>
  <c r="X183" i="16"/>
  <c r="A184" i="16"/>
  <c r="L183" i="16"/>
  <c r="D183" i="16" s="1"/>
  <c r="AB183" i="16"/>
  <c r="K179" i="23"/>
  <c r="A180" i="23"/>
  <c r="L179" i="23"/>
  <c r="AB179" i="23"/>
  <c r="X179" i="23"/>
  <c r="X183" i="17"/>
  <c r="K183" i="17"/>
  <c r="AB183" i="17"/>
  <c r="L183" i="17"/>
  <c r="D183" i="17" s="1"/>
  <c r="A184" i="17"/>
  <c r="A183" i="18"/>
  <c r="K182" i="18"/>
  <c r="AB182" i="18"/>
  <c r="X182" i="18"/>
  <c r="K185" i="15"/>
  <c r="L185" i="15"/>
  <c r="X185" i="15"/>
  <c r="A186" i="15"/>
  <c r="AB185" i="15"/>
  <c r="AF25" i="7"/>
  <c r="I183" i="1"/>
  <c r="L184" i="16"/>
  <c r="K184" i="16"/>
  <c r="X184" i="16"/>
  <c r="A185" i="16"/>
  <c r="AB184" i="16"/>
  <c r="K177" i="25"/>
  <c r="L177" i="25"/>
  <c r="A178" i="25"/>
  <c r="X177" i="25"/>
  <c r="AB177" i="25"/>
  <c r="X181" i="20"/>
  <c r="A182" i="20"/>
  <c r="AB181" i="20"/>
  <c r="L181" i="20"/>
  <c r="K181" i="20"/>
  <c r="AB178" i="24"/>
  <c r="A179" i="24"/>
  <c r="L178" i="24"/>
  <c r="X178" i="24"/>
  <c r="K178" i="24"/>
  <c r="AB187" i="1"/>
  <c r="K187" i="1"/>
  <c r="L187" i="1"/>
  <c r="X187" i="1"/>
  <c r="AJ187" i="1"/>
  <c r="AK187" i="1"/>
  <c r="A188" i="1"/>
  <c r="X180" i="22"/>
  <c r="K180" i="22"/>
  <c r="L180" i="22"/>
  <c r="AF37" i="7" s="1"/>
  <c r="AB180" i="22"/>
  <c r="AE37" i="7"/>
  <c r="A181" i="22"/>
  <c r="I185" i="1"/>
  <c r="K179" i="24"/>
  <c r="L179" i="24"/>
  <c r="A180" i="24"/>
  <c r="AB179" i="24"/>
  <c r="X179" i="24"/>
  <c r="K178" i="25"/>
  <c r="AB178" i="25"/>
  <c r="L178" i="25"/>
  <c r="A179" i="25"/>
  <c r="X178" i="25"/>
  <c r="D184" i="16"/>
  <c r="A187" i="15"/>
  <c r="K186" i="15"/>
  <c r="L186" i="15"/>
  <c r="D186" i="15" s="1"/>
  <c r="AB186" i="15"/>
  <c r="X186" i="15"/>
  <c r="D185" i="15"/>
  <c r="AB183" i="18"/>
  <c r="L183" i="18"/>
  <c r="A184" i="18"/>
  <c r="K183" i="18"/>
  <c r="X183" i="18"/>
  <c r="A185" i="17"/>
  <c r="K184" i="17"/>
  <c r="L184" i="17"/>
  <c r="D184" i="17" s="1"/>
  <c r="X184" i="17"/>
  <c r="AB184" i="17"/>
  <c r="I184" i="1"/>
  <c r="X181" i="22"/>
  <c r="A182" i="22"/>
  <c r="K181" i="22"/>
  <c r="AB181" i="22"/>
  <c r="L181" i="22"/>
  <c r="AJ188" i="1"/>
  <c r="AK188" i="1"/>
  <c r="A189" i="1"/>
  <c r="X188" i="1"/>
  <c r="L188" i="1"/>
  <c r="AB188" i="1"/>
  <c r="K188" i="1"/>
  <c r="X182" i="20"/>
  <c r="AB182" i="20"/>
  <c r="K182" i="20"/>
  <c r="L182" i="20"/>
  <c r="A183" i="20"/>
  <c r="A186" i="16"/>
  <c r="AB185" i="16"/>
  <c r="L185" i="16"/>
  <c r="D185" i="16" s="1"/>
  <c r="X185" i="16"/>
  <c r="K185" i="16"/>
  <c r="K180" i="23"/>
  <c r="AE49" i="7"/>
  <c r="A181" i="23"/>
  <c r="X180" i="23"/>
  <c r="AB180" i="23"/>
  <c r="L180" i="23"/>
  <c r="AF49" i="7" s="1"/>
  <c r="AB181" i="23"/>
  <c r="L181" i="23"/>
  <c r="X181" i="23"/>
  <c r="A182" i="23"/>
  <c r="K181" i="23"/>
  <c r="X186" i="16"/>
  <c r="A187" i="16"/>
  <c r="L186" i="16"/>
  <c r="D186" i="16" s="1"/>
  <c r="AB186" i="16"/>
  <c r="K186" i="16"/>
  <c r="K183" i="20"/>
  <c r="L183" i="20"/>
  <c r="AB183" i="20"/>
  <c r="X183" i="20"/>
  <c r="A184" i="20"/>
  <c r="A185" i="18"/>
  <c r="X184" i="18"/>
  <c r="AB184" i="18"/>
  <c r="K184" i="18"/>
  <c r="A180" i="25"/>
  <c r="X179" i="25"/>
  <c r="AB179" i="25"/>
  <c r="K179" i="25"/>
  <c r="L179" i="25"/>
  <c r="K180" i="24"/>
  <c r="A181" i="24"/>
  <c r="AE61" i="7"/>
  <c r="L180" i="24"/>
  <c r="AF61" i="7" s="1"/>
  <c r="X180" i="24"/>
  <c r="AB180" i="24"/>
  <c r="AJ189" i="1"/>
  <c r="A190" i="1"/>
  <c r="AK189" i="1"/>
  <c r="K189" i="1"/>
  <c r="X189" i="1"/>
  <c r="AB189" i="1"/>
  <c r="L189" i="1"/>
  <c r="K182" i="22"/>
  <c r="X182" i="22"/>
  <c r="A183" i="22"/>
  <c r="AB182" i="22"/>
  <c r="L182" i="22"/>
  <c r="A186" i="17"/>
  <c r="K185" i="17"/>
  <c r="AB185" i="17"/>
  <c r="L185" i="17"/>
  <c r="D185" i="17" s="1"/>
  <c r="X185" i="17"/>
  <c r="A188" i="15"/>
  <c r="L187" i="15"/>
  <c r="D187" i="15" s="1"/>
  <c r="X187" i="15"/>
  <c r="K187" i="15"/>
  <c r="AB187" i="15"/>
  <c r="A187" i="17"/>
  <c r="K186" i="17"/>
  <c r="AB186" i="17"/>
  <c r="L186" i="17"/>
  <c r="D186" i="17" s="1"/>
  <c r="X186" i="17"/>
  <c r="AB190" i="1"/>
  <c r="AJ190" i="1"/>
  <c r="L190" i="1"/>
  <c r="K190" i="1"/>
  <c r="AK190" i="1"/>
  <c r="X190" i="1"/>
  <c r="A191" i="1"/>
  <c r="K181" i="24"/>
  <c r="X181" i="24"/>
  <c r="A182" i="24"/>
  <c r="AB181" i="24"/>
  <c r="L181" i="24"/>
  <c r="AB180" i="25"/>
  <c r="L180" i="25"/>
  <c r="AF73" i="7" s="1"/>
  <c r="AE73" i="7"/>
  <c r="X180" i="25"/>
  <c r="A181" i="25"/>
  <c r="K180" i="25"/>
  <c r="K185" i="18"/>
  <c r="AB185" i="18"/>
  <c r="X185" i="18"/>
  <c r="A186" i="18"/>
  <c r="AB182" i="23"/>
  <c r="K182" i="23"/>
  <c r="L182" i="23"/>
  <c r="A183" i="23"/>
  <c r="X182" i="23"/>
  <c r="I186" i="1"/>
  <c r="A189" i="15"/>
  <c r="X188" i="15"/>
  <c r="AB188" i="15"/>
  <c r="L188" i="15"/>
  <c r="D188" i="15" s="1"/>
  <c r="K188" i="15"/>
  <c r="X183" i="22"/>
  <c r="L183" i="22"/>
  <c r="K183" i="22"/>
  <c r="A184" i="22"/>
  <c r="AB183" i="22"/>
  <c r="A185" i="20"/>
  <c r="AB184" i="20"/>
  <c r="L184" i="20"/>
  <c r="X184" i="20"/>
  <c r="K184" i="20"/>
  <c r="A188" i="16"/>
  <c r="L187" i="16"/>
  <c r="D187" i="16" s="1"/>
  <c r="AB187" i="16"/>
  <c r="X187" i="16"/>
  <c r="K187" i="16"/>
  <c r="I187" i="1"/>
  <c r="X189" i="15"/>
  <c r="L189" i="15"/>
  <c r="D189" i="15" s="1"/>
  <c r="AB189" i="15"/>
  <c r="A190" i="15"/>
  <c r="K189" i="15"/>
  <c r="K183" i="23"/>
  <c r="X183" i="23"/>
  <c r="AB183" i="23"/>
  <c r="L183" i="23"/>
  <c r="A184" i="23"/>
  <c r="AB186" i="18"/>
  <c r="A187" i="18"/>
  <c r="X186" i="18"/>
  <c r="K186" i="18"/>
  <c r="X181" i="25"/>
  <c r="AB181" i="25"/>
  <c r="L181" i="25"/>
  <c r="K181" i="25"/>
  <c r="A182" i="25"/>
  <c r="AB182" i="24"/>
  <c r="K182" i="24"/>
  <c r="A183" i="24"/>
  <c r="X182" i="24"/>
  <c r="L182" i="24"/>
  <c r="A192" i="1"/>
  <c r="L191" i="1"/>
  <c r="X191" i="1"/>
  <c r="K191" i="1"/>
  <c r="AB191" i="1"/>
  <c r="AJ191" i="1"/>
  <c r="AK191" i="1"/>
  <c r="AB188" i="16"/>
  <c r="A189" i="16"/>
  <c r="X188" i="16"/>
  <c r="L188" i="16"/>
  <c r="D188" i="16" s="1"/>
  <c r="K188" i="16"/>
  <c r="A186" i="20"/>
  <c r="L185" i="20"/>
  <c r="AB185" i="20"/>
  <c r="X185" i="20"/>
  <c r="K185" i="20"/>
  <c r="A185" i="22"/>
  <c r="X184" i="22"/>
  <c r="AB184" i="22"/>
  <c r="L184" i="22"/>
  <c r="K184" i="22"/>
  <c r="X187" i="17"/>
  <c r="K187" i="17"/>
  <c r="L187" i="17"/>
  <c r="D187" i="17" s="1"/>
  <c r="AB187" i="17"/>
  <c r="A188" i="17"/>
  <c r="K188" i="17"/>
  <c r="AB188" i="17"/>
  <c r="X188" i="17"/>
  <c r="A189" i="17"/>
  <c r="L188" i="17"/>
  <c r="D188" i="17" s="1"/>
  <c r="AB183" i="24"/>
  <c r="X183" i="24"/>
  <c r="L183" i="24"/>
  <c r="K183" i="24"/>
  <c r="A184" i="24"/>
  <c r="K182" i="25"/>
  <c r="A183" i="25"/>
  <c r="AB182" i="25"/>
  <c r="L182" i="25"/>
  <c r="X182" i="25"/>
  <c r="I188" i="1"/>
  <c r="A185" i="23"/>
  <c r="L184" i="23"/>
  <c r="X184" i="23"/>
  <c r="K184" i="23"/>
  <c r="AB184" i="23"/>
  <c r="AB190" i="15"/>
  <c r="A191" i="15"/>
  <c r="L190" i="15"/>
  <c r="D190" i="15" s="1"/>
  <c r="K190" i="15"/>
  <c r="X190" i="15"/>
  <c r="X185" i="22"/>
  <c r="K185" i="22"/>
  <c r="AB185" i="22"/>
  <c r="A186" i="22"/>
  <c r="L185" i="22"/>
  <c r="AB186" i="20"/>
  <c r="X186" i="20"/>
  <c r="L186" i="20"/>
  <c r="A187" i="20"/>
  <c r="K186" i="20"/>
  <c r="L189" i="16"/>
  <c r="D189" i="16" s="1"/>
  <c r="X189" i="16"/>
  <c r="K189" i="16"/>
  <c r="A190" i="16"/>
  <c r="AB189" i="16"/>
  <c r="X192" i="1"/>
  <c r="L192" i="1"/>
  <c r="K192" i="1"/>
  <c r="AB192" i="1"/>
  <c r="AJ192" i="1"/>
  <c r="AK192" i="1"/>
  <c r="A193" i="1"/>
  <c r="X187" i="18"/>
  <c r="K187" i="18"/>
  <c r="AB187" i="18"/>
  <c r="A188" i="18"/>
  <c r="L193" i="1"/>
  <c r="AB193" i="1"/>
  <c r="AJ193" i="1"/>
  <c r="AK193" i="1"/>
  <c r="K193" i="1"/>
  <c r="A194" i="1"/>
  <c r="X193" i="1"/>
  <c r="A187" i="22"/>
  <c r="L186" i="22"/>
  <c r="AB186" i="22"/>
  <c r="K186" i="22"/>
  <c r="X186" i="22"/>
  <c r="A192" i="15"/>
  <c r="AB191" i="15"/>
  <c r="L191" i="15"/>
  <c r="D191" i="15" s="1"/>
  <c r="X191" i="15"/>
  <c r="K191" i="15"/>
  <c r="A185" i="24"/>
  <c r="AB184" i="24"/>
  <c r="L184" i="24"/>
  <c r="K184" i="24"/>
  <c r="X184" i="24"/>
  <c r="AB189" i="17"/>
  <c r="X189" i="17"/>
  <c r="L189" i="17"/>
  <c r="A190" i="17"/>
  <c r="K189" i="17"/>
  <c r="X188" i="18"/>
  <c r="A189" i="18"/>
  <c r="AB188" i="18"/>
  <c r="K188" i="18"/>
  <c r="X190" i="16"/>
  <c r="L190" i="16"/>
  <c r="D190" i="16" s="1"/>
  <c r="AB190" i="16"/>
  <c r="K190" i="16"/>
  <c r="A191" i="16"/>
  <c r="AB187" i="20"/>
  <c r="X187" i="20"/>
  <c r="A188" i="20"/>
  <c r="K187" i="20"/>
  <c r="L187" i="20"/>
  <c r="K185" i="23"/>
  <c r="X185" i="23"/>
  <c r="L185" i="23"/>
  <c r="AB185" i="23"/>
  <c r="A186" i="23"/>
  <c r="A184" i="25"/>
  <c r="K183" i="25"/>
  <c r="L183" i="25"/>
  <c r="AB183" i="25"/>
  <c r="X183" i="25"/>
  <c r="I189" i="1"/>
  <c r="X188" i="20"/>
  <c r="L188" i="20"/>
  <c r="A189" i="20"/>
  <c r="K188" i="20"/>
  <c r="AB188" i="20"/>
  <c r="K189" i="18"/>
  <c r="X189" i="18"/>
  <c r="A190" i="18"/>
  <c r="L189" i="18"/>
  <c r="AB189" i="18"/>
  <c r="I190" i="1"/>
  <c r="A186" i="24"/>
  <c r="L185" i="24"/>
  <c r="K185" i="24"/>
  <c r="AB185" i="24"/>
  <c r="X185" i="24"/>
  <c r="L192" i="15"/>
  <c r="D192" i="15" s="1"/>
  <c r="X192" i="15"/>
  <c r="K192" i="15"/>
  <c r="AB192" i="15"/>
  <c r="A193" i="15"/>
  <c r="K194" i="1"/>
  <c r="AJ194" i="1"/>
  <c r="AB194" i="1"/>
  <c r="AK194" i="1"/>
  <c r="A195" i="1"/>
  <c r="L194" i="1"/>
  <c r="X194" i="1"/>
  <c r="K184" i="25"/>
  <c r="X184" i="25"/>
  <c r="L184" i="25"/>
  <c r="A185" i="25"/>
  <c r="AB184" i="25"/>
  <c r="AB186" i="23"/>
  <c r="X186" i="23"/>
  <c r="L186" i="23"/>
  <c r="A187" i="23"/>
  <c r="K186" i="23"/>
  <c r="A192" i="16"/>
  <c r="X191" i="16"/>
  <c r="L191" i="16"/>
  <c r="D191" i="16" s="1"/>
  <c r="AB191" i="16"/>
  <c r="K191" i="16"/>
  <c r="X190" i="17"/>
  <c r="L190" i="17"/>
  <c r="D190" i="17" s="1"/>
  <c r="AB190" i="17"/>
  <c r="K190" i="17"/>
  <c r="A191" i="17"/>
  <c r="D189" i="17"/>
  <c r="L187" i="22"/>
  <c r="A188" i="22"/>
  <c r="K187" i="22"/>
  <c r="AB187" i="22"/>
  <c r="X187" i="22"/>
  <c r="K188" i="22"/>
  <c r="L188" i="22"/>
  <c r="X188" i="22"/>
  <c r="AB188" i="22"/>
  <c r="A189" i="22"/>
  <c r="X192" i="16"/>
  <c r="K192" i="16"/>
  <c r="AB192" i="16"/>
  <c r="A193" i="16"/>
  <c r="L192" i="16"/>
  <c r="D192" i="16" s="1"/>
  <c r="K187" i="23"/>
  <c r="X187" i="23"/>
  <c r="A188" i="23"/>
  <c r="AB187" i="23"/>
  <c r="L187" i="23"/>
  <c r="AK195" i="1"/>
  <c r="L195" i="1"/>
  <c r="X195" i="1"/>
  <c r="K195" i="1"/>
  <c r="AB195" i="1"/>
  <c r="A196" i="1"/>
  <c r="AJ195" i="1"/>
  <c r="I191" i="1"/>
  <c r="X191" i="17"/>
  <c r="L191" i="17"/>
  <c r="D191" i="17" s="1"/>
  <c r="K191" i="17"/>
  <c r="AB191" i="17"/>
  <c r="A192" i="17"/>
  <c r="K185" i="25"/>
  <c r="AB185" i="25"/>
  <c r="L185" i="25"/>
  <c r="A186" i="25"/>
  <c r="X185" i="25"/>
  <c r="AB193" i="15"/>
  <c r="L193" i="15"/>
  <c r="D193" i="15" s="1"/>
  <c r="K193" i="15"/>
  <c r="A194" i="15"/>
  <c r="X193" i="15"/>
  <c r="AB186" i="24"/>
  <c r="K186" i="24"/>
  <c r="A187" i="24"/>
  <c r="X186" i="24"/>
  <c r="L186" i="24"/>
  <c r="K190" i="18"/>
  <c r="X190" i="18"/>
  <c r="AB190" i="18"/>
  <c r="A191" i="18"/>
  <c r="A190" i="20"/>
  <c r="L189" i="20"/>
  <c r="X189" i="20"/>
  <c r="K189" i="20"/>
  <c r="AB189" i="20"/>
  <c r="K191" i="18"/>
  <c r="A192" i="18"/>
  <c r="X191" i="18"/>
  <c r="AB191" i="18"/>
  <c r="K194" i="15"/>
  <c r="X194" i="15"/>
  <c r="A195" i="15"/>
  <c r="AB194" i="15"/>
  <c r="L194" i="15"/>
  <c r="D194" i="15" s="1"/>
  <c r="A193" i="17"/>
  <c r="L192" i="17"/>
  <c r="D192" i="17" s="1"/>
  <c r="K192" i="17"/>
  <c r="AB192" i="17"/>
  <c r="X192" i="17"/>
  <c r="K189" i="22"/>
  <c r="L189" i="22"/>
  <c r="X189" i="22"/>
  <c r="A190" i="22"/>
  <c r="AB189" i="22"/>
  <c r="X190" i="20"/>
  <c r="AB190" i="20"/>
  <c r="A191" i="20"/>
  <c r="L190" i="20"/>
  <c r="K190" i="20"/>
  <c r="A188" i="24"/>
  <c r="AB187" i="24"/>
  <c r="L187" i="24"/>
  <c r="X187" i="24"/>
  <c r="K187" i="24"/>
  <c r="A187" i="25"/>
  <c r="AB186" i="25"/>
  <c r="L186" i="25"/>
  <c r="K186" i="25"/>
  <c r="X186" i="25"/>
  <c r="I192" i="1"/>
  <c r="I193" i="1"/>
  <c r="X196" i="1"/>
  <c r="K196" i="1"/>
  <c r="AK196" i="1"/>
  <c r="L196" i="1"/>
  <c r="A197" i="1"/>
  <c r="AC196" i="1"/>
  <c r="AJ196" i="1"/>
  <c r="AB196" i="1"/>
  <c r="A189" i="23"/>
  <c r="K188" i="23"/>
  <c r="AB188" i="23"/>
  <c r="X188" i="23"/>
  <c r="L188" i="23"/>
  <c r="K193" i="16"/>
  <c r="A194" i="16"/>
  <c r="AB193" i="16"/>
  <c r="L193" i="16"/>
  <c r="X193" i="16"/>
  <c r="K188" i="24"/>
  <c r="L188" i="24"/>
  <c r="A189" i="24"/>
  <c r="AB188" i="24"/>
  <c r="X188" i="24"/>
  <c r="X193" i="17"/>
  <c r="K193" i="17"/>
  <c r="L193" i="17"/>
  <c r="D193" i="17" s="1"/>
  <c r="AB193" i="17"/>
  <c r="A194" i="17"/>
  <c r="D193" i="16"/>
  <c r="L194" i="16"/>
  <c r="AB194" i="16"/>
  <c r="A195" i="16"/>
  <c r="K194" i="16"/>
  <c r="X194" i="16"/>
  <c r="A190" i="23"/>
  <c r="K189" i="23"/>
  <c r="L189" i="23"/>
  <c r="X189" i="23"/>
  <c r="AB189" i="23"/>
  <c r="AJ197" i="1"/>
  <c r="X197" i="1"/>
  <c r="A198" i="1"/>
  <c r="AK197" i="1"/>
  <c r="L197" i="1"/>
  <c r="K197" i="1"/>
  <c r="AB197" i="1"/>
  <c r="X187" i="25"/>
  <c r="AB187" i="25"/>
  <c r="A188" i="25"/>
  <c r="K187" i="25"/>
  <c r="L187" i="25"/>
  <c r="X191" i="20"/>
  <c r="AB191" i="20"/>
  <c r="L191" i="20"/>
  <c r="A192" i="20"/>
  <c r="K191" i="20"/>
  <c r="A191" i="22"/>
  <c r="AB190" i="22"/>
  <c r="K190" i="22"/>
  <c r="X190" i="22"/>
  <c r="L190" i="22"/>
  <c r="AB195" i="15"/>
  <c r="L195" i="15"/>
  <c r="D195" i="15" s="1"/>
  <c r="X195" i="15"/>
  <c r="A196" i="15"/>
  <c r="K195" i="15"/>
  <c r="K192" i="18"/>
  <c r="A193" i="18"/>
  <c r="X192" i="18"/>
  <c r="AB192" i="18"/>
  <c r="AB193" i="18"/>
  <c r="A194" i="18"/>
  <c r="K193" i="18"/>
  <c r="X193" i="18"/>
  <c r="L193" i="18"/>
  <c r="K191" i="22"/>
  <c r="AB191" i="22"/>
  <c r="L191" i="22"/>
  <c r="X191" i="22"/>
  <c r="A192" i="22"/>
  <c r="X192" i="20"/>
  <c r="L192" i="20"/>
  <c r="AB192" i="20"/>
  <c r="A193" i="20"/>
  <c r="K192" i="20"/>
  <c r="K195" i="16"/>
  <c r="L195" i="16"/>
  <c r="D195" i="16" s="1"/>
  <c r="AB195" i="16"/>
  <c r="X195" i="16"/>
  <c r="A196" i="16"/>
  <c r="D194" i="16"/>
  <c r="AB189" i="24"/>
  <c r="L189" i="24"/>
  <c r="X189" i="24"/>
  <c r="A190" i="24"/>
  <c r="K189" i="24"/>
  <c r="I194" i="1"/>
  <c r="K196" i="15"/>
  <c r="L196" i="15"/>
  <c r="X196" i="15"/>
  <c r="AB196" i="15"/>
  <c r="A197" i="15"/>
  <c r="AB188" i="25"/>
  <c r="A189" i="25"/>
  <c r="X188" i="25"/>
  <c r="L188" i="25"/>
  <c r="K188" i="25"/>
  <c r="AK198" i="1"/>
  <c r="A199" i="1"/>
  <c r="O198" i="1"/>
  <c r="X198" i="1"/>
  <c r="AB198" i="1"/>
  <c r="L198" i="1"/>
  <c r="AJ198" i="1"/>
  <c r="K198" i="1"/>
  <c r="Q198" i="1"/>
  <c r="A191" i="23"/>
  <c r="K190" i="23"/>
  <c r="X190" i="23"/>
  <c r="L190" i="23"/>
  <c r="AB190" i="23"/>
  <c r="A195" i="17"/>
  <c r="AB194" i="17"/>
  <c r="L194" i="17"/>
  <c r="D194" i="17" s="1"/>
  <c r="K194" i="17"/>
  <c r="X194" i="17"/>
  <c r="AB191" i="23"/>
  <c r="K191" i="23"/>
  <c r="L191" i="23"/>
  <c r="X191" i="23"/>
  <c r="A192" i="23"/>
  <c r="K189" i="25"/>
  <c r="A190" i="25"/>
  <c r="L189" i="25"/>
  <c r="AB189" i="25"/>
  <c r="X189" i="25"/>
  <c r="D196" i="15"/>
  <c r="K190" i="24"/>
  <c r="A191" i="24"/>
  <c r="L190" i="24"/>
  <c r="X190" i="24"/>
  <c r="AB190" i="24"/>
  <c r="L196" i="16"/>
  <c r="D196" i="16" s="1"/>
  <c r="K196" i="16"/>
  <c r="AB196" i="16"/>
  <c r="A197" i="16"/>
  <c r="X196" i="16"/>
  <c r="A195" i="18"/>
  <c r="AB194" i="18"/>
  <c r="K194" i="18"/>
  <c r="L194" i="18"/>
  <c r="X194" i="18"/>
  <c r="I195" i="1"/>
  <c r="A196" i="17"/>
  <c r="X195" i="17"/>
  <c r="L195" i="17"/>
  <c r="D195" i="17" s="1"/>
  <c r="AB195" i="17"/>
  <c r="K195" i="17"/>
  <c r="K199" i="1"/>
  <c r="AJ199" i="1"/>
  <c r="L199" i="1"/>
  <c r="AB199" i="1"/>
  <c r="A200" i="1"/>
  <c r="AK199" i="1"/>
  <c r="X199" i="1"/>
  <c r="K197" i="15"/>
  <c r="A198" i="15"/>
  <c r="AB197" i="15"/>
  <c r="L197" i="15"/>
  <c r="D197" i="15" s="1"/>
  <c r="X197" i="15"/>
  <c r="AB193" i="20"/>
  <c r="A194" i="20"/>
  <c r="L193" i="20"/>
  <c r="X193" i="20"/>
  <c r="K193" i="20"/>
  <c r="A193" i="22"/>
  <c r="AB192" i="22"/>
  <c r="L192" i="22"/>
  <c r="X192" i="22"/>
  <c r="K192" i="22"/>
  <c r="X193" i="22"/>
  <c r="L193" i="22"/>
  <c r="AB193" i="22"/>
  <c r="K193" i="22"/>
  <c r="A194" i="22"/>
  <c r="K194" i="20"/>
  <c r="A195" i="20"/>
  <c r="AB194" i="20"/>
  <c r="X194" i="20"/>
  <c r="L194" i="20"/>
  <c r="X198" i="15"/>
  <c r="L198" i="15"/>
  <c r="D198" i="15" s="1"/>
  <c r="K198" i="15"/>
  <c r="A199" i="15"/>
  <c r="AB198" i="15"/>
  <c r="AK200" i="1"/>
  <c r="AJ200" i="1"/>
  <c r="A201" i="1"/>
  <c r="X200" i="1"/>
  <c r="Q200" i="1"/>
  <c r="K200" i="1"/>
  <c r="L200" i="1"/>
  <c r="AB200" i="1"/>
  <c r="A192" i="24"/>
  <c r="L191" i="24"/>
  <c r="AB191" i="24"/>
  <c r="K191" i="24"/>
  <c r="X191" i="24"/>
  <c r="K190" i="25"/>
  <c r="AB190" i="25"/>
  <c r="L190" i="25"/>
  <c r="X190" i="25"/>
  <c r="A191" i="25"/>
  <c r="I196" i="1"/>
  <c r="A197" i="17"/>
  <c r="L196" i="17"/>
  <c r="AB196" i="17"/>
  <c r="K196" i="17"/>
  <c r="X196" i="17"/>
  <c r="X195" i="18"/>
  <c r="AB195" i="18"/>
  <c r="A196" i="18"/>
  <c r="L195" i="18"/>
  <c r="K195" i="18"/>
  <c r="K197" i="16"/>
  <c r="L197" i="16"/>
  <c r="AB197" i="16"/>
  <c r="X197" i="16"/>
  <c r="A198" i="16"/>
  <c r="X192" i="23"/>
  <c r="K192" i="23"/>
  <c r="L192" i="23"/>
  <c r="A193" i="23"/>
  <c r="AB192" i="23"/>
  <c r="K196" i="18"/>
  <c r="AB196" i="18"/>
  <c r="A197" i="18"/>
  <c r="X196" i="18"/>
  <c r="D196" i="17"/>
  <c r="K191" i="25"/>
  <c r="A192" i="25"/>
  <c r="AB191" i="25"/>
  <c r="X191" i="25"/>
  <c r="L191" i="25"/>
  <c r="L201" i="1"/>
  <c r="X201" i="1"/>
  <c r="AB201" i="1"/>
  <c r="AK201" i="1"/>
  <c r="AJ201" i="1"/>
  <c r="K201" i="1"/>
  <c r="A202" i="1"/>
  <c r="L199" i="15"/>
  <c r="D199" i="15" s="1"/>
  <c r="K199" i="15"/>
  <c r="AB199" i="15"/>
  <c r="A200" i="15"/>
  <c r="X199" i="15"/>
  <c r="I197" i="1"/>
  <c r="AB193" i="23"/>
  <c r="X193" i="23"/>
  <c r="K193" i="23"/>
  <c r="L193" i="23"/>
  <c r="A194" i="23"/>
  <c r="AB198" i="16"/>
  <c r="L198" i="16"/>
  <c r="D198" i="16" s="1"/>
  <c r="A199" i="16"/>
  <c r="K198" i="16"/>
  <c r="X198" i="16"/>
  <c r="D197" i="16"/>
  <c r="K197" i="17"/>
  <c r="L197" i="17"/>
  <c r="D197" i="17" s="1"/>
  <c r="A198" i="17"/>
  <c r="X197" i="17"/>
  <c r="AB197" i="17"/>
  <c r="AB192" i="24"/>
  <c r="L192" i="24"/>
  <c r="A193" i="24"/>
  <c r="X192" i="24"/>
  <c r="K192" i="24"/>
  <c r="X195" i="20"/>
  <c r="A196" i="20"/>
  <c r="L195" i="20"/>
  <c r="AB195" i="20"/>
  <c r="K195" i="20"/>
  <c r="A195" i="22"/>
  <c r="X194" i="22"/>
  <c r="AB194" i="22"/>
  <c r="K194" i="22"/>
  <c r="L194" i="22"/>
  <c r="X195" i="22"/>
  <c r="L195" i="22"/>
  <c r="A196" i="22"/>
  <c r="K195" i="22"/>
  <c r="AB195" i="22"/>
  <c r="A199" i="17"/>
  <c r="K198" i="17"/>
  <c r="L198" i="17"/>
  <c r="D198" i="17" s="1"/>
  <c r="AB198" i="17"/>
  <c r="X198" i="17"/>
  <c r="X192" i="25"/>
  <c r="K192" i="25"/>
  <c r="AB192" i="25"/>
  <c r="A193" i="25"/>
  <c r="L192" i="25"/>
  <c r="I198" i="1"/>
  <c r="AB196" i="20"/>
  <c r="K196" i="20"/>
  <c r="X196" i="20"/>
  <c r="A197" i="20"/>
  <c r="L196" i="20"/>
  <c r="A194" i="24"/>
  <c r="K193" i="24"/>
  <c r="L193" i="24"/>
  <c r="X193" i="24"/>
  <c r="AB193" i="24"/>
  <c r="I199" i="1"/>
  <c r="K199" i="16"/>
  <c r="AB199" i="16"/>
  <c r="X199" i="16"/>
  <c r="A200" i="16"/>
  <c r="L199" i="16"/>
  <c r="D199" i="16" s="1"/>
  <c r="A195" i="23"/>
  <c r="X194" i="23"/>
  <c r="L194" i="23"/>
  <c r="K194" i="23"/>
  <c r="AB194" i="23"/>
  <c r="AB200" i="15"/>
  <c r="K200" i="15"/>
  <c r="A201" i="15"/>
  <c r="L200" i="15"/>
  <c r="X200" i="15"/>
  <c r="K202" i="1"/>
  <c r="AK202" i="1"/>
  <c r="A203" i="1"/>
  <c r="AB202" i="1"/>
  <c r="L202" i="1"/>
  <c r="AJ202" i="1"/>
  <c r="X202" i="1"/>
  <c r="X197" i="18"/>
  <c r="A198" i="18"/>
  <c r="AB197" i="18"/>
  <c r="K197" i="18"/>
  <c r="X201" i="15"/>
  <c r="L201" i="15"/>
  <c r="D201" i="15" s="1"/>
  <c r="AB201" i="15"/>
  <c r="K201" i="15"/>
  <c r="A202" i="15"/>
  <c r="AB194" i="24"/>
  <c r="L194" i="24"/>
  <c r="A195" i="24"/>
  <c r="X194" i="24"/>
  <c r="K194" i="24"/>
  <c r="K197" i="20"/>
  <c r="X197" i="20"/>
  <c r="A198" i="20"/>
  <c r="L197" i="20"/>
  <c r="AB197" i="20"/>
  <c r="AB198" i="18"/>
  <c r="X198" i="18"/>
  <c r="L198" i="18"/>
  <c r="A199" i="18"/>
  <c r="K198" i="18"/>
  <c r="AJ203" i="1"/>
  <c r="L203" i="1"/>
  <c r="K203" i="1"/>
  <c r="X203" i="1"/>
  <c r="A204" i="1"/>
  <c r="AB203" i="1"/>
  <c r="AK203" i="1"/>
  <c r="D200" i="15"/>
  <c r="A196" i="23"/>
  <c r="AB195" i="23"/>
  <c r="L195" i="23"/>
  <c r="K195" i="23"/>
  <c r="X195" i="23"/>
  <c r="X200" i="16"/>
  <c r="L200" i="16"/>
  <c r="D200" i="16" s="1"/>
  <c r="A201" i="16"/>
  <c r="AB200" i="16"/>
  <c r="K200" i="16"/>
  <c r="X193" i="25"/>
  <c r="K193" i="25"/>
  <c r="AB193" i="25"/>
  <c r="A194" i="25"/>
  <c r="L193" i="25"/>
  <c r="AB199" i="17"/>
  <c r="L199" i="17"/>
  <c r="D199" i="17" s="1"/>
  <c r="A200" i="17"/>
  <c r="X199" i="17"/>
  <c r="K199" i="17"/>
  <c r="AB196" i="22"/>
  <c r="X196" i="22"/>
  <c r="A197" i="22"/>
  <c r="L196" i="22"/>
  <c r="K196" i="22"/>
  <c r="A201" i="17"/>
  <c r="X200" i="17"/>
  <c r="L200" i="17"/>
  <c r="D200" i="17" s="1"/>
  <c r="K200" i="17"/>
  <c r="AB200" i="17"/>
  <c r="A198" i="22"/>
  <c r="L197" i="22"/>
  <c r="K197" i="22"/>
  <c r="AB197" i="22"/>
  <c r="X197" i="22"/>
  <c r="X194" i="25"/>
  <c r="L194" i="25"/>
  <c r="K194" i="25"/>
  <c r="AB194" i="25"/>
  <c r="A195" i="25"/>
  <c r="AB201" i="16"/>
  <c r="L201" i="16"/>
  <c r="D201" i="16" s="1"/>
  <c r="X201" i="16"/>
  <c r="A202" i="16"/>
  <c r="K201" i="16"/>
  <c r="A200" i="18"/>
  <c r="X199" i="18"/>
  <c r="L199" i="18"/>
  <c r="K199" i="18"/>
  <c r="AB199" i="18"/>
  <c r="AB195" i="24"/>
  <c r="A196" i="24"/>
  <c r="L195" i="24"/>
  <c r="K195" i="24"/>
  <c r="X195" i="24"/>
  <c r="AB196" i="23"/>
  <c r="X196" i="23"/>
  <c r="K196" i="23"/>
  <c r="A197" i="23"/>
  <c r="L196" i="23"/>
  <c r="AC204" i="1"/>
  <c r="L204" i="1"/>
  <c r="AJ204" i="1"/>
  <c r="K204" i="1"/>
  <c r="AK204" i="1"/>
  <c r="A205" i="1"/>
  <c r="X204" i="1"/>
  <c r="AB204" i="1"/>
  <c r="I200" i="1"/>
  <c r="A199" i="20"/>
  <c r="X198" i="20"/>
  <c r="AB198" i="20"/>
  <c r="K198" i="20"/>
  <c r="L198" i="20"/>
  <c r="X202" i="15"/>
  <c r="K202" i="15"/>
  <c r="L202" i="15"/>
  <c r="D202" i="15" s="1"/>
  <c r="AB202" i="15"/>
  <c r="A203" i="15"/>
  <c r="L205" i="1"/>
  <c r="X205" i="1"/>
  <c r="A206" i="1"/>
  <c r="K205" i="1"/>
  <c r="AB205" i="1"/>
  <c r="AK205" i="1"/>
  <c r="AJ205" i="1"/>
  <c r="K197" i="23"/>
  <c r="A198" i="23"/>
  <c r="L197" i="23"/>
  <c r="X197" i="23"/>
  <c r="AB197" i="23"/>
  <c r="L202" i="16"/>
  <c r="D202" i="16" s="1"/>
  <c r="A203" i="16"/>
  <c r="AB202" i="16"/>
  <c r="K202" i="16"/>
  <c r="X202" i="16"/>
  <c r="I201" i="1"/>
  <c r="L203" i="15"/>
  <c r="X203" i="15"/>
  <c r="K203" i="15"/>
  <c r="AB203" i="15"/>
  <c r="A204" i="15"/>
  <c r="X199" i="20"/>
  <c r="L199" i="20"/>
  <c r="K199" i="20"/>
  <c r="A200" i="20"/>
  <c r="AB199" i="20"/>
  <c r="I202" i="1"/>
  <c r="A197" i="24"/>
  <c r="K196" i="24"/>
  <c r="X196" i="24"/>
  <c r="AB196" i="24"/>
  <c r="L196" i="24"/>
  <c r="K200" i="18"/>
  <c r="X200" i="18"/>
  <c r="A201" i="18"/>
  <c r="L200" i="18"/>
  <c r="AB200" i="18"/>
  <c r="X195" i="25"/>
  <c r="K195" i="25"/>
  <c r="AB195" i="25"/>
  <c r="A196" i="25"/>
  <c r="L195" i="25"/>
  <c r="K198" i="22"/>
  <c r="L198" i="22"/>
  <c r="X198" i="22"/>
  <c r="A199" i="22"/>
  <c r="AB198" i="22"/>
  <c r="A202" i="17"/>
  <c r="K201" i="17"/>
  <c r="L201" i="17"/>
  <c r="D201" i="17" s="1"/>
  <c r="X201" i="17"/>
  <c r="AB201" i="17"/>
  <c r="AB196" i="25"/>
  <c r="L196" i="25"/>
  <c r="X196" i="25"/>
  <c r="K196" i="25"/>
  <c r="A197" i="25"/>
  <c r="I203" i="1"/>
  <c r="AB201" i="18"/>
  <c r="L201" i="18"/>
  <c r="A202" i="18"/>
  <c r="X201" i="18"/>
  <c r="K201" i="18"/>
  <c r="AB197" i="24"/>
  <c r="L197" i="24"/>
  <c r="A198" i="24"/>
  <c r="X197" i="24"/>
  <c r="K197" i="24"/>
  <c r="X200" i="20"/>
  <c r="L200" i="20"/>
  <c r="A201" i="20"/>
  <c r="AB200" i="20"/>
  <c r="K200" i="20"/>
  <c r="L204" i="15"/>
  <c r="AB204" i="15"/>
  <c r="X204" i="15"/>
  <c r="A205" i="15"/>
  <c r="K204" i="15"/>
  <c r="D203" i="15"/>
  <c r="AB206" i="1"/>
  <c r="AK206" i="1"/>
  <c r="A207" i="1"/>
  <c r="AJ206" i="1"/>
  <c r="L206" i="1"/>
  <c r="K206" i="1"/>
  <c r="X206" i="1"/>
  <c r="A203" i="17"/>
  <c r="K202" i="17"/>
  <c r="L202" i="17"/>
  <c r="D202" i="17" s="1"/>
  <c r="AB202" i="17"/>
  <c r="X202" i="17"/>
  <c r="A200" i="22"/>
  <c r="L199" i="22"/>
  <c r="X199" i="22"/>
  <c r="AB199" i="22"/>
  <c r="K199" i="22"/>
  <c r="A204" i="16"/>
  <c r="K203" i="16"/>
  <c r="L203" i="16"/>
  <c r="D203" i="16" s="1"/>
  <c r="AB203" i="16"/>
  <c r="X203" i="16"/>
  <c r="AB198" i="23"/>
  <c r="K198" i="23"/>
  <c r="X198" i="23"/>
  <c r="A199" i="23"/>
  <c r="L198" i="23"/>
  <c r="AB200" i="22"/>
  <c r="K200" i="22"/>
  <c r="X200" i="22"/>
  <c r="A201" i="22"/>
  <c r="L200" i="22"/>
  <c r="AB203" i="17"/>
  <c r="X203" i="17"/>
  <c r="A204" i="17"/>
  <c r="L203" i="17"/>
  <c r="D203" i="17" s="1"/>
  <c r="K203" i="17"/>
  <c r="AJ207" i="1"/>
  <c r="AK207" i="1"/>
  <c r="AB207" i="1"/>
  <c r="A208" i="1"/>
  <c r="K207" i="1"/>
  <c r="L207" i="1"/>
  <c r="X207" i="1"/>
  <c r="D204" i="15"/>
  <c r="X201" i="20"/>
  <c r="A202" i="20"/>
  <c r="L201" i="20"/>
  <c r="K201" i="20"/>
  <c r="AB201" i="20"/>
  <c r="X202" i="18"/>
  <c r="L202" i="18"/>
  <c r="AB202" i="18"/>
  <c r="K202" i="18"/>
  <c r="A203" i="18"/>
  <c r="X197" i="25"/>
  <c r="L197" i="25"/>
  <c r="A198" i="25"/>
  <c r="K197" i="25"/>
  <c r="AB197" i="25"/>
  <c r="A200" i="23"/>
  <c r="K199" i="23"/>
  <c r="AB199" i="23"/>
  <c r="L199" i="23"/>
  <c r="X199" i="23"/>
  <c r="AB204" i="16"/>
  <c r="A205" i="16"/>
  <c r="K204" i="16"/>
  <c r="X204" i="16"/>
  <c r="L204" i="16"/>
  <c r="L205" i="15"/>
  <c r="AB205" i="15"/>
  <c r="K205" i="15"/>
  <c r="A206" i="15"/>
  <c r="X205" i="15"/>
  <c r="AB198" i="24"/>
  <c r="A199" i="24"/>
  <c r="L198" i="24"/>
  <c r="X198" i="24"/>
  <c r="K198" i="24"/>
  <c r="L206" i="15"/>
  <c r="D206" i="15" s="1"/>
  <c r="A207" i="15"/>
  <c r="AB206" i="15"/>
  <c r="K206" i="15"/>
  <c r="X206" i="15"/>
  <c r="A200" i="24"/>
  <c r="K199" i="24"/>
  <c r="X199" i="24"/>
  <c r="L199" i="24"/>
  <c r="AB199" i="24"/>
  <c r="I204" i="1"/>
  <c r="D204" i="16"/>
  <c r="L205" i="16"/>
  <c r="D205" i="16" s="1"/>
  <c r="A206" i="16"/>
  <c r="AB205" i="16"/>
  <c r="K205" i="16"/>
  <c r="X205" i="16"/>
  <c r="K200" i="23"/>
  <c r="A201" i="23"/>
  <c r="AB200" i="23"/>
  <c r="L200" i="23"/>
  <c r="X200" i="23"/>
  <c r="AB198" i="25"/>
  <c r="L198" i="25"/>
  <c r="K198" i="25"/>
  <c r="X198" i="25"/>
  <c r="A199" i="25"/>
  <c r="A203" i="20"/>
  <c r="X202" i="20"/>
  <c r="L202" i="20"/>
  <c r="K202" i="20"/>
  <c r="AB202" i="20"/>
  <c r="AK208" i="1"/>
  <c r="A209" i="1"/>
  <c r="AC208" i="1"/>
  <c r="K208" i="1"/>
  <c r="X208" i="1"/>
  <c r="AJ208" i="1"/>
  <c r="L208" i="1"/>
  <c r="AB208" i="1"/>
  <c r="K201" i="22"/>
  <c r="AB201" i="22"/>
  <c r="L201" i="22"/>
  <c r="X201" i="22"/>
  <c r="A202" i="22"/>
  <c r="D205" i="15"/>
  <c r="AB203" i="18"/>
  <c r="K203" i="18"/>
  <c r="L203" i="18"/>
  <c r="X203" i="18"/>
  <c r="A204" i="18"/>
  <c r="K204" i="17"/>
  <c r="L204" i="17"/>
  <c r="D204" i="17" s="1"/>
  <c r="X204" i="17"/>
  <c r="A205" i="17"/>
  <c r="AB204" i="17"/>
  <c r="A207" i="16"/>
  <c r="X206" i="16"/>
  <c r="L206" i="16"/>
  <c r="AB206" i="16"/>
  <c r="K206" i="16"/>
  <c r="AB205" i="17"/>
  <c r="X205" i="17"/>
  <c r="L205" i="17"/>
  <c r="D205" i="17" s="1"/>
  <c r="K205" i="17"/>
  <c r="A206" i="17"/>
  <c r="A205" i="18"/>
  <c r="X204" i="18"/>
  <c r="AB204" i="18"/>
  <c r="L204" i="18"/>
  <c r="K204" i="18"/>
  <c r="I205" i="1"/>
  <c r="A203" i="22"/>
  <c r="L202" i="22"/>
  <c r="AB202" i="22"/>
  <c r="X202" i="22"/>
  <c r="K202" i="22"/>
  <c r="L209" i="1"/>
  <c r="AJ209" i="1"/>
  <c r="A210" i="1"/>
  <c r="AK209" i="1"/>
  <c r="K209" i="1"/>
  <c r="AB209" i="1"/>
  <c r="X209" i="1"/>
  <c r="K203" i="20"/>
  <c r="L203" i="20"/>
  <c r="A204" i="20"/>
  <c r="X203" i="20"/>
  <c r="AB203" i="20"/>
  <c r="K199" i="25"/>
  <c r="L199" i="25"/>
  <c r="X199" i="25"/>
  <c r="A200" i="25"/>
  <c r="AB199" i="25"/>
  <c r="X201" i="23"/>
  <c r="A202" i="23"/>
  <c r="L201" i="23"/>
  <c r="AB201" i="23"/>
  <c r="K201" i="23"/>
  <c r="AB200" i="24"/>
  <c r="K200" i="24"/>
  <c r="L200" i="24"/>
  <c r="A201" i="24"/>
  <c r="X200" i="24"/>
  <c r="X207" i="15"/>
  <c r="K207" i="15"/>
  <c r="AB207" i="15"/>
  <c r="A208" i="15"/>
  <c r="L207" i="15"/>
  <c r="D207" i="15" s="1"/>
  <c r="X208" i="15"/>
  <c r="A209" i="15"/>
  <c r="L208" i="15"/>
  <c r="K208" i="15"/>
  <c r="AB208" i="15"/>
  <c r="AB201" i="24"/>
  <c r="A202" i="24"/>
  <c r="L201" i="24"/>
  <c r="K201" i="24"/>
  <c r="X201" i="24"/>
  <c r="D206" i="16"/>
  <c r="L207" i="16"/>
  <c r="A208" i="16"/>
  <c r="X207" i="16"/>
  <c r="K207" i="16"/>
  <c r="AB207" i="16"/>
  <c r="I206" i="1"/>
  <c r="AB202" i="23"/>
  <c r="L202" i="23"/>
  <c r="A203" i="23"/>
  <c r="K202" i="23"/>
  <c r="X202" i="23"/>
  <c r="A201" i="25"/>
  <c r="X200" i="25"/>
  <c r="AB200" i="25"/>
  <c r="K200" i="25"/>
  <c r="L200" i="25"/>
  <c r="K204" i="20"/>
  <c r="X204" i="20"/>
  <c r="L204" i="20"/>
  <c r="AB204" i="20"/>
  <c r="A205" i="20"/>
  <c r="L210" i="1"/>
  <c r="AC210" i="1"/>
  <c r="K210" i="1"/>
  <c r="X210" i="1"/>
  <c r="AB210" i="1"/>
  <c r="O210" i="1"/>
  <c r="C26" i="7" s="1"/>
  <c r="AK210" i="1"/>
  <c r="A211" i="1"/>
  <c r="A26" i="7"/>
  <c r="AJ210" i="1"/>
  <c r="AB203" i="22"/>
  <c r="L203" i="22"/>
  <c r="X203" i="22"/>
  <c r="K203" i="22"/>
  <c r="A204" i="22"/>
  <c r="AB205" i="18"/>
  <c r="L205" i="18"/>
  <c r="A206" i="18"/>
  <c r="K205" i="18"/>
  <c r="X205" i="18"/>
  <c r="I207" i="1"/>
  <c r="K206" i="17"/>
  <c r="X206" i="17"/>
  <c r="L206" i="17"/>
  <c r="D206" i="17" s="1"/>
  <c r="A207" i="17"/>
  <c r="AB206" i="17"/>
  <c r="A207" i="18"/>
  <c r="AB206" i="18"/>
  <c r="L206" i="18"/>
  <c r="X206" i="18"/>
  <c r="K206" i="18"/>
  <c r="K211" i="1"/>
  <c r="AK211" i="1"/>
  <c r="X211" i="1"/>
  <c r="AB211" i="1"/>
  <c r="L211" i="1"/>
  <c r="AJ211" i="1"/>
  <c r="A212" i="1"/>
  <c r="B26" i="7"/>
  <c r="K205" i="20"/>
  <c r="L205" i="20"/>
  <c r="X205" i="20"/>
  <c r="AB205" i="20"/>
  <c r="A206" i="20"/>
  <c r="X203" i="23"/>
  <c r="K203" i="23"/>
  <c r="AB203" i="23"/>
  <c r="A204" i="23"/>
  <c r="L203" i="23"/>
  <c r="D207" i="16"/>
  <c r="X209" i="15"/>
  <c r="A210" i="15"/>
  <c r="L209" i="15"/>
  <c r="D209" i="15" s="1"/>
  <c r="K209" i="15"/>
  <c r="AB209" i="15"/>
  <c r="AB207" i="17"/>
  <c r="X207" i="17"/>
  <c r="K207" i="17"/>
  <c r="L207" i="17"/>
  <c r="A208" i="17"/>
  <c r="AB204" i="22"/>
  <c r="L204" i="22"/>
  <c r="A205" i="22"/>
  <c r="X204" i="22"/>
  <c r="K204" i="22"/>
  <c r="A202" i="25"/>
  <c r="X201" i="25"/>
  <c r="K201" i="25"/>
  <c r="L201" i="25"/>
  <c r="AB201" i="25"/>
  <c r="L208" i="16"/>
  <c r="D208" i="16" s="1"/>
  <c r="A209" i="16"/>
  <c r="K208" i="16"/>
  <c r="X208" i="16"/>
  <c r="AB208" i="16"/>
  <c r="AB202" i="24"/>
  <c r="K202" i="24"/>
  <c r="L202" i="24"/>
  <c r="X202" i="24"/>
  <c r="A203" i="24"/>
  <c r="D208" i="15"/>
  <c r="X203" i="24"/>
  <c r="A204" i="24"/>
  <c r="K203" i="24"/>
  <c r="L203" i="24"/>
  <c r="AB203" i="24"/>
  <c r="X209" i="16"/>
  <c r="K209" i="16"/>
  <c r="A210" i="16"/>
  <c r="L209" i="16"/>
  <c r="D209" i="16" s="1"/>
  <c r="AB209" i="16"/>
  <c r="A203" i="25"/>
  <c r="K202" i="25"/>
  <c r="L202" i="25"/>
  <c r="AB202" i="25"/>
  <c r="X202" i="25"/>
  <c r="K205" i="22"/>
  <c r="AB205" i="22"/>
  <c r="L205" i="22"/>
  <c r="X205" i="22"/>
  <c r="A206" i="22"/>
  <c r="A209" i="17"/>
  <c r="K208" i="17"/>
  <c r="X208" i="17"/>
  <c r="L208" i="17"/>
  <c r="D208" i="17" s="1"/>
  <c r="AB208" i="17"/>
  <c r="D207" i="17"/>
  <c r="X206" i="20"/>
  <c r="L206" i="20"/>
  <c r="K206" i="20"/>
  <c r="AB206" i="20"/>
  <c r="A207" i="20"/>
  <c r="A208" i="18"/>
  <c r="L207" i="18"/>
  <c r="X207" i="18"/>
  <c r="K207" i="18"/>
  <c r="AB207" i="18"/>
  <c r="A38" i="7"/>
  <c r="X210" i="15"/>
  <c r="L210" i="15"/>
  <c r="K210" i="15"/>
  <c r="A211" i="15"/>
  <c r="AB210" i="15"/>
  <c r="AB204" i="23"/>
  <c r="X204" i="23"/>
  <c r="K204" i="23"/>
  <c r="L204" i="23"/>
  <c r="A205" i="23"/>
  <c r="AJ212" i="1"/>
  <c r="AB212" i="1"/>
  <c r="X212" i="1"/>
  <c r="AK212" i="1"/>
  <c r="A213" i="1"/>
  <c r="K212" i="1"/>
  <c r="L212" i="1"/>
  <c r="I208" i="1"/>
  <c r="AB208" i="18"/>
  <c r="A209" i="18"/>
  <c r="K208" i="18"/>
  <c r="X208" i="18"/>
  <c r="L208" i="18"/>
  <c r="X207" i="20"/>
  <c r="A208" i="20"/>
  <c r="L207" i="20"/>
  <c r="AB207" i="20"/>
  <c r="K207" i="20"/>
  <c r="A50" i="7"/>
  <c r="X210" i="16"/>
  <c r="AB210" i="16"/>
  <c r="A211" i="16"/>
  <c r="L210" i="16"/>
  <c r="K210" i="16"/>
  <c r="K213" i="1"/>
  <c r="L213" i="1"/>
  <c r="A214" i="1"/>
  <c r="AB213" i="1"/>
  <c r="AK213" i="1"/>
  <c r="AJ213" i="1"/>
  <c r="X213" i="1"/>
  <c r="K205" i="23"/>
  <c r="L205" i="23"/>
  <c r="X205" i="23"/>
  <c r="A206" i="23"/>
  <c r="AB205" i="23"/>
  <c r="X211" i="15"/>
  <c r="K211" i="15"/>
  <c r="L211" i="15"/>
  <c r="A212" i="15"/>
  <c r="AB211" i="15"/>
  <c r="I209" i="1"/>
  <c r="X209" i="17"/>
  <c r="A210" i="17"/>
  <c r="L209" i="17"/>
  <c r="D209" i="17" s="1"/>
  <c r="K209" i="17"/>
  <c r="AB209" i="17"/>
  <c r="K206" i="22"/>
  <c r="X206" i="22"/>
  <c r="L206" i="22"/>
  <c r="AB206" i="22"/>
  <c r="A207" i="22"/>
  <c r="K203" i="25"/>
  <c r="L203" i="25"/>
  <c r="A204" i="25"/>
  <c r="X203" i="25"/>
  <c r="AB203" i="25"/>
  <c r="AB204" i="24"/>
  <c r="K204" i="24"/>
  <c r="X204" i="24"/>
  <c r="A205" i="24"/>
  <c r="L204" i="24"/>
  <c r="D211" i="15"/>
  <c r="A207" i="23"/>
  <c r="AB206" i="23"/>
  <c r="X206" i="23"/>
  <c r="K206" i="23"/>
  <c r="L206" i="23"/>
  <c r="A215" i="1"/>
  <c r="X214" i="1"/>
  <c r="K214" i="1"/>
  <c r="AC214" i="1"/>
  <c r="AK214" i="1"/>
  <c r="O214" i="1"/>
  <c r="AJ214" i="1"/>
  <c r="AB214" i="1"/>
  <c r="L214" i="1"/>
  <c r="AB211" i="16"/>
  <c r="K211" i="16"/>
  <c r="X211" i="16"/>
  <c r="L211" i="16"/>
  <c r="A212" i="16"/>
  <c r="A209" i="20"/>
  <c r="L208" i="20"/>
  <c r="K208" i="20"/>
  <c r="X208" i="20"/>
  <c r="AB208" i="20"/>
  <c r="I210" i="1"/>
  <c r="A210" i="18"/>
  <c r="AB209" i="18"/>
  <c r="L209" i="18"/>
  <c r="X209" i="18"/>
  <c r="K209" i="18"/>
  <c r="AB204" i="25"/>
  <c r="A205" i="25"/>
  <c r="L204" i="25"/>
  <c r="X204" i="25"/>
  <c r="K204" i="25"/>
  <c r="A206" i="24"/>
  <c r="L205" i="24"/>
  <c r="K205" i="24"/>
  <c r="AB205" i="24"/>
  <c r="X205" i="24"/>
  <c r="K207" i="22"/>
  <c r="AB207" i="22"/>
  <c r="L207" i="22"/>
  <c r="X207" i="22"/>
  <c r="A208" i="22"/>
  <c r="AB210" i="17"/>
  <c r="A62" i="7"/>
  <c r="K210" i="17"/>
  <c r="A211" i="17"/>
  <c r="L210" i="17"/>
  <c r="D210" i="17" s="1"/>
  <c r="X210" i="17"/>
  <c r="X212" i="15"/>
  <c r="L212" i="15"/>
  <c r="A213" i="15"/>
  <c r="K212" i="15"/>
  <c r="AB212" i="15"/>
  <c r="A212" i="17"/>
  <c r="AB211" i="17"/>
  <c r="X211" i="17"/>
  <c r="K211" i="17"/>
  <c r="L211" i="17"/>
  <c r="D211" i="17" s="1"/>
  <c r="AB205" i="25"/>
  <c r="X205" i="25"/>
  <c r="L205" i="25"/>
  <c r="A206" i="25"/>
  <c r="K205" i="25"/>
  <c r="K212" i="16"/>
  <c r="AB212" i="16"/>
  <c r="X212" i="16"/>
  <c r="A213" i="16"/>
  <c r="L212" i="16"/>
  <c r="D212" i="16" s="1"/>
  <c r="D211" i="16"/>
  <c r="K215" i="1"/>
  <c r="L215" i="1"/>
  <c r="A216" i="1"/>
  <c r="AJ215" i="1"/>
  <c r="AB215" i="1"/>
  <c r="AK215" i="1"/>
  <c r="X215" i="1"/>
  <c r="I211" i="1"/>
  <c r="D212" i="15"/>
  <c r="A214" i="15"/>
  <c r="K213" i="15"/>
  <c r="L213" i="15"/>
  <c r="D213" i="15" s="1"/>
  <c r="X213" i="15"/>
  <c r="AB213" i="15"/>
  <c r="X208" i="22"/>
  <c r="A209" i="22"/>
  <c r="AB208" i="22"/>
  <c r="L208" i="22"/>
  <c r="K208" i="22"/>
  <c r="AB206" i="24"/>
  <c r="A207" i="24"/>
  <c r="L206" i="24"/>
  <c r="X206" i="24"/>
  <c r="K206" i="24"/>
  <c r="AB210" i="18"/>
  <c r="A74" i="7"/>
  <c r="A211" i="18"/>
  <c r="L210" i="18"/>
  <c r="X210" i="18"/>
  <c r="K210" i="18"/>
  <c r="K209" i="20"/>
  <c r="AB209" i="20"/>
  <c r="X209" i="20"/>
  <c r="L209" i="20"/>
  <c r="A210" i="20"/>
  <c r="A208" i="23"/>
  <c r="L207" i="23"/>
  <c r="AB207" i="23"/>
  <c r="X207" i="23"/>
  <c r="K207" i="23"/>
  <c r="I213" i="1"/>
  <c r="B74" i="7"/>
  <c r="A210" i="22"/>
  <c r="L209" i="22"/>
  <c r="K209" i="22"/>
  <c r="AB209" i="22"/>
  <c r="X209" i="22"/>
  <c r="A207" i="25"/>
  <c r="AB206" i="25"/>
  <c r="L206" i="25"/>
  <c r="K206" i="25"/>
  <c r="X206" i="25"/>
  <c r="I212" i="1"/>
  <c r="AB208" i="23"/>
  <c r="L208" i="23"/>
  <c r="A209" i="23"/>
  <c r="X208" i="23"/>
  <c r="K208" i="23"/>
  <c r="L210" i="20"/>
  <c r="AB210" i="20"/>
  <c r="AE26" i="7"/>
  <c r="A211" i="20"/>
  <c r="X210" i="20"/>
  <c r="K210" i="20"/>
  <c r="L211" i="18"/>
  <c r="AB211" i="18"/>
  <c r="A212" i="18"/>
  <c r="K211" i="18"/>
  <c r="X211" i="18"/>
  <c r="A208" i="24"/>
  <c r="AB207" i="24"/>
  <c r="K207" i="24"/>
  <c r="L207" i="24"/>
  <c r="X207" i="24"/>
  <c r="K214" i="15"/>
  <c r="L214" i="15"/>
  <c r="D214" i="15" s="1"/>
  <c r="A215" i="15"/>
  <c r="X214" i="15"/>
  <c r="AB214" i="15"/>
  <c r="AK216" i="1"/>
  <c r="K216" i="1"/>
  <c r="A217" i="1"/>
  <c r="AJ216" i="1"/>
  <c r="L216" i="1"/>
  <c r="X216" i="1"/>
  <c r="AB216" i="1"/>
  <c r="O216" i="1"/>
  <c r="X213" i="16"/>
  <c r="A214" i="16"/>
  <c r="L213" i="16"/>
  <c r="AB213" i="16"/>
  <c r="K213" i="16"/>
  <c r="AB212" i="17"/>
  <c r="A213" i="17"/>
  <c r="L212" i="17"/>
  <c r="X212" i="17"/>
  <c r="K212" i="17"/>
  <c r="I214" i="1"/>
  <c r="X213" i="17"/>
  <c r="AB213" i="17"/>
  <c r="L213" i="17"/>
  <c r="D213" i="17" s="1"/>
  <c r="K213" i="17"/>
  <c r="A214" i="17"/>
  <c r="A215" i="16"/>
  <c r="X214" i="16"/>
  <c r="L214" i="16"/>
  <c r="D214" i="16" s="1"/>
  <c r="K214" i="16"/>
  <c r="AB214" i="16"/>
  <c r="A218" i="1"/>
  <c r="AJ217" i="1"/>
  <c r="L217" i="1"/>
  <c r="X217" i="1"/>
  <c r="K217" i="1"/>
  <c r="AK217" i="1"/>
  <c r="AB217" i="1"/>
  <c r="X215" i="15"/>
  <c r="AB215" i="15"/>
  <c r="A216" i="15"/>
  <c r="L215" i="15"/>
  <c r="D215" i="15" s="1"/>
  <c r="K215" i="15"/>
  <c r="AB212" i="18"/>
  <c r="A213" i="18"/>
  <c r="L212" i="18"/>
  <c r="K212" i="18"/>
  <c r="X212" i="18"/>
  <c r="AF26" i="7"/>
  <c r="D212" i="17"/>
  <c r="D213" i="16"/>
  <c r="K208" i="24"/>
  <c r="L208" i="24"/>
  <c r="AB208" i="24"/>
  <c r="A209" i="24"/>
  <c r="X208" i="24"/>
  <c r="K211" i="20"/>
  <c r="X211" i="20"/>
  <c r="AB211" i="20"/>
  <c r="L211" i="20"/>
  <c r="A212" i="20"/>
  <c r="A210" i="23"/>
  <c r="AB209" i="23"/>
  <c r="X209" i="23"/>
  <c r="K209" i="23"/>
  <c r="L209" i="23"/>
  <c r="AB207" i="25"/>
  <c r="L207" i="25"/>
  <c r="X207" i="25"/>
  <c r="A208" i="25"/>
  <c r="K207" i="25"/>
  <c r="AE38" i="7"/>
  <c r="K210" i="22"/>
  <c r="L210" i="22"/>
  <c r="AF38" i="7" s="1"/>
  <c r="AB210" i="22"/>
  <c r="X210" i="22"/>
  <c r="A211" i="22"/>
  <c r="I215" i="1"/>
  <c r="A213" i="20"/>
  <c r="L212" i="20"/>
  <c r="AB212" i="20"/>
  <c r="X212" i="20"/>
  <c r="K212" i="20"/>
  <c r="A210" i="24"/>
  <c r="X209" i="24"/>
  <c r="L209" i="24"/>
  <c r="AB209" i="24"/>
  <c r="K209" i="24"/>
  <c r="A219" i="1"/>
  <c r="AK218" i="1"/>
  <c r="L218" i="1"/>
  <c r="AB218" i="1"/>
  <c r="AJ218" i="1"/>
  <c r="K218" i="1"/>
  <c r="X218" i="1"/>
  <c r="AB214" i="17"/>
  <c r="K214" i="17"/>
  <c r="L214" i="17"/>
  <c r="D214" i="17" s="1"/>
  <c r="A215" i="17"/>
  <c r="X214" i="17"/>
  <c r="A212" i="22"/>
  <c r="L211" i="22"/>
  <c r="K211" i="22"/>
  <c r="AB211" i="22"/>
  <c r="X211" i="22"/>
  <c r="K208" i="25"/>
  <c r="X208" i="25"/>
  <c r="AB208" i="25"/>
  <c r="A209" i="25"/>
  <c r="L208" i="25"/>
  <c r="X210" i="23"/>
  <c r="A211" i="23"/>
  <c r="L210" i="23"/>
  <c r="AB210" i="23"/>
  <c r="AE50" i="7"/>
  <c r="K210" i="23"/>
  <c r="AB213" i="18"/>
  <c r="A214" i="18"/>
  <c r="L213" i="18"/>
  <c r="K213" i="18"/>
  <c r="X213" i="18"/>
  <c r="AB216" i="15"/>
  <c r="X216" i="15"/>
  <c r="A217" i="15"/>
  <c r="L216" i="15"/>
  <c r="D216" i="15" s="1"/>
  <c r="K216" i="15"/>
  <c r="AB215" i="16"/>
  <c r="X215" i="16"/>
  <c r="L215" i="16"/>
  <c r="K215" i="16"/>
  <c r="A216" i="16"/>
  <c r="AB216" i="16"/>
  <c r="A217" i="16"/>
  <c r="L216" i="16"/>
  <c r="D216" i="16" s="1"/>
  <c r="K216" i="16"/>
  <c r="X216" i="16"/>
  <c r="A218" i="15"/>
  <c r="L217" i="15"/>
  <c r="K217" i="15"/>
  <c r="AB217" i="15"/>
  <c r="X217" i="15"/>
  <c r="K214" i="18"/>
  <c r="AB214" i="18"/>
  <c r="L214" i="18"/>
  <c r="A215" i="18"/>
  <c r="X214" i="18"/>
  <c r="AF50" i="7"/>
  <c r="K212" i="22"/>
  <c r="AB212" i="22"/>
  <c r="X212" i="22"/>
  <c r="L212" i="22"/>
  <c r="A213" i="22"/>
  <c r="A216" i="17"/>
  <c r="K215" i="17"/>
  <c r="X215" i="17"/>
  <c r="L215" i="17"/>
  <c r="D215" i="17" s="1"/>
  <c r="AB215" i="17"/>
  <c r="AB219" i="1"/>
  <c r="K219" i="1"/>
  <c r="A220" i="1"/>
  <c r="X219" i="1"/>
  <c r="L219" i="1"/>
  <c r="AJ219" i="1"/>
  <c r="AK219" i="1"/>
  <c r="AB213" i="20"/>
  <c r="L213" i="20"/>
  <c r="A214" i="20"/>
  <c r="X213" i="20"/>
  <c r="K213" i="20"/>
  <c r="D215" i="16"/>
  <c r="A212" i="23"/>
  <c r="AB211" i="23"/>
  <c r="K211" i="23"/>
  <c r="L211" i="23"/>
  <c r="X211" i="23"/>
  <c r="X209" i="25"/>
  <c r="L209" i="25"/>
  <c r="A210" i="25"/>
  <c r="AB209" i="25"/>
  <c r="K209" i="25"/>
  <c r="AB210" i="24"/>
  <c r="X210" i="24"/>
  <c r="AE62" i="7"/>
  <c r="K210" i="24"/>
  <c r="L210" i="24"/>
  <c r="A211" i="24"/>
  <c r="I217" i="1"/>
  <c r="X211" i="24"/>
  <c r="L211" i="24"/>
  <c r="A212" i="24"/>
  <c r="AB211" i="24"/>
  <c r="K211" i="24"/>
  <c r="AF62" i="7"/>
  <c r="K210" i="25"/>
  <c r="AE74" i="7"/>
  <c r="AB210" i="25"/>
  <c r="L210" i="25"/>
  <c r="AF74" i="7" s="1"/>
  <c r="A211" i="25"/>
  <c r="X210" i="25"/>
  <c r="X214" i="20"/>
  <c r="K214" i="20"/>
  <c r="L214" i="20"/>
  <c r="AB214" i="20"/>
  <c r="A215" i="20"/>
  <c r="AJ220" i="1"/>
  <c r="X220" i="1"/>
  <c r="AK220" i="1"/>
  <c r="K220" i="1"/>
  <c r="A221" i="1"/>
  <c r="L220" i="1"/>
  <c r="AB220" i="1"/>
  <c r="X216" i="17"/>
  <c r="AB216" i="17"/>
  <c r="A217" i="17"/>
  <c r="K216" i="17"/>
  <c r="L216" i="17"/>
  <c r="D216" i="17" s="1"/>
  <c r="L213" i="22"/>
  <c r="AB213" i="22"/>
  <c r="X213" i="22"/>
  <c r="K213" i="22"/>
  <c r="A214" i="22"/>
  <c r="D217" i="15"/>
  <c r="X217" i="16"/>
  <c r="K217" i="16"/>
  <c r="A218" i="16"/>
  <c r="L217" i="16"/>
  <c r="D217" i="16" s="1"/>
  <c r="AB217" i="16"/>
  <c r="I216" i="1"/>
  <c r="AB212" i="23"/>
  <c r="K212" i="23"/>
  <c r="L212" i="23"/>
  <c r="A213" i="23"/>
  <c r="X212" i="23"/>
  <c r="A216" i="18"/>
  <c r="L215" i="18"/>
  <c r="X215" i="18"/>
  <c r="K215" i="18"/>
  <c r="AB215" i="18"/>
  <c r="A219" i="15"/>
  <c r="AB218" i="15"/>
  <c r="L218" i="15"/>
  <c r="D218" i="15" s="1"/>
  <c r="X218" i="15"/>
  <c r="K218" i="15"/>
  <c r="K219" i="15"/>
  <c r="AB219" i="15"/>
  <c r="L219" i="15"/>
  <c r="D219" i="15" s="1"/>
  <c r="X219" i="15"/>
  <c r="A220" i="15"/>
  <c r="K216" i="18"/>
  <c r="L216" i="18"/>
  <c r="AB216" i="18"/>
  <c r="A217" i="18"/>
  <c r="X216" i="18"/>
  <c r="AB218" i="16"/>
  <c r="L218" i="16"/>
  <c r="D218" i="16" s="1"/>
  <c r="X218" i="16"/>
  <c r="K218" i="16"/>
  <c r="A219" i="16"/>
  <c r="AB217" i="17"/>
  <c r="K217" i="17"/>
  <c r="X217" i="17"/>
  <c r="L217" i="17"/>
  <c r="D217" i="17" s="1"/>
  <c r="A218" i="17"/>
  <c r="K215" i="20"/>
  <c r="X215" i="20"/>
  <c r="L215" i="20"/>
  <c r="A216" i="20"/>
  <c r="AB215" i="20"/>
  <c r="K212" i="24"/>
  <c r="X212" i="24"/>
  <c r="AB212" i="24"/>
  <c r="L212" i="24"/>
  <c r="A213" i="24"/>
  <c r="X213" i="23"/>
  <c r="A214" i="23"/>
  <c r="K213" i="23"/>
  <c r="AB213" i="23"/>
  <c r="L213" i="23"/>
  <c r="A215" i="22"/>
  <c r="L214" i="22"/>
  <c r="K214" i="22"/>
  <c r="AB214" i="22"/>
  <c r="X214" i="22"/>
  <c r="AK221" i="1"/>
  <c r="AB221" i="1"/>
  <c r="K221" i="1"/>
  <c r="L221" i="1"/>
  <c r="AJ221" i="1"/>
  <c r="A222" i="1"/>
  <c r="X221" i="1"/>
  <c r="AB211" i="25"/>
  <c r="A212" i="25"/>
  <c r="X211" i="25"/>
  <c r="K211" i="25"/>
  <c r="L211" i="25"/>
  <c r="I219" i="1"/>
  <c r="AJ222" i="1"/>
  <c r="X222" i="1"/>
  <c r="L222" i="1"/>
  <c r="K222" i="1"/>
  <c r="A223" i="1"/>
  <c r="AK222" i="1"/>
  <c r="AB222" i="1"/>
  <c r="X215" i="22"/>
  <c r="A216" i="22"/>
  <c r="K215" i="22"/>
  <c r="L215" i="22"/>
  <c r="AB215" i="22"/>
  <c r="AB214" i="23"/>
  <c r="K214" i="23"/>
  <c r="L214" i="23"/>
  <c r="A215" i="23"/>
  <c r="X214" i="23"/>
  <c r="A217" i="20"/>
  <c r="L216" i="20"/>
  <c r="K216" i="20"/>
  <c r="AB216" i="20"/>
  <c r="X216" i="20"/>
  <c r="K218" i="17"/>
  <c r="AB218" i="17"/>
  <c r="A219" i="17"/>
  <c r="X218" i="17"/>
  <c r="L218" i="17"/>
  <c r="D218" i="17" s="1"/>
  <c r="X219" i="16"/>
  <c r="K219" i="16"/>
  <c r="AB219" i="16"/>
  <c r="L219" i="16"/>
  <c r="D219" i="16" s="1"/>
  <c r="A220" i="16"/>
  <c r="X220" i="15"/>
  <c r="AB220" i="15"/>
  <c r="A221" i="15"/>
  <c r="K220" i="15"/>
  <c r="L220" i="15"/>
  <c r="D220" i="15" s="1"/>
  <c r="I218" i="1"/>
  <c r="A213" i="25"/>
  <c r="L212" i="25"/>
  <c r="X212" i="25"/>
  <c r="K212" i="25"/>
  <c r="AB212" i="25"/>
  <c r="K213" i="24"/>
  <c r="A214" i="24"/>
  <c r="AB213" i="24"/>
  <c r="L213" i="24"/>
  <c r="X213" i="24"/>
  <c r="X217" i="18"/>
  <c r="AB217" i="18"/>
  <c r="K217" i="18"/>
  <c r="A218" i="18"/>
  <c r="L217" i="18"/>
  <c r="AB218" i="18"/>
  <c r="A219" i="18"/>
  <c r="L218" i="18"/>
  <c r="K218" i="18"/>
  <c r="X218" i="18"/>
  <c r="A221" i="16"/>
  <c r="K220" i="16"/>
  <c r="L220" i="16"/>
  <c r="D220" i="16" s="1"/>
  <c r="X220" i="16"/>
  <c r="AB220" i="16"/>
  <c r="AB217" i="20"/>
  <c r="X217" i="20"/>
  <c r="A218" i="20"/>
  <c r="L217" i="20"/>
  <c r="K217" i="20"/>
  <c r="AB215" i="23"/>
  <c r="K215" i="23"/>
  <c r="A216" i="23"/>
  <c r="X215" i="23"/>
  <c r="L215" i="23"/>
  <c r="A224" i="1"/>
  <c r="AJ223" i="1"/>
  <c r="L223" i="1"/>
  <c r="K223" i="1"/>
  <c r="AK223" i="1"/>
  <c r="AB223" i="1"/>
  <c r="X223" i="1"/>
  <c r="X214" i="24"/>
  <c r="L214" i="24"/>
  <c r="AB214" i="24"/>
  <c r="A215" i="24"/>
  <c r="K214" i="24"/>
  <c r="AB213" i="25"/>
  <c r="K213" i="25"/>
  <c r="A214" i="25"/>
  <c r="X213" i="25"/>
  <c r="L213" i="25"/>
  <c r="L221" i="15"/>
  <c r="D221" i="15" s="1"/>
  <c r="AB221" i="15"/>
  <c r="X221" i="15"/>
  <c r="A222" i="15"/>
  <c r="K221" i="15"/>
  <c r="AB219" i="17"/>
  <c r="A220" i="17"/>
  <c r="L219" i="17"/>
  <c r="K219" i="17"/>
  <c r="X219" i="17"/>
  <c r="K216" i="22"/>
  <c r="X216" i="22"/>
  <c r="L216" i="22"/>
  <c r="AB216" i="22"/>
  <c r="A217" i="22"/>
  <c r="I221" i="1"/>
  <c r="K217" i="22"/>
  <c r="L217" i="22"/>
  <c r="X217" i="22"/>
  <c r="A218" i="22"/>
  <c r="AB217" i="22"/>
  <c r="D219" i="17"/>
  <c r="AB216" i="23"/>
  <c r="X216" i="23"/>
  <c r="K216" i="23"/>
  <c r="A217" i="23"/>
  <c r="L216" i="23"/>
  <c r="I220" i="1"/>
  <c r="X220" i="17"/>
  <c r="L220" i="17"/>
  <c r="AB220" i="17"/>
  <c r="K220" i="17"/>
  <c r="A221" i="17"/>
  <c r="K222" i="15"/>
  <c r="X222" i="15"/>
  <c r="L222" i="15"/>
  <c r="AB222" i="15"/>
  <c r="A223" i="15"/>
  <c r="K214" i="25"/>
  <c r="AB214" i="25"/>
  <c r="L214" i="25"/>
  <c r="A215" i="25"/>
  <c r="X214" i="25"/>
  <c r="X215" i="24"/>
  <c r="K215" i="24"/>
  <c r="L215" i="24"/>
  <c r="AB215" i="24"/>
  <c r="A216" i="24"/>
  <c r="K224" i="1"/>
  <c r="L224" i="1"/>
  <c r="AJ224" i="1"/>
  <c r="X224" i="1"/>
  <c r="AB224" i="1"/>
  <c r="AK224" i="1"/>
  <c r="AC224" i="1"/>
  <c r="A225" i="1"/>
  <c r="AB218" i="20"/>
  <c r="L218" i="20"/>
  <c r="X218" i="20"/>
  <c r="A219" i="20"/>
  <c r="K218" i="20"/>
  <c r="K221" i="16"/>
  <c r="L221" i="16"/>
  <c r="D221" i="16" s="1"/>
  <c r="A222" i="16"/>
  <c r="AB221" i="16"/>
  <c r="X221" i="16"/>
  <c r="A220" i="18"/>
  <c r="L219" i="18"/>
  <c r="AB219" i="18"/>
  <c r="K219" i="18"/>
  <c r="X219" i="18"/>
  <c r="AB222" i="16"/>
  <c r="X222" i="16"/>
  <c r="L222" i="16"/>
  <c r="A223" i="16"/>
  <c r="K222" i="16"/>
  <c r="AB219" i="20"/>
  <c r="K219" i="20"/>
  <c r="X219" i="20"/>
  <c r="L219" i="20"/>
  <c r="A220" i="20"/>
  <c r="I222" i="1"/>
  <c r="A217" i="24"/>
  <c r="K216" i="24"/>
  <c r="AB216" i="24"/>
  <c r="X216" i="24"/>
  <c r="L216" i="24"/>
  <c r="D222" i="15"/>
  <c r="A222" i="17"/>
  <c r="AB221" i="17"/>
  <c r="K221" i="17"/>
  <c r="X221" i="17"/>
  <c r="L221" i="17"/>
  <c r="D221" i="17" s="1"/>
  <c r="D220" i="17"/>
  <c r="AB220" i="18"/>
  <c r="K220" i="18"/>
  <c r="X220" i="18"/>
  <c r="L220" i="18"/>
  <c r="A221" i="18"/>
  <c r="AK225" i="1"/>
  <c r="L225" i="1"/>
  <c r="AB225" i="1"/>
  <c r="K225" i="1"/>
  <c r="A226" i="1"/>
  <c r="X225" i="1"/>
  <c r="AJ225" i="1"/>
  <c r="AB215" i="25"/>
  <c r="K215" i="25"/>
  <c r="L215" i="25"/>
  <c r="A216" i="25"/>
  <c r="X215" i="25"/>
  <c r="A224" i="15"/>
  <c r="X223" i="15"/>
  <c r="L223" i="15"/>
  <c r="K223" i="15"/>
  <c r="AB223" i="15"/>
  <c r="A218" i="23"/>
  <c r="AB217" i="23"/>
  <c r="L217" i="23"/>
  <c r="X217" i="23"/>
  <c r="K217" i="23"/>
  <c r="X218" i="22"/>
  <c r="K218" i="22"/>
  <c r="AB218" i="22"/>
  <c r="L218" i="22"/>
  <c r="A219" i="22"/>
  <c r="I223" i="1"/>
  <c r="AB219" i="22"/>
  <c r="X219" i="22"/>
  <c r="A220" i="22"/>
  <c r="K219" i="22"/>
  <c r="L219" i="22"/>
  <c r="AB226" i="1"/>
  <c r="AJ226" i="1"/>
  <c r="A227" i="1"/>
  <c r="X226" i="1"/>
  <c r="L226" i="1"/>
  <c r="K226" i="1"/>
  <c r="AK226" i="1"/>
  <c r="K221" i="18"/>
  <c r="X221" i="18"/>
  <c r="A222" i="18"/>
  <c r="AB221" i="18"/>
  <c r="L221" i="18"/>
  <c r="AB217" i="24"/>
  <c r="X217" i="24"/>
  <c r="L217" i="24"/>
  <c r="A218" i="24"/>
  <c r="K217" i="24"/>
  <c r="X220" i="20"/>
  <c r="AB220" i="20"/>
  <c r="A221" i="20"/>
  <c r="K220" i="20"/>
  <c r="L220" i="20"/>
  <c r="L223" i="16"/>
  <c r="D223" i="16" s="1"/>
  <c r="A224" i="16"/>
  <c r="K223" i="16"/>
  <c r="AB223" i="16"/>
  <c r="X223" i="16"/>
  <c r="AB218" i="23"/>
  <c r="L218" i="23"/>
  <c r="X218" i="23"/>
  <c r="A219" i="23"/>
  <c r="K218" i="23"/>
  <c r="D223" i="15"/>
  <c r="K224" i="15"/>
  <c r="L224" i="15"/>
  <c r="D224" i="15" s="1"/>
  <c r="X224" i="15"/>
  <c r="AB224" i="15"/>
  <c r="A225" i="15"/>
  <c r="A217" i="25"/>
  <c r="K216" i="25"/>
  <c r="L216" i="25"/>
  <c r="X216" i="25"/>
  <c r="AB216" i="25"/>
  <c r="X222" i="17"/>
  <c r="L222" i="17"/>
  <c r="D222" i="17" s="1"/>
  <c r="A223" i="17"/>
  <c r="AB222" i="17"/>
  <c r="K222" i="17"/>
  <c r="D222" i="16"/>
  <c r="K223" i="17"/>
  <c r="L223" i="17"/>
  <c r="D223" i="17" s="1"/>
  <c r="A224" i="17"/>
  <c r="X223" i="17"/>
  <c r="AB223" i="17"/>
  <c r="A218" i="25"/>
  <c r="X217" i="25"/>
  <c r="AB217" i="25"/>
  <c r="L217" i="25"/>
  <c r="K217" i="25"/>
  <c r="A226" i="15"/>
  <c r="L225" i="15"/>
  <c r="D225" i="15" s="1"/>
  <c r="K225" i="15"/>
  <c r="AB225" i="15"/>
  <c r="X225" i="15"/>
  <c r="AB222" i="18"/>
  <c r="X222" i="18"/>
  <c r="K222" i="18"/>
  <c r="L222" i="18"/>
  <c r="A223" i="18"/>
  <c r="A228" i="1"/>
  <c r="AK227" i="1"/>
  <c r="K227" i="1"/>
  <c r="L227" i="1"/>
  <c r="AB227" i="1"/>
  <c r="AJ227" i="1"/>
  <c r="X227" i="1"/>
  <c r="X220" i="22"/>
  <c r="AB220" i="22"/>
  <c r="L220" i="22"/>
  <c r="K220" i="22"/>
  <c r="A221" i="22"/>
  <c r="A220" i="23"/>
  <c r="X219" i="23"/>
  <c r="L219" i="23"/>
  <c r="AB219" i="23"/>
  <c r="K219" i="23"/>
  <c r="AB224" i="16"/>
  <c r="L224" i="16"/>
  <c r="D224" i="16" s="1"/>
  <c r="X224" i="16"/>
  <c r="K224" i="16"/>
  <c r="A225" i="16"/>
  <c r="K221" i="20"/>
  <c r="L221" i="20"/>
  <c r="A222" i="20"/>
  <c r="AB221" i="20"/>
  <c r="X221" i="20"/>
  <c r="A219" i="24"/>
  <c r="L218" i="24"/>
  <c r="AB218" i="24"/>
  <c r="X218" i="24"/>
  <c r="K218" i="24"/>
  <c r="A220" i="24"/>
  <c r="K219" i="24"/>
  <c r="AB219" i="24"/>
  <c r="L219" i="24"/>
  <c r="X219" i="24"/>
  <c r="X225" i="16"/>
  <c r="K225" i="16"/>
  <c r="L225" i="16"/>
  <c r="D225" i="16" s="1"/>
  <c r="AB225" i="16"/>
  <c r="A226" i="16"/>
  <c r="X223" i="18"/>
  <c r="A224" i="18"/>
  <c r="L223" i="18"/>
  <c r="AB223" i="18"/>
  <c r="K223" i="18"/>
  <c r="A227" i="15"/>
  <c r="AB226" i="15"/>
  <c r="K226" i="15"/>
  <c r="L226" i="15"/>
  <c r="D226" i="15" s="1"/>
  <c r="X226" i="15"/>
  <c r="I224" i="1"/>
  <c r="I225" i="1"/>
  <c r="A223" i="20"/>
  <c r="L222" i="20"/>
  <c r="K222" i="20"/>
  <c r="X222" i="20"/>
  <c r="AB222" i="20"/>
  <c r="X220" i="23"/>
  <c r="A221" i="23"/>
  <c r="L220" i="23"/>
  <c r="AB220" i="23"/>
  <c r="K220" i="23"/>
  <c r="A222" i="22"/>
  <c r="L221" i="22"/>
  <c r="X221" i="22"/>
  <c r="K221" i="22"/>
  <c r="AB221" i="22"/>
  <c r="A229" i="1"/>
  <c r="AJ228" i="1"/>
  <c r="K228" i="1"/>
  <c r="X228" i="1"/>
  <c r="AB228" i="1"/>
  <c r="AK228" i="1"/>
  <c r="L228" i="1"/>
  <c r="K218" i="25"/>
  <c r="A219" i="25"/>
  <c r="L218" i="25"/>
  <c r="AB218" i="25"/>
  <c r="X218" i="25"/>
  <c r="K224" i="17"/>
  <c r="A225" i="17"/>
  <c r="L224" i="17"/>
  <c r="AB224" i="17"/>
  <c r="X224" i="17"/>
  <c r="A230" i="1"/>
  <c r="L229" i="1"/>
  <c r="AK229" i="1"/>
  <c r="X229" i="1"/>
  <c r="K229" i="1"/>
  <c r="AJ229" i="1"/>
  <c r="AB229" i="1"/>
  <c r="K221" i="23"/>
  <c r="L221" i="23"/>
  <c r="X221" i="23"/>
  <c r="A222" i="23"/>
  <c r="AB221" i="23"/>
  <c r="A228" i="15"/>
  <c r="L227" i="15"/>
  <c r="X227" i="15"/>
  <c r="K227" i="15"/>
  <c r="AB227" i="15"/>
  <c r="AB224" i="18"/>
  <c r="A225" i="18"/>
  <c r="L224" i="18"/>
  <c r="X224" i="18"/>
  <c r="K224" i="18"/>
  <c r="X225" i="17"/>
  <c r="L225" i="17"/>
  <c r="D225" i="17" s="1"/>
  <c r="A226" i="17"/>
  <c r="AB225" i="17"/>
  <c r="K225" i="17"/>
  <c r="D224" i="17"/>
  <c r="K219" i="25"/>
  <c r="X219" i="25"/>
  <c r="A220" i="25"/>
  <c r="L219" i="25"/>
  <c r="AB219" i="25"/>
  <c r="K222" i="22"/>
  <c r="X222" i="22"/>
  <c r="A223" i="22"/>
  <c r="AB222" i="22"/>
  <c r="L222" i="22"/>
  <c r="X223" i="20"/>
  <c r="AB223" i="20"/>
  <c r="A224" i="20"/>
  <c r="K223" i="20"/>
  <c r="L223" i="20"/>
  <c r="L226" i="16"/>
  <c r="D226" i="16" s="1"/>
  <c r="A227" i="16"/>
  <c r="K226" i="16"/>
  <c r="X226" i="16"/>
  <c r="AB226" i="16"/>
  <c r="A221" i="24"/>
  <c r="X220" i="24"/>
  <c r="L220" i="24"/>
  <c r="AB220" i="24"/>
  <c r="K220" i="24"/>
  <c r="AB221" i="24"/>
  <c r="K221" i="24"/>
  <c r="X221" i="24"/>
  <c r="A222" i="24"/>
  <c r="L221" i="24"/>
  <c r="X227" i="16"/>
  <c r="K227" i="16"/>
  <c r="A228" i="16"/>
  <c r="AB227" i="16"/>
  <c r="L227" i="16"/>
  <c r="D227" i="16" s="1"/>
  <c r="K223" i="22"/>
  <c r="L223" i="22"/>
  <c r="A224" i="22"/>
  <c r="X223" i="22"/>
  <c r="AB223" i="22"/>
  <c r="AB226" i="17"/>
  <c r="L226" i="17"/>
  <c r="D226" i="17" s="1"/>
  <c r="X226" i="17"/>
  <c r="A227" i="17"/>
  <c r="K226" i="17"/>
  <c r="A226" i="18"/>
  <c r="AB225" i="18"/>
  <c r="L225" i="18"/>
  <c r="K225" i="18"/>
  <c r="X225" i="18"/>
  <c r="L228" i="15"/>
  <c r="K228" i="15"/>
  <c r="A229" i="15"/>
  <c r="AB228" i="15"/>
  <c r="X228" i="15"/>
  <c r="AB222" i="23"/>
  <c r="K222" i="23"/>
  <c r="X222" i="23"/>
  <c r="L222" i="23"/>
  <c r="A223" i="23"/>
  <c r="I226" i="1"/>
  <c r="X224" i="20"/>
  <c r="L224" i="20"/>
  <c r="AB224" i="20"/>
  <c r="K224" i="20"/>
  <c r="A225" i="20"/>
  <c r="AB220" i="25"/>
  <c r="X220" i="25"/>
  <c r="L220" i="25"/>
  <c r="A221" i="25"/>
  <c r="K220" i="25"/>
  <c r="D227" i="15"/>
  <c r="X230" i="1"/>
  <c r="L230" i="1"/>
  <c r="A231" i="1"/>
  <c r="K230" i="1"/>
  <c r="AB230" i="1"/>
  <c r="AJ230" i="1"/>
  <c r="AK230" i="1"/>
  <c r="AB221" i="25"/>
  <c r="K221" i="25"/>
  <c r="L221" i="25"/>
  <c r="X221" i="25"/>
  <c r="A222" i="25"/>
  <c r="K226" i="18"/>
  <c r="X226" i="18"/>
  <c r="L226" i="18"/>
  <c r="A227" i="18"/>
  <c r="AB226" i="18"/>
  <c r="I228" i="1"/>
  <c r="X224" i="22"/>
  <c r="A225" i="22"/>
  <c r="K224" i="22"/>
  <c r="L224" i="22"/>
  <c r="AB224" i="22"/>
  <c r="I227" i="1"/>
  <c r="A232" i="1"/>
  <c r="L231" i="1"/>
  <c r="AJ231" i="1"/>
  <c r="X231" i="1"/>
  <c r="K231" i="1"/>
  <c r="AB231" i="1"/>
  <c r="AK231" i="1"/>
  <c r="AB225" i="20"/>
  <c r="L225" i="20"/>
  <c r="X225" i="20"/>
  <c r="K225" i="20"/>
  <c r="A226" i="20"/>
  <c r="AB223" i="23"/>
  <c r="X223" i="23"/>
  <c r="L223" i="23"/>
  <c r="A224" i="23"/>
  <c r="K223" i="23"/>
  <c r="K229" i="15"/>
  <c r="X229" i="15"/>
  <c r="L229" i="15"/>
  <c r="D229" i="15" s="1"/>
  <c r="A230" i="15"/>
  <c r="AB229" i="15"/>
  <c r="D228" i="15"/>
  <c r="AB227" i="17"/>
  <c r="L227" i="17"/>
  <c r="D227" i="17" s="1"/>
  <c r="X227" i="17"/>
  <c r="A228" i="17"/>
  <c r="K227" i="17"/>
  <c r="K228" i="16"/>
  <c r="A229" i="16"/>
  <c r="L228" i="16"/>
  <c r="D228" i="16" s="1"/>
  <c r="X228" i="16"/>
  <c r="AB228" i="16"/>
  <c r="A223" i="24"/>
  <c r="L222" i="24"/>
  <c r="X222" i="24"/>
  <c r="K222" i="24"/>
  <c r="AB222" i="24"/>
  <c r="K228" i="17"/>
  <c r="AB228" i="17"/>
  <c r="A229" i="17"/>
  <c r="X228" i="17"/>
  <c r="L228" i="17"/>
  <c r="D228" i="17" s="1"/>
  <c r="K223" i="24"/>
  <c r="L223" i="24"/>
  <c r="AB223" i="24"/>
  <c r="A224" i="24"/>
  <c r="X223" i="24"/>
  <c r="A230" i="16"/>
  <c r="X229" i="16"/>
  <c r="L229" i="16"/>
  <c r="D229" i="16" s="1"/>
  <c r="K229" i="16"/>
  <c r="AB229" i="16"/>
  <c r="K230" i="15"/>
  <c r="AB230" i="15"/>
  <c r="X230" i="15"/>
  <c r="A231" i="15"/>
  <c r="L230" i="15"/>
  <c r="K224" i="23"/>
  <c r="A225" i="23"/>
  <c r="L224" i="23"/>
  <c r="X224" i="23"/>
  <c r="AB224" i="23"/>
  <c r="L232" i="1"/>
  <c r="X232" i="1"/>
  <c r="A233" i="1"/>
  <c r="AJ232" i="1"/>
  <c r="AB232" i="1"/>
  <c r="K232" i="1"/>
  <c r="AK232" i="1"/>
  <c r="K227" i="18"/>
  <c r="AB227" i="18"/>
  <c r="L227" i="18"/>
  <c r="A228" i="18"/>
  <c r="X227" i="18"/>
  <c r="A223" i="25"/>
  <c r="AB222" i="25"/>
  <c r="L222" i="25"/>
  <c r="K222" i="25"/>
  <c r="X222" i="25"/>
  <c r="AB226" i="20"/>
  <c r="X226" i="20"/>
  <c r="L226" i="20"/>
  <c r="K226" i="20"/>
  <c r="A227" i="20"/>
  <c r="A226" i="22"/>
  <c r="L225" i="22"/>
  <c r="K225" i="22"/>
  <c r="X225" i="22"/>
  <c r="AB225" i="22"/>
  <c r="I230" i="1"/>
  <c r="K226" i="22"/>
  <c r="AB226" i="22"/>
  <c r="A227" i="22"/>
  <c r="X226" i="22"/>
  <c r="L226" i="22"/>
  <c r="L233" i="1"/>
  <c r="AJ233" i="1"/>
  <c r="AB233" i="1"/>
  <c r="AK233" i="1"/>
  <c r="X233" i="1"/>
  <c r="A234" i="1"/>
  <c r="K233" i="1"/>
  <c r="D230" i="15"/>
  <c r="AB231" i="15"/>
  <c r="K231" i="15"/>
  <c r="X231" i="15"/>
  <c r="L231" i="15"/>
  <c r="D231" i="15" s="1"/>
  <c r="A232" i="15"/>
  <c r="I229" i="1"/>
  <c r="A228" i="20"/>
  <c r="X227" i="20"/>
  <c r="AB227" i="20"/>
  <c r="L227" i="20"/>
  <c r="K227" i="20"/>
  <c r="A224" i="25"/>
  <c r="X223" i="25"/>
  <c r="AB223" i="25"/>
  <c r="L223" i="25"/>
  <c r="K223" i="25"/>
  <c r="A229" i="18"/>
  <c r="X228" i="18"/>
  <c r="L228" i="18"/>
  <c r="AB228" i="18"/>
  <c r="K228" i="18"/>
  <c r="A226" i="23"/>
  <c r="X225" i="23"/>
  <c r="L225" i="23"/>
  <c r="K225" i="23"/>
  <c r="AB225" i="23"/>
  <c r="X230" i="16"/>
  <c r="K230" i="16"/>
  <c r="L230" i="16"/>
  <c r="D230" i="16" s="1"/>
  <c r="AB230" i="16"/>
  <c r="A231" i="16"/>
  <c r="A225" i="24"/>
  <c r="K224" i="24"/>
  <c r="L224" i="24"/>
  <c r="X224" i="24"/>
  <c r="AB224" i="24"/>
  <c r="AB229" i="17"/>
  <c r="X229" i="17"/>
  <c r="K229" i="17"/>
  <c r="L229" i="17"/>
  <c r="D229" i="17" s="1"/>
  <c r="A230" i="17"/>
  <c r="A231" i="17"/>
  <c r="L230" i="17"/>
  <c r="D230" i="17" s="1"/>
  <c r="AB230" i="17"/>
  <c r="X230" i="17"/>
  <c r="K230" i="17"/>
  <c r="A226" i="24"/>
  <c r="L225" i="24"/>
  <c r="AB225" i="24"/>
  <c r="X225" i="24"/>
  <c r="K225" i="24"/>
  <c r="L231" i="16"/>
  <c r="D231" i="16" s="1"/>
  <c r="X231" i="16"/>
  <c r="A232" i="16"/>
  <c r="K231" i="16"/>
  <c r="AB231" i="16"/>
  <c r="A227" i="23"/>
  <c r="AB226" i="23"/>
  <c r="L226" i="23"/>
  <c r="K226" i="23"/>
  <c r="X226" i="23"/>
  <c r="K229" i="18"/>
  <c r="AB229" i="18"/>
  <c r="L229" i="18"/>
  <c r="X229" i="18"/>
  <c r="A230" i="18"/>
  <c r="A228" i="22"/>
  <c r="L227" i="22"/>
  <c r="X227" i="22"/>
  <c r="AB227" i="22"/>
  <c r="K227" i="22"/>
  <c r="X224" i="25"/>
  <c r="L224" i="25"/>
  <c r="A225" i="25"/>
  <c r="AB224" i="25"/>
  <c r="K224" i="25"/>
  <c r="A229" i="20"/>
  <c r="K228" i="20"/>
  <c r="L228" i="20"/>
  <c r="X228" i="20"/>
  <c r="AB228" i="20"/>
  <c r="K232" i="15"/>
  <c r="A233" i="15"/>
  <c r="AB232" i="15"/>
  <c r="L232" i="15"/>
  <c r="X232" i="15"/>
  <c r="AK234" i="1"/>
  <c r="X234" i="1"/>
  <c r="L234" i="1"/>
  <c r="AB234" i="1"/>
  <c r="AJ234" i="1"/>
  <c r="K234" i="1"/>
  <c r="A235" i="1"/>
  <c r="K233" i="15"/>
  <c r="L233" i="15"/>
  <c r="D233" i="15" s="1"/>
  <c r="X233" i="15"/>
  <c r="AB233" i="15"/>
  <c r="A234" i="15"/>
  <c r="AJ235" i="1"/>
  <c r="K235" i="1"/>
  <c r="X235" i="1"/>
  <c r="L235" i="1"/>
  <c r="AK235" i="1"/>
  <c r="A236" i="1"/>
  <c r="AB235" i="1"/>
  <c r="X225" i="25"/>
  <c r="K225" i="25"/>
  <c r="L225" i="25"/>
  <c r="AB225" i="25"/>
  <c r="A226" i="25"/>
  <c r="AB228" i="22"/>
  <c r="K228" i="22"/>
  <c r="L228" i="22"/>
  <c r="X228" i="22"/>
  <c r="A229" i="22"/>
  <c r="A228" i="23"/>
  <c r="L227" i="23"/>
  <c r="AB227" i="23"/>
  <c r="K227" i="23"/>
  <c r="X227" i="23"/>
  <c r="K232" i="16"/>
  <c r="X232" i="16"/>
  <c r="L232" i="16"/>
  <c r="A233" i="16"/>
  <c r="AB232" i="16"/>
  <c r="I231" i="1"/>
  <c r="A230" i="20"/>
  <c r="K229" i="20"/>
  <c r="X229" i="20"/>
  <c r="L229" i="20"/>
  <c r="AB229" i="20"/>
  <c r="AB230" i="18"/>
  <c r="K230" i="18"/>
  <c r="L230" i="18"/>
  <c r="A231" i="18"/>
  <c r="X230" i="18"/>
  <c r="K226" i="24"/>
  <c r="AB226" i="24"/>
  <c r="L226" i="24"/>
  <c r="X226" i="24"/>
  <c r="A227" i="24"/>
  <c r="X231" i="17"/>
  <c r="AB231" i="17"/>
  <c r="L231" i="17"/>
  <c r="K231" i="17"/>
  <c r="A232" i="17"/>
  <c r="AB232" i="17"/>
  <c r="L232" i="17"/>
  <c r="D232" i="17" s="1"/>
  <c r="K232" i="17"/>
  <c r="X232" i="17"/>
  <c r="A233" i="17"/>
  <c r="D231" i="17"/>
  <c r="K231" i="18"/>
  <c r="X231" i="18"/>
  <c r="A232" i="18"/>
  <c r="L231" i="18"/>
  <c r="AB231" i="18"/>
  <c r="X230" i="20"/>
  <c r="AB230" i="20"/>
  <c r="K230" i="20"/>
  <c r="L230" i="20"/>
  <c r="A231" i="20"/>
  <c r="L233" i="16"/>
  <c r="D233" i="16" s="1"/>
  <c r="X233" i="16"/>
  <c r="A234" i="16"/>
  <c r="AB233" i="16"/>
  <c r="K233" i="16"/>
  <c r="A229" i="23"/>
  <c r="L228" i="23"/>
  <c r="X228" i="23"/>
  <c r="AB228" i="23"/>
  <c r="K228" i="23"/>
  <c r="K229" i="22"/>
  <c r="L229" i="22"/>
  <c r="AB229" i="22"/>
  <c r="A230" i="22"/>
  <c r="X229" i="22"/>
  <c r="A237" i="1"/>
  <c r="X236" i="1"/>
  <c r="AB236" i="1"/>
  <c r="AK236" i="1"/>
  <c r="L236" i="1"/>
  <c r="K236" i="1"/>
  <c r="AJ236" i="1"/>
  <c r="A235" i="15"/>
  <c r="K234" i="15"/>
  <c r="X234" i="15"/>
  <c r="L234" i="15"/>
  <c r="D234" i="15" s="1"/>
  <c r="AB234" i="15"/>
  <c r="I232" i="1"/>
  <c r="L227" i="24"/>
  <c r="AB227" i="24"/>
  <c r="A228" i="24"/>
  <c r="K227" i="24"/>
  <c r="X227" i="24"/>
  <c r="D232" i="16"/>
  <c r="K226" i="25"/>
  <c r="A227" i="25"/>
  <c r="X226" i="25"/>
  <c r="L226" i="25"/>
  <c r="AB226" i="25"/>
  <c r="AB227" i="25"/>
  <c r="L227" i="25"/>
  <c r="K227" i="25"/>
  <c r="X227" i="25"/>
  <c r="A228" i="25"/>
  <c r="K230" i="22"/>
  <c r="L230" i="22"/>
  <c r="X230" i="22"/>
  <c r="A231" i="22"/>
  <c r="AB230" i="22"/>
  <c r="K229" i="23"/>
  <c r="L229" i="23"/>
  <c r="A230" i="23"/>
  <c r="X229" i="23"/>
  <c r="AB229" i="23"/>
  <c r="A232" i="20"/>
  <c r="AB231" i="20"/>
  <c r="L231" i="20"/>
  <c r="X231" i="20"/>
  <c r="K231" i="20"/>
  <c r="AB233" i="17"/>
  <c r="L233" i="17"/>
  <c r="D233" i="17" s="1"/>
  <c r="A234" i="17"/>
  <c r="X233" i="17"/>
  <c r="K233" i="17"/>
  <c r="I233" i="1"/>
  <c r="AB228" i="24"/>
  <c r="K228" i="24"/>
  <c r="X228" i="24"/>
  <c r="A229" i="24"/>
  <c r="L228" i="24"/>
  <c r="A236" i="15"/>
  <c r="X235" i="15"/>
  <c r="K235" i="15"/>
  <c r="AB235" i="15"/>
  <c r="L235" i="15"/>
  <c r="D235" i="15" s="1"/>
  <c r="AJ237" i="1"/>
  <c r="AK237" i="1"/>
  <c r="AB237" i="1"/>
  <c r="X237" i="1"/>
  <c r="K237" i="1"/>
  <c r="A238" i="1"/>
  <c r="L237" i="1"/>
  <c r="AB234" i="16"/>
  <c r="X234" i="16"/>
  <c r="L234" i="16"/>
  <c r="D234" i="16" s="1"/>
  <c r="A235" i="16"/>
  <c r="K234" i="16"/>
  <c r="K232" i="18"/>
  <c r="AB232" i="18"/>
  <c r="X232" i="18"/>
  <c r="A233" i="18"/>
  <c r="L232" i="18"/>
  <c r="A239" i="1"/>
  <c r="X238" i="1"/>
  <c r="AJ238" i="1"/>
  <c r="AB238" i="1"/>
  <c r="L238" i="1"/>
  <c r="AK238" i="1"/>
  <c r="K238" i="1"/>
  <c r="I235" i="1"/>
  <c r="AB229" i="24"/>
  <c r="L229" i="24"/>
  <c r="A230" i="24"/>
  <c r="K229" i="24"/>
  <c r="X229" i="24"/>
  <c r="AB232" i="20"/>
  <c r="K232" i="20"/>
  <c r="L232" i="20"/>
  <c r="A233" i="20"/>
  <c r="X232" i="20"/>
  <c r="X233" i="18"/>
  <c r="AB233" i="18"/>
  <c r="L233" i="18"/>
  <c r="K233" i="18"/>
  <c r="A234" i="18"/>
  <c r="L235" i="16"/>
  <c r="D235" i="16" s="1"/>
  <c r="AB235" i="16"/>
  <c r="X235" i="16"/>
  <c r="K235" i="16"/>
  <c r="A236" i="16"/>
  <c r="A237" i="15"/>
  <c r="X236" i="15"/>
  <c r="K236" i="15"/>
  <c r="L236" i="15"/>
  <c r="D236" i="15" s="1"/>
  <c r="AB236" i="15"/>
  <c r="I234" i="1"/>
  <c r="X234" i="17"/>
  <c r="L234" i="17"/>
  <c r="D234" i="17" s="1"/>
  <c r="A235" i="17"/>
  <c r="AB234" i="17"/>
  <c r="K234" i="17"/>
  <c r="X230" i="23"/>
  <c r="K230" i="23"/>
  <c r="AB230" i="23"/>
  <c r="A231" i="23"/>
  <c r="L230" i="23"/>
  <c r="K231" i="22"/>
  <c r="L231" i="22"/>
  <c r="A232" i="22"/>
  <c r="X231" i="22"/>
  <c r="AB231" i="22"/>
  <c r="X228" i="25"/>
  <c r="L228" i="25"/>
  <c r="K228" i="25"/>
  <c r="AB228" i="25"/>
  <c r="A229" i="25"/>
  <c r="AB237" i="15"/>
  <c r="K237" i="15"/>
  <c r="L237" i="15"/>
  <c r="D237" i="15" s="1"/>
  <c r="X237" i="15"/>
  <c r="A238" i="15"/>
  <c r="K236" i="16"/>
  <c r="AB236" i="16"/>
  <c r="L236" i="16"/>
  <c r="D236" i="16" s="1"/>
  <c r="X236" i="16"/>
  <c r="A237" i="16"/>
  <c r="X234" i="18"/>
  <c r="AB234" i="18"/>
  <c r="L234" i="18"/>
  <c r="K234" i="18"/>
  <c r="A235" i="18"/>
  <c r="X233" i="20"/>
  <c r="AB233" i="20"/>
  <c r="L233" i="20"/>
  <c r="K233" i="20"/>
  <c r="A234" i="20"/>
  <c r="X229" i="25"/>
  <c r="L229" i="25"/>
  <c r="AB229" i="25"/>
  <c r="K229" i="25"/>
  <c r="A230" i="25"/>
  <c r="X232" i="22"/>
  <c r="AB232" i="22"/>
  <c r="L232" i="22"/>
  <c r="A233" i="22"/>
  <c r="K232" i="22"/>
  <c r="AB231" i="23"/>
  <c r="X231" i="23"/>
  <c r="K231" i="23"/>
  <c r="A232" i="23"/>
  <c r="L231" i="23"/>
  <c r="K235" i="17"/>
  <c r="AB235" i="17"/>
  <c r="A236" i="17"/>
  <c r="L235" i="17"/>
  <c r="D235" i="17" s="1"/>
  <c r="X235" i="17"/>
  <c r="K230" i="24"/>
  <c r="X230" i="24"/>
  <c r="L230" i="24"/>
  <c r="AB230" i="24"/>
  <c r="A231" i="24"/>
  <c r="X239" i="1"/>
  <c r="AJ239" i="1"/>
  <c r="AB239" i="1"/>
  <c r="L239" i="1"/>
  <c r="K239" i="1"/>
  <c r="A240" i="1"/>
  <c r="AK239" i="1"/>
  <c r="I237" i="1"/>
  <c r="AB236" i="17"/>
  <c r="A237" i="17"/>
  <c r="L236" i="17"/>
  <c r="K236" i="17"/>
  <c r="X236" i="17"/>
  <c r="AB232" i="23"/>
  <c r="X232" i="23"/>
  <c r="L232" i="23"/>
  <c r="A233" i="23"/>
  <c r="K232" i="23"/>
  <c r="A231" i="25"/>
  <c r="L230" i="25"/>
  <c r="AB230" i="25"/>
  <c r="X230" i="25"/>
  <c r="K230" i="25"/>
  <c r="K237" i="16"/>
  <c r="A238" i="16"/>
  <c r="L237" i="16"/>
  <c r="D237" i="16" s="1"/>
  <c r="X237" i="16"/>
  <c r="AB237" i="16"/>
  <c r="I236" i="1"/>
  <c r="AK240" i="1"/>
  <c r="AJ240" i="1"/>
  <c r="AB240" i="1"/>
  <c r="X240" i="1"/>
  <c r="L240" i="1"/>
  <c r="A241" i="1"/>
  <c r="K240" i="1"/>
  <c r="A232" i="24"/>
  <c r="L231" i="24"/>
  <c r="X231" i="24"/>
  <c r="K231" i="24"/>
  <c r="AB231" i="24"/>
  <c r="AB233" i="22"/>
  <c r="K233" i="22"/>
  <c r="L233" i="22"/>
  <c r="A234" i="22"/>
  <c r="X233" i="22"/>
  <c r="X234" i="20"/>
  <c r="A235" i="20"/>
  <c r="L234" i="20"/>
  <c r="AB234" i="20"/>
  <c r="K234" i="20"/>
  <c r="K235" i="18"/>
  <c r="AB235" i="18"/>
  <c r="A236" i="18"/>
  <c r="X235" i="18"/>
  <c r="L235" i="18"/>
  <c r="K238" i="15"/>
  <c r="L238" i="15"/>
  <c r="A239" i="15"/>
  <c r="AB238" i="15"/>
  <c r="X238" i="15"/>
  <c r="I238" i="1"/>
  <c r="AB239" i="15"/>
  <c r="L239" i="15"/>
  <c r="D239" i="15" s="1"/>
  <c r="K239" i="15"/>
  <c r="A240" i="15"/>
  <c r="X239" i="15"/>
  <c r="D238" i="15"/>
  <c r="X236" i="18"/>
  <c r="L236" i="18"/>
  <c r="A237" i="18"/>
  <c r="K236" i="18"/>
  <c r="AB236" i="18"/>
  <c r="A236" i="20"/>
  <c r="K235" i="20"/>
  <c r="X235" i="20"/>
  <c r="L235" i="20"/>
  <c r="AB235" i="20"/>
  <c r="A233" i="24"/>
  <c r="AB232" i="24"/>
  <c r="K232" i="24"/>
  <c r="L232" i="24"/>
  <c r="X232" i="24"/>
  <c r="AB237" i="17"/>
  <c r="K237" i="17"/>
  <c r="A238" i="17"/>
  <c r="X237" i="17"/>
  <c r="L237" i="17"/>
  <c r="D237" i="17" s="1"/>
  <c r="AB234" i="22"/>
  <c r="X234" i="22"/>
  <c r="K234" i="22"/>
  <c r="A235" i="22"/>
  <c r="L234" i="22"/>
  <c r="A27" i="7"/>
  <c r="A242" i="1"/>
  <c r="AK241" i="1"/>
  <c r="L241" i="1"/>
  <c r="B27" i="7" s="1"/>
  <c r="X241" i="1"/>
  <c r="AB241" i="1"/>
  <c r="K241" i="1"/>
  <c r="AJ241" i="1"/>
  <c r="AB238" i="16"/>
  <c r="K238" i="16"/>
  <c r="L238" i="16"/>
  <c r="D238" i="16" s="1"/>
  <c r="A239" i="16"/>
  <c r="X238" i="16"/>
  <c r="K231" i="25"/>
  <c r="A232" i="25"/>
  <c r="AB231" i="25"/>
  <c r="L231" i="25"/>
  <c r="X231" i="25"/>
  <c r="K233" i="23"/>
  <c r="AB233" i="23"/>
  <c r="L233" i="23"/>
  <c r="X233" i="23"/>
  <c r="A234" i="23"/>
  <c r="D236" i="17"/>
  <c r="AB232" i="25"/>
  <c r="L232" i="25"/>
  <c r="A233" i="25"/>
  <c r="X232" i="25"/>
  <c r="K232" i="25"/>
  <c r="AB234" i="23"/>
  <c r="A235" i="23"/>
  <c r="L234" i="23"/>
  <c r="X234" i="23"/>
  <c r="K234" i="23"/>
  <c r="A240" i="16"/>
  <c r="AB239" i="16"/>
  <c r="X239" i="16"/>
  <c r="K239" i="16"/>
  <c r="L239" i="16"/>
  <c r="D239" i="16" s="1"/>
  <c r="AB235" i="22"/>
  <c r="L235" i="22"/>
  <c r="K235" i="22"/>
  <c r="A236" i="22"/>
  <c r="X235" i="22"/>
  <c r="A239" i="17"/>
  <c r="K238" i="17"/>
  <c r="X238" i="17"/>
  <c r="AB238" i="17"/>
  <c r="L238" i="17"/>
  <c r="K236" i="20"/>
  <c r="L236" i="20"/>
  <c r="A237" i="20"/>
  <c r="X236" i="20"/>
  <c r="AB236" i="20"/>
  <c r="AB242" i="1"/>
  <c r="K242" i="1"/>
  <c r="AK242" i="1"/>
  <c r="X242" i="1"/>
  <c r="A243" i="1"/>
  <c r="AJ242" i="1"/>
  <c r="L242" i="1"/>
  <c r="AB233" i="24"/>
  <c r="X233" i="24"/>
  <c r="A234" i="24"/>
  <c r="K233" i="24"/>
  <c r="L233" i="24"/>
  <c r="AB237" i="18"/>
  <c r="L237" i="18"/>
  <c r="A238" i="18"/>
  <c r="K237" i="18"/>
  <c r="X237" i="18"/>
  <c r="A241" i="15"/>
  <c r="X240" i="15"/>
  <c r="AB240" i="15"/>
  <c r="K240" i="15"/>
  <c r="L240" i="15"/>
  <c r="D240" i="15" s="1"/>
  <c r="A39" i="7"/>
  <c r="K241" i="15"/>
  <c r="L241" i="15"/>
  <c r="AB241" i="15"/>
  <c r="X241" i="15"/>
  <c r="A242" i="15"/>
  <c r="AB238" i="18"/>
  <c r="A239" i="18"/>
  <c r="L238" i="18"/>
  <c r="K238" i="18"/>
  <c r="X238" i="18"/>
  <c r="AB234" i="24"/>
  <c r="X234" i="24"/>
  <c r="L234" i="24"/>
  <c r="A235" i="24"/>
  <c r="K234" i="24"/>
  <c r="K237" i="20"/>
  <c r="A238" i="20"/>
  <c r="L237" i="20"/>
  <c r="AB237" i="20"/>
  <c r="X237" i="20"/>
  <c r="AB239" i="17"/>
  <c r="L239" i="17"/>
  <c r="X239" i="17"/>
  <c r="A240" i="17"/>
  <c r="K239" i="17"/>
  <c r="K236" i="22"/>
  <c r="A237" i="22"/>
  <c r="L236" i="22"/>
  <c r="AB236" i="22"/>
  <c r="X236" i="22"/>
  <c r="L240" i="16"/>
  <c r="D240" i="16" s="1"/>
  <c r="X240" i="16"/>
  <c r="AB240" i="16"/>
  <c r="K240" i="16"/>
  <c r="A241" i="16"/>
  <c r="X235" i="23"/>
  <c r="A236" i="23"/>
  <c r="AB235" i="23"/>
  <c r="K235" i="23"/>
  <c r="L235" i="23"/>
  <c r="I239" i="1"/>
  <c r="I240" i="1"/>
  <c r="AK243" i="1"/>
  <c r="K243" i="1"/>
  <c r="AB243" i="1"/>
  <c r="X243" i="1"/>
  <c r="AJ243" i="1"/>
  <c r="L243" i="1"/>
  <c r="A244" i="1"/>
  <c r="D238" i="17"/>
  <c r="AB233" i="25"/>
  <c r="A234" i="25"/>
  <c r="X233" i="25"/>
  <c r="K233" i="25"/>
  <c r="L233" i="25"/>
  <c r="K234" i="25"/>
  <c r="L234" i="25"/>
  <c r="A235" i="25"/>
  <c r="AB234" i="25"/>
  <c r="X234" i="25"/>
  <c r="AK244" i="1"/>
  <c r="X244" i="1"/>
  <c r="AJ244" i="1"/>
  <c r="A245" i="1"/>
  <c r="AB244" i="1"/>
  <c r="L244" i="1"/>
  <c r="K244" i="1"/>
  <c r="A237" i="23"/>
  <c r="AB236" i="23"/>
  <c r="X236" i="23"/>
  <c r="K236" i="23"/>
  <c r="L236" i="23"/>
  <c r="X241" i="16"/>
  <c r="A51" i="7"/>
  <c r="A242" i="16"/>
  <c r="AB241" i="16"/>
  <c r="L241" i="16"/>
  <c r="D241" i="16" s="1"/>
  <c r="K241" i="16"/>
  <c r="AB237" i="22"/>
  <c r="K237" i="22"/>
  <c r="X237" i="22"/>
  <c r="A238" i="22"/>
  <c r="L237" i="22"/>
  <c r="A241" i="17"/>
  <c r="AB240" i="17"/>
  <c r="K240" i="17"/>
  <c r="X240" i="17"/>
  <c r="L240" i="17"/>
  <c r="D240" i="17" s="1"/>
  <c r="D239" i="17"/>
  <c r="K239" i="18"/>
  <c r="A240" i="18"/>
  <c r="AB239" i="18"/>
  <c r="X239" i="18"/>
  <c r="L239" i="18"/>
  <c r="L242" i="15"/>
  <c r="AB242" i="15"/>
  <c r="X242" i="15"/>
  <c r="K242" i="15"/>
  <c r="A243" i="15"/>
  <c r="X238" i="20"/>
  <c r="L238" i="20"/>
  <c r="K238" i="20"/>
  <c r="AB238" i="20"/>
  <c r="A239" i="20"/>
  <c r="L235" i="24"/>
  <c r="A236" i="24"/>
  <c r="K235" i="24"/>
  <c r="AB235" i="24"/>
  <c r="X235" i="24"/>
  <c r="A240" i="20"/>
  <c r="K239" i="20"/>
  <c r="X239" i="20"/>
  <c r="L239" i="20"/>
  <c r="AB239" i="20"/>
  <c r="L243" i="15"/>
  <c r="D243" i="15" s="1"/>
  <c r="A244" i="15"/>
  <c r="K243" i="15"/>
  <c r="X243" i="15"/>
  <c r="AB243" i="15"/>
  <c r="X241" i="17"/>
  <c r="A242" i="17"/>
  <c r="AB241" i="17"/>
  <c r="K241" i="17"/>
  <c r="L241" i="17"/>
  <c r="A63" i="7"/>
  <c r="A239" i="22"/>
  <c r="L238" i="22"/>
  <c r="K238" i="22"/>
  <c r="X238" i="22"/>
  <c r="AB238" i="22"/>
  <c r="A238" i="23"/>
  <c r="L237" i="23"/>
  <c r="X237" i="23"/>
  <c r="K237" i="23"/>
  <c r="AB237" i="23"/>
  <c r="L245" i="1"/>
  <c r="A246" i="1"/>
  <c r="AB245" i="1"/>
  <c r="AK245" i="1"/>
  <c r="X245" i="1"/>
  <c r="K245" i="1"/>
  <c r="AJ245" i="1"/>
  <c r="I241" i="1"/>
  <c r="AB236" i="24"/>
  <c r="K236" i="24"/>
  <c r="X236" i="24"/>
  <c r="L236" i="24"/>
  <c r="A237" i="24"/>
  <c r="D242" i="15"/>
  <c r="A241" i="18"/>
  <c r="X240" i="18"/>
  <c r="L240" i="18"/>
  <c r="K240" i="18"/>
  <c r="AB240" i="18"/>
  <c r="B51" i="7"/>
  <c r="K242" i="16"/>
  <c r="L242" i="16"/>
  <c r="A243" i="16"/>
  <c r="AB242" i="16"/>
  <c r="X242" i="16"/>
  <c r="A236" i="25"/>
  <c r="AB235" i="25"/>
  <c r="K235" i="25"/>
  <c r="L235" i="25"/>
  <c r="X235" i="25"/>
  <c r="K236" i="25"/>
  <c r="X236" i="25"/>
  <c r="L236" i="25"/>
  <c r="A237" i="25"/>
  <c r="AB236" i="25"/>
  <c r="D242" i="16"/>
  <c r="K241" i="18"/>
  <c r="A75" i="7"/>
  <c r="L241" i="18"/>
  <c r="B75" i="7" s="1"/>
  <c r="X241" i="18"/>
  <c r="A242" i="18"/>
  <c r="AB241" i="18"/>
  <c r="A238" i="24"/>
  <c r="L237" i="24"/>
  <c r="K237" i="24"/>
  <c r="X237" i="24"/>
  <c r="AB237" i="24"/>
  <c r="AK246" i="1"/>
  <c r="AJ246" i="1"/>
  <c r="X246" i="1"/>
  <c r="L246" i="1"/>
  <c r="A247" i="1"/>
  <c r="AB246" i="1"/>
  <c r="K246" i="1"/>
  <c r="X242" i="17"/>
  <c r="AB242" i="17"/>
  <c r="L242" i="17"/>
  <c r="D242" i="17" s="1"/>
  <c r="A243" i="17"/>
  <c r="K242" i="17"/>
  <c r="L243" i="16"/>
  <c r="D243" i="16" s="1"/>
  <c r="K243" i="16"/>
  <c r="X243" i="16"/>
  <c r="A244" i="16"/>
  <c r="AB243" i="16"/>
  <c r="I242" i="1"/>
  <c r="K238" i="23"/>
  <c r="X238" i="23"/>
  <c r="A239" i="23"/>
  <c r="AB238" i="23"/>
  <c r="L238" i="23"/>
  <c r="A240" i="22"/>
  <c r="X239" i="22"/>
  <c r="K239" i="22"/>
  <c r="L239" i="22"/>
  <c r="AB239" i="22"/>
  <c r="A245" i="15"/>
  <c r="AB244" i="15"/>
  <c r="L244" i="15"/>
  <c r="X244" i="15"/>
  <c r="K244" i="15"/>
  <c r="AB240" i="20"/>
  <c r="X240" i="20"/>
  <c r="L240" i="20"/>
  <c r="K240" i="20"/>
  <c r="A241" i="20"/>
  <c r="A242" i="20"/>
  <c r="AE27" i="7"/>
  <c r="X241" i="20"/>
  <c r="AB241" i="20"/>
  <c r="K241" i="20"/>
  <c r="L241" i="20"/>
  <c r="AF27" i="7" s="1"/>
  <c r="A241" i="22"/>
  <c r="L240" i="22"/>
  <c r="AB240" i="22"/>
  <c r="K240" i="22"/>
  <c r="X240" i="22"/>
  <c r="A248" i="1"/>
  <c r="AB247" i="1"/>
  <c r="L247" i="1"/>
  <c r="K247" i="1"/>
  <c r="AJ247" i="1"/>
  <c r="AK247" i="1"/>
  <c r="X247" i="1"/>
  <c r="I243" i="1"/>
  <c r="X242" i="18"/>
  <c r="A243" i="18"/>
  <c r="L242" i="18"/>
  <c r="K242" i="18"/>
  <c r="AB242" i="18"/>
  <c r="X237" i="25"/>
  <c r="A238" i="25"/>
  <c r="L237" i="25"/>
  <c r="K237" i="25"/>
  <c r="AB237" i="25"/>
  <c r="D244" i="15"/>
  <c r="A246" i="15"/>
  <c r="L245" i="15"/>
  <c r="D245" i="15" s="1"/>
  <c r="AB245" i="15"/>
  <c r="K245" i="15"/>
  <c r="X245" i="15"/>
  <c r="K239" i="23"/>
  <c r="AB239" i="23"/>
  <c r="L239" i="23"/>
  <c r="A240" i="23"/>
  <c r="X239" i="23"/>
  <c r="K244" i="16"/>
  <c r="L244" i="16"/>
  <c r="X244" i="16"/>
  <c r="AB244" i="16"/>
  <c r="A245" i="16"/>
  <c r="A244" i="17"/>
  <c r="L243" i="17"/>
  <c r="K243" i="17"/>
  <c r="X243" i="17"/>
  <c r="AB243" i="17"/>
  <c r="A239" i="24"/>
  <c r="K238" i="24"/>
  <c r="X238" i="24"/>
  <c r="L238" i="24"/>
  <c r="AB238" i="24"/>
  <c r="I244" i="1"/>
  <c r="I245" i="1"/>
  <c r="AB239" i="24"/>
  <c r="K239" i="24"/>
  <c r="X239" i="24"/>
  <c r="L239" i="24"/>
  <c r="A240" i="24"/>
  <c r="A245" i="17"/>
  <c r="L244" i="17"/>
  <c r="D244" i="17" s="1"/>
  <c r="AB244" i="17"/>
  <c r="K244" i="17"/>
  <c r="X244" i="17"/>
  <c r="K245" i="16"/>
  <c r="A246" i="16"/>
  <c r="X245" i="16"/>
  <c r="AB245" i="16"/>
  <c r="L245" i="16"/>
  <c r="D245" i="16" s="1"/>
  <c r="AB240" i="23"/>
  <c r="A241" i="23"/>
  <c r="X240" i="23"/>
  <c r="K240" i="23"/>
  <c r="L240" i="23"/>
  <c r="A247" i="15"/>
  <c r="X246" i="15"/>
  <c r="L246" i="15"/>
  <c r="D246" i="15" s="1"/>
  <c r="K246" i="15"/>
  <c r="AB246" i="15"/>
  <c r="X238" i="25"/>
  <c r="K238" i="25"/>
  <c r="A239" i="25"/>
  <c r="L238" i="25"/>
  <c r="AB238" i="25"/>
  <c r="X243" i="18"/>
  <c r="AB243" i="18"/>
  <c r="L243" i="18"/>
  <c r="A244" i="18"/>
  <c r="K243" i="18"/>
  <c r="D243" i="17"/>
  <c r="D244" i="16"/>
  <c r="AJ248" i="1"/>
  <c r="AB248" i="1"/>
  <c r="X248" i="1"/>
  <c r="L248" i="1"/>
  <c r="A249" i="1"/>
  <c r="AK248" i="1"/>
  <c r="K248" i="1"/>
  <c r="AB241" i="22"/>
  <c r="A242" i="22"/>
  <c r="AE39" i="7"/>
  <c r="L241" i="22"/>
  <c r="AF39" i="7" s="1"/>
  <c r="X241" i="22"/>
  <c r="K241" i="22"/>
  <c r="K242" i="20"/>
  <c r="L242" i="20"/>
  <c r="A243" i="20"/>
  <c r="AB242" i="20"/>
  <c r="X242" i="20"/>
  <c r="AB242" i="22"/>
  <c r="L242" i="22"/>
  <c r="K242" i="22"/>
  <c r="X242" i="22"/>
  <c r="A243" i="22"/>
  <c r="X239" i="25"/>
  <c r="K239" i="25"/>
  <c r="L239" i="25"/>
  <c r="AB239" i="25"/>
  <c r="A240" i="25"/>
  <c r="A248" i="15"/>
  <c r="AB247" i="15"/>
  <c r="K247" i="15"/>
  <c r="L247" i="15"/>
  <c r="X247" i="15"/>
  <c r="X241" i="23"/>
  <c r="L241" i="23"/>
  <c r="AF51" i="7" s="1"/>
  <c r="K241" i="23"/>
  <c r="AB241" i="23"/>
  <c r="A242" i="23"/>
  <c r="AE51" i="7"/>
  <c r="K240" i="24"/>
  <c r="A241" i="24"/>
  <c r="AB240" i="24"/>
  <c r="L240" i="24"/>
  <c r="X240" i="24"/>
  <c r="X243" i="20"/>
  <c r="A244" i="20"/>
  <c r="K243" i="20"/>
  <c r="L243" i="20"/>
  <c r="AB243" i="20"/>
  <c r="I246" i="1"/>
  <c r="X249" i="1"/>
  <c r="K249" i="1"/>
  <c r="AB249" i="1"/>
  <c r="L249" i="1"/>
  <c r="A250" i="1"/>
  <c r="AJ249" i="1"/>
  <c r="AK249" i="1"/>
  <c r="K244" i="18"/>
  <c r="AB244" i="18"/>
  <c r="X244" i="18"/>
  <c r="A245" i="18"/>
  <c r="L244" i="18"/>
  <c r="L246" i="16"/>
  <c r="D246" i="16" s="1"/>
  <c r="K246" i="16"/>
  <c r="AB246" i="16"/>
  <c r="A247" i="16"/>
  <c r="X246" i="16"/>
  <c r="AB245" i="17"/>
  <c r="A246" i="17"/>
  <c r="L245" i="17"/>
  <c r="D245" i="17" s="1"/>
  <c r="K245" i="17"/>
  <c r="X245" i="17"/>
  <c r="K246" i="17"/>
  <c r="L246" i="17"/>
  <c r="D246" i="17" s="1"/>
  <c r="AB246" i="17"/>
  <c r="X246" i="17"/>
  <c r="A247" i="17"/>
  <c r="L245" i="18"/>
  <c r="K245" i="18"/>
  <c r="X245" i="18"/>
  <c r="A246" i="18"/>
  <c r="AB245" i="18"/>
  <c r="AB241" i="24"/>
  <c r="L241" i="24"/>
  <c r="AF63" i="7" s="1"/>
  <c r="AE63" i="7"/>
  <c r="X241" i="24"/>
  <c r="A242" i="24"/>
  <c r="K241" i="24"/>
  <c r="K248" i="15"/>
  <c r="L248" i="15"/>
  <c r="D248" i="15" s="1"/>
  <c r="A249" i="15"/>
  <c r="AB248" i="15"/>
  <c r="X248" i="15"/>
  <c r="L247" i="16"/>
  <c r="D247" i="16" s="1"/>
  <c r="AB247" i="16"/>
  <c r="A248" i="16"/>
  <c r="X247" i="16"/>
  <c r="K247" i="16"/>
  <c r="X250" i="1"/>
  <c r="AK250" i="1"/>
  <c r="AJ250" i="1"/>
  <c r="AB250" i="1"/>
  <c r="A251" i="1"/>
  <c r="K250" i="1"/>
  <c r="L250" i="1"/>
  <c r="X244" i="20"/>
  <c r="L244" i="20"/>
  <c r="K244" i="20"/>
  <c r="AB244" i="20"/>
  <c r="A245" i="20"/>
  <c r="X242" i="23"/>
  <c r="L242" i="23"/>
  <c r="K242" i="23"/>
  <c r="AB242" i="23"/>
  <c r="A243" i="23"/>
  <c r="D247" i="15"/>
  <c r="A241" i="25"/>
  <c r="AB240" i="25"/>
  <c r="K240" i="25"/>
  <c r="X240" i="25"/>
  <c r="L240" i="25"/>
  <c r="K243" i="22"/>
  <c r="L243" i="22"/>
  <c r="X243" i="22"/>
  <c r="AB243" i="22"/>
  <c r="A244" i="22"/>
  <c r="K245" i="20"/>
  <c r="X245" i="20"/>
  <c r="L245" i="20"/>
  <c r="A246" i="20"/>
  <c r="AB245" i="20"/>
  <c r="X251" i="1"/>
  <c r="K251" i="1"/>
  <c r="A252" i="1"/>
  <c r="L251" i="1"/>
  <c r="AB251" i="1"/>
  <c r="AK251" i="1"/>
  <c r="AJ251" i="1"/>
  <c r="I248" i="1"/>
  <c r="I247" i="1"/>
  <c r="AB242" i="24"/>
  <c r="X242" i="24"/>
  <c r="A243" i="24"/>
  <c r="L242" i="24"/>
  <c r="K242" i="24"/>
  <c r="K246" i="18"/>
  <c r="AB246" i="18"/>
  <c r="X246" i="18"/>
  <c r="L246" i="18"/>
  <c r="A247" i="18"/>
  <c r="AB244" i="22"/>
  <c r="X244" i="22"/>
  <c r="L244" i="22"/>
  <c r="A245" i="22"/>
  <c r="K244" i="22"/>
  <c r="AE75" i="7"/>
  <c r="L241" i="25"/>
  <c r="AF75" i="7" s="1"/>
  <c r="AB241" i="25"/>
  <c r="K241" i="25"/>
  <c r="A242" i="25"/>
  <c r="X241" i="25"/>
  <c r="K243" i="23"/>
  <c r="X243" i="23"/>
  <c r="L243" i="23"/>
  <c r="AB243" i="23"/>
  <c r="A244" i="23"/>
  <c r="L248" i="16"/>
  <c r="D248" i="16" s="1"/>
  <c r="A249" i="16"/>
  <c r="X248" i="16"/>
  <c r="AB248" i="16"/>
  <c r="K248" i="16"/>
  <c r="AB249" i="15"/>
  <c r="A250" i="15"/>
  <c r="K249" i="15"/>
  <c r="X249" i="15"/>
  <c r="L249" i="15"/>
  <c r="X247" i="17"/>
  <c r="L247" i="17"/>
  <c r="D247" i="17" s="1"/>
  <c r="AB247" i="17"/>
  <c r="K247" i="17"/>
  <c r="A248" i="17"/>
  <c r="D249" i="15"/>
  <c r="AB244" i="23"/>
  <c r="K244" i="23"/>
  <c r="L244" i="23"/>
  <c r="A245" i="23"/>
  <c r="X244" i="23"/>
  <c r="AB247" i="18"/>
  <c r="K247" i="18"/>
  <c r="L247" i="18"/>
  <c r="X247" i="18"/>
  <c r="A248" i="18"/>
  <c r="AB246" i="20"/>
  <c r="L246" i="20"/>
  <c r="X246" i="20"/>
  <c r="K246" i="20"/>
  <c r="A247" i="20"/>
  <c r="AB248" i="17"/>
  <c r="A249" i="17"/>
  <c r="X248" i="17"/>
  <c r="L248" i="17"/>
  <c r="D248" i="17" s="1"/>
  <c r="K248" i="17"/>
  <c r="X250" i="15"/>
  <c r="L250" i="15"/>
  <c r="AB250" i="15"/>
  <c r="K250" i="15"/>
  <c r="A251" i="15"/>
  <c r="X249" i="16"/>
  <c r="K249" i="16"/>
  <c r="L249" i="16"/>
  <c r="D249" i="16" s="1"/>
  <c r="A250" i="16"/>
  <c r="AB249" i="16"/>
  <c r="A243" i="25"/>
  <c r="X242" i="25"/>
  <c r="L242" i="25"/>
  <c r="K242" i="25"/>
  <c r="AB242" i="25"/>
  <c r="AB245" i="22"/>
  <c r="X245" i="22"/>
  <c r="L245" i="22"/>
  <c r="A246" i="22"/>
  <c r="K245" i="22"/>
  <c r="X243" i="24"/>
  <c r="K243" i="24"/>
  <c r="AB243" i="24"/>
  <c r="L243" i="24"/>
  <c r="A244" i="24"/>
  <c r="A253" i="1"/>
  <c r="AJ252" i="1"/>
  <c r="X252" i="1"/>
  <c r="L252" i="1"/>
  <c r="AK252" i="1"/>
  <c r="AB252" i="1"/>
  <c r="K252" i="1"/>
  <c r="AB253" i="1"/>
  <c r="X253" i="1"/>
  <c r="L253" i="1"/>
  <c r="AJ253" i="1"/>
  <c r="A254" i="1"/>
  <c r="AK253" i="1"/>
  <c r="K253" i="1"/>
  <c r="X246" i="22"/>
  <c r="K246" i="22"/>
  <c r="A247" i="22"/>
  <c r="AB246" i="22"/>
  <c r="L246" i="22"/>
  <c r="X243" i="25"/>
  <c r="L243" i="25"/>
  <c r="AB243" i="25"/>
  <c r="K243" i="25"/>
  <c r="A244" i="25"/>
  <c r="X250" i="16"/>
  <c r="K250" i="16"/>
  <c r="A251" i="16"/>
  <c r="AB250" i="16"/>
  <c r="L250" i="16"/>
  <c r="D250" i="16" s="1"/>
  <c r="K249" i="17"/>
  <c r="A250" i="17"/>
  <c r="L249" i="17"/>
  <c r="X249" i="17"/>
  <c r="AB249" i="17"/>
  <c r="I249" i="1"/>
  <c r="A246" i="23"/>
  <c r="X245" i="23"/>
  <c r="L245" i="23"/>
  <c r="AB245" i="23"/>
  <c r="K245" i="23"/>
  <c r="AB244" i="24"/>
  <c r="L244" i="24"/>
  <c r="X244" i="24"/>
  <c r="K244" i="24"/>
  <c r="A245" i="24"/>
  <c r="K251" i="15"/>
  <c r="AB251" i="15"/>
  <c r="X251" i="15"/>
  <c r="A252" i="15"/>
  <c r="L251" i="15"/>
  <c r="D250" i="15"/>
  <c r="A248" i="20"/>
  <c r="K247" i="20"/>
  <c r="AB247" i="20"/>
  <c r="L247" i="20"/>
  <c r="X247" i="20"/>
  <c r="AB248" i="18"/>
  <c r="X248" i="18"/>
  <c r="L248" i="18"/>
  <c r="K248" i="18"/>
  <c r="A249" i="18"/>
  <c r="X249" i="18"/>
  <c r="A250" i="18"/>
  <c r="K249" i="18"/>
  <c r="L249" i="18"/>
  <c r="AB249" i="18"/>
  <c r="X248" i="20"/>
  <c r="A249" i="20"/>
  <c r="AB248" i="20"/>
  <c r="L248" i="20"/>
  <c r="K248" i="20"/>
  <c r="D251" i="15"/>
  <c r="K252" i="15"/>
  <c r="L252" i="15"/>
  <c r="D252" i="15" s="1"/>
  <c r="X252" i="15"/>
  <c r="AB252" i="15"/>
  <c r="A253" i="15"/>
  <c r="A251" i="17"/>
  <c r="X250" i="17"/>
  <c r="K250" i="17"/>
  <c r="L250" i="17"/>
  <c r="D250" i="17" s="1"/>
  <c r="AB250" i="17"/>
  <c r="AB244" i="25"/>
  <c r="A245" i="25"/>
  <c r="L244" i="25"/>
  <c r="K244" i="25"/>
  <c r="X244" i="25"/>
  <c r="I250" i="1"/>
  <c r="K245" i="24"/>
  <c r="L245" i="24"/>
  <c r="X245" i="24"/>
  <c r="A246" i="24"/>
  <c r="AB245" i="24"/>
  <c r="K246" i="23"/>
  <c r="AB246" i="23"/>
  <c r="X246" i="23"/>
  <c r="A247" i="23"/>
  <c r="L246" i="23"/>
  <c r="D249" i="17"/>
  <c r="A252" i="16"/>
  <c r="X251" i="16"/>
  <c r="K251" i="16"/>
  <c r="AB251" i="16"/>
  <c r="L251" i="16"/>
  <c r="X247" i="22"/>
  <c r="K247" i="22"/>
  <c r="AB247" i="22"/>
  <c r="A248" i="22"/>
  <c r="L247" i="22"/>
  <c r="L254" i="1"/>
  <c r="AB254" i="1"/>
  <c r="K254" i="1"/>
  <c r="X254" i="1"/>
  <c r="AJ254" i="1"/>
  <c r="A255" i="1"/>
  <c r="AK254" i="1"/>
  <c r="X255" i="1"/>
  <c r="L255" i="1"/>
  <c r="AB255" i="1"/>
  <c r="AK255" i="1"/>
  <c r="K255" i="1"/>
  <c r="A256" i="1"/>
  <c r="AJ255" i="1"/>
  <c r="D251" i="16"/>
  <c r="I252" i="1"/>
  <c r="K246" i="24"/>
  <c r="AB246" i="24"/>
  <c r="X246" i="24"/>
  <c r="A247" i="24"/>
  <c r="L246" i="24"/>
  <c r="I251" i="1"/>
  <c r="AB245" i="25"/>
  <c r="K245" i="25"/>
  <c r="X245" i="25"/>
  <c r="L245" i="25"/>
  <c r="A246" i="25"/>
  <c r="A252" i="17"/>
  <c r="L251" i="17"/>
  <c r="D251" i="17" s="1"/>
  <c r="K251" i="17"/>
  <c r="X251" i="17"/>
  <c r="AB251" i="17"/>
  <c r="A249" i="22"/>
  <c r="L248" i="22"/>
  <c r="X248" i="22"/>
  <c r="AB248" i="22"/>
  <c r="K248" i="22"/>
  <c r="A253" i="16"/>
  <c r="X252" i="16"/>
  <c r="AB252" i="16"/>
  <c r="K252" i="16"/>
  <c r="L252" i="16"/>
  <c r="D252" i="16" s="1"/>
  <c r="A248" i="23"/>
  <c r="K247" i="23"/>
  <c r="L247" i="23"/>
  <c r="AB247" i="23"/>
  <c r="X247" i="23"/>
  <c r="X253" i="15"/>
  <c r="A254" i="15"/>
  <c r="L253" i="15"/>
  <c r="D253" i="15" s="1"/>
  <c r="AB253" i="15"/>
  <c r="K253" i="15"/>
  <c r="K249" i="20"/>
  <c r="A250" i="20"/>
  <c r="X249" i="20"/>
  <c r="AB249" i="20"/>
  <c r="L249" i="20"/>
  <c r="K250" i="18"/>
  <c r="L250" i="18"/>
  <c r="X250" i="18"/>
  <c r="A251" i="18"/>
  <c r="AB250" i="18"/>
  <c r="A255" i="15"/>
  <c r="L254" i="15"/>
  <c r="K254" i="15"/>
  <c r="AB254" i="15"/>
  <c r="X254" i="15"/>
  <c r="I253" i="1"/>
  <c r="L253" i="16"/>
  <c r="D253" i="16" s="1"/>
  <c r="A254" i="16"/>
  <c r="AB253" i="16"/>
  <c r="K253" i="16"/>
  <c r="X253" i="16"/>
  <c r="K247" i="24"/>
  <c r="AB247" i="24"/>
  <c r="A248" i="24"/>
  <c r="L247" i="24"/>
  <c r="X247" i="24"/>
  <c r="A252" i="18"/>
  <c r="X251" i="18"/>
  <c r="AB251" i="18"/>
  <c r="L251" i="18"/>
  <c r="K251" i="18"/>
  <c r="K250" i="20"/>
  <c r="A251" i="20"/>
  <c r="AB250" i="20"/>
  <c r="L250" i="20"/>
  <c r="X250" i="20"/>
  <c r="A249" i="23"/>
  <c r="L248" i="23"/>
  <c r="X248" i="23"/>
  <c r="K248" i="23"/>
  <c r="AB248" i="23"/>
  <c r="X249" i="22"/>
  <c r="K249" i="22"/>
  <c r="AB249" i="22"/>
  <c r="L249" i="22"/>
  <c r="A250" i="22"/>
  <c r="X252" i="17"/>
  <c r="L252" i="17"/>
  <c r="D252" i="17" s="1"/>
  <c r="A253" i="17"/>
  <c r="K252" i="17"/>
  <c r="AB252" i="17"/>
  <c r="AB246" i="25"/>
  <c r="L246" i="25"/>
  <c r="X246" i="25"/>
  <c r="A247" i="25"/>
  <c r="K246" i="25"/>
  <c r="AB256" i="1"/>
  <c r="X256" i="1"/>
  <c r="AK256" i="1"/>
  <c r="AJ256" i="1"/>
  <c r="L256" i="1"/>
  <c r="K256" i="1"/>
  <c r="A257" i="1"/>
  <c r="X247" i="25"/>
  <c r="L247" i="25"/>
  <c r="K247" i="25"/>
  <c r="AB247" i="25"/>
  <c r="A248" i="25"/>
  <c r="K253" i="17"/>
  <c r="L253" i="17"/>
  <c r="AB253" i="17"/>
  <c r="A254" i="17"/>
  <c r="X253" i="17"/>
  <c r="A250" i="23"/>
  <c r="AB249" i="23"/>
  <c r="K249" i="23"/>
  <c r="L249" i="23"/>
  <c r="X249" i="23"/>
  <c r="X248" i="24"/>
  <c r="AB248" i="24"/>
  <c r="L248" i="24"/>
  <c r="K248" i="24"/>
  <c r="A249" i="24"/>
  <c r="K254" i="16"/>
  <c r="A255" i="16"/>
  <c r="AB254" i="16"/>
  <c r="X254" i="16"/>
  <c r="L254" i="16"/>
  <c r="D254" i="15"/>
  <c r="L257" i="1"/>
  <c r="X257" i="1"/>
  <c r="AK257" i="1"/>
  <c r="AB257" i="1"/>
  <c r="K257" i="1"/>
  <c r="AJ257" i="1"/>
  <c r="A258" i="1"/>
  <c r="X250" i="22"/>
  <c r="AB250" i="22"/>
  <c r="A251" i="22"/>
  <c r="L250" i="22"/>
  <c r="K250" i="22"/>
  <c r="X251" i="20"/>
  <c r="K251" i="20"/>
  <c r="L251" i="20"/>
  <c r="AB251" i="20"/>
  <c r="A252" i="20"/>
  <c r="K252" i="18"/>
  <c r="X252" i="18"/>
  <c r="AB252" i="18"/>
  <c r="A253" i="18"/>
  <c r="L252" i="18"/>
  <c r="A256" i="15"/>
  <c r="AB255" i="15"/>
  <c r="L255" i="15"/>
  <c r="D255" i="15" s="1"/>
  <c r="X255" i="15"/>
  <c r="K255" i="15"/>
  <c r="A257" i="15"/>
  <c r="K256" i="15"/>
  <c r="L256" i="15"/>
  <c r="X256" i="15"/>
  <c r="AB256" i="15"/>
  <c r="AB258" i="1"/>
  <c r="A259" i="1"/>
  <c r="K258" i="1"/>
  <c r="X258" i="1"/>
  <c r="AK258" i="1"/>
  <c r="L258" i="1"/>
  <c r="AJ258" i="1"/>
  <c r="D254" i="16"/>
  <c r="K255" i="16"/>
  <c r="AB255" i="16"/>
  <c r="L255" i="16"/>
  <c r="D255" i="16" s="1"/>
  <c r="A256" i="16"/>
  <c r="X255" i="16"/>
  <c r="I254" i="1"/>
  <c r="AB250" i="23"/>
  <c r="X250" i="23"/>
  <c r="L250" i="23"/>
  <c r="A251" i="23"/>
  <c r="K250" i="23"/>
  <c r="K248" i="25"/>
  <c r="AB248" i="25"/>
  <c r="A249" i="25"/>
  <c r="X248" i="25"/>
  <c r="L248" i="25"/>
  <c r="A254" i="18"/>
  <c r="X253" i="18"/>
  <c r="L253" i="18"/>
  <c r="K253" i="18"/>
  <c r="AB253" i="18"/>
  <c r="X252" i="20"/>
  <c r="L252" i="20"/>
  <c r="A253" i="20"/>
  <c r="AB252" i="20"/>
  <c r="K252" i="20"/>
  <c r="A252" i="22"/>
  <c r="AB251" i="22"/>
  <c r="L251" i="22"/>
  <c r="K251" i="22"/>
  <c r="X251" i="22"/>
  <c r="AB249" i="24"/>
  <c r="A250" i="24"/>
  <c r="X249" i="24"/>
  <c r="L249" i="24"/>
  <c r="K249" i="24"/>
  <c r="X254" i="17"/>
  <c r="A255" i="17"/>
  <c r="L254" i="17"/>
  <c r="D254" i="17" s="1"/>
  <c r="K254" i="17"/>
  <c r="AB254" i="17"/>
  <c r="D253" i="17"/>
  <c r="X255" i="17"/>
  <c r="L255" i="17"/>
  <c r="D255" i="17" s="1"/>
  <c r="AB255" i="17"/>
  <c r="K255" i="17"/>
  <c r="A256" i="17"/>
  <c r="AB250" i="24"/>
  <c r="L250" i="24"/>
  <c r="K250" i="24"/>
  <c r="A251" i="24"/>
  <c r="X250" i="24"/>
  <c r="A254" i="20"/>
  <c r="AB253" i="20"/>
  <c r="K253" i="20"/>
  <c r="L253" i="20"/>
  <c r="X253" i="20"/>
  <c r="AJ259" i="1"/>
  <c r="A260" i="1"/>
  <c r="X259" i="1"/>
  <c r="AK259" i="1"/>
  <c r="AB259" i="1"/>
  <c r="K259" i="1"/>
  <c r="L259" i="1"/>
  <c r="I255" i="1"/>
  <c r="A253" i="22"/>
  <c r="K252" i="22"/>
  <c r="L252" i="22"/>
  <c r="X252" i="22"/>
  <c r="AB252" i="22"/>
  <c r="K254" i="18"/>
  <c r="X254" i="18"/>
  <c r="AB254" i="18"/>
  <c r="A255" i="18"/>
  <c r="L254" i="18"/>
  <c r="AB249" i="25"/>
  <c r="X249" i="25"/>
  <c r="L249" i="25"/>
  <c r="K249" i="25"/>
  <c r="A250" i="25"/>
  <c r="X251" i="23"/>
  <c r="L251" i="23"/>
  <c r="K251" i="23"/>
  <c r="A252" i="23"/>
  <c r="AB251" i="23"/>
  <c r="A257" i="16"/>
  <c r="K256" i="16"/>
  <c r="AB256" i="16"/>
  <c r="X256" i="16"/>
  <c r="L256" i="16"/>
  <c r="D256" i="16" s="1"/>
  <c r="D256" i="15"/>
  <c r="X257" i="15"/>
  <c r="K257" i="15"/>
  <c r="A258" i="15"/>
  <c r="AB257" i="15"/>
  <c r="L257" i="15"/>
  <c r="D257" i="15" s="1"/>
  <c r="X258" i="15"/>
  <c r="L258" i="15"/>
  <c r="D258" i="15" s="1"/>
  <c r="AB258" i="15"/>
  <c r="A259" i="15"/>
  <c r="K258" i="15"/>
  <c r="K250" i="25"/>
  <c r="L250" i="25"/>
  <c r="A251" i="25"/>
  <c r="AB250" i="25"/>
  <c r="X250" i="25"/>
  <c r="X255" i="18"/>
  <c r="K255" i="18"/>
  <c r="A256" i="18"/>
  <c r="L255" i="18"/>
  <c r="AB255" i="18"/>
  <c r="X253" i="22"/>
  <c r="A254" i="22"/>
  <c r="K253" i="22"/>
  <c r="L253" i="22"/>
  <c r="AB253" i="22"/>
  <c r="I257" i="1"/>
  <c r="I256" i="1"/>
  <c r="K257" i="16"/>
  <c r="X257" i="16"/>
  <c r="AB257" i="16"/>
  <c r="A258" i="16"/>
  <c r="L257" i="16"/>
  <c r="A253" i="23"/>
  <c r="K252" i="23"/>
  <c r="AB252" i="23"/>
  <c r="L252" i="23"/>
  <c r="X252" i="23"/>
  <c r="X260" i="1"/>
  <c r="AK260" i="1"/>
  <c r="K260" i="1"/>
  <c r="L260" i="1"/>
  <c r="AJ260" i="1"/>
  <c r="A261" i="1"/>
  <c r="AB260" i="1"/>
  <c r="AB254" i="20"/>
  <c r="L254" i="20"/>
  <c r="K254" i="20"/>
  <c r="A255" i="20"/>
  <c r="X254" i="20"/>
  <c r="A252" i="24"/>
  <c r="X251" i="24"/>
  <c r="AB251" i="24"/>
  <c r="L251" i="24"/>
  <c r="K251" i="24"/>
  <c r="K256" i="17"/>
  <c r="X256" i="17"/>
  <c r="A257" i="17"/>
  <c r="AB256" i="17"/>
  <c r="L256" i="17"/>
  <c r="D256" i="17" s="1"/>
  <c r="K257" i="17"/>
  <c r="L257" i="17"/>
  <c r="X257" i="17"/>
  <c r="AB257" i="17"/>
  <c r="A258" i="17"/>
  <c r="AB253" i="23"/>
  <c r="K253" i="23"/>
  <c r="L253" i="23"/>
  <c r="A254" i="23"/>
  <c r="X253" i="23"/>
  <c r="I258" i="1"/>
  <c r="AB256" i="18"/>
  <c r="X256" i="18"/>
  <c r="K256" i="18"/>
  <c r="A257" i="18"/>
  <c r="L256" i="18"/>
  <c r="K252" i="24"/>
  <c r="L252" i="24"/>
  <c r="X252" i="24"/>
  <c r="A253" i="24"/>
  <c r="AB252" i="24"/>
  <c r="AB255" i="20"/>
  <c r="K255" i="20"/>
  <c r="X255" i="20"/>
  <c r="A256" i="20"/>
  <c r="L255" i="20"/>
  <c r="AB261" i="1"/>
  <c r="A262" i="1"/>
  <c r="AK261" i="1"/>
  <c r="K261" i="1"/>
  <c r="L261" i="1"/>
  <c r="AJ261" i="1"/>
  <c r="X261" i="1"/>
  <c r="D257" i="16"/>
  <c r="K258" i="16"/>
  <c r="AB258" i="16"/>
  <c r="A259" i="16"/>
  <c r="L258" i="16"/>
  <c r="X258" i="16"/>
  <c r="K254" i="22"/>
  <c r="X254" i="22"/>
  <c r="L254" i="22"/>
  <c r="A255" i="22"/>
  <c r="AB254" i="22"/>
  <c r="A252" i="25"/>
  <c r="K251" i="25"/>
  <c r="AB251" i="25"/>
  <c r="L251" i="25"/>
  <c r="X251" i="25"/>
  <c r="X259" i="15"/>
  <c r="AB259" i="15"/>
  <c r="L259" i="15"/>
  <c r="D259" i="15" s="1"/>
  <c r="A260" i="15"/>
  <c r="K259" i="15"/>
  <c r="K260" i="15"/>
  <c r="X260" i="15"/>
  <c r="A261" i="15"/>
  <c r="AB260" i="15"/>
  <c r="L260" i="15"/>
  <c r="D260" i="15" s="1"/>
  <c r="K252" i="25"/>
  <c r="L252" i="25"/>
  <c r="A253" i="25"/>
  <c r="X252" i="25"/>
  <c r="AB252" i="25"/>
  <c r="K253" i="24"/>
  <c r="AB253" i="24"/>
  <c r="L253" i="24"/>
  <c r="X253" i="24"/>
  <c r="A254" i="24"/>
  <c r="A258" i="18"/>
  <c r="K257" i="18"/>
  <c r="X257" i="18"/>
  <c r="AB257" i="18"/>
  <c r="L257" i="18"/>
  <c r="D257" i="17"/>
  <c r="K255" i="22"/>
  <c r="A256" i="22"/>
  <c r="X255" i="22"/>
  <c r="AB255" i="22"/>
  <c r="L255" i="22"/>
  <c r="D258" i="16"/>
  <c r="L259" i="16"/>
  <c r="D259" i="16" s="1"/>
  <c r="K259" i="16"/>
  <c r="AB259" i="16"/>
  <c r="A260" i="16"/>
  <c r="X259" i="16"/>
  <c r="X262" i="1"/>
  <c r="AK262" i="1"/>
  <c r="K262" i="1"/>
  <c r="AJ262" i="1"/>
  <c r="L262" i="1"/>
  <c r="AB262" i="1"/>
  <c r="A263" i="1"/>
  <c r="K256" i="20"/>
  <c r="A257" i="20"/>
  <c r="AB256" i="20"/>
  <c r="X256" i="20"/>
  <c r="L256" i="20"/>
  <c r="A255" i="23"/>
  <c r="K254" i="23"/>
  <c r="X254" i="23"/>
  <c r="L254" i="23"/>
  <c r="AB254" i="23"/>
  <c r="A259" i="17"/>
  <c r="L258" i="17"/>
  <c r="D258" i="17" s="1"/>
  <c r="K258" i="17"/>
  <c r="X258" i="17"/>
  <c r="AB258" i="17"/>
  <c r="A260" i="17"/>
  <c r="AB259" i="17"/>
  <c r="K259" i="17"/>
  <c r="X259" i="17"/>
  <c r="L259" i="17"/>
  <c r="D259" i="17" s="1"/>
  <c r="X255" i="23"/>
  <c r="A256" i="23"/>
  <c r="K255" i="23"/>
  <c r="AB255" i="23"/>
  <c r="L255" i="23"/>
  <c r="A264" i="1"/>
  <c r="K263" i="1"/>
  <c r="AB263" i="1"/>
  <c r="X263" i="1"/>
  <c r="AJ263" i="1"/>
  <c r="AK263" i="1"/>
  <c r="L263" i="1"/>
  <c r="X256" i="22"/>
  <c r="AB256" i="22"/>
  <c r="A257" i="22"/>
  <c r="L256" i="22"/>
  <c r="K256" i="22"/>
  <c r="A255" i="24"/>
  <c r="L254" i="24"/>
  <c r="K254" i="24"/>
  <c r="X254" i="24"/>
  <c r="AB254" i="24"/>
  <c r="K253" i="25"/>
  <c r="L253" i="25"/>
  <c r="AB253" i="25"/>
  <c r="X253" i="25"/>
  <c r="A254" i="25"/>
  <c r="I259" i="1"/>
  <c r="I260" i="1"/>
  <c r="AB257" i="20"/>
  <c r="L257" i="20"/>
  <c r="A258" i="20"/>
  <c r="X257" i="20"/>
  <c r="K257" i="20"/>
  <c r="K260" i="16"/>
  <c r="L260" i="16"/>
  <c r="D260" i="16" s="1"/>
  <c r="X260" i="16"/>
  <c r="AB260" i="16"/>
  <c r="A261" i="16"/>
  <c r="K258" i="18"/>
  <c r="A259" i="18"/>
  <c r="X258" i="18"/>
  <c r="AB258" i="18"/>
  <c r="L258" i="18"/>
  <c r="A262" i="15"/>
  <c r="L261" i="15"/>
  <c r="D261" i="15" s="1"/>
  <c r="K261" i="15"/>
  <c r="X261" i="15"/>
  <c r="AB261" i="15"/>
  <c r="AB262" i="15"/>
  <c r="L262" i="15"/>
  <c r="D262" i="15" s="1"/>
  <c r="X262" i="15"/>
  <c r="K262" i="15"/>
  <c r="A263" i="15"/>
  <c r="X259" i="18"/>
  <c r="A260" i="18"/>
  <c r="L259" i="18"/>
  <c r="K259" i="18"/>
  <c r="AB259" i="18"/>
  <c r="L261" i="16"/>
  <c r="D261" i="16" s="1"/>
  <c r="K261" i="16"/>
  <c r="A262" i="16"/>
  <c r="X261" i="16"/>
  <c r="AB261" i="16"/>
  <c r="K254" i="25"/>
  <c r="A255" i="25"/>
  <c r="X254" i="25"/>
  <c r="L254" i="25"/>
  <c r="AB254" i="25"/>
  <c r="AB264" i="1"/>
  <c r="K264" i="1"/>
  <c r="L264" i="1"/>
  <c r="AK264" i="1"/>
  <c r="A265" i="1"/>
  <c r="X264" i="1"/>
  <c r="AJ264" i="1"/>
  <c r="AB258" i="20"/>
  <c r="L258" i="20"/>
  <c r="A259" i="20"/>
  <c r="K258" i="20"/>
  <c r="X258" i="20"/>
  <c r="K255" i="24"/>
  <c r="A256" i="24"/>
  <c r="X255" i="24"/>
  <c r="AB255" i="24"/>
  <c r="L255" i="24"/>
  <c r="K257" i="22"/>
  <c r="AB257" i="22"/>
  <c r="L257" i="22"/>
  <c r="X257" i="22"/>
  <c r="A258" i="22"/>
  <c r="AB256" i="23"/>
  <c r="A257" i="23"/>
  <c r="L256" i="23"/>
  <c r="X256" i="23"/>
  <c r="K256" i="23"/>
  <c r="A261" i="17"/>
  <c r="X260" i="17"/>
  <c r="AB260" i="17"/>
  <c r="K260" i="17"/>
  <c r="L260" i="17"/>
  <c r="I261" i="1"/>
  <c r="AB261" i="17"/>
  <c r="K261" i="17"/>
  <c r="L261" i="17"/>
  <c r="D261" i="17" s="1"/>
  <c r="A262" i="17"/>
  <c r="X261" i="17"/>
  <c r="I262" i="1"/>
  <c r="D260" i="17"/>
  <c r="X258" i="22"/>
  <c r="AB258" i="22"/>
  <c r="K258" i="22"/>
  <c r="A259" i="22"/>
  <c r="L258" i="22"/>
  <c r="AB259" i="20"/>
  <c r="A260" i="20"/>
  <c r="L259" i="20"/>
  <c r="X259" i="20"/>
  <c r="K259" i="20"/>
  <c r="AB265" i="1"/>
  <c r="X265" i="1"/>
  <c r="A266" i="1"/>
  <c r="AK265" i="1"/>
  <c r="AJ265" i="1"/>
  <c r="K265" i="1"/>
  <c r="L265" i="1"/>
  <c r="K255" i="25"/>
  <c r="A256" i="25"/>
  <c r="L255" i="25"/>
  <c r="X255" i="25"/>
  <c r="AB255" i="25"/>
  <c r="L263" i="15"/>
  <c r="D263" i="15" s="1"/>
  <c r="K263" i="15"/>
  <c r="X263" i="15"/>
  <c r="AB263" i="15"/>
  <c r="A264" i="15"/>
  <c r="X257" i="23"/>
  <c r="A258" i="23"/>
  <c r="L257" i="23"/>
  <c r="AB257" i="23"/>
  <c r="K257" i="23"/>
  <c r="X256" i="24"/>
  <c r="A257" i="24"/>
  <c r="K256" i="24"/>
  <c r="L256" i="24"/>
  <c r="AB256" i="24"/>
  <c r="A263" i="16"/>
  <c r="X262" i="16"/>
  <c r="K262" i="16"/>
  <c r="AB262" i="16"/>
  <c r="L262" i="16"/>
  <c r="A261" i="18"/>
  <c r="X260" i="18"/>
  <c r="L260" i="18"/>
  <c r="AB260" i="18"/>
  <c r="K260" i="18"/>
  <c r="X257" i="24"/>
  <c r="A258" i="24"/>
  <c r="L257" i="24"/>
  <c r="K257" i="24"/>
  <c r="AB257" i="24"/>
  <c r="K264" i="15"/>
  <c r="AB264" i="15"/>
  <c r="L264" i="15"/>
  <c r="D264" i="15" s="1"/>
  <c r="A265" i="15"/>
  <c r="X264" i="15"/>
  <c r="A260" i="22"/>
  <c r="AB259" i="22"/>
  <c r="X259" i="22"/>
  <c r="K259" i="22"/>
  <c r="L259" i="22"/>
  <c r="X261" i="18"/>
  <c r="AB261" i="18"/>
  <c r="A262" i="18"/>
  <c r="K261" i="18"/>
  <c r="L261" i="18"/>
  <c r="D262" i="16"/>
  <c r="L263" i="16"/>
  <c r="AB263" i="16"/>
  <c r="K263" i="16"/>
  <c r="A264" i="16"/>
  <c r="X263" i="16"/>
  <c r="X258" i="23"/>
  <c r="K258" i="23"/>
  <c r="L258" i="23"/>
  <c r="AB258" i="23"/>
  <c r="A259" i="23"/>
  <c r="X256" i="25"/>
  <c r="K256" i="25"/>
  <c r="AB256" i="25"/>
  <c r="A257" i="25"/>
  <c r="L256" i="25"/>
  <c r="AJ266" i="1"/>
  <c r="A267" i="1"/>
  <c r="L266" i="1"/>
  <c r="X266" i="1"/>
  <c r="K266" i="1"/>
  <c r="AB266" i="1"/>
  <c r="AK266" i="1"/>
  <c r="AB260" i="20"/>
  <c r="L260" i="20"/>
  <c r="A261" i="20"/>
  <c r="K260" i="20"/>
  <c r="X260" i="20"/>
  <c r="AB262" i="17"/>
  <c r="L262" i="17"/>
  <c r="D262" i="17" s="1"/>
  <c r="A263" i="17"/>
  <c r="X262" i="17"/>
  <c r="K262" i="17"/>
  <c r="I264" i="1"/>
  <c r="X261" i="20"/>
  <c r="K261" i="20"/>
  <c r="A262" i="20"/>
  <c r="L261" i="20"/>
  <c r="AB261" i="20"/>
  <c r="K267" i="1"/>
  <c r="AJ267" i="1"/>
  <c r="AB267" i="1"/>
  <c r="AK267" i="1"/>
  <c r="L267" i="1"/>
  <c r="X267" i="1"/>
  <c r="A268" i="1"/>
  <c r="K259" i="23"/>
  <c r="L259" i="23"/>
  <c r="A260" i="23"/>
  <c r="X259" i="23"/>
  <c r="AB259" i="23"/>
  <c r="D263" i="16"/>
  <c r="X262" i="18"/>
  <c r="AB262" i="18"/>
  <c r="A263" i="18"/>
  <c r="K262" i="18"/>
  <c r="L262" i="18"/>
  <c r="L260" i="22"/>
  <c r="K260" i="22"/>
  <c r="AB260" i="22"/>
  <c r="A261" i="22"/>
  <c r="X260" i="22"/>
  <c r="L265" i="15"/>
  <c r="D265" i="15" s="1"/>
  <c r="X265" i="15"/>
  <c r="K265" i="15"/>
  <c r="AB265" i="15"/>
  <c r="A266" i="15"/>
  <c r="A259" i="24"/>
  <c r="K258" i="24"/>
  <c r="X258" i="24"/>
  <c r="AB258" i="24"/>
  <c r="L258" i="24"/>
  <c r="I263" i="1"/>
  <c r="AB263" i="17"/>
  <c r="L263" i="17"/>
  <c r="D263" i="17" s="1"/>
  <c r="X263" i="17"/>
  <c r="K263" i="17"/>
  <c r="A264" i="17"/>
  <c r="X257" i="25"/>
  <c r="AB257" i="25"/>
  <c r="A258" i="25"/>
  <c r="K257" i="25"/>
  <c r="L257" i="25"/>
  <c r="L264" i="16"/>
  <c r="D264" i="16" s="1"/>
  <c r="A265" i="16"/>
  <c r="X264" i="16"/>
  <c r="AB264" i="16"/>
  <c r="K264" i="16"/>
  <c r="AB265" i="16"/>
  <c r="X265" i="16"/>
  <c r="A266" i="16"/>
  <c r="L265" i="16"/>
  <c r="D265" i="16" s="1"/>
  <c r="K265" i="16"/>
  <c r="A259" i="25"/>
  <c r="L258" i="25"/>
  <c r="X258" i="25"/>
  <c r="AB258" i="25"/>
  <c r="K258" i="25"/>
  <c r="A265" i="17"/>
  <c r="X264" i="17"/>
  <c r="AB264" i="17"/>
  <c r="K264" i="17"/>
  <c r="L264" i="17"/>
  <c r="A267" i="15"/>
  <c r="X266" i="15"/>
  <c r="K266" i="15"/>
  <c r="AB266" i="15"/>
  <c r="L266" i="15"/>
  <c r="D266" i="15" s="1"/>
  <c r="X261" i="22"/>
  <c r="L261" i="22"/>
  <c r="AB261" i="22"/>
  <c r="A262" i="22"/>
  <c r="K261" i="22"/>
  <c r="X263" i="18"/>
  <c r="L263" i="18"/>
  <c r="K263" i="18"/>
  <c r="A264" i="18"/>
  <c r="AB263" i="18"/>
  <c r="X262" i="20"/>
  <c r="L262" i="20"/>
  <c r="AB262" i="20"/>
  <c r="K262" i="20"/>
  <c r="A263" i="20"/>
  <c r="X259" i="24"/>
  <c r="AB259" i="24"/>
  <c r="K259" i="24"/>
  <c r="L259" i="24"/>
  <c r="A260" i="24"/>
  <c r="AB260" i="23"/>
  <c r="K260" i="23"/>
  <c r="L260" i="23"/>
  <c r="A261" i="23"/>
  <c r="X260" i="23"/>
  <c r="X268" i="1"/>
  <c r="AB268" i="1"/>
  <c r="AK268" i="1"/>
  <c r="AJ268" i="1"/>
  <c r="A269" i="1"/>
  <c r="L268" i="1"/>
  <c r="K268" i="1"/>
  <c r="I266" i="1"/>
  <c r="X260" i="24"/>
  <c r="A261" i="24"/>
  <c r="AB260" i="24"/>
  <c r="L260" i="24"/>
  <c r="K260" i="24"/>
  <c r="AB263" i="20"/>
  <c r="X263" i="20"/>
  <c r="L263" i="20"/>
  <c r="A264" i="20"/>
  <c r="K263" i="20"/>
  <c r="K262" i="22"/>
  <c r="X262" i="22"/>
  <c r="L262" i="22"/>
  <c r="AB262" i="22"/>
  <c r="A263" i="22"/>
  <c r="A268" i="15"/>
  <c r="L267" i="15"/>
  <c r="D267" i="15" s="1"/>
  <c r="X267" i="15"/>
  <c r="AB267" i="15"/>
  <c r="K267" i="15"/>
  <c r="K259" i="25"/>
  <c r="A260" i="25"/>
  <c r="L259" i="25"/>
  <c r="AB259" i="25"/>
  <c r="X259" i="25"/>
  <c r="I265" i="1"/>
  <c r="K269" i="1"/>
  <c r="AJ269" i="1"/>
  <c r="AB269" i="1"/>
  <c r="X269" i="1"/>
  <c r="AK269" i="1"/>
  <c r="L269" i="1"/>
  <c r="A270" i="1"/>
  <c r="X261" i="23"/>
  <c r="AB261" i="23"/>
  <c r="K261" i="23"/>
  <c r="A262" i="23"/>
  <c r="L261" i="23"/>
  <c r="X264" i="18"/>
  <c r="A265" i="18"/>
  <c r="K264" i="18"/>
  <c r="L264" i="18"/>
  <c r="AB264" i="18"/>
  <c r="D264" i="17"/>
  <c r="AB265" i="17"/>
  <c r="L265" i="17"/>
  <c r="D265" i="17" s="1"/>
  <c r="A266" i="17"/>
  <c r="K265" i="17"/>
  <c r="X265" i="17"/>
  <c r="AB266" i="16"/>
  <c r="X266" i="16"/>
  <c r="L266" i="16"/>
  <c r="D266" i="16" s="1"/>
  <c r="K266" i="16"/>
  <c r="A267" i="16"/>
  <c r="I267" i="1"/>
  <c r="K260" i="25"/>
  <c r="L260" i="25"/>
  <c r="AB260" i="25"/>
  <c r="X260" i="25"/>
  <c r="A261" i="25"/>
  <c r="K261" i="24"/>
  <c r="X261" i="24"/>
  <c r="L261" i="24"/>
  <c r="AB261" i="24"/>
  <c r="A262" i="24"/>
  <c r="X267" i="16"/>
  <c r="L267" i="16"/>
  <c r="D267" i="16" s="1"/>
  <c r="AB267" i="16"/>
  <c r="A268" i="16"/>
  <c r="K267" i="16"/>
  <c r="K266" i="17"/>
  <c r="A267" i="17"/>
  <c r="L266" i="17"/>
  <c r="X266" i="17"/>
  <c r="AB266" i="17"/>
  <c r="K265" i="18"/>
  <c r="A266" i="18"/>
  <c r="AB265" i="18"/>
  <c r="L265" i="18"/>
  <c r="X265" i="18"/>
  <c r="X262" i="23"/>
  <c r="K262" i="23"/>
  <c r="L262" i="23"/>
  <c r="A263" i="23"/>
  <c r="AB262" i="23"/>
  <c r="A271" i="1"/>
  <c r="X270" i="1"/>
  <c r="AJ270" i="1"/>
  <c r="AB270" i="1"/>
  <c r="AK270" i="1"/>
  <c r="K270" i="1"/>
  <c r="L270" i="1"/>
  <c r="X268" i="15"/>
  <c r="A269" i="15"/>
  <c r="AB268" i="15"/>
  <c r="L268" i="15"/>
  <c r="K268" i="15"/>
  <c r="X263" i="22"/>
  <c r="AB263" i="22"/>
  <c r="A264" i="22"/>
  <c r="L263" i="22"/>
  <c r="K263" i="22"/>
  <c r="AB264" i="20"/>
  <c r="L264" i="20"/>
  <c r="A265" i="20"/>
  <c r="X264" i="20"/>
  <c r="K264" i="20"/>
  <c r="D268" i="15"/>
  <c r="X267" i="17"/>
  <c r="AB267" i="17"/>
  <c r="K267" i="17"/>
  <c r="A268" i="17"/>
  <c r="L267" i="17"/>
  <c r="D267" i="17" s="1"/>
  <c r="A269" i="16"/>
  <c r="X268" i="16"/>
  <c r="L268" i="16"/>
  <c r="D268" i="16" s="1"/>
  <c r="AB268" i="16"/>
  <c r="K268" i="16"/>
  <c r="A263" i="24"/>
  <c r="L262" i="24"/>
  <c r="K262" i="24"/>
  <c r="X262" i="24"/>
  <c r="AB262" i="24"/>
  <c r="A262" i="25"/>
  <c r="K261" i="25"/>
  <c r="X261" i="25"/>
  <c r="L261" i="25"/>
  <c r="AB261" i="25"/>
  <c r="AB265" i="20"/>
  <c r="X265" i="20"/>
  <c r="L265" i="20"/>
  <c r="K265" i="20"/>
  <c r="A266" i="20"/>
  <c r="A265" i="22"/>
  <c r="L264" i="22"/>
  <c r="K264" i="22"/>
  <c r="AB264" i="22"/>
  <c r="X264" i="22"/>
  <c r="K269" i="15"/>
  <c r="L269" i="15"/>
  <c r="A270" i="15"/>
  <c r="X269" i="15"/>
  <c r="AB269" i="15"/>
  <c r="L271" i="1"/>
  <c r="AJ271" i="1"/>
  <c r="X271" i="1"/>
  <c r="AB271" i="1"/>
  <c r="K271" i="1"/>
  <c r="A272" i="1"/>
  <c r="AK271" i="1"/>
  <c r="K263" i="23"/>
  <c r="L263" i="23"/>
  <c r="AB263" i="23"/>
  <c r="A264" i="23"/>
  <c r="X263" i="23"/>
  <c r="K266" i="18"/>
  <c r="A267" i="18"/>
  <c r="X266" i="18"/>
  <c r="L266" i="18"/>
  <c r="AB266" i="18"/>
  <c r="D266" i="17"/>
  <c r="AB264" i="23"/>
  <c r="K264" i="23"/>
  <c r="X264" i="23"/>
  <c r="L264" i="23"/>
  <c r="A265" i="23"/>
  <c r="X272" i="1"/>
  <c r="A28" i="7"/>
  <c r="AB272" i="1"/>
  <c r="A273" i="1"/>
  <c r="L272" i="1"/>
  <c r="B28" i="7" s="1"/>
  <c r="AJ272" i="1"/>
  <c r="AK272" i="1"/>
  <c r="K272" i="1"/>
  <c r="D269" i="15"/>
  <c r="A266" i="22"/>
  <c r="L265" i="22"/>
  <c r="AB265" i="22"/>
  <c r="K265" i="22"/>
  <c r="X265" i="22"/>
  <c r="AB269" i="16"/>
  <c r="X269" i="16"/>
  <c r="L269" i="16"/>
  <c r="D269" i="16" s="1"/>
  <c r="K269" i="16"/>
  <c r="A270" i="16"/>
  <c r="X268" i="17"/>
  <c r="K268" i="17"/>
  <c r="A269" i="17"/>
  <c r="AB268" i="17"/>
  <c r="L268" i="17"/>
  <c r="D268" i="17" s="1"/>
  <c r="I268" i="1"/>
  <c r="A268" i="18"/>
  <c r="L267" i="18"/>
  <c r="X267" i="18"/>
  <c r="AB267" i="18"/>
  <c r="K267" i="18"/>
  <c r="X270" i="15"/>
  <c r="K270" i="15"/>
  <c r="L270" i="15"/>
  <c r="D270" i="15" s="1"/>
  <c r="AB270" i="15"/>
  <c r="A271" i="15"/>
  <c r="K266" i="20"/>
  <c r="X266" i="20"/>
  <c r="L266" i="20"/>
  <c r="A267" i="20"/>
  <c r="AB266" i="20"/>
  <c r="AB262" i="25"/>
  <c r="K262" i="25"/>
  <c r="L262" i="25"/>
  <c r="A263" i="25"/>
  <c r="X262" i="25"/>
  <c r="A264" i="24"/>
  <c r="K263" i="24"/>
  <c r="AB263" i="24"/>
  <c r="X263" i="24"/>
  <c r="L263" i="24"/>
  <c r="AB271" i="15"/>
  <c r="A272" i="15"/>
  <c r="K271" i="15"/>
  <c r="X271" i="15"/>
  <c r="L271" i="15"/>
  <c r="X268" i="18"/>
  <c r="AB268" i="18"/>
  <c r="A269" i="18"/>
  <c r="K268" i="18"/>
  <c r="L268" i="18"/>
  <c r="X269" i="17"/>
  <c r="A270" i="17"/>
  <c r="L269" i="17"/>
  <c r="D269" i="17" s="1"/>
  <c r="K269" i="17"/>
  <c r="AB269" i="17"/>
  <c r="AB266" i="22"/>
  <c r="K266" i="22"/>
  <c r="L266" i="22"/>
  <c r="X266" i="22"/>
  <c r="A267" i="22"/>
  <c r="AB265" i="23"/>
  <c r="K265" i="23"/>
  <c r="L265" i="23"/>
  <c r="X265" i="23"/>
  <c r="A266" i="23"/>
  <c r="I269" i="1"/>
  <c r="K264" i="24"/>
  <c r="AB264" i="24"/>
  <c r="A265" i="24"/>
  <c r="X264" i="24"/>
  <c r="L264" i="24"/>
  <c r="X263" i="25"/>
  <c r="A264" i="25"/>
  <c r="L263" i="25"/>
  <c r="AB263" i="25"/>
  <c r="K263" i="25"/>
  <c r="X267" i="20"/>
  <c r="K267" i="20"/>
  <c r="L267" i="20"/>
  <c r="A268" i="20"/>
  <c r="AB267" i="20"/>
  <c r="K270" i="16"/>
  <c r="X270" i="16"/>
  <c r="A271" i="16"/>
  <c r="L270" i="16"/>
  <c r="D270" i="16" s="1"/>
  <c r="AB270" i="16"/>
  <c r="L273" i="1"/>
  <c r="AB273" i="1"/>
  <c r="K273" i="1"/>
  <c r="AK273" i="1"/>
  <c r="A274" i="1"/>
  <c r="AJ273" i="1"/>
  <c r="X273" i="1"/>
  <c r="I270" i="1"/>
  <c r="X269" i="18"/>
  <c r="K269" i="18"/>
  <c r="A270" i="18"/>
  <c r="AB269" i="18"/>
  <c r="L269" i="18"/>
  <c r="X274" i="1"/>
  <c r="AB274" i="1"/>
  <c r="A275" i="1"/>
  <c r="L274" i="1"/>
  <c r="AK274" i="1"/>
  <c r="AJ274" i="1"/>
  <c r="K274" i="1"/>
  <c r="A269" i="20"/>
  <c r="AB268" i="20"/>
  <c r="K268" i="20"/>
  <c r="L268" i="20"/>
  <c r="X268" i="20"/>
  <c r="A268" i="22"/>
  <c r="AB267" i="22"/>
  <c r="X267" i="22"/>
  <c r="K267" i="22"/>
  <c r="L267" i="22"/>
  <c r="A272" i="16"/>
  <c r="X271" i="16"/>
  <c r="L271" i="16"/>
  <c r="K271" i="16"/>
  <c r="AB271" i="16"/>
  <c r="AB264" i="25"/>
  <c r="A265" i="25"/>
  <c r="L264" i="25"/>
  <c r="K264" i="25"/>
  <c r="X264" i="25"/>
  <c r="K265" i="24"/>
  <c r="A266" i="24"/>
  <c r="L265" i="24"/>
  <c r="X265" i="24"/>
  <c r="AB265" i="24"/>
  <c r="K266" i="23"/>
  <c r="L266" i="23"/>
  <c r="AB266" i="23"/>
  <c r="A267" i="23"/>
  <c r="X266" i="23"/>
  <c r="K270" i="17"/>
  <c r="A271" i="17"/>
  <c r="L270" i="17"/>
  <c r="D270" i="17" s="1"/>
  <c r="X270" i="17"/>
  <c r="AB270" i="17"/>
  <c r="D271" i="15"/>
  <c r="X272" i="15"/>
  <c r="A273" i="15"/>
  <c r="K272" i="15"/>
  <c r="L272" i="15"/>
  <c r="B40" i="7" s="1"/>
  <c r="A40" i="7"/>
  <c r="AB272" i="15"/>
  <c r="AB268" i="22"/>
  <c r="X268" i="22"/>
  <c r="L268" i="22"/>
  <c r="K268" i="22"/>
  <c r="A269" i="22"/>
  <c r="K269" i="20"/>
  <c r="AB269" i="20"/>
  <c r="A270" i="20"/>
  <c r="L269" i="20"/>
  <c r="X269" i="20"/>
  <c r="AJ275" i="1"/>
  <c r="AB275" i="1"/>
  <c r="L275" i="1"/>
  <c r="A276" i="1"/>
  <c r="AK275" i="1"/>
  <c r="X275" i="1"/>
  <c r="K275" i="1"/>
  <c r="AB270" i="18"/>
  <c r="K270" i="18"/>
  <c r="L270" i="18"/>
  <c r="X270" i="18"/>
  <c r="A271" i="18"/>
  <c r="I271" i="1"/>
  <c r="A272" i="17"/>
  <c r="L271" i="17"/>
  <c r="D271" i="17" s="1"/>
  <c r="K271" i="17"/>
  <c r="AB271" i="17"/>
  <c r="X271" i="17"/>
  <c r="AB266" i="24"/>
  <c r="L266" i="24"/>
  <c r="X266" i="24"/>
  <c r="A267" i="24"/>
  <c r="K266" i="24"/>
  <c r="D271" i="16"/>
  <c r="A273" i="16"/>
  <c r="AB272" i="16"/>
  <c r="K272" i="16"/>
  <c r="L272" i="16"/>
  <c r="D272" i="16" s="1"/>
  <c r="X272" i="16"/>
  <c r="A52" i="7"/>
  <c r="X273" i="15"/>
  <c r="A274" i="15"/>
  <c r="K273" i="15"/>
  <c r="AB273" i="15"/>
  <c r="L273" i="15"/>
  <c r="D273" i="15" s="1"/>
  <c r="X267" i="23"/>
  <c r="A268" i="23"/>
  <c r="L267" i="23"/>
  <c r="AB267" i="23"/>
  <c r="K267" i="23"/>
  <c r="K265" i="25"/>
  <c r="A266" i="25"/>
  <c r="X265" i="25"/>
  <c r="L265" i="25"/>
  <c r="AB265" i="25"/>
  <c r="I272" i="1"/>
  <c r="X268" i="23"/>
  <c r="A269" i="23"/>
  <c r="K268" i="23"/>
  <c r="L268" i="23"/>
  <c r="AB268" i="23"/>
  <c r="X273" i="16"/>
  <c r="A274" i="16"/>
  <c r="L273" i="16"/>
  <c r="D273" i="16" s="1"/>
  <c r="K273" i="16"/>
  <c r="AB273" i="16"/>
  <c r="A268" i="24"/>
  <c r="L267" i="24"/>
  <c r="X267" i="24"/>
  <c r="AB267" i="24"/>
  <c r="K267" i="24"/>
  <c r="K272" i="17"/>
  <c r="A273" i="17"/>
  <c r="L272" i="17"/>
  <c r="AB272" i="17"/>
  <c r="A64" i="7"/>
  <c r="X272" i="17"/>
  <c r="AJ276" i="1"/>
  <c r="L276" i="1"/>
  <c r="K276" i="1"/>
  <c r="AB276" i="1"/>
  <c r="AK276" i="1"/>
  <c r="A277" i="1"/>
  <c r="X276" i="1"/>
  <c r="X270" i="20"/>
  <c r="A271" i="20"/>
  <c r="L270" i="20"/>
  <c r="K270" i="20"/>
  <c r="AB270" i="20"/>
  <c r="X266" i="25"/>
  <c r="K266" i="25"/>
  <c r="AB266" i="25"/>
  <c r="L266" i="25"/>
  <c r="A267" i="25"/>
  <c r="K274" i="15"/>
  <c r="X274" i="15"/>
  <c r="L274" i="15"/>
  <c r="D274" i="15" s="1"/>
  <c r="AB274" i="15"/>
  <c r="A275" i="15"/>
  <c r="X271" i="18"/>
  <c r="L271" i="18"/>
  <c r="K271" i="18"/>
  <c r="A272" i="18"/>
  <c r="AB271" i="18"/>
  <c r="X269" i="22"/>
  <c r="K269" i="22"/>
  <c r="A270" i="22"/>
  <c r="AB269" i="22"/>
  <c r="L269" i="22"/>
  <c r="K271" i="20"/>
  <c r="A272" i="20"/>
  <c r="L271" i="20"/>
  <c r="X271" i="20"/>
  <c r="AB271" i="20"/>
  <c r="AJ277" i="1"/>
  <c r="AB277" i="1"/>
  <c r="AK277" i="1"/>
  <c r="Q277" i="1"/>
  <c r="A278" i="1"/>
  <c r="K277" i="1"/>
  <c r="X277" i="1"/>
  <c r="L277" i="1"/>
  <c r="X274" i="16"/>
  <c r="AB274" i="16"/>
  <c r="L274" i="16"/>
  <c r="D274" i="16" s="1"/>
  <c r="A275" i="16"/>
  <c r="K274" i="16"/>
  <c r="I273" i="1"/>
  <c r="AB270" i="22"/>
  <c r="K270" i="22"/>
  <c r="L270" i="22"/>
  <c r="X270" i="22"/>
  <c r="A271" i="22"/>
  <c r="A76" i="7"/>
  <c r="A273" i="18"/>
  <c r="X272" i="18"/>
  <c r="L272" i="18"/>
  <c r="B76" i="7" s="1"/>
  <c r="AB272" i="18"/>
  <c r="K272" i="18"/>
  <c r="A276" i="15"/>
  <c r="K275" i="15"/>
  <c r="L275" i="15"/>
  <c r="D275" i="15" s="1"/>
  <c r="AB275" i="15"/>
  <c r="X275" i="15"/>
  <c r="AB267" i="25"/>
  <c r="A268" i="25"/>
  <c r="L267" i="25"/>
  <c r="X267" i="25"/>
  <c r="K267" i="25"/>
  <c r="K273" i="17"/>
  <c r="L273" i="17"/>
  <c r="D273" i="17" s="1"/>
  <c r="AB273" i="17"/>
  <c r="A274" i="17"/>
  <c r="X273" i="17"/>
  <c r="A269" i="24"/>
  <c r="K268" i="24"/>
  <c r="L268" i="24"/>
  <c r="X268" i="24"/>
  <c r="AB268" i="24"/>
  <c r="K269" i="23"/>
  <c r="L269" i="23"/>
  <c r="A270" i="23"/>
  <c r="AB269" i="23"/>
  <c r="X269" i="23"/>
  <c r="X270" i="23"/>
  <c r="L270" i="23"/>
  <c r="A271" i="23"/>
  <c r="AB270" i="23"/>
  <c r="K270" i="23"/>
  <c r="K269" i="24"/>
  <c r="L269" i="24"/>
  <c r="A270" i="24"/>
  <c r="X269" i="24"/>
  <c r="AB269" i="24"/>
  <c r="X274" i="17"/>
  <c r="A275" i="17"/>
  <c r="K274" i="17"/>
  <c r="L274" i="17"/>
  <c r="D274" i="17" s="1"/>
  <c r="AB274" i="17"/>
  <c r="I275" i="1"/>
  <c r="L276" i="15"/>
  <c r="D276" i="15" s="1"/>
  <c r="X276" i="15"/>
  <c r="AB276" i="15"/>
  <c r="A277" i="15"/>
  <c r="K276" i="15"/>
  <c r="A274" i="18"/>
  <c r="L273" i="18"/>
  <c r="X273" i="18"/>
  <c r="AB273" i="18"/>
  <c r="K273" i="18"/>
  <c r="X275" i="16"/>
  <c r="A276" i="16"/>
  <c r="K275" i="16"/>
  <c r="L275" i="16"/>
  <c r="D275" i="16" s="1"/>
  <c r="AB275" i="16"/>
  <c r="X272" i="20"/>
  <c r="K272" i="20"/>
  <c r="L272" i="20"/>
  <c r="AF28" i="7" s="1"/>
  <c r="AB272" i="20"/>
  <c r="A273" i="20"/>
  <c r="AE28" i="7"/>
  <c r="I274" i="1"/>
  <c r="K268" i="25"/>
  <c r="L268" i="25"/>
  <c r="A269" i="25"/>
  <c r="X268" i="25"/>
  <c r="AB268" i="25"/>
  <c r="A272" i="22"/>
  <c r="K271" i="22"/>
  <c r="X271" i="22"/>
  <c r="AB271" i="22"/>
  <c r="L271" i="22"/>
  <c r="K278" i="1"/>
  <c r="AK278" i="1"/>
  <c r="Q278" i="1"/>
  <c r="AJ278" i="1"/>
  <c r="L278" i="1"/>
  <c r="A279" i="1"/>
  <c r="AB278" i="1"/>
  <c r="X278" i="1"/>
  <c r="A280" i="1"/>
  <c r="AJ279" i="1"/>
  <c r="L279" i="1"/>
  <c r="X279" i="1"/>
  <c r="AB279" i="1"/>
  <c r="AK279" i="1"/>
  <c r="K279" i="1"/>
  <c r="K273" i="20"/>
  <c r="X273" i="20"/>
  <c r="L273" i="20"/>
  <c r="A274" i="20"/>
  <c r="AB273" i="20"/>
  <c r="AB274" i="18"/>
  <c r="X274" i="18"/>
  <c r="L274" i="18"/>
  <c r="K274" i="18"/>
  <c r="A275" i="18"/>
  <c r="X277" i="15"/>
  <c r="L277" i="15"/>
  <c r="D277" i="15" s="1"/>
  <c r="A278" i="15"/>
  <c r="K277" i="15"/>
  <c r="AB277" i="15"/>
  <c r="X275" i="17"/>
  <c r="A276" i="17"/>
  <c r="L275" i="17"/>
  <c r="D275" i="17" s="1"/>
  <c r="AB275" i="17"/>
  <c r="K275" i="17"/>
  <c r="X270" i="24"/>
  <c r="AB270" i="24"/>
  <c r="K270" i="24"/>
  <c r="L270" i="24"/>
  <c r="A271" i="24"/>
  <c r="AB271" i="23"/>
  <c r="A272" i="23"/>
  <c r="L271" i="23"/>
  <c r="K271" i="23"/>
  <c r="X271" i="23"/>
  <c r="K272" i="22"/>
  <c r="L272" i="22"/>
  <c r="AF40" i="7" s="1"/>
  <c r="AE40" i="7"/>
  <c r="A273" i="22"/>
  <c r="X272" i="22"/>
  <c r="AB272" i="22"/>
  <c r="AB269" i="25"/>
  <c r="K269" i="25"/>
  <c r="L269" i="25"/>
  <c r="X269" i="25"/>
  <c r="A270" i="25"/>
  <c r="X276" i="16"/>
  <c r="AB276" i="16"/>
  <c r="L276" i="16"/>
  <c r="D276" i="16" s="1"/>
  <c r="K276" i="16"/>
  <c r="A277" i="16"/>
  <c r="X270" i="25"/>
  <c r="AB270" i="25"/>
  <c r="K270" i="25"/>
  <c r="A271" i="25"/>
  <c r="L270" i="25"/>
  <c r="X274" i="20"/>
  <c r="L274" i="20"/>
  <c r="K274" i="20"/>
  <c r="AB274" i="20"/>
  <c r="A275" i="20"/>
  <c r="I276" i="1"/>
  <c r="K272" i="23"/>
  <c r="X272" i="23"/>
  <c r="AB272" i="23"/>
  <c r="AE52" i="7"/>
  <c r="L272" i="23"/>
  <c r="AF52" i="7" s="1"/>
  <c r="A273" i="23"/>
  <c r="K276" i="17"/>
  <c r="AB276" i="17"/>
  <c r="A277" i="17"/>
  <c r="X276" i="17"/>
  <c r="L276" i="17"/>
  <c r="D276" i="17" s="1"/>
  <c r="L277" i="16"/>
  <c r="A278" i="16"/>
  <c r="AB277" i="16"/>
  <c r="K277" i="16"/>
  <c r="X277" i="16"/>
  <c r="AB273" i="22"/>
  <c r="L273" i="22"/>
  <c r="A274" i="22"/>
  <c r="X273" i="22"/>
  <c r="K273" i="22"/>
  <c r="A272" i="24"/>
  <c r="K271" i="24"/>
  <c r="X271" i="24"/>
  <c r="L271" i="24"/>
  <c r="AB271" i="24"/>
  <c r="K278" i="15"/>
  <c r="A279" i="15"/>
  <c r="L278" i="15"/>
  <c r="D278" i="15" s="1"/>
  <c r="X278" i="15"/>
  <c r="AB278" i="15"/>
  <c r="A276" i="18"/>
  <c r="L275" i="18"/>
  <c r="X275" i="18"/>
  <c r="K275" i="18"/>
  <c r="AB275" i="18"/>
  <c r="AJ280" i="1"/>
  <c r="K280" i="1"/>
  <c r="AB280" i="1"/>
  <c r="A281" i="1"/>
  <c r="X280" i="1"/>
  <c r="L280" i="1"/>
  <c r="AK280" i="1"/>
  <c r="X278" i="16"/>
  <c r="K278" i="16"/>
  <c r="AB278" i="16"/>
  <c r="A279" i="16"/>
  <c r="L278" i="16"/>
  <c r="K277" i="17"/>
  <c r="X277" i="17"/>
  <c r="L277" i="17"/>
  <c r="D277" i="17" s="1"/>
  <c r="A278" i="17"/>
  <c r="AB277" i="17"/>
  <c r="X281" i="1"/>
  <c r="K281" i="1"/>
  <c r="A282" i="1"/>
  <c r="AK281" i="1"/>
  <c r="AJ281" i="1"/>
  <c r="AB281" i="1"/>
  <c r="L281" i="1"/>
  <c r="X276" i="18"/>
  <c r="L276" i="18"/>
  <c r="AB276" i="18"/>
  <c r="A277" i="18"/>
  <c r="K276" i="18"/>
  <c r="X279" i="15"/>
  <c r="K279" i="15"/>
  <c r="L279" i="15"/>
  <c r="D279" i="15" s="1"/>
  <c r="A280" i="15"/>
  <c r="AB279" i="15"/>
  <c r="AB273" i="23"/>
  <c r="X273" i="23"/>
  <c r="L273" i="23"/>
  <c r="A274" i="23"/>
  <c r="K273" i="23"/>
  <c r="I277" i="1"/>
  <c r="K272" i="24"/>
  <c r="A273" i="24"/>
  <c r="L272" i="24"/>
  <c r="AF64" i="7" s="1"/>
  <c r="X272" i="24"/>
  <c r="AB272" i="24"/>
  <c r="AE64" i="7"/>
  <c r="X274" i="22"/>
  <c r="AB274" i="22"/>
  <c r="L274" i="22"/>
  <c r="A275" i="22"/>
  <c r="K274" i="22"/>
  <c r="D277" i="16"/>
  <c r="K275" i="20"/>
  <c r="A276" i="20"/>
  <c r="AB275" i="20"/>
  <c r="L275" i="20"/>
  <c r="X275" i="20"/>
  <c r="X271" i="25"/>
  <c r="A272" i="25"/>
  <c r="K271" i="25"/>
  <c r="AB271" i="25"/>
  <c r="L271" i="25"/>
  <c r="AB272" i="25"/>
  <c r="L272" i="25"/>
  <c r="AF76" i="7" s="1"/>
  <c r="AE76" i="7"/>
  <c r="A273" i="25"/>
  <c r="X272" i="25"/>
  <c r="K272" i="25"/>
  <c r="K275" i="22"/>
  <c r="X275" i="22"/>
  <c r="L275" i="22"/>
  <c r="AB275" i="22"/>
  <c r="A276" i="22"/>
  <c r="L282" i="1"/>
  <c r="AK282" i="1"/>
  <c r="A283" i="1"/>
  <c r="X282" i="1"/>
  <c r="AJ282" i="1"/>
  <c r="AB282" i="1"/>
  <c r="K282" i="1"/>
  <c r="X278" i="17"/>
  <c r="L278" i="17"/>
  <c r="D278" i="17" s="1"/>
  <c r="AB278" i="17"/>
  <c r="A279" i="17"/>
  <c r="K278" i="17"/>
  <c r="D278" i="16"/>
  <c r="AB279" i="16"/>
  <c r="A280" i="16"/>
  <c r="X279" i="16"/>
  <c r="L279" i="16"/>
  <c r="D279" i="16" s="1"/>
  <c r="K279" i="16"/>
  <c r="I278" i="1"/>
  <c r="AB276" i="20"/>
  <c r="X276" i="20"/>
  <c r="K276" i="20"/>
  <c r="L276" i="20"/>
  <c r="A277" i="20"/>
  <c r="AB273" i="24"/>
  <c r="X273" i="24"/>
  <c r="K273" i="24"/>
  <c r="A274" i="24"/>
  <c r="L273" i="24"/>
  <c r="A275" i="23"/>
  <c r="L274" i="23"/>
  <c r="X274" i="23"/>
  <c r="AB274" i="23"/>
  <c r="K274" i="23"/>
  <c r="X280" i="15"/>
  <c r="AB280" i="15"/>
  <c r="K280" i="15"/>
  <c r="A281" i="15"/>
  <c r="L280" i="15"/>
  <c r="AB277" i="18"/>
  <c r="K277" i="18"/>
  <c r="X277" i="18"/>
  <c r="L277" i="18"/>
  <c r="A278" i="18"/>
  <c r="I280" i="1"/>
  <c r="I279" i="1"/>
  <c r="K280" i="16"/>
  <c r="AB280" i="16"/>
  <c r="A281" i="16"/>
  <c r="L280" i="16"/>
  <c r="X280" i="16"/>
  <c r="A279" i="18"/>
  <c r="X278" i="18"/>
  <c r="K278" i="18"/>
  <c r="AB278" i="18"/>
  <c r="L278" i="18"/>
  <c r="K281" i="15"/>
  <c r="L281" i="15"/>
  <c r="X281" i="15"/>
  <c r="A282" i="15"/>
  <c r="AB281" i="15"/>
  <c r="AB275" i="23"/>
  <c r="L275" i="23"/>
  <c r="X275" i="23"/>
  <c r="K275" i="23"/>
  <c r="A276" i="23"/>
  <c r="K277" i="20"/>
  <c r="L277" i="20"/>
  <c r="A278" i="20"/>
  <c r="X277" i="20"/>
  <c r="AB277" i="20"/>
  <c r="AB283" i="1"/>
  <c r="A284" i="1"/>
  <c r="X283" i="1"/>
  <c r="L283" i="1"/>
  <c r="K283" i="1"/>
  <c r="AK283" i="1"/>
  <c r="AJ283" i="1"/>
  <c r="AB276" i="22"/>
  <c r="K276" i="22"/>
  <c r="A277" i="22"/>
  <c r="L276" i="22"/>
  <c r="X276" i="22"/>
  <c r="A274" i="25"/>
  <c r="L273" i="25"/>
  <c r="K273" i="25"/>
  <c r="X273" i="25"/>
  <c r="AB273" i="25"/>
  <c r="D280" i="15"/>
  <c r="X274" i="24"/>
  <c r="AB274" i="24"/>
  <c r="K274" i="24"/>
  <c r="L274" i="24"/>
  <c r="A275" i="24"/>
  <c r="K279" i="17"/>
  <c r="X279" i="17"/>
  <c r="A280" i="17"/>
  <c r="L279" i="17"/>
  <c r="D279" i="17" s="1"/>
  <c r="AB279" i="17"/>
  <c r="X280" i="17"/>
  <c r="L280" i="17"/>
  <c r="D280" i="17" s="1"/>
  <c r="AB280" i="17"/>
  <c r="K280" i="17"/>
  <c r="A281" i="17"/>
  <c r="X275" i="24"/>
  <c r="L275" i="24"/>
  <c r="A276" i="24"/>
  <c r="K275" i="24"/>
  <c r="AB275" i="24"/>
  <c r="X277" i="22"/>
  <c r="AB277" i="22"/>
  <c r="K277" i="22"/>
  <c r="L277" i="22"/>
  <c r="A278" i="22"/>
  <c r="D281" i="15"/>
  <c r="K279" i="18"/>
  <c r="AB279" i="18"/>
  <c r="A280" i="18"/>
  <c r="X279" i="18"/>
  <c r="L279" i="18"/>
  <c r="D280" i="16"/>
  <c r="X281" i="16"/>
  <c r="K281" i="16"/>
  <c r="L281" i="16"/>
  <c r="A282" i="16"/>
  <c r="AB281" i="16"/>
  <c r="A275" i="25"/>
  <c r="X274" i="25"/>
  <c r="K274" i="25"/>
  <c r="AB274" i="25"/>
  <c r="L274" i="25"/>
  <c r="K284" i="1"/>
  <c r="AJ284" i="1"/>
  <c r="A285" i="1"/>
  <c r="AB284" i="1"/>
  <c r="X284" i="1"/>
  <c r="AK284" i="1"/>
  <c r="L284" i="1"/>
  <c r="AB278" i="20"/>
  <c r="L278" i="20"/>
  <c r="A279" i="20"/>
  <c r="K278" i="20"/>
  <c r="X278" i="20"/>
  <c r="K276" i="23"/>
  <c r="X276" i="23"/>
  <c r="A277" i="23"/>
  <c r="AB276" i="23"/>
  <c r="L276" i="23"/>
  <c r="K282" i="15"/>
  <c r="X282" i="15"/>
  <c r="L282" i="15"/>
  <c r="A283" i="15"/>
  <c r="AB282" i="15"/>
  <c r="I281" i="1"/>
  <c r="D282" i="15"/>
  <c r="AB275" i="25"/>
  <c r="X275" i="25"/>
  <c r="K275" i="25"/>
  <c r="L275" i="25"/>
  <c r="A276" i="25"/>
  <c r="AB276" i="24"/>
  <c r="X276" i="24"/>
  <c r="L276" i="24"/>
  <c r="A277" i="24"/>
  <c r="K276" i="24"/>
  <c r="K281" i="17"/>
  <c r="AB281" i="17"/>
  <c r="X281" i="17"/>
  <c r="L281" i="17"/>
  <c r="D281" i="17" s="1"/>
  <c r="A282" i="17"/>
  <c r="X283" i="15"/>
  <c r="K283" i="15"/>
  <c r="L283" i="15"/>
  <c r="A284" i="15"/>
  <c r="AB283" i="15"/>
  <c r="X277" i="23"/>
  <c r="AB277" i="23"/>
  <c r="L277" i="23"/>
  <c r="K277" i="23"/>
  <c r="A278" i="23"/>
  <c r="A280" i="20"/>
  <c r="K279" i="20"/>
  <c r="X279" i="20"/>
  <c r="L279" i="20"/>
  <c r="AB279" i="20"/>
  <c r="K285" i="1"/>
  <c r="A286" i="1"/>
  <c r="AB285" i="1"/>
  <c r="L285" i="1"/>
  <c r="AK285" i="1"/>
  <c r="X285" i="1"/>
  <c r="AJ285" i="1"/>
  <c r="K282" i="16"/>
  <c r="AB282" i="16"/>
  <c r="L282" i="16"/>
  <c r="D282" i="16" s="1"/>
  <c r="X282" i="16"/>
  <c r="A283" i="16"/>
  <c r="D281" i="16"/>
  <c r="A281" i="18"/>
  <c r="K280" i="18"/>
  <c r="X280" i="18"/>
  <c r="L280" i="18"/>
  <c r="AB280" i="18"/>
  <c r="AB278" i="22"/>
  <c r="A279" i="22"/>
  <c r="K278" i="22"/>
  <c r="X278" i="22"/>
  <c r="L278" i="22"/>
  <c r="A280" i="22"/>
  <c r="X279" i="22"/>
  <c r="L279" i="22"/>
  <c r="AB279" i="22"/>
  <c r="K279" i="22"/>
  <c r="A282" i="18"/>
  <c r="L281" i="18"/>
  <c r="X281" i="18"/>
  <c r="AB281" i="18"/>
  <c r="K281" i="18"/>
  <c r="L283" i="16"/>
  <c r="AB283" i="16"/>
  <c r="A284" i="16"/>
  <c r="X283" i="16"/>
  <c r="K283" i="16"/>
  <c r="AJ286" i="1"/>
  <c r="L286" i="1"/>
  <c r="AB286" i="1"/>
  <c r="K286" i="1"/>
  <c r="X286" i="1"/>
  <c r="AK286" i="1"/>
  <c r="A287" i="1"/>
  <c r="AB280" i="20"/>
  <c r="K280" i="20"/>
  <c r="A281" i="20"/>
  <c r="L280" i="20"/>
  <c r="X280" i="20"/>
  <c r="K278" i="23"/>
  <c r="L278" i="23"/>
  <c r="A279" i="23"/>
  <c r="X278" i="23"/>
  <c r="AB278" i="23"/>
  <c r="AB282" i="17"/>
  <c r="X282" i="17"/>
  <c r="L282" i="17"/>
  <c r="D282" i="17" s="1"/>
  <c r="A283" i="17"/>
  <c r="K282" i="17"/>
  <c r="I282" i="1"/>
  <c r="K284" i="15"/>
  <c r="A285" i="15"/>
  <c r="L284" i="15"/>
  <c r="D284" i="15" s="1"/>
  <c r="X284" i="15"/>
  <c r="AB284" i="15"/>
  <c r="X277" i="24"/>
  <c r="K277" i="24"/>
  <c r="AB277" i="24"/>
  <c r="L277" i="24"/>
  <c r="A278" i="24"/>
  <c r="K276" i="25"/>
  <c r="L276" i="25"/>
  <c r="X276" i="25"/>
  <c r="A277" i="25"/>
  <c r="AB276" i="25"/>
  <c r="I284" i="1"/>
  <c r="AB278" i="24"/>
  <c r="X278" i="24"/>
  <c r="K278" i="24"/>
  <c r="L278" i="24"/>
  <c r="A279" i="24"/>
  <c r="L285" i="15"/>
  <c r="K285" i="15"/>
  <c r="AB285" i="15"/>
  <c r="X285" i="15"/>
  <c r="A286" i="15"/>
  <c r="K279" i="23"/>
  <c r="L279" i="23"/>
  <c r="A280" i="23"/>
  <c r="X279" i="23"/>
  <c r="AB279" i="23"/>
  <c r="AB281" i="20"/>
  <c r="L281" i="20"/>
  <c r="K281" i="20"/>
  <c r="A282" i="20"/>
  <c r="X281" i="20"/>
  <c r="AB287" i="1"/>
  <c r="K287" i="1"/>
  <c r="AK287" i="1"/>
  <c r="L287" i="1"/>
  <c r="X287" i="1"/>
  <c r="A288" i="1"/>
  <c r="AJ287" i="1"/>
  <c r="I283" i="1"/>
  <c r="L282" i="18"/>
  <c r="X282" i="18"/>
  <c r="A283" i="18"/>
  <c r="AB282" i="18"/>
  <c r="K282" i="18"/>
  <c r="A278" i="25"/>
  <c r="X277" i="25"/>
  <c r="K277" i="25"/>
  <c r="AB277" i="25"/>
  <c r="L277" i="25"/>
  <c r="K283" i="17"/>
  <c r="X283" i="17"/>
  <c r="L283" i="17"/>
  <c r="D283" i="17" s="1"/>
  <c r="A284" i="17"/>
  <c r="AB283" i="17"/>
  <c r="K284" i="16"/>
  <c r="X284" i="16"/>
  <c r="A285" i="16"/>
  <c r="AB284" i="16"/>
  <c r="L284" i="16"/>
  <c r="D283" i="16"/>
  <c r="X280" i="22"/>
  <c r="AB280" i="22"/>
  <c r="L280" i="22"/>
  <c r="A281" i="22"/>
  <c r="K280" i="22"/>
  <c r="I285" i="1"/>
  <c r="AB281" i="22"/>
  <c r="K281" i="22"/>
  <c r="L281" i="22"/>
  <c r="A282" i="22"/>
  <c r="X281" i="22"/>
  <c r="X285" i="16"/>
  <c r="A286" i="16"/>
  <c r="L285" i="16"/>
  <c r="D285" i="16" s="1"/>
  <c r="AB285" i="16"/>
  <c r="K285" i="16"/>
  <c r="AB283" i="18"/>
  <c r="L283" i="18"/>
  <c r="K283" i="18"/>
  <c r="X283" i="18"/>
  <c r="A284" i="18"/>
  <c r="AK288" i="1"/>
  <c r="AB288" i="1"/>
  <c r="A289" i="1"/>
  <c r="K288" i="1"/>
  <c r="AJ288" i="1"/>
  <c r="L288" i="1"/>
  <c r="X288" i="1"/>
  <c r="AB282" i="20"/>
  <c r="A283" i="20"/>
  <c r="L282" i="20"/>
  <c r="X282" i="20"/>
  <c r="K282" i="20"/>
  <c r="D285" i="15"/>
  <c r="D284" i="16"/>
  <c r="AB284" i="17"/>
  <c r="X284" i="17"/>
  <c r="K284" i="17"/>
  <c r="L284" i="17"/>
  <c r="D284" i="17" s="1"/>
  <c r="A285" i="17"/>
  <c r="A279" i="25"/>
  <c r="X278" i="25"/>
  <c r="K278" i="25"/>
  <c r="AB278" i="25"/>
  <c r="L278" i="25"/>
  <c r="K280" i="23"/>
  <c r="AB280" i="23"/>
  <c r="X280" i="23"/>
  <c r="A281" i="23"/>
  <c r="L280" i="23"/>
  <c r="L286" i="15"/>
  <c r="AB286" i="15"/>
  <c r="A287" i="15"/>
  <c r="X286" i="15"/>
  <c r="K286" i="15"/>
  <c r="X279" i="24"/>
  <c r="K279" i="24"/>
  <c r="L279" i="24"/>
  <c r="AB279" i="24"/>
  <c r="A280" i="24"/>
  <c r="A281" i="24"/>
  <c r="K280" i="24"/>
  <c r="AB280" i="24"/>
  <c r="L280" i="24"/>
  <c r="X280" i="24"/>
  <c r="L285" i="17"/>
  <c r="D285" i="17" s="1"/>
  <c r="AB285" i="17"/>
  <c r="X285" i="17"/>
  <c r="K285" i="17"/>
  <c r="A286" i="17"/>
  <c r="D288" i="1"/>
  <c r="X286" i="16"/>
  <c r="AB286" i="16"/>
  <c r="K286" i="16"/>
  <c r="L286" i="16"/>
  <c r="D286" i="16" s="1"/>
  <c r="A287" i="16"/>
  <c r="X287" i="15"/>
  <c r="A288" i="15"/>
  <c r="L287" i="15"/>
  <c r="D287" i="15" s="1"/>
  <c r="AB287" i="15"/>
  <c r="K287" i="15"/>
  <c r="D286" i="15"/>
  <c r="AB281" i="23"/>
  <c r="L281" i="23"/>
  <c r="K281" i="23"/>
  <c r="A282" i="23"/>
  <c r="X281" i="23"/>
  <c r="K279" i="25"/>
  <c r="AB279" i="25"/>
  <c r="X279" i="25"/>
  <c r="L279" i="25"/>
  <c r="A280" i="25"/>
  <c r="K283" i="20"/>
  <c r="X283" i="20"/>
  <c r="L283" i="20"/>
  <c r="AB283" i="20"/>
  <c r="A284" i="20"/>
  <c r="Q289" i="1"/>
  <c r="A290" i="1"/>
  <c r="L289" i="1"/>
  <c r="AB289" i="1"/>
  <c r="X289" i="1"/>
  <c r="AK289" i="1"/>
  <c r="K289" i="1"/>
  <c r="AJ289" i="1"/>
  <c r="X284" i="18"/>
  <c r="L284" i="18"/>
  <c r="K284" i="18"/>
  <c r="A285" i="18"/>
  <c r="AB284" i="18"/>
  <c r="L282" i="22"/>
  <c r="K282" i="22"/>
  <c r="A283" i="22"/>
  <c r="X282" i="22"/>
  <c r="AB282" i="22"/>
  <c r="AB283" i="22"/>
  <c r="L283" i="22"/>
  <c r="K283" i="22"/>
  <c r="X283" i="22"/>
  <c r="A284" i="22"/>
  <c r="L285" i="18"/>
  <c r="X285" i="18"/>
  <c r="K285" i="18"/>
  <c r="AB285" i="18"/>
  <c r="A286" i="18"/>
  <c r="AK290" i="1"/>
  <c r="X290" i="1"/>
  <c r="L290" i="1"/>
  <c r="D290" i="1" s="1"/>
  <c r="AJ290" i="1"/>
  <c r="K290" i="1"/>
  <c r="A291" i="1"/>
  <c r="AB290" i="1"/>
  <c r="X284" i="20"/>
  <c r="AB284" i="20"/>
  <c r="A285" i="20"/>
  <c r="L284" i="20"/>
  <c r="K284" i="20"/>
  <c r="AB280" i="25"/>
  <c r="K280" i="25"/>
  <c r="L280" i="25"/>
  <c r="X280" i="25"/>
  <c r="A281" i="25"/>
  <c r="AB288" i="15"/>
  <c r="X288" i="15"/>
  <c r="L288" i="15"/>
  <c r="D288" i="15" s="1"/>
  <c r="A289" i="15"/>
  <c r="K288" i="15"/>
  <c r="L287" i="16"/>
  <c r="D287" i="16" s="1"/>
  <c r="AB287" i="16"/>
  <c r="K287" i="16"/>
  <c r="X287" i="16"/>
  <c r="A288" i="16"/>
  <c r="I286" i="1"/>
  <c r="A283" i="23"/>
  <c r="K282" i="23"/>
  <c r="X282" i="23"/>
  <c r="L282" i="23"/>
  <c r="AB282" i="23"/>
  <c r="AB286" i="17"/>
  <c r="L286" i="17"/>
  <c r="A287" i="17"/>
  <c r="X286" i="17"/>
  <c r="K286" i="17"/>
  <c r="K281" i="24"/>
  <c r="L281" i="24"/>
  <c r="AB281" i="24"/>
  <c r="X281" i="24"/>
  <c r="A282" i="24"/>
  <c r="K282" i="24"/>
  <c r="X282" i="24"/>
  <c r="L282" i="24"/>
  <c r="AB282" i="24"/>
  <c r="A283" i="24"/>
  <c r="D286" i="17"/>
  <c r="AB288" i="16"/>
  <c r="A289" i="16"/>
  <c r="X288" i="16"/>
  <c r="K288" i="16"/>
  <c r="L288" i="16"/>
  <c r="D288" i="16" s="1"/>
  <c r="AB285" i="20"/>
  <c r="A286" i="20"/>
  <c r="K285" i="20"/>
  <c r="L285" i="20"/>
  <c r="X285" i="20"/>
  <c r="L286" i="18"/>
  <c r="A287" i="18"/>
  <c r="X286" i="18"/>
  <c r="AB286" i="18"/>
  <c r="K286" i="18"/>
  <c r="I287" i="1"/>
  <c r="L287" i="17"/>
  <c r="D287" i="17" s="1"/>
  <c r="X287" i="17"/>
  <c r="A288" i="17"/>
  <c r="AB287" i="17"/>
  <c r="K287" i="17"/>
  <c r="K283" i="23"/>
  <c r="X283" i="23"/>
  <c r="L283" i="23"/>
  <c r="AB283" i="23"/>
  <c r="A284" i="23"/>
  <c r="K289" i="15"/>
  <c r="X289" i="15"/>
  <c r="AB289" i="15"/>
  <c r="L289" i="15"/>
  <c r="A290" i="15"/>
  <c r="A282" i="25"/>
  <c r="L281" i="25"/>
  <c r="X281" i="25"/>
  <c r="AB281" i="25"/>
  <c r="K281" i="25"/>
  <c r="A292" i="1"/>
  <c r="K291" i="1"/>
  <c r="AJ291" i="1"/>
  <c r="X291" i="1"/>
  <c r="AB291" i="1"/>
  <c r="L291" i="1"/>
  <c r="D291" i="1" s="1"/>
  <c r="AK291" i="1"/>
  <c r="X284" i="22"/>
  <c r="AB284" i="22"/>
  <c r="A285" i="22"/>
  <c r="L284" i="22"/>
  <c r="K284" i="22"/>
  <c r="K284" i="23"/>
  <c r="X284" i="23"/>
  <c r="AB284" i="23"/>
  <c r="A285" i="23"/>
  <c r="L284" i="23"/>
  <c r="A289" i="17"/>
  <c r="K288" i="17"/>
  <c r="X288" i="17"/>
  <c r="L288" i="17"/>
  <c r="AB288" i="17"/>
  <c r="K287" i="18"/>
  <c r="X287" i="18"/>
  <c r="A288" i="18"/>
  <c r="L287" i="18"/>
  <c r="AB287" i="18"/>
  <c r="L283" i="24"/>
  <c r="AB283" i="24"/>
  <c r="K283" i="24"/>
  <c r="A284" i="24"/>
  <c r="X283" i="24"/>
  <c r="K285" i="22"/>
  <c r="X285" i="22"/>
  <c r="A286" i="22"/>
  <c r="AB285" i="22"/>
  <c r="L285" i="22"/>
  <c r="AJ292" i="1"/>
  <c r="L292" i="1"/>
  <c r="AB292" i="1"/>
  <c r="K292" i="1"/>
  <c r="A293" i="1"/>
  <c r="AK292" i="1"/>
  <c r="X292" i="1"/>
  <c r="AB282" i="25"/>
  <c r="L282" i="25"/>
  <c r="X282" i="25"/>
  <c r="K282" i="25"/>
  <c r="A283" i="25"/>
  <c r="K290" i="15"/>
  <c r="AB290" i="15"/>
  <c r="X290" i="15"/>
  <c r="A291" i="15"/>
  <c r="L290" i="15"/>
  <c r="D290" i="15" s="1"/>
  <c r="D289" i="15"/>
  <c r="K286" i="20"/>
  <c r="A287" i="20"/>
  <c r="X286" i="20"/>
  <c r="L286" i="20"/>
  <c r="AB286" i="20"/>
  <c r="L289" i="16"/>
  <c r="D289" i="16" s="1"/>
  <c r="X289" i="16"/>
  <c r="A290" i="16"/>
  <c r="AB289" i="16"/>
  <c r="K289" i="16"/>
  <c r="K286" i="22"/>
  <c r="A287" i="22"/>
  <c r="AB286" i="22"/>
  <c r="L286" i="22"/>
  <c r="X286" i="22"/>
  <c r="X288" i="18"/>
  <c r="L288" i="18"/>
  <c r="K288" i="18"/>
  <c r="AB288" i="18"/>
  <c r="A289" i="18"/>
  <c r="X289" i="17"/>
  <c r="A290" i="17"/>
  <c r="K289" i="17"/>
  <c r="AB289" i="17"/>
  <c r="L289" i="17"/>
  <c r="D289" i="17" s="1"/>
  <c r="A286" i="23"/>
  <c r="AB285" i="23"/>
  <c r="L285" i="23"/>
  <c r="X285" i="23"/>
  <c r="K285" i="23"/>
  <c r="X290" i="16"/>
  <c r="K290" i="16"/>
  <c r="L290" i="16"/>
  <c r="D290" i="16" s="1"/>
  <c r="A291" i="16"/>
  <c r="AB290" i="16"/>
  <c r="D292" i="1"/>
  <c r="X287" i="20"/>
  <c r="L287" i="20"/>
  <c r="AB287" i="20"/>
  <c r="K287" i="20"/>
  <c r="A288" i="20"/>
  <c r="L291" i="15"/>
  <c r="D291" i="15" s="1"/>
  <c r="AB291" i="15"/>
  <c r="K291" i="15"/>
  <c r="X291" i="15"/>
  <c r="A292" i="15"/>
  <c r="X283" i="25"/>
  <c r="K283" i="25"/>
  <c r="A284" i="25"/>
  <c r="AB283" i="25"/>
  <c r="L283" i="25"/>
  <c r="AK293" i="1"/>
  <c r="AB293" i="1"/>
  <c r="L293" i="1"/>
  <c r="A294" i="1"/>
  <c r="X293" i="1"/>
  <c r="AJ293" i="1"/>
  <c r="K293" i="1"/>
  <c r="AB284" i="24"/>
  <c r="L284" i="24"/>
  <c r="A285" i="24"/>
  <c r="K284" i="24"/>
  <c r="X284" i="24"/>
  <c r="D288" i="17"/>
  <c r="X285" i="24"/>
  <c r="K285" i="24"/>
  <c r="A286" i="24"/>
  <c r="AB285" i="24"/>
  <c r="L285" i="24"/>
  <c r="AK294" i="1"/>
  <c r="AB294" i="1"/>
  <c r="A295" i="1"/>
  <c r="X294" i="1"/>
  <c r="K294" i="1"/>
  <c r="L294" i="1"/>
  <c r="D294" i="1" s="1"/>
  <c r="AJ294" i="1"/>
  <c r="AB284" i="25"/>
  <c r="X284" i="25"/>
  <c r="L284" i="25"/>
  <c r="K284" i="25"/>
  <c r="A285" i="25"/>
  <c r="X292" i="15"/>
  <c r="K292" i="15"/>
  <c r="AB292" i="15"/>
  <c r="L292" i="15"/>
  <c r="D292" i="15" s="1"/>
  <c r="A293" i="15"/>
  <c r="L291" i="16"/>
  <c r="D291" i="16" s="1"/>
  <c r="K291" i="16"/>
  <c r="A292" i="16"/>
  <c r="X291" i="16"/>
  <c r="AB291" i="16"/>
  <c r="A287" i="23"/>
  <c r="AB286" i="23"/>
  <c r="K286" i="23"/>
  <c r="L286" i="23"/>
  <c r="X286" i="23"/>
  <c r="K288" i="20"/>
  <c r="X288" i="20"/>
  <c r="L288" i="20"/>
  <c r="AB288" i="20"/>
  <c r="A289" i="20"/>
  <c r="K290" i="17"/>
  <c r="L290" i="17"/>
  <c r="AB290" i="17"/>
  <c r="A291" i="17"/>
  <c r="X290" i="17"/>
  <c r="AB289" i="18"/>
  <c r="K289" i="18"/>
  <c r="A290" i="18"/>
  <c r="X289" i="18"/>
  <c r="L289" i="18"/>
  <c r="AB287" i="22"/>
  <c r="K287" i="22"/>
  <c r="L287" i="22"/>
  <c r="X287" i="22"/>
  <c r="A288" i="22"/>
  <c r="X288" i="22"/>
  <c r="A289" i="22"/>
  <c r="AB288" i="22"/>
  <c r="L288" i="22"/>
  <c r="K288" i="22"/>
  <c r="K290" i="18"/>
  <c r="X290" i="18"/>
  <c r="AB290" i="18"/>
  <c r="L290" i="18"/>
  <c r="A291" i="18"/>
  <c r="D290" i="17"/>
  <c r="X287" i="23"/>
  <c r="L287" i="23"/>
  <c r="AB287" i="23"/>
  <c r="A288" i="23"/>
  <c r="K287" i="23"/>
  <c r="K285" i="25"/>
  <c r="X285" i="25"/>
  <c r="AB285" i="25"/>
  <c r="A286" i="25"/>
  <c r="L285" i="25"/>
  <c r="AB286" i="24"/>
  <c r="L286" i="24"/>
  <c r="A287" i="24"/>
  <c r="K286" i="24"/>
  <c r="X286" i="24"/>
  <c r="A292" i="17"/>
  <c r="L291" i="17"/>
  <c r="D291" i="17" s="1"/>
  <c r="X291" i="17"/>
  <c r="K291" i="17"/>
  <c r="AB291" i="17"/>
  <c r="A290" i="20"/>
  <c r="AB289" i="20"/>
  <c r="L289" i="20"/>
  <c r="X289" i="20"/>
  <c r="K289" i="20"/>
  <c r="A293" i="16"/>
  <c r="AB292" i="16"/>
  <c r="K292" i="16"/>
  <c r="L292" i="16"/>
  <c r="D292" i="16" s="1"/>
  <c r="X292" i="16"/>
  <c r="A294" i="15"/>
  <c r="L293" i="15"/>
  <c r="D293" i="15" s="1"/>
  <c r="AB293" i="15"/>
  <c r="K293" i="15"/>
  <c r="X293" i="15"/>
  <c r="X295" i="1"/>
  <c r="AJ295" i="1"/>
  <c r="L295" i="1"/>
  <c r="AB295" i="1"/>
  <c r="A296" i="1"/>
  <c r="AK295" i="1"/>
  <c r="K295" i="1"/>
  <c r="AB294" i="15"/>
  <c r="X294" i="15"/>
  <c r="L294" i="15"/>
  <c r="D294" i="15" s="1"/>
  <c r="A295" i="15"/>
  <c r="K294" i="15"/>
  <c r="X290" i="20"/>
  <c r="AB290" i="20"/>
  <c r="L290" i="20"/>
  <c r="A291" i="20"/>
  <c r="K290" i="20"/>
  <c r="K292" i="17"/>
  <c r="AB292" i="17"/>
  <c r="A293" i="17"/>
  <c r="X292" i="17"/>
  <c r="L292" i="17"/>
  <c r="D292" i="17" s="1"/>
  <c r="AB287" i="24"/>
  <c r="A288" i="24"/>
  <c r="L287" i="24"/>
  <c r="X287" i="24"/>
  <c r="K287" i="24"/>
  <c r="A287" i="25"/>
  <c r="L286" i="25"/>
  <c r="AB286" i="25"/>
  <c r="X286" i="25"/>
  <c r="K286" i="25"/>
  <c r="L291" i="18"/>
  <c r="X291" i="18"/>
  <c r="K291" i="18"/>
  <c r="A292" i="18"/>
  <c r="AB291" i="18"/>
  <c r="X289" i="22"/>
  <c r="K289" i="22"/>
  <c r="L289" i="22"/>
  <c r="AB289" i="22"/>
  <c r="A290" i="22"/>
  <c r="A297" i="1"/>
  <c r="X296" i="1"/>
  <c r="AJ296" i="1"/>
  <c r="AB296" i="1"/>
  <c r="AK296" i="1"/>
  <c r="L296" i="1"/>
  <c r="D296" i="1" s="1"/>
  <c r="K296" i="1"/>
  <c r="D295" i="1"/>
  <c r="AB293" i="16"/>
  <c r="L293" i="16"/>
  <c r="D293" i="16" s="1"/>
  <c r="A294" i="16"/>
  <c r="X293" i="16"/>
  <c r="K293" i="16"/>
  <c r="A289" i="23"/>
  <c r="X288" i="23"/>
  <c r="L288" i="23"/>
  <c r="AB288" i="23"/>
  <c r="K288" i="23"/>
  <c r="A290" i="23"/>
  <c r="X289" i="23"/>
  <c r="L289" i="23"/>
  <c r="K289" i="23"/>
  <c r="AB289" i="23"/>
  <c r="A293" i="18"/>
  <c r="AB292" i="18"/>
  <c r="X292" i="18"/>
  <c r="K292" i="18"/>
  <c r="L292" i="18"/>
  <c r="K287" i="25"/>
  <c r="A288" i="25"/>
  <c r="AB287" i="25"/>
  <c r="L287" i="25"/>
  <c r="X287" i="25"/>
  <c r="X293" i="17"/>
  <c r="K293" i="17"/>
  <c r="L293" i="17"/>
  <c r="D293" i="17" s="1"/>
  <c r="A294" i="17"/>
  <c r="AB293" i="17"/>
  <c r="X291" i="20"/>
  <c r="L291" i="20"/>
  <c r="K291" i="20"/>
  <c r="AB291" i="20"/>
  <c r="A292" i="20"/>
  <c r="AB295" i="15"/>
  <c r="K295" i="15"/>
  <c r="X295" i="15"/>
  <c r="A296" i="15"/>
  <c r="L295" i="15"/>
  <c r="D295" i="15" s="1"/>
  <c r="A295" i="16"/>
  <c r="AB294" i="16"/>
  <c r="L294" i="16"/>
  <c r="K294" i="16"/>
  <c r="X294" i="16"/>
  <c r="AJ297" i="1"/>
  <c r="AK297" i="1"/>
  <c r="L297" i="1"/>
  <c r="D297" i="1" s="1"/>
  <c r="X297" i="1"/>
  <c r="A298" i="1"/>
  <c r="AB297" i="1"/>
  <c r="K297" i="1"/>
  <c r="A291" i="22"/>
  <c r="K290" i="22"/>
  <c r="AB290" i="22"/>
  <c r="L290" i="22"/>
  <c r="X290" i="22"/>
  <c r="AB288" i="24"/>
  <c r="X288" i="24"/>
  <c r="L288" i="24"/>
  <c r="K288" i="24"/>
  <c r="A289" i="24"/>
  <c r="K291" i="22"/>
  <c r="A292" i="22"/>
  <c r="L291" i="22"/>
  <c r="X291" i="22"/>
  <c r="AB291" i="22"/>
  <c r="L298" i="1"/>
  <c r="D298" i="1" s="1"/>
  <c r="AB298" i="1"/>
  <c r="X298" i="1"/>
  <c r="K298" i="1"/>
  <c r="AJ298" i="1"/>
  <c r="AK298" i="1"/>
  <c r="A299" i="1"/>
  <c r="D294" i="16"/>
  <c r="A297" i="15"/>
  <c r="L296" i="15"/>
  <c r="D296" i="15" s="1"/>
  <c r="AB296" i="15"/>
  <c r="K296" i="15"/>
  <c r="X296" i="15"/>
  <c r="X294" i="17"/>
  <c r="A295" i="17"/>
  <c r="L294" i="17"/>
  <c r="D294" i="17" s="1"/>
  <c r="AB294" i="17"/>
  <c r="K294" i="17"/>
  <c r="AB289" i="24"/>
  <c r="K289" i="24"/>
  <c r="A290" i="24"/>
  <c r="L289" i="24"/>
  <c r="X289" i="24"/>
  <c r="L295" i="16"/>
  <c r="D295" i="16" s="1"/>
  <c r="X295" i="16"/>
  <c r="K295" i="16"/>
  <c r="AB295" i="16"/>
  <c r="A296" i="16"/>
  <c r="AB292" i="20"/>
  <c r="L292" i="20"/>
  <c r="K292" i="20"/>
  <c r="A293" i="20"/>
  <c r="X292" i="20"/>
  <c r="AB288" i="25"/>
  <c r="K288" i="25"/>
  <c r="A289" i="25"/>
  <c r="X288" i="25"/>
  <c r="L288" i="25"/>
  <c r="L293" i="18"/>
  <c r="A294" i="18"/>
  <c r="K293" i="18"/>
  <c r="AB293" i="18"/>
  <c r="X293" i="18"/>
  <c r="AB290" i="23"/>
  <c r="K290" i="23"/>
  <c r="L290" i="23"/>
  <c r="A291" i="23"/>
  <c r="X290" i="23"/>
  <c r="K291" i="23"/>
  <c r="X291" i="23"/>
  <c r="A292" i="23"/>
  <c r="L291" i="23"/>
  <c r="AB291" i="23"/>
  <c r="AB294" i="18"/>
  <c r="K294" i="18"/>
  <c r="L294" i="18"/>
  <c r="A295" i="18"/>
  <c r="X294" i="18"/>
  <c r="AK299" i="1"/>
  <c r="A300" i="1"/>
  <c r="X299" i="1"/>
  <c r="AJ299" i="1"/>
  <c r="K299" i="1"/>
  <c r="AB299" i="1"/>
  <c r="L299" i="1"/>
  <c r="D299" i="1" s="1"/>
  <c r="AB292" i="22"/>
  <c r="L292" i="22"/>
  <c r="X292" i="22"/>
  <c r="A293" i="22"/>
  <c r="K292" i="22"/>
  <c r="A290" i="25"/>
  <c r="X289" i="25"/>
  <c r="L289" i="25"/>
  <c r="K289" i="25"/>
  <c r="AB289" i="25"/>
  <c r="K293" i="20"/>
  <c r="A294" i="20"/>
  <c r="AB293" i="20"/>
  <c r="X293" i="20"/>
  <c r="L293" i="20"/>
  <c r="AB296" i="16"/>
  <c r="A297" i="16"/>
  <c r="L296" i="16"/>
  <c r="D296" i="16" s="1"/>
  <c r="X296" i="16"/>
  <c r="K296" i="16"/>
  <c r="X290" i="24"/>
  <c r="L290" i="24"/>
  <c r="AB290" i="24"/>
  <c r="K290" i="24"/>
  <c r="A291" i="24"/>
  <c r="AB295" i="17"/>
  <c r="K295" i="17"/>
  <c r="L295" i="17"/>
  <c r="D295" i="17" s="1"/>
  <c r="X295" i="17"/>
  <c r="A296" i="17"/>
  <c r="AB297" i="15"/>
  <c r="K297" i="15"/>
  <c r="X297" i="15"/>
  <c r="L297" i="15"/>
  <c r="A298" i="15"/>
  <c r="D297" i="15"/>
  <c r="X291" i="24"/>
  <c r="K291" i="24"/>
  <c r="A292" i="24"/>
  <c r="L291" i="24"/>
  <c r="AB291" i="24"/>
  <c r="X297" i="16"/>
  <c r="A298" i="16"/>
  <c r="L297" i="16"/>
  <c r="AB297" i="16"/>
  <c r="K297" i="16"/>
  <c r="X294" i="20"/>
  <c r="L294" i="20"/>
  <c r="K294" i="20"/>
  <c r="AB294" i="20"/>
  <c r="A295" i="20"/>
  <c r="X290" i="25"/>
  <c r="AB290" i="25"/>
  <c r="L290" i="25"/>
  <c r="A291" i="25"/>
  <c r="K290" i="25"/>
  <c r="A299" i="15"/>
  <c r="AB298" i="15"/>
  <c r="L298" i="15"/>
  <c r="D298" i="15" s="1"/>
  <c r="X298" i="15"/>
  <c r="K298" i="15"/>
  <c r="X296" i="17"/>
  <c r="A297" i="17"/>
  <c r="L296" i="17"/>
  <c r="D296" i="17" s="1"/>
  <c r="AB296" i="17"/>
  <c r="K296" i="17"/>
  <c r="AB293" i="22"/>
  <c r="L293" i="22"/>
  <c r="X293" i="22"/>
  <c r="K293" i="22"/>
  <c r="A294" i="22"/>
  <c r="X300" i="1"/>
  <c r="A301" i="1"/>
  <c r="AK300" i="1"/>
  <c r="K300" i="1"/>
  <c r="L300" i="1"/>
  <c r="AJ300" i="1"/>
  <c r="AB300" i="1"/>
  <c r="L295" i="18"/>
  <c r="K295" i="18"/>
  <c r="A296" i="18"/>
  <c r="X295" i="18"/>
  <c r="AB295" i="18"/>
  <c r="AB292" i="23"/>
  <c r="L292" i="23"/>
  <c r="A293" i="23"/>
  <c r="X292" i="23"/>
  <c r="K292" i="23"/>
  <c r="D300" i="1"/>
  <c r="L301" i="1"/>
  <c r="K301" i="1"/>
  <c r="X301" i="1"/>
  <c r="A302" i="1"/>
  <c r="AK301" i="1"/>
  <c r="AJ301" i="1"/>
  <c r="AB301" i="1"/>
  <c r="D297" i="16"/>
  <c r="L293" i="23"/>
  <c r="A294" i="23"/>
  <c r="K293" i="23"/>
  <c r="AB293" i="23"/>
  <c r="X293" i="23"/>
  <c r="X296" i="18"/>
  <c r="A297" i="18"/>
  <c r="AB296" i="18"/>
  <c r="K296" i="18"/>
  <c r="L296" i="18"/>
  <c r="A295" i="22"/>
  <c r="K294" i="22"/>
  <c r="L294" i="22"/>
  <c r="X294" i="22"/>
  <c r="AB294" i="22"/>
  <c r="A298" i="17"/>
  <c r="X297" i="17"/>
  <c r="AB297" i="17"/>
  <c r="K297" i="17"/>
  <c r="L297" i="17"/>
  <c r="D297" i="17" s="1"/>
  <c r="A300" i="15"/>
  <c r="K299" i="15"/>
  <c r="AB299" i="15"/>
  <c r="X299" i="15"/>
  <c r="L299" i="15"/>
  <c r="D299" i="15" s="1"/>
  <c r="A292" i="25"/>
  <c r="L291" i="25"/>
  <c r="AB291" i="25"/>
  <c r="X291" i="25"/>
  <c r="K291" i="25"/>
  <c r="AB295" i="20"/>
  <c r="K295" i="20"/>
  <c r="L295" i="20"/>
  <c r="A296" i="20"/>
  <c r="X295" i="20"/>
  <c r="X298" i="16"/>
  <c r="A299" i="16"/>
  <c r="L298" i="16"/>
  <c r="D298" i="16" s="1"/>
  <c r="K298" i="16"/>
  <c r="AB298" i="16"/>
  <c r="X292" i="24"/>
  <c r="K292" i="24"/>
  <c r="AB292" i="24"/>
  <c r="L292" i="24"/>
  <c r="A293" i="24"/>
  <c r="A294" i="24"/>
  <c r="AB293" i="24"/>
  <c r="L293" i="24"/>
  <c r="K293" i="24"/>
  <c r="X293" i="24"/>
  <c r="L299" i="16"/>
  <c r="D299" i="16" s="1"/>
  <c r="AB299" i="16"/>
  <c r="K299" i="16"/>
  <c r="X299" i="16"/>
  <c r="A300" i="16"/>
  <c r="X296" i="20"/>
  <c r="K296" i="20"/>
  <c r="AB296" i="20"/>
  <c r="A297" i="20"/>
  <c r="L296" i="20"/>
  <c r="AB298" i="17"/>
  <c r="X298" i="17"/>
  <c r="L298" i="17"/>
  <c r="D298" i="17" s="1"/>
  <c r="K298" i="17"/>
  <c r="A299" i="17"/>
  <c r="K297" i="18"/>
  <c r="L297" i="18"/>
  <c r="A298" i="18"/>
  <c r="X297" i="18"/>
  <c r="AB297" i="18"/>
  <c r="X294" i="23"/>
  <c r="K294" i="23"/>
  <c r="L294" i="23"/>
  <c r="AB294" i="23"/>
  <c r="A295" i="23"/>
  <c r="X292" i="25"/>
  <c r="A293" i="25"/>
  <c r="AB292" i="25"/>
  <c r="K292" i="25"/>
  <c r="L292" i="25"/>
  <c r="A301" i="15"/>
  <c r="L300" i="15"/>
  <c r="D300" i="15" s="1"/>
  <c r="K300" i="15"/>
  <c r="X300" i="15"/>
  <c r="AB300" i="15"/>
  <c r="A296" i="22"/>
  <c r="AB295" i="22"/>
  <c r="L295" i="22"/>
  <c r="X295" i="22"/>
  <c r="K295" i="22"/>
  <c r="AK302" i="1"/>
  <c r="AB302" i="1"/>
  <c r="K302" i="1"/>
  <c r="A303" i="1"/>
  <c r="L302" i="1"/>
  <c r="B29" i="7" s="1"/>
  <c r="X302" i="1"/>
  <c r="A29" i="7"/>
  <c r="AJ302" i="1"/>
  <c r="X303" i="1"/>
  <c r="Q303" i="1"/>
  <c r="A304" i="1"/>
  <c r="AJ303" i="1"/>
  <c r="AK303" i="1"/>
  <c r="L303" i="1"/>
  <c r="AB303" i="1"/>
  <c r="K303" i="1"/>
  <c r="X301" i="15"/>
  <c r="AB301" i="15"/>
  <c r="L301" i="15"/>
  <c r="D301" i="15" s="1"/>
  <c r="K301" i="15"/>
  <c r="A302" i="15"/>
  <c r="A294" i="25"/>
  <c r="AB293" i="25"/>
  <c r="X293" i="25"/>
  <c r="K293" i="25"/>
  <c r="L293" i="25"/>
  <c r="A296" i="23"/>
  <c r="K295" i="23"/>
  <c r="X295" i="23"/>
  <c r="AB295" i="23"/>
  <c r="L295" i="23"/>
  <c r="K299" i="17"/>
  <c r="X299" i="17"/>
  <c r="L299" i="17"/>
  <c r="A300" i="17"/>
  <c r="AB299" i="17"/>
  <c r="X297" i="20"/>
  <c r="A298" i="20"/>
  <c r="L297" i="20"/>
  <c r="AB297" i="20"/>
  <c r="K297" i="20"/>
  <c r="A297" i="22"/>
  <c r="L296" i="22"/>
  <c r="AB296" i="22"/>
  <c r="X296" i="22"/>
  <c r="K296" i="22"/>
  <c r="AB298" i="18"/>
  <c r="A299" i="18"/>
  <c r="X298" i="18"/>
  <c r="L298" i="18"/>
  <c r="K298" i="18"/>
  <c r="X300" i="16"/>
  <c r="K300" i="16"/>
  <c r="A301" i="16"/>
  <c r="AB300" i="16"/>
  <c r="L300" i="16"/>
  <c r="D300" i="16" s="1"/>
  <c r="A295" i="24"/>
  <c r="X294" i="24"/>
  <c r="L294" i="24"/>
  <c r="K294" i="24"/>
  <c r="AB294" i="24"/>
  <c r="AB297" i="22"/>
  <c r="X297" i="22"/>
  <c r="L297" i="22"/>
  <c r="K297" i="22"/>
  <c r="A298" i="22"/>
  <c r="K298" i="20"/>
  <c r="L298" i="20"/>
  <c r="A299" i="20"/>
  <c r="AB298" i="20"/>
  <c r="X298" i="20"/>
  <c r="D299" i="17"/>
  <c r="D303" i="1"/>
  <c r="K295" i="24"/>
  <c r="X295" i="24"/>
  <c r="L295" i="24"/>
  <c r="A296" i="24"/>
  <c r="AB295" i="24"/>
  <c r="X301" i="16"/>
  <c r="AB301" i="16"/>
  <c r="L301" i="16"/>
  <c r="D301" i="16" s="1"/>
  <c r="A302" i="16"/>
  <c r="K301" i="16"/>
  <c r="A300" i="18"/>
  <c r="K299" i="18"/>
  <c r="X299" i="18"/>
  <c r="AB299" i="18"/>
  <c r="L299" i="18"/>
  <c r="X300" i="17"/>
  <c r="A301" i="17"/>
  <c r="AB300" i="17"/>
  <c r="L300" i="17"/>
  <c r="K300" i="17"/>
  <c r="AB296" i="23"/>
  <c r="X296" i="23"/>
  <c r="A297" i="23"/>
  <c r="L296" i="23"/>
  <c r="K296" i="23"/>
  <c r="A295" i="25"/>
  <c r="X294" i="25"/>
  <c r="K294" i="25"/>
  <c r="AB294" i="25"/>
  <c r="L294" i="25"/>
  <c r="A303" i="15"/>
  <c r="A41" i="7"/>
  <c r="K302" i="15"/>
  <c r="AB302" i="15"/>
  <c r="L302" i="15"/>
  <c r="B41" i="7" s="1"/>
  <c r="X302" i="15"/>
  <c r="AB304" i="1"/>
  <c r="L304" i="1"/>
  <c r="D304" i="1" s="1"/>
  <c r="A305" i="1"/>
  <c r="K304" i="1"/>
  <c r="AJ304" i="1"/>
  <c r="X304" i="1"/>
  <c r="AK304" i="1"/>
  <c r="AB295" i="25"/>
  <c r="L295" i="25"/>
  <c r="A296" i="25"/>
  <c r="X295" i="25"/>
  <c r="K295" i="25"/>
  <c r="D300" i="17"/>
  <c r="AB302" i="16"/>
  <c r="L302" i="16"/>
  <c r="D302" i="16" s="1"/>
  <c r="A303" i="16"/>
  <c r="A53" i="7"/>
  <c r="X302" i="16"/>
  <c r="K302" i="16"/>
  <c r="AB296" i="24"/>
  <c r="X296" i="24"/>
  <c r="L296" i="24"/>
  <c r="K296" i="24"/>
  <c r="A297" i="24"/>
  <c r="A300" i="20"/>
  <c r="L299" i="20"/>
  <c r="K299" i="20"/>
  <c r="AB299" i="20"/>
  <c r="X299" i="20"/>
  <c r="A299" i="22"/>
  <c r="L298" i="22"/>
  <c r="AB298" i="22"/>
  <c r="K298" i="22"/>
  <c r="X298" i="22"/>
  <c r="X305" i="1"/>
  <c r="A306" i="1"/>
  <c r="Q305" i="1"/>
  <c r="AJ305" i="1"/>
  <c r="AB305" i="1"/>
  <c r="AK305" i="1"/>
  <c r="L305" i="1"/>
  <c r="K305" i="1"/>
  <c r="A304" i="15"/>
  <c r="AB303" i="15"/>
  <c r="L303" i="15"/>
  <c r="D303" i="15" s="1"/>
  <c r="K303" i="15"/>
  <c r="X303" i="15"/>
  <c r="A298" i="23"/>
  <c r="L297" i="23"/>
  <c r="K297" i="23"/>
  <c r="X297" i="23"/>
  <c r="AB297" i="23"/>
  <c r="K301" i="17"/>
  <c r="X301" i="17"/>
  <c r="L301" i="17"/>
  <c r="D301" i="17" s="1"/>
  <c r="A302" i="17"/>
  <c r="AB301" i="17"/>
  <c r="AB300" i="18"/>
  <c r="X300" i="18"/>
  <c r="L300" i="18"/>
  <c r="K300" i="18"/>
  <c r="A301" i="18"/>
  <c r="L302" i="17"/>
  <c r="B65" i="7" s="1"/>
  <c r="AB302" i="17"/>
  <c r="K302" i="17"/>
  <c r="X302" i="17"/>
  <c r="A65" i="7"/>
  <c r="A303" i="17"/>
  <c r="A301" i="20"/>
  <c r="X300" i="20"/>
  <c r="AB300" i="20"/>
  <c r="K300" i="20"/>
  <c r="L300" i="20"/>
  <c r="B53" i="7"/>
  <c r="A302" i="18"/>
  <c r="AB301" i="18"/>
  <c r="K301" i="18"/>
  <c r="X301" i="18"/>
  <c r="L301" i="18"/>
  <c r="K298" i="23"/>
  <c r="X298" i="23"/>
  <c r="AB298" i="23"/>
  <c r="L298" i="23"/>
  <c r="A299" i="23"/>
  <c r="X304" i="15"/>
  <c r="K304" i="15"/>
  <c r="AB304" i="15"/>
  <c r="L304" i="15"/>
  <c r="D304" i="15" s="1"/>
  <c r="A305" i="15"/>
  <c r="D305" i="1"/>
  <c r="A307" i="1"/>
  <c r="L306" i="1"/>
  <c r="D306" i="1" s="1"/>
  <c r="AK306" i="1"/>
  <c r="AB306" i="1"/>
  <c r="X306" i="1"/>
  <c r="K306" i="1"/>
  <c r="AJ306" i="1"/>
  <c r="AB299" i="22"/>
  <c r="L299" i="22"/>
  <c r="K299" i="22"/>
  <c r="X299" i="22"/>
  <c r="A300" i="22"/>
  <c r="A298" i="24"/>
  <c r="K297" i="24"/>
  <c r="AB297" i="24"/>
  <c r="X297" i="24"/>
  <c r="L297" i="24"/>
  <c r="X303" i="16"/>
  <c r="A304" i="16"/>
  <c r="K303" i="16"/>
  <c r="AB303" i="16"/>
  <c r="L303" i="16"/>
  <c r="D303" i="16" s="1"/>
  <c r="AB296" i="25"/>
  <c r="X296" i="25"/>
  <c r="L296" i="25"/>
  <c r="A297" i="25"/>
  <c r="K296" i="25"/>
  <c r="A308" i="1"/>
  <c r="AB307" i="1"/>
  <c r="L307" i="1"/>
  <c r="Q307" i="1"/>
  <c r="AJ307" i="1"/>
  <c r="X307" i="1"/>
  <c r="K307" i="1"/>
  <c r="AK307" i="1"/>
  <c r="K299" i="23"/>
  <c r="X299" i="23"/>
  <c r="A300" i="23"/>
  <c r="AB299" i="23"/>
  <c r="L299" i="23"/>
  <c r="X301" i="20"/>
  <c r="A302" i="20"/>
  <c r="L301" i="20"/>
  <c r="AB301" i="20"/>
  <c r="K301" i="20"/>
  <c r="X303" i="17"/>
  <c r="L303" i="17"/>
  <c r="D303" i="17" s="1"/>
  <c r="K303" i="17"/>
  <c r="A304" i="17"/>
  <c r="AB303" i="17"/>
  <c r="D302" i="17"/>
  <c r="X297" i="25"/>
  <c r="K297" i="25"/>
  <c r="L297" i="25"/>
  <c r="AB297" i="25"/>
  <c r="A298" i="25"/>
  <c r="X304" i="16"/>
  <c r="L304" i="16"/>
  <c r="D304" i="16" s="1"/>
  <c r="A305" i="16"/>
  <c r="K304" i="16"/>
  <c r="AB304" i="16"/>
  <c r="AB298" i="24"/>
  <c r="L298" i="24"/>
  <c r="A299" i="24"/>
  <c r="X298" i="24"/>
  <c r="K298" i="24"/>
  <c r="X300" i="22"/>
  <c r="A301" i="22"/>
  <c r="AB300" i="22"/>
  <c r="L300" i="22"/>
  <c r="K300" i="22"/>
  <c r="L305" i="15"/>
  <c r="K305" i="15"/>
  <c r="AB305" i="15"/>
  <c r="X305" i="15"/>
  <c r="A306" i="15"/>
  <c r="A77" i="7"/>
  <c r="AB302" i="18"/>
  <c r="A303" i="18"/>
  <c r="X302" i="18"/>
  <c r="L302" i="18"/>
  <c r="B77" i="7" s="1"/>
  <c r="K302" i="18"/>
  <c r="A306" i="16"/>
  <c r="AB305" i="16"/>
  <c r="X305" i="16"/>
  <c r="L305" i="16"/>
  <c r="D305" i="16" s="1"/>
  <c r="K305" i="16"/>
  <c r="AB300" i="23"/>
  <c r="A301" i="23"/>
  <c r="X300" i="23"/>
  <c r="L300" i="23"/>
  <c r="K300" i="23"/>
  <c r="D307" i="1"/>
  <c r="AB308" i="1"/>
  <c r="AJ308" i="1"/>
  <c r="L308" i="1"/>
  <c r="D308" i="1" s="1"/>
  <c r="A309" i="1"/>
  <c r="X308" i="1"/>
  <c r="AK308" i="1"/>
  <c r="K308" i="1"/>
  <c r="L303" i="18"/>
  <c r="X303" i="18"/>
  <c r="A304" i="18"/>
  <c r="AB303" i="18"/>
  <c r="K303" i="18"/>
  <c r="L306" i="15"/>
  <c r="K306" i="15"/>
  <c r="A307" i="15"/>
  <c r="AB306" i="15"/>
  <c r="X306" i="15"/>
  <c r="D305" i="15"/>
  <c r="A302" i="22"/>
  <c r="X301" i="22"/>
  <c r="K301" i="22"/>
  <c r="AB301" i="22"/>
  <c r="L301" i="22"/>
  <c r="X299" i="24"/>
  <c r="L299" i="24"/>
  <c r="AB299" i="24"/>
  <c r="A300" i="24"/>
  <c r="K299" i="24"/>
  <c r="A299" i="25"/>
  <c r="L298" i="25"/>
  <c r="K298" i="25"/>
  <c r="AB298" i="25"/>
  <c r="X298" i="25"/>
  <c r="A305" i="17"/>
  <c r="X304" i="17"/>
  <c r="L304" i="17"/>
  <c r="D304" i="17" s="1"/>
  <c r="AB304" i="17"/>
  <c r="K304" i="17"/>
  <c r="A303" i="20"/>
  <c r="L302" i="20"/>
  <c r="AF29" i="7" s="1"/>
  <c r="AE29" i="7"/>
  <c r="X302" i="20"/>
  <c r="AB302" i="20"/>
  <c r="K302" i="20"/>
  <c r="K305" i="17"/>
  <c r="X305" i="17"/>
  <c r="AB305" i="17"/>
  <c r="A306" i="17"/>
  <c r="L305" i="17"/>
  <c r="D305" i="17" s="1"/>
  <c r="X300" i="24"/>
  <c r="AB300" i="24"/>
  <c r="A301" i="24"/>
  <c r="L300" i="24"/>
  <c r="K300" i="24"/>
  <c r="X307" i="15"/>
  <c r="A308" i="15"/>
  <c r="L307" i="15"/>
  <c r="AB307" i="15"/>
  <c r="K307" i="15"/>
  <c r="D306" i="15"/>
  <c r="X309" i="1"/>
  <c r="K309" i="1"/>
  <c r="AB309" i="1"/>
  <c r="A310" i="1"/>
  <c r="L309" i="1"/>
  <c r="D309" i="1" s="1"/>
  <c r="AK309" i="1"/>
  <c r="AJ309" i="1"/>
  <c r="X301" i="23"/>
  <c r="AB301" i="23"/>
  <c r="A302" i="23"/>
  <c r="L301" i="23"/>
  <c r="K301" i="23"/>
  <c r="K303" i="20"/>
  <c r="L303" i="20"/>
  <c r="A304" i="20"/>
  <c r="X303" i="20"/>
  <c r="AB303" i="20"/>
  <c r="A300" i="25"/>
  <c r="L299" i="25"/>
  <c r="K299" i="25"/>
  <c r="X299" i="25"/>
  <c r="AB299" i="25"/>
  <c r="K302" i="22"/>
  <c r="X302" i="22"/>
  <c r="AE41" i="7"/>
  <c r="A303" i="22"/>
  <c r="L302" i="22"/>
  <c r="AF41" i="7" s="1"/>
  <c r="AB302" i="22"/>
  <c r="X304" i="18"/>
  <c r="L304" i="18"/>
  <c r="K304" i="18"/>
  <c r="AB304" i="18"/>
  <c r="A305" i="18"/>
  <c r="A307" i="16"/>
  <c r="K306" i="16"/>
  <c r="L306" i="16"/>
  <c r="D306" i="16" s="1"/>
  <c r="AB306" i="16"/>
  <c r="X306" i="16"/>
  <c r="X300" i="25"/>
  <c r="AB300" i="25"/>
  <c r="L300" i="25"/>
  <c r="A301" i="25"/>
  <c r="K300" i="25"/>
  <c r="A303" i="23"/>
  <c r="L302" i="23"/>
  <c r="AF53" i="7" s="1"/>
  <c r="X302" i="23"/>
  <c r="K302" i="23"/>
  <c r="AB302" i="23"/>
  <c r="AE53" i="7"/>
  <c r="X310" i="1"/>
  <c r="AK310" i="1"/>
  <c r="K310" i="1"/>
  <c r="A311" i="1"/>
  <c r="L310" i="1"/>
  <c r="AJ310" i="1"/>
  <c r="AB310" i="1"/>
  <c r="D307" i="15"/>
  <c r="X307" i="16"/>
  <c r="AB307" i="16"/>
  <c r="L307" i="16"/>
  <c r="D307" i="16" s="1"/>
  <c r="A308" i="16"/>
  <c r="K307" i="16"/>
  <c r="A306" i="18"/>
  <c r="L305" i="18"/>
  <c r="X305" i="18"/>
  <c r="AB305" i="18"/>
  <c r="K305" i="18"/>
  <c r="K303" i="22"/>
  <c r="X303" i="22"/>
  <c r="A304" i="22"/>
  <c r="L303" i="22"/>
  <c r="AB303" i="22"/>
  <c r="A305" i="20"/>
  <c r="AB304" i="20"/>
  <c r="L304" i="20"/>
  <c r="K304" i="20"/>
  <c r="X304" i="20"/>
  <c r="X308" i="15"/>
  <c r="AB308" i="15"/>
  <c r="L308" i="15"/>
  <c r="D308" i="15" s="1"/>
  <c r="A309" i="15"/>
  <c r="K308" i="15"/>
  <c r="A302" i="24"/>
  <c r="X301" i="24"/>
  <c r="AB301" i="24"/>
  <c r="K301" i="24"/>
  <c r="L301" i="24"/>
  <c r="X306" i="17"/>
  <c r="AB306" i="17"/>
  <c r="L306" i="17"/>
  <c r="D306" i="17" s="1"/>
  <c r="A307" i="17"/>
  <c r="K306" i="17"/>
  <c r="K307" i="17"/>
  <c r="A308" i="17"/>
  <c r="AB307" i="17"/>
  <c r="X307" i="17"/>
  <c r="L307" i="17"/>
  <c r="D307" i="17" s="1"/>
  <c r="AE65" i="7"/>
  <c r="X302" i="24"/>
  <c r="A303" i="24"/>
  <c r="AB302" i="24"/>
  <c r="L302" i="24"/>
  <c r="AF65" i="7" s="1"/>
  <c r="K302" i="24"/>
  <c r="X306" i="18"/>
  <c r="A307" i="18"/>
  <c r="AB306" i="18"/>
  <c r="K306" i="18"/>
  <c r="L306" i="18"/>
  <c r="X311" i="1"/>
  <c r="AK311" i="1"/>
  <c r="A312" i="1"/>
  <c r="AB311" i="1"/>
  <c r="L311" i="1"/>
  <c r="D311" i="1" s="1"/>
  <c r="K311" i="1"/>
  <c r="AJ311" i="1"/>
  <c r="X309" i="15"/>
  <c r="AB309" i="15"/>
  <c r="L309" i="15"/>
  <c r="A310" i="15"/>
  <c r="K309" i="15"/>
  <c r="K305" i="20"/>
  <c r="AB305" i="20"/>
  <c r="L305" i="20"/>
  <c r="X305" i="20"/>
  <c r="A306" i="20"/>
  <c r="K304" i="22"/>
  <c r="L304" i="22"/>
  <c r="AB304" i="22"/>
  <c r="X304" i="22"/>
  <c r="A305" i="22"/>
  <c r="A309" i="16"/>
  <c r="X308" i="16"/>
  <c r="K308" i="16"/>
  <c r="AB308" i="16"/>
  <c r="L308" i="16"/>
  <c r="D308" i="16" s="1"/>
  <c r="D310" i="1"/>
  <c r="X303" i="23"/>
  <c r="A304" i="23"/>
  <c r="AB303" i="23"/>
  <c r="K303" i="23"/>
  <c r="L303" i="23"/>
  <c r="K301" i="25"/>
  <c r="L301" i="25"/>
  <c r="X301" i="25"/>
  <c r="A302" i="25"/>
  <c r="AB301" i="25"/>
  <c r="X305" i="22"/>
  <c r="L305" i="22"/>
  <c r="K305" i="22"/>
  <c r="AB305" i="22"/>
  <c r="A306" i="22"/>
  <c r="AB310" i="15"/>
  <c r="A311" i="15"/>
  <c r="X310" i="15"/>
  <c r="L310" i="15"/>
  <c r="D310" i="15" s="1"/>
  <c r="K310" i="15"/>
  <c r="AJ312" i="1"/>
  <c r="AK312" i="1"/>
  <c r="K312" i="1"/>
  <c r="A313" i="1"/>
  <c r="X312" i="1"/>
  <c r="AB312" i="1"/>
  <c r="L312" i="1"/>
  <c r="X303" i="24"/>
  <c r="AB303" i="24"/>
  <c r="L303" i="24"/>
  <c r="K303" i="24"/>
  <c r="A304" i="24"/>
  <c r="L308" i="17"/>
  <c r="D308" i="17" s="1"/>
  <c r="X308" i="17"/>
  <c r="AB308" i="17"/>
  <c r="A309" i="17"/>
  <c r="K308" i="17"/>
  <c r="A303" i="25"/>
  <c r="AE77" i="7"/>
  <c r="L302" i="25"/>
  <c r="AF77" i="7" s="1"/>
  <c r="X302" i="25"/>
  <c r="K302" i="25"/>
  <c r="AB302" i="25"/>
  <c r="AB304" i="23"/>
  <c r="X304" i="23"/>
  <c r="K304" i="23"/>
  <c r="A305" i="23"/>
  <c r="L304" i="23"/>
  <c r="L309" i="16"/>
  <c r="D309" i="16" s="1"/>
  <c r="A310" i="16"/>
  <c r="K309" i="16"/>
  <c r="AB309" i="16"/>
  <c r="X309" i="16"/>
  <c r="AB306" i="20"/>
  <c r="K306" i="20"/>
  <c r="A307" i="20"/>
  <c r="L306" i="20"/>
  <c r="X306" i="20"/>
  <c r="A308" i="18"/>
  <c r="AB307" i="18"/>
  <c r="K307" i="18"/>
  <c r="X307" i="18"/>
  <c r="L307" i="18"/>
  <c r="K303" i="25"/>
  <c r="AB303" i="25"/>
  <c r="A304" i="25"/>
  <c r="L303" i="25"/>
  <c r="X303" i="25"/>
  <c r="AB309" i="17"/>
  <c r="X309" i="17"/>
  <c r="K309" i="17"/>
  <c r="A310" i="17"/>
  <c r="L309" i="17"/>
  <c r="D309" i="17" s="1"/>
  <c r="K304" i="24"/>
  <c r="L304" i="24"/>
  <c r="A305" i="24"/>
  <c r="AB304" i="24"/>
  <c r="X304" i="24"/>
  <c r="A312" i="15"/>
  <c r="L311" i="15"/>
  <c r="K311" i="15"/>
  <c r="X311" i="15"/>
  <c r="AB311" i="15"/>
  <c r="K308" i="18"/>
  <c r="L308" i="18"/>
  <c r="AB308" i="18"/>
  <c r="A309" i="18"/>
  <c r="X308" i="18"/>
  <c r="X307" i="20"/>
  <c r="K307" i="20"/>
  <c r="L307" i="20"/>
  <c r="AB307" i="20"/>
  <c r="A308" i="20"/>
  <c r="L310" i="16"/>
  <c r="D310" i="16" s="1"/>
  <c r="AB310" i="16"/>
  <c r="K310" i="16"/>
  <c r="X310" i="16"/>
  <c r="A311" i="16"/>
  <c r="K305" i="23"/>
  <c r="A306" i="23"/>
  <c r="L305" i="23"/>
  <c r="AB305" i="23"/>
  <c r="X305" i="23"/>
  <c r="AJ313" i="1"/>
  <c r="X313" i="1"/>
  <c r="L313" i="1"/>
  <c r="D313" i="1" s="1"/>
  <c r="AK313" i="1"/>
  <c r="K313" i="1"/>
  <c r="AB313" i="1"/>
  <c r="A314" i="1"/>
  <c r="X306" i="22"/>
  <c r="K306" i="22"/>
  <c r="A307" i="22"/>
  <c r="L306" i="22"/>
  <c r="AB306" i="22"/>
  <c r="X307" i="22"/>
  <c r="L307" i="22"/>
  <c r="K307" i="22"/>
  <c r="AB307" i="22"/>
  <c r="A308" i="22"/>
  <c r="A307" i="23"/>
  <c r="L306" i="23"/>
  <c r="AB306" i="23"/>
  <c r="X306" i="23"/>
  <c r="K306" i="23"/>
  <c r="AB308" i="20"/>
  <c r="A309" i="20"/>
  <c r="X308" i="20"/>
  <c r="L308" i="20"/>
  <c r="K308" i="20"/>
  <c r="L312" i="15"/>
  <c r="D312" i="15" s="1"/>
  <c r="A313" i="15"/>
  <c r="X312" i="15"/>
  <c r="AB312" i="15"/>
  <c r="K312" i="15"/>
  <c r="K305" i="24"/>
  <c r="A306" i="24"/>
  <c r="AB305" i="24"/>
  <c r="X305" i="24"/>
  <c r="L305" i="24"/>
  <c r="L314" i="1"/>
  <c r="AB314" i="1"/>
  <c r="AK314" i="1"/>
  <c r="AJ314" i="1"/>
  <c r="X314" i="1"/>
  <c r="K314" i="1"/>
  <c r="A315" i="1"/>
  <c r="A312" i="16"/>
  <c r="AB311" i="16"/>
  <c r="L311" i="16"/>
  <c r="D311" i="16" s="1"/>
  <c r="K311" i="16"/>
  <c r="X311" i="16"/>
  <c r="A310" i="18"/>
  <c r="AB309" i="18"/>
  <c r="K309" i="18"/>
  <c r="L309" i="18"/>
  <c r="X309" i="18"/>
  <c r="D311" i="15"/>
  <c r="AB310" i="17"/>
  <c r="X310" i="17"/>
  <c r="A311" i="17"/>
  <c r="L310" i="17"/>
  <c r="K310" i="17"/>
  <c r="A305" i="25"/>
  <c r="X304" i="25"/>
  <c r="AB304" i="25"/>
  <c r="K304" i="25"/>
  <c r="L304" i="25"/>
  <c r="A306" i="25"/>
  <c r="X305" i="25"/>
  <c r="L305" i="25"/>
  <c r="K305" i="25"/>
  <c r="AB305" i="25"/>
  <c r="AB312" i="16"/>
  <c r="X312" i="16"/>
  <c r="K312" i="16"/>
  <c r="L312" i="16"/>
  <c r="D312" i="16" s="1"/>
  <c r="A313" i="16"/>
  <c r="AB315" i="1"/>
  <c r="AK315" i="1"/>
  <c r="K315" i="1"/>
  <c r="AJ315" i="1"/>
  <c r="X315" i="1"/>
  <c r="L315" i="1"/>
  <c r="D315" i="1" s="1"/>
  <c r="A316" i="1"/>
  <c r="D314" i="1"/>
  <c r="K306" i="24"/>
  <c r="X306" i="24"/>
  <c r="AB306" i="24"/>
  <c r="A307" i="24"/>
  <c r="L306" i="24"/>
  <c r="AB309" i="20"/>
  <c r="L309" i="20"/>
  <c r="X309" i="20"/>
  <c r="A310" i="20"/>
  <c r="K309" i="20"/>
  <c r="AB307" i="23"/>
  <c r="L307" i="23"/>
  <c r="K307" i="23"/>
  <c r="A308" i="23"/>
  <c r="X307" i="23"/>
  <c r="X308" i="22"/>
  <c r="AB308" i="22"/>
  <c r="L308" i="22"/>
  <c r="A309" i="22"/>
  <c r="K308" i="22"/>
  <c r="D310" i="17"/>
  <c r="A312" i="17"/>
  <c r="X311" i="17"/>
  <c r="L311" i="17"/>
  <c r="AB311" i="17"/>
  <c r="K311" i="17"/>
  <c r="L310" i="18"/>
  <c r="AB310" i="18"/>
  <c r="K310" i="18"/>
  <c r="A311" i="18"/>
  <c r="X310" i="18"/>
  <c r="K313" i="15"/>
  <c r="A314" i="15"/>
  <c r="X313" i="15"/>
  <c r="AB313" i="15"/>
  <c r="L313" i="15"/>
  <c r="D313" i="15" s="1"/>
  <c r="K314" i="15"/>
  <c r="L314" i="15"/>
  <c r="AB314" i="15"/>
  <c r="X314" i="15"/>
  <c r="A315" i="15"/>
  <c r="K311" i="18"/>
  <c r="X311" i="18"/>
  <c r="L311" i="18"/>
  <c r="AB311" i="18"/>
  <c r="A312" i="18"/>
  <c r="X312" i="17"/>
  <c r="AB312" i="17"/>
  <c r="L312" i="17"/>
  <c r="D312" i="17" s="1"/>
  <c r="K312" i="17"/>
  <c r="A313" i="17"/>
  <c r="X309" i="22"/>
  <c r="K309" i="22"/>
  <c r="L309" i="22"/>
  <c r="AB309" i="22"/>
  <c r="A310" i="22"/>
  <c r="X308" i="23"/>
  <c r="AB308" i="23"/>
  <c r="K308" i="23"/>
  <c r="A309" i="23"/>
  <c r="L308" i="23"/>
  <c r="K310" i="20"/>
  <c r="AB310" i="20"/>
  <c r="L310" i="20"/>
  <c r="A311" i="20"/>
  <c r="X310" i="20"/>
  <c r="K316" i="1"/>
  <c r="AK316" i="1"/>
  <c r="L316" i="1"/>
  <c r="A317" i="1"/>
  <c r="AB316" i="1"/>
  <c r="AJ316" i="1"/>
  <c r="Q316" i="1"/>
  <c r="X316" i="1"/>
  <c r="AB306" i="25"/>
  <c r="X306" i="25"/>
  <c r="K306" i="25"/>
  <c r="L306" i="25"/>
  <c r="A307" i="25"/>
  <c r="D311" i="17"/>
  <c r="X307" i="24"/>
  <c r="L307" i="24"/>
  <c r="K307" i="24"/>
  <c r="AB307" i="24"/>
  <c r="A308" i="24"/>
  <c r="AB313" i="16"/>
  <c r="L313" i="16"/>
  <c r="K313" i="16"/>
  <c r="X313" i="16"/>
  <c r="A314" i="16"/>
  <c r="X314" i="16"/>
  <c r="K314" i="16"/>
  <c r="A315" i="16"/>
  <c r="L314" i="16"/>
  <c r="D314" i="16" s="1"/>
  <c r="AB314" i="16"/>
  <c r="X308" i="24"/>
  <c r="L308" i="24"/>
  <c r="A309" i="24"/>
  <c r="K308" i="24"/>
  <c r="AB308" i="24"/>
  <c r="X311" i="20"/>
  <c r="K311" i="20"/>
  <c r="A312" i="20"/>
  <c r="L311" i="20"/>
  <c r="AB311" i="20"/>
  <c r="X309" i="23"/>
  <c r="AB309" i="23"/>
  <c r="L309" i="23"/>
  <c r="A310" i="23"/>
  <c r="K309" i="23"/>
  <c r="A311" i="22"/>
  <c r="K310" i="22"/>
  <c r="L310" i="22"/>
  <c r="X310" i="22"/>
  <c r="AB310" i="22"/>
  <c r="K313" i="17"/>
  <c r="X313" i="17"/>
  <c r="L313" i="17"/>
  <c r="D313" i="17" s="1"/>
  <c r="A314" i="17"/>
  <c r="AB313" i="17"/>
  <c r="X312" i="18"/>
  <c r="L312" i="18"/>
  <c r="AB312" i="18"/>
  <c r="K312" i="18"/>
  <c r="A313" i="18"/>
  <c r="L315" i="15"/>
  <c r="K315" i="15"/>
  <c r="X315" i="15"/>
  <c r="A316" i="15"/>
  <c r="AB315" i="15"/>
  <c r="D313" i="16"/>
  <c r="AB307" i="25"/>
  <c r="K307" i="25"/>
  <c r="L307" i="25"/>
  <c r="A308" i="25"/>
  <c r="X307" i="25"/>
  <c r="AK317" i="1"/>
  <c r="K317" i="1"/>
  <c r="A318" i="1"/>
  <c r="L317" i="1"/>
  <c r="D317" i="1" s="1"/>
  <c r="X317" i="1"/>
  <c r="AB317" i="1"/>
  <c r="AJ317" i="1"/>
  <c r="D314" i="15"/>
  <c r="K308" i="25"/>
  <c r="AB308" i="25"/>
  <c r="X308" i="25"/>
  <c r="L308" i="25"/>
  <c r="A309" i="25"/>
  <c r="D315" i="15"/>
  <c r="AB314" i="17"/>
  <c r="A315" i="17"/>
  <c r="K314" i="17"/>
  <c r="X314" i="17"/>
  <c r="L314" i="17"/>
  <c r="X311" i="22"/>
  <c r="A312" i="22"/>
  <c r="K311" i="22"/>
  <c r="L311" i="22"/>
  <c r="AB311" i="22"/>
  <c r="A311" i="23"/>
  <c r="AB310" i="23"/>
  <c r="L310" i="23"/>
  <c r="X310" i="23"/>
  <c r="K310" i="23"/>
  <c r="A313" i="20"/>
  <c r="L312" i="20"/>
  <c r="K312" i="20"/>
  <c r="AB312" i="20"/>
  <c r="X312" i="20"/>
  <c r="A310" i="24"/>
  <c r="L309" i="24"/>
  <c r="AB309" i="24"/>
  <c r="X309" i="24"/>
  <c r="K309" i="24"/>
  <c r="AB318" i="1"/>
  <c r="L318" i="1"/>
  <c r="D318" i="1" s="1"/>
  <c r="AJ318" i="1"/>
  <c r="A319" i="1"/>
  <c r="K318" i="1"/>
  <c r="AK318" i="1"/>
  <c r="X318" i="1"/>
  <c r="L316" i="15"/>
  <c r="D316" i="15" s="1"/>
  <c r="K316" i="15"/>
  <c r="A317" i="15"/>
  <c r="AB316" i="15"/>
  <c r="X316" i="15"/>
  <c r="X313" i="18"/>
  <c r="A314" i="18"/>
  <c r="AB313" i="18"/>
  <c r="L313" i="18"/>
  <c r="K313" i="18"/>
  <c r="K315" i="16"/>
  <c r="AB315" i="16"/>
  <c r="A316" i="16"/>
  <c r="L315" i="16"/>
  <c r="D315" i="16" s="1"/>
  <c r="X315" i="16"/>
  <c r="X316" i="16"/>
  <c r="K316" i="16"/>
  <c r="L316" i="16"/>
  <c r="D316" i="16" s="1"/>
  <c r="A317" i="16"/>
  <c r="AB316" i="16"/>
  <c r="A318" i="15"/>
  <c r="L317" i="15"/>
  <c r="D317" i="15" s="1"/>
  <c r="X317" i="15"/>
  <c r="AB317" i="15"/>
  <c r="K317" i="15"/>
  <c r="D314" i="17"/>
  <c r="A315" i="18"/>
  <c r="K314" i="18"/>
  <c r="AB314" i="18"/>
  <c r="L314" i="18"/>
  <c r="X314" i="18"/>
  <c r="K319" i="1"/>
  <c r="AJ319" i="1"/>
  <c r="AB319" i="1"/>
  <c r="AK319" i="1"/>
  <c r="X319" i="1"/>
  <c r="L319" i="1"/>
  <c r="A320" i="1"/>
  <c r="A311" i="24"/>
  <c r="K310" i="24"/>
  <c r="L310" i="24"/>
  <c r="AB310" i="24"/>
  <c r="X310" i="24"/>
  <c r="AB313" i="20"/>
  <c r="K313" i="20"/>
  <c r="L313" i="20"/>
  <c r="A314" i="20"/>
  <c r="X313" i="20"/>
  <c r="A312" i="23"/>
  <c r="L311" i="23"/>
  <c r="K311" i="23"/>
  <c r="AB311" i="23"/>
  <c r="X311" i="23"/>
  <c r="A313" i="22"/>
  <c r="K312" i="22"/>
  <c r="L312" i="22"/>
  <c r="AB312" i="22"/>
  <c r="X312" i="22"/>
  <c r="AB315" i="17"/>
  <c r="A316" i="17"/>
  <c r="L315" i="17"/>
  <c r="D315" i="17" s="1"/>
  <c r="K315" i="17"/>
  <c r="X315" i="17"/>
  <c r="A310" i="25"/>
  <c r="X309" i="25"/>
  <c r="L309" i="25"/>
  <c r="K309" i="25"/>
  <c r="AB309" i="25"/>
  <c r="K310" i="25"/>
  <c r="A311" i="25"/>
  <c r="X310" i="25"/>
  <c r="L310" i="25"/>
  <c r="AB310" i="25"/>
  <c r="A317" i="17"/>
  <c r="X316" i="17"/>
  <c r="AB316" i="17"/>
  <c r="L316" i="17"/>
  <c r="D316" i="17" s="1"/>
  <c r="K316" i="17"/>
  <c r="AB314" i="20"/>
  <c r="A315" i="20"/>
  <c r="L314" i="20"/>
  <c r="X314" i="20"/>
  <c r="K314" i="20"/>
  <c r="AB320" i="1"/>
  <c r="A321" i="1"/>
  <c r="AJ320" i="1"/>
  <c r="K320" i="1"/>
  <c r="X320" i="1"/>
  <c r="L320" i="1"/>
  <c r="AK320" i="1"/>
  <c r="AB313" i="22"/>
  <c r="A314" i="22"/>
  <c r="X313" i="22"/>
  <c r="K313" i="22"/>
  <c r="L313" i="22"/>
  <c r="A313" i="23"/>
  <c r="L312" i="23"/>
  <c r="K312" i="23"/>
  <c r="AB312" i="23"/>
  <c r="X312" i="23"/>
  <c r="X311" i="24"/>
  <c r="L311" i="24"/>
  <c r="K311" i="24"/>
  <c r="A312" i="24"/>
  <c r="AB311" i="24"/>
  <c r="D319" i="1"/>
  <c r="L315" i="18"/>
  <c r="X315" i="18"/>
  <c r="K315" i="18"/>
  <c r="A316" i="18"/>
  <c r="AB315" i="18"/>
  <c r="AB317" i="16"/>
  <c r="L317" i="16"/>
  <c r="A318" i="16"/>
  <c r="K317" i="16"/>
  <c r="X317" i="16"/>
  <c r="AB318" i="15"/>
  <c r="A319" i="15"/>
  <c r="K318" i="15"/>
  <c r="L318" i="15"/>
  <c r="D318" i="15" s="1"/>
  <c r="X318" i="15"/>
  <c r="L319" i="15"/>
  <c r="D319" i="15" s="1"/>
  <c r="A320" i="15"/>
  <c r="X319" i="15"/>
  <c r="K319" i="15"/>
  <c r="AB319" i="15"/>
  <c r="X318" i="16"/>
  <c r="K318" i="16"/>
  <c r="AB318" i="16"/>
  <c r="L318" i="16"/>
  <c r="D318" i="16" s="1"/>
  <c r="A319" i="16"/>
  <c r="AB313" i="23"/>
  <c r="A314" i="23"/>
  <c r="L313" i="23"/>
  <c r="K313" i="23"/>
  <c r="X313" i="23"/>
  <c r="A315" i="22"/>
  <c r="X314" i="22"/>
  <c r="L314" i="22"/>
  <c r="AB314" i="22"/>
  <c r="K314" i="22"/>
  <c r="AB315" i="20"/>
  <c r="L315" i="20"/>
  <c r="A316" i="20"/>
  <c r="K315" i="20"/>
  <c r="X315" i="20"/>
  <c r="D317" i="16"/>
  <c r="X316" i="18"/>
  <c r="AB316" i="18"/>
  <c r="K316" i="18"/>
  <c r="A317" i="18"/>
  <c r="L316" i="18"/>
  <c r="X312" i="24"/>
  <c r="K312" i="24"/>
  <c r="AB312" i="24"/>
  <c r="L312" i="24"/>
  <c r="A313" i="24"/>
  <c r="K321" i="1"/>
  <c r="AB321" i="1"/>
  <c r="L321" i="1"/>
  <c r="AJ321" i="1"/>
  <c r="AK321" i="1"/>
  <c r="X321" i="1"/>
  <c r="A322" i="1"/>
  <c r="X317" i="17"/>
  <c r="AB317" i="17"/>
  <c r="A318" i="17"/>
  <c r="K317" i="17"/>
  <c r="L317" i="17"/>
  <c r="D317" i="17" s="1"/>
  <c r="AB311" i="25"/>
  <c r="X311" i="25"/>
  <c r="L311" i="25"/>
  <c r="A312" i="25"/>
  <c r="K311" i="25"/>
  <c r="AB312" i="25"/>
  <c r="X312" i="25"/>
  <c r="L312" i="25"/>
  <c r="A313" i="25"/>
  <c r="K312" i="25"/>
  <c r="L318" i="17"/>
  <c r="AB318" i="17"/>
  <c r="X318" i="17"/>
  <c r="K318" i="17"/>
  <c r="A319" i="17"/>
  <c r="K322" i="1"/>
  <c r="AK322" i="1"/>
  <c r="A323" i="1"/>
  <c r="AJ322" i="1"/>
  <c r="L322" i="1"/>
  <c r="D322" i="1" s="1"/>
  <c r="X322" i="1"/>
  <c r="AB322" i="1"/>
  <c r="D321" i="1"/>
  <c r="AB317" i="18"/>
  <c r="L317" i="18"/>
  <c r="A318" i="18"/>
  <c r="X317" i="18"/>
  <c r="K317" i="18"/>
  <c r="AB316" i="20"/>
  <c r="X316" i="20"/>
  <c r="K316" i="20"/>
  <c r="A317" i="20"/>
  <c r="L316" i="20"/>
  <c r="K313" i="24"/>
  <c r="L313" i="24"/>
  <c r="X313" i="24"/>
  <c r="A314" i="24"/>
  <c r="AB313" i="24"/>
  <c r="X315" i="22"/>
  <c r="A316" i="22"/>
  <c r="AB315" i="22"/>
  <c r="L315" i="22"/>
  <c r="K315" i="22"/>
  <c r="A315" i="23"/>
  <c r="X314" i="23"/>
  <c r="L314" i="23"/>
  <c r="AB314" i="23"/>
  <c r="K314" i="23"/>
  <c r="A320" i="16"/>
  <c r="AB319" i="16"/>
  <c r="X319" i="16"/>
  <c r="K319" i="16"/>
  <c r="L319" i="16"/>
  <c r="D319" i="16" s="1"/>
  <c r="L320" i="15"/>
  <c r="D320" i="15" s="1"/>
  <c r="A321" i="15"/>
  <c r="X320" i="15"/>
  <c r="AB320" i="15"/>
  <c r="K320" i="15"/>
  <c r="X321" i="15"/>
  <c r="A322" i="15"/>
  <c r="L321" i="15"/>
  <c r="D321" i="15" s="1"/>
  <c r="K321" i="15"/>
  <c r="AB321" i="15"/>
  <c r="AB320" i="16"/>
  <c r="A321" i="16"/>
  <c r="X320" i="16"/>
  <c r="K320" i="16"/>
  <c r="L320" i="16"/>
  <c r="D320" i="16" s="1"/>
  <c r="AB316" i="22"/>
  <c r="X316" i="22"/>
  <c r="L316" i="22"/>
  <c r="K316" i="22"/>
  <c r="A317" i="22"/>
  <c r="AB314" i="24"/>
  <c r="K314" i="24"/>
  <c r="L314" i="24"/>
  <c r="A315" i="24"/>
  <c r="X314" i="24"/>
  <c r="X317" i="20"/>
  <c r="AB317" i="20"/>
  <c r="K317" i="20"/>
  <c r="L317" i="20"/>
  <c r="A318" i="20"/>
  <c r="X323" i="1"/>
  <c r="K323" i="1"/>
  <c r="L323" i="1"/>
  <c r="D323" i="1" s="1"/>
  <c r="AJ323" i="1"/>
  <c r="AB323" i="1"/>
  <c r="AK323" i="1"/>
  <c r="A324" i="1"/>
  <c r="AB319" i="17"/>
  <c r="L319" i="17"/>
  <c r="D319" i="17" s="1"/>
  <c r="X319" i="17"/>
  <c r="A320" i="17"/>
  <c r="K319" i="17"/>
  <c r="D318" i="17"/>
  <c r="AB313" i="25"/>
  <c r="X313" i="25"/>
  <c r="A314" i="25"/>
  <c r="K313" i="25"/>
  <c r="L313" i="25"/>
  <c r="X315" i="23"/>
  <c r="L315" i="23"/>
  <c r="K315" i="23"/>
  <c r="AB315" i="23"/>
  <c r="A316" i="23"/>
  <c r="A319" i="18"/>
  <c r="L318" i="18"/>
  <c r="K318" i="18"/>
  <c r="X318" i="18"/>
  <c r="AB318" i="18"/>
  <c r="AB319" i="18"/>
  <c r="X319" i="18"/>
  <c r="L319" i="18"/>
  <c r="A320" i="18"/>
  <c r="K319" i="18"/>
  <c r="K324" i="1"/>
  <c r="AJ324" i="1"/>
  <c r="A325" i="1"/>
  <c r="AK324" i="1"/>
  <c r="AB324" i="1"/>
  <c r="L324" i="1"/>
  <c r="X324" i="1"/>
  <c r="K318" i="20"/>
  <c r="L318" i="20"/>
  <c r="A319" i="20"/>
  <c r="AB318" i="20"/>
  <c r="X318" i="20"/>
  <c r="K315" i="24"/>
  <c r="A316" i="24"/>
  <c r="X315" i="24"/>
  <c r="L315" i="24"/>
  <c r="AB315" i="24"/>
  <c r="K322" i="15"/>
  <c r="AB322" i="15"/>
  <c r="X322" i="15"/>
  <c r="A323" i="15"/>
  <c r="L322" i="15"/>
  <c r="D322" i="15" s="1"/>
  <c r="A317" i="23"/>
  <c r="L316" i="23"/>
  <c r="K316" i="23"/>
  <c r="X316" i="23"/>
  <c r="AB316" i="23"/>
  <c r="X314" i="25"/>
  <c r="L314" i="25"/>
  <c r="A315" i="25"/>
  <c r="AB314" i="25"/>
  <c r="K314" i="25"/>
  <c r="AB320" i="17"/>
  <c r="K320" i="17"/>
  <c r="L320" i="17"/>
  <c r="X320" i="17"/>
  <c r="A321" i="17"/>
  <c r="X317" i="22"/>
  <c r="K317" i="22"/>
  <c r="A318" i="22"/>
  <c r="L317" i="22"/>
  <c r="AB317" i="22"/>
  <c r="AB321" i="16"/>
  <c r="K321" i="16"/>
  <c r="X321" i="16"/>
  <c r="A322" i="16"/>
  <c r="L321" i="16"/>
  <c r="D321" i="16" s="1"/>
  <c r="X322" i="16"/>
  <c r="AB322" i="16"/>
  <c r="A323" i="16"/>
  <c r="L322" i="16"/>
  <c r="K322" i="16"/>
  <c r="AB318" i="22"/>
  <c r="A319" i="22"/>
  <c r="K318" i="22"/>
  <c r="X318" i="22"/>
  <c r="L318" i="22"/>
  <c r="X321" i="17"/>
  <c r="A322" i="17"/>
  <c r="L321" i="17"/>
  <c r="D321" i="17" s="1"/>
  <c r="K321" i="17"/>
  <c r="AB321" i="17"/>
  <c r="X315" i="25"/>
  <c r="AB315" i="25"/>
  <c r="L315" i="25"/>
  <c r="A316" i="25"/>
  <c r="K315" i="25"/>
  <c r="L323" i="15"/>
  <c r="D323" i="15" s="1"/>
  <c r="K323" i="15"/>
  <c r="A324" i="15"/>
  <c r="X323" i="15"/>
  <c r="AB323" i="15"/>
  <c r="K319" i="20"/>
  <c r="AB319" i="20"/>
  <c r="L319" i="20"/>
  <c r="A320" i="20"/>
  <c r="X319" i="20"/>
  <c r="AB325" i="1"/>
  <c r="AK325" i="1"/>
  <c r="K325" i="1"/>
  <c r="X325" i="1"/>
  <c r="A326" i="1"/>
  <c r="L325" i="1"/>
  <c r="D325" i="1" s="1"/>
  <c r="AJ325" i="1"/>
  <c r="D320" i="17"/>
  <c r="A318" i="23"/>
  <c r="AB317" i="23"/>
  <c r="X317" i="23"/>
  <c r="L317" i="23"/>
  <c r="K317" i="23"/>
  <c r="X316" i="24"/>
  <c r="AB316" i="24"/>
  <c r="A317" i="24"/>
  <c r="L316" i="24"/>
  <c r="K316" i="24"/>
  <c r="D324" i="1"/>
  <c r="AB320" i="18"/>
  <c r="A321" i="18"/>
  <c r="L320" i="18"/>
  <c r="X320" i="18"/>
  <c r="K320" i="18"/>
  <c r="A322" i="18"/>
  <c r="K321" i="18"/>
  <c r="L321" i="18"/>
  <c r="AB321" i="18"/>
  <c r="X321" i="18"/>
  <c r="AB323" i="16"/>
  <c r="K323" i="16"/>
  <c r="L323" i="16"/>
  <c r="D323" i="16" s="1"/>
  <c r="X323" i="16"/>
  <c r="A324" i="16"/>
  <c r="AB317" i="24"/>
  <c r="X317" i="24"/>
  <c r="K317" i="24"/>
  <c r="A318" i="24"/>
  <c r="L317" i="24"/>
  <c r="AB318" i="23"/>
  <c r="K318" i="23"/>
  <c r="L318" i="23"/>
  <c r="A319" i="23"/>
  <c r="X318" i="23"/>
  <c r="AJ326" i="1"/>
  <c r="L326" i="1"/>
  <c r="D326" i="1" s="1"/>
  <c r="K326" i="1"/>
  <c r="A327" i="1"/>
  <c r="AK326" i="1"/>
  <c r="X326" i="1"/>
  <c r="AB326" i="1"/>
  <c r="A321" i="20"/>
  <c r="X320" i="20"/>
  <c r="K320" i="20"/>
  <c r="L320" i="20"/>
  <c r="AB320" i="20"/>
  <c r="A325" i="15"/>
  <c r="X324" i="15"/>
  <c r="AB324" i="15"/>
  <c r="L324" i="15"/>
  <c r="D324" i="15" s="1"/>
  <c r="K324" i="15"/>
  <c r="X316" i="25"/>
  <c r="AB316" i="25"/>
  <c r="L316" i="25"/>
  <c r="A317" i="25"/>
  <c r="K316" i="25"/>
  <c r="AB322" i="17"/>
  <c r="X322" i="17"/>
  <c r="L322" i="17"/>
  <c r="D322" i="17" s="1"/>
  <c r="K322" i="17"/>
  <c r="A323" i="17"/>
  <c r="K319" i="22"/>
  <c r="A320" i="22"/>
  <c r="AB319" i="22"/>
  <c r="X319" i="22"/>
  <c r="L319" i="22"/>
  <c r="D322" i="16"/>
  <c r="A321" i="22"/>
  <c r="X320" i="22"/>
  <c r="K320" i="22"/>
  <c r="L320" i="22"/>
  <c r="AB320" i="22"/>
  <c r="K323" i="17"/>
  <c r="AB323" i="17"/>
  <c r="X323" i="17"/>
  <c r="L323" i="17"/>
  <c r="A324" i="17"/>
  <c r="A318" i="25"/>
  <c r="AB317" i="25"/>
  <c r="X317" i="25"/>
  <c r="K317" i="25"/>
  <c r="L317" i="25"/>
  <c r="AB321" i="20"/>
  <c r="X321" i="20"/>
  <c r="L321" i="20"/>
  <c r="A322" i="20"/>
  <c r="K321" i="20"/>
  <c r="X327" i="1"/>
  <c r="AJ327" i="1"/>
  <c r="L327" i="1"/>
  <c r="D327" i="1" s="1"/>
  <c r="AK327" i="1"/>
  <c r="A328" i="1"/>
  <c r="AB327" i="1"/>
  <c r="K327" i="1"/>
  <c r="K318" i="24"/>
  <c r="A319" i="24"/>
  <c r="L318" i="24"/>
  <c r="AB318" i="24"/>
  <c r="X318" i="24"/>
  <c r="AB325" i="15"/>
  <c r="A326" i="15"/>
  <c r="K325" i="15"/>
  <c r="L325" i="15"/>
  <c r="X325" i="15"/>
  <c r="K319" i="23"/>
  <c r="L319" i="23"/>
  <c r="A320" i="23"/>
  <c r="X319" i="23"/>
  <c r="AB319" i="23"/>
  <c r="K324" i="16"/>
  <c r="L324" i="16"/>
  <c r="D324" i="16" s="1"/>
  <c r="X324" i="16"/>
  <c r="AB324" i="16"/>
  <c r="A325" i="16"/>
  <c r="K322" i="18"/>
  <c r="AB322" i="18"/>
  <c r="A323" i="18"/>
  <c r="L322" i="18"/>
  <c r="X322" i="18"/>
  <c r="AB325" i="16"/>
  <c r="X325" i="16"/>
  <c r="A326" i="16"/>
  <c r="L325" i="16"/>
  <c r="D325" i="16" s="1"/>
  <c r="K325" i="16"/>
  <c r="K320" i="23"/>
  <c r="L320" i="23"/>
  <c r="A321" i="23"/>
  <c r="X320" i="23"/>
  <c r="AB320" i="23"/>
  <c r="AB326" i="15"/>
  <c r="L326" i="15"/>
  <c r="D326" i="15" s="1"/>
  <c r="A327" i="15"/>
  <c r="K326" i="15"/>
  <c r="X326" i="15"/>
  <c r="A329" i="1"/>
  <c r="AK328" i="1"/>
  <c r="K328" i="1"/>
  <c r="AB328" i="1"/>
  <c r="L328" i="1"/>
  <c r="D328" i="1" s="1"/>
  <c r="AJ328" i="1"/>
  <c r="X328" i="1"/>
  <c r="AB318" i="25"/>
  <c r="L318" i="25"/>
  <c r="A319" i="25"/>
  <c r="X318" i="25"/>
  <c r="K318" i="25"/>
  <c r="AB321" i="22"/>
  <c r="X321" i="22"/>
  <c r="A322" i="22"/>
  <c r="L321" i="22"/>
  <c r="K321" i="22"/>
  <c r="X323" i="18"/>
  <c r="K323" i="18"/>
  <c r="A324" i="18"/>
  <c r="L323" i="18"/>
  <c r="AB323" i="18"/>
  <c r="D325" i="15"/>
  <c r="AB319" i="24"/>
  <c r="L319" i="24"/>
  <c r="K319" i="24"/>
  <c r="X319" i="24"/>
  <c r="A320" i="24"/>
  <c r="X322" i="20"/>
  <c r="K322" i="20"/>
  <c r="A323" i="20"/>
  <c r="AB322" i="20"/>
  <c r="L322" i="20"/>
  <c r="AB324" i="17"/>
  <c r="X324" i="17"/>
  <c r="K324" i="17"/>
  <c r="L324" i="17"/>
  <c r="D324" i="17" s="1"/>
  <c r="A325" i="17"/>
  <c r="D323" i="17"/>
  <c r="A324" i="20"/>
  <c r="X323" i="20"/>
  <c r="L323" i="20"/>
  <c r="K323" i="20"/>
  <c r="AB323" i="20"/>
  <c r="X319" i="25"/>
  <c r="AB319" i="25"/>
  <c r="L319" i="25"/>
  <c r="K319" i="25"/>
  <c r="A320" i="25"/>
  <c r="K321" i="23"/>
  <c r="L321" i="23"/>
  <c r="A322" i="23"/>
  <c r="X321" i="23"/>
  <c r="AB321" i="23"/>
  <c r="A326" i="17"/>
  <c r="L325" i="17"/>
  <c r="D325" i="17" s="1"/>
  <c r="K325" i="17"/>
  <c r="AB325" i="17"/>
  <c r="X325" i="17"/>
  <c r="X320" i="24"/>
  <c r="AB320" i="24"/>
  <c r="K320" i="24"/>
  <c r="A321" i="24"/>
  <c r="L320" i="24"/>
  <c r="A325" i="18"/>
  <c r="AB324" i="18"/>
  <c r="X324" i="18"/>
  <c r="L324" i="18"/>
  <c r="K324" i="18"/>
  <c r="AB322" i="22"/>
  <c r="A323" i="22"/>
  <c r="L322" i="22"/>
  <c r="X322" i="22"/>
  <c r="K322" i="22"/>
  <c r="AK329" i="1"/>
  <c r="AJ329" i="1"/>
  <c r="K329" i="1"/>
  <c r="AB329" i="1"/>
  <c r="X329" i="1"/>
  <c r="L329" i="1"/>
  <c r="D329" i="1" s="1"/>
  <c r="A330" i="1"/>
  <c r="L327" i="15"/>
  <c r="K327" i="15"/>
  <c r="AB327" i="15"/>
  <c r="X327" i="15"/>
  <c r="A328" i="15"/>
  <c r="AB326" i="16"/>
  <c r="A327" i="16"/>
  <c r="X326" i="16"/>
  <c r="L326" i="16"/>
  <c r="D326" i="16" s="1"/>
  <c r="K326" i="16"/>
  <c r="D327" i="15"/>
  <c r="AK330" i="1"/>
  <c r="K330" i="1"/>
  <c r="AB330" i="1"/>
  <c r="AJ330" i="1"/>
  <c r="A331" i="1"/>
  <c r="L330" i="1"/>
  <c r="D330" i="1" s="1"/>
  <c r="X330" i="1"/>
  <c r="AB323" i="22"/>
  <c r="L323" i="22"/>
  <c r="X323" i="22"/>
  <c r="K323" i="22"/>
  <c r="A324" i="22"/>
  <c r="K321" i="24"/>
  <c r="A322" i="24"/>
  <c r="L321" i="24"/>
  <c r="X321" i="24"/>
  <c r="AB321" i="24"/>
  <c r="X322" i="23"/>
  <c r="K322" i="23"/>
  <c r="L322" i="23"/>
  <c r="AB322" i="23"/>
  <c r="A323" i="23"/>
  <c r="X320" i="25"/>
  <c r="A321" i="25"/>
  <c r="K320" i="25"/>
  <c r="L320" i="25"/>
  <c r="AB320" i="25"/>
  <c r="AB327" i="16"/>
  <c r="A328" i="16"/>
  <c r="X327" i="16"/>
  <c r="K327" i="16"/>
  <c r="L327" i="16"/>
  <c r="D327" i="16" s="1"/>
  <c r="A329" i="15"/>
  <c r="L328" i="15"/>
  <c r="D328" i="15" s="1"/>
  <c r="X328" i="15"/>
  <c r="AB328" i="15"/>
  <c r="K328" i="15"/>
  <c r="AB325" i="18"/>
  <c r="L325" i="18"/>
  <c r="K325" i="18"/>
  <c r="A326" i="18"/>
  <c r="X325" i="18"/>
  <c r="L326" i="17"/>
  <c r="K326" i="17"/>
  <c r="AB326" i="17"/>
  <c r="X326" i="17"/>
  <c r="A327" i="17"/>
  <c r="AB324" i="20"/>
  <c r="X324" i="20"/>
  <c r="K324" i="20"/>
  <c r="L324" i="20"/>
  <c r="A325" i="20"/>
  <c r="A328" i="17"/>
  <c r="K327" i="17"/>
  <c r="AB327" i="17"/>
  <c r="X327" i="17"/>
  <c r="L327" i="17"/>
  <c r="K329" i="15"/>
  <c r="X329" i="15"/>
  <c r="L329" i="15"/>
  <c r="D329" i="15" s="1"/>
  <c r="A330" i="15"/>
  <c r="AB329" i="15"/>
  <c r="A329" i="16"/>
  <c r="X328" i="16"/>
  <c r="AB328" i="16"/>
  <c r="K328" i="16"/>
  <c r="L328" i="16"/>
  <c r="D328" i="16" s="1"/>
  <c r="A322" i="25"/>
  <c r="L321" i="25"/>
  <c r="K321" i="25"/>
  <c r="X321" i="25"/>
  <c r="AB321" i="25"/>
  <c r="X323" i="23"/>
  <c r="L323" i="23"/>
  <c r="A324" i="23"/>
  <c r="AB323" i="23"/>
  <c r="K323" i="23"/>
  <c r="AK331" i="1"/>
  <c r="A332" i="1"/>
  <c r="L331" i="1"/>
  <c r="D331" i="1" s="1"/>
  <c r="K331" i="1"/>
  <c r="AJ331" i="1"/>
  <c r="X331" i="1"/>
  <c r="AB331" i="1"/>
  <c r="AB325" i="20"/>
  <c r="X325" i="20"/>
  <c r="A326" i="20"/>
  <c r="L325" i="20"/>
  <c r="K325" i="20"/>
  <c r="D326" i="17"/>
  <c r="A327" i="18"/>
  <c r="K326" i="18"/>
  <c r="X326" i="18"/>
  <c r="AB326" i="18"/>
  <c r="L326" i="18"/>
  <c r="AB322" i="24"/>
  <c r="L322" i="24"/>
  <c r="K322" i="24"/>
  <c r="A323" i="24"/>
  <c r="X322" i="24"/>
  <c r="X324" i="22"/>
  <c r="L324" i="22"/>
  <c r="K324" i="22"/>
  <c r="A325" i="22"/>
  <c r="AB324" i="22"/>
  <c r="AB322" i="25"/>
  <c r="K322" i="25"/>
  <c r="X322" i="25"/>
  <c r="A323" i="25"/>
  <c r="L322" i="25"/>
  <c r="K328" i="17"/>
  <c r="A329" i="17"/>
  <c r="L328" i="17"/>
  <c r="X328" i="17"/>
  <c r="AB328" i="17"/>
  <c r="K325" i="22"/>
  <c r="L325" i="22"/>
  <c r="X325" i="22"/>
  <c r="AB325" i="22"/>
  <c r="A326" i="22"/>
  <c r="AB323" i="24"/>
  <c r="K323" i="24"/>
  <c r="A324" i="24"/>
  <c r="L323" i="24"/>
  <c r="X323" i="24"/>
  <c r="A328" i="18"/>
  <c r="AB327" i="18"/>
  <c r="X327" i="18"/>
  <c r="L327" i="18"/>
  <c r="K327" i="18"/>
  <c r="X326" i="20"/>
  <c r="L326" i="20"/>
  <c r="A327" i="20"/>
  <c r="K326" i="20"/>
  <c r="AB326" i="20"/>
  <c r="AB332" i="1"/>
  <c r="AJ332" i="1"/>
  <c r="X332" i="1"/>
  <c r="AK332" i="1"/>
  <c r="L332" i="1"/>
  <c r="K332" i="1"/>
  <c r="A333" i="1"/>
  <c r="A325" i="23"/>
  <c r="X324" i="23"/>
  <c r="K324" i="23"/>
  <c r="AB324" i="23"/>
  <c r="L324" i="23"/>
  <c r="K329" i="16"/>
  <c r="A330" i="16"/>
  <c r="L329" i="16"/>
  <c r="D329" i="16" s="1"/>
  <c r="AB329" i="16"/>
  <c r="X329" i="16"/>
  <c r="X330" i="15"/>
  <c r="L330" i="15"/>
  <c r="AB330" i="15"/>
  <c r="A331" i="15"/>
  <c r="K330" i="15"/>
  <c r="D327" i="17"/>
  <c r="A332" i="15"/>
  <c r="K331" i="15"/>
  <c r="AB331" i="15"/>
  <c r="L331" i="15"/>
  <c r="X331" i="15"/>
  <c r="D330" i="15"/>
  <c r="X325" i="23"/>
  <c r="A326" i="23"/>
  <c r="AB325" i="23"/>
  <c r="K325" i="23"/>
  <c r="L325" i="23"/>
  <c r="D328" i="17"/>
  <c r="X329" i="17"/>
  <c r="K329" i="17"/>
  <c r="L329" i="17"/>
  <c r="A330" i="17"/>
  <c r="AB329" i="17"/>
  <c r="A324" i="25"/>
  <c r="AB323" i="25"/>
  <c r="L323" i="25"/>
  <c r="X323" i="25"/>
  <c r="K323" i="25"/>
  <c r="K330" i="16"/>
  <c r="A331" i="16"/>
  <c r="L330" i="16"/>
  <c r="D330" i="16" s="1"/>
  <c r="X330" i="16"/>
  <c r="AB330" i="16"/>
  <c r="A334" i="1"/>
  <c r="K333" i="1"/>
  <c r="AK333" i="1"/>
  <c r="X333" i="1"/>
  <c r="AB333" i="1"/>
  <c r="AJ333" i="1"/>
  <c r="A30" i="7"/>
  <c r="L333" i="1"/>
  <c r="D333" i="1" s="1"/>
  <c r="X327" i="20"/>
  <c r="K327" i="20"/>
  <c r="L327" i="20"/>
  <c r="A328" i="20"/>
  <c r="AB327" i="20"/>
  <c r="X328" i="18"/>
  <c r="L328" i="18"/>
  <c r="A329" i="18"/>
  <c r="K328" i="18"/>
  <c r="AB328" i="18"/>
  <c r="K324" i="24"/>
  <c r="L324" i="24"/>
  <c r="X324" i="24"/>
  <c r="AB324" i="24"/>
  <c r="A325" i="24"/>
  <c r="X326" i="22"/>
  <c r="K326" i="22"/>
  <c r="L326" i="22"/>
  <c r="AB326" i="22"/>
  <c r="A327" i="22"/>
  <c r="K327" i="22"/>
  <c r="A328" i="22"/>
  <c r="L327" i="22"/>
  <c r="AB327" i="22"/>
  <c r="X327" i="22"/>
  <c r="AB325" i="24"/>
  <c r="K325" i="24"/>
  <c r="L325" i="24"/>
  <c r="X325" i="24"/>
  <c r="A326" i="24"/>
  <c r="K328" i="20"/>
  <c r="X328" i="20"/>
  <c r="AB328" i="20"/>
  <c r="A329" i="20"/>
  <c r="L328" i="20"/>
  <c r="B30" i="7"/>
  <c r="D329" i="17"/>
  <c r="D331" i="15"/>
  <c r="X329" i="18"/>
  <c r="A330" i="18"/>
  <c r="K329" i="18"/>
  <c r="AB329" i="18"/>
  <c r="L329" i="18"/>
  <c r="A335" i="1"/>
  <c r="X334" i="1"/>
  <c r="AB334" i="1"/>
  <c r="AJ334" i="1"/>
  <c r="K334" i="1"/>
  <c r="L334" i="1"/>
  <c r="AK334" i="1"/>
  <c r="L331" i="16"/>
  <c r="AB331" i="16"/>
  <c r="A332" i="16"/>
  <c r="X331" i="16"/>
  <c r="K331" i="16"/>
  <c r="AB324" i="25"/>
  <c r="K324" i="25"/>
  <c r="L324" i="25"/>
  <c r="A325" i="25"/>
  <c r="X324" i="25"/>
  <c r="A331" i="17"/>
  <c r="L330" i="17"/>
  <c r="D330" i="17" s="1"/>
  <c r="X330" i="17"/>
  <c r="K330" i="17"/>
  <c r="AB330" i="17"/>
  <c r="K326" i="23"/>
  <c r="L326" i="23"/>
  <c r="AB326" i="23"/>
  <c r="X326" i="23"/>
  <c r="A327" i="23"/>
  <c r="AB332" i="15"/>
  <c r="A333" i="15"/>
  <c r="X332" i="15"/>
  <c r="L332" i="15"/>
  <c r="D332" i="15" s="1"/>
  <c r="K332" i="15"/>
  <c r="X333" i="15"/>
  <c r="A334" i="15"/>
  <c r="A42" i="7"/>
  <c r="AB333" i="15"/>
  <c r="K333" i="15"/>
  <c r="L333" i="15"/>
  <c r="B42" i="7" s="1"/>
  <c r="AB327" i="23"/>
  <c r="L327" i="23"/>
  <c r="A328" i="23"/>
  <c r="X327" i="23"/>
  <c r="K327" i="23"/>
  <c r="A332" i="17"/>
  <c r="X331" i="17"/>
  <c r="AB331" i="17"/>
  <c r="K331" i="17"/>
  <c r="L331" i="17"/>
  <c r="D331" i="17" s="1"/>
  <c r="AB332" i="16"/>
  <c r="K332" i="16"/>
  <c r="X332" i="16"/>
  <c r="L332" i="16"/>
  <c r="A333" i="16"/>
  <c r="D331" i="16"/>
  <c r="AB330" i="18"/>
  <c r="L330" i="18"/>
  <c r="K330" i="18"/>
  <c r="A331" i="18"/>
  <c r="X330" i="18"/>
  <c r="X329" i="20"/>
  <c r="A330" i="20"/>
  <c r="AB329" i="20"/>
  <c r="K329" i="20"/>
  <c r="L329" i="20"/>
  <c r="A327" i="24"/>
  <c r="AB326" i="24"/>
  <c r="L326" i="24"/>
  <c r="X326" i="24"/>
  <c r="K326" i="24"/>
  <c r="X328" i="22"/>
  <c r="A329" i="22"/>
  <c r="L328" i="22"/>
  <c r="K328" i="22"/>
  <c r="AB328" i="22"/>
  <c r="A326" i="25"/>
  <c r="K325" i="25"/>
  <c r="L325" i="25"/>
  <c r="X325" i="25"/>
  <c r="AB325" i="25"/>
  <c r="AB335" i="1"/>
  <c r="L335" i="1"/>
  <c r="D335" i="1" s="1"/>
  <c r="X335" i="1"/>
  <c r="AK335" i="1"/>
  <c r="A336" i="1"/>
  <c r="AJ335" i="1"/>
  <c r="K335" i="1"/>
  <c r="A327" i="25"/>
  <c r="AB326" i="25"/>
  <c r="X326" i="25"/>
  <c r="K326" i="25"/>
  <c r="L326" i="25"/>
  <c r="A330" i="22"/>
  <c r="K329" i="22"/>
  <c r="L329" i="22"/>
  <c r="AB329" i="22"/>
  <c r="X329" i="22"/>
  <c r="AB333" i="16"/>
  <c r="K333" i="16"/>
  <c r="X333" i="16"/>
  <c r="A54" i="7"/>
  <c r="A334" i="16"/>
  <c r="L333" i="16"/>
  <c r="D333" i="16" s="1"/>
  <c r="D332" i="16"/>
  <c r="K332" i="17"/>
  <c r="X332" i="17"/>
  <c r="L332" i="17"/>
  <c r="A333" i="17"/>
  <c r="AB332" i="17"/>
  <c r="K334" i="15"/>
  <c r="A335" i="15"/>
  <c r="X334" i="15"/>
  <c r="AB334" i="15"/>
  <c r="L334" i="15"/>
  <c r="D334" i="15" s="1"/>
  <c r="AK336" i="1"/>
  <c r="K336" i="1"/>
  <c r="A337" i="1"/>
  <c r="X336" i="1"/>
  <c r="AJ336" i="1"/>
  <c r="L336" i="1"/>
  <c r="D336" i="1" s="1"/>
  <c r="AB336" i="1"/>
  <c r="X327" i="24"/>
  <c r="K327" i="24"/>
  <c r="L327" i="24"/>
  <c r="A328" i="24"/>
  <c r="AB327" i="24"/>
  <c r="AB330" i="20"/>
  <c r="A331" i="20"/>
  <c r="L330" i="20"/>
  <c r="X330" i="20"/>
  <c r="K330" i="20"/>
  <c r="X331" i="18"/>
  <c r="AB331" i="18"/>
  <c r="A332" i="18"/>
  <c r="L331" i="18"/>
  <c r="K331" i="18"/>
  <c r="K328" i="23"/>
  <c r="A329" i="23"/>
  <c r="L328" i="23"/>
  <c r="X328" i="23"/>
  <c r="AB328" i="23"/>
  <c r="K332" i="18"/>
  <c r="AB332" i="18"/>
  <c r="A333" i="18"/>
  <c r="X332" i="18"/>
  <c r="L332" i="18"/>
  <c r="AB335" i="15"/>
  <c r="K335" i="15"/>
  <c r="A336" i="15"/>
  <c r="X335" i="15"/>
  <c r="L335" i="15"/>
  <c r="D335" i="15" s="1"/>
  <c r="B54" i="7"/>
  <c r="X334" i="16"/>
  <c r="L334" i="16"/>
  <c r="D334" i="16" s="1"/>
  <c r="K334" i="16"/>
  <c r="A335" i="16"/>
  <c r="AB334" i="16"/>
  <c r="A330" i="23"/>
  <c r="AB329" i="23"/>
  <c r="K329" i="23"/>
  <c r="X329" i="23"/>
  <c r="L329" i="23"/>
  <c r="K331" i="20"/>
  <c r="L331" i="20"/>
  <c r="A332" i="20"/>
  <c r="X331" i="20"/>
  <c r="AB331" i="20"/>
  <c r="X328" i="24"/>
  <c r="K328" i="24"/>
  <c r="AB328" i="24"/>
  <c r="A329" i="24"/>
  <c r="L328" i="24"/>
  <c r="L337" i="1"/>
  <c r="D337" i="1" s="1"/>
  <c r="AJ337" i="1"/>
  <c r="K337" i="1"/>
  <c r="A338" i="1"/>
  <c r="X337" i="1"/>
  <c r="AB337" i="1"/>
  <c r="AK337" i="1"/>
  <c r="X333" i="17"/>
  <c r="A66" i="7"/>
  <c r="L333" i="17"/>
  <c r="D333" i="17" s="1"/>
  <c r="A334" i="17"/>
  <c r="AB333" i="17"/>
  <c r="K333" i="17"/>
  <c r="D332" i="17"/>
  <c r="K330" i="22"/>
  <c r="A331" i="22"/>
  <c r="L330" i="22"/>
  <c r="X330" i="22"/>
  <c r="AB330" i="22"/>
  <c r="AB327" i="25"/>
  <c r="L327" i="25"/>
  <c r="K327" i="25"/>
  <c r="A328" i="25"/>
  <c r="X327" i="25"/>
  <c r="AB328" i="25"/>
  <c r="K328" i="25"/>
  <c r="X328" i="25"/>
  <c r="A329" i="25"/>
  <c r="L328" i="25"/>
  <c r="AB331" i="22"/>
  <c r="X331" i="22"/>
  <c r="L331" i="22"/>
  <c r="K331" i="22"/>
  <c r="A332" i="22"/>
  <c r="L334" i="17"/>
  <c r="D334" i="17" s="1"/>
  <c r="AB334" i="17"/>
  <c r="K334" i="17"/>
  <c r="X334" i="17"/>
  <c r="A335" i="17"/>
  <c r="B66" i="7"/>
  <c r="AJ338" i="1"/>
  <c r="AB338" i="1"/>
  <c r="X338" i="1"/>
  <c r="A339" i="1"/>
  <c r="K338" i="1"/>
  <c r="AK338" i="1"/>
  <c r="L338" i="1"/>
  <c r="D338" i="1" s="1"/>
  <c r="AB330" i="23"/>
  <c r="L330" i="23"/>
  <c r="A331" i="23"/>
  <c r="X330" i="23"/>
  <c r="K330" i="23"/>
  <c r="A334" i="18"/>
  <c r="A78" i="7"/>
  <c r="L333" i="18"/>
  <c r="B78" i="7" s="1"/>
  <c r="K333" i="18"/>
  <c r="AB333" i="18"/>
  <c r="X333" i="18"/>
  <c r="AB329" i="24"/>
  <c r="K329" i="24"/>
  <c r="X329" i="24"/>
  <c r="L329" i="24"/>
  <c r="A330" i="24"/>
  <c r="K332" i="20"/>
  <c r="L332" i="20"/>
  <c r="X332" i="20"/>
  <c r="A333" i="20"/>
  <c r="AB332" i="20"/>
  <c r="A336" i="16"/>
  <c r="K335" i="16"/>
  <c r="L335" i="16"/>
  <c r="D335" i="16" s="1"/>
  <c r="AB335" i="16"/>
  <c r="X335" i="16"/>
  <c r="L336" i="15"/>
  <c r="D336" i="15" s="1"/>
  <c r="A337" i="15"/>
  <c r="X336" i="15"/>
  <c r="AB336" i="15"/>
  <c r="K336" i="15"/>
  <c r="K333" i="20"/>
  <c r="A334" i="20"/>
  <c r="AB333" i="20"/>
  <c r="X333" i="20"/>
  <c r="L333" i="20"/>
  <c r="AF30" i="7" s="1"/>
  <c r="AE30" i="7"/>
  <c r="X330" i="24"/>
  <c r="AB330" i="24"/>
  <c r="K330" i="24"/>
  <c r="L330" i="24"/>
  <c r="A331" i="24"/>
  <c r="AB334" i="18"/>
  <c r="K334" i="18"/>
  <c r="L334" i="18"/>
  <c r="A335" i="18"/>
  <c r="X334" i="18"/>
  <c r="L339" i="1"/>
  <c r="D339" i="1" s="1"/>
  <c r="AJ339" i="1"/>
  <c r="X339" i="1"/>
  <c r="A340" i="1"/>
  <c r="AK339" i="1"/>
  <c r="AB339" i="1"/>
  <c r="K339" i="1"/>
  <c r="AB332" i="22"/>
  <c r="X332" i="22"/>
  <c r="A333" i="22"/>
  <c r="L332" i="22"/>
  <c r="K332" i="22"/>
  <c r="L337" i="15"/>
  <c r="AB337" i="15"/>
  <c r="A338" i="15"/>
  <c r="X337" i="15"/>
  <c r="K337" i="15"/>
  <c r="X336" i="16"/>
  <c r="K336" i="16"/>
  <c r="L336" i="16"/>
  <c r="D336" i="16" s="1"/>
  <c r="A337" i="16"/>
  <c r="AB336" i="16"/>
  <c r="K331" i="23"/>
  <c r="L331" i="23"/>
  <c r="A332" i="23"/>
  <c r="AB331" i="23"/>
  <c r="X331" i="23"/>
  <c r="A336" i="17"/>
  <c r="L335" i="17"/>
  <c r="X335" i="17"/>
  <c r="K335" i="17"/>
  <c r="AB335" i="17"/>
  <c r="AB329" i="25"/>
  <c r="X329" i="25"/>
  <c r="K329" i="25"/>
  <c r="A330" i="25"/>
  <c r="L329" i="25"/>
  <c r="A331" i="25"/>
  <c r="AB330" i="25"/>
  <c r="X330" i="25"/>
  <c r="L330" i="25"/>
  <c r="K330" i="25"/>
  <c r="D335" i="17"/>
  <c r="AB332" i="23"/>
  <c r="L332" i="23"/>
  <c r="X332" i="23"/>
  <c r="A333" i="23"/>
  <c r="K332" i="23"/>
  <c r="AB335" i="18"/>
  <c r="L335" i="18"/>
  <c r="X335" i="18"/>
  <c r="K335" i="18"/>
  <c r="A336" i="18"/>
  <c r="K331" i="24"/>
  <c r="X331" i="24"/>
  <c r="L331" i="24"/>
  <c r="A332" i="24"/>
  <c r="AB331" i="24"/>
  <c r="K334" i="20"/>
  <c r="L334" i="20"/>
  <c r="A335" i="20"/>
  <c r="AB334" i="20"/>
  <c r="X334" i="20"/>
  <c r="AB336" i="17"/>
  <c r="X336" i="17"/>
  <c r="A337" i="17"/>
  <c r="K336" i="17"/>
  <c r="L336" i="17"/>
  <c r="L337" i="16"/>
  <c r="D337" i="16" s="1"/>
  <c r="X337" i="16"/>
  <c r="K337" i="16"/>
  <c r="A338" i="16"/>
  <c r="AB337" i="16"/>
  <c r="X338" i="15"/>
  <c r="AB338" i="15"/>
  <c r="A339" i="15"/>
  <c r="K338" i="15"/>
  <c r="L338" i="15"/>
  <c r="D338" i="15" s="1"/>
  <c r="D337" i="15"/>
  <c r="AB333" i="22"/>
  <c r="AE42" i="7"/>
  <c r="L333" i="22"/>
  <c r="AF42" i="7" s="1"/>
  <c r="A334" i="22"/>
  <c r="K333" i="22"/>
  <c r="X333" i="22"/>
  <c r="K340" i="1"/>
  <c r="X340" i="1"/>
  <c r="A341" i="1"/>
  <c r="AJ340" i="1"/>
  <c r="L340" i="1"/>
  <c r="D340" i="1" s="1"/>
  <c r="AK340" i="1"/>
  <c r="AB340" i="1"/>
  <c r="AB334" i="22"/>
  <c r="A335" i="22"/>
  <c r="K334" i="22"/>
  <c r="X334" i="22"/>
  <c r="L334" i="22"/>
  <c r="A340" i="15"/>
  <c r="X339" i="15"/>
  <c r="K339" i="15"/>
  <c r="AB339" i="15"/>
  <c r="L339" i="15"/>
  <c r="X338" i="16"/>
  <c r="K338" i="16"/>
  <c r="AB338" i="16"/>
  <c r="A339" i="16"/>
  <c r="L338" i="16"/>
  <c r="D338" i="16" s="1"/>
  <c r="L337" i="17"/>
  <c r="D337" i="17" s="1"/>
  <c r="K337" i="17"/>
  <c r="X337" i="17"/>
  <c r="A338" i="17"/>
  <c r="AB337" i="17"/>
  <c r="X331" i="25"/>
  <c r="AB331" i="25"/>
  <c r="A332" i="25"/>
  <c r="L331" i="25"/>
  <c r="K331" i="25"/>
  <c r="AK341" i="1"/>
  <c r="K341" i="1"/>
  <c r="L341" i="1"/>
  <c r="D341" i="1" s="1"/>
  <c r="AJ341" i="1"/>
  <c r="X341" i="1"/>
  <c r="A342" i="1"/>
  <c r="AB341" i="1"/>
  <c r="D336" i="17"/>
  <c r="AB335" i="20"/>
  <c r="A336" i="20"/>
  <c r="L335" i="20"/>
  <c r="K335" i="20"/>
  <c r="X335" i="20"/>
  <c r="K332" i="24"/>
  <c r="A333" i="24"/>
  <c r="L332" i="24"/>
  <c r="X332" i="24"/>
  <c r="AB332" i="24"/>
  <c r="X336" i="18"/>
  <c r="L336" i="18"/>
  <c r="A337" i="18"/>
  <c r="AB336" i="18"/>
  <c r="K336" i="18"/>
  <c r="AE54" i="7"/>
  <c r="A334" i="23"/>
  <c r="L333" i="23"/>
  <c r="AF54" i="7" s="1"/>
  <c r="X333" i="23"/>
  <c r="K333" i="23"/>
  <c r="AB333" i="23"/>
  <c r="D339" i="15"/>
  <c r="X334" i="23"/>
  <c r="AB334" i="23"/>
  <c r="L334" i="23"/>
  <c r="A335" i="23"/>
  <c r="K334" i="23"/>
  <c r="L337" i="18"/>
  <c r="X337" i="18"/>
  <c r="A338" i="18"/>
  <c r="AB337" i="18"/>
  <c r="K337" i="18"/>
  <c r="AB333" i="24"/>
  <c r="X333" i="24"/>
  <c r="A334" i="24"/>
  <c r="AE66" i="7"/>
  <c r="L333" i="24"/>
  <c r="AF66" i="7" s="1"/>
  <c r="K333" i="24"/>
  <c r="A337" i="20"/>
  <c r="K336" i="20"/>
  <c r="X336" i="20"/>
  <c r="L336" i="20"/>
  <c r="AB336" i="20"/>
  <c r="X342" i="1"/>
  <c r="L342" i="1"/>
  <c r="A343" i="1"/>
  <c r="AK342" i="1"/>
  <c r="AJ342" i="1"/>
  <c r="AB342" i="1"/>
  <c r="K342" i="1"/>
  <c r="A333" i="25"/>
  <c r="X332" i="25"/>
  <c r="L332" i="25"/>
  <c r="K332" i="25"/>
  <c r="AB332" i="25"/>
  <c r="X338" i="17"/>
  <c r="K338" i="17"/>
  <c r="AB338" i="17"/>
  <c r="L338" i="17"/>
  <c r="D338" i="17" s="1"/>
  <c r="A339" i="17"/>
  <c r="X339" i="16"/>
  <c r="AB339" i="16"/>
  <c r="K339" i="16"/>
  <c r="A340" i="16"/>
  <c r="L339" i="16"/>
  <c r="D339" i="16" s="1"/>
  <c r="X340" i="15"/>
  <c r="AB340" i="15"/>
  <c r="L340" i="15"/>
  <c r="D340" i="15" s="1"/>
  <c r="K340" i="15"/>
  <c r="A341" i="15"/>
  <c r="A336" i="22"/>
  <c r="AB335" i="22"/>
  <c r="K335" i="22"/>
  <c r="X335" i="22"/>
  <c r="L335" i="22"/>
  <c r="AB336" i="22"/>
  <c r="A337" i="22"/>
  <c r="X336" i="22"/>
  <c r="L336" i="22"/>
  <c r="K336" i="22"/>
  <c r="AB333" i="25"/>
  <c r="AE78" i="7"/>
  <c r="L333" i="25"/>
  <c r="AF78" i="7" s="1"/>
  <c r="A334" i="25"/>
  <c r="K333" i="25"/>
  <c r="X333" i="25"/>
  <c r="L343" i="1"/>
  <c r="X343" i="1"/>
  <c r="AK343" i="1"/>
  <c r="A344" i="1"/>
  <c r="AJ343" i="1"/>
  <c r="AB343" i="1"/>
  <c r="K343" i="1"/>
  <c r="AB337" i="20"/>
  <c r="L337" i="20"/>
  <c r="K337" i="20"/>
  <c r="X337" i="20"/>
  <c r="A338" i="20"/>
  <c r="X334" i="24"/>
  <c r="A335" i="24"/>
  <c r="AB334" i="24"/>
  <c r="K334" i="24"/>
  <c r="L334" i="24"/>
  <c r="A339" i="18"/>
  <c r="AB338" i="18"/>
  <c r="K338" i="18"/>
  <c r="X338" i="18"/>
  <c r="L338" i="18"/>
  <c r="A342" i="15"/>
  <c r="L341" i="15"/>
  <c r="D341" i="15" s="1"/>
  <c r="X341" i="15"/>
  <c r="AB341" i="15"/>
  <c r="K341" i="15"/>
  <c r="AB340" i="16"/>
  <c r="X340" i="16"/>
  <c r="A341" i="16"/>
  <c r="K340" i="16"/>
  <c r="L340" i="16"/>
  <c r="D340" i="16" s="1"/>
  <c r="A340" i="17"/>
  <c r="X339" i="17"/>
  <c r="AB339" i="17"/>
  <c r="L339" i="17"/>
  <c r="K339" i="17"/>
  <c r="D342" i="1"/>
  <c r="A336" i="23"/>
  <c r="L335" i="23"/>
  <c r="X335" i="23"/>
  <c r="AB335" i="23"/>
  <c r="K335" i="23"/>
  <c r="D339" i="17"/>
  <c r="A337" i="23"/>
  <c r="AB336" i="23"/>
  <c r="X336" i="23"/>
  <c r="L336" i="23"/>
  <c r="K336" i="23"/>
  <c r="AB340" i="17"/>
  <c r="X340" i="17"/>
  <c r="L340" i="17"/>
  <c r="D340" i="17" s="1"/>
  <c r="A341" i="17"/>
  <c r="K340" i="17"/>
  <c r="L339" i="18"/>
  <c r="A340" i="18"/>
  <c r="AB339" i="18"/>
  <c r="X339" i="18"/>
  <c r="K339" i="18"/>
  <c r="X335" i="24"/>
  <c r="L335" i="24"/>
  <c r="A336" i="24"/>
  <c r="AB335" i="24"/>
  <c r="K335" i="24"/>
  <c r="X334" i="25"/>
  <c r="L334" i="25"/>
  <c r="AB334" i="25"/>
  <c r="K334" i="25"/>
  <c r="A335" i="25"/>
  <c r="K341" i="16"/>
  <c r="AB341" i="16"/>
  <c r="L341" i="16"/>
  <c r="A342" i="16"/>
  <c r="X341" i="16"/>
  <c r="L342" i="15"/>
  <c r="D342" i="15" s="1"/>
  <c r="K342" i="15"/>
  <c r="AB342" i="15"/>
  <c r="X342" i="15"/>
  <c r="A343" i="15"/>
  <c r="X338" i="20"/>
  <c r="K338" i="20"/>
  <c r="A339" i="20"/>
  <c r="AB338" i="20"/>
  <c r="L338" i="20"/>
  <c r="K344" i="1"/>
  <c r="L344" i="1"/>
  <c r="AB344" i="1"/>
  <c r="AK344" i="1"/>
  <c r="X344" i="1"/>
  <c r="AJ344" i="1"/>
  <c r="A345" i="1"/>
  <c r="X337" i="22"/>
  <c r="AB337" i="22"/>
  <c r="L337" i="22"/>
  <c r="K337" i="22"/>
  <c r="A338" i="22"/>
  <c r="AB338" i="22"/>
  <c r="L338" i="22"/>
  <c r="K338" i="22"/>
  <c r="X338" i="22"/>
  <c r="A339" i="22"/>
  <c r="K345" i="1"/>
  <c r="AK345" i="1"/>
  <c r="A346" i="1"/>
  <c r="X345" i="1"/>
  <c r="L345" i="1"/>
  <c r="AJ345" i="1"/>
  <c r="AB345" i="1"/>
  <c r="D341" i="16"/>
  <c r="A337" i="24"/>
  <c r="AB336" i="24"/>
  <c r="L336" i="24"/>
  <c r="K336" i="24"/>
  <c r="X336" i="24"/>
  <c r="K340" i="18"/>
  <c r="X340" i="18"/>
  <c r="A341" i="18"/>
  <c r="AB340" i="18"/>
  <c r="L340" i="18"/>
  <c r="X337" i="23"/>
  <c r="L337" i="23"/>
  <c r="A338" i="23"/>
  <c r="AB337" i="23"/>
  <c r="K337" i="23"/>
  <c r="D344" i="1"/>
  <c r="X339" i="20"/>
  <c r="A340" i="20"/>
  <c r="L339" i="20"/>
  <c r="AB339" i="20"/>
  <c r="K339" i="20"/>
  <c r="L343" i="15"/>
  <c r="D343" i="15" s="1"/>
  <c r="K343" i="15"/>
  <c r="A344" i="15"/>
  <c r="X343" i="15"/>
  <c r="AB343" i="15"/>
  <c r="AB342" i="16"/>
  <c r="X342" i="16"/>
  <c r="K342" i="16"/>
  <c r="A343" i="16"/>
  <c r="L342" i="16"/>
  <c r="D342" i="16" s="1"/>
  <c r="X335" i="25"/>
  <c r="AB335" i="25"/>
  <c r="L335" i="25"/>
  <c r="A336" i="25"/>
  <c r="K335" i="25"/>
  <c r="A342" i="17"/>
  <c r="L341" i="17"/>
  <c r="D341" i="17" s="1"/>
  <c r="X341" i="17"/>
  <c r="AB341" i="17"/>
  <c r="K341" i="17"/>
  <c r="X342" i="17"/>
  <c r="AB342" i="17"/>
  <c r="A343" i="17"/>
  <c r="L342" i="17"/>
  <c r="K342" i="17"/>
  <c r="A337" i="25"/>
  <c r="AB336" i="25"/>
  <c r="L336" i="25"/>
  <c r="X336" i="25"/>
  <c r="K336" i="25"/>
  <c r="L344" i="15"/>
  <c r="A345" i="15"/>
  <c r="X344" i="15"/>
  <c r="K344" i="15"/>
  <c r="AB344" i="15"/>
  <c r="K340" i="20"/>
  <c r="L340" i="20"/>
  <c r="A341" i="20"/>
  <c r="X340" i="20"/>
  <c r="AB340" i="20"/>
  <c r="A339" i="23"/>
  <c r="AB338" i="23"/>
  <c r="L338" i="23"/>
  <c r="K338" i="23"/>
  <c r="X338" i="23"/>
  <c r="X337" i="24"/>
  <c r="AB337" i="24"/>
  <c r="K337" i="24"/>
  <c r="L337" i="24"/>
  <c r="A338" i="24"/>
  <c r="AB343" i="16"/>
  <c r="L343" i="16"/>
  <c r="X343" i="16"/>
  <c r="A344" i="16"/>
  <c r="K343" i="16"/>
  <c r="X341" i="18"/>
  <c r="K341" i="18"/>
  <c r="AB341" i="18"/>
  <c r="A342" i="18"/>
  <c r="L341" i="18"/>
  <c r="D345" i="1"/>
  <c r="AJ346" i="1"/>
  <c r="AK346" i="1"/>
  <c r="L346" i="1"/>
  <c r="D346" i="1" s="1"/>
  <c r="A347" i="1"/>
  <c r="K346" i="1"/>
  <c r="AB346" i="1"/>
  <c r="X346" i="1"/>
  <c r="X339" i="22"/>
  <c r="AB339" i="22"/>
  <c r="L339" i="22"/>
  <c r="A340" i="22"/>
  <c r="K339" i="22"/>
  <c r="L347" i="1"/>
  <c r="AK347" i="1"/>
  <c r="AB347" i="1"/>
  <c r="A348" i="1"/>
  <c r="X347" i="1"/>
  <c r="AJ347" i="1"/>
  <c r="K347" i="1"/>
  <c r="AB340" i="22"/>
  <c r="X340" i="22"/>
  <c r="A341" i="22"/>
  <c r="L340" i="22"/>
  <c r="K340" i="22"/>
  <c r="AB344" i="16"/>
  <c r="X344" i="16"/>
  <c r="L344" i="16"/>
  <c r="A345" i="16"/>
  <c r="K344" i="16"/>
  <c r="D343" i="16"/>
  <c r="A339" i="24"/>
  <c r="X338" i="24"/>
  <c r="L338" i="24"/>
  <c r="K338" i="24"/>
  <c r="AB338" i="24"/>
  <c r="K341" i="20"/>
  <c r="AB341" i="20"/>
  <c r="L341" i="20"/>
  <c r="X341" i="20"/>
  <c r="A342" i="20"/>
  <c r="A338" i="25"/>
  <c r="X337" i="25"/>
  <c r="K337" i="25"/>
  <c r="AB337" i="25"/>
  <c r="L337" i="25"/>
  <c r="A344" i="17"/>
  <c r="X343" i="17"/>
  <c r="AB343" i="17"/>
  <c r="K343" i="17"/>
  <c r="L343" i="17"/>
  <c r="D343" i="17" s="1"/>
  <c r="L342" i="18"/>
  <c r="X342" i="18"/>
  <c r="AB342" i="18"/>
  <c r="A343" i="18"/>
  <c r="K342" i="18"/>
  <c r="X339" i="23"/>
  <c r="A340" i="23"/>
  <c r="K339" i="23"/>
  <c r="AB339" i="23"/>
  <c r="L339" i="23"/>
  <c r="L345" i="15"/>
  <c r="D345" i="15" s="1"/>
  <c r="K345" i="15"/>
  <c r="X345" i="15"/>
  <c r="A346" i="15"/>
  <c r="AB345" i="15"/>
  <c r="D342" i="17"/>
  <c r="L346" i="15"/>
  <c r="D346" i="15" s="1"/>
  <c r="AB346" i="15"/>
  <c r="A347" i="15"/>
  <c r="K346" i="15"/>
  <c r="X346" i="15"/>
  <c r="K344" i="17"/>
  <c r="X344" i="17"/>
  <c r="L344" i="17"/>
  <c r="D344" i="17" s="1"/>
  <c r="AB344" i="17"/>
  <c r="A345" i="17"/>
  <c r="AB339" i="24"/>
  <c r="A340" i="24"/>
  <c r="K339" i="24"/>
  <c r="X339" i="24"/>
  <c r="L339" i="24"/>
  <c r="A346" i="16"/>
  <c r="K345" i="16"/>
  <c r="X345" i="16"/>
  <c r="L345" i="16"/>
  <c r="D345" i="16" s="1"/>
  <c r="AB345" i="16"/>
  <c r="A342" i="22"/>
  <c r="L341" i="22"/>
  <c r="AB341" i="22"/>
  <c r="X341" i="22"/>
  <c r="K341" i="22"/>
  <c r="A349" i="1"/>
  <c r="AB348" i="1"/>
  <c r="AJ348" i="1"/>
  <c r="K348" i="1"/>
  <c r="AK348" i="1"/>
  <c r="L348" i="1"/>
  <c r="D348" i="1" s="1"/>
  <c r="X348" i="1"/>
  <c r="A341" i="23"/>
  <c r="K340" i="23"/>
  <c r="AB340" i="23"/>
  <c r="X340" i="23"/>
  <c r="L340" i="23"/>
  <c r="L343" i="18"/>
  <c r="X343" i="18"/>
  <c r="AB343" i="18"/>
  <c r="K343" i="18"/>
  <c r="A344" i="18"/>
  <c r="K338" i="25"/>
  <c r="X338" i="25"/>
  <c r="L338" i="25"/>
  <c r="AB338" i="25"/>
  <c r="A339" i="25"/>
  <c r="L342" i="20"/>
  <c r="K342" i="20"/>
  <c r="X342" i="20"/>
  <c r="AB342" i="20"/>
  <c r="A343" i="20"/>
  <c r="D344" i="16"/>
  <c r="D347" i="1"/>
  <c r="X339" i="25"/>
  <c r="A340" i="25"/>
  <c r="K339" i="25"/>
  <c r="AB339" i="25"/>
  <c r="L339" i="25"/>
  <c r="AB344" i="18"/>
  <c r="X344" i="18"/>
  <c r="L344" i="18"/>
  <c r="A345" i="18"/>
  <c r="K344" i="18"/>
  <c r="A350" i="1"/>
  <c r="AB349" i="1"/>
  <c r="AJ349" i="1"/>
  <c r="K349" i="1"/>
  <c r="L349" i="1"/>
  <c r="AK349" i="1"/>
  <c r="X349" i="1"/>
  <c r="A343" i="22"/>
  <c r="AB342" i="22"/>
  <c r="K342" i="22"/>
  <c r="X342" i="22"/>
  <c r="L342" i="22"/>
  <c r="AB346" i="16"/>
  <c r="X346" i="16"/>
  <c r="L346" i="16"/>
  <c r="K346" i="16"/>
  <c r="A347" i="16"/>
  <c r="AB340" i="24"/>
  <c r="A341" i="24"/>
  <c r="L340" i="24"/>
  <c r="X340" i="24"/>
  <c r="K340" i="24"/>
  <c r="K347" i="15"/>
  <c r="L347" i="15"/>
  <c r="AB347" i="15"/>
  <c r="A348" i="15"/>
  <c r="X347" i="15"/>
  <c r="A344" i="20"/>
  <c r="L343" i="20"/>
  <c r="K343" i="20"/>
  <c r="AB343" i="20"/>
  <c r="X343" i="20"/>
  <c r="K341" i="23"/>
  <c r="A342" i="23"/>
  <c r="L341" i="23"/>
  <c r="AB341" i="23"/>
  <c r="X341" i="23"/>
  <c r="L345" i="17"/>
  <c r="D345" i="17" s="1"/>
  <c r="K345" i="17"/>
  <c r="AB345" i="17"/>
  <c r="A346" i="17"/>
  <c r="X345" i="17"/>
  <c r="X342" i="23"/>
  <c r="L342" i="23"/>
  <c r="AB342" i="23"/>
  <c r="A343" i="23"/>
  <c r="K342" i="23"/>
  <c r="AB344" i="20"/>
  <c r="L344" i="20"/>
  <c r="X344" i="20"/>
  <c r="A345" i="20"/>
  <c r="K344" i="20"/>
  <c r="K348" i="15"/>
  <c r="X348" i="15"/>
  <c r="AB348" i="15"/>
  <c r="L348" i="15"/>
  <c r="D348" i="15" s="1"/>
  <c r="A349" i="15"/>
  <c r="D347" i="15"/>
  <c r="D349" i="1"/>
  <c r="L350" i="1"/>
  <c r="D350" i="1" s="1"/>
  <c r="X350" i="1"/>
  <c r="A351" i="1"/>
  <c r="AJ350" i="1"/>
  <c r="AK350" i="1"/>
  <c r="K350" i="1"/>
  <c r="AB350" i="1"/>
  <c r="X340" i="25"/>
  <c r="A341" i="25"/>
  <c r="AB340" i="25"/>
  <c r="K340" i="25"/>
  <c r="L340" i="25"/>
  <c r="A347" i="17"/>
  <c r="K346" i="17"/>
  <c r="L346" i="17"/>
  <c r="D346" i="17" s="1"/>
  <c r="X346" i="17"/>
  <c r="AB346" i="17"/>
  <c r="AB341" i="24"/>
  <c r="K341" i="24"/>
  <c r="X341" i="24"/>
  <c r="A342" i="24"/>
  <c r="L341" i="24"/>
  <c r="K347" i="16"/>
  <c r="A348" i="16"/>
  <c r="L347" i="16"/>
  <c r="D347" i="16" s="1"/>
  <c r="AB347" i="16"/>
  <c r="X347" i="16"/>
  <c r="D346" i="16"/>
  <c r="X343" i="22"/>
  <c r="A344" i="22"/>
  <c r="L343" i="22"/>
  <c r="K343" i="22"/>
  <c r="AB343" i="22"/>
  <c r="A346" i="18"/>
  <c r="K345" i="18"/>
  <c r="AB345" i="18"/>
  <c r="X345" i="18"/>
  <c r="L345" i="18"/>
  <c r="L348" i="16"/>
  <c r="AB348" i="16"/>
  <c r="A349" i="16"/>
  <c r="X348" i="16"/>
  <c r="K348" i="16"/>
  <c r="K342" i="24"/>
  <c r="L342" i="24"/>
  <c r="A343" i="24"/>
  <c r="AB342" i="24"/>
  <c r="X342" i="24"/>
  <c r="K351" i="1"/>
  <c r="L351" i="1"/>
  <c r="D351" i="1" s="1"/>
  <c r="AJ351" i="1"/>
  <c r="A352" i="1"/>
  <c r="X351" i="1"/>
  <c r="AB351" i="1"/>
  <c r="AK351" i="1"/>
  <c r="AB349" i="15"/>
  <c r="K349" i="15"/>
  <c r="X349" i="15"/>
  <c r="A350" i="15"/>
  <c r="L349" i="15"/>
  <c r="D349" i="15" s="1"/>
  <c r="AB343" i="23"/>
  <c r="K343" i="23"/>
  <c r="X343" i="23"/>
  <c r="A344" i="23"/>
  <c r="L343" i="23"/>
  <c r="X346" i="18"/>
  <c r="K346" i="18"/>
  <c r="AB346" i="18"/>
  <c r="L346" i="18"/>
  <c r="A347" i="18"/>
  <c r="K344" i="22"/>
  <c r="AB344" i="22"/>
  <c r="L344" i="22"/>
  <c r="A345" i="22"/>
  <c r="X344" i="22"/>
  <c r="L347" i="17"/>
  <c r="D347" i="17" s="1"/>
  <c r="X347" i="17"/>
  <c r="A348" i="17"/>
  <c r="K347" i="17"/>
  <c r="AB347" i="17"/>
  <c r="X341" i="25"/>
  <c r="AB341" i="25"/>
  <c r="A342" i="25"/>
  <c r="L341" i="25"/>
  <c r="K341" i="25"/>
  <c r="X345" i="20"/>
  <c r="AB345" i="20"/>
  <c r="A346" i="20"/>
  <c r="K345" i="20"/>
  <c r="L345" i="20"/>
  <c r="A343" i="25"/>
  <c r="AB342" i="25"/>
  <c r="K342" i="25"/>
  <c r="L342" i="25"/>
  <c r="X342" i="25"/>
  <c r="X345" i="22"/>
  <c r="L345" i="22"/>
  <c r="K345" i="22"/>
  <c r="A346" i="22"/>
  <c r="AB345" i="22"/>
  <c r="X344" i="23"/>
  <c r="AB344" i="23"/>
  <c r="L344" i="23"/>
  <c r="A345" i="23"/>
  <c r="K344" i="23"/>
  <c r="L352" i="1"/>
  <c r="AB352" i="1"/>
  <c r="AK352" i="1"/>
  <c r="AJ352" i="1"/>
  <c r="A353" i="1"/>
  <c r="K352" i="1"/>
  <c r="X352" i="1"/>
  <c r="A350" i="16"/>
  <c r="X349" i="16"/>
  <c r="K349" i="16"/>
  <c r="L349" i="16"/>
  <c r="D349" i="16" s="1"/>
  <c r="AB349" i="16"/>
  <c r="D348" i="16"/>
  <c r="X346" i="20"/>
  <c r="A347" i="20"/>
  <c r="L346" i="20"/>
  <c r="K346" i="20"/>
  <c r="AB346" i="20"/>
  <c r="AB348" i="17"/>
  <c r="K348" i="17"/>
  <c r="X348" i="17"/>
  <c r="L348" i="17"/>
  <c r="A349" i="17"/>
  <c r="AB347" i="18"/>
  <c r="A348" i="18"/>
  <c r="L347" i="18"/>
  <c r="X347" i="18"/>
  <c r="K347" i="18"/>
  <c r="K350" i="15"/>
  <c r="AB350" i="15"/>
  <c r="X350" i="15"/>
  <c r="A351" i="15"/>
  <c r="L350" i="15"/>
  <c r="D350" i="15" s="1"/>
  <c r="K343" i="24"/>
  <c r="L343" i="24"/>
  <c r="A344" i="24"/>
  <c r="AB343" i="24"/>
  <c r="X343" i="24"/>
  <c r="K344" i="24"/>
  <c r="X344" i="24"/>
  <c r="L344" i="24"/>
  <c r="A345" i="24"/>
  <c r="AB344" i="24"/>
  <c r="AB351" i="15"/>
  <c r="A352" i="15"/>
  <c r="X351" i="15"/>
  <c r="K351" i="15"/>
  <c r="L351" i="15"/>
  <c r="D348" i="17"/>
  <c r="A348" i="20"/>
  <c r="K347" i="20"/>
  <c r="X347" i="20"/>
  <c r="L347" i="20"/>
  <c r="AB347" i="20"/>
  <c r="AK353" i="1"/>
  <c r="AB353" i="1"/>
  <c r="L353" i="1"/>
  <c r="X353" i="1"/>
  <c r="A354" i="1"/>
  <c r="K353" i="1"/>
  <c r="AJ353" i="1"/>
  <c r="D352" i="1"/>
  <c r="AB345" i="23"/>
  <c r="L345" i="23"/>
  <c r="K345" i="23"/>
  <c r="X345" i="23"/>
  <c r="A346" i="23"/>
  <c r="AB346" i="22"/>
  <c r="X346" i="22"/>
  <c r="K346" i="22"/>
  <c r="L346" i="22"/>
  <c r="A347" i="22"/>
  <c r="AB343" i="25"/>
  <c r="A344" i="25"/>
  <c r="K343" i="25"/>
  <c r="X343" i="25"/>
  <c r="L343" i="25"/>
  <c r="K348" i="18"/>
  <c r="X348" i="18"/>
  <c r="AB348" i="18"/>
  <c r="A349" i="18"/>
  <c r="L348" i="18"/>
  <c r="X349" i="17"/>
  <c r="A350" i="17"/>
  <c r="AB349" i="17"/>
  <c r="K349" i="17"/>
  <c r="L349" i="17"/>
  <c r="D349" i="17" s="1"/>
  <c r="L350" i="16"/>
  <c r="D350" i="16" s="1"/>
  <c r="A351" i="16"/>
  <c r="K350" i="16"/>
  <c r="AB350" i="16"/>
  <c r="X350" i="16"/>
  <c r="AB350" i="17"/>
  <c r="A351" i="17"/>
  <c r="L350" i="17"/>
  <c r="D350" i="17" s="1"/>
  <c r="X350" i="17"/>
  <c r="K350" i="17"/>
  <c r="K348" i="20"/>
  <c r="L348" i="20"/>
  <c r="X348" i="20"/>
  <c r="AB348" i="20"/>
  <c r="A349" i="20"/>
  <c r="K352" i="15"/>
  <c r="L352" i="15"/>
  <c r="D352" i="15" s="1"/>
  <c r="AB352" i="15"/>
  <c r="X352" i="15"/>
  <c r="A353" i="15"/>
  <c r="AB345" i="24"/>
  <c r="L345" i="24"/>
  <c r="X345" i="24"/>
  <c r="A346" i="24"/>
  <c r="K345" i="24"/>
  <c r="A352" i="16"/>
  <c r="L351" i="16"/>
  <c r="D351" i="16" s="1"/>
  <c r="X351" i="16"/>
  <c r="K351" i="16"/>
  <c r="AB351" i="16"/>
  <c r="A350" i="18"/>
  <c r="K349" i="18"/>
  <c r="AB349" i="18"/>
  <c r="X349" i="18"/>
  <c r="L349" i="18"/>
  <c r="A345" i="25"/>
  <c r="K344" i="25"/>
  <c r="X344" i="25"/>
  <c r="L344" i="25"/>
  <c r="AB344" i="25"/>
  <c r="K347" i="22"/>
  <c r="A348" i="22"/>
  <c r="AB347" i="22"/>
  <c r="X347" i="22"/>
  <c r="L347" i="22"/>
  <c r="AB346" i="23"/>
  <c r="A347" i="23"/>
  <c r="K346" i="23"/>
  <c r="X346" i="23"/>
  <c r="L346" i="23"/>
  <c r="X354" i="1"/>
  <c r="K354" i="1"/>
  <c r="AJ354" i="1"/>
  <c r="AB354" i="1"/>
  <c r="AK354" i="1"/>
  <c r="L354" i="1"/>
  <c r="A355" i="1"/>
  <c r="D353" i="1"/>
  <c r="D351" i="15"/>
  <c r="K347" i="23"/>
  <c r="X347" i="23"/>
  <c r="A348" i="23"/>
  <c r="AB347" i="23"/>
  <c r="L347" i="23"/>
  <c r="X350" i="18"/>
  <c r="L350" i="18"/>
  <c r="A351" i="18"/>
  <c r="K350" i="18"/>
  <c r="AB350" i="18"/>
  <c r="A353" i="16"/>
  <c r="K352" i="16"/>
  <c r="L352" i="16"/>
  <c r="D352" i="16" s="1"/>
  <c r="AB352" i="16"/>
  <c r="X352" i="16"/>
  <c r="AB349" i="20"/>
  <c r="L349" i="20"/>
  <c r="K349" i="20"/>
  <c r="A350" i="20"/>
  <c r="X349" i="20"/>
  <c r="L355" i="1"/>
  <c r="AK355" i="1"/>
  <c r="K355" i="1"/>
  <c r="AJ355" i="1"/>
  <c r="AB355" i="1"/>
  <c r="A356" i="1"/>
  <c r="X355" i="1"/>
  <c r="A349" i="22"/>
  <c r="AB348" i="22"/>
  <c r="X348" i="22"/>
  <c r="K348" i="22"/>
  <c r="L348" i="22"/>
  <c r="L345" i="25"/>
  <c r="X345" i="25"/>
  <c r="A346" i="25"/>
  <c r="AB345" i="25"/>
  <c r="K345" i="25"/>
  <c r="AB346" i="24"/>
  <c r="X346" i="24"/>
  <c r="A347" i="24"/>
  <c r="L346" i="24"/>
  <c r="K346" i="24"/>
  <c r="K353" i="15"/>
  <c r="X353" i="15"/>
  <c r="AB353" i="15"/>
  <c r="L353" i="15"/>
  <c r="D353" i="15" s="1"/>
  <c r="A354" i="15"/>
  <c r="AB351" i="17"/>
  <c r="X351" i="17"/>
  <c r="L351" i="17"/>
  <c r="A352" i="17"/>
  <c r="K351" i="17"/>
  <c r="X352" i="17"/>
  <c r="AB352" i="17"/>
  <c r="K352" i="17"/>
  <c r="L352" i="17"/>
  <c r="D352" i="17" s="1"/>
  <c r="A353" i="17"/>
  <c r="D351" i="17"/>
  <c r="K347" i="24"/>
  <c r="X347" i="24"/>
  <c r="L347" i="24"/>
  <c r="A348" i="24"/>
  <c r="AB347" i="24"/>
  <c r="A350" i="22"/>
  <c r="L349" i="22"/>
  <c r="X349" i="22"/>
  <c r="K349" i="22"/>
  <c r="AB349" i="22"/>
  <c r="AB356" i="1"/>
  <c r="AJ356" i="1"/>
  <c r="X356" i="1"/>
  <c r="AK356" i="1"/>
  <c r="L356" i="1"/>
  <c r="D356" i="1" s="1"/>
  <c r="K356" i="1"/>
  <c r="A357" i="1"/>
  <c r="D355" i="1"/>
  <c r="A351" i="20"/>
  <c r="L350" i="20"/>
  <c r="AB350" i="20"/>
  <c r="K350" i="20"/>
  <c r="X350" i="20"/>
  <c r="X353" i="16"/>
  <c r="AB353" i="16"/>
  <c r="L353" i="16"/>
  <c r="D353" i="16" s="1"/>
  <c r="K353" i="16"/>
  <c r="A354" i="16"/>
  <c r="K351" i="18"/>
  <c r="A352" i="18"/>
  <c r="L351" i="18"/>
  <c r="X351" i="18"/>
  <c r="AB351" i="18"/>
  <c r="AB354" i="15"/>
  <c r="L354" i="15"/>
  <c r="D354" i="15" s="1"/>
  <c r="K354" i="15"/>
  <c r="X354" i="15"/>
  <c r="A355" i="15"/>
  <c r="A347" i="25"/>
  <c r="L346" i="25"/>
  <c r="AB346" i="25"/>
  <c r="X346" i="25"/>
  <c r="K346" i="25"/>
  <c r="A349" i="23"/>
  <c r="AB348" i="23"/>
  <c r="K348" i="23"/>
  <c r="X348" i="23"/>
  <c r="L348" i="23"/>
  <c r="K349" i="23"/>
  <c r="AB349" i="23"/>
  <c r="A350" i="23"/>
  <c r="L349" i="23"/>
  <c r="X349" i="23"/>
  <c r="X355" i="15"/>
  <c r="K355" i="15"/>
  <c r="L355" i="15"/>
  <c r="A356" i="15"/>
  <c r="AB355" i="15"/>
  <c r="A352" i="20"/>
  <c r="K351" i="20"/>
  <c r="X351" i="20"/>
  <c r="L351" i="20"/>
  <c r="AB351" i="20"/>
  <c r="X350" i="22"/>
  <c r="K350" i="22"/>
  <c r="L350" i="22"/>
  <c r="A351" i="22"/>
  <c r="AB350" i="22"/>
  <c r="AB347" i="25"/>
  <c r="A348" i="25"/>
  <c r="L347" i="25"/>
  <c r="X347" i="25"/>
  <c r="K347" i="25"/>
  <c r="A353" i="18"/>
  <c r="AB352" i="18"/>
  <c r="X352" i="18"/>
  <c r="L352" i="18"/>
  <c r="K352" i="18"/>
  <c r="X354" i="16"/>
  <c r="K354" i="16"/>
  <c r="A355" i="16"/>
  <c r="L354" i="16"/>
  <c r="D354" i="16" s="1"/>
  <c r="AB354" i="16"/>
  <c r="AB357" i="1"/>
  <c r="X357" i="1"/>
  <c r="K357" i="1"/>
  <c r="AJ357" i="1"/>
  <c r="L357" i="1"/>
  <c r="A358" i="1"/>
  <c r="AK357" i="1"/>
  <c r="X348" i="24"/>
  <c r="K348" i="24"/>
  <c r="AB348" i="24"/>
  <c r="A349" i="24"/>
  <c r="L348" i="24"/>
  <c r="K353" i="17"/>
  <c r="X353" i="17"/>
  <c r="AB353" i="17"/>
  <c r="L353" i="17"/>
  <c r="D353" i="17" s="1"/>
  <c r="A354" i="17"/>
  <c r="A355" i="17"/>
  <c r="AB354" i="17"/>
  <c r="X354" i="17"/>
  <c r="K354" i="17"/>
  <c r="L354" i="17"/>
  <c r="D354" i="17" s="1"/>
  <c r="K358" i="1"/>
  <c r="X358" i="1"/>
  <c r="AJ358" i="1"/>
  <c r="AB358" i="1"/>
  <c r="AK358" i="1"/>
  <c r="L358" i="1"/>
  <c r="D358" i="1" s="1"/>
  <c r="A359" i="1"/>
  <c r="A356" i="16"/>
  <c r="L355" i="16"/>
  <c r="D355" i="16" s="1"/>
  <c r="X355" i="16"/>
  <c r="AB355" i="16"/>
  <c r="K355" i="16"/>
  <c r="D355" i="15"/>
  <c r="AB350" i="23"/>
  <c r="A351" i="23"/>
  <c r="L350" i="23"/>
  <c r="K350" i="23"/>
  <c r="X350" i="23"/>
  <c r="X349" i="24"/>
  <c r="L349" i="24"/>
  <c r="AB349" i="24"/>
  <c r="A350" i="24"/>
  <c r="K349" i="24"/>
  <c r="D357" i="1"/>
  <c r="K353" i="18"/>
  <c r="AB353" i="18"/>
  <c r="L353" i="18"/>
  <c r="A354" i="18"/>
  <c r="X353" i="18"/>
  <c r="AB348" i="25"/>
  <c r="A349" i="25"/>
  <c r="L348" i="25"/>
  <c r="X348" i="25"/>
  <c r="K348" i="25"/>
  <c r="K351" i="22"/>
  <c r="AB351" i="22"/>
  <c r="L351" i="22"/>
  <c r="X351" i="22"/>
  <c r="A352" i="22"/>
  <c r="X352" i="20"/>
  <c r="A353" i="20"/>
  <c r="L352" i="20"/>
  <c r="K352" i="20"/>
  <c r="AB352" i="20"/>
  <c r="A357" i="15"/>
  <c r="AB356" i="15"/>
  <c r="X356" i="15"/>
  <c r="K356" i="15"/>
  <c r="L356" i="15"/>
  <c r="D356" i="15" s="1"/>
  <c r="A353" i="22"/>
  <c r="X352" i="22"/>
  <c r="L352" i="22"/>
  <c r="AB352" i="22"/>
  <c r="K352" i="22"/>
  <c r="AB349" i="25"/>
  <c r="X349" i="25"/>
  <c r="L349" i="25"/>
  <c r="A350" i="25"/>
  <c r="K349" i="25"/>
  <c r="X354" i="18"/>
  <c r="L354" i="18"/>
  <c r="A355" i="18"/>
  <c r="K354" i="18"/>
  <c r="AB354" i="18"/>
  <c r="AB357" i="15"/>
  <c r="X357" i="15"/>
  <c r="K357" i="15"/>
  <c r="L357" i="15"/>
  <c r="A358" i="15"/>
  <c r="AB353" i="20"/>
  <c r="K353" i="20"/>
  <c r="X353" i="20"/>
  <c r="A354" i="20"/>
  <c r="L353" i="20"/>
  <c r="K350" i="24"/>
  <c r="L350" i="24"/>
  <c r="A351" i="24"/>
  <c r="X350" i="24"/>
  <c r="AB350" i="24"/>
  <c r="X351" i="23"/>
  <c r="A352" i="23"/>
  <c r="K351" i="23"/>
  <c r="AB351" i="23"/>
  <c r="L351" i="23"/>
  <c r="X356" i="16"/>
  <c r="K356" i="16"/>
  <c r="L356" i="16"/>
  <c r="D356" i="16" s="1"/>
  <c r="AB356" i="16"/>
  <c r="A357" i="16"/>
  <c r="L359" i="1"/>
  <c r="K359" i="1"/>
  <c r="AJ359" i="1"/>
  <c r="A360" i="1"/>
  <c r="AB359" i="1"/>
  <c r="AK359" i="1"/>
  <c r="X359" i="1"/>
  <c r="L355" i="17"/>
  <c r="D355" i="17" s="1"/>
  <c r="AB355" i="17"/>
  <c r="A356" i="17"/>
  <c r="K355" i="17"/>
  <c r="X355" i="17"/>
  <c r="X356" i="17"/>
  <c r="L356" i="17"/>
  <c r="D356" i="17" s="1"/>
  <c r="AB356" i="17"/>
  <c r="K356" i="17"/>
  <c r="A357" i="17"/>
  <c r="D359" i="1"/>
  <c r="A353" i="23"/>
  <c r="X352" i="23"/>
  <c r="K352" i="23"/>
  <c r="L352" i="23"/>
  <c r="AB352" i="23"/>
  <c r="AB351" i="24"/>
  <c r="L351" i="24"/>
  <c r="X351" i="24"/>
  <c r="A352" i="24"/>
  <c r="K351" i="24"/>
  <c r="A354" i="22"/>
  <c r="K353" i="22"/>
  <c r="L353" i="22"/>
  <c r="AB353" i="22"/>
  <c r="X353" i="22"/>
  <c r="L360" i="1"/>
  <c r="K360" i="1"/>
  <c r="AK360" i="1"/>
  <c r="X360" i="1"/>
  <c r="AJ360" i="1"/>
  <c r="AB360" i="1"/>
  <c r="A361" i="1"/>
  <c r="X357" i="16"/>
  <c r="L357" i="16"/>
  <c r="AB357" i="16"/>
  <c r="K357" i="16"/>
  <c r="A358" i="16"/>
  <c r="X354" i="20"/>
  <c r="AB354" i="20"/>
  <c r="L354" i="20"/>
  <c r="K354" i="20"/>
  <c r="A355" i="20"/>
  <c r="AB358" i="15"/>
  <c r="A359" i="15"/>
  <c r="L358" i="15"/>
  <c r="D358" i="15" s="1"/>
  <c r="K358" i="15"/>
  <c r="X358" i="15"/>
  <c r="D357" i="15"/>
  <c r="K355" i="18"/>
  <c r="A356" i="18"/>
  <c r="X355" i="18"/>
  <c r="L355" i="18"/>
  <c r="AB355" i="18"/>
  <c r="X350" i="25"/>
  <c r="AB350" i="25"/>
  <c r="L350" i="25"/>
  <c r="A351" i="25"/>
  <c r="K350" i="25"/>
  <c r="K359" i="15"/>
  <c r="X359" i="15"/>
  <c r="L359" i="15"/>
  <c r="D359" i="15" s="1"/>
  <c r="A360" i="15"/>
  <c r="AB359" i="15"/>
  <c r="K358" i="16"/>
  <c r="A359" i="16"/>
  <c r="X358" i="16"/>
  <c r="L358" i="16"/>
  <c r="D358" i="16" s="1"/>
  <c r="AB358" i="16"/>
  <c r="K361" i="1"/>
  <c r="AK361" i="1"/>
  <c r="AJ361" i="1"/>
  <c r="X361" i="1"/>
  <c r="L361" i="1"/>
  <c r="A362" i="1"/>
  <c r="AB361" i="1"/>
  <c r="A352" i="25"/>
  <c r="AB351" i="25"/>
  <c r="L351" i="25"/>
  <c r="K351" i="25"/>
  <c r="X351" i="25"/>
  <c r="L356" i="18"/>
  <c r="K356" i="18"/>
  <c r="AB356" i="18"/>
  <c r="A357" i="18"/>
  <c r="X356" i="18"/>
  <c r="AB355" i="20"/>
  <c r="K355" i="20"/>
  <c r="L355" i="20"/>
  <c r="X355" i="20"/>
  <c r="A356" i="20"/>
  <c r="D357" i="16"/>
  <c r="D360" i="1"/>
  <c r="A355" i="22"/>
  <c r="AB354" i="22"/>
  <c r="X354" i="22"/>
  <c r="K354" i="22"/>
  <c r="L354" i="22"/>
  <c r="X352" i="24"/>
  <c r="L352" i="24"/>
  <c r="A353" i="24"/>
  <c r="AB352" i="24"/>
  <c r="K352" i="24"/>
  <c r="A354" i="23"/>
  <c r="AB353" i="23"/>
  <c r="K353" i="23"/>
  <c r="L353" i="23"/>
  <c r="X353" i="23"/>
  <c r="A358" i="17"/>
  <c r="AB357" i="17"/>
  <c r="X357" i="17"/>
  <c r="K357" i="17"/>
  <c r="L357" i="17"/>
  <c r="D357" i="17" s="1"/>
  <c r="L358" i="17"/>
  <c r="K358" i="17"/>
  <c r="AB358" i="17"/>
  <c r="X358" i="17"/>
  <c r="A359" i="17"/>
  <c r="X353" i="24"/>
  <c r="L353" i="24"/>
  <c r="K353" i="24"/>
  <c r="A354" i="24"/>
  <c r="AB353" i="24"/>
  <c r="K356" i="20"/>
  <c r="X356" i="20"/>
  <c r="L356" i="20"/>
  <c r="AB356" i="20"/>
  <c r="A357" i="20"/>
  <c r="A358" i="18"/>
  <c r="L357" i="18"/>
  <c r="AB357" i="18"/>
  <c r="K357" i="18"/>
  <c r="X357" i="18"/>
  <c r="K362" i="1"/>
  <c r="AK362" i="1"/>
  <c r="A363" i="1"/>
  <c r="L362" i="1"/>
  <c r="D362" i="1" s="1"/>
  <c r="X362" i="1"/>
  <c r="AJ362" i="1"/>
  <c r="AB362" i="1"/>
  <c r="X360" i="15"/>
  <c r="L360" i="15"/>
  <c r="K360" i="15"/>
  <c r="A361" i="15"/>
  <c r="AB360" i="15"/>
  <c r="A355" i="23"/>
  <c r="AB354" i="23"/>
  <c r="K354" i="23"/>
  <c r="L354" i="23"/>
  <c r="X354" i="23"/>
  <c r="X355" i="22"/>
  <c r="A356" i="22"/>
  <c r="L355" i="22"/>
  <c r="K355" i="22"/>
  <c r="AB355" i="22"/>
  <c r="A353" i="25"/>
  <c r="X352" i="25"/>
  <c r="L352" i="25"/>
  <c r="AB352" i="25"/>
  <c r="K352" i="25"/>
  <c r="D361" i="1"/>
  <c r="L359" i="16"/>
  <c r="D359" i="16" s="1"/>
  <c r="A360" i="16"/>
  <c r="X359" i="16"/>
  <c r="AB359" i="16"/>
  <c r="K359" i="16"/>
  <c r="L360" i="16"/>
  <c r="D360" i="16" s="1"/>
  <c r="A361" i="16"/>
  <c r="K360" i="16"/>
  <c r="AB360" i="16"/>
  <c r="X360" i="16"/>
  <c r="X356" i="22"/>
  <c r="A357" i="22"/>
  <c r="K356" i="22"/>
  <c r="AB356" i="22"/>
  <c r="L356" i="22"/>
  <c r="AB355" i="23"/>
  <c r="A356" i="23"/>
  <c r="X355" i="23"/>
  <c r="K355" i="23"/>
  <c r="L355" i="23"/>
  <c r="A364" i="1"/>
  <c r="AK363" i="1"/>
  <c r="L363" i="1"/>
  <c r="B31" i="7" s="1"/>
  <c r="AB363" i="1"/>
  <c r="X363" i="1"/>
  <c r="AJ363" i="1"/>
  <c r="K363" i="1"/>
  <c r="A31" i="7"/>
  <c r="AB357" i="20"/>
  <c r="K357" i="20"/>
  <c r="L357" i="20"/>
  <c r="A358" i="20"/>
  <c r="X357" i="20"/>
  <c r="K354" i="24"/>
  <c r="A355" i="24"/>
  <c r="L354" i="24"/>
  <c r="AB354" i="24"/>
  <c r="X354" i="24"/>
  <c r="AB353" i="25"/>
  <c r="A354" i="25"/>
  <c r="L353" i="25"/>
  <c r="X353" i="25"/>
  <c r="K353" i="25"/>
  <c r="AB361" i="15"/>
  <c r="A362" i="15"/>
  <c r="K361" i="15"/>
  <c r="X361" i="15"/>
  <c r="L361" i="15"/>
  <c r="D361" i="15" s="1"/>
  <c r="D360" i="15"/>
  <c r="AB358" i="18"/>
  <c r="X358" i="18"/>
  <c r="L358" i="18"/>
  <c r="K358" i="18"/>
  <c r="A359" i="18"/>
  <c r="X359" i="17"/>
  <c r="AB359" i="17"/>
  <c r="L359" i="17"/>
  <c r="K359" i="17"/>
  <c r="A360" i="17"/>
  <c r="D358" i="17"/>
  <c r="D359" i="17"/>
  <c r="A360" i="18"/>
  <c r="L359" i="18"/>
  <c r="K359" i="18"/>
  <c r="X359" i="18"/>
  <c r="AB359" i="18"/>
  <c r="K355" i="24"/>
  <c r="A356" i="24"/>
  <c r="AB355" i="24"/>
  <c r="L355" i="24"/>
  <c r="X355" i="24"/>
  <c r="A359" i="20"/>
  <c r="L358" i="20"/>
  <c r="K358" i="20"/>
  <c r="X358" i="20"/>
  <c r="AB358" i="20"/>
  <c r="AK364" i="1"/>
  <c r="X364" i="1"/>
  <c r="L364" i="1"/>
  <c r="D364" i="1" s="1"/>
  <c r="A365" i="1"/>
  <c r="K364" i="1"/>
  <c r="AB364" i="1"/>
  <c r="AJ364" i="1"/>
  <c r="X356" i="23"/>
  <c r="K356" i="23"/>
  <c r="A357" i="23"/>
  <c r="AB356" i="23"/>
  <c r="L356" i="23"/>
  <c r="A362" i="16"/>
  <c r="K361" i="16"/>
  <c r="X361" i="16"/>
  <c r="L361" i="16"/>
  <c r="D361" i="16" s="1"/>
  <c r="AB361" i="16"/>
  <c r="X360" i="17"/>
  <c r="AB360" i="17"/>
  <c r="L360" i="17"/>
  <c r="D360" i="17" s="1"/>
  <c r="K360" i="17"/>
  <c r="A361" i="17"/>
  <c r="L362" i="15"/>
  <c r="D362" i="15" s="1"/>
  <c r="X362" i="15"/>
  <c r="A363" i="15"/>
  <c r="AB362" i="15"/>
  <c r="K362" i="15"/>
  <c r="K354" i="25"/>
  <c r="A355" i="25"/>
  <c r="L354" i="25"/>
  <c r="AB354" i="25"/>
  <c r="X354" i="25"/>
  <c r="D363" i="1"/>
  <c r="A358" i="22"/>
  <c r="X357" i="22"/>
  <c r="L357" i="22"/>
  <c r="K357" i="22"/>
  <c r="AB357" i="22"/>
  <c r="X358" i="22"/>
  <c r="K358" i="22"/>
  <c r="AB358" i="22"/>
  <c r="L358" i="22"/>
  <c r="A359" i="22"/>
  <c r="A356" i="25"/>
  <c r="AB355" i="25"/>
  <c r="L355" i="25"/>
  <c r="X355" i="25"/>
  <c r="K355" i="25"/>
  <c r="X363" i="15"/>
  <c r="L363" i="15"/>
  <c r="D363" i="15" s="1"/>
  <c r="AB363" i="15"/>
  <c r="A43" i="7"/>
  <c r="A364" i="15"/>
  <c r="K363" i="15"/>
  <c r="X361" i="17"/>
  <c r="A362" i="17"/>
  <c r="L361" i="17"/>
  <c r="D361" i="17" s="1"/>
  <c r="AB361" i="17"/>
  <c r="K361" i="17"/>
  <c r="K362" i="16"/>
  <c r="A363" i="16"/>
  <c r="L362" i="16"/>
  <c r="X362" i="16"/>
  <c r="AB362" i="16"/>
  <c r="X359" i="20"/>
  <c r="L359" i="20"/>
  <c r="AB359" i="20"/>
  <c r="K359" i="20"/>
  <c r="A360" i="20"/>
  <c r="K356" i="24"/>
  <c r="A357" i="24"/>
  <c r="L356" i="24"/>
  <c r="X356" i="24"/>
  <c r="AB356" i="24"/>
  <c r="K357" i="23"/>
  <c r="X357" i="23"/>
  <c r="L357" i="23"/>
  <c r="A358" i="23"/>
  <c r="AB357" i="23"/>
  <c r="K365" i="1"/>
  <c r="L365" i="1"/>
  <c r="D365" i="1" s="1"/>
  <c r="AJ365" i="1"/>
  <c r="A366" i="1"/>
  <c r="AB365" i="1"/>
  <c r="AK365" i="1"/>
  <c r="X365" i="1"/>
  <c r="AB360" i="18"/>
  <c r="K360" i="18"/>
  <c r="L360" i="18"/>
  <c r="X360" i="18"/>
  <c r="A361" i="18"/>
  <c r="AJ366" i="1"/>
  <c r="K366" i="1"/>
  <c r="X366" i="1"/>
  <c r="L366" i="1"/>
  <c r="D366" i="1" s="1"/>
  <c r="A367" i="1"/>
  <c r="AB366" i="1"/>
  <c r="AK366" i="1"/>
  <c r="K363" i="16"/>
  <c r="X363" i="16"/>
  <c r="AB363" i="16"/>
  <c r="A55" i="7"/>
  <c r="L363" i="16"/>
  <c r="D363" i="16" s="1"/>
  <c r="A364" i="16"/>
  <c r="AB362" i="17"/>
  <c r="X362" i="17"/>
  <c r="K362" i="17"/>
  <c r="A363" i="17"/>
  <c r="L362" i="17"/>
  <c r="D362" i="17" s="1"/>
  <c r="B43" i="7"/>
  <c r="K356" i="25"/>
  <c r="A357" i="25"/>
  <c r="L356" i="25"/>
  <c r="X356" i="25"/>
  <c r="AB356" i="25"/>
  <c r="K359" i="22"/>
  <c r="L359" i="22"/>
  <c r="AB359" i="22"/>
  <c r="X359" i="22"/>
  <c r="A360" i="22"/>
  <c r="AB361" i="18"/>
  <c r="X361" i="18"/>
  <c r="K361" i="18"/>
  <c r="A362" i="18"/>
  <c r="L361" i="18"/>
  <c r="K358" i="23"/>
  <c r="X358" i="23"/>
  <c r="AB358" i="23"/>
  <c r="L358" i="23"/>
  <c r="A359" i="23"/>
  <c r="A358" i="24"/>
  <c r="X357" i="24"/>
  <c r="AB357" i="24"/>
  <c r="L357" i="24"/>
  <c r="K357" i="24"/>
  <c r="AB360" i="20"/>
  <c r="K360" i="20"/>
  <c r="L360" i="20"/>
  <c r="A361" i="20"/>
  <c r="X360" i="20"/>
  <c r="D362" i="16"/>
  <c r="L364" i="15"/>
  <c r="D364" i="15" s="1"/>
  <c r="K364" i="15"/>
  <c r="AB364" i="15"/>
  <c r="X364" i="15"/>
  <c r="A365" i="15"/>
  <c r="X365" i="15"/>
  <c r="K365" i="15"/>
  <c r="AB365" i="15"/>
  <c r="A366" i="15"/>
  <c r="L365" i="15"/>
  <c r="D365" i="15" s="1"/>
  <c r="X361" i="20"/>
  <c r="A362" i="20"/>
  <c r="K361" i="20"/>
  <c r="L361" i="20"/>
  <c r="AB361" i="20"/>
  <c r="AB357" i="25"/>
  <c r="A358" i="25"/>
  <c r="X357" i="25"/>
  <c r="L357" i="25"/>
  <c r="K357" i="25"/>
  <c r="A364" i="17"/>
  <c r="K363" i="17"/>
  <c r="L363" i="17"/>
  <c r="AB363" i="17"/>
  <c r="X363" i="17"/>
  <c r="A67" i="7"/>
  <c r="A365" i="16"/>
  <c r="X364" i="16"/>
  <c r="AB364" i="16"/>
  <c r="K364" i="16"/>
  <c r="L364" i="16"/>
  <c r="D364" i="16" s="1"/>
  <c r="A368" i="1"/>
  <c r="AJ367" i="1"/>
  <c r="K367" i="1"/>
  <c r="AB367" i="1"/>
  <c r="X367" i="1"/>
  <c r="L367" i="1"/>
  <c r="D367" i="1" s="1"/>
  <c r="AK367" i="1"/>
  <c r="A359" i="24"/>
  <c r="K358" i="24"/>
  <c r="L358" i="24"/>
  <c r="X358" i="24"/>
  <c r="AB358" i="24"/>
  <c r="K359" i="23"/>
  <c r="L359" i="23"/>
  <c r="AB359" i="23"/>
  <c r="X359" i="23"/>
  <c r="A360" i="23"/>
  <c r="X362" i="18"/>
  <c r="K362" i="18"/>
  <c r="L362" i="18"/>
  <c r="A363" i="18"/>
  <c r="AB362" i="18"/>
  <c r="K360" i="22"/>
  <c r="A361" i="22"/>
  <c r="L360" i="22"/>
  <c r="X360" i="22"/>
  <c r="AB360" i="22"/>
  <c r="B55" i="7"/>
  <c r="K361" i="22"/>
  <c r="X361" i="22"/>
  <c r="AB361" i="22"/>
  <c r="L361" i="22"/>
  <c r="A362" i="22"/>
  <c r="X363" i="18"/>
  <c r="A79" i="7"/>
  <c r="AB363" i="18"/>
  <c r="A364" i="18"/>
  <c r="L363" i="18"/>
  <c r="B79" i="7" s="1"/>
  <c r="K363" i="18"/>
  <c r="X368" i="1"/>
  <c r="A369" i="1"/>
  <c r="L368" i="1"/>
  <c r="D368" i="1" s="1"/>
  <c r="AK368" i="1"/>
  <c r="K368" i="1"/>
  <c r="AJ368" i="1"/>
  <c r="AB368" i="1"/>
  <c r="K365" i="16"/>
  <c r="L365" i="16"/>
  <c r="D365" i="16" s="1"/>
  <c r="A366" i="16"/>
  <c r="AB365" i="16"/>
  <c r="X365" i="16"/>
  <c r="A365" i="17"/>
  <c r="X364" i="17"/>
  <c r="K364" i="17"/>
  <c r="AB364" i="17"/>
  <c r="L364" i="17"/>
  <c r="D364" i="17" s="1"/>
  <c r="K360" i="23"/>
  <c r="L360" i="23"/>
  <c r="X360" i="23"/>
  <c r="A361" i="23"/>
  <c r="AB360" i="23"/>
  <c r="X359" i="24"/>
  <c r="K359" i="24"/>
  <c r="A360" i="24"/>
  <c r="AB359" i="24"/>
  <c r="L359" i="24"/>
  <c r="K358" i="25"/>
  <c r="L358" i="25"/>
  <c r="AB358" i="25"/>
  <c r="X358" i="25"/>
  <c r="A359" i="25"/>
  <c r="AB362" i="20"/>
  <c r="L362" i="20"/>
  <c r="X362" i="20"/>
  <c r="K362" i="20"/>
  <c r="A363" i="20"/>
  <c r="K366" i="15"/>
  <c r="A367" i="15"/>
  <c r="X366" i="15"/>
  <c r="AB366" i="15"/>
  <c r="L366" i="15"/>
  <c r="D366" i="15" s="1"/>
  <c r="A364" i="20"/>
  <c r="K363" i="20"/>
  <c r="L363" i="20"/>
  <c r="AF31" i="7" s="1"/>
  <c r="X363" i="20"/>
  <c r="AB363" i="20"/>
  <c r="AE31" i="7"/>
  <c r="AB359" i="25"/>
  <c r="A360" i="25"/>
  <c r="K359" i="25"/>
  <c r="X359" i="25"/>
  <c r="L359" i="25"/>
  <c r="X361" i="23"/>
  <c r="L361" i="23"/>
  <c r="AB361" i="23"/>
  <c r="A362" i="23"/>
  <c r="K361" i="23"/>
  <c r="A365" i="18"/>
  <c r="L364" i="18"/>
  <c r="AB364" i="18"/>
  <c r="K364" i="18"/>
  <c r="X364" i="18"/>
  <c r="AB367" i="15"/>
  <c r="K367" i="15"/>
  <c r="L367" i="15"/>
  <c r="D367" i="15" s="1"/>
  <c r="X367" i="15"/>
  <c r="A368" i="15"/>
  <c r="AB360" i="24"/>
  <c r="X360" i="24"/>
  <c r="L360" i="24"/>
  <c r="A361" i="24"/>
  <c r="K360" i="24"/>
  <c r="X365" i="17"/>
  <c r="AB365" i="17"/>
  <c r="L365" i="17"/>
  <c r="A366" i="17"/>
  <c r="K365" i="17"/>
  <c r="AB366" i="16"/>
  <c r="K366" i="16"/>
  <c r="L366" i="16"/>
  <c r="D366" i="16" s="1"/>
  <c r="X366" i="16"/>
  <c r="A367" i="16"/>
  <c r="A370" i="1"/>
  <c r="K369" i="1"/>
  <c r="AJ369" i="1"/>
  <c r="X369" i="1"/>
  <c r="L369" i="1"/>
  <c r="AK369" i="1"/>
  <c r="AB369" i="1"/>
  <c r="X362" i="22"/>
  <c r="AB362" i="22"/>
  <c r="L362" i="22"/>
  <c r="A363" i="22"/>
  <c r="K362" i="22"/>
  <c r="A371" i="1"/>
  <c r="X370" i="1"/>
  <c r="L370" i="1"/>
  <c r="AB370" i="1"/>
  <c r="K370" i="1"/>
  <c r="AJ370" i="1"/>
  <c r="AK370" i="1"/>
  <c r="K366" i="17"/>
  <c r="X366" i="17"/>
  <c r="AB366" i="17"/>
  <c r="A367" i="17"/>
  <c r="L366" i="17"/>
  <c r="D366" i="17" s="1"/>
  <c r="A362" i="24"/>
  <c r="AB361" i="24"/>
  <c r="L361" i="24"/>
  <c r="K361" i="24"/>
  <c r="X361" i="24"/>
  <c r="L368" i="15"/>
  <c r="D368" i="15" s="1"/>
  <c r="X368" i="15"/>
  <c r="A369" i="15"/>
  <c r="AB368" i="15"/>
  <c r="K368" i="15"/>
  <c r="AB365" i="18"/>
  <c r="A366" i="18"/>
  <c r="K365" i="18"/>
  <c r="L365" i="18"/>
  <c r="X365" i="18"/>
  <c r="AB360" i="25"/>
  <c r="L360" i="25"/>
  <c r="X360" i="25"/>
  <c r="K360" i="25"/>
  <c r="A361" i="25"/>
  <c r="K363" i="22"/>
  <c r="AE43" i="7"/>
  <c r="L363" i="22"/>
  <c r="AF43" i="7" s="1"/>
  <c r="X363" i="22"/>
  <c r="AB363" i="22"/>
  <c r="A364" i="22"/>
  <c r="D369" i="1"/>
  <c r="K367" i="16"/>
  <c r="AB367" i="16"/>
  <c r="L367" i="16"/>
  <c r="D367" i="16" s="1"/>
  <c r="X367" i="16"/>
  <c r="A368" i="16"/>
  <c r="D365" i="17"/>
  <c r="K362" i="23"/>
  <c r="L362" i="23"/>
  <c r="A363" i="23"/>
  <c r="X362" i="23"/>
  <c r="AB362" i="23"/>
  <c r="K364" i="20"/>
  <c r="A365" i="20"/>
  <c r="X364" i="20"/>
  <c r="L364" i="20"/>
  <c r="AB364" i="20"/>
  <c r="A364" i="23"/>
  <c r="X363" i="23"/>
  <c r="L363" i="23"/>
  <c r="AF55" i="7" s="1"/>
  <c r="AB363" i="23"/>
  <c r="K363" i="23"/>
  <c r="AE55" i="7"/>
  <c r="K364" i="22"/>
  <c r="AB364" i="22"/>
  <c r="A365" i="22"/>
  <c r="X364" i="22"/>
  <c r="L364" i="22"/>
  <c r="AB366" i="18"/>
  <c r="L366" i="18"/>
  <c r="A367" i="18"/>
  <c r="K366" i="18"/>
  <c r="X366" i="18"/>
  <c r="X362" i="24"/>
  <c r="AB362" i="24"/>
  <c r="L362" i="24"/>
  <c r="A363" i="24"/>
  <c r="K362" i="24"/>
  <c r="X367" i="17"/>
  <c r="A368" i="17"/>
  <c r="AB367" i="17"/>
  <c r="K367" i="17"/>
  <c r="L367" i="17"/>
  <c r="D367" i="17" s="1"/>
  <c r="D370" i="1"/>
  <c r="AK371" i="1"/>
  <c r="X371" i="1"/>
  <c r="K371" i="1"/>
  <c r="L371" i="1"/>
  <c r="AJ371" i="1"/>
  <c r="A372" i="1"/>
  <c r="AB371" i="1"/>
  <c r="AB365" i="20"/>
  <c r="L365" i="20"/>
  <c r="A366" i="20"/>
  <c r="X365" i="20"/>
  <c r="K365" i="20"/>
  <c r="AB368" i="16"/>
  <c r="K368" i="16"/>
  <c r="X368" i="16"/>
  <c r="A369" i="16"/>
  <c r="L368" i="16"/>
  <c r="D368" i="16" s="1"/>
  <c r="A362" i="25"/>
  <c r="K361" i="25"/>
  <c r="L361" i="25"/>
  <c r="AB361" i="25"/>
  <c r="X361" i="25"/>
  <c r="L369" i="15"/>
  <c r="K369" i="15"/>
  <c r="AB369" i="15"/>
  <c r="A370" i="15"/>
  <c r="X369" i="15"/>
  <c r="K362" i="25"/>
  <c r="X362" i="25"/>
  <c r="AB362" i="25"/>
  <c r="A363" i="25"/>
  <c r="L362" i="25"/>
  <c r="AB372" i="1"/>
  <c r="X372" i="1"/>
  <c r="K372" i="1"/>
  <c r="L372" i="1"/>
  <c r="AJ372" i="1"/>
  <c r="A373" i="1"/>
  <c r="AK372" i="1"/>
  <c r="D371" i="1"/>
  <c r="AB368" i="17"/>
  <c r="K368" i="17"/>
  <c r="L368" i="17"/>
  <c r="X368" i="17"/>
  <c r="A369" i="17"/>
  <c r="AB365" i="22"/>
  <c r="A366" i="22"/>
  <c r="K365" i="22"/>
  <c r="X365" i="22"/>
  <c r="L365" i="22"/>
  <c r="AB370" i="15"/>
  <c r="A371" i="15"/>
  <c r="X370" i="15"/>
  <c r="K370" i="15"/>
  <c r="L370" i="15"/>
  <c r="D370" i="15" s="1"/>
  <c r="D369" i="15"/>
  <c r="L369" i="16"/>
  <c r="D369" i="16" s="1"/>
  <c r="AB369" i="16"/>
  <c r="K369" i="16"/>
  <c r="A370" i="16"/>
  <c r="X369" i="16"/>
  <c r="AB366" i="20"/>
  <c r="L366" i="20"/>
  <c r="K366" i="20"/>
  <c r="A367" i="20"/>
  <c r="X366" i="20"/>
  <c r="K363" i="24"/>
  <c r="AB363" i="24"/>
  <c r="AE67" i="7"/>
  <c r="X363" i="24"/>
  <c r="A364" i="24"/>
  <c r="L363" i="24"/>
  <c r="AF67" i="7" s="1"/>
  <c r="L367" i="18"/>
  <c r="A368" i="18"/>
  <c r="AB367" i="18"/>
  <c r="X367" i="18"/>
  <c r="K367" i="18"/>
  <c r="AB364" i="23"/>
  <c r="X364" i="23"/>
  <c r="A365" i="23"/>
  <c r="K364" i="23"/>
  <c r="L364" i="23"/>
  <c r="K365" i="23"/>
  <c r="X365" i="23"/>
  <c r="AB365" i="23"/>
  <c r="L365" i="23"/>
  <c r="A366" i="23"/>
  <c r="X368" i="18"/>
  <c r="L368" i="18"/>
  <c r="AB368" i="18"/>
  <c r="A369" i="18"/>
  <c r="K368" i="18"/>
  <c r="X367" i="20"/>
  <c r="A368" i="20"/>
  <c r="L367" i="20"/>
  <c r="AB367" i="20"/>
  <c r="K367" i="20"/>
  <c r="L370" i="16"/>
  <c r="D370" i="16" s="1"/>
  <c r="K370" i="16"/>
  <c r="X370" i="16"/>
  <c r="A371" i="16"/>
  <c r="AB370" i="16"/>
  <c r="K369" i="17"/>
  <c r="A370" i="17"/>
  <c r="AB369" i="17"/>
  <c r="X369" i="17"/>
  <c r="L369" i="17"/>
  <c r="D369" i="17" s="1"/>
  <c r="D368" i="17"/>
  <c r="D372" i="1"/>
  <c r="X364" i="24"/>
  <c r="AB364" i="24"/>
  <c r="L364" i="24"/>
  <c r="A365" i="24"/>
  <c r="K364" i="24"/>
  <c r="K371" i="15"/>
  <c r="L371" i="15"/>
  <c r="AB371" i="15"/>
  <c r="A372" i="15"/>
  <c r="X371" i="15"/>
  <c r="AB366" i="22"/>
  <c r="K366" i="22"/>
  <c r="A367" i="22"/>
  <c r="L366" i="22"/>
  <c r="X366" i="22"/>
  <c r="AJ373" i="1"/>
  <c r="L373" i="1"/>
  <c r="D373" i="1" s="1"/>
  <c r="AK373" i="1"/>
  <c r="A374" i="1"/>
  <c r="K373" i="1"/>
  <c r="X373" i="1"/>
  <c r="AB373" i="1"/>
  <c r="A364" i="25"/>
  <c r="AB363" i="25"/>
  <c r="L363" i="25"/>
  <c r="AF79" i="7" s="1"/>
  <c r="AE79" i="7"/>
  <c r="X363" i="25"/>
  <c r="K363" i="25"/>
  <c r="A375" i="1"/>
  <c r="AJ374" i="1"/>
  <c r="L374" i="1"/>
  <c r="D374" i="1" s="1"/>
  <c r="K374" i="1"/>
  <c r="X374" i="1"/>
  <c r="AB374" i="1"/>
  <c r="AK374" i="1"/>
  <c r="A368" i="22"/>
  <c r="AB367" i="22"/>
  <c r="L367" i="22"/>
  <c r="K367" i="22"/>
  <c r="X367" i="22"/>
  <c r="A373" i="15"/>
  <c r="L372" i="15"/>
  <c r="D372" i="15" s="1"/>
  <c r="X372" i="15"/>
  <c r="K372" i="15"/>
  <c r="AB372" i="15"/>
  <c r="AB369" i="18"/>
  <c r="A370" i="18"/>
  <c r="K369" i="18"/>
  <c r="X369" i="18"/>
  <c r="L369" i="18"/>
  <c r="X366" i="23"/>
  <c r="K366" i="23"/>
  <c r="AB366" i="23"/>
  <c r="L366" i="23"/>
  <c r="A367" i="23"/>
  <c r="AB364" i="25"/>
  <c r="A365" i="25"/>
  <c r="K364" i="25"/>
  <c r="X364" i="25"/>
  <c r="L364" i="25"/>
  <c r="D371" i="15"/>
  <c r="A366" i="24"/>
  <c r="AB365" i="24"/>
  <c r="L365" i="24"/>
  <c r="X365" i="24"/>
  <c r="K365" i="24"/>
  <c r="AB370" i="17"/>
  <c r="L370" i="17"/>
  <c r="D370" i="17" s="1"/>
  <c r="A371" i="17"/>
  <c r="X370" i="17"/>
  <c r="K370" i="17"/>
  <c r="AB371" i="16"/>
  <c r="L371" i="16"/>
  <c r="X371" i="16"/>
  <c r="A372" i="16"/>
  <c r="K371" i="16"/>
  <c r="X368" i="20"/>
  <c r="AB368" i="20"/>
  <c r="L368" i="20"/>
  <c r="A369" i="20"/>
  <c r="K368" i="20"/>
  <c r="D371" i="16"/>
  <c r="L371" i="17"/>
  <c r="D371" i="17" s="1"/>
  <c r="A372" i="17"/>
  <c r="K371" i="17"/>
  <c r="AB371" i="17"/>
  <c r="X371" i="17"/>
  <c r="K366" i="24"/>
  <c r="L366" i="24"/>
  <c r="A367" i="24"/>
  <c r="X366" i="24"/>
  <c r="AB366" i="24"/>
  <c r="K365" i="25"/>
  <c r="L365" i="25"/>
  <c r="A366" i="25"/>
  <c r="AB365" i="25"/>
  <c r="X365" i="25"/>
  <c r="AB367" i="23"/>
  <c r="X367" i="23"/>
  <c r="K367" i="23"/>
  <c r="A368" i="23"/>
  <c r="L367" i="23"/>
  <c r="A369" i="22"/>
  <c r="X368" i="22"/>
  <c r="L368" i="22"/>
  <c r="K368" i="22"/>
  <c r="AB368" i="22"/>
  <c r="K369" i="20"/>
  <c r="L369" i="20"/>
  <c r="AB369" i="20"/>
  <c r="A370" i="20"/>
  <c r="X369" i="20"/>
  <c r="L372" i="16"/>
  <c r="AB372" i="16"/>
  <c r="K372" i="16"/>
  <c r="A373" i="16"/>
  <c r="X372" i="16"/>
  <c r="AB370" i="18"/>
  <c r="L370" i="18"/>
  <c r="K370" i="18"/>
  <c r="A371" i="18"/>
  <c r="X370" i="18"/>
  <c r="AB373" i="15"/>
  <c r="L373" i="15"/>
  <c r="X373" i="15"/>
  <c r="K373" i="15"/>
  <c r="A374" i="15"/>
  <c r="AJ375" i="1"/>
  <c r="AB375" i="1"/>
  <c r="A376" i="1"/>
  <c r="X375" i="1"/>
  <c r="L375" i="1"/>
  <c r="D375" i="1" s="1"/>
  <c r="AK375" i="1"/>
  <c r="K375" i="1"/>
  <c r="AJ376" i="1"/>
  <c r="K376" i="1"/>
  <c r="A377" i="1"/>
  <c r="AK376" i="1"/>
  <c r="X376" i="1"/>
  <c r="AB376" i="1"/>
  <c r="L376" i="1"/>
  <c r="D376" i="1" s="1"/>
  <c r="X374" i="15"/>
  <c r="K374" i="15"/>
  <c r="L374" i="15"/>
  <c r="D374" i="15" s="1"/>
  <c r="AB374" i="15"/>
  <c r="A375" i="15"/>
  <c r="D373" i="15"/>
  <c r="AB373" i="16"/>
  <c r="K373" i="16"/>
  <c r="X373" i="16"/>
  <c r="L373" i="16"/>
  <c r="D373" i="16" s="1"/>
  <c r="A374" i="16"/>
  <c r="D372" i="16"/>
  <c r="X366" i="25"/>
  <c r="L366" i="25"/>
  <c r="A367" i="25"/>
  <c r="K366" i="25"/>
  <c r="AB366" i="25"/>
  <c r="K371" i="18"/>
  <c r="AB371" i="18"/>
  <c r="A372" i="18"/>
  <c r="X371" i="18"/>
  <c r="L371" i="18"/>
  <c r="AB370" i="20"/>
  <c r="L370" i="20"/>
  <c r="A371" i="20"/>
  <c r="X370" i="20"/>
  <c r="K370" i="20"/>
  <c r="A370" i="22"/>
  <c r="X369" i="22"/>
  <c r="K369" i="22"/>
  <c r="L369" i="22"/>
  <c r="AB369" i="22"/>
  <c r="A369" i="23"/>
  <c r="K368" i="23"/>
  <c r="X368" i="23"/>
  <c r="L368" i="23"/>
  <c r="AB368" i="23"/>
  <c r="X367" i="24"/>
  <c r="L367" i="24"/>
  <c r="K367" i="24"/>
  <c r="A368" i="24"/>
  <c r="AB367" i="24"/>
  <c r="L372" i="17"/>
  <c r="D372" i="17" s="1"/>
  <c r="A373" i="17"/>
  <c r="X372" i="17"/>
  <c r="K372" i="17"/>
  <c r="AB372" i="17"/>
  <c r="K368" i="24"/>
  <c r="A369" i="24"/>
  <c r="X368" i="24"/>
  <c r="L368" i="24"/>
  <c r="AB368" i="24"/>
  <c r="X370" i="22"/>
  <c r="AB370" i="22"/>
  <c r="A371" i="22"/>
  <c r="K370" i="22"/>
  <c r="L370" i="22"/>
  <c r="AB372" i="18"/>
  <c r="L372" i="18"/>
  <c r="K372" i="18"/>
  <c r="X372" i="18"/>
  <c r="A373" i="18"/>
  <c r="AB367" i="25"/>
  <c r="L367" i="25"/>
  <c r="X367" i="25"/>
  <c r="A368" i="25"/>
  <c r="K367" i="25"/>
  <c r="X374" i="16"/>
  <c r="K374" i="16"/>
  <c r="AB374" i="16"/>
  <c r="A375" i="16"/>
  <c r="L374" i="16"/>
  <c r="D374" i="16" s="1"/>
  <c r="X375" i="15"/>
  <c r="AB375" i="15"/>
  <c r="K375" i="15"/>
  <c r="A376" i="15"/>
  <c r="L375" i="15"/>
  <c r="D375" i="15" s="1"/>
  <c r="AB377" i="1"/>
  <c r="AJ377" i="1"/>
  <c r="AK377" i="1"/>
  <c r="A378" i="1"/>
  <c r="K377" i="1"/>
  <c r="X377" i="1"/>
  <c r="L377" i="1"/>
  <c r="D377" i="1" s="1"/>
  <c r="A374" i="17"/>
  <c r="K373" i="17"/>
  <c r="L373" i="17"/>
  <c r="D373" i="17" s="1"/>
  <c r="AB373" i="17"/>
  <c r="X373" i="17"/>
  <c r="AB369" i="23"/>
  <c r="A370" i="23"/>
  <c r="X369" i="23"/>
  <c r="L369" i="23"/>
  <c r="K369" i="23"/>
  <c r="X371" i="20"/>
  <c r="A372" i="20"/>
  <c r="L371" i="20"/>
  <c r="K371" i="20"/>
  <c r="AB371" i="20"/>
  <c r="K370" i="23"/>
  <c r="L370" i="23"/>
  <c r="A371" i="23"/>
  <c r="AB370" i="23"/>
  <c r="X370" i="23"/>
  <c r="X374" i="17"/>
  <c r="A375" i="17"/>
  <c r="AB374" i="17"/>
  <c r="K374" i="17"/>
  <c r="L374" i="17"/>
  <c r="D374" i="17" s="1"/>
  <c r="AJ378" i="1"/>
  <c r="X378" i="1"/>
  <c r="L378" i="1"/>
  <c r="AB378" i="1"/>
  <c r="AK378" i="1"/>
  <c r="K378" i="1"/>
  <c r="A379" i="1"/>
  <c r="A376" i="16"/>
  <c r="X375" i="16"/>
  <c r="L375" i="16"/>
  <c r="D375" i="16" s="1"/>
  <c r="AB375" i="16"/>
  <c r="K375" i="16"/>
  <c r="K369" i="24"/>
  <c r="A370" i="24"/>
  <c r="L369" i="24"/>
  <c r="X369" i="24"/>
  <c r="AB369" i="24"/>
  <c r="K372" i="20"/>
  <c r="A373" i="20"/>
  <c r="AB372" i="20"/>
  <c r="X372" i="20"/>
  <c r="L372" i="20"/>
  <c r="L376" i="15"/>
  <c r="X376" i="15"/>
  <c r="A377" i="15"/>
  <c r="K376" i="15"/>
  <c r="AB376" i="15"/>
  <c r="A369" i="25"/>
  <c r="X368" i="25"/>
  <c r="AB368" i="25"/>
  <c r="K368" i="25"/>
  <c r="L368" i="25"/>
  <c r="A374" i="18"/>
  <c r="L373" i="18"/>
  <c r="AB373" i="18"/>
  <c r="X373" i="18"/>
  <c r="K373" i="18"/>
  <c r="A372" i="22"/>
  <c r="L371" i="22"/>
  <c r="K371" i="22"/>
  <c r="X371" i="22"/>
  <c r="AB371" i="22"/>
  <c r="A370" i="25"/>
  <c r="X369" i="25"/>
  <c r="K369" i="25"/>
  <c r="AB369" i="25"/>
  <c r="L369" i="25"/>
  <c r="X373" i="20"/>
  <c r="AB373" i="20"/>
  <c r="L373" i="20"/>
  <c r="K373" i="20"/>
  <c r="A374" i="20"/>
  <c r="X376" i="16"/>
  <c r="L376" i="16"/>
  <c r="D376" i="16" s="1"/>
  <c r="A377" i="16"/>
  <c r="K376" i="16"/>
  <c r="AB376" i="16"/>
  <c r="K372" i="22"/>
  <c r="X372" i="22"/>
  <c r="A373" i="22"/>
  <c r="L372" i="22"/>
  <c r="AB372" i="22"/>
  <c r="A375" i="18"/>
  <c r="AB374" i="18"/>
  <c r="K374" i="18"/>
  <c r="L374" i="18"/>
  <c r="X374" i="18"/>
  <c r="AB377" i="15"/>
  <c r="L377" i="15"/>
  <c r="D377" i="15" s="1"/>
  <c r="K377" i="15"/>
  <c r="X377" i="15"/>
  <c r="A378" i="15"/>
  <c r="D376" i="15"/>
  <c r="AB370" i="24"/>
  <c r="K370" i="24"/>
  <c r="L370" i="24"/>
  <c r="X370" i="24"/>
  <c r="A371" i="24"/>
  <c r="AK379" i="1"/>
  <c r="L379" i="1"/>
  <c r="AB379" i="1"/>
  <c r="K379" i="1"/>
  <c r="AJ379" i="1"/>
  <c r="X379" i="1"/>
  <c r="A376" i="17"/>
  <c r="K375" i="17"/>
  <c r="L375" i="17"/>
  <c r="D375" i="17" s="1"/>
  <c r="AB375" i="17"/>
  <c r="X375" i="17"/>
  <c r="AB371" i="23"/>
  <c r="A372" i="23"/>
  <c r="L371" i="23"/>
  <c r="K371" i="23"/>
  <c r="X371" i="23"/>
  <c r="AB378" i="15"/>
  <c r="X378" i="15"/>
  <c r="A379" i="15"/>
  <c r="L378" i="15"/>
  <c r="K378" i="15"/>
  <c r="K375" i="18"/>
  <c r="L375" i="18"/>
  <c r="A376" i="18"/>
  <c r="AB375" i="18"/>
  <c r="X375" i="18"/>
  <c r="K373" i="22"/>
  <c r="L373" i="22"/>
  <c r="A374" i="22"/>
  <c r="X373" i="22"/>
  <c r="AB373" i="22"/>
  <c r="AB377" i="16"/>
  <c r="K377" i="16"/>
  <c r="L377" i="16"/>
  <c r="A378" i="16"/>
  <c r="X377" i="16"/>
  <c r="AB372" i="23"/>
  <c r="L372" i="23"/>
  <c r="K372" i="23"/>
  <c r="A373" i="23"/>
  <c r="X372" i="23"/>
  <c r="K376" i="17"/>
  <c r="A377" i="17"/>
  <c r="L376" i="17"/>
  <c r="X376" i="17"/>
  <c r="AB376" i="17"/>
  <c r="AM7" i="1"/>
  <c r="AM11" i="1" s="1"/>
  <c r="AK6" i="1"/>
  <c r="AM5" i="1"/>
  <c r="AK5" i="1"/>
  <c r="AK9" i="1"/>
  <c r="AK7" i="1"/>
  <c r="AK11" i="1" s="1"/>
  <c r="AM9" i="1"/>
  <c r="AB371" i="24"/>
  <c r="A372" i="24"/>
  <c r="L371" i="24"/>
  <c r="X371" i="24"/>
  <c r="K371" i="24"/>
  <c r="A375" i="20"/>
  <c r="L374" i="20"/>
  <c r="X374" i="20"/>
  <c r="AB374" i="20"/>
  <c r="K374" i="20"/>
  <c r="K370" i="25"/>
  <c r="AB370" i="25"/>
  <c r="X370" i="25"/>
  <c r="L370" i="25"/>
  <c r="A371" i="25"/>
  <c r="AB371" i="25"/>
  <c r="A372" i="25"/>
  <c r="X371" i="25"/>
  <c r="K371" i="25"/>
  <c r="L371" i="25"/>
  <c r="X372" i="24"/>
  <c r="K372" i="24"/>
  <c r="L372" i="24"/>
  <c r="AB372" i="24"/>
  <c r="A373" i="24"/>
  <c r="A378" i="17"/>
  <c r="X377" i="17"/>
  <c r="AB377" i="17"/>
  <c r="K377" i="17"/>
  <c r="L377" i="17"/>
  <c r="D377" i="17" s="1"/>
  <c r="K378" i="16"/>
  <c r="X378" i="16"/>
  <c r="L378" i="16"/>
  <c r="AB378" i="16"/>
  <c r="A379" i="16"/>
  <c r="K376" i="18"/>
  <c r="AB376" i="18"/>
  <c r="X376" i="18"/>
  <c r="A377" i="18"/>
  <c r="L376" i="18"/>
  <c r="K379" i="15"/>
  <c r="X379" i="15"/>
  <c r="AB379" i="15"/>
  <c r="L379" i="15"/>
  <c r="B36" i="19" s="1"/>
  <c r="A376" i="20"/>
  <c r="AB375" i="20"/>
  <c r="X375" i="20"/>
  <c r="L375" i="20"/>
  <c r="K375" i="20"/>
  <c r="D376" i="17"/>
  <c r="X373" i="23"/>
  <c r="L373" i="23"/>
  <c r="K373" i="23"/>
  <c r="AB373" i="23"/>
  <c r="A374" i="23"/>
  <c r="D377" i="16"/>
  <c r="AB374" i="22"/>
  <c r="A375" i="22"/>
  <c r="L374" i="22"/>
  <c r="X374" i="22"/>
  <c r="K374" i="22"/>
  <c r="D378" i="15"/>
  <c r="K374" i="23"/>
  <c r="L374" i="23"/>
  <c r="A375" i="23"/>
  <c r="AB374" i="23"/>
  <c r="X374" i="23"/>
  <c r="L379" i="16"/>
  <c r="AB379" i="16"/>
  <c r="K379" i="16"/>
  <c r="X379" i="16"/>
  <c r="A380" i="16"/>
  <c r="D378" i="16"/>
  <c r="AB373" i="24"/>
  <c r="K373" i="24"/>
  <c r="A374" i="24"/>
  <c r="X373" i="24"/>
  <c r="L373" i="24"/>
  <c r="K375" i="22"/>
  <c r="A376" i="22"/>
  <c r="L375" i="22"/>
  <c r="X375" i="22"/>
  <c r="AB375" i="22"/>
  <c r="X376" i="20"/>
  <c r="L376" i="20"/>
  <c r="AB376" i="20"/>
  <c r="A377" i="20"/>
  <c r="K376" i="20"/>
  <c r="A378" i="18"/>
  <c r="L377" i="18"/>
  <c r="K377" i="18"/>
  <c r="AB377" i="18"/>
  <c r="X377" i="18"/>
  <c r="A379" i="17"/>
  <c r="L378" i="17"/>
  <c r="D378" i="17" s="1"/>
  <c r="X378" i="17"/>
  <c r="AB378" i="17"/>
  <c r="K378" i="17"/>
  <c r="X372" i="25"/>
  <c r="K372" i="25"/>
  <c r="AB372" i="25"/>
  <c r="L372" i="25"/>
  <c r="A373" i="25"/>
  <c r="AB378" i="18"/>
  <c r="L378" i="18"/>
  <c r="X378" i="18"/>
  <c r="K378" i="18"/>
  <c r="A379" i="18"/>
  <c r="A374" i="25"/>
  <c r="L373" i="25"/>
  <c r="K373" i="25"/>
  <c r="X373" i="25"/>
  <c r="AB373" i="25"/>
  <c r="L379" i="17"/>
  <c r="K379" i="17"/>
  <c r="X379" i="17"/>
  <c r="AB379" i="17"/>
  <c r="X374" i="24"/>
  <c r="L374" i="24"/>
  <c r="A375" i="24"/>
  <c r="K374" i="24"/>
  <c r="AB374" i="24"/>
  <c r="K375" i="23"/>
  <c r="AB375" i="23"/>
  <c r="X375" i="23"/>
  <c r="L375" i="23"/>
  <c r="A376" i="23"/>
  <c r="A378" i="20"/>
  <c r="AB377" i="20"/>
  <c r="X377" i="20"/>
  <c r="L377" i="20"/>
  <c r="K377" i="20"/>
  <c r="K376" i="22"/>
  <c r="X376" i="22"/>
  <c r="A377" i="22"/>
  <c r="AB376" i="22"/>
  <c r="L376" i="22"/>
  <c r="X380" i="16"/>
  <c r="K380" i="16"/>
  <c r="AB380" i="16"/>
  <c r="L380" i="16"/>
  <c r="D380" i="16" s="1"/>
  <c r="AB377" i="22"/>
  <c r="X377" i="22"/>
  <c r="L377" i="22"/>
  <c r="K377" i="22"/>
  <c r="A378" i="22"/>
  <c r="A377" i="23"/>
  <c r="AB376" i="23"/>
  <c r="X376" i="23"/>
  <c r="L376" i="23"/>
  <c r="K376" i="23"/>
  <c r="AB375" i="24"/>
  <c r="K375" i="24"/>
  <c r="L375" i="24"/>
  <c r="A376" i="24"/>
  <c r="X375" i="24"/>
  <c r="X374" i="25"/>
  <c r="AB374" i="25"/>
  <c r="A375" i="25"/>
  <c r="K374" i="25"/>
  <c r="L374" i="25"/>
  <c r="AB379" i="18"/>
  <c r="L379" i="18"/>
  <c r="B39" i="19" s="1"/>
  <c r="X379" i="18"/>
  <c r="K379" i="18"/>
  <c r="AB378" i="20"/>
  <c r="X378" i="20"/>
  <c r="A379" i="20"/>
  <c r="K378" i="20"/>
  <c r="L378" i="20"/>
  <c r="AB376" i="24"/>
  <c r="A377" i="24"/>
  <c r="K376" i="24"/>
  <c r="X376" i="24"/>
  <c r="L376" i="24"/>
  <c r="X379" i="20"/>
  <c r="K379" i="20"/>
  <c r="L379" i="20"/>
  <c r="B40" i="19" s="1"/>
  <c r="AB379" i="20"/>
  <c r="AB375" i="25"/>
  <c r="L375" i="25"/>
  <c r="X375" i="25"/>
  <c r="A376" i="25"/>
  <c r="K375" i="25"/>
  <c r="X377" i="23"/>
  <c r="A378" i="23"/>
  <c r="L377" i="23"/>
  <c r="K377" i="23"/>
  <c r="AB377" i="23"/>
  <c r="K378" i="22"/>
  <c r="X378" i="22"/>
  <c r="AB378" i="22"/>
  <c r="L378" i="22"/>
  <c r="A379" i="22"/>
  <c r="A377" i="25"/>
  <c r="X376" i="25"/>
  <c r="L376" i="25"/>
  <c r="AB376" i="25"/>
  <c r="K376" i="25"/>
  <c r="AB379" i="22"/>
  <c r="K379" i="22"/>
  <c r="L379" i="22"/>
  <c r="B41" i="19" s="1"/>
  <c r="A380" i="22"/>
  <c r="X379" i="22"/>
  <c r="AB378" i="23"/>
  <c r="A379" i="23"/>
  <c r="X378" i="23"/>
  <c r="K378" i="23"/>
  <c r="L378" i="23"/>
  <c r="AB377" i="24"/>
  <c r="L377" i="24"/>
  <c r="A378" i="24"/>
  <c r="K377" i="24"/>
  <c r="X377" i="24"/>
  <c r="K380" i="22"/>
  <c r="L380" i="22"/>
  <c r="X380" i="22"/>
  <c r="AB380" i="22"/>
  <c r="A379" i="24"/>
  <c r="AB378" i="24"/>
  <c r="K378" i="24"/>
  <c r="X378" i="24"/>
  <c r="L378" i="24"/>
  <c r="K379" i="23"/>
  <c r="L379" i="23"/>
  <c r="B42" i="19" s="1"/>
  <c r="AB379" i="23"/>
  <c r="X379" i="23"/>
  <c r="A378" i="25"/>
  <c r="L377" i="25"/>
  <c r="K377" i="25"/>
  <c r="X377" i="25"/>
  <c r="AB377" i="25"/>
  <c r="L379" i="24"/>
  <c r="B43" i="19" s="1"/>
  <c r="K379" i="24"/>
  <c r="X379" i="24"/>
  <c r="AB379" i="24"/>
  <c r="X378" i="25"/>
  <c r="L378" i="25"/>
  <c r="AB378" i="25"/>
  <c r="A379" i="25"/>
  <c r="K378" i="25"/>
  <c r="AB379" i="25"/>
  <c r="L379" i="25"/>
  <c r="B44" i="19" s="1"/>
  <c r="K379" i="25"/>
  <c r="X379" i="25"/>
  <c r="J21" i="27"/>
  <c r="L21" i="27" s="1"/>
  <c r="G79" i="27"/>
  <c r="U55" i="27"/>
  <c r="AF66" i="27"/>
  <c r="AF69" i="27"/>
  <c r="F12" i="27"/>
  <c r="F10" i="27"/>
  <c r="I10" i="27" s="1"/>
  <c r="F11" i="27"/>
  <c r="H56" i="27"/>
  <c r="I11" i="27"/>
  <c r="J34" i="27" s="1"/>
  <c r="AE229" i="1" l="1"/>
  <c r="Q378" i="1"/>
  <c r="Q376" i="1"/>
  <c r="Q372" i="1"/>
  <c r="Q367" i="1"/>
  <c r="Q337" i="1"/>
  <c r="Q327" i="1"/>
  <c r="Q325" i="1"/>
  <c r="Q323" i="1"/>
  <c r="Q321" i="1"/>
  <c r="Q319" i="1"/>
  <c r="Q263" i="1"/>
  <c r="Q245" i="1"/>
  <c r="Q237" i="1"/>
  <c r="Q235" i="1"/>
  <c r="Q231" i="1"/>
  <c r="Q227" i="1"/>
  <c r="Q223" i="1"/>
  <c r="Q173" i="1"/>
  <c r="Q153" i="1"/>
  <c r="Q99" i="1"/>
  <c r="Q97" i="1"/>
  <c r="Q71" i="1"/>
  <c r="Q55" i="1"/>
  <c r="Q53" i="1"/>
  <c r="Q51" i="1"/>
  <c r="Q49" i="1"/>
  <c r="Q47" i="1"/>
  <c r="AE317" i="1"/>
  <c r="AE259" i="1"/>
  <c r="AE239" i="1"/>
  <c r="AE251" i="1"/>
  <c r="Q240" i="1"/>
  <c r="AC190" i="1"/>
  <c r="O182" i="1"/>
  <c r="AC130" i="1"/>
  <c r="O102" i="1"/>
  <c r="AE54" i="1"/>
  <c r="AE174" i="1"/>
  <c r="Q361" i="1"/>
  <c r="Q357" i="1"/>
  <c r="Q355" i="1"/>
  <c r="Q349" i="1"/>
  <c r="Q345" i="1"/>
  <c r="Q341" i="1"/>
  <c r="Q333" i="1"/>
  <c r="Q331" i="1"/>
  <c r="Q315" i="1"/>
  <c r="Q265" i="1"/>
  <c r="Q257" i="1"/>
  <c r="Q255" i="1"/>
  <c r="Q253" i="1"/>
  <c r="Q249" i="1"/>
  <c r="Q243" i="1"/>
  <c r="Q167" i="1"/>
  <c r="Q149" i="1"/>
  <c r="Q135" i="1"/>
  <c r="Q85" i="1"/>
  <c r="Q83" i="1"/>
  <c r="Q67" i="1"/>
  <c r="Q61" i="1"/>
  <c r="Q45" i="1"/>
  <c r="Q43" i="1"/>
  <c r="Q41" i="1"/>
  <c r="Q39" i="1"/>
  <c r="Q29" i="1"/>
  <c r="AE17" i="1"/>
  <c r="AE93" i="1"/>
  <c r="AE59" i="1"/>
  <c r="AE117" i="1"/>
  <c r="AE287" i="1"/>
  <c r="AE111" i="1"/>
  <c r="D180" i="16"/>
  <c r="B49" i="7"/>
  <c r="D272" i="15"/>
  <c r="B61" i="7"/>
  <c r="D180" i="17"/>
  <c r="L76" i="18"/>
  <c r="L77" i="18"/>
  <c r="L79" i="18"/>
  <c r="L82" i="18"/>
  <c r="L83" i="18"/>
  <c r="L85" i="18"/>
  <c r="L87" i="18"/>
  <c r="L95" i="18"/>
  <c r="L98" i="18"/>
  <c r="L99" i="18"/>
  <c r="L105" i="18"/>
  <c r="L106" i="18"/>
  <c r="L109" i="18"/>
  <c r="L110" i="18"/>
  <c r="L112" i="18"/>
  <c r="L115" i="18"/>
  <c r="L117" i="18"/>
  <c r="L126" i="18"/>
  <c r="L127" i="18"/>
  <c r="L129" i="18"/>
  <c r="L130" i="18"/>
  <c r="L131" i="18"/>
  <c r="L132" i="18"/>
  <c r="L133" i="18"/>
  <c r="L134" i="18"/>
  <c r="L138" i="18"/>
  <c r="L139" i="18"/>
  <c r="L140" i="18"/>
  <c r="L143" i="18"/>
  <c r="L145" i="18"/>
  <c r="L147" i="18"/>
  <c r="L149" i="18"/>
  <c r="B72" i="7" s="1"/>
  <c r="L150" i="18"/>
  <c r="L151" i="18"/>
  <c r="L152" i="18"/>
  <c r="L153" i="18"/>
  <c r="L156" i="18"/>
  <c r="L157" i="18"/>
  <c r="L159" i="18"/>
  <c r="L161" i="18"/>
  <c r="L163" i="18"/>
  <c r="L165" i="18"/>
  <c r="L166" i="18"/>
  <c r="L167" i="18"/>
  <c r="L168" i="18"/>
  <c r="L169" i="18"/>
  <c r="L170" i="18"/>
  <c r="L171" i="18"/>
  <c r="L172" i="18"/>
  <c r="L176" i="18"/>
  <c r="L178" i="18"/>
  <c r="L179" i="18"/>
  <c r="L182" i="18"/>
  <c r="L184" i="18"/>
  <c r="L185" i="18"/>
  <c r="L186" i="18"/>
  <c r="L187" i="18"/>
  <c r="L188" i="18"/>
  <c r="L190" i="18"/>
  <c r="L191" i="18"/>
  <c r="L192" i="18"/>
  <c r="L196" i="18"/>
  <c r="L197" i="18"/>
  <c r="L48" i="25"/>
  <c r="L58" i="25"/>
  <c r="L71" i="25"/>
  <c r="L72" i="25"/>
  <c r="L73" i="25"/>
  <c r="L74" i="25"/>
  <c r="L77" i="25"/>
  <c r="L80" i="25"/>
  <c r="L84" i="25"/>
  <c r="L85" i="25"/>
  <c r="L90" i="25"/>
  <c r="L28" i="24"/>
  <c r="L51" i="24"/>
  <c r="L65" i="24"/>
  <c r="L68" i="24"/>
  <c r="L72" i="24"/>
  <c r="L73" i="24"/>
  <c r="L74" i="24"/>
  <c r="L75" i="24"/>
  <c r="L77" i="24"/>
  <c r="L78" i="24"/>
  <c r="L80" i="24"/>
  <c r="L81" i="24"/>
  <c r="L82" i="24"/>
  <c r="L86" i="24"/>
  <c r="L87" i="24"/>
  <c r="L88" i="24"/>
  <c r="AF58" i="7" s="1"/>
  <c r="L92" i="24"/>
  <c r="L37" i="23"/>
  <c r="L78" i="23"/>
  <c r="L81" i="23"/>
  <c r="L82" i="23"/>
  <c r="L83" i="23"/>
  <c r="L85" i="23"/>
  <c r="L86" i="23"/>
  <c r="L91" i="23"/>
  <c r="L92" i="23"/>
  <c r="L93" i="23"/>
  <c r="L39" i="20"/>
  <c r="L71" i="20"/>
  <c r="L78" i="20"/>
  <c r="L79" i="20"/>
  <c r="L80" i="20"/>
  <c r="L81" i="20"/>
  <c r="L83" i="20"/>
  <c r="L87" i="20"/>
  <c r="L88" i="20"/>
  <c r="AF22" i="7" s="1"/>
  <c r="L89" i="20"/>
  <c r="L91" i="20"/>
  <c r="L92" i="20"/>
  <c r="L93" i="20"/>
  <c r="L94" i="20"/>
  <c r="L95" i="20"/>
  <c r="L42" i="18"/>
  <c r="L58" i="18"/>
  <c r="L67" i="18"/>
  <c r="L78" i="18"/>
  <c r="L81" i="18"/>
  <c r="L84" i="18"/>
  <c r="L86" i="18"/>
  <c r="L88" i="18"/>
  <c r="B70" i="7" s="1"/>
  <c r="L89" i="18"/>
  <c r="L91" i="18"/>
  <c r="L92" i="18"/>
  <c r="L93" i="18"/>
  <c r="L94" i="18"/>
  <c r="L96" i="18"/>
  <c r="L15" i="16"/>
  <c r="D15" i="16" s="1"/>
  <c r="L16" i="16"/>
  <c r="D16" i="16" s="1"/>
  <c r="L42" i="16"/>
  <c r="D42" i="16" s="1"/>
  <c r="L43" i="16"/>
  <c r="D43" i="16" s="1"/>
  <c r="L57" i="16"/>
  <c r="D57" i="16" s="1"/>
  <c r="L58" i="16"/>
  <c r="D58" i="16" s="1"/>
  <c r="L60" i="16"/>
  <c r="L78" i="16"/>
  <c r="D78" i="16" s="1"/>
  <c r="L81" i="16"/>
  <c r="D81" i="16" s="1"/>
  <c r="L85" i="16"/>
  <c r="D85" i="16" s="1"/>
  <c r="L97" i="16"/>
  <c r="D97" i="16" s="1"/>
  <c r="Q298" i="1"/>
  <c r="Q296" i="1"/>
  <c r="Q294" i="1"/>
  <c r="Q274" i="1"/>
  <c r="Q266" i="1"/>
  <c r="Q264" i="1"/>
  <c r="Q262" i="1"/>
  <c r="Q244" i="1"/>
  <c r="Q242" i="1"/>
  <c r="Q234" i="1"/>
  <c r="O226" i="1"/>
  <c r="AC220" i="1"/>
  <c r="AC186" i="1"/>
  <c r="AC184" i="1"/>
  <c r="Q180" i="1"/>
  <c r="Q170" i="1"/>
  <c r="O166" i="1"/>
  <c r="Q148" i="1"/>
  <c r="O142" i="1"/>
  <c r="AC140" i="1"/>
  <c r="Q134" i="1"/>
  <c r="AE166" i="1"/>
  <c r="AE330" i="1"/>
  <c r="AE176" i="1"/>
  <c r="AE286" i="1"/>
  <c r="AE36" i="1"/>
  <c r="AE154" i="1"/>
  <c r="AC16" i="1"/>
  <c r="Q374" i="1"/>
  <c r="Q370" i="1"/>
  <c r="Q365" i="1"/>
  <c r="Q363" i="1"/>
  <c r="Q359" i="1"/>
  <c r="Q353" i="1"/>
  <c r="Q351" i="1"/>
  <c r="Q347" i="1"/>
  <c r="Q343" i="1"/>
  <c r="Q339" i="1"/>
  <c r="Q335" i="1"/>
  <c r="Q329" i="1"/>
  <c r="Q313" i="1"/>
  <c r="Q311" i="1"/>
  <c r="Q309" i="1"/>
  <c r="Q293" i="1"/>
  <c r="Q291" i="1"/>
  <c r="Q285" i="1"/>
  <c r="Q283" i="1"/>
  <c r="Q281" i="1"/>
  <c r="Q279" i="1"/>
  <c r="Q275" i="1"/>
  <c r="Q273" i="1"/>
  <c r="Q271" i="1"/>
  <c r="Q269" i="1"/>
  <c r="Q267" i="1"/>
  <c r="Q261" i="1"/>
  <c r="Q247" i="1"/>
  <c r="Q241" i="1"/>
  <c r="Q233" i="1"/>
  <c r="Q211" i="1"/>
  <c r="Q209" i="1"/>
  <c r="Q205" i="1"/>
  <c r="Q191" i="1"/>
  <c r="Q189" i="1"/>
  <c r="Q181" i="1"/>
  <c r="Q143" i="1"/>
  <c r="Q115" i="1"/>
  <c r="Q113" i="1"/>
  <c r="Q109" i="1"/>
  <c r="Q89" i="1"/>
  <c r="Q79" i="1"/>
  <c r="Q77" i="1"/>
  <c r="Q33" i="1"/>
  <c r="AE119" i="1"/>
  <c r="AE19" i="1"/>
  <c r="AE105" i="1"/>
  <c r="AE87" i="1"/>
  <c r="AE25" i="1"/>
  <c r="Q25" i="1"/>
  <c r="Q27" i="1"/>
  <c r="AE27" i="1"/>
  <c r="AE31" i="1"/>
  <c r="Q31" i="1"/>
  <c r="AE37" i="1"/>
  <c r="Q37" i="1"/>
  <c r="AE57" i="1"/>
  <c r="Q57" i="1"/>
  <c r="AE63" i="1"/>
  <c r="Q63" i="1"/>
  <c r="AE65" i="1"/>
  <c r="Q65" i="1"/>
  <c r="AE73" i="1"/>
  <c r="Q73" i="1"/>
  <c r="AE81" i="1"/>
  <c r="Q81" i="1"/>
  <c r="AE91" i="1"/>
  <c r="Q91" i="1"/>
  <c r="AE95" i="1"/>
  <c r="Q95" i="1"/>
  <c r="AE103" i="1"/>
  <c r="Q103" i="1"/>
  <c r="AE107" i="1"/>
  <c r="Q107" i="1"/>
  <c r="Q125" i="1"/>
  <c r="AE125" i="1"/>
  <c r="Q131" i="1"/>
  <c r="AE131" i="1"/>
  <c r="AE147" i="1"/>
  <c r="Q147" i="1"/>
  <c r="Q155" i="1"/>
  <c r="AE155" i="1"/>
  <c r="Q165" i="1"/>
  <c r="AE165" i="1"/>
  <c r="AE169" i="1"/>
  <c r="Q169" i="1"/>
  <c r="AE175" i="1"/>
  <c r="Q175" i="1"/>
  <c r="AE179" i="1"/>
  <c r="Q179" i="1"/>
  <c r="AE183" i="1"/>
  <c r="Q183" i="1"/>
  <c r="AE185" i="1"/>
  <c r="Q185" i="1"/>
  <c r="Q187" i="1"/>
  <c r="AE187" i="1"/>
  <c r="AE197" i="1"/>
  <c r="Q197" i="1"/>
  <c r="AE213" i="1"/>
  <c r="Q213" i="1"/>
  <c r="AE221" i="1"/>
  <c r="Q221" i="1"/>
  <c r="Q297" i="1"/>
  <c r="AE297" i="1"/>
  <c r="O139" i="1"/>
  <c r="AC139" i="1"/>
  <c r="AC171" i="1"/>
  <c r="O171" i="1"/>
  <c r="O179" i="1"/>
  <c r="AC179" i="1"/>
  <c r="O185" i="1"/>
  <c r="AC185" i="1"/>
  <c r="O195" i="1"/>
  <c r="AC195" i="1"/>
  <c r="BH9" i="7"/>
  <c r="BJ10" i="7" s="1"/>
  <c r="B13" i="7"/>
  <c r="Q364" i="1"/>
  <c r="Q342" i="1"/>
  <c r="Q338" i="1"/>
  <c r="Q336" i="1"/>
  <c r="Q334" i="1"/>
  <c r="Q332" i="1"/>
  <c r="Q326" i="1"/>
  <c r="Q324" i="1"/>
  <c r="Q322" i="1"/>
  <c r="Q320" i="1"/>
  <c r="Q312" i="1"/>
  <c r="Q306" i="1"/>
  <c r="AC219" i="1"/>
  <c r="Q214" i="1"/>
  <c r="Q124" i="1"/>
  <c r="Q122" i="1"/>
  <c r="Q120" i="1"/>
  <c r="AC115" i="1"/>
  <c r="Q108" i="1"/>
  <c r="Q88" i="1"/>
  <c r="AC85" i="1"/>
  <c r="O67" i="1"/>
  <c r="AE20" i="1"/>
  <c r="Q20" i="1"/>
  <c r="Q30" i="1"/>
  <c r="AE30" i="1"/>
  <c r="AE46" i="1"/>
  <c r="Q46" i="1"/>
  <c r="AE48" i="1"/>
  <c r="Q48" i="1"/>
  <c r="Q52" i="1"/>
  <c r="AE52" i="1"/>
  <c r="AE56" i="1"/>
  <c r="Q56" i="1"/>
  <c r="AE58" i="1"/>
  <c r="Q58" i="1"/>
  <c r="Q82" i="1"/>
  <c r="AE82" i="1"/>
  <c r="Q90" i="1"/>
  <c r="AE90" i="1"/>
  <c r="Q92" i="1"/>
  <c r="AE92" i="1"/>
  <c r="AE100" i="1"/>
  <c r="Q100" i="1"/>
  <c r="AE102" i="1"/>
  <c r="Q102" i="1"/>
  <c r="AE126" i="1"/>
  <c r="Q126" i="1"/>
  <c r="AE132" i="1"/>
  <c r="Q132" i="1"/>
  <c r="AE138" i="1"/>
  <c r="Q138" i="1"/>
  <c r="AE140" i="1"/>
  <c r="Q140" i="1"/>
  <c r="AE142" i="1"/>
  <c r="Q142" i="1"/>
  <c r="AE144" i="1"/>
  <c r="Q144" i="1"/>
  <c r="AE146" i="1"/>
  <c r="Q146" i="1"/>
  <c r="AE150" i="1"/>
  <c r="Q150" i="1"/>
  <c r="AE158" i="1"/>
  <c r="Q158" i="1"/>
  <c r="AE160" i="1"/>
  <c r="Q160" i="1"/>
  <c r="AE162" i="1"/>
  <c r="Q162" i="1"/>
  <c r="AE172" i="1"/>
  <c r="Q172" i="1"/>
  <c r="AE178" i="1"/>
  <c r="Q178" i="1"/>
  <c r="Q182" i="1"/>
  <c r="AE182" i="1"/>
  <c r="AE188" i="1"/>
  <c r="Q188" i="1"/>
  <c r="AE194" i="1"/>
  <c r="Q194" i="1"/>
  <c r="AE206" i="1"/>
  <c r="Q206" i="1"/>
  <c r="AE208" i="1"/>
  <c r="Q208" i="1"/>
  <c r="AE210" i="1"/>
  <c r="Q210" i="1"/>
  <c r="AE212" i="1"/>
  <c r="Q212" i="1"/>
  <c r="AE216" i="1"/>
  <c r="Q216" i="1"/>
  <c r="AE218" i="1"/>
  <c r="Q218" i="1"/>
  <c r="AE220" i="1"/>
  <c r="Q220" i="1"/>
  <c r="AE224" i="1"/>
  <c r="Q224" i="1"/>
  <c r="AE232" i="1"/>
  <c r="Q232" i="1"/>
  <c r="AE236" i="1"/>
  <c r="Q236" i="1"/>
  <c r="AE238" i="1"/>
  <c r="Q238" i="1"/>
  <c r="AE246" i="1"/>
  <c r="Q246" i="1"/>
  <c r="AE252" i="1"/>
  <c r="Q252" i="1"/>
  <c r="AE254" i="1"/>
  <c r="Q254" i="1"/>
  <c r="AE256" i="1"/>
  <c r="Q256" i="1"/>
  <c r="AE258" i="1"/>
  <c r="Q258" i="1"/>
  <c r="AE260" i="1"/>
  <c r="Q260" i="1"/>
  <c r="AE268" i="1"/>
  <c r="Q268" i="1"/>
  <c r="AE270" i="1"/>
  <c r="Q270" i="1"/>
  <c r="AE276" i="1"/>
  <c r="Q276" i="1"/>
  <c r="Q346" i="1"/>
  <c r="AE346" i="1"/>
  <c r="AC45" i="1"/>
  <c r="O45" i="1"/>
  <c r="AC51" i="1"/>
  <c r="O51" i="1"/>
  <c r="AC69" i="1"/>
  <c r="O69" i="1"/>
  <c r="AC81" i="1"/>
  <c r="O81" i="1"/>
  <c r="O135" i="1"/>
  <c r="AC135" i="1"/>
  <c r="O157" i="1"/>
  <c r="AC157" i="1"/>
  <c r="AC159" i="1"/>
  <c r="O159" i="1"/>
  <c r="AC183" i="1"/>
  <c r="O183" i="1"/>
  <c r="AC191" i="1"/>
  <c r="O191" i="1"/>
  <c r="O193" i="1"/>
  <c r="AC193" i="1"/>
  <c r="AC199" i="1"/>
  <c r="O199" i="1"/>
  <c r="AC201" i="1"/>
  <c r="O201" i="1"/>
  <c r="O207" i="1"/>
  <c r="AC207" i="1"/>
  <c r="Q379" i="1"/>
  <c r="BX15" i="7" s="1"/>
  <c r="Q377" i="1"/>
  <c r="Q375" i="1"/>
  <c r="Q373" i="1"/>
  <c r="Q371" i="1"/>
  <c r="Q368" i="1"/>
  <c r="Q360" i="1"/>
  <c r="Q354" i="1"/>
  <c r="Q352" i="1"/>
  <c r="Q348" i="1"/>
  <c r="Q328" i="1"/>
  <c r="Q318" i="1"/>
  <c r="Q314" i="1"/>
  <c r="Q310" i="1"/>
  <c r="Q308" i="1"/>
  <c r="Q304" i="1"/>
  <c r="Q302" i="1"/>
  <c r="Q300" i="1"/>
  <c r="Q284" i="1"/>
  <c r="Q250" i="1"/>
  <c r="Q248" i="1"/>
  <c r="Q230" i="1"/>
  <c r="Q228" i="1"/>
  <c r="Q226" i="1"/>
  <c r="O203" i="1"/>
  <c r="Q202" i="1"/>
  <c r="AC189" i="1"/>
  <c r="Q164" i="1"/>
  <c r="Q152" i="1"/>
  <c r="AC137" i="1"/>
  <c r="Q136" i="1"/>
  <c r="Q130" i="1"/>
  <c r="Q128" i="1"/>
  <c r="O127" i="1"/>
  <c r="Q72" i="1"/>
  <c r="Q70" i="1"/>
  <c r="Q50" i="1"/>
  <c r="Q26" i="1"/>
  <c r="Q24" i="1"/>
  <c r="Q22" i="1"/>
  <c r="AE16" i="1"/>
  <c r="AE222" i="1"/>
  <c r="AE42" i="1"/>
  <c r="AE40" i="1"/>
  <c r="AE196" i="1"/>
  <c r="AE156" i="1"/>
  <c r="AE186" i="1"/>
  <c r="AE168" i="1"/>
  <c r="H11" i="7"/>
  <c r="AC10" i="1"/>
  <c r="AC345" i="1" s="1"/>
  <c r="O10" i="1"/>
  <c r="AB44" i="6"/>
  <c r="AA50" i="6" s="1"/>
  <c r="AJ7" i="1"/>
  <c r="AJ11" i="1" s="1"/>
  <c r="AJ5" i="1"/>
  <c r="AJ9" i="1"/>
  <c r="AJ6" i="1"/>
  <c r="AJ18" i="6"/>
  <c r="Q29" i="6"/>
  <c r="R31" i="6" s="1"/>
  <c r="L17" i="16"/>
  <c r="D17" i="16" s="1"/>
  <c r="L22" i="15"/>
  <c r="D22" i="15" s="1"/>
  <c r="L19" i="23"/>
  <c r="L20" i="22"/>
  <c r="L18" i="25"/>
  <c r="L19" i="24"/>
  <c r="L22" i="22"/>
  <c r="L21" i="23"/>
  <c r="L27" i="17"/>
  <c r="D27" i="17" s="1"/>
  <c r="L22" i="24"/>
  <c r="L24" i="22"/>
  <c r="L28" i="17"/>
  <c r="D28" i="17" s="1"/>
  <c r="L26" i="20"/>
  <c r="L24" i="25"/>
  <c r="L27" i="22"/>
  <c r="L32" i="16"/>
  <c r="D32" i="16" s="1"/>
  <c r="L33" i="15"/>
  <c r="D33" i="15" s="1"/>
  <c r="L31" i="17"/>
  <c r="D31" i="17" s="1"/>
  <c r="L25" i="25"/>
  <c r="L26" i="24"/>
  <c r="L26" i="25"/>
  <c r="L32" i="18"/>
  <c r="L31" i="20"/>
  <c r="L28" i="25"/>
  <c r="L36" i="15"/>
  <c r="D36" i="15" s="1"/>
  <c r="L30" i="23"/>
  <c r="L35" i="17"/>
  <c r="D35" i="17" s="1"/>
  <c r="L31" i="24"/>
  <c r="L33" i="22"/>
  <c r="L35" i="20"/>
  <c r="L38" i="16"/>
  <c r="D38" i="16" s="1"/>
  <c r="L35" i="22"/>
  <c r="L37" i="18"/>
  <c r="L37" i="20"/>
  <c r="L38" i="18"/>
  <c r="L39" i="17"/>
  <c r="D39" i="17" s="1"/>
  <c r="L37" i="22"/>
  <c r="L41" i="17"/>
  <c r="D41" i="17" s="1"/>
  <c r="L38" i="23"/>
  <c r="L44" i="15"/>
  <c r="D44" i="15" s="1"/>
  <c r="L44" i="16"/>
  <c r="D44" i="16" s="1"/>
  <c r="L41" i="20"/>
  <c r="L43" i="17"/>
  <c r="D43" i="17" s="1"/>
  <c r="L42" i="20"/>
  <c r="L46" i="15"/>
  <c r="D46" i="15" s="1"/>
  <c r="L41" i="22"/>
  <c r="L43" i="20"/>
  <c r="L39" i="25"/>
  <c r="L40" i="24"/>
  <c r="L49" i="15"/>
  <c r="D49" i="15" s="1"/>
  <c r="L46" i="18"/>
  <c r="L41" i="25"/>
  <c r="L45" i="23"/>
  <c r="L48" i="18"/>
  <c r="L49" i="18"/>
  <c r="L45" i="24"/>
  <c r="L51" i="16"/>
  <c r="D51" i="16" s="1"/>
  <c r="L48" i="20"/>
  <c r="L51" i="17"/>
  <c r="D51" i="17" s="1"/>
  <c r="L45" i="25"/>
  <c r="L46" i="24"/>
  <c r="L52" i="16"/>
  <c r="D52" i="16" s="1"/>
  <c r="L48" i="23"/>
  <c r="L51" i="18"/>
  <c r="L54" i="15"/>
  <c r="D54" i="15" s="1"/>
  <c r="L50" i="20"/>
  <c r="L47" i="25"/>
  <c r="L55" i="15"/>
  <c r="D55" i="15" s="1"/>
  <c r="L49" i="23"/>
  <c r="L51" i="22"/>
  <c r="L55" i="16"/>
  <c r="D55" i="16" s="1"/>
  <c r="L53" i="18"/>
  <c r="L52" i="20"/>
  <c r="L15" i="20"/>
  <c r="L18" i="16"/>
  <c r="D18" i="16" s="1"/>
  <c r="L17" i="18"/>
  <c r="L22" i="25"/>
  <c r="L29" i="16"/>
  <c r="L30" i="16"/>
  <c r="D30" i="16" s="1"/>
  <c r="L31" i="18"/>
  <c r="L34" i="15"/>
  <c r="D34" i="15" s="1"/>
  <c r="L32" i="20"/>
  <c r="L33" i="18"/>
  <c r="L36" i="16"/>
  <c r="D36" i="16" s="1"/>
  <c r="L32" i="23"/>
  <c r="L30" i="25"/>
  <c r="L36" i="18"/>
  <c r="L32" i="24"/>
  <c r="L39" i="15"/>
  <c r="D39" i="15" s="1"/>
  <c r="L38" i="17"/>
  <c r="D38" i="17" s="1"/>
  <c r="L40" i="15"/>
  <c r="D40" i="15" s="1"/>
  <c r="L34" i="23"/>
  <c r="L43" i="15"/>
  <c r="D43" i="15" s="1"/>
  <c r="L44" i="17"/>
  <c r="D44" i="17" s="1"/>
  <c r="L44" i="18"/>
  <c r="L47" i="16"/>
  <c r="D47" i="16" s="1"/>
  <c r="L41" i="24"/>
  <c r="L47" i="18"/>
  <c r="L44" i="23"/>
  <c r="L49" i="16"/>
  <c r="D49" i="16" s="1"/>
  <c r="L44" i="24"/>
  <c r="L44" i="25"/>
  <c r="L49" i="20"/>
  <c r="L53" i="15"/>
  <c r="D53" i="15" s="1"/>
  <c r="L48" i="22"/>
  <c r="L52" i="18"/>
  <c r="L54" i="16"/>
  <c r="D54" i="16" s="1"/>
  <c r="L49" i="24"/>
  <c r="L49" i="25"/>
  <c r="L51" i="23"/>
  <c r="L56" i="16"/>
  <c r="D56" i="16" s="1"/>
  <c r="L57" i="15"/>
  <c r="D57" i="15" s="1"/>
  <c r="L55" i="17"/>
  <c r="D55" i="17" s="1"/>
  <c r="L53" i="20"/>
  <c r="L54" i="18"/>
  <c r="L53" i="22"/>
  <c r="L52" i="23"/>
  <c r="L56" i="17"/>
  <c r="D56" i="17" s="1"/>
  <c r="L50" i="25"/>
  <c r="L57" i="17"/>
  <c r="D57" i="17" s="1"/>
  <c r="L54" i="22"/>
  <c r="L56" i="18"/>
  <c r="L51" i="25"/>
  <c r="L52" i="24"/>
  <c r="L53" i="23"/>
  <c r="L59" i="15"/>
  <c r="D59" i="15" s="1"/>
  <c r="L55" i="20"/>
  <c r="L56" i="20"/>
  <c r="L59" i="16"/>
  <c r="D59" i="16" s="1"/>
  <c r="L57" i="18"/>
  <c r="L58" i="17"/>
  <c r="D58" i="17" s="1"/>
  <c r="L52" i="25"/>
  <c r="L53" i="25"/>
  <c r="L59" i="17"/>
  <c r="D59" i="17" s="1"/>
  <c r="L54" i="24"/>
  <c r="L55" i="23"/>
  <c r="L59" i="18"/>
  <c r="L61" i="16"/>
  <c r="D61" i="16" s="1"/>
  <c r="L62" i="15"/>
  <c r="D62" i="15" s="1"/>
  <c r="L55" i="24"/>
  <c r="L60" i="17"/>
  <c r="L54" i="25"/>
  <c r="L62" i="16"/>
  <c r="D62" i="16" s="1"/>
  <c r="L61" i="17"/>
  <c r="D61" i="17" s="1"/>
  <c r="L56" i="24"/>
  <c r="L63" i="15"/>
  <c r="D63" i="15" s="1"/>
  <c r="L57" i="23"/>
  <c r="L64" i="15"/>
  <c r="D64" i="15" s="1"/>
  <c r="L61" i="18"/>
  <c r="L57" i="24"/>
  <c r="L60" i="20"/>
  <c r="AF21" i="7" s="1"/>
  <c r="L57" i="25"/>
  <c r="L64" i="16"/>
  <c r="D64" i="16" s="1"/>
  <c r="L58" i="24"/>
  <c r="L60" i="23"/>
  <c r="AF45" i="7" s="1"/>
  <c r="L63" i="18"/>
  <c r="L64" i="17"/>
  <c r="D64" i="17" s="1"/>
  <c r="L59" i="24"/>
  <c r="L62" i="20"/>
  <c r="L61" i="22"/>
  <c r="L62" i="22"/>
  <c r="L64" i="18"/>
  <c r="L65" i="17"/>
  <c r="D65" i="17" s="1"/>
  <c r="L66" i="16"/>
  <c r="D66" i="16" s="1"/>
  <c r="L61" i="23"/>
  <c r="L62" i="23"/>
  <c r="L64" i="20"/>
  <c r="L60" i="25"/>
  <c r="AF69" i="7" s="1"/>
  <c r="L61" i="24"/>
  <c r="L66" i="17"/>
  <c r="D66" i="17" s="1"/>
  <c r="L63" i="22"/>
  <c r="L69" i="15"/>
  <c r="D69" i="15" s="1"/>
  <c r="L61" i="25"/>
  <c r="L65" i="20"/>
  <c r="L66" i="18"/>
  <c r="L68" i="16"/>
  <c r="D68" i="16" s="1"/>
  <c r="L63" i="23"/>
  <c r="L69" i="16"/>
  <c r="D69" i="16" s="1"/>
  <c r="L68" i="17"/>
  <c r="D68" i="17" s="1"/>
  <c r="L66" i="20"/>
  <c r="L63" i="24"/>
  <c r="L65" i="22"/>
  <c r="L66" i="22"/>
  <c r="L71" i="15"/>
  <c r="D71" i="15" s="1"/>
  <c r="L64" i="24"/>
  <c r="L63" i="25"/>
  <c r="L68" i="18"/>
  <c r="L69" i="17"/>
  <c r="D69" i="17" s="1"/>
  <c r="L65" i="23"/>
  <c r="L67" i="20"/>
  <c r="L71" i="16"/>
  <c r="D71" i="16" s="1"/>
  <c r="L68" i="20"/>
  <c r="L66" i="23"/>
  <c r="L70" i="17"/>
  <c r="D70" i="17" s="1"/>
  <c r="L69" i="18"/>
  <c r="L64" i="25"/>
  <c r="L67" i="22"/>
  <c r="L68" i="22"/>
  <c r="L65" i="25"/>
  <c r="L71" i="17"/>
  <c r="D71" i="17" s="1"/>
  <c r="L66" i="24"/>
  <c r="L69" i="20"/>
  <c r="L72" i="16"/>
  <c r="D72" i="16" s="1"/>
  <c r="L71" i="18"/>
  <c r="L68" i="23"/>
  <c r="L74" i="15"/>
  <c r="D74" i="15" s="1"/>
  <c r="L70" i="20"/>
  <c r="L67" i="24"/>
  <c r="L72" i="17"/>
  <c r="D72" i="17" s="1"/>
  <c r="L73" i="17"/>
  <c r="D73" i="17" s="1"/>
  <c r="L69" i="23"/>
  <c r="L72" i="18"/>
  <c r="L73" i="18"/>
  <c r="L76" i="15"/>
  <c r="D76" i="15" s="1"/>
  <c r="L72" i="20"/>
  <c r="L68" i="25"/>
  <c r="L75" i="17"/>
  <c r="D75" i="17" s="1"/>
  <c r="L71" i="23"/>
  <c r="L70" i="24"/>
  <c r="L74" i="18"/>
  <c r="L71" i="24"/>
  <c r="L70" i="25"/>
  <c r="L73" i="22"/>
  <c r="L74" i="20"/>
  <c r="L75" i="20"/>
  <c r="L73" i="23"/>
  <c r="B48" i="7"/>
  <c r="B35" i="7"/>
  <c r="L77" i="16"/>
  <c r="D77" i="16" s="1"/>
  <c r="L75" i="18"/>
  <c r="L72" i="22"/>
  <c r="L73" i="20"/>
  <c r="L69" i="25"/>
  <c r="L71" i="22"/>
  <c r="L74" i="17"/>
  <c r="D74" i="17" s="1"/>
  <c r="L70" i="23"/>
  <c r="L69" i="24"/>
  <c r="L67" i="25"/>
  <c r="L66" i="25"/>
  <c r="L67" i="23"/>
  <c r="L73" i="15"/>
  <c r="D73" i="15" s="1"/>
  <c r="L72" i="15"/>
  <c r="D72" i="15" s="1"/>
  <c r="L70" i="16"/>
  <c r="D70" i="16" s="1"/>
  <c r="L62" i="25"/>
  <c r="L64" i="23"/>
  <c r="L62" i="24"/>
  <c r="L65" i="18"/>
  <c r="L60" i="24"/>
  <c r="AF57" i="7" s="1"/>
  <c r="L65" i="16"/>
  <c r="D65" i="16" s="1"/>
  <c r="L61" i="20"/>
  <c r="L62" i="18"/>
  <c r="L59" i="22"/>
  <c r="L63" i="16"/>
  <c r="D63" i="16" s="1"/>
  <c r="L62" i="17"/>
  <c r="D62" i="17" s="1"/>
  <c r="L60" i="18"/>
  <c r="B69" i="7" s="1"/>
  <c r="L58" i="22"/>
  <c r="L55" i="25"/>
  <c r="L57" i="22"/>
  <c r="L58" i="20"/>
  <c r="L56" i="23"/>
  <c r="L57" i="20"/>
  <c r="L56" i="22"/>
  <c r="L53" i="24"/>
  <c r="L60" i="15"/>
  <c r="L54" i="20"/>
  <c r="L55" i="18"/>
  <c r="L52" i="22"/>
  <c r="L50" i="24"/>
  <c r="L50" i="23"/>
  <c r="L56" i="15"/>
  <c r="D56" i="15" s="1"/>
  <c r="L54" i="17"/>
  <c r="D54" i="17" s="1"/>
  <c r="L48" i="24"/>
  <c r="L50" i="22"/>
  <c r="L53" i="17"/>
  <c r="D53" i="17" s="1"/>
  <c r="L51" i="20"/>
  <c r="L52" i="17"/>
  <c r="D52" i="17" s="1"/>
  <c r="L46" i="25"/>
  <c r="L49" i="22"/>
  <c r="L47" i="24"/>
  <c r="L53" i="16"/>
  <c r="D53" i="16" s="1"/>
  <c r="L50" i="18"/>
  <c r="L47" i="23"/>
  <c r="L52" i="15"/>
  <c r="D52" i="15" s="1"/>
  <c r="L47" i="22"/>
  <c r="L50" i="17"/>
  <c r="D50" i="17" s="1"/>
  <c r="L50" i="16"/>
  <c r="D50" i="16" s="1"/>
  <c r="L49" i="17"/>
  <c r="D49" i="17" s="1"/>
  <c r="L46" i="22"/>
  <c r="L51" i="15"/>
  <c r="D51" i="15" s="1"/>
  <c r="L45" i="17"/>
  <c r="D45" i="17" s="1"/>
  <c r="L39" i="24"/>
  <c r="L34" i="25"/>
  <c r="L35" i="24"/>
  <c r="L34" i="17"/>
  <c r="D34" i="17" s="1"/>
  <c r="L16" i="25"/>
  <c r="L18" i="23"/>
  <c r="L22" i="17"/>
  <c r="D22" i="17" s="1"/>
  <c r="L21" i="18"/>
  <c r="L21" i="17"/>
  <c r="D21" i="17" s="1"/>
  <c r="L17" i="23"/>
  <c r="L15" i="24"/>
  <c r="L21" i="16"/>
  <c r="D21" i="16" s="1"/>
  <c r="L16" i="23"/>
  <c r="D333" i="15"/>
  <c r="B52" i="7"/>
  <c r="B64" i="7"/>
  <c r="D272" i="17"/>
  <c r="D119" i="17"/>
  <c r="B59" i="7"/>
  <c r="B46" i="7"/>
  <c r="D88" i="16"/>
  <c r="B57" i="7"/>
  <c r="D60" i="17"/>
  <c r="E13" i="7"/>
  <c r="BY13" i="7"/>
  <c r="M13" i="6"/>
  <c r="N16" i="6" s="1"/>
  <c r="D379" i="16"/>
  <c r="B37" i="19"/>
  <c r="D379" i="1"/>
  <c r="B35" i="19"/>
  <c r="D379" i="17"/>
  <c r="B38" i="19"/>
  <c r="D379" i="15"/>
  <c r="D302" i="1"/>
  <c r="B62" i="7"/>
  <c r="B36" i="7"/>
  <c r="D149" i="15"/>
  <c r="B47" i="7"/>
  <c r="D119" i="16"/>
  <c r="B34" i="7"/>
  <c r="D88" i="15"/>
  <c r="B37" i="7"/>
  <c r="D180" i="15"/>
  <c r="B33" i="7"/>
  <c r="D60" i="15"/>
  <c r="M18" i="6"/>
  <c r="L13" i="6"/>
  <c r="M29" i="6" s="1"/>
  <c r="N31" i="6" s="1"/>
  <c r="E274" i="6"/>
  <c r="AG16" i="6"/>
  <c r="M44" i="6"/>
  <c r="M48" i="6" s="1"/>
  <c r="BS13" i="7"/>
  <c r="O20" i="6"/>
  <c r="P29" i="6"/>
  <c r="O35" i="6" s="1"/>
  <c r="AL20" i="6"/>
  <c r="E246" i="6"/>
  <c r="Z44" i="6"/>
  <c r="AA46" i="6" s="1"/>
  <c r="V29" i="6"/>
  <c r="V33" i="6" s="1"/>
  <c r="E302" i="6"/>
  <c r="AG20" i="6"/>
  <c r="AA20" i="6"/>
  <c r="AC223" i="1"/>
  <c r="AC215" i="1"/>
  <c r="AC213" i="1"/>
  <c r="AC211" i="1"/>
  <c r="AC209" i="1"/>
  <c r="O205" i="1"/>
  <c r="AC197" i="1"/>
  <c r="O181" i="1"/>
  <c r="AC177" i="1"/>
  <c r="AC175" i="1"/>
  <c r="AC173" i="1"/>
  <c r="AC169" i="1"/>
  <c r="O167" i="1"/>
  <c r="O165" i="1"/>
  <c r="O149" i="1"/>
  <c r="C24" i="7" s="1"/>
  <c r="O113" i="1"/>
  <c r="O109" i="1"/>
  <c r="AC89" i="1"/>
  <c r="O75" i="1"/>
  <c r="O73" i="1"/>
  <c r="O71" i="1"/>
  <c r="AC65" i="1"/>
  <c r="AC41" i="1"/>
  <c r="AE64" i="1"/>
  <c r="Q64" i="1"/>
  <c r="AE66" i="1"/>
  <c r="Q66" i="1"/>
  <c r="AE68" i="1"/>
  <c r="Q68" i="1"/>
  <c r="AE74" i="1"/>
  <c r="Q74" i="1"/>
  <c r="AE76" i="1"/>
  <c r="Q76" i="1"/>
  <c r="AE78" i="1"/>
  <c r="Q78" i="1"/>
  <c r="AE80" i="1"/>
  <c r="Q80" i="1"/>
  <c r="AE84" i="1"/>
  <c r="Q84" i="1"/>
  <c r="AE86" i="1"/>
  <c r="Q86" i="1"/>
  <c r="AE94" i="1"/>
  <c r="Q94" i="1"/>
  <c r="AE96" i="1"/>
  <c r="Q96" i="1"/>
  <c r="AE106" i="1"/>
  <c r="Q106" i="1"/>
  <c r="AE116" i="1"/>
  <c r="Q116" i="1"/>
  <c r="AE118" i="1"/>
  <c r="Q118" i="1"/>
  <c r="Q121" i="1"/>
  <c r="AE121" i="1"/>
  <c r="AE123" i="1"/>
  <c r="Q123" i="1"/>
  <c r="AE139" i="1"/>
  <c r="Q139" i="1"/>
  <c r="AE145" i="1"/>
  <c r="Q145" i="1"/>
  <c r="AE151" i="1"/>
  <c r="Q151" i="1"/>
  <c r="AE157" i="1"/>
  <c r="Q157" i="1"/>
  <c r="AE159" i="1"/>
  <c r="Q159" i="1"/>
  <c r="AE161" i="1"/>
  <c r="Q161" i="1"/>
  <c r="AE163" i="1"/>
  <c r="Q163" i="1"/>
  <c r="AC17" i="1"/>
  <c r="O17" i="1"/>
  <c r="O19" i="1"/>
  <c r="AC19" i="1"/>
  <c r="O21" i="1"/>
  <c r="AC21" i="1"/>
  <c r="O23" i="1"/>
  <c r="AC23" i="1"/>
  <c r="O29" i="1"/>
  <c r="C20" i="7" s="1"/>
  <c r="AC29" i="1"/>
  <c r="AC31" i="1"/>
  <c r="O31" i="1"/>
  <c r="O33" i="1"/>
  <c r="AC33" i="1"/>
  <c r="O37" i="1"/>
  <c r="AC37" i="1"/>
  <c r="O57" i="1"/>
  <c r="AC57" i="1"/>
  <c r="O59" i="1"/>
  <c r="AC59" i="1"/>
  <c r="AC61" i="1"/>
  <c r="O61" i="1"/>
  <c r="AC63" i="1"/>
  <c r="O63" i="1"/>
  <c r="O95" i="1"/>
  <c r="AC95" i="1"/>
  <c r="O101" i="1"/>
  <c r="AC101" i="1"/>
  <c r="AC105" i="1"/>
  <c r="O105" i="1"/>
  <c r="AC125" i="1"/>
  <c r="O125" i="1"/>
  <c r="O129" i="1"/>
  <c r="AC129" i="1"/>
  <c r="AC141" i="1"/>
  <c r="O141" i="1"/>
  <c r="O153" i="1"/>
  <c r="AC153" i="1"/>
  <c r="O163" i="1"/>
  <c r="AC163" i="1"/>
  <c r="O225" i="1"/>
  <c r="AC221" i="1"/>
  <c r="O217" i="1"/>
  <c r="Q207" i="1"/>
  <c r="Q203" i="1"/>
  <c r="Q201" i="1"/>
  <c r="Q199" i="1"/>
  <c r="Q195" i="1"/>
  <c r="Q193" i="1"/>
  <c r="O187" i="1"/>
  <c r="Q177" i="1"/>
  <c r="Q171" i="1"/>
  <c r="AC161" i="1"/>
  <c r="AC155" i="1"/>
  <c r="O151" i="1"/>
  <c r="O147" i="1"/>
  <c r="O145" i="1"/>
  <c r="O143" i="1"/>
  <c r="Q141" i="1"/>
  <c r="Q137" i="1"/>
  <c r="Q133" i="1"/>
  <c r="O133" i="1"/>
  <c r="AC131" i="1"/>
  <c r="Q129" i="1"/>
  <c r="O123" i="1"/>
  <c r="O121" i="1"/>
  <c r="O119" i="1"/>
  <c r="C23" i="7" s="1"/>
  <c r="O117" i="1"/>
  <c r="AC111" i="1"/>
  <c r="AC107" i="1"/>
  <c r="Q104" i="1"/>
  <c r="O103" i="1"/>
  <c r="AC99" i="1"/>
  <c r="Q98" i="1"/>
  <c r="O97" i="1"/>
  <c r="O93" i="1"/>
  <c r="AC91" i="1"/>
  <c r="AC87" i="1"/>
  <c r="AC83" i="1"/>
  <c r="AC79" i="1"/>
  <c r="AC77" i="1"/>
  <c r="AC55" i="1"/>
  <c r="AC53" i="1"/>
  <c r="O49" i="1"/>
  <c r="AC47" i="1"/>
  <c r="AC43" i="1"/>
  <c r="AC39" i="1"/>
  <c r="O35" i="1"/>
  <c r="O27" i="1"/>
  <c r="O25" i="1"/>
  <c r="P12" i="1"/>
  <c r="Q15" i="1"/>
  <c r="AE15" i="1"/>
  <c r="Q23" i="1"/>
  <c r="AE23" i="1"/>
  <c r="Q301" i="1"/>
  <c r="AE301" i="1"/>
  <c r="P44" i="6"/>
  <c r="P48" i="6" s="1"/>
  <c r="X20" i="6"/>
  <c r="E64" i="6"/>
  <c r="U18" i="6"/>
  <c r="BM13" i="7"/>
  <c r="O9" i="17"/>
  <c r="AJ149" i="17" s="1"/>
  <c r="O9" i="15"/>
  <c r="AJ274" i="15" s="1"/>
  <c r="AJ45" i="17"/>
  <c r="AE34" i="1"/>
  <c r="Q34" i="1"/>
  <c r="AE38" i="1"/>
  <c r="Q38" i="1"/>
  <c r="AE44" i="1"/>
  <c r="Q44" i="1"/>
  <c r="AE60" i="1"/>
  <c r="Q60" i="1"/>
  <c r="AE62" i="1"/>
  <c r="Q62" i="1"/>
  <c r="AE69" i="1"/>
  <c r="Q69" i="1"/>
  <c r="AE75" i="1"/>
  <c r="Q75" i="1"/>
  <c r="AE110" i="1"/>
  <c r="Q110" i="1"/>
  <c r="AE112" i="1"/>
  <c r="Q112" i="1"/>
  <c r="AE114" i="1"/>
  <c r="Q114" i="1"/>
  <c r="AE127" i="1"/>
  <c r="Q127" i="1"/>
  <c r="AE184" i="1"/>
  <c r="Q184" i="1"/>
  <c r="AE190" i="1"/>
  <c r="Q190" i="1"/>
  <c r="AE192" i="1"/>
  <c r="Q192" i="1"/>
  <c r="AE204" i="1"/>
  <c r="Q204" i="1"/>
  <c r="AE215" i="1"/>
  <c r="Q215" i="1"/>
  <c r="AE217" i="1"/>
  <c r="Q217" i="1"/>
  <c r="AE219" i="1"/>
  <c r="Q219" i="1"/>
  <c r="AE272" i="1"/>
  <c r="Q272" i="1"/>
  <c r="AE280" i="1"/>
  <c r="Q280" i="1"/>
  <c r="AE282" i="1"/>
  <c r="Q282" i="1"/>
  <c r="AE288" i="1"/>
  <c r="Q288" i="1"/>
  <c r="AE290" i="1"/>
  <c r="Q290" i="1"/>
  <c r="AE292" i="1"/>
  <c r="Q292" i="1"/>
  <c r="AE295" i="1"/>
  <c r="Q295" i="1"/>
  <c r="AE299" i="1"/>
  <c r="Q299" i="1"/>
  <c r="AE340" i="1"/>
  <c r="Q340" i="1"/>
  <c r="AE344" i="1"/>
  <c r="Q344" i="1"/>
  <c r="AE350" i="1"/>
  <c r="Q350" i="1"/>
  <c r="AE356" i="1"/>
  <c r="Q356" i="1"/>
  <c r="AE358" i="1"/>
  <c r="Q358" i="1"/>
  <c r="AE362" i="1"/>
  <c r="Q362" i="1"/>
  <c r="AE366" i="1"/>
  <c r="Q366" i="1"/>
  <c r="AE369" i="1"/>
  <c r="Q369" i="1"/>
  <c r="AC15" i="1"/>
  <c r="O15" i="1"/>
  <c r="O18" i="1"/>
  <c r="AC18" i="1"/>
  <c r="AC24" i="1"/>
  <c r="O24" i="1"/>
  <c r="O60" i="1"/>
  <c r="C21" i="7" s="1"/>
  <c r="AC60" i="1"/>
  <c r="O110" i="1"/>
  <c r="AC110" i="1"/>
  <c r="AC126" i="1"/>
  <c r="O126" i="1"/>
  <c r="AC148" i="1"/>
  <c r="O148" i="1"/>
  <c r="AC152" i="1"/>
  <c r="O152" i="1"/>
  <c r="AC154" i="1"/>
  <c r="O154" i="1"/>
  <c r="O162" i="1"/>
  <c r="AC162" i="1"/>
  <c r="O178" i="1"/>
  <c r="AC178" i="1"/>
  <c r="AC192" i="1"/>
  <c r="O192" i="1"/>
  <c r="AC200" i="1"/>
  <c r="O200" i="1"/>
  <c r="O202" i="1"/>
  <c r="AC202" i="1"/>
  <c r="AC206" i="1"/>
  <c r="O206" i="1"/>
  <c r="O212" i="1"/>
  <c r="AC212" i="1"/>
  <c r="AC218" i="1"/>
  <c r="O218" i="1"/>
  <c r="AC222" i="1"/>
  <c r="O222" i="1"/>
  <c r="AE18" i="1"/>
  <c r="Q18" i="1"/>
  <c r="AE21" i="1"/>
  <c r="Q21" i="1"/>
  <c r="BH9" i="6"/>
  <c r="AI12" i="1" s="1"/>
  <c r="Q35" i="1"/>
  <c r="AC84" i="1"/>
  <c r="O108" i="1"/>
  <c r="AC98" i="1"/>
  <c r="O96" i="1"/>
  <c r="AC92" i="1"/>
  <c r="AC76" i="1"/>
  <c r="O42" i="1"/>
  <c r="O38" i="1"/>
  <c r="O34" i="1"/>
  <c r="O30" i="1"/>
  <c r="O28" i="1"/>
  <c r="AC194" i="1"/>
  <c r="AC188" i="1"/>
  <c r="O180" i="1"/>
  <c r="C25" i="7" s="1"/>
  <c r="AC176" i="1"/>
  <c r="O174" i="1"/>
  <c r="O164" i="1"/>
  <c r="O160" i="1"/>
  <c r="AC156" i="1"/>
  <c r="AC144" i="1"/>
  <c r="O136" i="1"/>
  <c r="O132" i="1"/>
  <c r="AC128" i="1"/>
  <c r="O124" i="1"/>
  <c r="O114" i="1"/>
  <c r="AC112" i="1"/>
  <c r="AC106" i="1"/>
  <c r="O100" i="1"/>
  <c r="O90" i="1"/>
  <c r="AC88" i="1"/>
  <c r="O86" i="1"/>
  <c r="O82" i="1"/>
  <c r="AC80" i="1"/>
  <c r="O78" i="1"/>
  <c r="AC72" i="1"/>
  <c r="AC68" i="1"/>
  <c r="AC66" i="1"/>
  <c r="AC64" i="1"/>
  <c r="AC62" i="1"/>
  <c r="O58" i="1"/>
  <c r="O56" i="1"/>
  <c r="AC52" i="1"/>
  <c r="O48" i="1"/>
  <c r="O32" i="1"/>
  <c r="O26" i="1"/>
  <c r="AC22" i="1"/>
  <c r="O20" i="1"/>
  <c r="O36" i="1"/>
  <c r="AC36" i="1"/>
  <c r="AC40" i="1"/>
  <c r="O40" i="1"/>
  <c r="AC44" i="1"/>
  <c r="O44" i="1"/>
  <c r="AC46" i="1"/>
  <c r="O46" i="1"/>
  <c r="O50" i="1"/>
  <c r="AC50" i="1"/>
  <c r="AC54" i="1"/>
  <c r="O54" i="1"/>
  <c r="O70" i="1"/>
  <c r="AC70" i="1"/>
  <c r="AC74" i="1"/>
  <c r="O74" i="1"/>
  <c r="AC94" i="1"/>
  <c r="O94" i="1"/>
  <c r="AC104" i="1"/>
  <c r="O104" i="1"/>
  <c r="AC116" i="1"/>
  <c r="O116" i="1"/>
  <c r="O118" i="1"/>
  <c r="AC118" i="1"/>
  <c r="AC120" i="1"/>
  <c r="O120" i="1"/>
  <c r="AC122" i="1"/>
  <c r="O122" i="1"/>
  <c r="AC134" i="1"/>
  <c r="O134" i="1"/>
  <c r="AC138" i="1"/>
  <c r="O138" i="1"/>
  <c r="O146" i="1"/>
  <c r="AC146" i="1"/>
  <c r="O150" i="1"/>
  <c r="AC150" i="1"/>
  <c r="AC158" i="1"/>
  <c r="O158" i="1"/>
  <c r="AC168" i="1"/>
  <c r="O168" i="1"/>
  <c r="AH18" i="6"/>
  <c r="E218" i="6"/>
  <c r="Y20" i="6"/>
  <c r="AM16" i="6"/>
  <c r="AL18" i="6"/>
  <c r="R18" i="6"/>
  <c r="Y29" i="6"/>
  <c r="Z31" i="6" s="1"/>
  <c r="AC16" i="6"/>
  <c r="AN16" i="6"/>
  <c r="X29" i="6"/>
  <c r="W35" i="6" s="1"/>
  <c r="AM18" i="6"/>
  <c r="AD18" i="6"/>
  <c r="AA16" i="6"/>
  <c r="E78" i="6"/>
  <c r="D302" i="15"/>
  <c r="AK20" i="6"/>
  <c r="Z29" i="6"/>
  <c r="AA31" i="6" s="1"/>
  <c r="Q16" i="6"/>
  <c r="Q24" i="6" s="1"/>
  <c r="Q23" i="6" s="1"/>
  <c r="Q25" i="6" s="1"/>
  <c r="T13" i="7"/>
  <c r="O18" i="6"/>
  <c r="O321" i="1"/>
  <c r="E321" i="1" s="1"/>
  <c r="O326" i="1"/>
  <c r="E326" i="1" s="1"/>
  <c r="O328" i="1"/>
  <c r="E328" i="1" s="1"/>
  <c r="O329" i="1"/>
  <c r="E329" i="1" s="1"/>
  <c r="O339" i="1"/>
  <c r="E339" i="1" s="1"/>
  <c r="O341" i="1"/>
  <c r="E341" i="1" s="1"/>
  <c r="O344" i="1"/>
  <c r="E344" i="1" s="1"/>
  <c r="O346" i="1"/>
  <c r="E346" i="1" s="1"/>
  <c r="O347" i="1"/>
  <c r="E347" i="1" s="1"/>
  <c r="O359" i="1"/>
  <c r="E359" i="1" s="1"/>
  <c r="O361" i="1"/>
  <c r="E361" i="1" s="1"/>
  <c r="O365" i="1"/>
  <c r="E365" i="1" s="1"/>
  <c r="O368" i="1"/>
  <c r="E368" i="1" s="1"/>
  <c r="O377" i="1"/>
  <c r="E377" i="1" s="1"/>
  <c r="O249" i="1"/>
  <c r="O250" i="1"/>
  <c r="O286" i="1"/>
  <c r="O287" i="1"/>
  <c r="O289" i="1"/>
  <c r="O241" i="1"/>
  <c r="C27" i="7" s="1"/>
  <c r="O265" i="1"/>
  <c r="O307" i="1"/>
  <c r="E307" i="1" s="1"/>
  <c r="O308" i="1"/>
  <c r="E308" i="1" s="1"/>
  <c r="O309" i="1"/>
  <c r="E309" i="1" s="1"/>
  <c r="O310" i="1"/>
  <c r="E310" i="1" s="1"/>
  <c r="O316" i="1"/>
  <c r="O319" i="1"/>
  <c r="E319" i="1" s="1"/>
  <c r="O349" i="1"/>
  <c r="E349" i="1" s="1"/>
  <c r="O350" i="1"/>
  <c r="E350" i="1" s="1"/>
  <c r="O351" i="1"/>
  <c r="E351" i="1" s="1"/>
  <c r="AC371" i="1"/>
  <c r="O379" i="1"/>
  <c r="AC379" i="1"/>
  <c r="AE18" i="6"/>
  <c r="AB20" i="6"/>
  <c r="AB24" i="6" s="1"/>
  <c r="AB23" i="6" s="1"/>
  <c r="AB25" i="6" s="1"/>
  <c r="S48" i="6"/>
  <c r="R50" i="6"/>
  <c r="T46" i="6"/>
  <c r="Y18" i="6"/>
  <c r="T44" i="6"/>
  <c r="E232" i="6"/>
  <c r="S50" i="6"/>
  <c r="AA18" i="6"/>
  <c r="E204" i="6"/>
  <c r="R20" i="6"/>
  <c r="S18" i="6"/>
  <c r="E92" i="6"/>
  <c r="S16" i="6"/>
  <c r="E50" i="6"/>
  <c r="O29" i="6"/>
  <c r="AB29" i="6"/>
  <c r="AA35" i="6" s="1"/>
  <c r="C13" i="7"/>
  <c r="I10" i="7" s="1"/>
  <c r="O236" i="1"/>
  <c r="O237" i="1"/>
  <c r="O239" i="1"/>
  <c r="O258" i="1"/>
  <c r="O268" i="1"/>
  <c r="O275" i="1"/>
  <c r="O305" i="1"/>
  <c r="E305" i="1" s="1"/>
  <c r="O306" i="1"/>
  <c r="E306" i="1" s="1"/>
  <c r="O311" i="1"/>
  <c r="E311" i="1" s="1"/>
  <c r="O315" i="1"/>
  <c r="E315" i="1" s="1"/>
  <c r="O318" i="1"/>
  <c r="E318" i="1" s="1"/>
  <c r="O320" i="1"/>
  <c r="O323" i="1"/>
  <c r="E323" i="1" s="1"/>
  <c r="O330" i="1"/>
  <c r="E330" i="1" s="1"/>
  <c r="O333" i="1"/>
  <c r="C30" i="7" s="1"/>
  <c r="O334" i="1"/>
  <c r="O335" i="1"/>
  <c r="E335" i="1" s="1"/>
  <c r="O343" i="1"/>
  <c r="O357" i="1"/>
  <c r="E357" i="1" s="1"/>
  <c r="O367" i="1"/>
  <c r="E367" i="1" s="1"/>
  <c r="O369" i="1"/>
  <c r="E369" i="1" s="1"/>
  <c r="O373" i="1"/>
  <c r="E373" i="1" s="1"/>
  <c r="O374" i="1"/>
  <c r="E374" i="1" s="1"/>
  <c r="O375" i="1"/>
  <c r="E375" i="1" s="1"/>
  <c r="AC232" i="1"/>
  <c r="AC259" i="1"/>
  <c r="AC303" i="1"/>
  <c r="AC348" i="1"/>
  <c r="AO13" i="6"/>
  <c r="AD20" i="6"/>
  <c r="V44" i="6"/>
  <c r="U29" i="6"/>
  <c r="T29" i="6"/>
  <c r="U16" i="6"/>
  <c r="AE16" i="6"/>
  <c r="E106" i="6"/>
  <c r="Z18" i="6"/>
  <c r="S20" i="6"/>
  <c r="Z20" i="6"/>
  <c r="AF16" i="6"/>
  <c r="AC230" i="1"/>
  <c r="AC245" i="1"/>
  <c r="AC262" i="1"/>
  <c r="AC278" i="1"/>
  <c r="AC295" i="1"/>
  <c r="AC283" i="1"/>
  <c r="AC299" i="1"/>
  <c r="AC312" i="1"/>
  <c r="AC327" i="1"/>
  <c r="AC343" i="1"/>
  <c r="AC360" i="1"/>
  <c r="AC375" i="1"/>
  <c r="BX13" i="7"/>
  <c r="BR13" i="7"/>
  <c r="BL13" i="7"/>
  <c r="BW13" i="7"/>
  <c r="BQ13" i="7"/>
  <c r="O227" i="1"/>
  <c r="O228" i="1"/>
  <c r="O229" i="1"/>
  <c r="O231" i="1"/>
  <c r="O232" i="1"/>
  <c r="O233" i="1"/>
  <c r="O234" i="1"/>
  <c r="O235" i="1"/>
  <c r="O238" i="1"/>
  <c r="O242" i="1"/>
  <c r="O243" i="1"/>
  <c r="O244" i="1"/>
  <c r="O245" i="1"/>
  <c r="O246" i="1"/>
  <c r="O247" i="1"/>
  <c r="O248" i="1"/>
  <c r="O251" i="1"/>
  <c r="O252" i="1"/>
  <c r="O253" i="1"/>
  <c r="O255" i="1"/>
  <c r="O256" i="1"/>
  <c r="O257" i="1"/>
  <c r="O259" i="1"/>
  <c r="O260" i="1"/>
  <c r="O261" i="1"/>
  <c r="O262" i="1"/>
  <c r="O264" i="1"/>
  <c r="O267" i="1"/>
  <c r="O269" i="1"/>
  <c r="O272" i="1"/>
  <c r="C28" i="7" s="1"/>
  <c r="O274" i="1"/>
  <c r="O276" i="1"/>
  <c r="O277" i="1"/>
  <c r="O279" i="1"/>
  <c r="O281" i="1"/>
  <c r="O290" i="1"/>
  <c r="E290" i="1" s="1"/>
  <c r="O291" i="1"/>
  <c r="E291" i="1" s="1"/>
  <c r="O292" i="1"/>
  <c r="E292" i="1" s="1"/>
  <c r="O294" i="1"/>
  <c r="E294" i="1" s="1"/>
  <c r="O297" i="1"/>
  <c r="E297" i="1" s="1"/>
  <c r="O300" i="1"/>
  <c r="E300" i="1" s="1"/>
  <c r="BK13" i="7"/>
  <c r="O230" i="1"/>
  <c r="O240" i="1"/>
  <c r="O254" i="1"/>
  <c r="O263" i="1"/>
  <c r="O266" i="1"/>
  <c r="O270" i="1"/>
  <c r="O271" i="1"/>
  <c r="O273" i="1"/>
  <c r="O278" i="1"/>
  <c r="O280" i="1"/>
  <c r="O282" i="1"/>
  <c r="O283" i="1"/>
  <c r="O284" i="1"/>
  <c r="O285" i="1"/>
  <c r="O288" i="1"/>
  <c r="E288" i="1" s="1"/>
  <c r="O293" i="1"/>
  <c r="O295" i="1"/>
  <c r="E295" i="1" s="1"/>
  <c r="O296" i="1"/>
  <c r="E296" i="1" s="1"/>
  <c r="O298" i="1"/>
  <c r="E298" i="1" s="1"/>
  <c r="O299" i="1"/>
  <c r="E299" i="1" s="1"/>
  <c r="O301" i="1"/>
  <c r="O302" i="1"/>
  <c r="C29" i="7" s="1"/>
  <c r="O303" i="1"/>
  <c r="E303" i="1" s="1"/>
  <c r="O304" i="1"/>
  <c r="E304" i="1" s="1"/>
  <c r="O312" i="1"/>
  <c r="O313" i="1"/>
  <c r="E313" i="1" s="1"/>
  <c r="O314" i="1"/>
  <c r="E314" i="1" s="1"/>
  <c r="O317" i="1"/>
  <c r="E317" i="1" s="1"/>
  <c r="O322" i="1"/>
  <c r="E322" i="1" s="1"/>
  <c r="O324" i="1"/>
  <c r="E324" i="1" s="1"/>
  <c r="O325" i="1"/>
  <c r="E325" i="1" s="1"/>
  <c r="O327" i="1"/>
  <c r="E327" i="1" s="1"/>
  <c r="O331" i="1"/>
  <c r="E331" i="1" s="1"/>
  <c r="O332" i="1"/>
  <c r="O336" i="1"/>
  <c r="E336" i="1" s="1"/>
  <c r="O337" i="1"/>
  <c r="E337" i="1" s="1"/>
  <c r="O338" i="1"/>
  <c r="E338" i="1" s="1"/>
  <c r="O340" i="1"/>
  <c r="E340" i="1" s="1"/>
  <c r="O342" i="1"/>
  <c r="E342" i="1" s="1"/>
  <c r="O345" i="1"/>
  <c r="E345" i="1" s="1"/>
  <c r="O348" i="1"/>
  <c r="E348" i="1" s="1"/>
  <c r="O352" i="1"/>
  <c r="E352" i="1" s="1"/>
  <c r="O353" i="1"/>
  <c r="E353" i="1" s="1"/>
  <c r="O354" i="1"/>
  <c r="O355" i="1"/>
  <c r="E355" i="1" s="1"/>
  <c r="O356" i="1"/>
  <c r="E356" i="1" s="1"/>
  <c r="O358" i="1"/>
  <c r="E358" i="1" s="1"/>
  <c r="O360" i="1"/>
  <c r="O362" i="1"/>
  <c r="E362" i="1" s="1"/>
  <c r="O363" i="1"/>
  <c r="O364" i="1"/>
  <c r="O366" i="1"/>
  <c r="E366" i="1" s="1"/>
  <c r="O370" i="1"/>
  <c r="E370" i="1" s="1"/>
  <c r="O371" i="1"/>
  <c r="E371" i="1" s="1"/>
  <c r="O372" i="1"/>
  <c r="E372" i="1" s="1"/>
  <c r="O376" i="1"/>
  <c r="E376" i="1" s="1"/>
  <c r="O378" i="1"/>
  <c r="D13" i="7"/>
  <c r="E364" i="1"/>
  <c r="E360" i="1"/>
  <c r="J30" i="27"/>
  <c r="J28" i="27"/>
  <c r="J32" i="27"/>
  <c r="J27" i="27"/>
  <c r="L27" i="27" s="1"/>
  <c r="J25" i="27"/>
  <c r="J23" i="27"/>
  <c r="J29" i="27"/>
  <c r="J31" i="27"/>
  <c r="J24" i="27"/>
  <c r="J22" i="27"/>
  <c r="J33" i="27"/>
  <c r="L33" i="27" s="1"/>
  <c r="J26" i="27"/>
  <c r="I12" i="27"/>
  <c r="AK3" i="1"/>
  <c r="Q11" i="19" s="1"/>
  <c r="H35" i="27"/>
  <c r="H36" i="27"/>
  <c r="P54" i="27"/>
  <c r="AX78" i="27"/>
  <c r="H34" i="27"/>
  <c r="H22" i="27"/>
  <c r="P58" i="27" s="1"/>
  <c r="H32" i="27"/>
  <c r="H30" i="27"/>
  <c r="H28" i="27"/>
  <c r="H26" i="27"/>
  <c r="H33" i="27"/>
  <c r="H31" i="27"/>
  <c r="H29" i="27"/>
  <c r="H27" i="27"/>
  <c r="P63" i="27" s="1"/>
  <c r="M32" i="27"/>
  <c r="M33" i="27"/>
  <c r="AE28" i="1"/>
  <c r="Q28" i="1"/>
  <c r="AE32" i="1"/>
  <c r="Q32" i="1"/>
  <c r="L22" i="27"/>
  <c r="H58" i="27" s="1"/>
  <c r="L32" i="27"/>
  <c r="L28" i="27"/>
  <c r="H64" i="27" s="1"/>
  <c r="L30" i="27"/>
  <c r="N68" i="27"/>
  <c r="N69" i="27"/>
  <c r="L24" i="27"/>
  <c r="H60" i="27" s="1"/>
  <c r="L26" i="27"/>
  <c r="H62" i="27" s="1"/>
  <c r="L31" i="27"/>
  <c r="H67" i="27" s="1"/>
  <c r="L29" i="27"/>
  <c r="H65" i="27" s="1"/>
  <c r="L34" i="27"/>
  <c r="Q54" i="27"/>
  <c r="H20" i="27"/>
  <c r="P56" i="27" s="1"/>
  <c r="H21" i="27"/>
  <c r="P57" i="27" s="1"/>
  <c r="AX58" i="27"/>
  <c r="AX62" i="27"/>
  <c r="AX66" i="27"/>
  <c r="AX70" i="27"/>
  <c r="AX74" i="27"/>
  <c r="H24" i="27"/>
  <c r="H23" i="27"/>
  <c r="H25" i="27"/>
  <c r="AX60" i="27"/>
  <c r="AX64" i="27"/>
  <c r="AX68" i="27"/>
  <c r="AX72" i="27"/>
  <c r="AX76" i="27"/>
  <c r="L23" i="27"/>
  <c r="G59" i="27" s="1"/>
  <c r="L25" i="27"/>
  <c r="J18" i="27"/>
  <c r="L18" i="27" s="1"/>
  <c r="J17" i="27"/>
  <c r="L17" i="27" s="1"/>
  <c r="J16" i="27"/>
  <c r="L16" i="27" s="1"/>
  <c r="G62" i="27"/>
  <c r="L40" i="27"/>
  <c r="L38" i="27"/>
  <c r="H74" i="27" s="1"/>
  <c r="H75" i="27"/>
  <c r="H77" i="27"/>
  <c r="I75" i="27"/>
  <c r="L37" i="27"/>
  <c r="G73" i="27" s="1"/>
  <c r="L36" i="27"/>
  <c r="H72" i="27" s="1"/>
  <c r="H69" i="27"/>
  <c r="G69" i="27"/>
  <c r="I69" i="27"/>
  <c r="H63" i="27"/>
  <c r="G63" i="27"/>
  <c r="M37" i="27"/>
  <c r="N73" i="27" s="1"/>
  <c r="M36" i="27"/>
  <c r="N72" i="27" s="1"/>
  <c r="M34" i="27"/>
  <c r="M31" i="27"/>
  <c r="M30" i="27"/>
  <c r="M29" i="27"/>
  <c r="M28" i="27"/>
  <c r="M27" i="27"/>
  <c r="M26" i="27"/>
  <c r="M25" i="27"/>
  <c r="M24" i="27"/>
  <c r="M23" i="27"/>
  <c r="M22" i="27"/>
  <c r="M21" i="27"/>
  <c r="N57" i="27" s="1"/>
  <c r="AY79" i="27"/>
  <c r="AO79" i="27" s="1"/>
  <c r="AY78" i="27"/>
  <c r="AY77" i="27"/>
  <c r="AY76" i="27"/>
  <c r="AY75" i="27"/>
  <c r="AY74" i="27"/>
  <c r="AY73" i="27"/>
  <c r="AY72" i="27"/>
  <c r="AY71" i="27"/>
  <c r="AY70" i="27"/>
  <c r="AY69" i="27"/>
  <c r="AY68" i="27"/>
  <c r="AY67" i="27"/>
  <c r="AY66" i="27"/>
  <c r="AY65" i="27"/>
  <c r="AY64" i="27"/>
  <c r="AY63" i="27"/>
  <c r="AY62" i="27"/>
  <c r="AY61" i="27"/>
  <c r="AY60" i="27"/>
  <c r="AY59" i="27"/>
  <c r="AY58" i="27"/>
  <c r="AY57" i="27"/>
  <c r="AY56" i="27"/>
  <c r="C54" i="27"/>
  <c r="P60" i="27"/>
  <c r="O55" i="27"/>
  <c r="AX59" i="27"/>
  <c r="AX61" i="27"/>
  <c r="AX63" i="27"/>
  <c r="AX65" i="27"/>
  <c r="AX67" i="27"/>
  <c r="AX69" i="27"/>
  <c r="AX71" i="27"/>
  <c r="AX73" i="27"/>
  <c r="AX75" i="27"/>
  <c r="AX77" i="27"/>
  <c r="AX79" i="27"/>
  <c r="M35" i="27"/>
  <c r="N71" i="27" s="1"/>
  <c r="G71" i="27"/>
  <c r="H71" i="27"/>
  <c r="I70" i="27"/>
  <c r="H68" i="27"/>
  <c r="I64" i="27"/>
  <c r="G66" i="27"/>
  <c r="H66" i="27"/>
  <c r="H57" i="27"/>
  <c r="I57" i="27"/>
  <c r="G57" i="27"/>
  <c r="I63" i="27"/>
  <c r="I78" i="27"/>
  <c r="I77" i="27"/>
  <c r="I71" i="27"/>
  <c r="G67" i="27"/>
  <c r="G78" i="27"/>
  <c r="I58" i="27"/>
  <c r="G77" i="27"/>
  <c r="G75" i="27"/>
  <c r="G72" i="27"/>
  <c r="I56" i="27"/>
  <c r="I68" i="27"/>
  <c r="I66" i="27"/>
  <c r="G68" i="27"/>
  <c r="I67" i="27"/>
  <c r="F55" i="27"/>
  <c r="BN14" i="6"/>
  <c r="J55" i="27"/>
  <c r="J77" i="27" s="1"/>
  <c r="W55" i="27"/>
  <c r="I79" i="27"/>
  <c r="K55" i="27"/>
  <c r="X55" i="27"/>
  <c r="J68" i="27"/>
  <c r="J75" i="27"/>
  <c r="J66" i="27"/>
  <c r="J56" i="27"/>
  <c r="J78" i="27"/>
  <c r="J71" i="27"/>
  <c r="J63" i="27"/>
  <c r="T55" i="27"/>
  <c r="M20" i="6"/>
  <c r="AN13" i="6"/>
  <c r="N29" i="6"/>
  <c r="E22" i="6"/>
  <c r="N18" i="6"/>
  <c r="W16" i="6"/>
  <c r="V18" i="6"/>
  <c r="U20" i="6"/>
  <c r="E134" i="6"/>
  <c r="R29" i="6"/>
  <c r="E162" i="6"/>
  <c r="S29" i="6"/>
  <c r="X18" i="6"/>
  <c r="W20" i="6"/>
  <c r="AF20" i="6"/>
  <c r="E288" i="6"/>
  <c r="AG18" i="6"/>
  <c r="W44" i="6"/>
  <c r="AH16" i="6"/>
  <c r="AH20" i="6"/>
  <c r="X44" i="6"/>
  <c r="AI18" i="6"/>
  <c r="AJ16" i="6"/>
  <c r="AL16" i="6"/>
  <c r="Y44" i="6"/>
  <c r="AK18" i="6"/>
  <c r="L44" i="6"/>
  <c r="M46" i="6" s="1"/>
  <c r="E344" i="6"/>
  <c r="P46" i="6"/>
  <c r="O48" i="6"/>
  <c r="P16" i="6"/>
  <c r="N44" i="6"/>
  <c r="E36" i="6"/>
  <c r="R16" i="6"/>
  <c r="P20" i="6"/>
  <c r="P24" i="6" s="1"/>
  <c r="Q44" i="6"/>
  <c r="T20" i="6"/>
  <c r="V16" i="6"/>
  <c r="X16" i="6"/>
  <c r="R44" i="6"/>
  <c r="V20" i="6"/>
  <c r="E148" i="6"/>
  <c r="E176" i="6"/>
  <c r="Z16" i="6"/>
  <c r="AC18" i="6"/>
  <c r="U44" i="6"/>
  <c r="W29" i="6"/>
  <c r="AF18" i="6"/>
  <c r="AI20" i="6"/>
  <c r="L29" i="6"/>
  <c r="M31" i="6" s="1"/>
  <c r="AK16" i="6"/>
  <c r="D378" i="1"/>
  <c r="D344" i="15"/>
  <c r="D343" i="1"/>
  <c r="D289" i="1"/>
  <c r="D9" i="1" s="1"/>
  <c r="D11" i="1" s="1"/>
  <c r="E35" i="19" s="1"/>
  <c r="D283" i="15"/>
  <c r="D210" i="16"/>
  <c r="B50" i="7"/>
  <c r="B38" i="7"/>
  <c r="D210" i="15"/>
  <c r="D152" i="15"/>
  <c r="L382" i="1"/>
  <c r="L383" i="1"/>
  <c r="D320" i="1"/>
  <c r="D293" i="1"/>
  <c r="D241" i="15"/>
  <c r="B39" i="7"/>
  <c r="D232" i="15"/>
  <c r="B67" i="7"/>
  <c r="D363" i="17"/>
  <c r="D354" i="1"/>
  <c r="D334" i="1"/>
  <c r="D332" i="1"/>
  <c r="D316" i="1"/>
  <c r="D312" i="1"/>
  <c r="D309" i="15"/>
  <c r="D301" i="1"/>
  <c r="B63" i="7"/>
  <c r="D241" i="17"/>
  <c r="B44" i="7"/>
  <c r="D29" i="16"/>
  <c r="L381" i="1"/>
  <c r="L15" i="15"/>
  <c r="L16" i="15"/>
  <c r="D16" i="15" s="1"/>
  <c r="L17" i="15"/>
  <c r="L18" i="15"/>
  <c r="D18" i="15" s="1"/>
  <c r="L19" i="15"/>
  <c r="D19" i="15" s="1"/>
  <c r="L19" i="16"/>
  <c r="L18" i="17"/>
  <c r="D18" i="17" s="1"/>
  <c r="L15" i="22"/>
  <c r="L20" i="15"/>
  <c r="D20" i="15" s="1"/>
  <c r="L16" i="22"/>
  <c r="L20" i="17"/>
  <c r="D20" i="17" s="1"/>
  <c r="L16" i="24"/>
  <c r="L22" i="16"/>
  <c r="D22" i="16" s="1"/>
  <c r="L20" i="18"/>
  <c r="L15" i="25"/>
  <c r="L19" i="22"/>
  <c r="L23" i="16"/>
  <c r="D23" i="16" s="1"/>
  <c r="L24" i="16"/>
  <c r="D24" i="16" s="1"/>
  <c r="L21" i="20"/>
  <c r="L17" i="25"/>
  <c r="L23" i="17"/>
  <c r="D23" i="17" s="1"/>
  <c r="L22" i="18"/>
  <c r="L22" i="20"/>
  <c r="L19" i="25"/>
  <c r="L27" i="15"/>
  <c r="L25" i="17"/>
  <c r="D25" i="17" s="1"/>
  <c r="L24" i="18"/>
  <c r="L20" i="24"/>
  <c r="L24" i="20"/>
  <c r="L22" i="23"/>
  <c r="L21" i="24"/>
  <c r="L26" i="17"/>
  <c r="D26" i="17" s="1"/>
  <c r="L27" i="16"/>
  <c r="D27" i="16" s="1"/>
  <c r="L23" i="22"/>
  <c r="L23" i="23"/>
  <c r="L28" i="16"/>
  <c r="D28" i="16" s="1"/>
  <c r="L29" i="15"/>
  <c r="L26" i="18"/>
  <c r="L27" i="18"/>
  <c r="L30" i="15"/>
  <c r="D30" i="15" s="1"/>
  <c r="L24" i="23"/>
  <c r="L24" i="24"/>
  <c r="L26" i="22"/>
  <c r="L28" i="18"/>
  <c r="L29" i="17"/>
  <c r="L23" i="25"/>
  <c r="L31" i="15"/>
  <c r="D31" i="15" s="1"/>
  <c r="L30" i="17"/>
  <c r="D30" i="17" s="1"/>
  <c r="L29" i="18"/>
  <c r="B68" i="7" s="1"/>
  <c r="L25" i="24"/>
  <c r="L28" i="20"/>
  <c r="L26" i="23"/>
  <c r="L28" i="22"/>
  <c r="L27" i="23"/>
  <c r="L29" i="20"/>
  <c r="AF20" i="7" s="1"/>
  <c r="L15" i="17"/>
  <c r="L16" i="17"/>
  <c r="D16" i="17" s="1"/>
  <c r="L15" i="18"/>
  <c r="L17" i="17"/>
  <c r="D17" i="17" s="1"/>
  <c r="L16" i="18"/>
  <c r="L16" i="20"/>
  <c r="L21" i="15"/>
  <c r="L17" i="20"/>
  <c r="L19" i="17"/>
  <c r="D19" i="17" s="1"/>
  <c r="L18" i="18"/>
  <c r="L20" i="16"/>
  <c r="D20" i="16" s="1"/>
  <c r="L15" i="23"/>
  <c r="L17" i="22"/>
  <c r="L19" i="18"/>
  <c r="L18" i="20"/>
  <c r="L18" i="22"/>
  <c r="L23" i="15"/>
  <c r="D23" i="15" s="1"/>
  <c r="L19" i="20"/>
  <c r="L20" i="20"/>
  <c r="L24" i="15"/>
  <c r="L17" i="24"/>
  <c r="L18" i="24"/>
  <c r="L25" i="15"/>
  <c r="D25" i="15" s="1"/>
  <c r="L23" i="18"/>
  <c r="L24" i="17"/>
  <c r="D24" i="17" s="1"/>
  <c r="L20" i="23"/>
  <c r="L25" i="16"/>
  <c r="D25" i="16" s="1"/>
  <c r="L26" i="15"/>
  <c r="D26" i="15" s="1"/>
  <c r="L21" i="22"/>
  <c r="L26" i="16"/>
  <c r="D26" i="16" s="1"/>
  <c r="L23" i="20"/>
  <c r="L25" i="18"/>
  <c r="L28" i="15"/>
  <c r="D28" i="15" s="1"/>
  <c r="L20" i="25"/>
  <c r="L21" i="25"/>
  <c r="L25" i="20"/>
  <c r="L25" i="22"/>
  <c r="L23" i="24"/>
  <c r="L25" i="23"/>
  <c r="L27" i="20"/>
  <c r="L32" i="15"/>
  <c r="D32" i="15" s="1"/>
  <c r="L30" i="18"/>
  <c r="L27" i="24"/>
  <c r="L32" i="17"/>
  <c r="D32" i="17" s="1"/>
  <c r="L30" i="20"/>
  <c r="L29" i="22"/>
  <c r="AF32" i="7" s="1"/>
  <c r="L33" i="16"/>
  <c r="D33" i="16" s="1"/>
  <c r="L28" i="23"/>
  <c r="L35" i="15"/>
  <c r="D35" i="15" s="1"/>
  <c r="L29" i="23"/>
  <c r="AF44" i="7" s="1"/>
  <c r="L34" i="16"/>
  <c r="D34" i="16" s="1"/>
  <c r="L27" i="25"/>
  <c r="L30" i="22"/>
  <c r="L33" i="17"/>
  <c r="D33" i="17" s="1"/>
  <c r="L31" i="22"/>
  <c r="L35" i="16"/>
  <c r="D35" i="16" s="1"/>
  <c r="L29" i="24"/>
  <c r="AF56" i="7" s="1"/>
  <c r="L34" i="18"/>
  <c r="L31" i="23"/>
  <c r="L32" i="22"/>
  <c r="L30" i="24"/>
  <c r="L37" i="15"/>
  <c r="L33" i="20"/>
  <c r="L29" i="25"/>
  <c r="AF68" i="7" s="1"/>
  <c r="L36" i="17"/>
  <c r="D36" i="17" s="1"/>
  <c r="L37" i="16"/>
  <c r="D37" i="16" s="1"/>
  <c r="L34" i="20"/>
  <c r="L38" i="15"/>
  <c r="D38" i="15" s="1"/>
  <c r="L35" i="18"/>
  <c r="L34" i="22"/>
  <c r="L37" i="17"/>
  <c r="D37" i="17" s="1"/>
  <c r="L31" i="25"/>
  <c r="L33" i="23"/>
  <c r="L36" i="20"/>
  <c r="L33" i="24"/>
  <c r="L39" i="16"/>
  <c r="D39" i="16" s="1"/>
  <c r="L32" i="25"/>
  <c r="L33" i="25"/>
  <c r="L35" i="23"/>
  <c r="L36" i="22"/>
  <c r="L34" i="24"/>
  <c r="L41" i="15"/>
  <c r="D41" i="15" s="1"/>
  <c r="L40" i="16"/>
  <c r="D40" i="16" s="1"/>
  <c r="L41" i="16"/>
  <c r="D41" i="16" s="1"/>
  <c r="L38" i="20"/>
  <c r="L40" i="17"/>
  <c r="D40" i="17" s="1"/>
  <c r="L39" i="18"/>
  <c r="L42" i="15"/>
  <c r="D42" i="15" s="1"/>
  <c r="L36" i="23"/>
  <c r="L36" i="24"/>
  <c r="L38" i="22"/>
  <c r="L40" i="18"/>
  <c r="L35" i="25"/>
  <c r="L39" i="22"/>
  <c r="L42" i="17"/>
  <c r="D42" i="17" s="1"/>
  <c r="L36" i="25"/>
  <c r="L41" i="18"/>
  <c r="L40" i="20"/>
  <c r="L37" i="24"/>
  <c r="L38" i="24"/>
  <c r="L45" i="15"/>
  <c r="D45" i="15" s="1"/>
  <c r="L40" i="22"/>
  <c r="L37" i="25"/>
  <c r="L39" i="23"/>
  <c r="L38" i="25"/>
  <c r="L43" i="18"/>
  <c r="L40" i="23"/>
  <c r="L45" i="16"/>
  <c r="D45" i="16" s="1"/>
  <c r="L42" i="22"/>
  <c r="L46" i="16"/>
  <c r="D46" i="16" s="1"/>
  <c r="L41" i="23"/>
  <c r="L47" i="15"/>
  <c r="D47" i="15" s="1"/>
  <c r="L45" i="18"/>
  <c r="L46" i="17"/>
  <c r="D46" i="17" s="1"/>
  <c r="L43" i="22"/>
  <c r="L48" i="15"/>
  <c r="D48" i="15" s="1"/>
  <c r="L42" i="23"/>
  <c r="L40" i="25"/>
  <c r="L44" i="20"/>
  <c r="L45" i="20"/>
  <c r="L42" i="24"/>
  <c r="L43" i="23"/>
  <c r="L44" i="22"/>
  <c r="L48" i="16"/>
  <c r="D48" i="16" s="1"/>
  <c r="L50" i="15"/>
  <c r="L43" i="24"/>
  <c r="L48" i="17"/>
  <c r="D48" i="17" s="1"/>
  <c r="L42" i="25"/>
  <c r="L45" i="22"/>
  <c r="L46" i="20"/>
  <c r="AC369" i="1" l="1"/>
  <c r="AC355" i="1"/>
  <c r="AC336" i="1"/>
  <c r="AC318" i="1"/>
  <c r="AC307" i="1"/>
  <c r="AC290" i="1"/>
  <c r="AC271" i="1"/>
  <c r="AC289" i="1"/>
  <c r="AC267" i="1"/>
  <c r="AC254" i="1"/>
  <c r="AC237" i="1"/>
  <c r="AC378" i="1"/>
  <c r="AC324" i="1"/>
  <c r="AC279" i="1"/>
  <c r="AC244" i="1"/>
  <c r="AC242" i="1"/>
  <c r="AC301" i="1"/>
  <c r="AC252" i="1"/>
  <c r="AC250" i="1"/>
  <c r="AC249" i="1"/>
  <c r="AC363" i="1"/>
  <c r="BR15" i="7"/>
  <c r="AJ208" i="17"/>
  <c r="AJ57" i="17"/>
  <c r="D60" i="16"/>
  <c r="B45" i="7"/>
  <c r="AJ177" i="17"/>
  <c r="AJ311" i="17"/>
  <c r="AJ342" i="17"/>
  <c r="AC377" i="1"/>
  <c r="AC373" i="1"/>
  <c r="AC362" i="1"/>
  <c r="AC357" i="1"/>
  <c r="AC349" i="1"/>
  <c r="AC338" i="1"/>
  <c r="AC333" i="1"/>
  <c r="AC325" i="1"/>
  <c r="AC316" i="1"/>
  <c r="AC309" i="1"/>
  <c r="AC305" i="1"/>
  <c r="AC297" i="1"/>
  <c r="AC285" i="1"/>
  <c r="AC277" i="1"/>
  <c r="AC246" i="1"/>
  <c r="AC293" i="1"/>
  <c r="AC286" i="1"/>
  <c r="AC272" i="1"/>
  <c r="AC265" i="1"/>
  <c r="AC260" i="1"/>
  <c r="AC251" i="1"/>
  <c r="AC240" i="1"/>
  <c r="AC233" i="1"/>
  <c r="AC228" i="1"/>
  <c r="AC354" i="1"/>
  <c r="AC334" i="1"/>
  <c r="AC322" i="1"/>
  <c r="AC291" i="1"/>
  <c r="AC274" i="1"/>
  <c r="AC257" i="1"/>
  <c r="AC235" i="1"/>
  <c r="AC351" i="1"/>
  <c r="AC350" i="1"/>
  <c r="AC319" i="1"/>
  <c r="AJ136" i="17"/>
  <c r="AJ105" i="17"/>
  <c r="AJ18" i="17"/>
  <c r="AJ121" i="17"/>
  <c r="AJ97" i="17"/>
  <c r="AJ133" i="15"/>
  <c r="AJ103" i="15"/>
  <c r="AJ91" i="15"/>
  <c r="AJ111" i="15"/>
  <c r="AJ233" i="15"/>
  <c r="AJ176" i="15"/>
  <c r="AJ171" i="15"/>
  <c r="AJ41" i="15"/>
  <c r="AJ99" i="15"/>
  <c r="BN9" i="7"/>
  <c r="BP10" i="7" s="1"/>
  <c r="BK10" i="7"/>
  <c r="AJ194" i="15"/>
  <c r="AJ209" i="15"/>
  <c r="AJ120" i="15"/>
  <c r="AJ36" i="15"/>
  <c r="AJ141" i="15"/>
  <c r="AJ69" i="15"/>
  <c r="AJ45" i="15"/>
  <c r="AJ177" i="15"/>
  <c r="AJ143" i="15"/>
  <c r="AJ173" i="17"/>
  <c r="AJ86" i="17"/>
  <c r="AJ132" i="17"/>
  <c r="AJ91" i="17"/>
  <c r="AJ26" i="17"/>
  <c r="AJ362" i="17"/>
  <c r="AJ244" i="17"/>
  <c r="AJ80" i="17"/>
  <c r="AJ224" i="17"/>
  <c r="AJ256" i="17"/>
  <c r="E8" i="17"/>
  <c r="K14" i="19" s="1"/>
  <c r="K38" i="19" s="1"/>
  <c r="AJ200" i="17"/>
  <c r="AJ152" i="17"/>
  <c r="AJ103" i="17"/>
  <c r="AJ187" i="17"/>
  <c r="AJ162" i="17"/>
  <c r="AJ116" i="17"/>
  <c r="AJ67" i="17"/>
  <c r="AJ79" i="17"/>
  <c r="AJ46" i="17"/>
  <c r="AJ30" i="17"/>
  <c r="AJ112" i="17"/>
  <c r="AJ334" i="17"/>
  <c r="AJ279" i="17"/>
  <c r="AJ205" i="17"/>
  <c r="AJ168" i="17"/>
  <c r="AJ53" i="17"/>
  <c r="AJ277" i="17"/>
  <c r="AJ197" i="17"/>
  <c r="AJ319" i="17"/>
  <c r="Q381" i="1"/>
  <c r="AJ248" i="15"/>
  <c r="AJ214" i="15"/>
  <c r="AJ181" i="15"/>
  <c r="AJ90" i="15"/>
  <c r="AJ196" i="15"/>
  <c r="AJ159" i="15"/>
  <c r="AJ107" i="15"/>
  <c r="AJ57" i="15"/>
  <c r="AJ21" i="15"/>
  <c r="AJ156" i="15"/>
  <c r="AJ124" i="15"/>
  <c r="AJ82" i="15"/>
  <c r="AJ55" i="15"/>
  <c r="AJ30" i="15"/>
  <c r="AJ74" i="15"/>
  <c r="AJ146" i="15"/>
  <c r="AJ47" i="15"/>
  <c r="AJ185" i="15"/>
  <c r="Q12" i="15"/>
  <c r="I15" i="7" s="1"/>
  <c r="BL15" i="7"/>
  <c r="D15" i="7"/>
  <c r="N11" i="7"/>
  <c r="P11" i="15"/>
  <c r="I11" i="7"/>
  <c r="Q11" i="15" s="1"/>
  <c r="H15" i="7"/>
  <c r="AJ65" i="17"/>
  <c r="AJ101" i="17"/>
  <c r="AJ199" i="17"/>
  <c r="AJ239" i="17"/>
  <c r="AJ274" i="17"/>
  <c r="AJ305" i="17"/>
  <c r="AJ330" i="17"/>
  <c r="AJ359" i="17"/>
  <c r="AJ81" i="17"/>
  <c r="AJ176" i="17"/>
  <c r="AJ213" i="17"/>
  <c r="AJ194" i="17"/>
  <c r="AJ233" i="17"/>
  <c r="AJ262" i="17"/>
  <c r="AJ286" i="17"/>
  <c r="AJ310" i="17"/>
  <c r="AJ222" i="17"/>
  <c r="AJ258" i="17"/>
  <c r="AJ23" i="17"/>
  <c r="AJ41" i="17"/>
  <c r="AJ70" i="17"/>
  <c r="AJ61" i="17"/>
  <c r="AJ113" i="17"/>
  <c r="AJ144" i="17"/>
  <c r="AJ183" i="17"/>
  <c r="AJ98" i="17"/>
  <c r="AJ147" i="17"/>
  <c r="AJ195" i="17"/>
  <c r="AJ216" i="17"/>
  <c r="AJ238" i="17"/>
  <c r="AJ251" i="17"/>
  <c r="AJ272" i="17"/>
  <c r="AJ290" i="17"/>
  <c r="AJ304" i="17"/>
  <c r="AJ318" i="17"/>
  <c r="AJ329" i="17"/>
  <c r="AJ339" i="17"/>
  <c r="AJ358" i="17"/>
  <c r="AJ365" i="17"/>
  <c r="AJ96" i="17"/>
  <c r="AJ122" i="17"/>
  <c r="F7" i="17"/>
  <c r="AC12" i="17" s="1"/>
  <c r="AJ19" i="17"/>
  <c r="AJ24" i="17"/>
  <c r="AJ32" i="17"/>
  <c r="AJ40" i="17"/>
  <c r="AJ28" i="17"/>
  <c r="AJ42" i="17"/>
  <c r="AJ48" i="17"/>
  <c r="AJ55" i="17"/>
  <c r="AJ62" i="17"/>
  <c r="AJ75" i="17"/>
  <c r="AJ83" i="17"/>
  <c r="AJ88" i="17"/>
  <c r="AJ33" i="17"/>
  <c r="AJ64" i="17"/>
  <c r="AJ73" i="17"/>
  <c r="AJ100" i="17"/>
  <c r="AJ107" i="17"/>
  <c r="AJ114" i="17"/>
  <c r="AJ123" i="17"/>
  <c r="AJ128" i="17"/>
  <c r="AJ134" i="17"/>
  <c r="AJ156" i="17"/>
  <c r="AJ165" i="17"/>
  <c r="AJ169" i="17"/>
  <c r="AJ179" i="17"/>
  <c r="AJ185" i="17"/>
  <c r="AJ21" i="17"/>
  <c r="AJ68" i="17"/>
  <c r="AJ92" i="17"/>
  <c r="AJ99" i="17"/>
  <c r="AJ111" i="17"/>
  <c r="AJ125" i="17"/>
  <c r="AJ138" i="17"/>
  <c r="AJ148" i="17"/>
  <c r="AJ154" i="17"/>
  <c r="AJ171" i="17"/>
  <c r="AJ180" i="17"/>
  <c r="AJ196" i="17"/>
  <c r="AJ202" i="17"/>
  <c r="AJ206" i="17"/>
  <c r="AC321" i="1"/>
  <c r="AC332" i="1"/>
  <c r="AC339" i="1"/>
  <c r="AC376" i="1"/>
  <c r="AC374" i="1"/>
  <c r="AC372" i="1"/>
  <c r="AC367" i="1"/>
  <c r="AC361" i="1"/>
  <c r="AC358" i="1"/>
  <c r="AC356" i="1"/>
  <c r="AC352" i="1"/>
  <c r="AC344" i="1"/>
  <c r="AC341" i="1"/>
  <c r="AC337" i="1"/>
  <c r="AC335" i="1"/>
  <c r="AC329" i="1"/>
  <c r="AC326" i="1"/>
  <c r="AC320" i="1"/>
  <c r="AC317" i="1"/>
  <c r="AC315" i="1"/>
  <c r="AC311" i="1"/>
  <c r="AC308" i="1"/>
  <c r="AC306" i="1"/>
  <c r="AC302" i="1"/>
  <c r="AC298" i="1"/>
  <c r="AC296" i="1"/>
  <c r="AC288" i="1"/>
  <c r="AC284" i="1"/>
  <c r="AC280" i="1"/>
  <c r="AC273" i="1"/>
  <c r="AC270" i="1"/>
  <c r="AC243" i="1"/>
  <c r="AC294" i="1"/>
  <c r="AC292" i="1"/>
  <c r="AC287" i="1"/>
  <c r="AC282" i="1"/>
  <c r="AC275" i="1"/>
  <c r="AC268" i="1"/>
  <c r="AC266" i="1"/>
  <c r="AC263" i="1"/>
  <c r="AC261" i="1"/>
  <c r="AC255" i="1"/>
  <c r="AC253" i="1"/>
  <c r="AC247" i="1"/>
  <c r="AC241" i="1"/>
  <c r="AC238" i="1"/>
  <c r="AC236" i="1"/>
  <c r="AC231" i="1"/>
  <c r="AC229" i="1"/>
  <c r="AC227" i="1"/>
  <c r="AC366" i="1"/>
  <c r="AC353" i="1"/>
  <c r="AC342" i="1"/>
  <c r="AC330" i="1"/>
  <c r="AC323" i="1"/>
  <c r="AC313" i="1"/>
  <c r="AC300" i="1"/>
  <c r="AC281" i="1"/>
  <c r="AC276" i="1"/>
  <c r="AC269" i="1"/>
  <c r="AC258" i="1"/>
  <c r="AC256" i="1"/>
  <c r="AC239" i="1"/>
  <c r="AC234" i="1"/>
  <c r="AC370" i="1"/>
  <c r="AC310" i="1"/>
  <c r="AC304" i="1"/>
  <c r="AC264" i="1"/>
  <c r="E7" i="17"/>
  <c r="AC314" i="1"/>
  <c r="AC248" i="1"/>
  <c r="AC368" i="1"/>
  <c r="AC365" i="1"/>
  <c r="AC364" i="1"/>
  <c r="AC359" i="1"/>
  <c r="AC347" i="1"/>
  <c r="AC346" i="1"/>
  <c r="AC340" i="1"/>
  <c r="AC331" i="1"/>
  <c r="AC328" i="1"/>
  <c r="AJ204" i="17"/>
  <c r="AJ192" i="17"/>
  <c r="AJ160" i="17"/>
  <c r="AJ142" i="17"/>
  <c r="AJ120" i="17"/>
  <c r="AJ95" i="17"/>
  <c r="AJ52" i="17"/>
  <c r="AJ182" i="17"/>
  <c r="AJ167" i="17"/>
  <c r="AJ143" i="17"/>
  <c r="AJ126" i="17"/>
  <c r="AJ110" i="17"/>
  <c r="AJ76" i="17"/>
  <c r="AJ59" i="17"/>
  <c r="AJ85" i="17"/>
  <c r="AJ69" i="17"/>
  <c r="AJ51" i="17"/>
  <c r="AJ35" i="17"/>
  <c r="AJ38" i="17"/>
  <c r="AJ22" i="17"/>
  <c r="AJ16" i="17"/>
  <c r="AJ58" i="17"/>
  <c r="AJ348" i="17"/>
  <c r="AJ324" i="17"/>
  <c r="AJ297" i="17"/>
  <c r="AJ264" i="17"/>
  <c r="AJ229" i="17"/>
  <c r="AJ161" i="17"/>
  <c r="AJ63" i="17"/>
  <c r="AJ127" i="17"/>
  <c r="AJ87" i="17"/>
  <c r="AJ39" i="17"/>
  <c r="AJ245" i="17"/>
  <c r="AJ296" i="17"/>
  <c r="AJ253" i="17"/>
  <c r="AJ151" i="17"/>
  <c r="AJ141" i="17"/>
  <c r="AJ341" i="17"/>
  <c r="AJ291" i="17"/>
  <c r="AJ217" i="17"/>
  <c r="AJ157" i="17"/>
  <c r="N46" i="6"/>
  <c r="O24" i="6"/>
  <c r="O23" i="6" s="1"/>
  <c r="O25" i="6" s="1"/>
  <c r="P35" i="6"/>
  <c r="AJ25" i="17"/>
  <c r="AJ77" i="17"/>
  <c r="AJ115" i="17"/>
  <c r="AJ186" i="17"/>
  <c r="AJ131" i="17"/>
  <c r="AJ172" i="17"/>
  <c r="AJ207" i="17"/>
  <c r="AJ234" i="17"/>
  <c r="AJ248" i="17"/>
  <c r="AJ266" i="17"/>
  <c r="AJ280" i="17"/>
  <c r="AJ299" i="17"/>
  <c r="AJ314" i="17"/>
  <c r="AJ325" i="17"/>
  <c r="AJ336" i="17"/>
  <c r="AJ350" i="17"/>
  <c r="AJ54" i="17"/>
  <c r="AJ43" i="17"/>
  <c r="AJ129" i="17"/>
  <c r="AJ158" i="17"/>
  <c r="AJ191" i="17"/>
  <c r="AJ211" i="17"/>
  <c r="AJ145" i="17"/>
  <c r="AJ174" i="17"/>
  <c r="AJ218" i="17"/>
  <c r="AJ228" i="17"/>
  <c r="AJ240" i="17"/>
  <c r="AJ255" i="17"/>
  <c r="AJ268" i="17"/>
  <c r="AJ282" i="17"/>
  <c r="AJ292" i="17"/>
  <c r="AJ303" i="17"/>
  <c r="AJ323" i="17"/>
  <c r="AJ219" i="17"/>
  <c r="AJ230" i="17"/>
  <c r="AJ247" i="17"/>
  <c r="AJ265" i="17"/>
  <c r="AJ17" i="17"/>
  <c r="AJ31" i="17"/>
  <c r="AJ27" i="17"/>
  <c r="AJ47" i="17"/>
  <c r="AJ60" i="17"/>
  <c r="AJ82" i="17"/>
  <c r="AJ93" i="17"/>
  <c r="AJ71" i="17"/>
  <c r="AJ106" i="17"/>
  <c r="AJ119" i="17"/>
  <c r="AJ133" i="17"/>
  <c r="AJ163" i="17"/>
  <c r="AJ178" i="17"/>
  <c r="AJ188" i="17"/>
  <c r="AJ90" i="17"/>
  <c r="AJ109" i="17"/>
  <c r="AJ137" i="17"/>
  <c r="AJ153" i="17"/>
  <c r="AJ175" i="17"/>
  <c r="AJ201" i="17"/>
  <c r="AJ209" i="17"/>
  <c r="AJ220" i="17"/>
  <c r="AJ235" i="17"/>
  <c r="AJ241" i="17"/>
  <c r="AJ249" i="17"/>
  <c r="AJ257" i="17"/>
  <c r="AJ267" i="17"/>
  <c r="AJ275" i="17"/>
  <c r="AJ285" i="17"/>
  <c r="AJ293" i="17"/>
  <c r="AJ300" i="17"/>
  <c r="AJ306" i="17"/>
  <c r="AJ315" i="17"/>
  <c r="AJ320" i="17"/>
  <c r="AJ326" i="17"/>
  <c r="AJ332" i="17"/>
  <c r="AJ337" i="17"/>
  <c r="AJ343" i="17"/>
  <c r="AJ354" i="17"/>
  <c r="AJ24" i="6"/>
  <c r="AJ23" i="6" s="1"/>
  <c r="AJ25" i="6" s="1"/>
  <c r="U35" i="6"/>
  <c r="Q33" i="6"/>
  <c r="Z33" i="6"/>
  <c r="M33" i="6"/>
  <c r="Z48" i="6"/>
  <c r="E354" i="1"/>
  <c r="E320" i="1"/>
  <c r="B33" i="19"/>
  <c r="Q382" i="1"/>
  <c r="Q46" i="6"/>
  <c r="W31" i="6"/>
  <c r="Y33" i="6"/>
  <c r="M16" i="6"/>
  <c r="M24" i="6" s="1"/>
  <c r="M23" i="6" s="1"/>
  <c r="M25" i="6" s="1"/>
  <c r="Y31" i="6"/>
  <c r="Y50" i="6"/>
  <c r="Q31" i="6"/>
  <c r="P33" i="6"/>
  <c r="AA24" i="6"/>
  <c r="AA23" i="6" s="1"/>
  <c r="AA25" i="6" s="1"/>
  <c r="Y24" i="6"/>
  <c r="Y23" i="6" s="1"/>
  <c r="Y25" i="6" s="1"/>
  <c r="Y35" i="6"/>
  <c r="X35" i="6"/>
  <c r="E379" i="1"/>
  <c r="C35" i="19"/>
  <c r="E293" i="1"/>
  <c r="AJ261" i="15"/>
  <c r="AJ202" i="15"/>
  <c r="AJ97" i="15"/>
  <c r="AJ199" i="15"/>
  <c r="AJ163" i="15"/>
  <c r="AJ114" i="15"/>
  <c r="AJ242" i="15"/>
  <c r="AJ226" i="15"/>
  <c r="AJ205" i="15"/>
  <c r="AJ188" i="15"/>
  <c r="AJ149" i="15"/>
  <c r="AJ106" i="15"/>
  <c r="AJ64" i="15"/>
  <c r="AJ203" i="15"/>
  <c r="AJ187" i="15"/>
  <c r="AJ165" i="15"/>
  <c r="AJ136" i="15"/>
  <c r="AJ115" i="15"/>
  <c r="AJ100" i="15"/>
  <c r="AJ80" i="15"/>
  <c r="AJ48" i="15"/>
  <c r="AJ26" i="15"/>
  <c r="AJ178" i="15"/>
  <c r="AJ164" i="15"/>
  <c r="AJ148" i="15"/>
  <c r="AJ134" i="15"/>
  <c r="AJ112" i="15"/>
  <c r="AJ89" i="15"/>
  <c r="AJ76" i="15"/>
  <c r="AJ61" i="15"/>
  <c r="AJ49" i="15"/>
  <c r="AJ37" i="15"/>
  <c r="AJ20" i="15"/>
  <c r="AJ34" i="15"/>
  <c r="AJ60" i="15"/>
  <c r="AJ88" i="15"/>
  <c r="AJ132" i="15"/>
  <c r="AJ162" i="15"/>
  <c r="AJ25" i="15"/>
  <c r="AJ75" i="15"/>
  <c r="AJ130" i="15"/>
  <c r="AJ63" i="15"/>
  <c r="AJ238" i="15"/>
  <c r="AJ286" i="15"/>
  <c r="AJ280" i="15"/>
  <c r="AJ272" i="15"/>
  <c r="AJ264" i="15"/>
  <c r="AJ257" i="15"/>
  <c r="AJ247" i="15"/>
  <c r="AJ232" i="15"/>
  <c r="AJ213" i="15"/>
  <c r="AJ193" i="15"/>
  <c r="AJ174" i="15"/>
  <c r="AJ283" i="15"/>
  <c r="AJ270" i="15"/>
  <c r="AJ254" i="15"/>
  <c r="AJ221" i="15"/>
  <c r="AJ186" i="15"/>
  <c r="AJ131" i="15"/>
  <c r="AJ78" i="15"/>
  <c r="AJ207" i="15"/>
  <c r="AJ195" i="15"/>
  <c r="AJ172" i="15"/>
  <c r="AJ152" i="15"/>
  <c r="AJ118" i="15"/>
  <c r="AJ105" i="15"/>
  <c r="AJ87" i="15"/>
  <c r="AJ56" i="15"/>
  <c r="AJ35" i="15"/>
  <c r="AJ19" i="15"/>
  <c r="AJ170" i="15"/>
  <c r="AJ154" i="15"/>
  <c r="AJ139" i="15"/>
  <c r="AJ123" i="15"/>
  <c r="AJ102" i="15"/>
  <c r="AJ81" i="15"/>
  <c r="AJ67" i="15"/>
  <c r="AJ54" i="15"/>
  <c r="AJ40" i="15"/>
  <c r="AJ29" i="15"/>
  <c r="AJ16" i="15"/>
  <c r="AJ28" i="15"/>
  <c r="AJ33" i="15"/>
  <c r="AJ39" i="15"/>
  <c r="AJ44" i="15"/>
  <c r="AJ53" i="15"/>
  <c r="AJ59" i="15"/>
  <c r="AJ66" i="15"/>
  <c r="AJ72" i="15"/>
  <c r="AJ79" i="15"/>
  <c r="AJ86" i="15"/>
  <c r="AJ94" i="15"/>
  <c r="AJ110" i="15"/>
  <c r="AJ121" i="15"/>
  <c r="AJ129" i="15"/>
  <c r="AJ138" i="15"/>
  <c r="AJ145" i="15"/>
  <c r="AJ153" i="15"/>
  <c r="AJ158" i="15"/>
  <c r="AJ169" i="15"/>
  <c r="AJ175" i="15"/>
  <c r="AJ18" i="15"/>
  <c r="AJ24" i="15"/>
  <c r="AJ32" i="15"/>
  <c r="AJ46" i="15"/>
  <c r="AJ51" i="15"/>
  <c r="AJ68" i="15"/>
  <c r="AJ85" i="15"/>
  <c r="AJ98" i="15"/>
  <c r="AJ104" i="15"/>
  <c r="AJ113" i="15"/>
  <c r="AJ117" i="15"/>
  <c r="AJ127" i="15"/>
  <c r="AJ147" i="15"/>
  <c r="AJ161" i="15"/>
  <c r="AJ167" i="15"/>
  <c r="AJ184" i="15"/>
  <c r="AJ191" i="15"/>
  <c r="AJ198" i="15"/>
  <c r="AJ206" i="15"/>
  <c r="AJ212" i="15"/>
  <c r="AJ73" i="15"/>
  <c r="AJ96" i="15"/>
  <c r="AJ128" i="15"/>
  <c r="AJ142" i="15"/>
  <c r="AJ155" i="15"/>
  <c r="AJ183" i="15"/>
  <c r="AJ192" i="15"/>
  <c r="AJ201" i="15"/>
  <c r="AJ210" i="15"/>
  <c r="AJ219" i="15"/>
  <c r="AJ228" i="15"/>
  <c r="AJ237" i="15"/>
  <c r="AJ244" i="15"/>
  <c r="AJ253" i="15"/>
  <c r="O9" i="18"/>
  <c r="AJ193" i="18" s="1"/>
  <c r="E316" i="1"/>
  <c r="AJ202" i="18"/>
  <c r="AJ380" i="17"/>
  <c r="AJ44" i="17"/>
  <c r="AJ56" i="17"/>
  <c r="AJ89" i="17"/>
  <c r="AJ104" i="17"/>
  <c r="AJ130" i="17"/>
  <c r="AJ170" i="17"/>
  <c r="AJ78" i="17"/>
  <c r="O50" i="6"/>
  <c r="X33" i="6"/>
  <c r="AD24" i="6"/>
  <c r="AD23" i="6" s="1"/>
  <c r="AD25" i="6" s="1"/>
  <c r="E343" i="1"/>
  <c r="Q383" i="1"/>
  <c r="AT2" i="7"/>
  <c r="AJ15" i="15"/>
  <c r="AJ23" i="15"/>
  <c r="AJ38" i="15"/>
  <c r="AJ31" i="15"/>
  <c r="AJ52" i="15"/>
  <c r="AJ65" i="15"/>
  <c r="AJ77" i="15"/>
  <c r="AJ92" i="15"/>
  <c r="AJ119" i="15"/>
  <c r="AJ137" i="15"/>
  <c r="AJ151" i="15"/>
  <c r="AJ168" i="15"/>
  <c r="AJ179" i="15"/>
  <c r="AJ27" i="15"/>
  <c r="AJ50" i="15"/>
  <c r="AJ84" i="15"/>
  <c r="AJ101" i="15"/>
  <c r="AJ116" i="15"/>
  <c r="AJ140" i="15"/>
  <c r="AJ166" i="15"/>
  <c r="AJ190" i="15"/>
  <c r="AJ204" i="15"/>
  <c r="AJ70" i="15"/>
  <c r="AJ122" i="15"/>
  <c r="AJ150" i="15"/>
  <c r="AJ189" i="15"/>
  <c r="AJ208" i="15"/>
  <c r="AJ227" i="15"/>
  <c r="AJ243" i="15"/>
  <c r="AJ255" i="15"/>
  <c r="AJ262" i="15"/>
  <c r="AJ271" i="15"/>
  <c r="AJ277" i="15"/>
  <c r="AJ285" i="15"/>
  <c r="AJ292" i="15"/>
  <c r="AJ297" i="15"/>
  <c r="AJ302" i="15"/>
  <c r="AJ306" i="15"/>
  <c r="AJ311" i="15"/>
  <c r="AJ314" i="15"/>
  <c r="AJ316" i="15"/>
  <c r="AJ319" i="15"/>
  <c r="AJ324" i="15"/>
  <c r="AJ328" i="15"/>
  <c r="AJ333" i="15"/>
  <c r="AJ341" i="15"/>
  <c r="AJ343" i="15"/>
  <c r="AJ347" i="15"/>
  <c r="AJ352" i="15"/>
  <c r="AJ355" i="15"/>
  <c r="AJ360" i="15"/>
  <c r="AJ363" i="15"/>
  <c r="AJ366" i="15"/>
  <c r="AJ373" i="15"/>
  <c r="AJ377" i="15"/>
  <c r="AJ217" i="15"/>
  <c r="AJ220" i="15"/>
  <c r="AJ223" i="15"/>
  <c r="AJ58" i="15"/>
  <c r="AJ83" i="15"/>
  <c r="AJ126" i="15"/>
  <c r="AJ157" i="15"/>
  <c r="AJ22" i="15"/>
  <c r="AJ62" i="15"/>
  <c r="AJ109" i="15"/>
  <c r="AJ160" i="15"/>
  <c r="AJ197" i="15"/>
  <c r="AJ95" i="15"/>
  <c r="AJ182" i="15"/>
  <c r="AJ216" i="15"/>
  <c r="AJ249" i="15"/>
  <c r="AJ268" i="15"/>
  <c r="AJ281" i="15"/>
  <c r="AJ296" i="15"/>
  <c r="AJ305" i="15"/>
  <c r="AJ313" i="15"/>
  <c r="AJ317" i="15"/>
  <c r="AJ326" i="15"/>
  <c r="AJ336" i="15"/>
  <c r="AJ346" i="15"/>
  <c r="AJ354" i="15"/>
  <c r="AJ361" i="15"/>
  <c r="AJ370" i="15"/>
  <c r="AJ215" i="15"/>
  <c r="AJ222" i="15"/>
  <c r="AJ225" i="15"/>
  <c r="AJ230" i="15"/>
  <c r="AJ235" i="15"/>
  <c r="AJ239" i="15"/>
  <c r="AJ241" i="15"/>
  <c r="AJ246" i="15"/>
  <c r="AJ251" i="15"/>
  <c r="AJ256" i="15"/>
  <c r="AJ259" i="15"/>
  <c r="AJ265" i="15"/>
  <c r="AJ267" i="15"/>
  <c r="AJ275" i="15"/>
  <c r="AJ278" i="15"/>
  <c r="AJ282" i="15"/>
  <c r="AJ287" i="15"/>
  <c r="AJ289" i="15"/>
  <c r="AJ293" i="15"/>
  <c r="AJ295" i="15"/>
  <c r="AJ300" i="15"/>
  <c r="AJ303" i="15"/>
  <c r="AJ307" i="15"/>
  <c r="AJ310" i="15"/>
  <c r="AJ318" i="15"/>
  <c r="AJ322" i="15"/>
  <c r="AJ325" i="15"/>
  <c r="AJ329" i="15"/>
  <c r="AJ332" i="15"/>
  <c r="AJ335" i="15"/>
  <c r="AJ338" i="15"/>
  <c r="AJ340" i="15"/>
  <c r="AJ345" i="15"/>
  <c r="AJ350" i="15"/>
  <c r="AJ353" i="15"/>
  <c r="AJ357" i="15"/>
  <c r="AJ362" i="15"/>
  <c r="AJ367" i="15"/>
  <c r="AJ369" i="15"/>
  <c r="AJ372" i="15"/>
  <c r="AJ376" i="15"/>
  <c r="AJ379" i="15"/>
  <c r="F7" i="15"/>
  <c r="AJ17" i="15"/>
  <c r="AJ43" i="15"/>
  <c r="AJ71" i="15"/>
  <c r="AJ108" i="15"/>
  <c r="AJ144" i="15"/>
  <c r="AJ173" i="15"/>
  <c r="AJ42" i="15"/>
  <c r="AJ93" i="15"/>
  <c r="AJ125" i="15"/>
  <c r="AJ180" i="15"/>
  <c r="AJ211" i="15"/>
  <c r="AJ135" i="15"/>
  <c r="AJ200" i="15"/>
  <c r="AJ234" i="15"/>
  <c r="AJ260" i="15"/>
  <c r="AJ273" i="15"/>
  <c r="AJ291" i="15"/>
  <c r="AJ299" i="15"/>
  <c r="AJ309" i="15"/>
  <c r="AJ315" i="15"/>
  <c r="AJ320" i="15"/>
  <c r="AJ331" i="15"/>
  <c r="AJ342" i="15"/>
  <c r="AJ349" i="15"/>
  <c r="AJ359" i="15"/>
  <c r="AJ364" i="15"/>
  <c r="AJ374" i="15"/>
  <c r="AJ218" i="15"/>
  <c r="AJ224" i="15"/>
  <c r="AJ229" i="15"/>
  <c r="AJ231" i="15"/>
  <c r="AJ236" i="15"/>
  <c r="AJ240" i="15"/>
  <c r="AJ245" i="15"/>
  <c r="AJ250" i="15"/>
  <c r="AJ252" i="15"/>
  <c r="AJ258" i="15"/>
  <c r="AJ263" i="15"/>
  <c r="AJ266" i="15"/>
  <c r="AJ269" i="15"/>
  <c r="AJ276" i="15"/>
  <c r="AJ279" i="15"/>
  <c r="AJ284" i="15"/>
  <c r="AJ288" i="15"/>
  <c r="AJ290" i="15"/>
  <c r="AJ294" i="15"/>
  <c r="AJ298" i="15"/>
  <c r="AJ301" i="15"/>
  <c r="AJ304" i="15"/>
  <c r="AJ308" i="15"/>
  <c r="AJ312" i="15"/>
  <c r="AJ321" i="15"/>
  <c r="AJ323" i="15"/>
  <c r="AJ327" i="15"/>
  <c r="AJ330" i="15"/>
  <c r="AJ334" i="15"/>
  <c r="AJ337" i="15"/>
  <c r="AJ339" i="15"/>
  <c r="AJ344" i="15"/>
  <c r="AJ348" i="15"/>
  <c r="AJ351" i="15"/>
  <c r="AJ356" i="15"/>
  <c r="AJ358" i="15"/>
  <c r="AJ365" i="15"/>
  <c r="AJ368" i="15"/>
  <c r="AJ371" i="15"/>
  <c r="AJ375" i="15"/>
  <c r="AJ378" i="15"/>
  <c r="H13" i="7"/>
  <c r="AJ380" i="15"/>
  <c r="AJ15" i="17"/>
  <c r="AJ37" i="17"/>
  <c r="AJ50" i="17"/>
  <c r="AJ84" i="17"/>
  <c r="AJ74" i="17"/>
  <c r="AJ124" i="17"/>
  <c r="AJ166" i="17"/>
  <c r="AJ34" i="17"/>
  <c r="AJ117" i="17"/>
  <c r="AJ159" i="17"/>
  <c r="AJ203" i="17"/>
  <c r="AJ225" i="17"/>
  <c r="AJ243" i="17"/>
  <c r="AJ260" i="17"/>
  <c r="AJ278" i="17"/>
  <c r="AJ295" i="17"/>
  <c r="AJ309" i="17"/>
  <c r="AJ321" i="17"/>
  <c r="AJ333" i="17"/>
  <c r="AJ345" i="17"/>
  <c r="AJ364" i="17"/>
  <c r="AJ118" i="17"/>
  <c r="AJ102" i="17"/>
  <c r="AJ150" i="17"/>
  <c r="AJ190" i="17"/>
  <c r="AJ198" i="17"/>
  <c r="AJ215" i="17"/>
  <c r="AJ155" i="17"/>
  <c r="AJ214" i="17"/>
  <c r="AJ227" i="17"/>
  <c r="AJ237" i="17"/>
  <c r="AJ254" i="17"/>
  <c r="AJ263" i="17"/>
  <c r="AJ281" i="17"/>
  <c r="AJ288" i="17"/>
  <c r="AJ301" i="17"/>
  <c r="AJ313" i="17"/>
  <c r="AJ344" i="17"/>
  <c r="AJ226" i="17"/>
  <c r="AJ246" i="17"/>
  <c r="AJ261" i="17"/>
  <c r="AJ271" i="17"/>
  <c r="AJ283" i="17"/>
  <c r="AJ298" i="17"/>
  <c r="AJ312" i="17"/>
  <c r="AJ322" i="17"/>
  <c r="AJ335" i="17"/>
  <c r="AJ346" i="17"/>
  <c r="AJ351" i="17"/>
  <c r="AJ353" i="17"/>
  <c r="AJ356" i="17"/>
  <c r="AJ368" i="17"/>
  <c r="AJ370" i="17"/>
  <c r="AJ376" i="17"/>
  <c r="AJ360" i="17"/>
  <c r="AJ366" i="17"/>
  <c r="AJ371" i="17"/>
  <c r="AJ374" i="17"/>
  <c r="AJ377" i="17"/>
  <c r="AJ379" i="17"/>
  <c r="AJ29" i="17"/>
  <c r="AJ36" i="17"/>
  <c r="AJ135" i="17"/>
  <c r="AJ94" i="17"/>
  <c r="AJ189" i="17"/>
  <c r="AJ236" i="17"/>
  <c r="AJ269" i="17"/>
  <c r="AJ302" i="17"/>
  <c r="AJ327" i="17"/>
  <c r="AJ357" i="17"/>
  <c r="AJ49" i="17"/>
  <c r="AJ164" i="17"/>
  <c r="AJ212" i="17"/>
  <c r="AJ184" i="17"/>
  <c r="AJ231" i="17"/>
  <c r="AJ259" i="17"/>
  <c r="AJ284" i="17"/>
  <c r="AJ307" i="17"/>
  <c r="AJ221" i="17"/>
  <c r="AJ252" i="17"/>
  <c r="AJ276" i="17"/>
  <c r="AJ308" i="17"/>
  <c r="AJ328" i="17"/>
  <c r="AJ347" i="17"/>
  <c r="AJ355" i="17"/>
  <c r="AJ369" i="17"/>
  <c r="AJ349" i="17"/>
  <c r="AJ367" i="17"/>
  <c r="AJ375" i="17"/>
  <c r="AJ66" i="17"/>
  <c r="AJ181" i="17"/>
  <c r="AJ210" i="17"/>
  <c r="AJ289" i="17"/>
  <c r="AJ338" i="17"/>
  <c r="AJ140" i="17"/>
  <c r="AJ146" i="17"/>
  <c r="AJ242" i="17"/>
  <c r="AJ294" i="17"/>
  <c r="AJ232" i="17"/>
  <c r="AJ287" i="17"/>
  <c r="AJ340" i="17"/>
  <c r="AJ361" i="17"/>
  <c r="AJ363" i="17"/>
  <c r="AJ378" i="17"/>
  <c r="AJ20" i="17"/>
  <c r="AJ108" i="17"/>
  <c r="AJ139" i="17"/>
  <c r="AJ250" i="17"/>
  <c r="AJ316" i="17"/>
  <c r="AJ72" i="17"/>
  <c r="AJ193" i="17"/>
  <c r="AJ223" i="17"/>
  <c r="AJ273" i="17"/>
  <c r="AJ331" i="17"/>
  <c r="AJ270" i="17"/>
  <c r="AJ317" i="17"/>
  <c r="AJ352" i="17"/>
  <c r="AJ373" i="17"/>
  <c r="AJ372" i="17"/>
  <c r="O9" i="20"/>
  <c r="AE383" i="1"/>
  <c r="D11" i="7"/>
  <c r="U10" i="1" s="1"/>
  <c r="U12" i="1"/>
  <c r="BQ16" i="7" s="1"/>
  <c r="AJ15" i="18"/>
  <c r="E334" i="1"/>
  <c r="E301" i="1"/>
  <c r="E312" i="1"/>
  <c r="E332" i="1"/>
  <c r="E302" i="1"/>
  <c r="W24" i="6"/>
  <c r="W23" i="6" s="1"/>
  <c r="D383" i="1"/>
  <c r="AJ8" i="1"/>
  <c r="AE24" i="6"/>
  <c r="AE23" i="6" s="1"/>
  <c r="AE25" i="6" s="1"/>
  <c r="T48" i="6"/>
  <c r="U46" i="6"/>
  <c r="U24" i="6"/>
  <c r="U23" i="6" s="1"/>
  <c r="U25" i="6" s="1"/>
  <c r="S24" i="6"/>
  <c r="S23" i="6" s="1"/>
  <c r="S25" i="6" s="1"/>
  <c r="O33" i="6"/>
  <c r="N35" i="6"/>
  <c r="P31" i="6"/>
  <c r="E7" i="15"/>
  <c r="E8" i="15"/>
  <c r="K12" i="19" s="1"/>
  <c r="K36" i="19" s="1"/>
  <c r="E378" i="1"/>
  <c r="E333" i="1"/>
  <c r="AH24" i="6"/>
  <c r="AH23" i="6" s="1"/>
  <c r="AH25" i="6" s="1"/>
  <c r="T33" i="6"/>
  <c r="U31" i="6"/>
  <c r="S35" i="6"/>
  <c r="W46" i="6"/>
  <c r="V48" i="6"/>
  <c r="U50" i="6"/>
  <c r="U33" i="6"/>
  <c r="T35" i="6"/>
  <c r="V31" i="6"/>
  <c r="AN20" i="6"/>
  <c r="AA44" i="6"/>
  <c r="C31" i="7"/>
  <c r="E363" i="1"/>
  <c r="O381" i="1"/>
  <c r="O383" i="1"/>
  <c r="O382" i="1"/>
  <c r="J60" i="27"/>
  <c r="G64" i="27"/>
  <c r="I60" i="27"/>
  <c r="G58" i="27"/>
  <c r="G60" i="27"/>
  <c r="H61" i="27"/>
  <c r="G61" i="27"/>
  <c r="H70" i="27"/>
  <c r="G70" i="27"/>
  <c r="L14" i="27"/>
  <c r="I32" i="27" s="1"/>
  <c r="I65" i="27"/>
  <c r="I22" i="27"/>
  <c r="I26" i="27"/>
  <c r="N70" i="27"/>
  <c r="I34" i="27"/>
  <c r="AE381" i="1"/>
  <c r="AE382" i="1"/>
  <c r="N64" i="27"/>
  <c r="I28" i="27"/>
  <c r="N66" i="27"/>
  <c r="I30" i="27"/>
  <c r="N65" i="27"/>
  <c r="I29" i="27"/>
  <c r="J59" i="27"/>
  <c r="H59" i="27"/>
  <c r="G65" i="27"/>
  <c r="I62" i="27"/>
  <c r="I59" i="27"/>
  <c r="I23" i="27"/>
  <c r="AO57" i="27"/>
  <c r="AO59" i="27"/>
  <c r="AO61" i="27"/>
  <c r="AO63" i="27"/>
  <c r="AO65" i="27"/>
  <c r="AO67" i="27"/>
  <c r="AO69" i="27"/>
  <c r="AO71" i="27"/>
  <c r="AO73" i="27"/>
  <c r="AO75" i="27"/>
  <c r="AO77" i="27"/>
  <c r="I24" i="27"/>
  <c r="AO76" i="27"/>
  <c r="AO78" i="27"/>
  <c r="AV56" i="27"/>
  <c r="AX56" i="27"/>
  <c r="I61" i="27"/>
  <c r="N58" i="27"/>
  <c r="N60" i="27"/>
  <c r="G21" i="27"/>
  <c r="N59" i="27"/>
  <c r="G20" i="27"/>
  <c r="H73" i="27"/>
  <c r="I74" i="27"/>
  <c r="I73" i="27"/>
  <c r="J72" i="27"/>
  <c r="I72" i="27"/>
  <c r="G74" i="27"/>
  <c r="I76" i="27"/>
  <c r="H76" i="27"/>
  <c r="G76" i="27"/>
  <c r="AE56" i="27"/>
  <c r="AE60" i="27"/>
  <c r="AO56" i="27"/>
  <c r="AO58" i="27"/>
  <c r="AO60" i="27"/>
  <c r="AO62" i="27"/>
  <c r="AO64" i="27"/>
  <c r="AO66" i="27"/>
  <c r="AO68" i="27"/>
  <c r="AO70" i="27"/>
  <c r="AO72" i="27"/>
  <c r="AO74" i="27"/>
  <c r="N61" i="27"/>
  <c r="N63" i="27"/>
  <c r="N67" i="27"/>
  <c r="AE57" i="27"/>
  <c r="AE62" i="27"/>
  <c r="AE63" i="27"/>
  <c r="AE59" i="27"/>
  <c r="AE58" i="27"/>
  <c r="N62" i="27"/>
  <c r="P59" i="27"/>
  <c r="G22" i="27" s="1"/>
  <c r="AE61" i="27"/>
  <c r="J69" i="27"/>
  <c r="J74" i="27"/>
  <c r="J73" i="27"/>
  <c r="J67" i="27"/>
  <c r="J58" i="27"/>
  <c r="J76" i="27"/>
  <c r="J64" i="27"/>
  <c r="J57" i="27"/>
  <c r="J62" i="27"/>
  <c r="J65" i="27"/>
  <c r="J79" i="27"/>
  <c r="BM14" i="6"/>
  <c r="F71" i="27"/>
  <c r="F61" i="27"/>
  <c r="F73" i="27"/>
  <c r="F64" i="27"/>
  <c r="F58" i="27"/>
  <c r="F59" i="27"/>
  <c r="F74" i="27"/>
  <c r="F76" i="27"/>
  <c r="F57" i="27"/>
  <c r="F75" i="27"/>
  <c r="F63" i="27"/>
  <c r="F79" i="27"/>
  <c r="F65" i="27"/>
  <c r="F68" i="27"/>
  <c r="F60" i="27"/>
  <c r="F69" i="27"/>
  <c r="F70" i="27"/>
  <c r="F66" i="27"/>
  <c r="F72" i="27"/>
  <c r="F77" i="27"/>
  <c r="F78" i="27"/>
  <c r="F56" i="27"/>
  <c r="F62" i="27"/>
  <c r="F67" i="27"/>
  <c r="E55" i="27"/>
  <c r="D55" i="27" s="1"/>
  <c r="BQ14" i="6"/>
  <c r="J61" i="27"/>
  <c r="J70" i="27"/>
  <c r="K70" i="27"/>
  <c r="Y55" i="27"/>
  <c r="K64" i="27"/>
  <c r="K79" i="27"/>
  <c r="BR14" i="6"/>
  <c r="K71" i="27"/>
  <c r="K61" i="27"/>
  <c r="K69" i="27"/>
  <c r="K59" i="27"/>
  <c r="K74" i="27"/>
  <c r="K75" i="27"/>
  <c r="K78" i="27"/>
  <c r="K62" i="27"/>
  <c r="K63" i="27"/>
  <c r="L55" i="27"/>
  <c r="K67" i="27"/>
  <c r="K60" i="27"/>
  <c r="K73" i="27"/>
  <c r="K58" i="27"/>
  <c r="K77" i="27"/>
  <c r="K56" i="27"/>
  <c r="K65" i="27"/>
  <c r="K66" i="27"/>
  <c r="K68" i="27"/>
  <c r="K72" i="27"/>
  <c r="K76" i="27"/>
  <c r="K57" i="27"/>
  <c r="S55" i="27"/>
  <c r="E70" i="27"/>
  <c r="E60" i="27"/>
  <c r="E65" i="27"/>
  <c r="E66" i="27"/>
  <c r="E77" i="27"/>
  <c r="E56" i="27"/>
  <c r="E63" i="27"/>
  <c r="E61" i="27"/>
  <c r="E75" i="27"/>
  <c r="E69" i="27"/>
  <c r="E64" i="27"/>
  <c r="BL14" i="6"/>
  <c r="AF24" i="6"/>
  <c r="AF23" i="6" s="1"/>
  <c r="T50" i="6"/>
  <c r="V46" i="6"/>
  <c r="U48" i="6"/>
  <c r="Z24" i="6"/>
  <c r="Z23" i="6" s="1"/>
  <c r="S46" i="6"/>
  <c r="Q50" i="6"/>
  <c r="R48" i="6"/>
  <c r="R46" i="6"/>
  <c r="Q48" i="6"/>
  <c r="P50" i="6"/>
  <c r="P54" i="6" s="1"/>
  <c r="P53" i="6" s="1"/>
  <c r="P55" i="6" s="1"/>
  <c r="R24" i="6"/>
  <c r="R23" i="6" s="1"/>
  <c r="O46" i="6"/>
  <c r="N48" i="6"/>
  <c r="M50" i="6"/>
  <c r="M54" i="6" s="1"/>
  <c r="M53" i="6" s="1"/>
  <c r="M55" i="6" s="1"/>
  <c r="W33" i="6"/>
  <c r="V35" i="6"/>
  <c r="X31" i="6"/>
  <c r="AC24" i="6"/>
  <c r="AC23" i="6" s="1"/>
  <c r="T24" i="6"/>
  <c r="T23" i="6" s="1"/>
  <c r="P23" i="6"/>
  <c r="P25" i="6" s="1"/>
  <c r="J207" i="6"/>
  <c r="AK24" i="6"/>
  <c r="AK23" i="6" s="1"/>
  <c r="AI24" i="6"/>
  <c r="AI23" i="6" s="1"/>
  <c r="AI25" i="6" s="1"/>
  <c r="V50" i="6"/>
  <c r="W48" i="6"/>
  <c r="X46" i="6"/>
  <c r="S33" i="6"/>
  <c r="R35" i="6"/>
  <c r="T31" i="6"/>
  <c r="S31" i="6"/>
  <c r="R33" i="6"/>
  <c r="Q35" i="6"/>
  <c r="E12" i="6"/>
  <c r="E13" i="6"/>
  <c r="AA29" i="6"/>
  <c r="AM20" i="6"/>
  <c r="AN18" i="6"/>
  <c r="AL24" i="6"/>
  <c r="AL23" i="6" s="1"/>
  <c r="AL25" i="6" s="1"/>
  <c r="X50" i="6"/>
  <c r="Z46" i="6"/>
  <c r="Y48" i="6"/>
  <c r="X48" i="6"/>
  <c r="W50" i="6"/>
  <c r="Y46" i="6"/>
  <c r="AG24" i="6"/>
  <c r="AG23" i="6" s="1"/>
  <c r="X24" i="6"/>
  <c r="X23" i="6" s="1"/>
  <c r="X25" i="6" s="1"/>
  <c r="V24" i="6"/>
  <c r="V23" i="6" s="1"/>
  <c r="V25" i="6" s="1"/>
  <c r="N24" i="6"/>
  <c r="N23" i="6" s="1"/>
  <c r="N25" i="6" s="1"/>
  <c r="M35" i="6"/>
  <c r="O31" i="6"/>
  <c r="N33" i="6"/>
  <c r="D37" i="15"/>
  <c r="D24" i="15"/>
  <c r="L383" i="23"/>
  <c r="L381" i="23"/>
  <c r="L382" i="23"/>
  <c r="L381" i="20"/>
  <c r="L383" i="20"/>
  <c r="L382" i="20"/>
  <c r="B56" i="7"/>
  <c r="D29" i="17"/>
  <c r="D29" i="15"/>
  <c r="B32" i="7"/>
  <c r="D27" i="15"/>
  <c r="L381" i="25"/>
  <c r="L382" i="25"/>
  <c r="L383" i="25"/>
  <c r="D17" i="15"/>
  <c r="D15" i="15"/>
  <c r="L383" i="15"/>
  <c r="L381" i="15"/>
  <c r="L382" i="15"/>
  <c r="D50" i="15"/>
  <c r="D21" i="15"/>
  <c r="L383" i="18"/>
  <c r="L381" i="18"/>
  <c r="L382" i="18"/>
  <c r="D15" i="17"/>
  <c r="L381" i="17"/>
  <c r="L383" i="17"/>
  <c r="L382" i="17"/>
  <c r="L383" i="24"/>
  <c r="L381" i="24"/>
  <c r="L382" i="24"/>
  <c r="L381" i="22"/>
  <c r="L382" i="22"/>
  <c r="L383" i="22"/>
  <c r="D19" i="16"/>
  <c r="L381" i="16"/>
  <c r="L383" i="16"/>
  <c r="L382" i="16"/>
  <c r="E289" i="1"/>
  <c r="D381" i="1"/>
  <c r="D382" i="1"/>
  <c r="AJ277" i="18" l="1"/>
  <c r="AJ366" i="18"/>
  <c r="AJ233" i="18"/>
  <c r="AJ331" i="18"/>
  <c r="AJ224" i="18"/>
  <c r="AJ260" i="18"/>
  <c r="AJ252" i="18"/>
  <c r="AJ201" i="18"/>
  <c r="AJ361" i="18"/>
  <c r="AJ355" i="18"/>
  <c r="AJ80" i="18"/>
  <c r="AJ110" i="18"/>
  <c r="AJ159" i="18"/>
  <c r="AJ241" i="18"/>
  <c r="AJ129" i="18"/>
  <c r="AJ265" i="18"/>
  <c r="AJ171" i="18"/>
  <c r="AC9" i="17"/>
  <c r="AJ329" i="18"/>
  <c r="AJ207" i="18"/>
  <c r="AJ287" i="18"/>
  <c r="AJ101" i="18"/>
  <c r="AJ354" i="18"/>
  <c r="AJ232" i="18"/>
  <c r="AJ326" i="18"/>
  <c r="AJ190" i="18"/>
  <c r="AJ378" i="18"/>
  <c r="AJ321" i="18"/>
  <c r="AJ305" i="18"/>
  <c r="AJ164" i="18"/>
  <c r="AJ362" i="18"/>
  <c r="AJ293" i="18"/>
  <c r="AJ236" i="18"/>
  <c r="AJ119" i="18"/>
  <c r="AJ64" i="18"/>
  <c r="AJ25" i="18"/>
  <c r="AJ46" i="18"/>
  <c r="AJ172" i="18"/>
  <c r="BK16" i="7"/>
  <c r="AJ280" i="18"/>
  <c r="AJ225" i="18"/>
  <c r="AJ228" i="18"/>
  <c r="AJ100" i="18"/>
  <c r="AJ322" i="18"/>
  <c r="AJ254" i="18"/>
  <c r="AJ177" i="18"/>
  <c r="AJ152" i="18"/>
  <c r="AJ375" i="18"/>
  <c r="AJ312" i="18"/>
  <c r="AJ296" i="18"/>
  <c r="AJ211" i="18"/>
  <c r="AJ357" i="18"/>
  <c r="AJ290" i="18"/>
  <c r="AJ230" i="18"/>
  <c r="AJ107" i="18"/>
  <c r="AJ44" i="18"/>
  <c r="AJ364" i="18"/>
  <c r="AJ341" i="18"/>
  <c r="AJ281" i="18"/>
  <c r="AJ342" i="18"/>
  <c r="AJ271" i="18"/>
  <c r="AJ214" i="18"/>
  <c r="AJ198" i="18"/>
  <c r="AJ86" i="18"/>
  <c r="AJ350" i="18"/>
  <c r="AJ314" i="18"/>
  <c r="AJ284" i="18"/>
  <c r="AJ250" i="18"/>
  <c r="AJ220" i="18"/>
  <c r="AJ155" i="18"/>
  <c r="AJ68" i="18"/>
  <c r="AJ143" i="18"/>
  <c r="AJ59" i="18"/>
  <c r="AJ71" i="18"/>
  <c r="AJ21" i="18"/>
  <c r="AJ31" i="18"/>
  <c r="AJ69" i="18"/>
  <c r="AJ120" i="18"/>
  <c r="AJ338" i="18"/>
  <c r="AJ373" i="18"/>
  <c r="AJ257" i="18"/>
  <c r="AJ310" i="18"/>
  <c r="AJ259" i="18"/>
  <c r="AJ186" i="18"/>
  <c r="AJ141" i="18"/>
  <c r="AJ93" i="18"/>
  <c r="AJ335" i="18"/>
  <c r="AJ300" i="18"/>
  <c r="AJ274" i="18"/>
  <c r="AJ244" i="18"/>
  <c r="AJ212" i="18"/>
  <c r="AJ130" i="18"/>
  <c r="AJ181" i="18"/>
  <c r="AJ99" i="18"/>
  <c r="AJ33" i="18"/>
  <c r="AJ351" i="18"/>
  <c r="AJ333" i="18"/>
  <c r="AJ275" i="18"/>
  <c r="AJ319" i="18"/>
  <c r="AJ262" i="18"/>
  <c r="AJ199" i="18"/>
  <c r="AJ165" i="18"/>
  <c r="AJ52" i="18"/>
  <c r="AJ340" i="18"/>
  <c r="AJ307" i="18"/>
  <c r="AJ279" i="18"/>
  <c r="AJ247" i="18"/>
  <c r="AJ215" i="18"/>
  <c r="AJ134" i="18"/>
  <c r="AJ26" i="18"/>
  <c r="AJ118" i="18"/>
  <c r="AJ23" i="18"/>
  <c r="AJ372" i="18"/>
  <c r="AJ374" i="18"/>
  <c r="AJ349" i="18"/>
  <c r="AJ330" i="18"/>
  <c r="AJ302" i="18"/>
  <c r="AJ269" i="18"/>
  <c r="AJ227" i="18"/>
  <c r="AJ315" i="18"/>
  <c r="AJ294" i="18"/>
  <c r="AJ261" i="18"/>
  <c r="AJ229" i="18"/>
  <c r="AJ196" i="18"/>
  <c r="AJ209" i="18"/>
  <c r="AJ153" i="18"/>
  <c r="AJ103" i="18"/>
  <c r="AJ114" i="18"/>
  <c r="AJ356" i="18"/>
  <c r="AJ336" i="18"/>
  <c r="AJ323" i="18"/>
  <c r="AJ301" i="18"/>
  <c r="AJ288" i="18"/>
  <c r="AJ276" i="18"/>
  <c r="AJ256" i="18"/>
  <c r="AJ246" i="18"/>
  <c r="AJ226" i="18"/>
  <c r="AJ213" i="18"/>
  <c r="AJ187" i="18"/>
  <c r="AJ132" i="18"/>
  <c r="AJ104" i="18"/>
  <c r="AJ183" i="18"/>
  <c r="AJ157" i="18"/>
  <c r="AJ115" i="18"/>
  <c r="AJ85" i="18"/>
  <c r="AJ41" i="18"/>
  <c r="AJ82" i="18"/>
  <c r="AJ49" i="18"/>
  <c r="AJ37" i="18"/>
  <c r="F7" i="18"/>
  <c r="AC12" i="18" s="1"/>
  <c r="AJ16" i="18"/>
  <c r="AJ19" i="18"/>
  <c r="AJ79" i="18"/>
  <c r="AJ147" i="18"/>
  <c r="AJ75" i="18"/>
  <c r="AJ161" i="18"/>
  <c r="AJ66" i="18"/>
  <c r="AJ89" i="18"/>
  <c r="AJ117" i="18"/>
  <c r="AJ158" i="18"/>
  <c r="AJ185" i="18"/>
  <c r="AJ106" i="18"/>
  <c r="AJ133" i="18"/>
  <c r="AJ188" i="18"/>
  <c r="BT9" i="7"/>
  <c r="BV10" i="7" s="1"/>
  <c r="BQ10" i="7"/>
  <c r="U11" i="1"/>
  <c r="O11" i="17"/>
  <c r="O10" i="17"/>
  <c r="U13" i="7" s="1"/>
  <c r="E8" i="18" s="1"/>
  <c r="K15" i="19" s="1"/>
  <c r="K39" i="19" s="1"/>
  <c r="AC383" i="1"/>
  <c r="AC381" i="1"/>
  <c r="AJ377" i="18"/>
  <c r="AJ365" i="18"/>
  <c r="AJ318" i="18"/>
  <c r="AJ370" i="18"/>
  <c r="AJ348" i="18"/>
  <c r="AJ299" i="18"/>
  <c r="AJ239" i="18"/>
  <c r="AJ339" i="18"/>
  <c r="AJ304" i="18"/>
  <c r="AJ267" i="18"/>
  <c r="AJ240" i="18"/>
  <c r="AJ208" i="18"/>
  <c r="AJ156" i="18"/>
  <c r="AJ195" i="18"/>
  <c r="AJ128" i="18"/>
  <c r="AJ58" i="18"/>
  <c r="AJ360" i="18"/>
  <c r="AJ345" i="18"/>
  <c r="AJ328" i="18"/>
  <c r="AJ311" i="18"/>
  <c r="AJ292" i="18"/>
  <c r="AJ283" i="18"/>
  <c r="AJ264" i="18"/>
  <c r="AJ249" i="18"/>
  <c r="AJ235" i="18"/>
  <c r="AJ218" i="18"/>
  <c r="AJ194" i="18"/>
  <c r="AJ145" i="18"/>
  <c r="AJ112" i="18"/>
  <c r="AJ54" i="18"/>
  <c r="AJ168" i="18"/>
  <c r="AJ138" i="18"/>
  <c r="AJ57" i="18"/>
  <c r="AJ47" i="18"/>
  <c r="AJ379" i="18"/>
  <c r="AJ368" i="18"/>
  <c r="AJ367" i="18"/>
  <c r="AJ346" i="18"/>
  <c r="AJ324" i="18"/>
  <c r="AJ289" i="18"/>
  <c r="AJ242" i="18"/>
  <c r="AJ343" i="18"/>
  <c r="AJ306" i="18"/>
  <c r="AJ272" i="18"/>
  <c r="AJ255" i="18"/>
  <c r="AJ217" i="18"/>
  <c r="AJ167" i="18"/>
  <c r="AJ200" i="18"/>
  <c r="AJ135" i="18"/>
  <c r="AJ96" i="18"/>
  <c r="AJ65" i="18"/>
  <c r="AJ352" i="18"/>
  <c r="AJ332" i="18"/>
  <c r="AJ316" i="18"/>
  <c r="AJ297" i="18"/>
  <c r="AJ285" i="18"/>
  <c r="AJ268" i="18"/>
  <c r="AJ251" i="18"/>
  <c r="AJ237" i="18"/>
  <c r="AJ222" i="18"/>
  <c r="AJ203" i="18"/>
  <c r="AJ162" i="18"/>
  <c r="AJ123" i="18"/>
  <c r="AJ90" i="18"/>
  <c r="AJ175" i="18"/>
  <c r="AJ148" i="18"/>
  <c r="AJ73" i="18"/>
  <c r="AJ67" i="18"/>
  <c r="AJ18" i="18"/>
  <c r="AJ376" i="18"/>
  <c r="AJ369" i="18"/>
  <c r="AJ358" i="18"/>
  <c r="AJ371" i="18"/>
  <c r="AJ363" i="18"/>
  <c r="AJ347" i="18"/>
  <c r="AJ337" i="18"/>
  <c r="AJ325" i="18"/>
  <c r="AJ313" i="18"/>
  <c r="AJ295" i="18"/>
  <c r="AJ278" i="18"/>
  <c r="AJ245" i="18"/>
  <c r="AJ234" i="18"/>
  <c r="AJ219" i="18"/>
  <c r="AJ320" i="18"/>
  <c r="AJ308" i="18"/>
  <c r="AJ303" i="18"/>
  <c r="AJ273" i="18"/>
  <c r="AJ266" i="18"/>
  <c r="AJ258" i="18"/>
  <c r="AJ238" i="18"/>
  <c r="AJ221" i="18"/>
  <c r="AJ205" i="18"/>
  <c r="AJ174" i="18"/>
  <c r="AJ137" i="18"/>
  <c r="AJ206" i="18"/>
  <c r="AJ189" i="18"/>
  <c r="AJ140" i="18"/>
  <c r="AJ113" i="18"/>
  <c r="AJ97" i="18"/>
  <c r="AJ55" i="18"/>
  <c r="AJ76" i="18"/>
  <c r="AJ359" i="18"/>
  <c r="AJ353" i="18"/>
  <c r="AJ344" i="18"/>
  <c r="AJ334" i="18"/>
  <c r="AJ327" i="18"/>
  <c r="AJ317" i="18"/>
  <c r="AJ309" i="18"/>
  <c r="AJ298" i="18"/>
  <c r="AJ291" i="18"/>
  <c r="AJ286" i="18"/>
  <c r="AJ282" i="18"/>
  <c r="AJ270" i="18"/>
  <c r="AJ263" i="18"/>
  <c r="AJ253" i="18"/>
  <c r="AJ248" i="18"/>
  <c r="AJ243" i="18"/>
  <c r="AJ231" i="18"/>
  <c r="AJ223" i="18"/>
  <c r="AJ216" i="18"/>
  <c r="AJ210" i="18"/>
  <c r="AJ192" i="18"/>
  <c r="AJ173" i="18"/>
  <c r="AJ139" i="18"/>
  <c r="AJ125" i="18"/>
  <c r="AJ109" i="18"/>
  <c r="AJ92" i="18"/>
  <c r="AJ36" i="18"/>
  <c r="AJ179" i="18"/>
  <c r="AJ163" i="18"/>
  <c r="AJ150" i="18"/>
  <c r="AJ122" i="18"/>
  <c r="AJ94" i="18"/>
  <c r="AJ53" i="18"/>
  <c r="AJ74" i="18"/>
  <c r="AJ35" i="18"/>
  <c r="AJ27" i="18"/>
  <c r="AJ88" i="18"/>
  <c r="AJ78" i="18"/>
  <c r="AJ62" i="18"/>
  <c r="AJ40" i="18"/>
  <c r="AJ43" i="18"/>
  <c r="AJ29" i="18"/>
  <c r="AJ17" i="18"/>
  <c r="AJ22" i="18"/>
  <c r="AJ38" i="18"/>
  <c r="AJ32" i="18"/>
  <c r="AJ51" i="18"/>
  <c r="AJ72" i="18"/>
  <c r="AJ83" i="18"/>
  <c r="AJ56" i="18"/>
  <c r="AJ95" i="18"/>
  <c r="AJ127" i="18"/>
  <c r="AJ151" i="18"/>
  <c r="AJ166" i="18"/>
  <c r="AJ180" i="18"/>
  <c r="AJ50" i="18"/>
  <c r="AJ98" i="18"/>
  <c r="AJ111" i="18"/>
  <c r="AJ126" i="18"/>
  <c r="AJ144" i="18"/>
  <c r="AJ176" i="18"/>
  <c r="AC382" i="1"/>
  <c r="AK42" i="15"/>
  <c r="AK119" i="15"/>
  <c r="AK125" i="15"/>
  <c r="AK171" i="15"/>
  <c r="AK221" i="15"/>
  <c r="AK225" i="15"/>
  <c r="AK227" i="15"/>
  <c r="AK243" i="15"/>
  <c r="AK250" i="15"/>
  <c r="AK251" i="15"/>
  <c r="AK284" i="15"/>
  <c r="AK285" i="15"/>
  <c r="AK286" i="15"/>
  <c r="AK322" i="15"/>
  <c r="AK335" i="15"/>
  <c r="AK363" i="15"/>
  <c r="AK362" i="15"/>
  <c r="AK120" i="15"/>
  <c r="AK135" i="15"/>
  <c r="AK222" i="15"/>
  <c r="AK226" i="15"/>
  <c r="AK364" i="15"/>
  <c r="P12" i="15"/>
  <c r="AK16" i="15"/>
  <c r="AK358" i="15"/>
  <c r="AK344" i="15"/>
  <c r="AK331" i="15"/>
  <c r="AK329" i="15"/>
  <c r="AK318" i="15"/>
  <c r="AK314" i="15"/>
  <c r="AK312" i="15"/>
  <c r="AK298" i="15"/>
  <c r="AK290" i="15"/>
  <c r="AK279" i="15"/>
  <c r="AK263" i="15"/>
  <c r="AK261" i="15"/>
  <c r="AK259" i="15"/>
  <c r="AK257" i="15"/>
  <c r="AK238" i="15"/>
  <c r="AK217" i="15"/>
  <c r="AK213" i="15"/>
  <c r="AK210" i="15"/>
  <c r="AK208" i="15"/>
  <c r="AK199" i="15"/>
  <c r="AK193" i="15"/>
  <c r="AK166" i="15"/>
  <c r="AK155" i="15"/>
  <c r="AK106" i="15"/>
  <c r="AK90" i="15"/>
  <c r="AK76" i="15"/>
  <c r="AK62" i="15"/>
  <c r="AK15" i="15"/>
  <c r="AK378" i="15"/>
  <c r="AK372" i="15"/>
  <c r="AK368" i="15"/>
  <c r="AK356" i="15"/>
  <c r="AK349" i="15"/>
  <c r="AK337" i="15"/>
  <c r="AK326" i="15"/>
  <c r="AK324" i="15"/>
  <c r="AK310" i="15"/>
  <c r="AK308" i="15"/>
  <c r="AK293" i="15"/>
  <c r="AK288" i="15"/>
  <c r="AK274" i="15"/>
  <c r="AK272" i="15"/>
  <c r="AK255" i="15"/>
  <c r="AK253" i="15"/>
  <c r="AK245" i="15"/>
  <c r="AK236" i="15"/>
  <c r="AK231" i="15"/>
  <c r="AK219" i="15"/>
  <c r="AK197" i="15"/>
  <c r="AK192" i="15"/>
  <c r="AK190" i="15"/>
  <c r="AK178" i="15"/>
  <c r="AK175" i="15"/>
  <c r="AK173" i="15"/>
  <c r="AK168" i="15"/>
  <c r="AK160" i="15"/>
  <c r="AK140" i="15"/>
  <c r="AK100" i="15"/>
  <c r="AK88" i="15"/>
  <c r="AK78" i="15"/>
  <c r="AK71" i="15"/>
  <c r="AK56" i="15"/>
  <c r="AK54" i="15"/>
  <c r="AK45" i="15"/>
  <c r="AK43" i="15"/>
  <c r="AK25" i="15"/>
  <c r="AK27" i="15"/>
  <c r="AK30" i="15"/>
  <c r="AK33" i="15"/>
  <c r="AK18" i="15"/>
  <c r="AK23" i="15"/>
  <c r="AK29" i="15"/>
  <c r="AK41" i="15"/>
  <c r="AK48" i="15"/>
  <c r="AK51" i="15"/>
  <c r="AK57" i="15"/>
  <c r="AK60" i="15"/>
  <c r="AK64" i="15"/>
  <c r="AK66" i="15"/>
  <c r="AK68" i="15"/>
  <c r="F8" i="15"/>
  <c r="AK379" i="15"/>
  <c r="AK351" i="15"/>
  <c r="AK339" i="15"/>
  <c r="AK330" i="15"/>
  <c r="AK328" i="15"/>
  <c r="AK315" i="15"/>
  <c r="AK313" i="15"/>
  <c r="AK305" i="15"/>
  <c r="AK297" i="15"/>
  <c r="AK280" i="15"/>
  <c r="AK278" i="15"/>
  <c r="AK262" i="15"/>
  <c r="AK260" i="15"/>
  <c r="AK258" i="15"/>
  <c r="AK239" i="15"/>
  <c r="AK233" i="15"/>
  <c r="AK214" i="15"/>
  <c r="AK211" i="15"/>
  <c r="AK209" i="15"/>
  <c r="AK204" i="15"/>
  <c r="AK194" i="15"/>
  <c r="AK181" i="15"/>
  <c r="AK156" i="15"/>
  <c r="AK154" i="15"/>
  <c r="AK92" i="15"/>
  <c r="AK89" i="15"/>
  <c r="AK63" i="15"/>
  <c r="AK40" i="15"/>
  <c r="AK380" i="15"/>
  <c r="AK17" i="15"/>
  <c r="AK375" i="15"/>
  <c r="AK371" i="15"/>
  <c r="AK360" i="15"/>
  <c r="AK353" i="15"/>
  <c r="AK348" i="15"/>
  <c r="AK333" i="15"/>
  <c r="AK325" i="15"/>
  <c r="AK320" i="15"/>
  <c r="AK309" i="15"/>
  <c r="AK307" i="15"/>
  <c r="AK292" i="15"/>
  <c r="AK282" i="15"/>
  <c r="AK273" i="15"/>
  <c r="AK271" i="15"/>
  <c r="AK254" i="15"/>
  <c r="AK246" i="15"/>
  <c r="AK241" i="15"/>
  <c r="AK235" i="15"/>
  <c r="AK220" i="15"/>
  <c r="AK218" i="15"/>
  <c r="AK195" i="15"/>
  <c r="AK191" i="15"/>
  <c r="AK183" i="15"/>
  <c r="AK177" i="15"/>
  <c r="AK174" i="15"/>
  <c r="AK169" i="15"/>
  <c r="AK167" i="15"/>
  <c r="AK159" i="15"/>
  <c r="AK117" i="15"/>
  <c r="AK99" i="15"/>
  <c r="AK86" i="15"/>
  <c r="AK77" i="15"/>
  <c r="AK70" i="15"/>
  <c r="AK55" i="15"/>
  <c r="AK53" i="15"/>
  <c r="AK44" i="15"/>
  <c r="AK20" i="15"/>
  <c r="AK26" i="15"/>
  <c r="AK28" i="15"/>
  <c r="AK31" i="15"/>
  <c r="AK34" i="15"/>
  <c r="AK19" i="15"/>
  <c r="AK24" i="15"/>
  <c r="AK36" i="15"/>
  <c r="AK46" i="15"/>
  <c r="AK50" i="15"/>
  <c r="AK52" i="15"/>
  <c r="AK59" i="15"/>
  <c r="AK61" i="15"/>
  <c r="AK65" i="15"/>
  <c r="AK67" i="15"/>
  <c r="AK72" i="15"/>
  <c r="AK73" i="15"/>
  <c r="AK80" i="15"/>
  <c r="AK82" i="15"/>
  <c r="AK84" i="15"/>
  <c r="AK87" i="15"/>
  <c r="AK94" i="15"/>
  <c r="AK96" i="15"/>
  <c r="AK98" i="15"/>
  <c r="AK107" i="15"/>
  <c r="AK110" i="15"/>
  <c r="AK113" i="15"/>
  <c r="AK116" i="15"/>
  <c r="AK121" i="15"/>
  <c r="AK123" i="15"/>
  <c r="AK130" i="15"/>
  <c r="AK134" i="15"/>
  <c r="AK138" i="15"/>
  <c r="AK141" i="15"/>
  <c r="AK143" i="15"/>
  <c r="AK145" i="15"/>
  <c r="AK150" i="15"/>
  <c r="AK153" i="15"/>
  <c r="AK158" i="15"/>
  <c r="AK164" i="15"/>
  <c r="AK376" i="15"/>
  <c r="AK373" i="15"/>
  <c r="AK369" i="15"/>
  <c r="AK366" i="15"/>
  <c r="AK361" i="15"/>
  <c r="AK357" i="15"/>
  <c r="AK354" i="15"/>
  <c r="AK350" i="15"/>
  <c r="AK346" i="15"/>
  <c r="AK343" i="15"/>
  <c r="AK341" i="15"/>
  <c r="AK338" i="15"/>
  <c r="AK334" i="15"/>
  <c r="AK327" i="15"/>
  <c r="AK321" i="15"/>
  <c r="AK317" i="15"/>
  <c r="AK311" i="15"/>
  <c r="AK304" i="15"/>
  <c r="AK302" i="15"/>
  <c r="AK300" i="15"/>
  <c r="AK296" i="15"/>
  <c r="AK294" i="15"/>
  <c r="AK289" i="15"/>
  <c r="AK283" i="15"/>
  <c r="AK277" i="15"/>
  <c r="AK275" i="15"/>
  <c r="AK269" i="15"/>
  <c r="AK267" i="15"/>
  <c r="AK265" i="15"/>
  <c r="AK256" i="15"/>
  <c r="AK249" i="15"/>
  <c r="AK247" i="15"/>
  <c r="AK242" i="15"/>
  <c r="AK237" i="15"/>
  <c r="AK232" i="15"/>
  <c r="AK229" i="15"/>
  <c r="AK224" i="15"/>
  <c r="AK216" i="15"/>
  <c r="AK207" i="15"/>
  <c r="AK205" i="15"/>
  <c r="AK203" i="15"/>
  <c r="AK200" i="15"/>
  <c r="AK198" i="15"/>
  <c r="AK196" i="15"/>
  <c r="AK188" i="15"/>
  <c r="AK186" i="15"/>
  <c r="AK185" i="15"/>
  <c r="AK182" i="15"/>
  <c r="AK179" i="15"/>
  <c r="AK170" i="15"/>
  <c r="AK165" i="15"/>
  <c r="AK161" i="15"/>
  <c r="AK148" i="15"/>
  <c r="AK136" i="15"/>
  <c r="AK132" i="15"/>
  <c r="AK128" i="15"/>
  <c r="AK127" i="15"/>
  <c r="AK109" i="15"/>
  <c r="AK103" i="15"/>
  <c r="AK93" i="15"/>
  <c r="AK74" i="15"/>
  <c r="AK79" i="15"/>
  <c r="AK81" i="15"/>
  <c r="AK83" i="15"/>
  <c r="AK85" i="15"/>
  <c r="AK91" i="15"/>
  <c r="AK95" i="15"/>
  <c r="AK97" i="15"/>
  <c r="AK105" i="15"/>
  <c r="AK108" i="15"/>
  <c r="AK111" i="15"/>
  <c r="AK114" i="15"/>
  <c r="AK118" i="15"/>
  <c r="AK122" i="15"/>
  <c r="AK124" i="15"/>
  <c r="AK133" i="15"/>
  <c r="AK137" i="15"/>
  <c r="AK139" i="15"/>
  <c r="AK142" i="15"/>
  <c r="AK144" i="15"/>
  <c r="AK146" i="15"/>
  <c r="AK152" i="15"/>
  <c r="AK157" i="15"/>
  <c r="AK163" i="15"/>
  <c r="AK377" i="15"/>
  <c r="AK374" i="15"/>
  <c r="AK370" i="15"/>
  <c r="AK367" i="15"/>
  <c r="AK365" i="15"/>
  <c r="AK359" i="15"/>
  <c r="AK355" i="15"/>
  <c r="AK352" i="15"/>
  <c r="AK347" i="15"/>
  <c r="AK345" i="15"/>
  <c r="AK342" i="15"/>
  <c r="AK340" i="15"/>
  <c r="AK336" i="15"/>
  <c r="AK332" i="15"/>
  <c r="AK323" i="15"/>
  <c r="AK319" i="15"/>
  <c r="AK316" i="15"/>
  <c r="AK306" i="15"/>
  <c r="AK303" i="15"/>
  <c r="AK301" i="15"/>
  <c r="AK299" i="15"/>
  <c r="AK295" i="15"/>
  <c r="AK291" i="15"/>
  <c r="AK287" i="15"/>
  <c r="AK281" i="15"/>
  <c r="AK276" i="15"/>
  <c r="AK270" i="15"/>
  <c r="AK268" i="15"/>
  <c r="AK266" i="15"/>
  <c r="AK264" i="15"/>
  <c r="AK252" i="15"/>
  <c r="AK248" i="15"/>
  <c r="AK244" i="15"/>
  <c r="AK240" i="15"/>
  <c r="AK234" i="15"/>
  <c r="AK230" i="15"/>
  <c r="AK228" i="15"/>
  <c r="AK223" i="15"/>
  <c r="AK215" i="15"/>
  <c r="AK212" i="15"/>
  <c r="AK206" i="15"/>
  <c r="AK202" i="15"/>
  <c r="AK201" i="15"/>
  <c r="AK189" i="15"/>
  <c r="AK187" i="15"/>
  <c r="AK184" i="15"/>
  <c r="AK180" i="15"/>
  <c r="AK176" i="15"/>
  <c r="AK172" i="15"/>
  <c r="AK162" i="15"/>
  <c r="AK151" i="15"/>
  <c r="AK149" i="15"/>
  <c r="AK147" i="15"/>
  <c r="AK131" i="15"/>
  <c r="AK129" i="15"/>
  <c r="AK126" i="15"/>
  <c r="AK115" i="15"/>
  <c r="AK112" i="15"/>
  <c r="AK104" i="15"/>
  <c r="AK102" i="15"/>
  <c r="AK101" i="15"/>
  <c r="AK75" i="15"/>
  <c r="AK58" i="15"/>
  <c r="AK47" i="15"/>
  <c r="AK39" i="15"/>
  <c r="AK37" i="15"/>
  <c r="AK35" i="15"/>
  <c r="AK32" i="15"/>
  <c r="AK21" i="15"/>
  <c r="AK69" i="15"/>
  <c r="AK49" i="15"/>
  <c r="AK38" i="15"/>
  <c r="AK22" i="15"/>
  <c r="O9" i="16"/>
  <c r="T11" i="7"/>
  <c r="P11" i="16"/>
  <c r="O11" i="7"/>
  <c r="Q11" i="16" s="1"/>
  <c r="N15" i="7"/>
  <c r="O12" i="17"/>
  <c r="Y39" i="6"/>
  <c r="Y38" i="6" s="1"/>
  <c r="Y40" i="6" s="1"/>
  <c r="M39" i="6"/>
  <c r="M38" i="6" s="1"/>
  <c r="J211" i="6"/>
  <c r="N54" i="6"/>
  <c r="N53" i="6" s="1"/>
  <c r="N55" i="6" s="1"/>
  <c r="AY18" i="6" s="1"/>
  <c r="P39" i="6"/>
  <c r="P38" i="6" s="1"/>
  <c r="P40" i="6" s="1"/>
  <c r="J205" i="6"/>
  <c r="J212" i="6"/>
  <c r="AL5" i="15"/>
  <c r="J210" i="6"/>
  <c r="J216" i="6"/>
  <c r="J209" i="6"/>
  <c r="J206" i="6"/>
  <c r="J215" i="6"/>
  <c r="J217" i="6"/>
  <c r="J208" i="6"/>
  <c r="J214" i="6"/>
  <c r="J213" i="6"/>
  <c r="J204" i="6"/>
  <c r="O54" i="6"/>
  <c r="O53" i="6" s="1"/>
  <c r="X39" i="6"/>
  <c r="X38" i="6" s="1"/>
  <c r="U39" i="6"/>
  <c r="U38" i="6" s="1"/>
  <c r="U40" i="6" s="1"/>
  <c r="L35" i="19"/>
  <c r="AJ6" i="17"/>
  <c r="AL7" i="15"/>
  <c r="AL11" i="15" s="1"/>
  <c r="AJ380" i="18"/>
  <c r="AJ20" i="18"/>
  <c r="AJ34" i="18"/>
  <c r="AJ24" i="18"/>
  <c r="AJ48" i="18"/>
  <c r="AJ70" i="18"/>
  <c r="AJ81" i="18"/>
  <c r="AJ45" i="18"/>
  <c r="AJ84" i="18"/>
  <c r="AJ121" i="18"/>
  <c r="AJ149" i="18"/>
  <c r="AJ160" i="18"/>
  <c r="AJ178" i="18"/>
  <c r="AJ30" i="18"/>
  <c r="AJ91" i="18"/>
  <c r="AJ108" i="18"/>
  <c r="AJ124" i="18"/>
  <c r="AJ136" i="18"/>
  <c r="AJ169" i="18"/>
  <c r="AJ191" i="18"/>
  <c r="AJ204" i="18"/>
  <c r="Z13" i="7"/>
  <c r="AJ28" i="18"/>
  <c r="AJ42" i="18"/>
  <c r="AJ39" i="18"/>
  <c r="AJ61" i="18"/>
  <c r="AJ77" i="18"/>
  <c r="AJ87" i="18"/>
  <c r="AJ60" i="18"/>
  <c r="AJ105" i="18"/>
  <c r="AJ142" i="18"/>
  <c r="AJ154" i="18"/>
  <c r="AJ170" i="18"/>
  <c r="AJ182" i="18"/>
  <c r="AJ63" i="18"/>
  <c r="AJ102" i="18"/>
  <c r="AJ116" i="18"/>
  <c r="AJ131" i="18"/>
  <c r="AJ146" i="18"/>
  <c r="AJ184" i="18"/>
  <c r="AJ197" i="18"/>
  <c r="AI318" i="1"/>
  <c r="AI142" i="1"/>
  <c r="U208" i="1"/>
  <c r="U299" i="1"/>
  <c r="U63" i="1"/>
  <c r="U132" i="1"/>
  <c r="U161" i="1"/>
  <c r="U176" i="1"/>
  <c r="U188" i="1"/>
  <c r="U206" i="1"/>
  <c r="U221" i="1"/>
  <c r="AI202" i="1"/>
  <c r="AI56" i="1"/>
  <c r="U201" i="1"/>
  <c r="U292" i="1"/>
  <c r="U58" i="1"/>
  <c r="U130" i="1"/>
  <c r="U159" i="1"/>
  <c r="U185" i="1"/>
  <c r="U216" i="1"/>
  <c r="U244" i="1"/>
  <c r="U264" i="1"/>
  <c r="U276" i="1"/>
  <c r="U297" i="1"/>
  <c r="U308" i="1"/>
  <c r="U331" i="1"/>
  <c r="U348" i="1"/>
  <c r="U366" i="1"/>
  <c r="AI221" i="1"/>
  <c r="AI355" i="1"/>
  <c r="AI347" i="1"/>
  <c r="AI328" i="1"/>
  <c r="U217" i="1"/>
  <c r="U72" i="1"/>
  <c r="U162" i="1"/>
  <c r="U220" i="1"/>
  <c r="U267" i="1"/>
  <c r="U298" i="1"/>
  <c r="U332" i="1"/>
  <c r="U367" i="1"/>
  <c r="AI340" i="1"/>
  <c r="AI213" i="1"/>
  <c r="AI80" i="1"/>
  <c r="U337" i="1"/>
  <c r="U356" i="1"/>
  <c r="U371" i="1"/>
  <c r="AI128" i="1"/>
  <c r="AI214" i="1"/>
  <c r="AI362" i="1"/>
  <c r="AI113" i="1"/>
  <c r="AI63" i="1"/>
  <c r="AI27" i="1"/>
  <c r="AI157" i="1"/>
  <c r="U248" i="1"/>
  <c r="U88" i="1"/>
  <c r="U170" i="1"/>
  <c r="U228" i="1"/>
  <c r="U270" i="1"/>
  <c r="U301" i="1"/>
  <c r="U334" i="1"/>
  <c r="U378" i="1"/>
  <c r="AI284" i="1"/>
  <c r="AI83" i="1"/>
  <c r="AI238" i="1"/>
  <c r="U342" i="1"/>
  <c r="U358" i="1"/>
  <c r="U372" i="1"/>
  <c r="AI65" i="1"/>
  <c r="AI344" i="1"/>
  <c r="AI127" i="1"/>
  <c r="AI290" i="1"/>
  <c r="AI69" i="1"/>
  <c r="AI368" i="1"/>
  <c r="AI354" i="1"/>
  <c r="AI129" i="1"/>
  <c r="AI93" i="1"/>
  <c r="U135" i="1"/>
  <c r="U266" i="1"/>
  <c r="U336" i="1"/>
  <c r="U102" i="1"/>
  <c r="U143" i="1"/>
  <c r="U172" i="1"/>
  <c r="U182" i="1"/>
  <c r="U195" i="1"/>
  <c r="U215" i="1"/>
  <c r="U231" i="1"/>
  <c r="AI39" i="1"/>
  <c r="U126" i="1"/>
  <c r="U259" i="1"/>
  <c r="U329" i="1"/>
  <c r="U98" i="1"/>
  <c r="U142" i="1"/>
  <c r="U173" i="1"/>
  <c r="U199" i="1"/>
  <c r="U232" i="1"/>
  <c r="U254" i="1"/>
  <c r="U271" i="1"/>
  <c r="U290" i="1"/>
  <c r="U302" i="1"/>
  <c r="U317" i="1"/>
  <c r="U339" i="1"/>
  <c r="U357" i="1"/>
  <c r="U379" i="1"/>
  <c r="BR16" i="7" s="1"/>
  <c r="AI367" i="1"/>
  <c r="AI332" i="1"/>
  <c r="AI239" i="1"/>
  <c r="U44" i="1"/>
  <c r="U307" i="1"/>
  <c r="U133" i="1"/>
  <c r="U187" i="1"/>
  <c r="U246" i="1"/>
  <c r="U277" i="1"/>
  <c r="U309" i="1"/>
  <c r="U349" i="1"/>
  <c r="AI176" i="1"/>
  <c r="AI95" i="1"/>
  <c r="AI335" i="1"/>
  <c r="AI299" i="1"/>
  <c r="U351" i="1"/>
  <c r="U362" i="1"/>
  <c r="U375" i="1"/>
  <c r="AI233" i="1"/>
  <c r="AI163" i="1"/>
  <c r="AI34" i="1"/>
  <c r="AI201" i="1"/>
  <c r="AI97" i="1"/>
  <c r="AI16" i="1"/>
  <c r="AI297" i="1"/>
  <c r="U114" i="1"/>
  <c r="U322" i="1"/>
  <c r="U140" i="1"/>
  <c r="U193" i="1"/>
  <c r="U253" i="1"/>
  <c r="U286" i="1"/>
  <c r="U316" i="1"/>
  <c r="U354" i="1"/>
  <c r="AI51" i="1"/>
  <c r="AI338" i="1"/>
  <c r="AI183" i="1"/>
  <c r="U324" i="1"/>
  <c r="U352" i="1"/>
  <c r="U365" i="1"/>
  <c r="U376" i="1"/>
  <c r="AI195" i="1"/>
  <c r="AI229" i="1"/>
  <c r="AI268" i="1"/>
  <c r="AI114" i="1"/>
  <c r="AI357" i="1"/>
  <c r="AI223" i="1"/>
  <c r="AI180" i="1"/>
  <c r="AJ5" i="15"/>
  <c r="AJ8" i="17"/>
  <c r="J254" i="6"/>
  <c r="E7" i="18"/>
  <c r="X54" i="6"/>
  <c r="X53" i="6" s="1"/>
  <c r="X55" i="6" s="1"/>
  <c r="AJ9" i="15"/>
  <c r="AJ5" i="17"/>
  <c r="AJ7" i="15"/>
  <c r="AJ11" i="15" s="1"/>
  <c r="AJ6" i="15"/>
  <c r="AL9" i="15"/>
  <c r="O12" i="15"/>
  <c r="AC12" i="15"/>
  <c r="AC9" i="15"/>
  <c r="O11" i="15"/>
  <c r="AJ15" i="20"/>
  <c r="AJ18" i="20"/>
  <c r="AJ24" i="20"/>
  <c r="AJ31" i="20"/>
  <c r="AJ37" i="20"/>
  <c r="AJ19" i="20"/>
  <c r="AJ40" i="20"/>
  <c r="AJ50" i="20"/>
  <c r="AJ61" i="20"/>
  <c r="AJ67" i="20"/>
  <c r="AJ80" i="20"/>
  <c r="AJ34" i="20"/>
  <c r="AJ54" i="20"/>
  <c r="AJ69" i="20"/>
  <c r="AJ78" i="20"/>
  <c r="AJ87" i="20"/>
  <c r="AJ95" i="20"/>
  <c r="AJ105" i="20"/>
  <c r="AJ110" i="20"/>
  <c r="AJ117" i="20"/>
  <c r="AJ125" i="20"/>
  <c r="AJ133" i="20"/>
  <c r="AJ139" i="20"/>
  <c r="AJ146" i="20"/>
  <c r="AJ152" i="20"/>
  <c r="AJ159" i="20"/>
  <c r="AJ167" i="20"/>
  <c r="AJ180" i="20"/>
  <c r="AJ27" i="20"/>
  <c r="AJ66" i="20"/>
  <c r="AJ84" i="20"/>
  <c r="AJ102" i="20"/>
  <c r="AJ121" i="20"/>
  <c r="AJ136" i="20"/>
  <c r="AJ149" i="20"/>
  <c r="AJ170" i="20"/>
  <c r="AJ186" i="20"/>
  <c r="AJ192" i="20"/>
  <c r="AJ200" i="20"/>
  <c r="AJ208" i="20"/>
  <c r="AJ215" i="20"/>
  <c r="AJ222" i="20"/>
  <c r="AJ231" i="20"/>
  <c r="AJ241" i="20"/>
  <c r="AJ251" i="20"/>
  <c r="AJ266" i="20"/>
  <c r="AJ275" i="20"/>
  <c r="AJ280" i="20"/>
  <c r="AJ291" i="20"/>
  <c r="AJ303" i="20"/>
  <c r="AJ310" i="20"/>
  <c r="AJ315" i="20"/>
  <c r="AJ330" i="20"/>
  <c r="AJ336" i="20"/>
  <c r="AJ342" i="20"/>
  <c r="AJ353" i="20"/>
  <c r="AJ361" i="20"/>
  <c r="AJ86" i="20"/>
  <c r="AJ41" i="20"/>
  <c r="AJ100" i="20"/>
  <c r="AJ138" i="20"/>
  <c r="AJ190" i="20"/>
  <c r="AJ203" i="20"/>
  <c r="AJ214" i="20"/>
  <c r="AJ163" i="20"/>
  <c r="AJ176" i="20"/>
  <c r="AJ196" i="20"/>
  <c r="AJ219" i="20"/>
  <c r="AJ233" i="20"/>
  <c r="AJ243" i="20"/>
  <c r="AJ259" i="20"/>
  <c r="AJ272" i="20"/>
  <c r="AJ292" i="20"/>
  <c r="AJ306" i="20"/>
  <c r="AJ325" i="20"/>
  <c r="AJ335" i="20"/>
  <c r="AJ224" i="20"/>
  <c r="AJ242" i="20"/>
  <c r="AJ253" i="20"/>
  <c r="AJ262" i="20"/>
  <c r="AJ279" i="20"/>
  <c r="AJ287" i="20"/>
  <c r="AJ298" i="20"/>
  <c r="AJ305" i="20"/>
  <c r="AJ313" i="20"/>
  <c r="AJ319" i="20"/>
  <c r="AJ324" i="20"/>
  <c r="AJ346" i="20"/>
  <c r="AJ355" i="20"/>
  <c r="AJ359" i="20"/>
  <c r="AJ364" i="20"/>
  <c r="AJ372" i="20"/>
  <c r="AJ343" i="20"/>
  <c r="AJ348" i="20"/>
  <c r="AJ351" i="20"/>
  <c r="AJ365" i="20"/>
  <c r="AJ367" i="20"/>
  <c r="AJ370" i="20"/>
  <c r="AJ373" i="20"/>
  <c r="AJ375" i="20"/>
  <c r="AJ378" i="20"/>
  <c r="AJ380" i="20"/>
  <c r="AJ21" i="20"/>
  <c r="AJ33" i="20"/>
  <c r="AJ25" i="20"/>
  <c r="AJ56" i="20"/>
  <c r="AJ76" i="20"/>
  <c r="AJ49" i="20"/>
  <c r="AJ73" i="20"/>
  <c r="AJ91" i="20"/>
  <c r="AJ108" i="20"/>
  <c r="AJ122" i="20"/>
  <c r="AJ135" i="20"/>
  <c r="AJ148" i="20"/>
  <c r="AJ165" i="20"/>
  <c r="AJ184" i="20"/>
  <c r="AJ70" i="20"/>
  <c r="AJ114" i="20"/>
  <c r="AJ141" i="20"/>
  <c r="AJ178" i="20"/>
  <c r="AJ195" i="20"/>
  <c r="AJ211" i="20"/>
  <c r="AJ227" i="20"/>
  <c r="AJ245" i="20"/>
  <c r="AJ269" i="20"/>
  <c r="AJ286" i="20"/>
  <c r="AJ308" i="20"/>
  <c r="AJ323" i="20"/>
  <c r="AJ338" i="20"/>
  <c r="AJ358" i="20"/>
  <c r="AJ118" i="20"/>
  <c r="AJ107" i="20"/>
  <c r="AJ201" i="20"/>
  <c r="AJ154" i="20"/>
  <c r="AJ179" i="20"/>
  <c r="AJ228" i="20"/>
  <c r="AJ255" i="20"/>
  <c r="AJ285" i="20"/>
  <c r="AJ320" i="20"/>
  <c r="AJ341" i="20"/>
  <c r="AJ249" i="20"/>
  <c r="AJ267" i="20"/>
  <c r="AJ293" i="20"/>
  <c r="AJ307" i="20"/>
  <c r="AJ322" i="20"/>
  <c r="AJ349" i="20"/>
  <c r="AJ362" i="20"/>
  <c r="AJ376" i="20"/>
  <c r="AJ350" i="20"/>
  <c r="AJ366" i="20"/>
  <c r="AJ371" i="20"/>
  <c r="AJ377" i="20"/>
  <c r="AJ28" i="20"/>
  <c r="AJ45" i="20"/>
  <c r="AJ88" i="20"/>
  <c r="AJ82" i="20"/>
  <c r="AJ113" i="20"/>
  <c r="AJ144" i="20"/>
  <c r="AJ171" i="20"/>
  <c r="AJ93" i="20"/>
  <c r="AJ156" i="20"/>
  <c r="AJ205" i="20"/>
  <c r="AJ239" i="20"/>
  <c r="AJ277" i="20"/>
  <c r="AJ312" i="20"/>
  <c r="AJ347" i="20"/>
  <c r="AJ94" i="20"/>
  <c r="AJ210" i="20"/>
  <c r="AJ198" i="20"/>
  <c r="AJ263" i="20"/>
  <c r="AJ328" i="20"/>
  <c r="AJ257" i="20"/>
  <c r="AJ302" i="20"/>
  <c r="AJ329" i="20"/>
  <c r="AJ368" i="20"/>
  <c r="AJ356" i="20"/>
  <c r="AJ374" i="20"/>
  <c r="AF13" i="7"/>
  <c r="AJ39" i="20"/>
  <c r="AJ63" i="20"/>
  <c r="AJ59" i="20"/>
  <c r="AJ99" i="20"/>
  <c r="AJ131" i="20"/>
  <c r="AJ155" i="20"/>
  <c r="AJ47" i="20"/>
  <c r="AJ128" i="20"/>
  <c r="AJ188" i="20"/>
  <c r="AJ218" i="20"/>
  <c r="AJ256" i="20"/>
  <c r="AJ300" i="20"/>
  <c r="AJ332" i="20"/>
  <c r="AJ52" i="20"/>
  <c r="AJ175" i="20"/>
  <c r="AJ169" i="20"/>
  <c r="AJ236" i="20"/>
  <c r="AJ297" i="20"/>
  <c r="AJ232" i="20"/>
  <c r="AJ282" i="20"/>
  <c r="AJ316" i="20"/>
  <c r="AJ357" i="20"/>
  <c r="AJ344" i="20"/>
  <c r="AJ369" i="20"/>
  <c r="AJ379" i="20"/>
  <c r="F7" i="20"/>
  <c r="AJ17" i="20"/>
  <c r="AJ23" i="20"/>
  <c r="AJ30" i="20"/>
  <c r="AJ35" i="20"/>
  <c r="AJ42" i="20"/>
  <c r="AJ36" i="20"/>
  <c r="AJ48" i="20"/>
  <c r="AJ60" i="20"/>
  <c r="AJ65" i="20"/>
  <c r="AJ77" i="20"/>
  <c r="AJ29" i="20"/>
  <c r="AJ51" i="20"/>
  <c r="AJ64" i="20"/>
  <c r="AJ75" i="20"/>
  <c r="AJ83" i="20"/>
  <c r="AJ92" i="20"/>
  <c r="AJ101" i="20"/>
  <c r="AJ109" i="20"/>
  <c r="AJ115" i="20"/>
  <c r="AJ124" i="20"/>
  <c r="AJ132" i="20"/>
  <c r="AJ137" i="20"/>
  <c r="AJ145" i="20"/>
  <c r="AJ151" i="20"/>
  <c r="AJ158" i="20"/>
  <c r="AJ166" i="20"/>
  <c r="AJ174" i="20"/>
  <c r="AJ185" i="20"/>
  <c r="AJ57" i="20"/>
  <c r="AJ72" i="20"/>
  <c r="AJ97" i="20"/>
  <c r="AJ116" i="20"/>
  <c r="AJ129" i="20"/>
  <c r="AJ142" i="20"/>
  <c r="AJ161" i="20"/>
  <c r="AJ183" i="20"/>
  <c r="AJ189" i="20"/>
  <c r="AJ199" i="20"/>
  <c r="AJ206" i="20"/>
  <c r="AJ213" i="20"/>
  <c r="AJ221" i="20"/>
  <c r="AJ229" i="20"/>
  <c r="AJ240" i="20"/>
  <c r="AJ248" i="20"/>
  <c r="AJ265" i="20"/>
  <c r="AJ274" i="20"/>
  <c r="AJ278" i="20"/>
  <c r="AJ289" i="20"/>
  <c r="AJ301" i="20"/>
  <c r="AJ309" i="20"/>
  <c r="AJ314" i="20"/>
  <c r="AJ327" i="20"/>
  <c r="AJ333" i="20"/>
  <c r="AJ339" i="20"/>
  <c r="AJ352" i="20"/>
  <c r="AJ360" i="20"/>
  <c r="AJ58" i="20"/>
  <c r="AJ119" i="20"/>
  <c r="AJ98" i="20"/>
  <c r="AJ123" i="20"/>
  <c r="AJ182" i="20"/>
  <c r="AJ202" i="20"/>
  <c r="AJ212" i="20"/>
  <c r="AJ157" i="20"/>
  <c r="AJ172" i="20"/>
  <c r="AJ191" i="20"/>
  <c r="AJ217" i="20"/>
  <c r="AJ230" i="20"/>
  <c r="AJ237" i="20"/>
  <c r="AJ258" i="20"/>
  <c r="AJ271" i="20"/>
  <c r="AJ290" i="20"/>
  <c r="AJ299" i="20"/>
  <c r="AJ321" i="20"/>
  <c r="AJ334" i="20"/>
  <c r="AJ223" i="20"/>
  <c r="AJ238" i="20"/>
  <c r="AJ250" i="20"/>
  <c r="AJ260" i="20"/>
  <c r="AJ270" i="20"/>
  <c r="AJ283" i="20"/>
  <c r="AJ294" i="20"/>
  <c r="AJ16" i="20"/>
  <c r="AJ20" i="20"/>
  <c r="AJ26" i="20"/>
  <c r="AJ32" i="20"/>
  <c r="AJ38" i="20"/>
  <c r="AJ22" i="20"/>
  <c r="AJ44" i="20"/>
  <c r="AJ53" i="20"/>
  <c r="AJ62" i="20"/>
  <c r="AJ74" i="20"/>
  <c r="AJ81" i="20"/>
  <c r="AJ46" i="20"/>
  <c r="AJ55" i="20"/>
  <c r="AJ71" i="20"/>
  <c r="AJ79" i="20"/>
  <c r="AJ89" i="20"/>
  <c r="AJ96" i="20"/>
  <c r="AJ106" i="20"/>
  <c r="AJ111" i="20"/>
  <c r="AJ120" i="20"/>
  <c r="AJ130" i="20"/>
  <c r="AJ134" i="20"/>
  <c r="AJ143" i="20"/>
  <c r="AJ147" i="20"/>
  <c r="AJ153" i="20"/>
  <c r="AJ160" i="20"/>
  <c r="AJ168" i="20"/>
  <c r="AJ181" i="20"/>
  <c r="AJ43" i="20"/>
  <c r="AJ68" i="20"/>
  <c r="AJ90" i="20"/>
  <c r="AJ103" i="20"/>
  <c r="AJ126" i="20"/>
  <c r="AJ140" i="20"/>
  <c r="AJ150" i="20"/>
  <c r="AJ173" i="20"/>
  <c r="AJ187" i="20"/>
  <c r="AJ193" i="20"/>
  <c r="AJ204" i="20"/>
  <c r="AJ209" i="20"/>
  <c r="AJ216" i="20"/>
  <c r="AJ226" i="20"/>
  <c r="AJ234" i="20"/>
  <c r="AJ244" i="20"/>
  <c r="AJ252" i="20"/>
  <c r="AJ268" i="20"/>
  <c r="AJ276" i="20"/>
  <c r="AJ284" i="20"/>
  <c r="AJ295" i="20"/>
  <c r="AJ304" i="20"/>
  <c r="AJ311" i="20"/>
  <c r="AJ317" i="20"/>
  <c r="AJ331" i="20"/>
  <c r="AJ337" i="20"/>
  <c r="AJ345" i="20"/>
  <c r="AJ354" i="20"/>
  <c r="AJ363" i="20"/>
  <c r="AJ112" i="20"/>
  <c r="AJ85" i="20"/>
  <c r="AJ104" i="20"/>
  <c r="AJ162" i="20"/>
  <c r="AJ194" i="20"/>
  <c r="AJ207" i="20"/>
  <c r="AJ127" i="20"/>
  <c r="AJ164" i="20"/>
  <c r="AJ177" i="20"/>
  <c r="AJ197" i="20"/>
  <c r="AJ220" i="20"/>
  <c r="AJ235" i="20"/>
  <c r="AJ247" i="20"/>
  <c r="AJ261" i="20"/>
  <c r="AJ273" i="20"/>
  <c r="AJ296" i="20"/>
  <c r="AJ318" i="20"/>
  <c r="AJ326" i="20"/>
  <c r="AJ340" i="20"/>
  <c r="AJ225" i="20"/>
  <c r="AJ246" i="20"/>
  <c r="AJ254" i="20"/>
  <c r="AJ264" i="20"/>
  <c r="AJ281" i="20"/>
  <c r="AJ288" i="20"/>
  <c r="AI143" i="1"/>
  <c r="AI289" i="1"/>
  <c r="AI33" i="1"/>
  <c r="AI296" i="1"/>
  <c r="AI17" i="1"/>
  <c r="AI235" i="1"/>
  <c r="U18" i="1"/>
  <c r="AI59" i="1"/>
  <c r="AI102" i="1"/>
  <c r="AI145" i="1"/>
  <c r="AI31" i="1"/>
  <c r="AI62" i="1"/>
  <c r="AI26" i="1"/>
  <c r="AI301" i="1"/>
  <c r="BW16" i="7"/>
  <c r="U374" i="1"/>
  <c r="U370" i="1"/>
  <c r="U361" i="1"/>
  <c r="U355" i="1"/>
  <c r="U346" i="1"/>
  <c r="U335" i="1"/>
  <c r="AI276" i="1"/>
  <c r="AI75" i="1"/>
  <c r="AI219" i="1"/>
  <c r="AI264" i="1"/>
  <c r="AI120" i="1"/>
  <c r="AI198" i="1"/>
  <c r="AI246" i="1"/>
  <c r="U364" i="1"/>
  <c r="U347" i="1"/>
  <c r="U328" i="1"/>
  <c r="U305" i="1"/>
  <c r="U295" i="1"/>
  <c r="U275" i="1"/>
  <c r="U263" i="1"/>
  <c r="U243" i="1"/>
  <c r="U214" i="1"/>
  <c r="U181" i="1"/>
  <c r="U154" i="1"/>
  <c r="U127" i="1"/>
  <c r="U47" i="1"/>
  <c r="U287" i="1"/>
  <c r="U184" i="1"/>
  <c r="AI351" i="1"/>
  <c r="AI160" i="1"/>
  <c r="AI317" i="1"/>
  <c r="AI186" i="1"/>
  <c r="AI330" i="1"/>
  <c r="AI294" i="1"/>
  <c r="AI181" i="1"/>
  <c r="AI364" i="1"/>
  <c r="AI38" i="1"/>
  <c r="AI182" i="1"/>
  <c r="AI123" i="1"/>
  <c r="AI37" i="1"/>
  <c r="AI348" i="1"/>
  <c r="AI178" i="1"/>
  <c r="AI43" i="1"/>
  <c r="U377" i="1"/>
  <c r="U373" i="1"/>
  <c r="U369" i="1"/>
  <c r="U360" i="1"/>
  <c r="U353" i="1"/>
  <c r="U343" i="1"/>
  <c r="U325" i="1"/>
  <c r="AI131" i="1"/>
  <c r="AI310" i="1"/>
  <c r="AI313" i="1"/>
  <c r="AI370" i="1"/>
  <c r="AI240" i="1"/>
  <c r="AI273" i="1"/>
  <c r="C16" i="7"/>
  <c r="U359" i="1"/>
  <c r="U344" i="1"/>
  <c r="U319" i="1"/>
  <c r="U303" i="1"/>
  <c r="U293" i="1"/>
  <c r="U272" i="1"/>
  <c r="U255" i="1"/>
  <c r="U239" i="1"/>
  <c r="U204" i="1"/>
  <c r="U175" i="1"/>
  <c r="U146" i="1"/>
  <c r="U105" i="1"/>
  <c r="U340" i="1"/>
  <c r="U274" i="1"/>
  <c r="U150" i="1"/>
  <c r="AI236" i="1"/>
  <c r="AI194" i="1"/>
  <c r="AI52" i="1"/>
  <c r="AI60" i="1"/>
  <c r="AI35" i="1"/>
  <c r="AI312" i="1"/>
  <c r="AI378" i="1"/>
  <c r="U17" i="1"/>
  <c r="U368" i="1"/>
  <c r="U363" i="1"/>
  <c r="U350" i="1"/>
  <c r="U345" i="1"/>
  <c r="U333" i="1"/>
  <c r="U321" i="1"/>
  <c r="U310" i="1"/>
  <c r="U304" i="1"/>
  <c r="U300" i="1"/>
  <c r="U294" i="1"/>
  <c r="U284" i="1"/>
  <c r="U273" i="1"/>
  <c r="U268" i="1"/>
  <c r="U260" i="1"/>
  <c r="U247" i="1"/>
  <c r="U241" i="1"/>
  <c r="U223" i="1"/>
  <c r="U210" i="1"/>
  <c r="U190" i="1"/>
  <c r="U177" i="1"/>
  <c r="U167" i="1"/>
  <c r="U148" i="1"/>
  <c r="U138" i="1"/>
  <c r="U117" i="1"/>
  <c r="U80" i="1"/>
  <c r="U33" i="1"/>
  <c r="U314" i="1"/>
  <c r="U281" i="1"/>
  <c r="U233" i="1"/>
  <c r="U163" i="1"/>
  <c r="U101" i="1"/>
  <c r="U20" i="1"/>
  <c r="AI333" i="1"/>
  <c r="U235" i="1"/>
  <c r="U227" i="1"/>
  <c r="U218" i="1"/>
  <c r="U212" i="1"/>
  <c r="U202" i="1"/>
  <c r="U192" i="1"/>
  <c r="U186" i="1"/>
  <c r="U179" i="1"/>
  <c r="U174" i="1"/>
  <c r="U168" i="1"/>
  <c r="U149" i="1"/>
  <c r="U139" i="1"/>
  <c r="U123" i="1"/>
  <c r="U83" i="1"/>
  <c r="U38" i="1"/>
  <c r="U318" i="1"/>
  <c r="U283" i="1"/>
  <c r="U238" i="1"/>
  <c r="U171" i="1"/>
  <c r="U108" i="1"/>
  <c r="AI166" i="1"/>
  <c r="AI363" i="1"/>
  <c r="AC9" i="18"/>
  <c r="O9" i="22"/>
  <c r="E383" i="1"/>
  <c r="J249" i="6"/>
  <c r="J257" i="6"/>
  <c r="J259" i="6"/>
  <c r="J246" i="6"/>
  <c r="J255" i="6"/>
  <c r="J253" i="6"/>
  <c r="J247" i="6"/>
  <c r="J53" i="6"/>
  <c r="J56" i="6"/>
  <c r="J60" i="6"/>
  <c r="J62" i="6"/>
  <c r="J50" i="6"/>
  <c r="J57" i="6"/>
  <c r="J63" i="6"/>
  <c r="J55" i="6"/>
  <c r="AC10" i="15"/>
  <c r="O10" i="15"/>
  <c r="Z50" i="6"/>
  <c r="Z54" i="6" s="1"/>
  <c r="Z53" i="6" s="1"/>
  <c r="AA48" i="6"/>
  <c r="J52" i="6"/>
  <c r="J54" i="6"/>
  <c r="J61" i="6"/>
  <c r="J51" i="6"/>
  <c r="J58" i="6"/>
  <c r="J59" i="6"/>
  <c r="V54" i="6"/>
  <c r="V53" i="6" s="1"/>
  <c r="V55" i="6" s="1"/>
  <c r="E381" i="1"/>
  <c r="AK8" i="1"/>
  <c r="E16" i="7"/>
  <c r="BY16" i="7"/>
  <c r="BS16" i="7"/>
  <c r="BM16" i="7"/>
  <c r="U15" i="1"/>
  <c r="U249" i="1"/>
  <c r="U256" i="1"/>
  <c r="U261" i="1"/>
  <c r="AI47" i="1"/>
  <c r="U118" i="1"/>
  <c r="U109" i="1"/>
  <c r="U99" i="1"/>
  <c r="U89" i="1"/>
  <c r="U81" i="1"/>
  <c r="U75" i="1"/>
  <c r="U59" i="1"/>
  <c r="U48" i="1"/>
  <c r="U34" i="1"/>
  <c r="U341" i="1"/>
  <c r="U330" i="1"/>
  <c r="U323" i="1"/>
  <c r="U315" i="1"/>
  <c r="U311" i="1"/>
  <c r="U296" i="1"/>
  <c r="U288" i="1"/>
  <c r="U282" i="1"/>
  <c r="U278" i="1"/>
  <c r="U262" i="1"/>
  <c r="U250" i="1"/>
  <c r="U236" i="1"/>
  <c r="U222" i="1"/>
  <c r="U205" i="1"/>
  <c r="U191" i="1"/>
  <c r="U166" i="1"/>
  <c r="U152" i="1"/>
  <c r="U131" i="1"/>
  <c r="U119" i="1"/>
  <c r="U106" i="1"/>
  <c r="U67" i="1"/>
  <c r="AI277" i="1"/>
  <c r="AI149" i="1"/>
  <c r="U51" i="1"/>
  <c r="AI334" i="1"/>
  <c r="AI308" i="1"/>
  <c r="AI304" i="1"/>
  <c r="AI274" i="1"/>
  <c r="AI224" i="1"/>
  <c r="AI374" i="1"/>
  <c r="U39" i="1"/>
  <c r="U32" i="1"/>
  <c r="U338" i="1"/>
  <c r="U327" i="1"/>
  <c r="U320" i="1"/>
  <c r="U313" i="1"/>
  <c r="U306" i="1"/>
  <c r="U291" i="1"/>
  <c r="U285" i="1"/>
  <c r="U280" i="1"/>
  <c r="U269" i="1"/>
  <c r="U257" i="1"/>
  <c r="U242" i="1"/>
  <c r="U229" i="1"/>
  <c r="U211" i="1"/>
  <c r="U198" i="1"/>
  <c r="U180" i="1"/>
  <c r="U158" i="1"/>
  <c r="U144" i="1"/>
  <c r="U124" i="1"/>
  <c r="U111" i="1"/>
  <c r="U95" i="1"/>
  <c r="U25" i="1"/>
  <c r="AI260" i="1"/>
  <c r="AI46" i="1"/>
  <c r="AI155" i="1"/>
  <c r="AI346" i="1"/>
  <c r="AI252" i="1"/>
  <c r="AI253" i="1"/>
  <c r="AI122" i="1"/>
  <c r="AI254" i="1"/>
  <c r="AI94" i="1"/>
  <c r="U237" i="1"/>
  <c r="U230" i="1"/>
  <c r="U224" i="1"/>
  <c r="U213" i="1"/>
  <c r="U207" i="1"/>
  <c r="U200" i="1"/>
  <c r="U194" i="1"/>
  <c r="U183" i="1"/>
  <c r="U169" i="1"/>
  <c r="U160" i="1"/>
  <c r="U153" i="1"/>
  <c r="U145" i="1"/>
  <c r="U134" i="1"/>
  <c r="U125" i="1"/>
  <c r="U120" i="1"/>
  <c r="U113" i="1"/>
  <c r="U107" i="1"/>
  <c r="U100" i="1"/>
  <c r="U71" i="1"/>
  <c r="U36" i="1"/>
  <c r="AI15" i="1"/>
  <c r="AI137" i="1"/>
  <c r="AI256" i="1"/>
  <c r="AI247" i="1"/>
  <c r="U62" i="1"/>
  <c r="AI85" i="1"/>
  <c r="AI162" i="1"/>
  <c r="AI179" i="1"/>
  <c r="AI151" i="1"/>
  <c r="AI133" i="1"/>
  <c r="AI50" i="1"/>
  <c r="AI188" i="1"/>
  <c r="AI132" i="1"/>
  <c r="AI152" i="1"/>
  <c r="AI325" i="1"/>
  <c r="AI173" i="1"/>
  <c r="AI293" i="1"/>
  <c r="AI298" i="1"/>
  <c r="AI250" i="1"/>
  <c r="AI358" i="1"/>
  <c r="AI105" i="1"/>
  <c r="AI111" i="1"/>
  <c r="AI21" i="1"/>
  <c r="AI119" i="1"/>
  <c r="U19" i="1"/>
  <c r="AI81" i="1"/>
  <c r="AI158" i="1"/>
  <c r="AI164" i="1"/>
  <c r="AI70" i="1"/>
  <c r="AI42" i="1"/>
  <c r="AI283" i="1"/>
  <c r="AI192" i="1"/>
  <c r="AI20" i="1"/>
  <c r="AI73" i="1"/>
  <c r="AI326" i="1"/>
  <c r="AI257" i="1"/>
  <c r="AI321" i="1"/>
  <c r="AI116" i="1"/>
  <c r="AI121" i="1"/>
  <c r="AI262" i="1"/>
  <c r="AI96" i="1"/>
  <c r="AI58" i="1"/>
  <c r="AI89" i="1"/>
  <c r="U46" i="1"/>
  <c r="AI76" i="1"/>
  <c r="AI324" i="1"/>
  <c r="AI306" i="1"/>
  <c r="AI147" i="1"/>
  <c r="AI288" i="1"/>
  <c r="AI212" i="1"/>
  <c r="AI169" i="1"/>
  <c r="AI377" i="1"/>
  <c r="AI249" i="1"/>
  <c r="U23" i="1"/>
  <c r="U42" i="1"/>
  <c r="U65" i="1"/>
  <c r="U74" i="1"/>
  <c r="U91" i="1"/>
  <c r="U240" i="1"/>
  <c r="U226" i="1"/>
  <c r="U209" i="1"/>
  <c r="U197" i="1"/>
  <c r="U178" i="1"/>
  <c r="U157" i="1"/>
  <c r="U137" i="1"/>
  <c r="U122" i="1"/>
  <c r="U110" i="1"/>
  <c r="U87" i="1"/>
  <c r="U21" i="1"/>
  <c r="AI104" i="1"/>
  <c r="AI316" i="1"/>
  <c r="AI141" i="1"/>
  <c r="AI190" i="1"/>
  <c r="AI359" i="1"/>
  <c r="AI67" i="1"/>
  <c r="AI146" i="1"/>
  <c r="AI237" i="1"/>
  <c r="AI210" i="1"/>
  <c r="AI99" i="1"/>
  <c r="AI184" i="1"/>
  <c r="AI309" i="1"/>
  <c r="AI205" i="1"/>
  <c r="AI278" i="1"/>
  <c r="AI291" i="1"/>
  <c r="AI187" i="1"/>
  <c r="AI369" i="1"/>
  <c r="AI275" i="1"/>
  <c r="AI199" i="1"/>
  <c r="AI339" i="1"/>
  <c r="AI263" i="1"/>
  <c r="AI231" i="1"/>
  <c r="U57" i="1"/>
  <c r="AI245" i="1"/>
  <c r="AI161" i="1"/>
  <c r="AI193" i="1"/>
  <c r="AI118" i="1"/>
  <c r="U27" i="1"/>
  <c r="U69" i="1"/>
  <c r="U97" i="1"/>
  <c r="U92" i="1"/>
  <c r="U86" i="1"/>
  <c r="U77" i="1"/>
  <c r="U70" i="1"/>
  <c r="U55" i="1"/>
  <c r="U28" i="1"/>
  <c r="AI248" i="1"/>
  <c r="AI177" i="1"/>
  <c r="AI279" i="1"/>
  <c r="AI322" i="1"/>
  <c r="AI243" i="1"/>
  <c r="AI300" i="1"/>
  <c r="AI265" i="1"/>
  <c r="AI57" i="1"/>
  <c r="AI209" i="1"/>
  <c r="AI139" i="1"/>
  <c r="U49" i="1"/>
  <c r="AI68" i="1"/>
  <c r="AI103" i="1"/>
  <c r="AI285" i="1"/>
  <c r="AI138" i="1"/>
  <c r="AI18" i="1"/>
  <c r="AI153" i="1"/>
  <c r="AI242" i="1"/>
  <c r="AI217" i="1"/>
  <c r="AI218" i="1"/>
  <c r="AI282" i="1"/>
  <c r="AI124" i="1"/>
  <c r="AI365" i="1"/>
  <c r="AI28" i="1"/>
  <c r="AI175" i="1"/>
  <c r="AI144" i="1"/>
  <c r="AI314" i="1"/>
  <c r="AI48" i="1"/>
  <c r="AI117" i="1"/>
  <c r="AI112" i="1"/>
  <c r="AI371" i="1"/>
  <c r="AI24" i="1"/>
  <c r="AI23" i="1"/>
  <c r="AI101" i="1"/>
  <c r="AI292" i="1"/>
  <c r="AI49" i="1"/>
  <c r="AI136" i="1"/>
  <c r="U234" i="1"/>
  <c r="U219" i="1"/>
  <c r="U203" i="1"/>
  <c r="U189" i="1"/>
  <c r="U165" i="1"/>
  <c r="U151" i="1"/>
  <c r="U128" i="1"/>
  <c r="U115" i="1"/>
  <c r="U104" i="1"/>
  <c r="U56" i="1"/>
  <c r="AI323" i="1"/>
  <c r="AI170" i="1"/>
  <c r="U37" i="1"/>
  <c r="AI72" i="1"/>
  <c r="AI174" i="1"/>
  <c r="AI134" i="1"/>
  <c r="AI88" i="1"/>
  <c r="AI361" i="1"/>
  <c r="U16" i="1"/>
  <c r="AI19" i="1"/>
  <c r="AI44" i="1"/>
  <c r="AI281" i="1"/>
  <c r="AI55" i="1"/>
  <c r="AI159" i="1"/>
  <c r="AI267" i="1"/>
  <c r="AI234" i="1"/>
  <c r="AI228" i="1"/>
  <c r="AI71" i="1"/>
  <c r="AI345" i="1"/>
  <c r="AI167" i="1"/>
  <c r="AI79" i="1"/>
  <c r="U30" i="1"/>
  <c r="AI373" i="1"/>
  <c r="AI206" i="1"/>
  <c r="AI255" i="1"/>
  <c r="AI356" i="1"/>
  <c r="AI350" i="1"/>
  <c r="U50" i="1"/>
  <c r="U84" i="1"/>
  <c r="U96" i="1"/>
  <c r="U90" i="1"/>
  <c r="U82" i="1"/>
  <c r="U73" i="1"/>
  <c r="U68" i="1"/>
  <c r="U61" i="1"/>
  <c r="U45" i="1"/>
  <c r="U41" i="1"/>
  <c r="U26" i="1"/>
  <c r="U22" i="1"/>
  <c r="AI327" i="1"/>
  <c r="AI320" i="1"/>
  <c r="AI22" i="1"/>
  <c r="AI108" i="1"/>
  <c r="AI74" i="1"/>
  <c r="AI25" i="1"/>
  <c r="AI107" i="1"/>
  <c r="AI251" i="1"/>
  <c r="AI165" i="1"/>
  <c r="AI130" i="1"/>
  <c r="AI287" i="1"/>
  <c r="AI32" i="1"/>
  <c r="AI353" i="1"/>
  <c r="AI54" i="1"/>
  <c r="AI30" i="1"/>
  <c r="AI352" i="1"/>
  <c r="AI215" i="1"/>
  <c r="AI230" i="1"/>
  <c r="U54" i="1"/>
  <c r="U40" i="1"/>
  <c r="U29" i="1"/>
  <c r="AI90" i="1"/>
  <c r="AI270" i="1"/>
  <c r="AI271" i="1"/>
  <c r="AI53" i="1"/>
  <c r="AI372" i="1"/>
  <c r="AI319" i="1"/>
  <c r="AI196" i="1"/>
  <c r="AI220" i="1"/>
  <c r="AI204" i="1"/>
  <c r="AI41" i="1"/>
  <c r="AI226" i="1"/>
  <c r="AI86" i="1"/>
  <c r="AI258" i="1"/>
  <c r="AI216" i="1"/>
  <c r="AI376" i="1"/>
  <c r="AI269" i="1"/>
  <c r="AI211" i="1"/>
  <c r="AI91" i="1"/>
  <c r="AI331" i="1"/>
  <c r="AI135" i="1"/>
  <c r="AI341" i="1"/>
  <c r="AI191" i="1"/>
  <c r="AI87" i="1"/>
  <c r="AI197" i="1"/>
  <c r="AI261" i="1"/>
  <c r="AI280" i="1"/>
  <c r="AI207" i="1"/>
  <c r="AI156" i="1"/>
  <c r="AI303" i="1"/>
  <c r="AI150" i="1"/>
  <c r="AI168" i="1"/>
  <c r="AI125" i="1"/>
  <c r="AI115" i="1"/>
  <c r="AI241" i="1"/>
  <c r="AI98" i="1"/>
  <c r="AI92" i="1"/>
  <c r="AI84" i="1"/>
  <c r="AI66" i="1"/>
  <c r="AI36" i="1"/>
  <c r="AI172" i="1"/>
  <c r="AI110" i="1"/>
  <c r="AI185" i="1"/>
  <c r="AI315" i="1"/>
  <c r="AI232" i="1"/>
  <c r="AI379" i="1"/>
  <c r="AI12" i="15" s="1"/>
  <c r="AI329" i="1"/>
  <c r="AI203" i="1"/>
  <c r="AI342" i="1"/>
  <c r="AI349" i="1"/>
  <c r="AI61" i="1"/>
  <c r="U66" i="1"/>
  <c r="U43" i="1"/>
  <c r="U24" i="1"/>
  <c r="AI266" i="1"/>
  <c r="AI200" i="1"/>
  <c r="AI109" i="1"/>
  <c r="AI82" i="1"/>
  <c r="AI295" i="1"/>
  <c r="AI77" i="1"/>
  <c r="AI360" i="1"/>
  <c r="AI286" i="1"/>
  <c r="U60" i="1"/>
  <c r="U35" i="1"/>
  <c r="AI307" i="1"/>
  <c r="AI126" i="1"/>
  <c r="AI259" i="1"/>
  <c r="AI222" i="1"/>
  <c r="AI375" i="1"/>
  <c r="AI106" i="1"/>
  <c r="AI244" i="1"/>
  <c r="AI272" i="1"/>
  <c r="AI302" i="1"/>
  <c r="AI366" i="1"/>
  <c r="AI225" i="1"/>
  <c r="AI189" i="1"/>
  <c r="AI227" i="1"/>
  <c r="AI337" i="1"/>
  <c r="AI78" i="1"/>
  <c r="AI64" i="1"/>
  <c r="AI343" i="1"/>
  <c r="AI154" i="1"/>
  <c r="AI40" i="1"/>
  <c r="AI140" i="1"/>
  <c r="AI208" i="1"/>
  <c r="AI336" i="1"/>
  <c r="AI100" i="1"/>
  <c r="AI148" i="1"/>
  <c r="AI311" i="1"/>
  <c r="U251" i="1"/>
  <c r="U265" i="1"/>
  <c r="U103" i="1"/>
  <c r="U85" i="1"/>
  <c r="U64" i="1"/>
  <c r="I27" i="27"/>
  <c r="U245" i="1"/>
  <c r="BL16" i="7"/>
  <c r="U164" i="1"/>
  <c r="U156" i="1"/>
  <c r="U147" i="1"/>
  <c r="U141" i="1"/>
  <c r="U136" i="1"/>
  <c r="U129" i="1"/>
  <c r="U112" i="1"/>
  <c r="U93" i="1"/>
  <c r="U76" i="1"/>
  <c r="U52" i="1"/>
  <c r="U31" i="1"/>
  <c r="U326" i="1"/>
  <c r="U312" i="1"/>
  <c r="U289" i="1"/>
  <c r="U279" i="1"/>
  <c r="U252" i="1"/>
  <c r="U225" i="1"/>
  <c r="U196" i="1"/>
  <c r="U155" i="1"/>
  <c r="U121" i="1"/>
  <c r="U78" i="1"/>
  <c r="AI45" i="1"/>
  <c r="AI29" i="1"/>
  <c r="AI305" i="1"/>
  <c r="AI171" i="1"/>
  <c r="I33" i="27"/>
  <c r="U258" i="1"/>
  <c r="U116" i="1"/>
  <c r="U94" i="1"/>
  <c r="U79" i="1"/>
  <c r="U53" i="1"/>
  <c r="I31" i="27"/>
  <c r="I25" i="27"/>
  <c r="AE64" i="27"/>
  <c r="G23" i="27"/>
  <c r="E59" i="27"/>
  <c r="E74" i="27"/>
  <c r="E71" i="27"/>
  <c r="E72" i="27"/>
  <c r="E73" i="27"/>
  <c r="E62" i="27"/>
  <c r="E78" i="27"/>
  <c r="E58" i="27"/>
  <c r="E76" i="27"/>
  <c r="E57" i="27"/>
  <c r="E68" i="27"/>
  <c r="E67" i="27"/>
  <c r="E79" i="27"/>
  <c r="D66" i="27"/>
  <c r="C55" i="27"/>
  <c r="D76" i="27"/>
  <c r="BK14" i="6"/>
  <c r="D57" i="27"/>
  <c r="R55" i="27"/>
  <c r="D77" i="27"/>
  <c r="D67" i="27"/>
  <c r="D62" i="27"/>
  <c r="D64" i="27"/>
  <c r="D73" i="27"/>
  <c r="D58" i="27"/>
  <c r="D69" i="27"/>
  <c r="D75" i="27"/>
  <c r="D56" i="27"/>
  <c r="D72" i="27"/>
  <c r="D71" i="27"/>
  <c r="D65" i="27"/>
  <c r="D59" i="27"/>
  <c r="D60" i="27"/>
  <c r="D61" i="27"/>
  <c r="D68" i="27"/>
  <c r="D74" i="27"/>
  <c r="D70" i="27"/>
  <c r="D78" i="27"/>
  <c r="D79" i="27"/>
  <c r="D63" i="27"/>
  <c r="BS14" i="6"/>
  <c r="Z55" i="27"/>
  <c r="L79" i="27"/>
  <c r="L56" i="27"/>
  <c r="M55" i="27"/>
  <c r="L64" i="27"/>
  <c r="L70" i="27"/>
  <c r="L73" i="27"/>
  <c r="L66" i="27"/>
  <c r="L68" i="27"/>
  <c r="L69" i="27"/>
  <c r="L59" i="27"/>
  <c r="L57" i="27"/>
  <c r="L63" i="27"/>
  <c r="L65" i="27"/>
  <c r="L67" i="27"/>
  <c r="L61" i="27"/>
  <c r="L71" i="27"/>
  <c r="L75" i="27"/>
  <c r="L78" i="27"/>
  <c r="L74" i="27"/>
  <c r="L62" i="27"/>
  <c r="L60" i="27"/>
  <c r="L76" i="27"/>
  <c r="L77" i="27"/>
  <c r="L72" i="27"/>
  <c r="L58" i="27"/>
  <c r="AC25" i="6"/>
  <c r="J224" i="6" s="1"/>
  <c r="J25" i="6"/>
  <c r="J165" i="6"/>
  <c r="Z25" i="6"/>
  <c r="J198" i="6" s="1"/>
  <c r="AK25" i="6"/>
  <c r="J357" i="6" s="1"/>
  <c r="O39" i="6"/>
  <c r="O38" i="6" s="1"/>
  <c r="AN24" i="6"/>
  <c r="AN23" i="6" s="1"/>
  <c r="AN25" i="6" s="1"/>
  <c r="Z35" i="6"/>
  <c r="AA33" i="6"/>
  <c r="Q39" i="6"/>
  <c r="Q38" i="6" s="1"/>
  <c r="Q40" i="6" s="1"/>
  <c r="V39" i="6"/>
  <c r="V38" i="6" s="1"/>
  <c r="V40" i="6" s="1"/>
  <c r="J42" i="6"/>
  <c r="J49" i="6"/>
  <c r="J47" i="6"/>
  <c r="J34" i="6"/>
  <c r="J37" i="6"/>
  <c r="J48" i="6"/>
  <c r="J30" i="6"/>
  <c r="J38" i="6"/>
  <c r="J35" i="6"/>
  <c r="J43" i="6"/>
  <c r="J27" i="6"/>
  <c r="J36" i="6"/>
  <c r="J28" i="6"/>
  <c r="J26" i="6"/>
  <c r="J175" i="6"/>
  <c r="J174" i="6"/>
  <c r="J171" i="6"/>
  <c r="J162" i="6"/>
  <c r="J169" i="6"/>
  <c r="J168" i="6"/>
  <c r="J166" i="6"/>
  <c r="J173" i="6"/>
  <c r="J122" i="6"/>
  <c r="J126" i="6"/>
  <c r="J125" i="6"/>
  <c r="J121" i="6"/>
  <c r="J133" i="6"/>
  <c r="J127" i="6"/>
  <c r="J124" i="6"/>
  <c r="J250" i="6"/>
  <c r="J258" i="6"/>
  <c r="J248" i="6"/>
  <c r="J256" i="6"/>
  <c r="J252" i="6"/>
  <c r="J18" i="6"/>
  <c r="J15" i="6"/>
  <c r="J21" i="6"/>
  <c r="J17" i="6"/>
  <c r="J16" i="6"/>
  <c r="J19" i="6"/>
  <c r="J20" i="6"/>
  <c r="N39" i="6"/>
  <c r="N38" i="6" s="1"/>
  <c r="N40" i="6" s="1"/>
  <c r="AG25" i="6"/>
  <c r="J291" i="6" s="1"/>
  <c r="Y54" i="6"/>
  <c r="Y53" i="6" s="1"/>
  <c r="AM24" i="6"/>
  <c r="AM23" i="6" s="1"/>
  <c r="AM25" i="6" s="1"/>
  <c r="W25" i="6"/>
  <c r="J158" i="6" s="1"/>
  <c r="R39" i="6"/>
  <c r="R38" i="6" s="1"/>
  <c r="R40" i="6" s="1"/>
  <c r="T39" i="6"/>
  <c r="T38" i="6" s="1"/>
  <c r="S39" i="6"/>
  <c r="S38" i="6" s="1"/>
  <c r="W54" i="6"/>
  <c r="W53" i="6" s="1"/>
  <c r="J322" i="6"/>
  <c r="J321" i="6"/>
  <c r="J315" i="6"/>
  <c r="J309" i="6"/>
  <c r="J328" i="6"/>
  <c r="J308" i="6"/>
  <c r="J313" i="6"/>
  <c r="J319" i="6"/>
  <c r="J314" i="6"/>
  <c r="J323" i="6"/>
  <c r="J318" i="6"/>
  <c r="J303" i="6"/>
  <c r="J329" i="6"/>
  <c r="J307" i="6"/>
  <c r="J304" i="6"/>
  <c r="J327" i="6"/>
  <c r="J311" i="6"/>
  <c r="J325" i="6"/>
  <c r="J317" i="6"/>
  <c r="J316" i="6"/>
  <c r="J312" i="6"/>
  <c r="J302" i="6"/>
  <c r="J320" i="6"/>
  <c r="J324" i="6"/>
  <c r="J305" i="6"/>
  <c r="J310" i="6"/>
  <c r="J306" i="6"/>
  <c r="J326" i="6"/>
  <c r="T25" i="6"/>
  <c r="J99" i="6" s="1"/>
  <c r="W39" i="6"/>
  <c r="W38" i="6" s="1"/>
  <c r="J22" i="6"/>
  <c r="J31" i="6"/>
  <c r="J39" i="6"/>
  <c r="J46" i="6"/>
  <c r="J32" i="6"/>
  <c r="J29" i="6"/>
  <c r="J23" i="6"/>
  <c r="J45" i="6"/>
  <c r="J41" i="6"/>
  <c r="J40" i="6"/>
  <c r="J44" i="6"/>
  <c r="J24" i="6"/>
  <c r="J33" i="6"/>
  <c r="J164" i="6"/>
  <c r="J170" i="6"/>
  <c r="J167" i="6"/>
  <c r="J163" i="6"/>
  <c r="J172" i="6"/>
  <c r="J129" i="6"/>
  <c r="J123" i="6"/>
  <c r="J130" i="6"/>
  <c r="J131" i="6"/>
  <c r="J132" i="6"/>
  <c r="J128" i="6"/>
  <c r="J120" i="6"/>
  <c r="R25" i="6"/>
  <c r="Q54" i="6"/>
  <c r="Q53" i="6" s="1"/>
  <c r="R54" i="6"/>
  <c r="R53" i="6" s="1"/>
  <c r="R55" i="6" s="1"/>
  <c r="S54" i="6"/>
  <c r="S53" i="6" s="1"/>
  <c r="U54" i="6"/>
  <c r="U53" i="6" s="1"/>
  <c r="T54" i="6"/>
  <c r="T53" i="6" s="1"/>
  <c r="T55" i="6" s="1"/>
  <c r="AF25" i="6"/>
  <c r="J273" i="6" s="1"/>
  <c r="M40" i="6"/>
  <c r="J264" i="6"/>
  <c r="J251" i="6"/>
  <c r="J268" i="6"/>
  <c r="D383" i="15"/>
  <c r="D381" i="15"/>
  <c r="D382" i="15"/>
  <c r="D9" i="15"/>
  <c r="D11" i="15" s="1"/>
  <c r="AJ8" i="15"/>
  <c r="E9" i="1"/>
  <c r="E11" i="1" s="1"/>
  <c r="E382" i="1"/>
  <c r="AJ10" i="1"/>
  <c r="AJ12" i="1" s="1"/>
  <c r="AJ13" i="1" s="1"/>
  <c r="D9" i="16"/>
  <c r="D11" i="16" s="1"/>
  <c r="D381" i="16"/>
  <c r="D383" i="16"/>
  <c r="D382" i="16"/>
  <c r="D383" i="17"/>
  <c r="D381" i="17"/>
  <c r="D9" i="17"/>
  <c r="D11" i="17" s="1"/>
  <c r="AJ7" i="17"/>
  <c r="D382" i="17"/>
  <c r="D16" i="7" l="1"/>
  <c r="U12" i="15"/>
  <c r="E38" i="19"/>
  <c r="E37" i="19"/>
  <c r="E36" i="19"/>
  <c r="O125" i="17"/>
  <c r="E125" i="17" s="1"/>
  <c r="O166" i="17"/>
  <c r="E166" i="17" s="1"/>
  <c r="O194" i="17"/>
  <c r="E194" i="17" s="1"/>
  <c r="O274" i="17"/>
  <c r="E274" i="17" s="1"/>
  <c r="BX16" i="7"/>
  <c r="O200" i="17"/>
  <c r="E200" i="17" s="1"/>
  <c r="O11" i="18"/>
  <c r="O146" i="17"/>
  <c r="E146" i="17" s="1"/>
  <c r="O174" i="17"/>
  <c r="E174" i="17" s="1"/>
  <c r="O265" i="17"/>
  <c r="E265" i="17" s="1"/>
  <c r="O352" i="17"/>
  <c r="E352" i="17" s="1"/>
  <c r="O329" i="17"/>
  <c r="E329" i="17" s="1"/>
  <c r="O12" i="18"/>
  <c r="O313" i="17"/>
  <c r="E313" i="17" s="1"/>
  <c r="O369" i="17"/>
  <c r="E369" i="17" s="1"/>
  <c r="O270" i="17"/>
  <c r="E270" i="17" s="1"/>
  <c r="O271" i="17"/>
  <c r="E271" i="17" s="1"/>
  <c r="O317" i="17"/>
  <c r="E317" i="17" s="1"/>
  <c r="O379" i="17"/>
  <c r="E379" i="17" s="1"/>
  <c r="O301" i="17"/>
  <c r="E301" i="17" s="1"/>
  <c r="O268" i="17"/>
  <c r="E268" i="17" s="1"/>
  <c r="O184" i="17"/>
  <c r="E184" i="17" s="1"/>
  <c r="O247" i="17"/>
  <c r="E247" i="17" s="1"/>
  <c r="O143" i="17"/>
  <c r="E143" i="17" s="1"/>
  <c r="K13" i="7"/>
  <c r="W13" i="7"/>
  <c r="O378" i="17"/>
  <c r="E378" i="17" s="1"/>
  <c r="O216" i="17"/>
  <c r="E216" i="17" s="1"/>
  <c r="O349" i="17"/>
  <c r="E349" i="17" s="1"/>
  <c r="O343" i="17"/>
  <c r="E343" i="17" s="1"/>
  <c r="O151" i="17"/>
  <c r="E151" i="17" s="1"/>
  <c r="O211" i="17"/>
  <c r="E211" i="17" s="1"/>
  <c r="O338" i="17"/>
  <c r="E338" i="17" s="1"/>
  <c r="O294" i="17"/>
  <c r="E294" i="17" s="1"/>
  <c r="O224" i="17"/>
  <c r="E224" i="17" s="1"/>
  <c r="O227" i="17"/>
  <c r="E227" i="17" s="1"/>
  <c r="O356" i="17"/>
  <c r="E356" i="17" s="1"/>
  <c r="O261" i="17"/>
  <c r="E261" i="17" s="1"/>
  <c r="O133" i="17"/>
  <c r="E133" i="17" s="1"/>
  <c r="O187" i="17"/>
  <c r="E187" i="17" s="1"/>
  <c r="O167" i="17"/>
  <c r="E167" i="17" s="1"/>
  <c r="O197" i="17"/>
  <c r="E197" i="17" s="1"/>
  <c r="O220" i="17"/>
  <c r="E220" i="17" s="1"/>
  <c r="O231" i="17"/>
  <c r="E231" i="17" s="1"/>
  <c r="O169" i="17"/>
  <c r="E169" i="17" s="1"/>
  <c r="O306" i="17"/>
  <c r="E306" i="17" s="1"/>
  <c r="O140" i="17"/>
  <c r="E140" i="17" s="1"/>
  <c r="O254" i="17"/>
  <c r="E254" i="17" s="1"/>
  <c r="O278" i="17"/>
  <c r="E278" i="17" s="1"/>
  <c r="O131" i="17"/>
  <c r="E131" i="17" s="1"/>
  <c r="O256" i="17"/>
  <c r="E256" i="17" s="1"/>
  <c r="O330" i="17"/>
  <c r="E330" i="17" s="1"/>
  <c r="O170" i="17"/>
  <c r="E170" i="17" s="1"/>
  <c r="O258" i="17"/>
  <c r="E258" i="17" s="1"/>
  <c r="O309" i="17"/>
  <c r="E309" i="17" s="1"/>
  <c r="O129" i="17"/>
  <c r="E129" i="17" s="1"/>
  <c r="O171" i="17"/>
  <c r="E171" i="17" s="1"/>
  <c r="O191" i="17"/>
  <c r="E191" i="17" s="1"/>
  <c r="O234" i="17"/>
  <c r="E234" i="17" s="1"/>
  <c r="O292" i="17"/>
  <c r="E292" i="17" s="1"/>
  <c r="O362" i="17"/>
  <c r="E362" i="17" s="1"/>
  <c r="O210" i="17"/>
  <c r="E210" i="17" s="1"/>
  <c r="O240" i="17"/>
  <c r="E240" i="17" s="1"/>
  <c r="O242" i="17"/>
  <c r="E242" i="17" s="1"/>
  <c r="O207" i="17"/>
  <c r="E207" i="17" s="1"/>
  <c r="O157" i="17"/>
  <c r="E157" i="17" s="1"/>
  <c r="O282" i="17"/>
  <c r="E282" i="17" s="1"/>
  <c r="O333" i="17"/>
  <c r="C66" i="7" s="1"/>
  <c r="O183" i="17"/>
  <c r="E183" i="17" s="1"/>
  <c r="O260" i="17"/>
  <c r="E260" i="17" s="1"/>
  <c r="O318" i="17"/>
  <c r="E318" i="17" s="1"/>
  <c r="O147" i="17"/>
  <c r="E147" i="17" s="1"/>
  <c r="O205" i="17"/>
  <c r="E205" i="17" s="1"/>
  <c r="O328" i="17"/>
  <c r="E328" i="17" s="1"/>
  <c r="O285" i="17"/>
  <c r="E285" i="17" s="1"/>
  <c r="O239" i="17"/>
  <c r="E239" i="17" s="1"/>
  <c r="O376" i="17"/>
  <c r="E376" i="17" s="1"/>
  <c r="O289" i="17"/>
  <c r="E289" i="17" s="1"/>
  <c r="O335" i="17"/>
  <c r="E335" i="17" s="1"/>
  <c r="O367" i="17"/>
  <c r="E367" i="17" s="1"/>
  <c r="O188" i="17"/>
  <c r="E188" i="17" s="1"/>
  <c r="O284" i="17"/>
  <c r="E284" i="17" s="1"/>
  <c r="O206" i="17"/>
  <c r="E206" i="17" s="1"/>
  <c r="O135" i="17"/>
  <c r="E135" i="17" s="1"/>
  <c r="O148" i="17"/>
  <c r="E148" i="17" s="1"/>
  <c r="O350" i="17"/>
  <c r="E350" i="17" s="1"/>
  <c r="O339" i="17"/>
  <c r="E339" i="17" s="1"/>
  <c r="O165" i="17"/>
  <c r="E165" i="17" s="1"/>
  <c r="O344" i="17"/>
  <c r="E344" i="17" s="1"/>
  <c r="O312" i="17"/>
  <c r="E312" i="17" s="1"/>
  <c r="O212" i="17"/>
  <c r="E212" i="17" s="1"/>
  <c r="O10" i="18"/>
  <c r="BW10" i="7"/>
  <c r="BZ9" i="7"/>
  <c r="V13" i="7"/>
  <c r="O266" i="17"/>
  <c r="E266" i="17" s="1"/>
  <c r="O315" i="17"/>
  <c r="E315" i="17" s="1"/>
  <c r="O371" i="17"/>
  <c r="E371" i="17" s="1"/>
  <c r="O354" i="17"/>
  <c r="E354" i="17" s="1"/>
  <c r="O373" i="17"/>
  <c r="E373" i="17" s="1"/>
  <c r="O168" i="17"/>
  <c r="E168" i="17" s="1"/>
  <c r="O177" i="17"/>
  <c r="E177" i="17" s="1"/>
  <c r="O221" i="17"/>
  <c r="E221" i="17" s="1"/>
  <c r="O241" i="17"/>
  <c r="E241" i="17" s="1"/>
  <c r="O267" i="17"/>
  <c r="E267" i="17" s="1"/>
  <c r="O303" i="17"/>
  <c r="E303" i="17" s="1"/>
  <c r="O316" i="17"/>
  <c r="E316" i="17" s="1"/>
  <c r="O323" i="17"/>
  <c r="E323" i="17" s="1"/>
  <c r="O331" i="17"/>
  <c r="E331" i="17" s="1"/>
  <c r="O340" i="17"/>
  <c r="E340" i="17" s="1"/>
  <c r="O351" i="17"/>
  <c r="E351" i="17" s="1"/>
  <c r="O365" i="17"/>
  <c r="E365" i="17" s="1"/>
  <c r="O173" i="17"/>
  <c r="E173" i="17" s="1"/>
  <c r="O202" i="17"/>
  <c r="E202" i="17" s="1"/>
  <c r="O181" i="17"/>
  <c r="E181" i="17" s="1"/>
  <c r="O208" i="17"/>
  <c r="E208" i="17" s="1"/>
  <c r="O259" i="17"/>
  <c r="E259" i="17" s="1"/>
  <c r="O311" i="17"/>
  <c r="E311" i="17" s="1"/>
  <c r="O243" i="17"/>
  <c r="E243" i="17" s="1"/>
  <c r="O288" i="17"/>
  <c r="E288" i="17" s="1"/>
  <c r="O314" i="17"/>
  <c r="E314" i="17" s="1"/>
  <c r="O332" i="17"/>
  <c r="E332" i="17" s="1"/>
  <c r="O374" i="17"/>
  <c r="E374" i="17" s="1"/>
  <c r="O372" i="17"/>
  <c r="E372" i="17" s="1"/>
  <c r="O137" i="17"/>
  <c r="E137" i="17" s="1"/>
  <c r="O145" i="17"/>
  <c r="E145" i="17" s="1"/>
  <c r="O152" i="17"/>
  <c r="E152" i="17" s="1"/>
  <c r="O160" i="17"/>
  <c r="E160" i="17" s="1"/>
  <c r="O179" i="17"/>
  <c r="E179" i="17" s="1"/>
  <c r="O128" i="17"/>
  <c r="E128" i="17" s="1"/>
  <c r="O153" i="17"/>
  <c r="E153" i="17" s="1"/>
  <c r="O175" i="17"/>
  <c r="E175" i="17" s="1"/>
  <c r="O192" i="17"/>
  <c r="E192" i="17" s="1"/>
  <c r="O203" i="17"/>
  <c r="E203" i="17" s="1"/>
  <c r="O214" i="17"/>
  <c r="E214" i="17" s="1"/>
  <c r="O225" i="17"/>
  <c r="E225" i="17" s="1"/>
  <c r="O236" i="17"/>
  <c r="E236" i="17" s="1"/>
  <c r="O272" i="17"/>
  <c r="C64" i="7" s="1"/>
  <c r="O297" i="17"/>
  <c r="E297" i="17" s="1"/>
  <c r="O342" i="17"/>
  <c r="E342" i="17" s="1"/>
  <c r="O364" i="17"/>
  <c r="E364" i="17" s="1"/>
  <c r="O130" i="17"/>
  <c r="E130" i="17" s="1"/>
  <c r="O223" i="17"/>
  <c r="E223" i="17" s="1"/>
  <c r="O295" i="17"/>
  <c r="E295" i="17" s="1"/>
  <c r="O244" i="17"/>
  <c r="E244" i="17" s="1"/>
  <c r="O293" i="17"/>
  <c r="E293" i="17" s="1"/>
  <c r="O347" i="17"/>
  <c r="E347" i="17" s="1"/>
  <c r="O249" i="17"/>
  <c r="E249" i="17" s="1"/>
  <c r="O277" i="17"/>
  <c r="E277" i="17" s="1"/>
  <c r="O304" i="17"/>
  <c r="E304" i="17" s="1"/>
  <c r="O346" i="17"/>
  <c r="E346" i="17" s="1"/>
  <c r="O124" i="17"/>
  <c r="E124" i="17" s="1"/>
  <c r="O172" i="17"/>
  <c r="E172" i="17" s="1"/>
  <c r="O257" i="17"/>
  <c r="E257" i="17" s="1"/>
  <c r="O307" i="17"/>
  <c r="E307" i="17" s="1"/>
  <c r="O248" i="17"/>
  <c r="E248" i="17" s="1"/>
  <c r="O326" i="17"/>
  <c r="E326" i="17" s="1"/>
  <c r="O359" i="17"/>
  <c r="E359" i="17" s="1"/>
  <c r="O132" i="17"/>
  <c r="E132" i="17" s="1"/>
  <c r="O134" i="17"/>
  <c r="E134" i="17" s="1"/>
  <c r="O209" i="17"/>
  <c r="E209" i="17" s="1"/>
  <c r="O230" i="17"/>
  <c r="E230" i="17" s="1"/>
  <c r="O253" i="17"/>
  <c r="E253" i="17" s="1"/>
  <c r="O283" i="17"/>
  <c r="E283" i="17" s="1"/>
  <c r="O246" i="17"/>
  <c r="E246" i="17" s="1"/>
  <c r="O299" i="17"/>
  <c r="E299" i="17" s="1"/>
  <c r="O252" i="17"/>
  <c r="E252" i="17" s="1"/>
  <c r="O163" i="17"/>
  <c r="E163" i="17" s="1"/>
  <c r="O366" i="17"/>
  <c r="E366" i="17" s="1"/>
  <c r="O345" i="17"/>
  <c r="E345" i="17" s="1"/>
  <c r="O298" i="17"/>
  <c r="E298" i="17" s="1"/>
  <c r="O276" i="17"/>
  <c r="E276" i="17" s="1"/>
  <c r="O238" i="17"/>
  <c r="E238" i="17" s="1"/>
  <c r="O218" i="17"/>
  <c r="E218" i="17" s="1"/>
  <c r="O193" i="17"/>
  <c r="E193" i="17" s="1"/>
  <c r="O156" i="17"/>
  <c r="E156" i="17" s="1"/>
  <c r="O180" i="17"/>
  <c r="E180" i="17" s="1"/>
  <c r="O154" i="17"/>
  <c r="E154" i="17" s="1"/>
  <c r="O138" i="17"/>
  <c r="E138" i="17" s="1"/>
  <c r="O126" i="17"/>
  <c r="E126" i="17" s="1"/>
  <c r="O237" i="17"/>
  <c r="E237" i="17" s="1"/>
  <c r="O300" i="17"/>
  <c r="E300" i="17" s="1"/>
  <c r="O321" i="17"/>
  <c r="E321" i="17" s="1"/>
  <c r="O337" i="17"/>
  <c r="E337" i="17" s="1"/>
  <c r="O363" i="17"/>
  <c r="E363" i="17" s="1"/>
  <c r="O195" i="17"/>
  <c r="E195" i="17" s="1"/>
  <c r="O204" i="17"/>
  <c r="E204" i="17" s="1"/>
  <c r="O302" i="17"/>
  <c r="O273" i="17"/>
  <c r="E273" i="17" s="1"/>
  <c r="O325" i="17"/>
  <c r="E325" i="17" s="1"/>
  <c r="O361" i="17"/>
  <c r="E361" i="17" s="1"/>
  <c r="O142" i="17"/>
  <c r="E142" i="17" s="1"/>
  <c r="O159" i="17"/>
  <c r="E159" i="17" s="1"/>
  <c r="O186" i="17"/>
  <c r="E186" i="17" s="1"/>
  <c r="O164" i="17"/>
  <c r="E164" i="17" s="1"/>
  <c r="O198" i="17"/>
  <c r="E198" i="17" s="1"/>
  <c r="O222" i="17"/>
  <c r="E222" i="17" s="1"/>
  <c r="O250" i="17"/>
  <c r="E250" i="17" s="1"/>
  <c r="O281" i="17"/>
  <c r="E281" i="17" s="1"/>
  <c r="O308" i="17"/>
  <c r="E308" i="17" s="1"/>
  <c r="O348" i="17"/>
  <c r="E348" i="17" s="1"/>
  <c r="O136" i="17"/>
  <c r="E136" i="17" s="1"/>
  <c r="O178" i="17"/>
  <c r="E178" i="17" s="1"/>
  <c r="O275" i="17"/>
  <c r="E275" i="17" s="1"/>
  <c r="O324" i="17"/>
  <c r="E324" i="17" s="1"/>
  <c r="O296" i="17"/>
  <c r="E296" i="17" s="1"/>
  <c r="O255" i="17"/>
  <c r="E255" i="17" s="1"/>
  <c r="O233" i="17"/>
  <c r="E233" i="17" s="1"/>
  <c r="O213" i="17"/>
  <c r="E213" i="17" s="1"/>
  <c r="O144" i="17"/>
  <c r="E144" i="17" s="1"/>
  <c r="O150" i="17"/>
  <c r="E150" i="17" s="1"/>
  <c r="O149" i="17"/>
  <c r="C60" i="7" s="1"/>
  <c r="O245" i="17"/>
  <c r="E245" i="17" s="1"/>
  <c r="O305" i="17"/>
  <c r="E305" i="17" s="1"/>
  <c r="O327" i="17"/>
  <c r="E327" i="17" s="1"/>
  <c r="O341" i="17"/>
  <c r="E341" i="17" s="1"/>
  <c r="O127" i="17"/>
  <c r="E127" i="17" s="1"/>
  <c r="O215" i="17"/>
  <c r="E215" i="17" s="1"/>
  <c r="O228" i="17"/>
  <c r="E228" i="17" s="1"/>
  <c r="O319" i="17"/>
  <c r="E319" i="17" s="1"/>
  <c r="O291" i="17"/>
  <c r="E291" i="17" s="1"/>
  <c r="O334" i="17"/>
  <c r="E334" i="17" s="1"/>
  <c r="O375" i="17"/>
  <c r="E375" i="17" s="1"/>
  <c r="O161" i="17"/>
  <c r="E161" i="17" s="1"/>
  <c r="O176" i="17"/>
  <c r="E176" i="17" s="1"/>
  <c r="O226" i="17"/>
  <c r="E226" i="17" s="1"/>
  <c r="O286" i="17"/>
  <c r="E286" i="17" s="1"/>
  <c r="O357" i="17"/>
  <c r="E357" i="17" s="1"/>
  <c r="O190" i="17"/>
  <c r="E190" i="17" s="1"/>
  <c r="O229" i="17"/>
  <c r="E229" i="17" s="1"/>
  <c r="O263" i="17"/>
  <c r="E263" i="17" s="1"/>
  <c r="O217" i="17"/>
  <c r="E217" i="17" s="1"/>
  <c r="O158" i="17"/>
  <c r="E158" i="17" s="1"/>
  <c r="O377" i="17"/>
  <c r="E377" i="17" s="1"/>
  <c r="O235" i="17"/>
  <c r="E235" i="17" s="1"/>
  <c r="O201" i="17"/>
  <c r="E201" i="17" s="1"/>
  <c r="O360" i="17"/>
  <c r="E360" i="17" s="1"/>
  <c r="O287" i="17"/>
  <c r="E287" i="17" s="1"/>
  <c r="O370" i="17"/>
  <c r="E370" i="17" s="1"/>
  <c r="O264" i="17"/>
  <c r="E264" i="17" s="1"/>
  <c r="O279" i="17"/>
  <c r="E279" i="17" s="1"/>
  <c r="O185" i="17"/>
  <c r="E185" i="17" s="1"/>
  <c r="O310" i="17"/>
  <c r="E310" i="17" s="1"/>
  <c r="O251" i="17"/>
  <c r="E251" i="17" s="1"/>
  <c r="O219" i="17"/>
  <c r="E219" i="17" s="1"/>
  <c r="O196" i="17"/>
  <c r="E196" i="17" s="1"/>
  <c r="O162" i="17"/>
  <c r="E162" i="17" s="1"/>
  <c r="O182" i="17"/>
  <c r="E182" i="17" s="1"/>
  <c r="O155" i="17"/>
  <c r="E155" i="17" s="1"/>
  <c r="O139" i="17"/>
  <c r="E139" i="17" s="1"/>
  <c r="O355" i="17"/>
  <c r="E355" i="17" s="1"/>
  <c r="O322" i="17"/>
  <c r="E322" i="17" s="1"/>
  <c r="O269" i="17"/>
  <c r="E269" i="17" s="1"/>
  <c r="O280" i="17"/>
  <c r="E280" i="17" s="1"/>
  <c r="O199" i="17"/>
  <c r="E199" i="17" s="1"/>
  <c r="O189" i="17"/>
  <c r="E189" i="17" s="1"/>
  <c r="O358" i="17"/>
  <c r="E358" i="17" s="1"/>
  <c r="O336" i="17"/>
  <c r="E336" i="17" s="1"/>
  <c r="O320" i="17"/>
  <c r="E320" i="17" s="1"/>
  <c r="O290" i="17"/>
  <c r="E290" i="17" s="1"/>
  <c r="O232" i="17"/>
  <c r="E232" i="17" s="1"/>
  <c r="O141" i="17"/>
  <c r="E141" i="17" s="1"/>
  <c r="O368" i="17"/>
  <c r="E368" i="17" s="1"/>
  <c r="O353" i="17"/>
  <c r="E353" i="17" s="1"/>
  <c r="O262" i="17"/>
  <c r="E262" i="17" s="1"/>
  <c r="J11" i="7"/>
  <c r="U11" i="15" s="1"/>
  <c r="AK286" i="16"/>
  <c r="AK199" i="16"/>
  <c r="AK349" i="16"/>
  <c r="AK108" i="16"/>
  <c r="AK104" i="16"/>
  <c r="AK363" i="16"/>
  <c r="AK227" i="16"/>
  <c r="AK187" i="16"/>
  <c r="AK245" i="16"/>
  <c r="AK238" i="16"/>
  <c r="AK334" i="16"/>
  <c r="F8" i="16"/>
  <c r="AK270" i="16"/>
  <c r="AK84" i="16"/>
  <c r="AK186" i="16"/>
  <c r="AK127" i="16"/>
  <c r="AK248" i="16"/>
  <c r="AK336" i="16"/>
  <c r="AK167" i="16"/>
  <c r="AK209" i="16"/>
  <c r="AK242" i="16"/>
  <c r="AK348" i="16"/>
  <c r="AK65" i="16"/>
  <c r="AK211" i="16"/>
  <c r="AK330" i="16"/>
  <c r="AK197" i="16"/>
  <c r="AK329" i="16"/>
  <c r="AK182" i="16"/>
  <c r="AK193" i="16"/>
  <c r="AK78" i="16"/>
  <c r="AK275" i="16"/>
  <c r="AK306" i="16"/>
  <c r="AK17" i="16"/>
  <c r="AK338" i="16"/>
  <c r="AK91" i="16"/>
  <c r="AK217" i="16"/>
  <c r="AK152" i="16"/>
  <c r="AK324" i="16"/>
  <c r="AK88" i="16"/>
  <c r="AK365" i="16"/>
  <c r="AK30" i="16"/>
  <c r="AK45" i="16"/>
  <c r="AK138" i="16"/>
  <c r="AK57" i="16"/>
  <c r="AK58" i="16"/>
  <c r="AK154" i="16"/>
  <c r="AK204" i="16"/>
  <c r="AK264" i="16"/>
  <c r="AK314" i="16"/>
  <c r="AK346" i="16"/>
  <c r="AK31" i="16"/>
  <c r="AK179" i="16"/>
  <c r="AK175" i="16"/>
  <c r="AK230" i="16"/>
  <c r="AK311" i="16"/>
  <c r="AK251" i="16"/>
  <c r="AK288" i="16"/>
  <c r="AK368" i="16"/>
  <c r="AK373" i="16"/>
  <c r="AK33" i="16"/>
  <c r="AK56" i="16"/>
  <c r="AK221" i="16"/>
  <c r="AK293" i="16"/>
  <c r="AK350" i="16"/>
  <c r="AK188" i="16"/>
  <c r="AK232" i="16"/>
  <c r="AK252" i="16"/>
  <c r="AK369" i="16"/>
  <c r="AK372" i="16"/>
  <c r="AK237" i="16"/>
  <c r="AK355" i="16"/>
  <c r="AK225" i="16"/>
  <c r="AK71" i="16"/>
  <c r="AK258" i="16"/>
  <c r="AK262" i="16"/>
  <c r="AK92" i="16"/>
  <c r="AK356" i="16"/>
  <c r="AK374" i="16"/>
  <c r="AK271" i="16"/>
  <c r="AK218" i="16"/>
  <c r="AK35" i="16"/>
  <c r="AK125" i="16"/>
  <c r="AK37" i="16"/>
  <c r="AK157" i="16"/>
  <c r="AK309" i="16"/>
  <c r="AK26" i="16"/>
  <c r="AK142" i="16"/>
  <c r="AK294" i="16"/>
  <c r="AK282" i="16"/>
  <c r="AK360" i="16"/>
  <c r="AK163" i="16"/>
  <c r="AK272" i="16"/>
  <c r="AK124" i="16"/>
  <c r="AK223" i="16"/>
  <c r="AK297" i="16"/>
  <c r="AK320" i="16"/>
  <c r="AK47" i="16"/>
  <c r="AK144" i="16"/>
  <c r="AK379" i="16"/>
  <c r="AK220" i="16"/>
  <c r="AK129" i="16"/>
  <c r="AK315" i="16"/>
  <c r="AK183" i="16"/>
  <c r="AK321" i="16"/>
  <c r="AK86" i="16"/>
  <c r="AK55" i="16"/>
  <c r="AK303" i="16"/>
  <c r="AK343" i="16"/>
  <c r="AK18" i="16"/>
  <c r="AK66" i="16"/>
  <c r="AK106" i="16"/>
  <c r="AK164" i="16"/>
  <c r="AK134" i="16"/>
  <c r="AK95" i="16"/>
  <c r="AK110" i="16"/>
  <c r="AK231" i="16"/>
  <c r="AK302" i="16"/>
  <c r="AK328" i="16"/>
  <c r="AK362" i="16"/>
  <c r="AK121" i="16"/>
  <c r="AK210" i="16"/>
  <c r="AK195" i="16"/>
  <c r="AK269" i="16"/>
  <c r="AK345" i="16"/>
  <c r="AK273" i="16"/>
  <c r="AK326" i="16"/>
  <c r="AK347" i="16"/>
  <c r="AK22" i="16"/>
  <c r="AK137" i="16"/>
  <c r="AK189" i="16"/>
  <c r="AK254" i="16"/>
  <c r="AK316" i="16"/>
  <c r="AK38" i="16"/>
  <c r="AK176" i="16"/>
  <c r="AK317" i="16"/>
  <c r="AK290" i="16"/>
  <c r="AK376" i="16"/>
  <c r="AK260" i="16"/>
  <c r="AK198" i="16"/>
  <c r="AK296" i="16"/>
  <c r="AK85" i="16"/>
  <c r="AK265" i="16"/>
  <c r="AK159" i="16"/>
  <c r="AK192" i="16"/>
  <c r="AK98" i="16"/>
  <c r="AK359" i="16"/>
  <c r="AK380" i="16"/>
  <c r="AK131" i="16"/>
  <c r="AK249" i="16"/>
  <c r="AK122" i="16"/>
  <c r="AK304" i="16"/>
  <c r="AK370" i="16"/>
  <c r="AK20" i="16"/>
  <c r="AK40" i="16"/>
  <c r="AK39" i="16"/>
  <c r="AK59" i="16"/>
  <c r="AK73" i="16"/>
  <c r="AK87" i="16"/>
  <c r="AK67" i="16"/>
  <c r="AK96" i="16"/>
  <c r="AK111" i="16"/>
  <c r="AK128" i="16"/>
  <c r="AK140" i="16"/>
  <c r="AK156" i="16"/>
  <c r="AK168" i="16"/>
  <c r="AK34" i="16"/>
  <c r="AK69" i="16"/>
  <c r="AK113" i="16"/>
  <c r="AK15" i="16"/>
  <c r="AK44" i="16"/>
  <c r="AK62" i="16"/>
  <c r="AK27" i="16"/>
  <c r="AK101" i="16"/>
  <c r="AK133" i="16"/>
  <c r="AK161" i="16"/>
  <c r="AK50" i="16"/>
  <c r="AK120" i="16"/>
  <c r="AK181" i="16"/>
  <c r="AK206" i="16"/>
  <c r="AK219" i="16"/>
  <c r="AK234" i="16"/>
  <c r="AK253" i="16"/>
  <c r="AK268" i="16"/>
  <c r="AK292" i="16"/>
  <c r="AK305" i="16"/>
  <c r="AK75" i="16"/>
  <c r="AK169" i="16"/>
  <c r="AK213" i="16"/>
  <c r="AK277" i="16"/>
  <c r="AK335" i="16"/>
  <c r="AK165" i="16"/>
  <c r="AK207" i="16"/>
  <c r="AK235" i="16"/>
  <c r="AK337" i="16"/>
  <c r="AK375" i="16"/>
  <c r="AK319" i="16"/>
  <c r="AK263" i="16"/>
  <c r="AK339" i="16"/>
  <c r="AK246" i="16"/>
  <c r="AK184" i="16"/>
  <c r="AK202" i="16"/>
  <c r="AK102" i="16"/>
  <c r="AK357" i="16"/>
  <c r="AK323" i="16"/>
  <c r="AK299" i="16"/>
  <c r="AK60" i="16"/>
  <c r="AK344" i="16"/>
  <c r="AK119" i="16"/>
  <c r="AK205" i="16"/>
  <c r="AK233" i="16"/>
  <c r="AK266" i="16"/>
  <c r="AK41" i="16"/>
  <c r="AK172" i="16"/>
  <c r="AK313" i="16"/>
  <c r="AK158" i="16"/>
  <c r="AK285" i="16"/>
  <c r="AK16" i="16"/>
  <c r="AK28" i="16"/>
  <c r="AK46" i="16"/>
  <c r="AK52" i="16"/>
  <c r="AK63" i="16"/>
  <c r="AK82" i="16"/>
  <c r="AK29" i="16"/>
  <c r="AK80" i="16"/>
  <c r="AK103" i="16"/>
  <c r="AK118" i="16"/>
  <c r="AK136" i="16"/>
  <c r="AK149" i="16"/>
  <c r="AK162" i="16"/>
  <c r="AK178" i="16"/>
  <c r="AK53" i="16"/>
  <c r="AK97" i="16"/>
  <c r="AK126" i="16"/>
  <c r="AK25" i="16"/>
  <c r="AK51" i="16"/>
  <c r="AK81" i="16"/>
  <c r="AK77" i="16"/>
  <c r="AK117" i="16"/>
  <c r="AK148" i="16"/>
  <c r="AK171" i="16"/>
  <c r="AK94" i="16"/>
  <c r="AK145" i="16"/>
  <c r="AK196" i="16"/>
  <c r="AK214" i="16"/>
  <c r="AK226" i="16"/>
  <c r="AK241" i="16"/>
  <c r="AK259" i="16"/>
  <c r="AK280" i="16"/>
  <c r="AK298" i="16"/>
  <c r="AK23" i="16"/>
  <c r="AK112" i="16"/>
  <c r="AK143" i="16"/>
  <c r="AK240" i="16"/>
  <c r="AK308" i="16"/>
  <c r="AK21" i="16"/>
  <c r="AK141" i="16"/>
  <c r="AK287" i="16"/>
  <c r="AK279" i="16"/>
  <c r="AK352" i="16"/>
  <c r="AK361" i="16"/>
  <c r="AK354" i="16"/>
  <c r="AK283" i="16"/>
  <c r="AK243" i="16"/>
  <c r="AK300" i="16"/>
  <c r="AK216" i="16"/>
  <c r="AK150" i="16"/>
  <c r="AK173" i="16"/>
  <c r="AK74" i="16"/>
  <c r="AK341" i="16"/>
  <c r="AK310" i="16"/>
  <c r="AK261" i="16"/>
  <c r="AK229" i="16"/>
  <c r="AK200" i="16"/>
  <c r="AK99" i="16"/>
  <c r="AK151" i="16"/>
  <c r="AK89" i="16"/>
  <c r="AK54" i="16"/>
  <c r="AK377" i="16"/>
  <c r="AK351" i="16"/>
  <c r="AK371" i="16"/>
  <c r="AK332" i="16"/>
  <c r="AK291" i="16"/>
  <c r="AK278" i="16"/>
  <c r="AK256" i="16"/>
  <c r="AK228" i="16"/>
  <c r="AK331" i="16"/>
  <c r="AK276" i="16"/>
  <c r="AK236" i="16"/>
  <c r="AK201" i="16"/>
  <c r="AK180" i="16"/>
  <c r="AK130" i="16"/>
  <c r="AK194" i="16"/>
  <c r="AK147" i="16"/>
  <c r="AK70" i="16"/>
  <c r="AK366" i="16"/>
  <c r="AK353" i="16"/>
  <c r="AK333" i="16"/>
  <c r="AK318" i="16"/>
  <c r="AK307" i="16"/>
  <c r="AK274" i="16"/>
  <c r="AK239" i="16"/>
  <c r="AK212" i="16"/>
  <c r="AK135" i="16"/>
  <c r="AK166" i="16"/>
  <c r="AK107" i="16"/>
  <c r="AK72" i="16"/>
  <c r="AK19" i="16"/>
  <c r="AK93" i="16"/>
  <c r="AK170" i="16"/>
  <c r="AK146" i="16"/>
  <c r="AK114" i="16"/>
  <c r="AK76" i="16"/>
  <c r="AK79" i="16"/>
  <c r="AK48" i="16"/>
  <c r="AK24" i="16"/>
  <c r="AK250" i="16"/>
  <c r="AK289" i="16"/>
  <c r="AK208" i="16"/>
  <c r="AK327" i="16"/>
  <c r="AK281" i="16"/>
  <c r="AK247" i="16"/>
  <c r="AK215" i="16"/>
  <c r="AK153" i="16"/>
  <c r="AK185" i="16"/>
  <c r="AK123" i="16"/>
  <c r="AK83" i="16"/>
  <c r="AK32" i="16"/>
  <c r="AK367" i="16"/>
  <c r="AK378" i="16"/>
  <c r="AK364" i="16"/>
  <c r="AK322" i="16"/>
  <c r="AK284" i="16"/>
  <c r="AK267" i="16"/>
  <c r="AK244" i="16"/>
  <c r="AK340" i="16"/>
  <c r="AK301" i="16"/>
  <c r="AK257" i="16"/>
  <c r="AK224" i="16"/>
  <c r="AK190" i="16"/>
  <c r="AK155" i="16"/>
  <c r="AK203" i="16"/>
  <c r="AK174" i="16"/>
  <c r="AK105" i="16"/>
  <c r="AK109" i="16"/>
  <c r="AK358" i="16"/>
  <c r="AK342" i="16"/>
  <c r="AK325" i="16"/>
  <c r="AK312" i="16"/>
  <c r="AK295" i="16"/>
  <c r="AK255" i="16"/>
  <c r="AK222" i="16"/>
  <c r="AK191" i="16"/>
  <c r="AK68" i="16"/>
  <c r="AK139" i="16"/>
  <c r="AK64" i="16"/>
  <c r="AK36" i="16"/>
  <c r="AK116" i="16"/>
  <c r="AK49" i="16"/>
  <c r="AK160" i="16"/>
  <c r="AK132" i="16"/>
  <c r="AK100" i="16"/>
  <c r="AK90" i="16"/>
  <c r="AK61" i="16"/>
  <c r="AK43" i="16"/>
  <c r="P12" i="16"/>
  <c r="AK177" i="16"/>
  <c r="AK42" i="16"/>
  <c r="AK115" i="16"/>
  <c r="AJ22" i="16"/>
  <c r="AJ29" i="16"/>
  <c r="AJ34" i="16"/>
  <c r="AJ43" i="16"/>
  <c r="AJ52" i="16"/>
  <c r="AJ64" i="16"/>
  <c r="AJ70" i="16"/>
  <c r="AJ77" i="16"/>
  <c r="AJ82" i="16"/>
  <c r="AJ92" i="16"/>
  <c r="AJ100" i="16"/>
  <c r="AJ105" i="16"/>
  <c r="AJ111" i="16"/>
  <c r="AJ115" i="16"/>
  <c r="AJ122" i="16"/>
  <c r="AJ129" i="16"/>
  <c r="AJ138" i="16"/>
  <c r="AJ154" i="16"/>
  <c r="AJ159" i="16"/>
  <c r="AJ167" i="16"/>
  <c r="AJ171" i="16"/>
  <c r="AJ18" i="16"/>
  <c r="AJ27" i="16"/>
  <c r="AJ37" i="16"/>
  <c r="AJ44" i="16"/>
  <c r="AJ51" i="16"/>
  <c r="AJ58" i="16"/>
  <c r="AJ74" i="16"/>
  <c r="AJ85" i="16"/>
  <c r="AJ93" i="16"/>
  <c r="AJ119" i="16"/>
  <c r="AJ139" i="16"/>
  <c r="AJ162" i="16"/>
  <c r="AJ179" i="16"/>
  <c r="AJ190" i="16"/>
  <c r="AJ196" i="16"/>
  <c r="AJ207" i="16"/>
  <c r="AJ69" i="16"/>
  <c r="AJ95" i="16"/>
  <c r="AJ130" i="16"/>
  <c r="AJ137" i="16"/>
  <c r="AJ143" i="16"/>
  <c r="AJ149" i="16"/>
  <c r="AJ176" i="16"/>
  <c r="AJ181" i="16"/>
  <c r="AJ188" i="16"/>
  <c r="AJ197" i="16"/>
  <c r="AJ202" i="16"/>
  <c r="AJ209" i="16"/>
  <c r="AJ215" i="16"/>
  <c r="AJ229" i="16"/>
  <c r="AJ236" i="16"/>
  <c r="AJ245" i="16"/>
  <c r="AJ253" i="16"/>
  <c r="AJ260" i="16"/>
  <c r="AJ264" i="16"/>
  <c r="AJ272" i="16"/>
  <c r="AJ279" i="16"/>
  <c r="AJ287" i="16"/>
  <c r="AJ298" i="16"/>
  <c r="AJ308" i="16"/>
  <c r="AJ316" i="16"/>
  <c r="AJ322" i="16"/>
  <c r="AJ326" i="16"/>
  <c r="AJ337" i="16"/>
  <c r="AJ344" i="16"/>
  <c r="AJ353" i="16"/>
  <c r="AJ359" i="16"/>
  <c r="AJ365" i="16"/>
  <c r="AJ371" i="16"/>
  <c r="AJ377" i="16"/>
  <c r="AJ217" i="16"/>
  <c r="AJ221" i="16"/>
  <c r="AJ228" i="16"/>
  <c r="AJ238" i="16"/>
  <c r="AJ244" i="16"/>
  <c r="AJ250" i="16"/>
  <c r="AJ265" i="16"/>
  <c r="AJ273" i="16"/>
  <c r="AJ283" i="16"/>
  <c r="AJ289" i="16"/>
  <c r="AJ295" i="16"/>
  <c r="AJ301" i="16"/>
  <c r="AJ310" i="16"/>
  <c r="AJ23" i="16"/>
  <c r="AJ30" i="16"/>
  <c r="AJ35" i="16"/>
  <c r="AJ46" i="16"/>
  <c r="AJ53" i="16"/>
  <c r="AJ65" i="16"/>
  <c r="AJ71" i="16"/>
  <c r="AJ78" i="16"/>
  <c r="AJ83" i="16"/>
  <c r="AJ97" i="16"/>
  <c r="AJ101" i="16"/>
  <c r="AJ106" i="16"/>
  <c r="AJ112" i="16"/>
  <c r="AJ116" i="16"/>
  <c r="AJ123" i="16"/>
  <c r="AJ131" i="16"/>
  <c r="AJ146" i="16"/>
  <c r="AJ156" i="16"/>
  <c r="AJ160" i="16"/>
  <c r="AJ168" i="16"/>
  <c r="AJ172" i="16"/>
  <c r="AJ19" i="16"/>
  <c r="AJ28" i="16"/>
  <c r="AJ38" i="16"/>
  <c r="AJ45" i="16"/>
  <c r="AJ55" i="16"/>
  <c r="AJ59" i="16"/>
  <c r="AJ75" i="16"/>
  <c r="AJ86" i="16"/>
  <c r="AJ102" i="16"/>
  <c r="AJ120" i="16"/>
  <c r="AJ151" i="16"/>
  <c r="AJ165" i="16"/>
  <c r="AJ182" i="16"/>
  <c r="AJ193" i="16"/>
  <c r="AJ198" i="16"/>
  <c r="AJ211" i="16"/>
  <c r="AJ80" i="16"/>
  <c r="AJ96" i="16"/>
  <c r="AJ133" i="16"/>
  <c r="AJ140" i="16"/>
  <c r="AJ144" i="16"/>
  <c r="AJ150" i="16"/>
  <c r="AJ177" i="16"/>
  <c r="AJ183" i="16"/>
  <c r="AJ189" i="16"/>
  <c r="AJ199" i="16"/>
  <c r="AJ204" i="16"/>
  <c r="AJ210" i="16"/>
  <c r="AJ222" i="16"/>
  <c r="AJ230" i="16"/>
  <c r="AJ237" i="16"/>
  <c r="AJ247" i="16"/>
  <c r="AJ256" i="16"/>
  <c r="AJ261" i="16"/>
  <c r="AJ267" i="16"/>
  <c r="AJ274" i="16"/>
  <c r="AJ280" i="16"/>
  <c r="AJ293" i="16"/>
  <c r="AJ304" i="16"/>
  <c r="AJ309" i="16"/>
  <c r="AJ317" i="16"/>
  <c r="AJ323" i="16"/>
  <c r="AJ332" i="16"/>
  <c r="AJ338" i="16"/>
  <c r="AJ346" i="16"/>
  <c r="AJ355" i="16"/>
  <c r="AJ361" i="16"/>
  <c r="AJ366" i="16"/>
  <c r="AJ372" i="16"/>
  <c r="AJ379" i="16"/>
  <c r="AJ218" i="16"/>
  <c r="AJ224" i="16"/>
  <c r="AJ231" i="16"/>
  <c r="AJ239" i="16"/>
  <c r="AJ246" i="16"/>
  <c r="AJ254" i="16"/>
  <c r="AJ266" i="16"/>
  <c r="AJ276" i="16"/>
  <c r="AJ284" i="16"/>
  <c r="AJ290" i="16"/>
  <c r="AJ297" i="16"/>
  <c r="AJ302" i="16"/>
  <c r="AJ312" i="16"/>
  <c r="AJ321" i="16"/>
  <c r="AJ330" i="16"/>
  <c r="AJ339" i="16"/>
  <c r="AJ347" i="16"/>
  <c r="AJ354" i="16"/>
  <c r="AJ367" i="16"/>
  <c r="AJ378" i="16"/>
  <c r="N13" i="7"/>
  <c r="AJ319" i="16"/>
  <c r="AJ329" i="16"/>
  <c r="AJ336" i="16"/>
  <c r="AJ345" i="16"/>
  <c r="AJ352" i="16"/>
  <c r="AJ364" i="16"/>
  <c r="AJ375" i="16"/>
  <c r="AJ15" i="16"/>
  <c r="F7" i="16"/>
  <c r="AC12" i="16" s="1"/>
  <c r="AC33" i="16" s="1"/>
  <c r="AJ25" i="16"/>
  <c r="AJ31" i="16"/>
  <c r="AJ40" i="16"/>
  <c r="AJ47" i="16"/>
  <c r="AJ54" i="16"/>
  <c r="AJ66" i="16"/>
  <c r="AJ72" i="16"/>
  <c r="AJ79" i="16"/>
  <c r="AJ87" i="16"/>
  <c r="AJ98" i="16"/>
  <c r="AJ103" i="16"/>
  <c r="AJ107" i="16"/>
  <c r="AJ113" i="16"/>
  <c r="AJ118" i="16"/>
  <c r="AJ125" i="16"/>
  <c r="AJ132" i="16"/>
  <c r="AJ147" i="16"/>
  <c r="AJ157" i="16"/>
  <c r="AJ161" i="16"/>
  <c r="AJ169" i="16"/>
  <c r="AJ175" i="16"/>
  <c r="AJ20" i="16"/>
  <c r="AJ32" i="16"/>
  <c r="AJ39" i="16"/>
  <c r="AJ49" i="16"/>
  <c r="AJ56" i="16"/>
  <c r="AJ60" i="16"/>
  <c r="AJ76" i="16"/>
  <c r="AJ88" i="16"/>
  <c r="AJ108" i="16"/>
  <c r="AJ124" i="16"/>
  <c r="AJ152" i="16"/>
  <c r="AJ166" i="16"/>
  <c r="AJ185" i="16"/>
  <c r="AJ194" i="16"/>
  <c r="AJ203" i="16"/>
  <c r="AJ63" i="16"/>
  <c r="AJ91" i="16"/>
  <c r="AJ110" i="16"/>
  <c r="AJ134" i="16"/>
  <c r="AJ141" i="16"/>
  <c r="AJ145" i="16"/>
  <c r="AJ163" i="16"/>
  <c r="AJ178" i="16"/>
  <c r="AJ184" i="16"/>
  <c r="AJ191" i="16"/>
  <c r="AJ200" i="16"/>
  <c r="AJ205" i="16"/>
  <c r="AJ212" i="16"/>
  <c r="AJ223" i="16"/>
  <c r="AJ233" i="16"/>
  <c r="AJ241" i="16"/>
  <c r="AJ251" i="16"/>
  <c r="AJ257" i="16"/>
  <c r="AJ262" i="16"/>
  <c r="AJ269" i="16"/>
  <c r="AJ275" i="16"/>
  <c r="AJ281" i="16"/>
  <c r="AJ294" i="16"/>
  <c r="AJ305" i="16"/>
  <c r="AJ311" i="16"/>
  <c r="AJ318" i="16"/>
  <c r="AJ324" i="16"/>
  <c r="AJ333" i="16"/>
  <c r="AJ341" i="16"/>
  <c r="AJ349" i="16"/>
  <c r="AJ356" i="16"/>
  <c r="AJ362" i="16"/>
  <c r="AJ368" i="16"/>
  <c r="AJ373" i="16"/>
  <c r="AJ213" i="16"/>
  <c r="AJ219" i="16"/>
  <c r="AJ225" i="16"/>
  <c r="AJ232" i="16"/>
  <c r="AJ240" i="16"/>
  <c r="AJ248" i="16"/>
  <c r="AJ255" i="16"/>
  <c r="AJ268" i="16"/>
  <c r="AJ278" i="16"/>
  <c r="AJ285" i="16"/>
  <c r="AJ291" i="16"/>
  <c r="AJ299" i="16"/>
  <c r="AJ303" i="16"/>
  <c r="AJ21" i="16"/>
  <c r="AJ26" i="16"/>
  <c r="AJ33" i="16"/>
  <c r="AJ41" i="16"/>
  <c r="AJ48" i="16"/>
  <c r="AJ62" i="16"/>
  <c r="AJ67" i="16"/>
  <c r="AJ73" i="16"/>
  <c r="AJ81" i="16"/>
  <c r="AJ89" i="16"/>
  <c r="AJ99" i="16"/>
  <c r="AJ104" i="16"/>
  <c r="AJ109" i="16"/>
  <c r="AJ114" i="16"/>
  <c r="AJ121" i="16"/>
  <c r="AJ126" i="16"/>
  <c r="AJ135" i="16"/>
  <c r="AJ153" i="16"/>
  <c r="AJ158" i="16"/>
  <c r="AJ164" i="16"/>
  <c r="AJ170" i="16"/>
  <c r="AJ17" i="16"/>
  <c r="AJ24" i="16"/>
  <c r="AJ36" i="16"/>
  <c r="AJ42" i="16"/>
  <c r="AJ50" i="16"/>
  <c r="AJ57" i="16"/>
  <c r="AJ61" i="16"/>
  <c r="AJ84" i="16"/>
  <c r="AJ90" i="16"/>
  <c r="AJ117" i="16"/>
  <c r="AJ128" i="16"/>
  <c r="AJ155" i="16"/>
  <c r="AJ174" i="16"/>
  <c r="AJ186" i="16"/>
  <c r="AJ195" i="16"/>
  <c r="AJ206" i="16"/>
  <c r="AJ68" i="16"/>
  <c r="AJ94" i="16"/>
  <c r="AJ127" i="16"/>
  <c r="AJ136" i="16"/>
  <c r="AJ142" i="16"/>
  <c r="AJ148" i="16"/>
  <c r="AJ173" i="16"/>
  <c r="AJ180" i="16"/>
  <c r="AJ187" i="16"/>
  <c r="AJ192" i="16"/>
  <c r="AJ201" i="16"/>
  <c r="AJ208" i="16"/>
  <c r="AJ214" i="16"/>
  <c r="AJ226" i="16"/>
  <c r="AJ234" i="16"/>
  <c r="AJ242" i="16"/>
  <c r="AJ252" i="16"/>
  <c r="AJ259" i="16"/>
  <c r="AJ263" i="16"/>
  <c r="AJ270" i="16"/>
  <c r="AJ277" i="16"/>
  <c r="AJ286" i="16"/>
  <c r="AJ296" i="16"/>
  <c r="AJ306" i="16"/>
  <c r="AJ313" i="16"/>
  <c r="AJ320" i="16"/>
  <c r="AJ325" i="16"/>
  <c r="AJ335" i="16"/>
  <c r="AJ343" i="16"/>
  <c r="AJ351" i="16"/>
  <c r="AJ357" i="16"/>
  <c r="AJ363" i="16"/>
  <c r="AJ369" i="16"/>
  <c r="AJ376" i="16"/>
  <c r="AJ216" i="16"/>
  <c r="AJ220" i="16"/>
  <c r="AJ227" i="16"/>
  <c r="AJ235" i="16"/>
  <c r="AJ243" i="16"/>
  <c r="AJ249" i="16"/>
  <c r="AJ258" i="16"/>
  <c r="AJ271" i="16"/>
  <c r="AJ282" i="16"/>
  <c r="AJ288" i="16"/>
  <c r="AJ292" i="16"/>
  <c r="AJ300" i="16"/>
  <c r="AJ307" i="16"/>
  <c r="AJ315" i="16"/>
  <c r="AJ328" i="16"/>
  <c r="AJ334" i="16"/>
  <c r="AJ342" i="16"/>
  <c r="AJ350" i="16"/>
  <c r="AJ360" i="16"/>
  <c r="AJ374" i="16"/>
  <c r="AJ380" i="16"/>
  <c r="AJ314" i="16"/>
  <c r="AJ327" i="16"/>
  <c r="AJ331" i="16"/>
  <c r="AJ340" i="16"/>
  <c r="AJ348" i="16"/>
  <c r="AJ358" i="16"/>
  <c r="AJ370" i="16"/>
  <c r="AJ16" i="16"/>
  <c r="AM5" i="15"/>
  <c r="AM7" i="15"/>
  <c r="AM11" i="15" s="1"/>
  <c r="AK7" i="15"/>
  <c r="AK11" i="15" s="1"/>
  <c r="AM9" i="15"/>
  <c r="AK5" i="15"/>
  <c r="AK6" i="15"/>
  <c r="AK9" i="15"/>
  <c r="Z11" i="7"/>
  <c r="P11" i="17"/>
  <c r="U11" i="7"/>
  <c r="Q11" i="17" s="1"/>
  <c r="T15" i="7"/>
  <c r="AE11" i="15"/>
  <c r="Q10" i="15"/>
  <c r="K15" i="7" s="1"/>
  <c r="AI11" i="15"/>
  <c r="P10" i="15"/>
  <c r="L12" i="19"/>
  <c r="AJ5" i="18"/>
  <c r="C11" i="19"/>
  <c r="F35" i="19"/>
  <c r="AJ3" i="15"/>
  <c r="O12" i="19" s="1"/>
  <c r="AY27" i="6"/>
  <c r="J13" i="7"/>
  <c r="AC374" i="15"/>
  <c r="AC61" i="15"/>
  <c r="AC155" i="15"/>
  <c r="AC237" i="15"/>
  <c r="AC296" i="15"/>
  <c r="AC354" i="15"/>
  <c r="AC146" i="15"/>
  <c r="AC227" i="15"/>
  <c r="AC241" i="15"/>
  <c r="AC370" i="15"/>
  <c r="AC67" i="15"/>
  <c r="AC165" i="15"/>
  <c r="AC246" i="15"/>
  <c r="AC363" i="15"/>
  <c r="AC247" i="15"/>
  <c r="AC320" i="15"/>
  <c r="AC15" i="15"/>
  <c r="AC65" i="15"/>
  <c r="AC86" i="15"/>
  <c r="AC160" i="15"/>
  <c r="AC127" i="15"/>
  <c r="AC244" i="15"/>
  <c r="AC299" i="15"/>
  <c r="AC360" i="15"/>
  <c r="AC186" i="15"/>
  <c r="AC235" i="15"/>
  <c r="AC248" i="15"/>
  <c r="AC89" i="15"/>
  <c r="AC178" i="15"/>
  <c r="AC252" i="15"/>
  <c r="AC311" i="15"/>
  <c r="AC368" i="15"/>
  <c r="AC207" i="15"/>
  <c r="AC264" i="15"/>
  <c r="AC273" i="15"/>
  <c r="AC379" i="15"/>
  <c r="AC33" i="15"/>
  <c r="AC185" i="15"/>
  <c r="AC272" i="15"/>
  <c r="AC28" i="15"/>
  <c r="AC323" i="15"/>
  <c r="AC355" i="15"/>
  <c r="AC29" i="15"/>
  <c r="AC77" i="15"/>
  <c r="AC120" i="15"/>
  <c r="AC173" i="15"/>
  <c r="AC180" i="15"/>
  <c r="AC256" i="15"/>
  <c r="AC316" i="15"/>
  <c r="AC80" i="15"/>
  <c r="AC214" i="15"/>
  <c r="AC280" i="15"/>
  <c r="AC282" i="15"/>
  <c r="AC23" i="15"/>
  <c r="AC73" i="15"/>
  <c r="AC107" i="15"/>
  <c r="AC168" i="15"/>
  <c r="AC151" i="15"/>
  <c r="AC245" i="15"/>
  <c r="AC271" i="15"/>
  <c r="AC300" i="15"/>
  <c r="AC332" i="15"/>
  <c r="AC361" i="15"/>
  <c r="AC21" i="15"/>
  <c r="AC190" i="15"/>
  <c r="AC179" i="15"/>
  <c r="AC238" i="15"/>
  <c r="AC321" i="15"/>
  <c r="AC249" i="15"/>
  <c r="AC317" i="15"/>
  <c r="AC375" i="15"/>
  <c r="AC35" i="15"/>
  <c r="AC83" i="15"/>
  <c r="AC123" i="15"/>
  <c r="AC175" i="15"/>
  <c r="AC191" i="15"/>
  <c r="AC261" i="15"/>
  <c r="AC319" i="15"/>
  <c r="AC103" i="15"/>
  <c r="AC136" i="15"/>
  <c r="AC289" i="15"/>
  <c r="AC17" i="15"/>
  <c r="AC25" i="15"/>
  <c r="AC66" i="15"/>
  <c r="AC26" i="15"/>
  <c r="AC94" i="15"/>
  <c r="AC134" i="15"/>
  <c r="AC161" i="15"/>
  <c r="AC184" i="15"/>
  <c r="AC129" i="15"/>
  <c r="AC205" i="15"/>
  <c r="AC81" i="15"/>
  <c r="AC115" i="15"/>
  <c r="AC266" i="15"/>
  <c r="AC326" i="15"/>
  <c r="AC116" i="15"/>
  <c r="AC158" i="15"/>
  <c r="AC303" i="15"/>
  <c r="AC306" i="15"/>
  <c r="AC18" i="15"/>
  <c r="AC96" i="15"/>
  <c r="AC137" i="15"/>
  <c r="AC301" i="15"/>
  <c r="AC199" i="15"/>
  <c r="AC253" i="15"/>
  <c r="AC376" i="15"/>
  <c r="AC42" i="15"/>
  <c r="AC93" i="15"/>
  <c r="AC133" i="15"/>
  <c r="AC183" i="15"/>
  <c r="AC202" i="15"/>
  <c r="AC270" i="15"/>
  <c r="AC331" i="15"/>
  <c r="AC126" i="15"/>
  <c r="AC170" i="15"/>
  <c r="AC309" i="15"/>
  <c r="AC315" i="15"/>
  <c r="AC38" i="15"/>
  <c r="AC130" i="15"/>
  <c r="AC196" i="15"/>
  <c r="AC278" i="15"/>
  <c r="AC338" i="15"/>
  <c r="AC48" i="15"/>
  <c r="AC197" i="15"/>
  <c r="AC341" i="15"/>
  <c r="AC330" i="15"/>
  <c r="AC30" i="15"/>
  <c r="AC135" i="15"/>
  <c r="AC206" i="15"/>
  <c r="AC334" i="15"/>
  <c r="AC188" i="15"/>
  <c r="AC286" i="15"/>
  <c r="AC369" i="15"/>
  <c r="AC53" i="15"/>
  <c r="AC60" i="15"/>
  <c r="AC148" i="15"/>
  <c r="AC100" i="15"/>
  <c r="AC223" i="15"/>
  <c r="AC285" i="15"/>
  <c r="AC346" i="15"/>
  <c r="AC92" i="15"/>
  <c r="AC209" i="15"/>
  <c r="AC225" i="15"/>
  <c r="AC347" i="15"/>
  <c r="AC43" i="15"/>
  <c r="AC50" i="15"/>
  <c r="AC141" i="15"/>
  <c r="AC79" i="15"/>
  <c r="AC217" i="15"/>
  <c r="AC257" i="15"/>
  <c r="AC287" i="15"/>
  <c r="AC318" i="15"/>
  <c r="AC349" i="15"/>
  <c r="AC101" i="15"/>
  <c r="AC99" i="15"/>
  <c r="AC220" i="15"/>
  <c r="AC213" i="15"/>
  <c r="AC288" i="15"/>
  <c r="AC229" i="15"/>
  <c r="AC283" i="15"/>
  <c r="AC352" i="15"/>
  <c r="AC365" i="15"/>
  <c r="AC55" i="15"/>
  <c r="AC68" i="15"/>
  <c r="AC150" i="15"/>
  <c r="AC108" i="15"/>
  <c r="AC226" i="15"/>
  <c r="AC293" i="15"/>
  <c r="AC350" i="15"/>
  <c r="AC102" i="15"/>
  <c r="AC216" i="15"/>
  <c r="AC230" i="15"/>
  <c r="AC34" i="15"/>
  <c r="AC54" i="15"/>
  <c r="AC78" i="15"/>
  <c r="AC63" i="15"/>
  <c r="AC122" i="15"/>
  <c r="AC149" i="15"/>
  <c r="AC174" i="15"/>
  <c r="AC106" i="15"/>
  <c r="AC189" i="15"/>
  <c r="AC224" i="15"/>
  <c r="AC36" i="15"/>
  <c r="AC56" i="15"/>
  <c r="AC87" i="15"/>
  <c r="AC70" i="15"/>
  <c r="AC124" i="15"/>
  <c r="AC152" i="15"/>
  <c r="AC176" i="15"/>
  <c r="AC113" i="15"/>
  <c r="AC193" i="15"/>
  <c r="AC233" i="15"/>
  <c r="AC262" i="15"/>
  <c r="AC294" i="15"/>
  <c r="AC322" i="15"/>
  <c r="AC351" i="15"/>
  <c r="AC111" i="15"/>
  <c r="AC104" i="15"/>
  <c r="AC140" i="15"/>
  <c r="AC219" i="15"/>
  <c r="AC290" i="15"/>
  <c r="AC231" i="15"/>
  <c r="AC292" i="15"/>
  <c r="AC362" i="15"/>
  <c r="AC372" i="15"/>
  <c r="AC62" i="15"/>
  <c r="AC82" i="15"/>
  <c r="AC157" i="15"/>
  <c r="AC118" i="15"/>
  <c r="AC239" i="15"/>
  <c r="AC297" i="15"/>
  <c r="AC357" i="15"/>
  <c r="AC156" i="15"/>
  <c r="AC228" i="15"/>
  <c r="AC242" i="15"/>
  <c r="AC371" i="15"/>
  <c r="AC27" i="15"/>
  <c r="AC52" i="15"/>
  <c r="AC75" i="15"/>
  <c r="AC59" i="15"/>
  <c r="AC119" i="15"/>
  <c r="AC143" i="15"/>
  <c r="AC171" i="15"/>
  <c r="AC97" i="15"/>
  <c r="AC172" i="15"/>
  <c r="AC221" i="15"/>
  <c r="AC284" i="15"/>
  <c r="AC340" i="15"/>
  <c r="AC84" i="15"/>
  <c r="AC208" i="15"/>
  <c r="AC344" i="15"/>
  <c r="AC345" i="15"/>
  <c r="AC44" i="15"/>
  <c r="AC142" i="15"/>
  <c r="AC218" i="15"/>
  <c r="AC339" i="15"/>
  <c r="AC198" i="15"/>
  <c r="AC342" i="15"/>
  <c r="AC57" i="15"/>
  <c r="AC71" i="15"/>
  <c r="AC153" i="15"/>
  <c r="AC114" i="15"/>
  <c r="AC236" i="15"/>
  <c r="AC295" i="15"/>
  <c r="AC353" i="15"/>
  <c r="AC109" i="15"/>
  <c r="AC222" i="15"/>
  <c r="AC232" i="15"/>
  <c r="AC364" i="15"/>
  <c r="AC204" i="15"/>
  <c r="AC337" i="15"/>
  <c r="AC240" i="15"/>
  <c r="AC298" i="15"/>
  <c r="AC358" i="15"/>
  <c r="AC164" i="15"/>
  <c r="AC234" i="15"/>
  <c r="AC243" i="15"/>
  <c r="AC373" i="15"/>
  <c r="AC74" i="15"/>
  <c r="AC169" i="15"/>
  <c r="AC254" i="15"/>
  <c r="AC22" i="15"/>
  <c r="AC269" i="15"/>
  <c r="AC348" i="15"/>
  <c r="AC72" i="15"/>
  <c r="AC105" i="15"/>
  <c r="AC167" i="15"/>
  <c r="AC145" i="15"/>
  <c r="AC251" i="15"/>
  <c r="AC310" i="15"/>
  <c r="AC367" i="15"/>
  <c r="AC194" i="15"/>
  <c r="AC378" i="15"/>
  <c r="AC19" i="15"/>
  <c r="AC31" i="15"/>
  <c r="AC69" i="15"/>
  <c r="AC46" i="15"/>
  <c r="AC98" i="15"/>
  <c r="AC138" i="15"/>
  <c r="AC166" i="15"/>
  <c r="AC187" i="15"/>
  <c r="AC144" i="15"/>
  <c r="AC210" i="15"/>
  <c r="AC250" i="15"/>
  <c r="AC276" i="15"/>
  <c r="AC302" i="15"/>
  <c r="AC335" i="15"/>
  <c r="AC366" i="15"/>
  <c r="AC40" i="15"/>
  <c r="AC203" i="15"/>
  <c r="AC192" i="15"/>
  <c r="AC260" i="15"/>
  <c r="AC333" i="15"/>
  <c r="AC258" i="15"/>
  <c r="AC324" i="15"/>
  <c r="AC377" i="15"/>
  <c r="AC39" i="15"/>
  <c r="AC90" i="15"/>
  <c r="AC131" i="15"/>
  <c r="AC181" i="15"/>
  <c r="AC200" i="15"/>
  <c r="AC267" i="15"/>
  <c r="AC327" i="15"/>
  <c r="AC117" i="15"/>
  <c r="AC162" i="15"/>
  <c r="AC305" i="15"/>
  <c r="AC307" i="15"/>
  <c r="AC20" i="15"/>
  <c r="AC359" i="15"/>
  <c r="AC41" i="15"/>
  <c r="AC64" i="15"/>
  <c r="AC91" i="15"/>
  <c r="AC85" i="15"/>
  <c r="AC132" i="15"/>
  <c r="AC159" i="15"/>
  <c r="AC182" i="15"/>
  <c r="AC125" i="15"/>
  <c r="AC201" i="15"/>
  <c r="AC255" i="15"/>
  <c r="AC314" i="15"/>
  <c r="AC76" i="15"/>
  <c r="AC212" i="15"/>
  <c r="AC275" i="15"/>
  <c r="AC281" i="15"/>
  <c r="AC356" i="15"/>
  <c r="AC51" i="15"/>
  <c r="AC95" i="15"/>
  <c r="AC279" i="15"/>
  <c r="AC58" i="15"/>
  <c r="AC343" i="15"/>
  <c r="AC37" i="15"/>
  <c r="AC88" i="15"/>
  <c r="AC128" i="15"/>
  <c r="AC177" i="15"/>
  <c r="AC195" i="15"/>
  <c r="AC265" i="15"/>
  <c r="AC325" i="15"/>
  <c r="AC112" i="15"/>
  <c r="AC147" i="15"/>
  <c r="AC291" i="15"/>
  <c r="AC304" i="15"/>
  <c r="AC16" i="15"/>
  <c r="AC263" i="15"/>
  <c r="AC329" i="15"/>
  <c r="AC268" i="15"/>
  <c r="AC328" i="15"/>
  <c r="AC121" i="15"/>
  <c r="AC163" i="15"/>
  <c r="AC308" i="15"/>
  <c r="AC312" i="15"/>
  <c r="AC24" i="15"/>
  <c r="AC110" i="15"/>
  <c r="AC154" i="15"/>
  <c r="AC313" i="15"/>
  <c r="AC211" i="15"/>
  <c r="AC274" i="15"/>
  <c r="AC32" i="15"/>
  <c r="AC49" i="15"/>
  <c r="AC139" i="15"/>
  <c r="AC45" i="15"/>
  <c r="AC215" i="15"/>
  <c r="AC277" i="15"/>
  <c r="AC336" i="15"/>
  <c r="AC47" i="15"/>
  <c r="AC259" i="15"/>
  <c r="O9" i="23"/>
  <c r="AC9" i="20"/>
  <c r="AC12" i="20"/>
  <c r="AJ17" i="22"/>
  <c r="AJ23" i="22"/>
  <c r="AJ63" i="22"/>
  <c r="AJ29" i="22"/>
  <c r="AJ104" i="22"/>
  <c r="AJ143" i="22"/>
  <c r="AJ177" i="22"/>
  <c r="AJ116" i="22"/>
  <c r="AJ165" i="22"/>
  <c r="AJ214" i="22"/>
  <c r="AJ246" i="22"/>
  <c r="AJ274" i="22"/>
  <c r="AJ305" i="22"/>
  <c r="AJ342" i="22"/>
  <c r="AJ72" i="22"/>
  <c r="AJ115" i="22"/>
  <c r="AJ210" i="22"/>
  <c r="AJ201" i="22"/>
  <c r="AJ269" i="22"/>
  <c r="AJ320" i="22"/>
  <c r="AJ280" i="22"/>
  <c r="AJ308" i="22"/>
  <c r="AJ316" i="22"/>
  <c r="AJ36" i="22"/>
  <c r="AJ77" i="22"/>
  <c r="AJ123" i="22"/>
  <c r="AJ84" i="22"/>
  <c r="AJ197" i="22"/>
  <c r="AJ259" i="22"/>
  <c r="AJ330" i="22"/>
  <c r="AJ68" i="22"/>
  <c r="AJ156" i="22"/>
  <c r="AJ293" i="22"/>
  <c r="AJ288" i="22"/>
  <c r="AJ323" i="22"/>
  <c r="AJ340" i="22"/>
  <c r="AJ352" i="22"/>
  <c r="AJ365" i="22"/>
  <c r="AJ351" i="22"/>
  <c r="AJ369" i="22"/>
  <c r="AJ373" i="22"/>
  <c r="AJ378" i="22"/>
  <c r="AJ48" i="22"/>
  <c r="AJ161" i="22"/>
  <c r="AJ225" i="22"/>
  <c r="AJ357" i="22"/>
  <c r="AJ236" i="22"/>
  <c r="AJ312" i="22"/>
  <c r="AJ344" i="22"/>
  <c r="AJ376" i="22"/>
  <c r="AJ371" i="22"/>
  <c r="AJ380" i="22"/>
  <c r="AJ59" i="22"/>
  <c r="AJ139" i="22"/>
  <c r="AJ292" i="22"/>
  <c r="AJ175" i="22"/>
  <c r="AJ244" i="22"/>
  <c r="AJ327" i="22"/>
  <c r="AJ356" i="22"/>
  <c r="AJ367" i="22"/>
  <c r="AJ375" i="22"/>
  <c r="AJ20" i="22"/>
  <c r="AJ38" i="22"/>
  <c r="AJ28" i="22"/>
  <c r="AJ53" i="22"/>
  <c r="AJ66" i="22"/>
  <c r="AJ83" i="22"/>
  <c r="AJ42" i="22"/>
  <c r="AJ78" i="22"/>
  <c r="AJ107" i="22"/>
  <c r="AJ129" i="22"/>
  <c r="AJ149" i="22"/>
  <c r="AJ167" i="22"/>
  <c r="AJ181" i="22"/>
  <c r="AJ93" i="22"/>
  <c r="AJ120" i="22"/>
  <c r="AJ144" i="22"/>
  <c r="AJ185" i="22"/>
  <c r="AJ199" i="22"/>
  <c r="AJ216" i="22"/>
  <c r="AJ228" i="22"/>
  <c r="AJ248" i="22"/>
  <c r="AJ261" i="22"/>
  <c r="AJ279" i="22"/>
  <c r="AJ296" i="22"/>
  <c r="AJ309" i="22"/>
  <c r="AJ332" i="22"/>
  <c r="AJ345" i="22"/>
  <c r="AJ360" i="22"/>
  <c r="AJ96" i="22"/>
  <c r="AJ80" i="22"/>
  <c r="AJ140" i="22"/>
  <c r="AJ184" i="22"/>
  <c r="AJ213" i="22"/>
  <c r="AJ178" i="22"/>
  <c r="AJ204" i="22"/>
  <c r="AJ239" i="22"/>
  <c r="AJ273" i="22"/>
  <c r="AJ300" i="22"/>
  <c r="AJ329" i="22"/>
  <c r="AJ251" i="22"/>
  <c r="AJ284" i="22"/>
  <c r="AJ301" i="22"/>
  <c r="AJ377" i="22"/>
  <c r="AJ372" i="22"/>
  <c r="AJ368" i="22"/>
  <c r="AJ346" i="22"/>
  <c r="AJ364" i="22"/>
  <c r="AJ350" i="22"/>
  <c r="AJ338" i="22"/>
  <c r="AJ322" i="22"/>
  <c r="AJ310" i="22"/>
  <c r="AJ285" i="22"/>
  <c r="AJ226" i="22"/>
  <c r="AJ277" i="22"/>
  <c r="AJ219" i="22"/>
  <c r="AJ134" i="22"/>
  <c r="AJ151" i="22"/>
  <c r="AJ108" i="22"/>
  <c r="AJ348" i="22"/>
  <c r="AJ319" i="22"/>
  <c r="AJ282" i="22"/>
  <c r="AJ254" i="22"/>
  <c r="AJ220" i="22"/>
  <c r="AJ188" i="22"/>
  <c r="AJ126" i="22"/>
  <c r="AJ25" i="22"/>
  <c r="AJ153" i="22"/>
  <c r="AJ114" i="22"/>
  <c r="AJ51" i="22"/>
  <c r="AJ71" i="22"/>
  <c r="AJ33" i="22"/>
  <c r="AJ24" i="22"/>
  <c r="AJ18" i="22"/>
  <c r="AJ26" i="22"/>
  <c r="AJ37" i="22"/>
  <c r="AJ41" i="22"/>
  <c r="AJ27" i="22"/>
  <c r="AJ34" i="22"/>
  <c r="AJ49" i="22"/>
  <c r="AJ60" i="22"/>
  <c r="AJ65" i="22"/>
  <c r="AJ73" i="22"/>
  <c r="AJ79" i="22"/>
  <c r="AJ88" i="22"/>
  <c r="AJ30" i="22"/>
  <c r="AJ52" i="22"/>
  <c r="AJ69" i="22"/>
  <c r="AJ97" i="22"/>
  <c r="AJ106" i="22"/>
  <c r="AJ119" i="22"/>
  <c r="AJ124" i="22"/>
  <c r="AJ133" i="22"/>
  <c r="AJ145" i="22"/>
  <c r="AJ154" i="22"/>
  <c r="AJ162" i="22"/>
  <c r="AJ170" i="22"/>
  <c r="AJ179" i="22"/>
  <c r="AJ44" i="22"/>
  <c r="AJ92" i="22"/>
  <c r="AJ98" i="22"/>
  <c r="AJ117" i="22"/>
  <c r="AJ128" i="22"/>
  <c r="AJ141" i="22"/>
  <c r="AJ157" i="22"/>
  <c r="AJ166" i="22"/>
  <c r="AJ189" i="22"/>
  <c r="AJ198" i="22"/>
  <c r="AJ205" i="22"/>
  <c r="AJ215" i="22"/>
  <c r="AJ221" i="22"/>
  <c r="AJ227" i="22"/>
  <c r="AJ234" i="22"/>
  <c r="AJ247" i="22"/>
  <c r="AJ256" i="22"/>
  <c r="AJ260" i="22"/>
  <c r="AJ265" i="22"/>
  <c r="AJ275" i="22"/>
  <c r="AJ289" i="22"/>
  <c r="AJ295" i="22"/>
  <c r="AJ299" i="22"/>
  <c r="AJ306" i="22"/>
  <c r="AJ321" i="22"/>
  <c r="AJ331" i="22"/>
  <c r="AJ335" i="22"/>
  <c r="AJ343" i="22"/>
  <c r="AJ349" i="22"/>
  <c r="AJ359" i="22"/>
  <c r="AJ363" i="22"/>
  <c r="AJ91" i="22"/>
  <c r="AJ109" i="22"/>
  <c r="AJ74" i="22"/>
  <c r="AJ110" i="22"/>
  <c r="AJ127" i="22"/>
  <c r="AJ163" i="22"/>
  <c r="AJ180" i="22"/>
  <c r="AJ206" i="22"/>
  <c r="AJ212" i="22"/>
  <c r="AJ136" i="22"/>
  <c r="AJ173" i="22"/>
  <c r="AJ191" i="22"/>
  <c r="AJ202" i="22"/>
  <c r="AJ224" i="22"/>
  <c r="AJ237" i="22"/>
  <c r="AJ250" i="22"/>
  <c r="AJ272" i="22"/>
  <c r="AJ278" i="22"/>
  <c r="AJ294" i="22"/>
  <c r="AJ314" i="22"/>
  <c r="AJ324" i="22"/>
  <c r="AJ229" i="22"/>
  <c r="AJ245" i="22"/>
  <c r="AJ255" i="22"/>
  <c r="AL13" i="7"/>
  <c r="AJ32" i="22"/>
  <c r="AJ43" i="22"/>
  <c r="AJ46" i="22"/>
  <c r="AJ61" i="22"/>
  <c r="AJ75" i="22"/>
  <c r="AJ89" i="22"/>
  <c r="AJ54" i="22"/>
  <c r="AJ100" i="22"/>
  <c r="AJ121" i="22"/>
  <c r="AJ138" i="22"/>
  <c r="AJ159" i="22"/>
  <c r="AJ172" i="22"/>
  <c r="AJ50" i="22"/>
  <c r="AJ101" i="22"/>
  <c r="AJ135" i="22"/>
  <c r="AJ158" i="22"/>
  <c r="AJ193" i="22"/>
  <c r="AJ209" i="22"/>
  <c r="AJ222" i="22"/>
  <c r="AJ238" i="22"/>
  <c r="AJ257" i="22"/>
  <c r="AJ267" i="22"/>
  <c r="AJ290" i="22"/>
  <c r="AJ303" i="22"/>
  <c r="AJ326" i="22"/>
  <c r="AJ336" i="22"/>
  <c r="AJ353" i="22"/>
  <c r="AJ57" i="22"/>
  <c r="AJ118" i="22"/>
  <c r="AJ112" i="22"/>
  <c r="AJ171" i="22"/>
  <c r="AJ207" i="22"/>
  <c r="AJ146" i="22"/>
  <c r="AJ192" i="22"/>
  <c r="AJ232" i="22"/>
  <c r="AJ266" i="22"/>
  <c r="AJ283" i="22"/>
  <c r="AJ315" i="22"/>
  <c r="AJ233" i="22"/>
  <c r="AJ262" i="22"/>
  <c r="AJ286" i="22"/>
  <c r="AJ379" i="22"/>
  <c r="AJ374" i="22"/>
  <c r="AJ370" i="22"/>
  <c r="AJ358" i="22"/>
  <c r="AJ366" i="22"/>
  <c r="AJ354" i="22"/>
  <c r="AJ341" i="22"/>
  <c r="AJ325" i="22"/>
  <c r="AJ313" i="22"/>
  <c r="AJ302" i="22"/>
  <c r="AJ253" i="22"/>
  <c r="AJ311" i="22"/>
  <c r="AJ241" i="22"/>
  <c r="AJ190" i="22"/>
  <c r="AJ196" i="22"/>
  <c r="AJ99" i="22"/>
  <c r="AJ362" i="22"/>
  <c r="AJ334" i="22"/>
  <c r="AJ298" i="22"/>
  <c r="AJ264" i="22"/>
  <c r="AJ231" i="22"/>
  <c r="AJ203" i="22"/>
  <c r="AJ155" i="22"/>
  <c r="AJ95" i="22"/>
  <c r="AJ169" i="22"/>
  <c r="AJ131" i="22"/>
  <c r="AJ85" i="22"/>
  <c r="AJ87" i="22"/>
  <c r="AJ58" i="22"/>
  <c r="AJ40" i="22"/>
  <c r="F7" i="22"/>
  <c r="AC12" i="22" s="1"/>
  <c r="AJ15" i="22"/>
  <c r="AJ16" i="22"/>
  <c r="AJ22" i="22"/>
  <c r="AJ35" i="22"/>
  <c r="AJ39" i="22"/>
  <c r="AJ21" i="22"/>
  <c r="AJ31" i="22"/>
  <c r="AJ47" i="22"/>
  <c r="AJ56" i="22"/>
  <c r="AJ62" i="22"/>
  <c r="AJ67" i="22"/>
  <c r="AJ76" i="22"/>
  <c r="AJ86" i="22"/>
  <c r="AJ19" i="22"/>
  <c r="AJ45" i="22"/>
  <c r="AJ55" i="22"/>
  <c r="AJ81" i="22"/>
  <c r="AJ103" i="22"/>
  <c r="AJ111" i="22"/>
  <c r="AJ122" i="22"/>
  <c r="AJ130" i="22"/>
  <c r="AJ142" i="22"/>
  <c r="AJ152" i="22"/>
  <c r="AJ160" i="22"/>
  <c r="AJ168" i="22"/>
  <c r="AJ176" i="22"/>
  <c r="AJ183" i="22"/>
  <c r="AJ82" i="22"/>
  <c r="AJ94" i="22"/>
  <c r="AJ105" i="22"/>
  <c r="AJ125" i="22"/>
  <c r="AJ137" i="22"/>
  <c r="AJ150" i="22"/>
  <c r="AJ164" i="22"/>
  <c r="AJ187" i="22"/>
  <c r="AJ195" i="22"/>
  <c r="AJ200" i="22"/>
  <c r="AJ211" i="22"/>
  <c r="AJ218" i="22"/>
  <c r="AJ223" i="22"/>
  <c r="AJ230" i="22"/>
  <c r="AJ243" i="22"/>
  <c r="AJ249" i="22"/>
  <c r="AJ258" i="22"/>
  <c r="AJ263" i="22"/>
  <c r="AJ271" i="22"/>
  <c r="AJ281" i="22"/>
  <c r="AJ291" i="22"/>
  <c r="AJ297" i="22"/>
  <c r="AJ304" i="22"/>
  <c r="AJ318" i="22"/>
  <c r="AJ328" i="22"/>
  <c r="AJ333" i="22"/>
  <c r="AJ337" i="22"/>
  <c r="AJ347" i="22"/>
  <c r="AJ355" i="22"/>
  <c r="AJ361" i="22"/>
  <c r="AJ70" i="22"/>
  <c r="AJ102" i="22"/>
  <c r="AJ64" i="22"/>
  <c r="AJ90" i="22"/>
  <c r="AJ113" i="22"/>
  <c r="AJ148" i="22"/>
  <c r="AJ174" i="22"/>
  <c r="AJ186" i="22"/>
  <c r="AJ208" i="22"/>
  <c r="AJ132" i="22"/>
  <c r="AJ147" i="22"/>
  <c r="AJ182" i="22"/>
  <c r="AJ194" i="22"/>
  <c r="AJ217" i="22"/>
  <c r="AJ235" i="22"/>
  <c r="AJ240" i="22"/>
  <c r="AJ268" i="22"/>
  <c r="AJ276" i="22"/>
  <c r="AJ287" i="22"/>
  <c r="AJ307" i="22"/>
  <c r="AJ317" i="22"/>
  <c r="AJ339" i="22"/>
  <c r="AJ242" i="22"/>
  <c r="AJ252" i="22"/>
  <c r="AJ270" i="22"/>
  <c r="J116" i="6"/>
  <c r="J176" i="6"/>
  <c r="AY35" i="6"/>
  <c r="AY26" i="6"/>
  <c r="AY31" i="6"/>
  <c r="AY23" i="6"/>
  <c r="AY33" i="6"/>
  <c r="AY32" i="6"/>
  <c r="AY30" i="6"/>
  <c r="AY15" i="6"/>
  <c r="AY16" i="6"/>
  <c r="J262" i="6"/>
  <c r="J189" i="6"/>
  <c r="J179" i="6"/>
  <c r="J185" i="6"/>
  <c r="J196" i="6"/>
  <c r="J199" i="6"/>
  <c r="J195" i="6"/>
  <c r="J180" i="6"/>
  <c r="J187" i="6"/>
  <c r="J178" i="6"/>
  <c r="J193" i="6"/>
  <c r="J190" i="6"/>
  <c r="J203" i="6"/>
  <c r="J181" i="6"/>
  <c r="J186" i="6"/>
  <c r="J188" i="6"/>
  <c r="J184" i="6"/>
  <c r="J183" i="6"/>
  <c r="J177" i="6"/>
  <c r="J182" i="6"/>
  <c r="J194" i="6"/>
  <c r="J200" i="6"/>
  <c r="J197" i="6"/>
  <c r="J191" i="6"/>
  <c r="J201" i="6"/>
  <c r="J192" i="6"/>
  <c r="J202" i="6"/>
  <c r="J111" i="6"/>
  <c r="J119" i="6"/>
  <c r="I13" i="7"/>
  <c r="O10" i="7" s="1"/>
  <c r="O18" i="15"/>
  <c r="E18" i="15" s="1"/>
  <c r="O35" i="15"/>
  <c r="E35" i="15" s="1"/>
  <c r="O38" i="15"/>
  <c r="E38" i="15" s="1"/>
  <c r="O64" i="15"/>
  <c r="E64" i="15" s="1"/>
  <c r="O70" i="15"/>
  <c r="E70" i="15" s="1"/>
  <c r="O84" i="15"/>
  <c r="E84" i="15" s="1"/>
  <c r="O93" i="15"/>
  <c r="E93" i="15" s="1"/>
  <c r="O39" i="15"/>
  <c r="E39" i="15" s="1"/>
  <c r="O66" i="15"/>
  <c r="E66" i="15" s="1"/>
  <c r="O81" i="15"/>
  <c r="E81" i="15" s="1"/>
  <c r="O89" i="15"/>
  <c r="E89" i="15" s="1"/>
  <c r="O102" i="15"/>
  <c r="E102" i="15" s="1"/>
  <c r="O112" i="15"/>
  <c r="E112" i="15" s="1"/>
  <c r="O122" i="15"/>
  <c r="E122" i="15" s="1"/>
  <c r="O138" i="15"/>
  <c r="E138" i="15" s="1"/>
  <c r="O186" i="15"/>
  <c r="E186" i="15" s="1"/>
  <c r="O234" i="15"/>
  <c r="E234" i="15" s="1"/>
  <c r="O249" i="15"/>
  <c r="E249" i="15" s="1"/>
  <c r="O265" i="15"/>
  <c r="E265" i="15" s="1"/>
  <c r="O270" i="15"/>
  <c r="E270" i="15" s="1"/>
  <c r="O282" i="15"/>
  <c r="E282" i="15" s="1"/>
  <c r="O299" i="15"/>
  <c r="E299" i="15" s="1"/>
  <c r="O323" i="15"/>
  <c r="E323" i="15" s="1"/>
  <c r="O342" i="15"/>
  <c r="E342" i="15" s="1"/>
  <c r="O359" i="15"/>
  <c r="E359" i="15" s="1"/>
  <c r="O22" i="15"/>
  <c r="E22" i="15" s="1"/>
  <c r="O80" i="15"/>
  <c r="E80" i="15" s="1"/>
  <c r="O116" i="15"/>
  <c r="E116" i="15" s="1"/>
  <c r="O28" i="15"/>
  <c r="E28" i="15" s="1"/>
  <c r="O96" i="15"/>
  <c r="E96" i="15" s="1"/>
  <c r="O164" i="15"/>
  <c r="E164" i="15" s="1"/>
  <c r="O184" i="15"/>
  <c r="E184" i="15" s="1"/>
  <c r="O201" i="15"/>
  <c r="E201" i="15" s="1"/>
  <c r="O212" i="15"/>
  <c r="E212" i="15" s="1"/>
  <c r="O140" i="15"/>
  <c r="E140" i="15" s="1"/>
  <c r="O158" i="15"/>
  <c r="E158" i="15" s="1"/>
  <c r="O170" i="15"/>
  <c r="E170" i="15" s="1"/>
  <c r="O200" i="15"/>
  <c r="E200" i="15" s="1"/>
  <c r="O239" i="15"/>
  <c r="E239" i="15" s="1"/>
  <c r="O289" i="15"/>
  <c r="E289" i="15" s="1"/>
  <c r="O311" i="15"/>
  <c r="E311" i="15" s="1"/>
  <c r="O242" i="15"/>
  <c r="E242" i="15" s="1"/>
  <c r="O273" i="15"/>
  <c r="E273" i="15" s="1"/>
  <c r="O286" i="15"/>
  <c r="E286" i="15" s="1"/>
  <c r="O302" i="15"/>
  <c r="O330" i="15"/>
  <c r="E330" i="15" s="1"/>
  <c r="O369" i="15"/>
  <c r="E369" i="15" s="1"/>
  <c r="O351" i="15"/>
  <c r="E351" i="15" s="1"/>
  <c r="O30" i="15"/>
  <c r="E30" i="15" s="1"/>
  <c r="O50" i="15"/>
  <c r="E50" i="15" s="1"/>
  <c r="O125" i="15"/>
  <c r="E125" i="15" s="1"/>
  <c r="O157" i="15"/>
  <c r="E157" i="15" s="1"/>
  <c r="O176" i="15"/>
  <c r="E176" i="15" s="1"/>
  <c r="O95" i="15"/>
  <c r="E95" i="15" s="1"/>
  <c r="O118" i="15"/>
  <c r="E118" i="15" s="1"/>
  <c r="O130" i="15"/>
  <c r="E130" i="15" s="1"/>
  <c r="O139" i="15"/>
  <c r="E139" i="15" s="1"/>
  <c r="O153" i="15"/>
  <c r="E153" i="15" s="1"/>
  <c r="O172" i="15"/>
  <c r="E172" i="15" s="1"/>
  <c r="O189" i="15"/>
  <c r="E189" i="15" s="1"/>
  <c r="O207" i="15"/>
  <c r="E207" i="15" s="1"/>
  <c r="O215" i="15"/>
  <c r="E215" i="15" s="1"/>
  <c r="O230" i="15"/>
  <c r="E230" i="15" s="1"/>
  <c r="O254" i="15"/>
  <c r="E254" i="15" s="1"/>
  <c r="O281" i="15"/>
  <c r="E281" i="15" s="1"/>
  <c r="O322" i="15"/>
  <c r="E322" i="15" s="1"/>
  <c r="O356" i="15"/>
  <c r="E356" i="15" s="1"/>
  <c r="O267" i="15"/>
  <c r="E267" i="15" s="1"/>
  <c r="O334" i="15"/>
  <c r="E334" i="15" s="1"/>
  <c r="O226" i="15"/>
  <c r="E226" i="15" s="1"/>
  <c r="O315" i="15"/>
  <c r="E315" i="15" s="1"/>
  <c r="O34" i="15"/>
  <c r="E34" i="15" s="1"/>
  <c r="O60" i="15"/>
  <c r="O120" i="15"/>
  <c r="E120" i="15" s="1"/>
  <c r="O156" i="15"/>
  <c r="E156" i="15" s="1"/>
  <c r="O175" i="15"/>
  <c r="E175" i="15" s="1"/>
  <c r="O78" i="15"/>
  <c r="E78" i="15" s="1"/>
  <c r="O114" i="15"/>
  <c r="E114" i="15" s="1"/>
  <c r="O26" i="15"/>
  <c r="E26" i="15" s="1"/>
  <c r="O49" i="15"/>
  <c r="E49" i="15" s="1"/>
  <c r="O77" i="15"/>
  <c r="E77" i="15" s="1"/>
  <c r="O23" i="15"/>
  <c r="E23" i="15" s="1"/>
  <c r="O73" i="15"/>
  <c r="E73" i="15" s="1"/>
  <c r="O91" i="15"/>
  <c r="E91" i="15" s="1"/>
  <c r="O117" i="15"/>
  <c r="E117" i="15" s="1"/>
  <c r="O149" i="15"/>
  <c r="O240" i="15"/>
  <c r="E240" i="15" s="1"/>
  <c r="O290" i="15"/>
  <c r="E290" i="15" s="1"/>
  <c r="O332" i="15"/>
  <c r="E332" i="15" s="1"/>
  <c r="O366" i="15"/>
  <c r="E366" i="15" s="1"/>
  <c r="O101" i="15"/>
  <c r="E101" i="15" s="1"/>
  <c r="O58" i="15"/>
  <c r="E58" i="15" s="1"/>
  <c r="O173" i="15"/>
  <c r="E173" i="15" s="1"/>
  <c r="O203" i="15"/>
  <c r="E203" i="15" s="1"/>
  <c r="O148" i="15"/>
  <c r="E148" i="15" s="1"/>
  <c r="O195" i="15"/>
  <c r="E195" i="15" s="1"/>
  <c r="O256" i="15"/>
  <c r="E256" i="15" s="1"/>
  <c r="O326" i="15"/>
  <c r="E326" i="15" s="1"/>
  <c r="O283" i="15"/>
  <c r="E283" i="15" s="1"/>
  <c r="O316" i="15"/>
  <c r="E316" i="15" s="1"/>
  <c r="O379" i="15"/>
  <c r="O46" i="15"/>
  <c r="E46" i="15" s="1"/>
  <c r="O143" i="15"/>
  <c r="E143" i="15" s="1"/>
  <c r="O183" i="15"/>
  <c r="E183" i="15" s="1"/>
  <c r="O238" i="15"/>
  <c r="E238" i="15" s="1"/>
  <c r="O296" i="15"/>
  <c r="E296" i="15" s="1"/>
  <c r="O236" i="15"/>
  <c r="E236" i="15" s="1"/>
  <c r="O346" i="15"/>
  <c r="E346" i="15" s="1"/>
  <c r="O352" i="15"/>
  <c r="E352" i="15" s="1"/>
  <c r="O365" i="15"/>
  <c r="E365" i="15" s="1"/>
  <c r="O32" i="15"/>
  <c r="E32" i="15" s="1"/>
  <c r="O135" i="15"/>
  <c r="E135" i="15" s="1"/>
  <c r="O180" i="15"/>
  <c r="O127" i="15"/>
  <c r="E127" i="15" s="1"/>
  <c r="O152" i="15"/>
  <c r="E152" i="15" s="1"/>
  <c r="O187" i="15"/>
  <c r="E187" i="15" s="1"/>
  <c r="O205" i="15"/>
  <c r="E205" i="15" s="1"/>
  <c r="O222" i="15"/>
  <c r="E222" i="15" s="1"/>
  <c r="O235" i="15"/>
  <c r="E235" i="15" s="1"/>
  <c r="O266" i="15"/>
  <c r="E266" i="15" s="1"/>
  <c r="O292" i="15"/>
  <c r="E292" i="15" s="1"/>
  <c r="O337" i="15"/>
  <c r="E337" i="15" s="1"/>
  <c r="O217" i="15"/>
  <c r="E217" i="15" s="1"/>
  <c r="O305" i="15"/>
  <c r="E305" i="15" s="1"/>
  <c r="O340" i="15"/>
  <c r="E340" i="15" s="1"/>
  <c r="O243" i="15"/>
  <c r="E243" i="15" s="1"/>
  <c r="O331" i="15"/>
  <c r="E331" i="15" s="1"/>
  <c r="O24" i="15"/>
  <c r="E24" i="15" s="1"/>
  <c r="O37" i="15"/>
  <c r="E37" i="15" s="1"/>
  <c r="O43" i="15"/>
  <c r="E43" i="15" s="1"/>
  <c r="O65" i="15"/>
  <c r="E65" i="15" s="1"/>
  <c r="O75" i="15"/>
  <c r="E75" i="15" s="1"/>
  <c r="O86" i="15"/>
  <c r="E86" i="15" s="1"/>
  <c r="O94" i="15"/>
  <c r="E94" i="15" s="1"/>
  <c r="O51" i="15"/>
  <c r="E51" i="15" s="1"/>
  <c r="O72" i="15"/>
  <c r="E72" i="15" s="1"/>
  <c r="O82" i="15"/>
  <c r="E82" i="15" s="1"/>
  <c r="O90" i="15"/>
  <c r="E90" i="15" s="1"/>
  <c r="O104" i="15"/>
  <c r="E104" i="15" s="1"/>
  <c r="O115" i="15"/>
  <c r="E115" i="15" s="1"/>
  <c r="O126" i="15"/>
  <c r="E126" i="15" s="1"/>
  <c r="O133" i="15"/>
  <c r="E133" i="15" s="1"/>
  <c r="O144" i="15"/>
  <c r="E144" i="15" s="1"/>
  <c r="O182" i="15"/>
  <c r="E182" i="15" s="1"/>
  <c r="O45" i="15"/>
  <c r="E45" i="15" s="1"/>
  <c r="O237" i="15"/>
  <c r="E237" i="15" s="1"/>
  <c r="O253" i="15"/>
  <c r="E253" i="15" s="1"/>
  <c r="O268" i="15"/>
  <c r="E268" i="15" s="1"/>
  <c r="O280" i="15"/>
  <c r="E280" i="15" s="1"/>
  <c r="O293" i="15"/>
  <c r="E293" i="15" s="1"/>
  <c r="O319" i="15"/>
  <c r="E319" i="15" s="1"/>
  <c r="O338" i="15"/>
  <c r="E338" i="15" s="1"/>
  <c r="O355" i="15"/>
  <c r="E355" i="15" s="1"/>
  <c r="O367" i="15"/>
  <c r="E367" i="15" s="1"/>
  <c r="O76" i="15"/>
  <c r="E76" i="15" s="1"/>
  <c r="O103" i="15"/>
  <c r="E103" i="15" s="1"/>
  <c r="O47" i="15"/>
  <c r="E47" i="15" s="1"/>
  <c r="O105" i="15"/>
  <c r="E105" i="15" s="1"/>
  <c r="O167" i="15"/>
  <c r="E167" i="15" s="1"/>
  <c r="O191" i="15"/>
  <c r="E191" i="15" s="1"/>
  <c r="O202" i="15"/>
  <c r="E202" i="15" s="1"/>
  <c r="O214" i="15"/>
  <c r="E214" i="15" s="1"/>
  <c r="O147" i="15"/>
  <c r="E147" i="15" s="1"/>
  <c r="O162" i="15"/>
  <c r="E162" i="15" s="1"/>
  <c r="O181" i="15"/>
  <c r="E181" i="15" s="1"/>
  <c r="O208" i="15"/>
  <c r="E208" i="15" s="1"/>
  <c r="O251" i="15"/>
  <c r="E251" i="15" s="1"/>
  <c r="O298" i="15"/>
  <c r="E298" i="15" s="1"/>
  <c r="O318" i="15"/>
  <c r="E318" i="15" s="1"/>
  <c r="O248" i="15"/>
  <c r="E248" i="15" s="1"/>
  <c r="O274" i="15"/>
  <c r="E274" i="15" s="1"/>
  <c r="O294" i="15"/>
  <c r="E294" i="15" s="1"/>
  <c r="O312" i="15"/>
  <c r="E312" i="15" s="1"/>
  <c r="O336" i="15"/>
  <c r="E336" i="15" s="1"/>
  <c r="O373" i="15"/>
  <c r="E373" i="15" s="1"/>
  <c r="O358" i="15"/>
  <c r="E358" i="15" s="1"/>
  <c r="O21" i="15"/>
  <c r="E21" i="15" s="1"/>
  <c r="O41" i="15"/>
  <c r="E41" i="15" s="1"/>
  <c r="O71" i="15"/>
  <c r="E71" i="15" s="1"/>
  <c r="O151" i="15"/>
  <c r="E151" i="15" s="1"/>
  <c r="O171" i="15"/>
  <c r="E171" i="15" s="1"/>
  <c r="O53" i="15"/>
  <c r="E53" i="15" s="1"/>
  <c r="O100" i="15"/>
  <c r="E100" i="15" s="1"/>
  <c r="O113" i="15"/>
  <c r="E113" i="15" s="1"/>
  <c r="O124" i="15"/>
  <c r="E124" i="15" s="1"/>
  <c r="O142" i="15"/>
  <c r="E142" i="15" s="1"/>
  <c r="O185" i="15"/>
  <c r="E185" i="15" s="1"/>
  <c r="O204" i="15"/>
  <c r="E204" i="15" s="1"/>
  <c r="O219" i="15"/>
  <c r="E219" i="15" s="1"/>
  <c r="O232" i="15"/>
  <c r="E232" i="15" s="1"/>
  <c r="O264" i="15"/>
  <c r="E264" i="15" s="1"/>
  <c r="O288" i="15"/>
  <c r="E288" i="15" s="1"/>
  <c r="O329" i="15"/>
  <c r="E329" i="15" s="1"/>
  <c r="O363" i="15"/>
  <c r="O300" i="15"/>
  <c r="E300" i="15" s="1"/>
  <c r="O339" i="15"/>
  <c r="E339" i="15" s="1"/>
  <c r="O241" i="15"/>
  <c r="O325" i="15"/>
  <c r="E325" i="15" s="1"/>
  <c r="O350" i="15"/>
  <c r="E350" i="15" s="1"/>
  <c r="O25" i="15"/>
  <c r="E25" i="15" s="1"/>
  <c r="O48" i="15"/>
  <c r="E48" i="15" s="1"/>
  <c r="O63" i="15"/>
  <c r="E63" i="15" s="1"/>
  <c r="O145" i="15"/>
  <c r="E145" i="15" s="1"/>
  <c r="O168" i="15"/>
  <c r="E168" i="15" s="1"/>
  <c r="O188" i="15"/>
  <c r="E188" i="15" s="1"/>
  <c r="O108" i="15"/>
  <c r="E108" i="15" s="1"/>
  <c r="O132" i="15"/>
  <c r="E132" i="15" s="1"/>
  <c r="O154" i="15"/>
  <c r="E154" i="15" s="1"/>
  <c r="O190" i="15"/>
  <c r="E190" i="15" s="1"/>
  <c r="O209" i="15"/>
  <c r="E209" i="15" s="1"/>
  <c r="O227" i="15"/>
  <c r="E227" i="15" s="1"/>
  <c r="O244" i="15"/>
  <c r="E244" i="15" s="1"/>
  <c r="O275" i="15"/>
  <c r="E275" i="15" s="1"/>
  <c r="O301" i="15"/>
  <c r="E301" i="15" s="1"/>
  <c r="O343" i="15"/>
  <c r="E343" i="15" s="1"/>
  <c r="O247" i="15"/>
  <c r="E247" i="15" s="1"/>
  <c r="O313" i="15"/>
  <c r="E313" i="15" s="1"/>
  <c r="O221" i="15"/>
  <c r="E221" i="15" s="1"/>
  <c r="O262" i="15"/>
  <c r="E262" i="15" s="1"/>
  <c r="O362" i="15"/>
  <c r="E362" i="15" s="1"/>
  <c r="O371" i="15"/>
  <c r="E371" i="15" s="1"/>
  <c r="O15" i="15"/>
  <c r="O44" i="15"/>
  <c r="E44" i="15" s="1"/>
  <c r="O87" i="15"/>
  <c r="E87" i="15" s="1"/>
  <c r="O83" i="15"/>
  <c r="E83" i="15" s="1"/>
  <c r="O129" i="15"/>
  <c r="E129" i="15" s="1"/>
  <c r="O258" i="15"/>
  <c r="E258" i="15" s="1"/>
  <c r="O308" i="15"/>
  <c r="E308" i="15" s="1"/>
  <c r="O62" i="15"/>
  <c r="E62" i="15" s="1"/>
  <c r="O109" i="15"/>
  <c r="E109" i="15" s="1"/>
  <c r="O220" i="15"/>
  <c r="E220" i="15" s="1"/>
  <c r="O210" i="15"/>
  <c r="O257" i="15"/>
  <c r="E257" i="15" s="1"/>
  <c r="O353" i="15"/>
  <c r="E353" i="15" s="1"/>
  <c r="O57" i="15"/>
  <c r="E57" i="15" s="1"/>
  <c r="O107" i="15"/>
  <c r="E107" i="15" s="1"/>
  <c r="O225" i="15"/>
  <c r="E225" i="15" s="1"/>
  <c r="O341" i="15"/>
  <c r="E341" i="15" s="1"/>
  <c r="O255" i="15"/>
  <c r="E255" i="15" s="1"/>
  <c r="O20" i="15"/>
  <c r="E20" i="15" s="1"/>
  <c r="O161" i="15"/>
  <c r="E161" i="15" s="1"/>
  <c r="O137" i="15"/>
  <c r="E137" i="15" s="1"/>
  <c r="O194" i="15"/>
  <c r="E194" i="15" s="1"/>
  <c r="O229" i="15"/>
  <c r="E229" i="15" s="1"/>
  <c r="O279" i="15"/>
  <c r="E279" i="15" s="1"/>
  <c r="O354" i="15"/>
  <c r="E354" i="15" s="1"/>
  <c r="O328" i="15"/>
  <c r="E328" i="15" s="1"/>
  <c r="O304" i="15"/>
  <c r="E304" i="15" s="1"/>
  <c r="O357" i="15"/>
  <c r="E357" i="15" s="1"/>
  <c r="O378" i="15"/>
  <c r="E378" i="15" s="1"/>
  <c r="O31" i="15"/>
  <c r="E31" i="15" s="1"/>
  <c r="O52" i="15"/>
  <c r="E52" i="15" s="1"/>
  <c r="O79" i="15"/>
  <c r="E79" i="15" s="1"/>
  <c r="O29" i="15"/>
  <c r="O74" i="15"/>
  <c r="E74" i="15" s="1"/>
  <c r="O99" i="15"/>
  <c r="E99" i="15" s="1"/>
  <c r="O119" i="15"/>
  <c r="O245" i="15"/>
  <c r="E245" i="15" s="1"/>
  <c r="O276" i="15"/>
  <c r="E276" i="15" s="1"/>
  <c r="O306" i="15"/>
  <c r="E306" i="15" s="1"/>
  <c r="O344" i="15"/>
  <c r="E344" i="15" s="1"/>
  <c r="O56" i="15"/>
  <c r="E56" i="15" s="1"/>
  <c r="O121" i="15"/>
  <c r="E121" i="15" s="1"/>
  <c r="O146" i="15"/>
  <c r="E146" i="15" s="1"/>
  <c r="O199" i="15"/>
  <c r="E199" i="15" s="1"/>
  <c r="O136" i="15"/>
  <c r="E136" i="15" s="1"/>
  <c r="O166" i="15"/>
  <c r="E166" i="15" s="1"/>
  <c r="O218" i="15"/>
  <c r="E218" i="15" s="1"/>
  <c r="O309" i="15"/>
  <c r="E309" i="15" s="1"/>
  <c r="O271" i="15"/>
  <c r="E271" i="15" s="1"/>
  <c r="O297" i="15"/>
  <c r="E297" i="15" s="1"/>
  <c r="O364" i="15"/>
  <c r="E364" i="15" s="1"/>
  <c r="O375" i="15"/>
  <c r="E375" i="15" s="1"/>
  <c r="O42" i="15"/>
  <c r="E42" i="15" s="1"/>
  <c r="O160" i="15"/>
  <c r="E160" i="15" s="1"/>
  <c r="O155" i="15"/>
  <c r="E155" i="15" s="1"/>
  <c r="O211" i="15"/>
  <c r="E211" i="15" s="1"/>
  <c r="O246" i="15"/>
  <c r="E246" i="15" s="1"/>
  <c r="O307" i="15"/>
  <c r="E307" i="15" s="1"/>
  <c r="O252" i="15"/>
  <c r="E252" i="15" s="1"/>
  <c r="O223" i="15"/>
  <c r="E223" i="15" s="1"/>
  <c r="O368" i="15"/>
  <c r="E368" i="15" s="1"/>
  <c r="O40" i="15"/>
  <c r="E40" i="15" s="1"/>
  <c r="O128" i="15"/>
  <c r="E128" i="15" s="1"/>
  <c r="O178" i="15"/>
  <c r="E178" i="15" s="1"/>
  <c r="O123" i="15"/>
  <c r="E123" i="15" s="1"/>
  <c r="O174" i="15"/>
  <c r="E174" i="15" s="1"/>
  <c r="O216" i="15"/>
  <c r="E216" i="15" s="1"/>
  <c r="O259" i="15"/>
  <c r="E259" i="15" s="1"/>
  <c r="O324" i="15"/>
  <c r="E324" i="15" s="1"/>
  <c r="O291" i="15"/>
  <c r="E291" i="15" s="1"/>
  <c r="O233" i="15"/>
  <c r="E233" i="15" s="1"/>
  <c r="O348" i="15"/>
  <c r="E348" i="15" s="1"/>
  <c r="O17" i="15"/>
  <c r="E17" i="15" s="1"/>
  <c r="O67" i="15"/>
  <c r="E67" i="15" s="1"/>
  <c r="O55" i="15"/>
  <c r="E55" i="15" s="1"/>
  <c r="O110" i="15"/>
  <c r="E110" i="15" s="1"/>
  <c r="O69" i="15"/>
  <c r="E69" i="15" s="1"/>
  <c r="O278" i="15"/>
  <c r="E278" i="15" s="1"/>
  <c r="O347" i="15"/>
  <c r="E347" i="15" s="1"/>
  <c r="O193" i="15"/>
  <c r="E193" i="15" s="1"/>
  <c r="O165" i="15"/>
  <c r="E165" i="15" s="1"/>
  <c r="O303" i="15"/>
  <c r="E303" i="15" s="1"/>
  <c r="O295" i="15"/>
  <c r="E295" i="15" s="1"/>
  <c r="O370" i="15"/>
  <c r="E370" i="15" s="1"/>
  <c r="O163" i="15"/>
  <c r="E163" i="15" s="1"/>
  <c r="O196" i="15"/>
  <c r="E196" i="15" s="1"/>
  <c r="O269" i="15"/>
  <c r="E269" i="15" s="1"/>
  <c r="O310" i="15"/>
  <c r="E310" i="15" s="1"/>
  <c r="O374" i="15"/>
  <c r="E374" i="15" s="1"/>
  <c r="O54" i="15"/>
  <c r="E54" i="15" s="1"/>
  <c r="O106" i="15"/>
  <c r="E106" i="15" s="1"/>
  <c r="O169" i="15"/>
  <c r="E169" i="15" s="1"/>
  <c r="O213" i="15"/>
  <c r="E213" i="15" s="1"/>
  <c r="O250" i="15"/>
  <c r="E250" i="15" s="1"/>
  <c r="O314" i="15"/>
  <c r="E314" i="15" s="1"/>
  <c r="O260" i="15"/>
  <c r="E260" i="15" s="1"/>
  <c r="O224" i="15"/>
  <c r="E224" i="15" s="1"/>
  <c r="O372" i="15"/>
  <c r="E372" i="15" s="1"/>
  <c r="O377" i="15"/>
  <c r="E377" i="15" s="1"/>
  <c r="O19" i="15"/>
  <c r="E19" i="15" s="1"/>
  <c r="O27" i="15"/>
  <c r="E27" i="15" s="1"/>
  <c r="O68" i="15"/>
  <c r="E68" i="15" s="1"/>
  <c r="O92" i="15"/>
  <c r="E92" i="15" s="1"/>
  <c r="O59" i="15"/>
  <c r="E59" i="15" s="1"/>
  <c r="O85" i="15"/>
  <c r="E85" i="15" s="1"/>
  <c r="O111" i="15"/>
  <c r="E111" i="15" s="1"/>
  <c r="O88" i="15"/>
  <c r="O263" i="15"/>
  <c r="E263" i="15" s="1"/>
  <c r="O287" i="15"/>
  <c r="E287" i="15" s="1"/>
  <c r="O327" i="15"/>
  <c r="E327" i="15" s="1"/>
  <c r="O361" i="15"/>
  <c r="E361" i="15" s="1"/>
  <c r="O98" i="15"/>
  <c r="E98" i="15" s="1"/>
  <c r="O61" i="15"/>
  <c r="E61" i="15" s="1"/>
  <c r="O177" i="15"/>
  <c r="E177" i="15" s="1"/>
  <c r="O206" i="15"/>
  <c r="E206" i="15" s="1"/>
  <c r="O150" i="15"/>
  <c r="E150" i="15" s="1"/>
  <c r="O198" i="15"/>
  <c r="E198" i="15" s="1"/>
  <c r="O261" i="15"/>
  <c r="E261" i="15" s="1"/>
  <c r="O333" i="15"/>
  <c r="O284" i="15"/>
  <c r="E284" i="15" s="1"/>
  <c r="O320" i="15"/>
  <c r="E320" i="15" s="1"/>
  <c r="O349" i="15"/>
  <c r="E349" i="15" s="1"/>
  <c r="O36" i="15"/>
  <c r="E36" i="15" s="1"/>
  <c r="O131" i="15"/>
  <c r="E131" i="15" s="1"/>
  <c r="O179" i="15"/>
  <c r="E179" i="15" s="1"/>
  <c r="O134" i="15"/>
  <c r="E134" i="15" s="1"/>
  <c r="O192" i="15"/>
  <c r="E192" i="15" s="1"/>
  <c r="O228" i="15"/>
  <c r="E228" i="15" s="1"/>
  <c r="O277" i="15"/>
  <c r="E277" i="15" s="1"/>
  <c r="O345" i="15"/>
  <c r="E345" i="15" s="1"/>
  <c r="O321" i="15"/>
  <c r="E321" i="15" s="1"/>
  <c r="O272" i="15"/>
  <c r="O376" i="15"/>
  <c r="E376" i="15" s="1"/>
  <c r="O33" i="15"/>
  <c r="E33" i="15" s="1"/>
  <c r="O159" i="15"/>
  <c r="E159" i="15" s="1"/>
  <c r="O97" i="15"/>
  <c r="E97" i="15" s="1"/>
  <c r="O141" i="15"/>
  <c r="E141" i="15" s="1"/>
  <c r="O197" i="15"/>
  <c r="E197" i="15" s="1"/>
  <c r="O231" i="15"/>
  <c r="E231" i="15" s="1"/>
  <c r="O285" i="15"/>
  <c r="E285" i="15" s="1"/>
  <c r="O360" i="15"/>
  <c r="E360" i="15" s="1"/>
  <c r="O335" i="15"/>
  <c r="E335" i="15" s="1"/>
  <c r="O317" i="15"/>
  <c r="E317" i="15" s="1"/>
  <c r="O16" i="15"/>
  <c r="E16" i="15" s="1"/>
  <c r="AT230" i="6"/>
  <c r="AT225" i="6"/>
  <c r="AT236" i="6"/>
  <c r="AT242" i="6"/>
  <c r="AA54" i="6"/>
  <c r="AA53" i="6" s="1"/>
  <c r="AA55" i="6" s="1"/>
  <c r="J269" i="6"/>
  <c r="J261" i="6"/>
  <c r="J260" i="6"/>
  <c r="AT16" i="6"/>
  <c r="J112" i="6"/>
  <c r="J118" i="6"/>
  <c r="J115" i="6"/>
  <c r="AT226" i="6"/>
  <c r="AT244" i="6"/>
  <c r="AT234" i="6"/>
  <c r="AY25" i="6"/>
  <c r="AY29" i="6"/>
  <c r="AY21" i="6"/>
  <c r="AY34" i="6"/>
  <c r="AY28" i="6"/>
  <c r="AY20" i="6"/>
  <c r="AY19" i="6"/>
  <c r="AY22" i="6"/>
  <c r="AY17" i="6"/>
  <c r="AY24" i="6"/>
  <c r="O15" i="18"/>
  <c r="O26" i="18"/>
  <c r="O20" i="18"/>
  <c r="O37" i="18"/>
  <c r="O46" i="18"/>
  <c r="O69" i="18"/>
  <c r="O19" i="18"/>
  <c r="O33" i="18"/>
  <c r="O62" i="18"/>
  <c r="O23" i="18"/>
  <c r="O42" i="18"/>
  <c r="O67" i="18"/>
  <c r="O18" i="18"/>
  <c r="O21" i="18"/>
  <c r="O30" i="18"/>
  <c r="O34" i="18"/>
  <c r="O44" i="18"/>
  <c r="O36" i="18"/>
  <c r="O41" i="18"/>
  <c r="O50" i="18"/>
  <c r="O63" i="18"/>
  <c r="O68" i="18"/>
  <c r="O32" i="18"/>
  <c r="O39" i="18"/>
  <c r="O52" i="18"/>
  <c r="O57" i="18"/>
  <c r="O60" i="18"/>
  <c r="C69" i="7" s="1"/>
  <c r="O22" i="18"/>
  <c r="O45" i="18"/>
  <c r="O25" i="18"/>
  <c r="O43" i="18"/>
  <c r="O59" i="18"/>
  <c r="O70" i="18"/>
  <c r="O24" i="18"/>
  <c r="O51" i="18"/>
  <c r="O72" i="18"/>
  <c r="O27" i="18"/>
  <c r="O48" i="18"/>
  <c r="O71" i="18"/>
  <c r="O17" i="18"/>
  <c r="O29" i="18"/>
  <c r="C68" i="7" s="1"/>
  <c r="O31" i="18"/>
  <c r="O40" i="18"/>
  <c r="O28" i="18"/>
  <c r="O38" i="18"/>
  <c r="O47" i="18"/>
  <c r="O54" i="18"/>
  <c r="O64" i="18"/>
  <c r="O73" i="18"/>
  <c r="O16" i="18"/>
  <c r="O35" i="18"/>
  <c r="O49" i="18"/>
  <c r="O55" i="18"/>
  <c r="O56" i="18"/>
  <c r="O66" i="18"/>
  <c r="O53" i="18"/>
  <c r="O65" i="18"/>
  <c r="O58" i="18"/>
  <c r="O61" i="18"/>
  <c r="I16" i="7"/>
  <c r="AI381" i="1"/>
  <c r="AI382" i="1"/>
  <c r="AI383" i="1"/>
  <c r="U383" i="1"/>
  <c r="U382" i="1"/>
  <c r="U381" i="1"/>
  <c r="P66" i="27"/>
  <c r="AE65" i="27"/>
  <c r="M79" i="27"/>
  <c r="M76" i="27"/>
  <c r="BT14" i="6"/>
  <c r="AA55" i="27"/>
  <c r="M60" i="27"/>
  <c r="M66" i="27"/>
  <c r="M68" i="27"/>
  <c r="M57" i="27"/>
  <c r="M65" i="27"/>
  <c r="M64" i="27"/>
  <c r="M72" i="27"/>
  <c r="M75" i="27"/>
  <c r="M78" i="27"/>
  <c r="M59" i="27"/>
  <c r="M70" i="27"/>
  <c r="M61" i="27"/>
  <c r="M73" i="27"/>
  <c r="M58" i="27"/>
  <c r="M56" i="27"/>
  <c r="M74" i="27"/>
  <c r="M77" i="27"/>
  <c r="M69" i="27"/>
  <c r="M62" i="27"/>
  <c r="M63" i="27"/>
  <c r="M67" i="27"/>
  <c r="M71" i="27"/>
  <c r="C79" i="27"/>
  <c r="C70" i="27"/>
  <c r="C76" i="27"/>
  <c r="BJ14" i="6"/>
  <c r="C69" i="27"/>
  <c r="C56" i="27"/>
  <c r="C61" i="27"/>
  <c r="C73" i="27"/>
  <c r="C68" i="27"/>
  <c r="C60" i="27"/>
  <c r="C65" i="27"/>
  <c r="C57" i="27"/>
  <c r="C74" i="27"/>
  <c r="C63" i="27"/>
  <c r="C67" i="27"/>
  <c r="C72" i="27"/>
  <c r="C71" i="27"/>
  <c r="C58" i="27"/>
  <c r="C78" i="27"/>
  <c r="C64" i="27"/>
  <c r="C62" i="27"/>
  <c r="C66" i="27"/>
  <c r="C77" i="27"/>
  <c r="C75" i="27"/>
  <c r="C59" i="27"/>
  <c r="Q55" i="27"/>
  <c r="S40" i="6"/>
  <c r="AT155" i="6" s="1"/>
  <c r="T40" i="6"/>
  <c r="AT194" i="6" s="1"/>
  <c r="Y55" i="6"/>
  <c r="AY320" i="6" s="1"/>
  <c r="Z55" i="6"/>
  <c r="J69" i="6"/>
  <c r="J74" i="6"/>
  <c r="J64" i="6"/>
  <c r="J72" i="6"/>
  <c r="J75" i="6"/>
  <c r="J76" i="6"/>
  <c r="J67" i="6"/>
  <c r="J68" i="6"/>
  <c r="J73" i="6"/>
  <c r="J65" i="6"/>
  <c r="J77" i="6"/>
  <c r="J71" i="6"/>
  <c r="J66" i="6"/>
  <c r="J70" i="6"/>
  <c r="J267" i="6"/>
  <c r="J272" i="6"/>
  <c r="J271" i="6"/>
  <c r="J263" i="6"/>
  <c r="J89" i="6"/>
  <c r="J90" i="6"/>
  <c r="J78" i="6"/>
  <c r="J81" i="6"/>
  <c r="J91" i="6"/>
  <c r="J80" i="6"/>
  <c r="J79" i="6"/>
  <c r="J109" i="6"/>
  <c r="J110" i="6"/>
  <c r="J108" i="6"/>
  <c r="J100" i="6"/>
  <c r="J98" i="6"/>
  <c r="J103" i="6"/>
  <c r="J101" i="6"/>
  <c r="J105" i="6"/>
  <c r="J94" i="6"/>
  <c r="J95" i="6"/>
  <c r="AT240" i="6"/>
  <c r="AT218" i="6"/>
  <c r="J159" i="6"/>
  <c r="J141" i="6"/>
  <c r="J140" i="6"/>
  <c r="J142" i="6"/>
  <c r="J160" i="6"/>
  <c r="J153" i="6"/>
  <c r="J135" i="6"/>
  <c r="J138" i="6"/>
  <c r="J155" i="6"/>
  <c r="J134" i="6"/>
  <c r="J154" i="6"/>
  <c r="J136" i="6"/>
  <c r="J148" i="6"/>
  <c r="J152" i="6"/>
  <c r="Z39" i="6"/>
  <c r="Z38" i="6" s="1"/>
  <c r="Z40" i="6" s="1"/>
  <c r="J283" i="6"/>
  <c r="J288" i="6"/>
  <c r="J280" i="6"/>
  <c r="J299" i="6"/>
  <c r="J282" i="6"/>
  <c r="J279" i="6"/>
  <c r="J296" i="6"/>
  <c r="J295" i="6"/>
  <c r="J275" i="6"/>
  <c r="J284" i="6"/>
  <c r="J301" i="6"/>
  <c r="J298" i="6"/>
  <c r="J294" i="6"/>
  <c r="J293" i="6"/>
  <c r="J354" i="6"/>
  <c r="J353" i="6"/>
  <c r="J338" i="6"/>
  <c r="J340" i="6"/>
  <c r="J344" i="6"/>
  <c r="J342" i="6"/>
  <c r="J337" i="6"/>
  <c r="J351" i="6"/>
  <c r="J333" i="6"/>
  <c r="J331" i="6"/>
  <c r="J350" i="6"/>
  <c r="J345" i="6"/>
  <c r="J355" i="6"/>
  <c r="J336" i="6"/>
  <c r="J219" i="6"/>
  <c r="J241" i="6"/>
  <c r="J227" i="6"/>
  <c r="J234" i="6"/>
  <c r="J222" i="6"/>
  <c r="J225" i="6"/>
  <c r="J239" i="6"/>
  <c r="J243" i="6"/>
  <c r="J231" i="6"/>
  <c r="J240" i="6"/>
  <c r="J244" i="6"/>
  <c r="J245" i="6"/>
  <c r="J230" i="6"/>
  <c r="J226" i="6"/>
  <c r="J114" i="6"/>
  <c r="AT19" i="6"/>
  <c r="AT21" i="6"/>
  <c r="AT18" i="6"/>
  <c r="AZ18" i="6" s="1"/>
  <c r="U55" i="6"/>
  <c r="AY230" i="6" s="1"/>
  <c r="S55" i="6"/>
  <c r="AY185" i="6" s="1"/>
  <c r="Q55" i="6"/>
  <c r="AY113" i="6" s="1"/>
  <c r="W40" i="6"/>
  <c r="X40" i="6"/>
  <c r="AT326" i="6" s="1"/>
  <c r="W55" i="6"/>
  <c r="AY300" i="6" s="1"/>
  <c r="J380" i="6"/>
  <c r="J365" i="6"/>
  <c r="J378" i="6"/>
  <c r="J359" i="6"/>
  <c r="J361" i="6"/>
  <c r="J366" i="6"/>
  <c r="J379" i="6"/>
  <c r="J362" i="6"/>
  <c r="J367" i="6"/>
  <c r="J376" i="6"/>
  <c r="J358" i="6"/>
  <c r="J363" i="6"/>
  <c r="J369" i="6"/>
  <c r="J371" i="6"/>
  <c r="J373" i="6"/>
  <c r="J364" i="6"/>
  <c r="J377" i="6"/>
  <c r="J368" i="6"/>
  <c r="J360" i="6"/>
  <c r="J370" i="6"/>
  <c r="J375" i="6"/>
  <c r="J372" i="6"/>
  <c r="J374" i="6"/>
  <c r="J266" i="6"/>
  <c r="J270" i="6"/>
  <c r="J265" i="6"/>
  <c r="J87" i="6"/>
  <c r="J84" i="6"/>
  <c r="J86" i="6"/>
  <c r="J83" i="6"/>
  <c r="J85" i="6"/>
  <c r="J82" i="6"/>
  <c r="J88" i="6"/>
  <c r="O55" i="6"/>
  <c r="AY73" i="6" s="1"/>
  <c r="J107" i="6"/>
  <c r="J117" i="6"/>
  <c r="J106" i="6"/>
  <c r="J113" i="6"/>
  <c r="AT239" i="6"/>
  <c r="AT245" i="6"/>
  <c r="AT224" i="6"/>
  <c r="AT243" i="6"/>
  <c r="AT227" i="6"/>
  <c r="AT232" i="6"/>
  <c r="AT233" i="6"/>
  <c r="AT228" i="6"/>
  <c r="AT238" i="6"/>
  <c r="AT237" i="6"/>
  <c r="AT235" i="6"/>
  <c r="AT241" i="6"/>
  <c r="AT231" i="6"/>
  <c r="AT223" i="6"/>
  <c r="AT220" i="6"/>
  <c r="AT222" i="6"/>
  <c r="J104" i="6"/>
  <c r="J93" i="6"/>
  <c r="J97" i="6"/>
  <c r="J92" i="6"/>
  <c r="J102" i="6"/>
  <c r="J96" i="6"/>
  <c r="AT229" i="6"/>
  <c r="AT221" i="6"/>
  <c r="AT83" i="6"/>
  <c r="AT103" i="6"/>
  <c r="AT85" i="6"/>
  <c r="AT98" i="6"/>
  <c r="AT80" i="6"/>
  <c r="AT88" i="6"/>
  <c r="AT81" i="6"/>
  <c r="AT94" i="6"/>
  <c r="AT124" i="6"/>
  <c r="AT114" i="6"/>
  <c r="AT99" i="6"/>
  <c r="AT89" i="6"/>
  <c r="AT97" i="6"/>
  <c r="AT107" i="6"/>
  <c r="AT87" i="6"/>
  <c r="AT106" i="6"/>
  <c r="AT96" i="6"/>
  <c r="AT126" i="6"/>
  <c r="AT128" i="6"/>
  <c r="AT78" i="6"/>
  <c r="AT91" i="6"/>
  <c r="AT84" i="6"/>
  <c r="AT86" i="6"/>
  <c r="AT101" i="6"/>
  <c r="AT100" i="6"/>
  <c r="AT122" i="6"/>
  <c r="AT113" i="6"/>
  <c r="AT118" i="6"/>
  <c r="AT119" i="6"/>
  <c r="AT115" i="6"/>
  <c r="AT104" i="6"/>
  <c r="AT95" i="6"/>
  <c r="AT130" i="6"/>
  <c r="AT131" i="6"/>
  <c r="AT117" i="6"/>
  <c r="AT132" i="6"/>
  <c r="AT79" i="6"/>
  <c r="AT123" i="6"/>
  <c r="AT102" i="6"/>
  <c r="AT112" i="6"/>
  <c r="AT125" i="6"/>
  <c r="AT116" i="6"/>
  <c r="AT105" i="6"/>
  <c r="AT120" i="6"/>
  <c r="AT111" i="6"/>
  <c r="AT92" i="6"/>
  <c r="AT127" i="6"/>
  <c r="AT108" i="6"/>
  <c r="AT133" i="6"/>
  <c r="AT110" i="6"/>
  <c r="AT82" i="6"/>
  <c r="AT109" i="6"/>
  <c r="AT93" i="6"/>
  <c r="AT90" i="6"/>
  <c r="AT129" i="6"/>
  <c r="AT121" i="6"/>
  <c r="J150" i="6"/>
  <c r="J149" i="6"/>
  <c r="J145" i="6"/>
  <c r="J151" i="6"/>
  <c r="J143" i="6"/>
  <c r="J156" i="6"/>
  <c r="J161" i="6"/>
  <c r="J147" i="6"/>
  <c r="J157" i="6"/>
  <c r="J137" i="6"/>
  <c r="J139" i="6"/>
  <c r="J144" i="6"/>
  <c r="J146" i="6"/>
  <c r="AA39" i="6"/>
  <c r="AA38" i="6" s="1"/>
  <c r="J297" i="6"/>
  <c r="J292" i="6"/>
  <c r="J289" i="6"/>
  <c r="J277" i="6"/>
  <c r="J281" i="6"/>
  <c r="J274" i="6"/>
  <c r="J290" i="6"/>
  <c r="J300" i="6"/>
  <c r="J285" i="6"/>
  <c r="J286" i="6"/>
  <c r="J287" i="6"/>
  <c r="J278" i="6"/>
  <c r="J276" i="6"/>
  <c r="O40" i="6"/>
  <c r="AT55" i="6" s="1"/>
  <c r="AT219" i="6"/>
  <c r="J352" i="6"/>
  <c r="J334" i="6"/>
  <c r="J335" i="6"/>
  <c r="J343" i="6"/>
  <c r="J339" i="6"/>
  <c r="J349" i="6"/>
  <c r="J347" i="6"/>
  <c r="J332" i="6"/>
  <c r="J356" i="6"/>
  <c r="J346" i="6"/>
  <c r="J330" i="6"/>
  <c r="J348" i="6"/>
  <c r="J341" i="6"/>
  <c r="J229" i="6"/>
  <c r="J238" i="6"/>
  <c r="J221" i="6"/>
  <c r="J232" i="6"/>
  <c r="J223" i="6"/>
  <c r="J220" i="6"/>
  <c r="J242" i="6"/>
  <c r="J218" i="6"/>
  <c r="J233" i="6"/>
  <c r="J237" i="6"/>
  <c r="J236" i="6"/>
  <c r="J235" i="6"/>
  <c r="J228" i="6"/>
  <c r="AT17" i="6"/>
  <c r="AT20" i="6"/>
  <c r="AT15" i="6"/>
  <c r="AZ15" i="6" s="1"/>
  <c r="U10" i="15" l="1"/>
  <c r="U284" i="15"/>
  <c r="T284" i="15" s="1"/>
  <c r="U320" i="15"/>
  <c r="T320" i="15" s="1"/>
  <c r="S320" i="15" s="1"/>
  <c r="R320" i="15" s="1"/>
  <c r="U222" i="15"/>
  <c r="T222" i="15" s="1"/>
  <c r="S222" i="15" s="1"/>
  <c r="R222" i="15" s="1"/>
  <c r="AC21" i="16"/>
  <c r="U173" i="15"/>
  <c r="T173" i="15" s="1"/>
  <c r="S173" i="15" s="1"/>
  <c r="R173" i="15" s="1"/>
  <c r="U40" i="15"/>
  <c r="T40" i="15" s="1"/>
  <c r="S40" i="15" s="1"/>
  <c r="R40" i="15" s="1"/>
  <c r="U136" i="15"/>
  <c r="T136" i="15" s="1"/>
  <c r="S136" i="15" s="1"/>
  <c r="R136" i="15" s="1"/>
  <c r="AC124" i="16"/>
  <c r="AC24" i="16"/>
  <c r="AC50" i="16"/>
  <c r="O280" i="18"/>
  <c r="C61" i="7"/>
  <c r="AC102" i="16"/>
  <c r="AC96" i="16"/>
  <c r="AC48" i="16"/>
  <c r="AC103" i="16"/>
  <c r="O162" i="18"/>
  <c r="O206" i="18"/>
  <c r="O375" i="18"/>
  <c r="O313" i="18"/>
  <c r="O149" i="18"/>
  <c r="C72" i="7" s="1"/>
  <c r="C67" i="7"/>
  <c r="AC107" i="16"/>
  <c r="AC118" i="16"/>
  <c r="AC52" i="16"/>
  <c r="AC45" i="16"/>
  <c r="AC63" i="16"/>
  <c r="AC46" i="16"/>
  <c r="AC134" i="16"/>
  <c r="AC119" i="16"/>
  <c r="O100" i="18"/>
  <c r="O263" i="18"/>
  <c r="O259" i="18"/>
  <c r="O268" i="18"/>
  <c r="O217" i="18"/>
  <c r="O305" i="18"/>
  <c r="O337" i="18"/>
  <c r="C62" i="7"/>
  <c r="U349" i="15"/>
  <c r="T349" i="15" s="1"/>
  <c r="S349" i="15" s="1"/>
  <c r="R349" i="15" s="1"/>
  <c r="U282" i="15"/>
  <c r="T282" i="15" s="1"/>
  <c r="U211" i="15"/>
  <c r="T211" i="15" s="1"/>
  <c r="S211" i="15" s="1"/>
  <c r="R211" i="15" s="1"/>
  <c r="U70" i="15"/>
  <c r="T70" i="15" s="1"/>
  <c r="S70" i="15" s="1"/>
  <c r="R70" i="15" s="1"/>
  <c r="U279" i="15"/>
  <c r="T279" i="15" s="1"/>
  <c r="S279" i="15" s="1"/>
  <c r="R279" i="15" s="1"/>
  <c r="U118" i="15"/>
  <c r="T118" i="15" s="1"/>
  <c r="S118" i="15" s="1"/>
  <c r="R118" i="15" s="1"/>
  <c r="U313" i="15"/>
  <c r="T313" i="15" s="1"/>
  <c r="O368" i="18"/>
  <c r="O250" i="18"/>
  <c r="O300" i="18"/>
  <c r="O143" i="18"/>
  <c r="O322" i="18"/>
  <c r="O213" i="18"/>
  <c r="O292" i="18"/>
  <c r="O261" i="18"/>
  <c r="O158" i="18"/>
  <c r="O153" i="18"/>
  <c r="O282" i="18"/>
  <c r="O159" i="18"/>
  <c r="AI53" i="15"/>
  <c r="AH53" i="15" s="1"/>
  <c r="AG53" i="15" s="1"/>
  <c r="AF53" i="15" s="1"/>
  <c r="AI258" i="15"/>
  <c r="AH258" i="15" s="1"/>
  <c r="AG258" i="15" s="1"/>
  <c r="AF258" i="15" s="1"/>
  <c r="AI129" i="15"/>
  <c r="AH129" i="15" s="1"/>
  <c r="AG129" i="15" s="1"/>
  <c r="AF129" i="15" s="1"/>
  <c r="O12" i="20"/>
  <c r="O12" i="22" s="1"/>
  <c r="AB13" i="7"/>
  <c r="U112" i="15"/>
  <c r="T112" i="15" s="1"/>
  <c r="U259" i="15"/>
  <c r="T259" i="15" s="1"/>
  <c r="S259" i="15" s="1"/>
  <c r="R259" i="15" s="1"/>
  <c r="U45" i="15"/>
  <c r="T45" i="15" s="1"/>
  <c r="S45" i="15" s="1"/>
  <c r="R45" i="15" s="1"/>
  <c r="U192" i="15"/>
  <c r="T192" i="15" s="1"/>
  <c r="S192" i="15" s="1"/>
  <c r="R192" i="15" s="1"/>
  <c r="U339" i="15"/>
  <c r="T339" i="15" s="1"/>
  <c r="S339" i="15" s="1"/>
  <c r="R339" i="15" s="1"/>
  <c r="U92" i="15"/>
  <c r="T92" i="15" s="1"/>
  <c r="U326" i="15"/>
  <c r="T326" i="15" s="1"/>
  <c r="S326" i="15" s="1"/>
  <c r="R326" i="15" s="1"/>
  <c r="U241" i="15"/>
  <c r="T241" i="15" s="1"/>
  <c r="S241" i="15" s="1"/>
  <c r="R241" i="15" s="1"/>
  <c r="U174" i="15"/>
  <c r="T174" i="15" s="1"/>
  <c r="S174" i="15" s="1"/>
  <c r="R174" i="15" s="1"/>
  <c r="U76" i="15"/>
  <c r="T76" i="15" s="1"/>
  <c r="S76" i="15" s="1"/>
  <c r="R76" i="15" s="1"/>
  <c r="U374" i="15"/>
  <c r="T374" i="15" s="1"/>
  <c r="S374" i="15" s="1"/>
  <c r="R374" i="15" s="1"/>
  <c r="U71" i="15"/>
  <c r="T71" i="15" s="1"/>
  <c r="S71" i="15" s="1"/>
  <c r="R71" i="15" s="1"/>
  <c r="U329" i="15"/>
  <c r="T329" i="15" s="1"/>
  <c r="S329" i="15" s="1"/>
  <c r="R329" i="15" s="1"/>
  <c r="O371" i="18"/>
  <c r="O338" i="18"/>
  <c r="O333" i="18"/>
  <c r="C78" i="7" s="1"/>
  <c r="O207" i="18"/>
  <c r="O122" i="18"/>
  <c r="O343" i="18"/>
  <c r="O354" i="18"/>
  <c r="O245" i="18"/>
  <c r="O231" i="18"/>
  <c r="O187" i="18"/>
  <c r="O87" i="18"/>
  <c r="O304" i="18"/>
  <c r="O238" i="18"/>
  <c r="O365" i="18"/>
  <c r="O230" i="18"/>
  <c r="O190" i="18"/>
  <c r="O104" i="18"/>
  <c r="O342" i="18"/>
  <c r="O289" i="18"/>
  <c r="O222" i="18"/>
  <c r="O101" i="18"/>
  <c r="O94" i="18"/>
  <c r="O327" i="18"/>
  <c r="O224" i="18"/>
  <c r="O299" i="18"/>
  <c r="O328" i="18"/>
  <c r="O221" i="18"/>
  <c r="O136" i="18"/>
  <c r="O134" i="18"/>
  <c r="O98" i="18"/>
  <c r="O11" i="20"/>
  <c r="O11" i="22" s="1"/>
  <c r="AC94" i="16"/>
  <c r="AC91" i="16"/>
  <c r="AC115" i="16"/>
  <c r="AC79" i="16"/>
  <c r="AC44" i="16"/>
  <c r="AC135" i="16"/>
  <c r="AC36" i="16"/>
  <c r="AC27" i="16"/>
  <c r="AC133" i="16"/>
  <c r="AC39" i="16"/>
  <c r="AC106" i="16"/>
  <c r="AC117" i="16"/>
  <c r="AC34" i="16"/>
  <c r="AC90" i="16"/>
  <c r="AC82" i="16"/>
  <c r="AC13" i="7"/>
  <c r="AI134" i="15"/>
  <c r="AH134" i="15" s="1"/>
  <c r="AG134" i="15" s="1"/>
  <c r="AF134" i="15" s="1"/>
  <c r="AI274" i="15"/>
  <c r="AH274" i="15" s="1"/>
  <c r="AG274" i="15" s="1"/>
  <c r="AF274" i="15" s="1"/>
  <c r="AI122" i="15"/>
  <c r="AH122" i="15" s="1"/>
  <c r="AG122" i="15" s="1"/>
  <c r="AF122" i="15" s="1"/>
  <c r="AI51" i="15"/>
  <c r="AH51" i="15" s="1"/>
  <c r="AG51" i="15" s="1"/>
  <c r="AF51" i="15" s="1"/>
  <c r="O157" i="18"/>
  <c r="O345" i="18"/>
  <c r="O358" i="18"/>
  <c r="O311" i="18"/>
  <c r="O248" i="18"/>
  <c r="O271" i="18"/>
  <c r="O232" i="18"/>
  <c r="O154" i="18"/>
  <c r="O191" i="18"/>
  <c r="O364" i="18"/>
  <c r="O367" i="18"/>
  <c r="O335" i="18"/>
  <c r="O262" i="18"/>
  <c r="O330" i="18"/>
  <c r="O246" i="18"/>
  <c r="O202" i="18"/>
  <c r="O205" i="18"/>
  <c r="O331" i="18"/>
  <c r="O317" i="18"/>
  <c r="O284" i="18"/>
  <c r="O257" i="18"/>
  <c r="O225" i="18"/>
  <c r="O377" i="18"/>
  <c r="O344" i="18"/>
  <c r="O278" i="18"/>
  <c r="O329" i="18"/>
  <c r="O223" i="18"/>
  <c r="O161" i="18"/>
  <c r="O189" i="18"/>
  <c r="O121" i="18"/>
  <c r="O362" i="18"/>
  <c r="O314" i="18"/>
  <c r="O296" i="18"/>
  <c r="O272" i="18"/>
  <c r="C76" i="7" s="1"/>
  <c r="O235" i="18"/>
  <c r="O204" i="18"/>
  <c r="O123" i="18"/>
  <c r="O208" i="18"/>
  <c r="O95" i="18"/>
  <c r="O186" i="18"/>
  <c r="O124" i="18"/>
  <c r="O316" i="18"/>
  <c r="O252" i="18"/>
  <c r="O376" i="18"/>
  <c r="O254" i="18"/>
  <c r="O219" i="18"/>
  <c r="O188" i="18"/>
  <c r="O303" i="18"/>
  <c r="O260" i="18"/>
  <c r="O152" i="18"/>
  <c r="O169" i="18"/>
  <c r="O102" i="18"/>
  <c r="O199" i="18"/>
  <c r="O126" i="18"/>
  <c r="C38" i="19"/>
  <c r="AI77" i="15"/>
  <c r="AH77" i="15" s="1"/>
  <c r="AG77" i="15" s="1"/>
  <c r="AF77" i="15" s="1"/>
  <c r="AI191" i="15"/>
  <c r="AH191" i="15" s="1"/>
  <c r="AG191" i="15" s="1"/>
  <c r="AF191" i="15" s="1"/>
  <c r="AI173" i="15"/>
  <c r="AH173" i="15" s="1"/>
  <c r="AG173" i="15" s="1"/>
  <c r="AF173" i="15" s="1"/>
  <c r="AI37" i="15"/>
  <c r="AH37" i="15" s="1"/>
  <c r="AG37" i="15" s="1"/>
  <c r="AF37" i="15" s="1"/>
  <c r="AI287" i="15"/>
  <c r="AH287" i="15" s="1"/>
  <c r="AG287" i="15" s="1"/>
  <c r="AF287" i="15" s="1"/>
  <c r="AI35" i="15"/>
  <c r="AH35" i="15" s="1"/>
  <c r="AG35" i="15" s="1"/>
  <c r="AF35" i="15" s="1"/>
  <c r="AI317" i="15"/>
  <c r="AH317" i="15" s="1"/>
  <c r="AI215" i="15"/>
  <c r="AH215" i="15" s="1"/>
  <c r="AG215" i="15" s="1"/>
  <c r="AF215" i="15" s="1"/>
  <c r="AI252" i="15"/>
  <c r="AH252" i="15" s="1"/>
  <c r="AG252" i="15" s="1"/>
  <c r="AF252" i="15" s="1"/>
  <c r="AI59" i="15"/>
  <c r="AH59" i="15" s="1"/>
  <c r="AG59" i="15" s="1"/>
  <c r="AF59" i="15" s="1"/>
  <c r="AI181" i="15"/>
  <c r="AH181" i="15" s="1"/>
  <c r="AG181" i="15" s="1"/>
  <c r="AF181" i="15" s="1"/>
  <c r="AI318" i="15"/>
  <c r="AH318" i="15" s="1"/>
  <c r="AG318" i="15" s="1"/>
  <c r="AF318" i="15" s="1"/>
  <c r="AI112" i="15"/>
  <c r="AH112" i="15" s="1"/>
  <c r="AG112" i="15" s="1"/>
  <c r="AF112" i="15" s="1"/>
  <c r="AI262" i="15"/>
  <c r="AH262" i="15" s="1"/>
  <c r="AG262" i="15" s="1"/>
  <c r="AF262" i="15" s="1"/>
  <c r="AI41" i="15"/>
  <c r="AH41" i="15" s="1"/>
  <c r="AG41" i="15" s="1"/>
  <c r="AF41" i="15" s="1"/>
  <c r="U201" i="15"/>
  <c r="T201" i="15" s="1"/>
  <c r="U57" i="15"/>
  <c r="T57" i="15" s="1"/>
  <c r="U88" i="15"/>
  <c r="T88" i="15" s="1"/>
  <c r="S88" i="15" s="1"/>
  <c r="R88" i="15" s="1"/>
  <c r="U94" i="15"/>
  <c r="T94" i="15" s="1"/>
  <c r="S94" i="15" s="1"/>
  <c r="R94" i="15" s="1"/>
  <c r="U308" i="15"/>
  <c r="T308" i="15" s="1"/>
  <c r="U161" i="15"/>
  <c r="T161" i="15" s="1"/>
  <c r="S161" i="15" s="1"/>
  <c r="R161" i="15" s="1"/>
  <c r="U155" i="15"/>
  <c r="T155" i="15" s="1"/>
  <c r="S155" i="15" s="1"/>
  <c r="R155" i="15" s="1"/>
  <c r="U373" i="15"/>
  <c r="T373" i="15" s="1"/>
  <c r="S373" i="15" s="1"/>
  <c r="R373" i="15" s="1"/>
  <c r="U310" i="15"/>
  <c r="T310" i="15" s="1"/>
  <c r="S310" i="15" s="1"/>
  <c r="R310" i="15" s="1"/>
  <c r="U54" i="15"/>
  <c r="T54" i="15" s="1"/>
  <c r="S54" i="15" s="1"/>
  <c r="R54" i="15" s="1"/>
  <c r="U159" i="15"/>
  <c r="T159" i="15" s="1"/>
  <c r="S159" i="15" s="1"/>
  <c r="R159" i="15" s="1"/>
  <c r="U268" i="15"/>
  <c r="T268" i="15" s="1"/>
  <c r="S268" i="15" s="1"/>
  <c r="R268" i="15" s="1"/>
  <c r="U377" i="15"/>
  <c r="T377" i="15" s="1"/>
  <c r="S377" i="15" s="1"/>
  <c r="R377" i="15" s="1"/>
  <c r="U267" i="15"/>
  <c r="T267" i="15" s="1"/>
  <c r="S267" i="15" s="1"/>
  <c r="R267" i="15" s="1"/>
  <c r="U120" i="15"/>
  <c r="T120" i="15" s="1"/>
  <c r="S120" i="15" s="1"/>
  <c r="R120" i="15" s="1"/>
  <c r="U366" i="15"/>
  <c r="T366" i="15" s="1"/>
  <c r="S366" i="15" s="1"/>
  <c r="R366" i="15" s="1"/>
  <c r="U110" i="15"/>
  <c r="T110" i="15" s="1"/>
  <c r="S110" i="15" s="1"/>
  <c r="R110" i="15" s="1"/>
  <c r="U215" i="15"/>
  <c r="T215" i="15" s="1"/>
  <c r="S215" i="15" s="1"/>
  <c r="R215" i="15" s="1"/>
  <c r="U324" i="15"/>
  <c r="T324" i="15" s="1"/>
  <c r="S324" i="15" s="1"/>
  <c r="R324" i="15" s="1"/>
  <c r="U68" i="15"/>
  <c r="T68" i="15" s="1"/>
  <c r="S68" i="15" s="1"/>
  <c r="R68" i="15" s="1"/>
  <c r="U177" i="15"/>
  <c r="T177" i="15" s="1"/>
  <c r="U210" i="15"/>
  <c r="T210" i="15" s="1"/>
  <c r="U59" i="15"/>
  <c r="T59" i="15" s="1"/>
  <c r="S59" i="15" s="1"/>
  <c r="R59" i="15" s="1"/>
  <c r="U277" i="15"/>
  <c r="T277" i="15" s="1"/>
  <c r="U262" i="15"/>
  <c r="T262" i="15" s="1"/>
  <c r="S262" i="15" s="1"/>
  <c r="R262" i="15" s="1"/>
  <c r="U367" i="15"/>
  <c r="T367" i="15" s="1"/>
  <c r="S367" i="15" s="1"/>
  <c r="R367" i="15" s="1"/>
  <c r="U111" i="15"/>
  <c r="T111" i="15" s="1"/>
  <c r="S111" i="15" s="1"/>
  <c r="R111" i="15" s="1"/>
  <c r="U220" i="15"/>
  <c r="T220" i="15" s="1"/>
  <c r="S220" i="15" s="1"/>
  <c r="R220" i="15" s="1"/>
  <c r="U157" i="15"/>
  <c r="T157" i="15" s="1"/>
  <c r="S157" i="15" s="1"/>
  <c r="R157" i="15" s="1"/>
  <c r="U48" i="15"/>
  <c r="T48" i="15" s="1"/>
  <c r="S48" i="15" s="1"/>
  <c r="R48" i="15" s="1"/>
  <c r="U304" i="15"/>
  <c r="T304" i="15" s="1"/>
  <c r="S304" i="15" s="1"/>
  <c r="R304" i="15" s="1"/>
  <c r="U195" i="15"/>
  <c r="T195" i="15" s="1"/>
  <c r="S195" i="15" s="1"/>
  <c r="R195" i="15" s="1"/>
  <c r="U90" i="15"/>
  <c r="T90" i="15" s="1"/>
  <c r="U346" i="15"/>
  <c r="T346" i="15" s="1"/>
  <c r="S346" i="15" s="1"/>
  <c r="R346" i="15" s="1"/>
  <c r="U237" i="15"/>
  <c r="T237" i="15" s="1"/>
  <c r="S237" i="15" s="1"/>
  <c r="R237" i="15" s="1"/>
  <c r="U128" i="15"/>
  <c r="U18" i="15"/>
  <c r="T18" i="15" s="1"/>
  <c r="S18" i="15" s="1"/>
  <c r="R18" i="15" s="1"/>
  <c r="U275" i="15"/>
  <c r="T275" i="15" s="1"/>
  <c r="U42" i="15"/>
  <c r="T42" i="15" s="1"/>
  <c r="S42" i="15" s="1"/>
  <c r="R42" i="15" s="1"/>
  <c r="U170" i="15"/>
  <c r="T170" i="15" s="1"/>
  <c r="S170" i="15" s="1"/>
  <c r="R170" i="15" s="1"/>
  <c r="U298" i="15"/>
  <c r="T298" i="15" s="1"/>
  <c r="S298" i="15" s="1"/>
  <c r="R298" i="15" s="1"/>
  <c r="U28" i="15"/>
  <c r="T28" i="15" s="1"/>
  <c r="U156" i="15"/>
  <c r="T156" i="15" s="1"/>
  <c r="S156" i="15" s="1"/>
  <c r="R156" i="15" s="1"/>
  <c r="U47" i="15"/>
  <c r="T47" i="15" s="1"/>
  <c r="S47" i="15" s="1"/>
  <c r="R47" i="15" s="1"/>
  <c r="U303" i="15"/>
  <c r="T303" i="15" s="1"/>
  <c r="S303" i="15" s="1"/>
  <c r="R303" i="15" s="1"/>
  <c r="U198" i="15"/>
  <c r="T198" i="15" s="1"/>
  <c r="S198" i="15" s="1"/>
  <c r="R198" i="15" s="1"/>
  <c r="U149" i="15"/>
  <c r="T149" i="15" s="1"/>
  <c r="S149" i="15" s="1"/>
  <c r="R149" i="15" s="1"/>
  <c r="U296" i="15"/>
  <c r="T296" i="15" s="1"/>
  <c r="S296" i="15" s="1"/>
  <c r="R296" i="15" s="1"/>
  <c r="U82" i="15"/>
  <c r="T82" i="15" s="1"/>
  <c r="S82" i="15" s="1"/>
  <c r="R82" i="15" s="1"/>
  <c r="U113" i="15"/>
  <c r="T113" i="15" s="1"/>
  <c r="S113" i="15" s="1"/>
  <c r="R113" i="15" s="1"/>
  <c r="U369" i="15"/>
  <c r="T369" i="15" s="1"/>
  <c r="S369" i="15" s="1"/>
  <c r="R369" i="15" s="1"/>
  <c r="U260" i="15"/>
  <c r="T260" i="15" s="1"/>
  <c r="U151" i="15"/>
  <c r="T151" i="15" s="1"/>
  <c r="U46" i="15"/>
  <c r="T46" i="15" s="1"/>
  <c r="U302" i="15"/>
  <c r="T302" i="15" s="1"/>
  <c r="S302" i="15" s="1"/>
  <c r="R302" i="15" s="1"/>
  <c r="U357" i="15"/>
  <c r="T357" i="15" s="1"/>
  <c r="S357" i="15" s="1"/>
  <c r="R357" i="15" s="1"/>
  <c r="U139" i="15"/>
  <c r="T139" i="15" s="1"/>
  <c r="S139" i="15" s="1"/>
  <c r="R139" i="15" s="1"/>
  <c r="U290" i="15"/>
  <c r="U204" i="15"/>
  <c r="T204" i="15" s="1"/>
  <c r="U95" i="15"/>
  <c r="T95" i="15" s="1"/>
  <c r="S95" i="15" s="1"/>
  <c r="R95" i="15" s="1"/>
  <c r="U351" i="15"/>
  <c r="T351" i="15" s="1"/>
  <c r="U246" i="15"/>
  <c r="T246" i="15" s="1"/>
  <c r="S246" i="15" s="1"/>
  <c r="R246" i="15" s="1"/>
  <c r="U245" i="15"/>
  <c r="U27" i="15"/>
  <c r="T27" i="15" s="1"/>
  <c r="S27" i="15" s="1"/>
  <c r="R27" i="15" s="1"/>
  <c r="U33" i="15"/>
  <c r="T33" i="15" s="1"/>
  <c r="S33" i="15" s="1"/>
  <c r="R33" i="15" s="1"/>
  <c r="U180" i="15"/>
  <c r="T180" i="15" s="1"/>
  <c r="S180" i="15" s="1"/>
  <c r="R180" i="15" s="1"/>
  <c r="U327" i="15"/>
  <c r="T327" i="15" s="1"/>
  <c r="S327" i="15" s="1"/>
  <c r="R327" i="15" s="1"/>
  <c r="U197" i="15"/>
  <c r="T197" i="15" s="1"/>
  <c r="S197" i="15" s="1"/>
  <c r="R197" i="15" s="1"/>
  <c r="U130" i="15"/>
  <c r="T130" i="15" s="1"/>
  <c r="S130" i="15" s="1"/>
  <c r="R130" i="15" s="1"/>
  <c r="U73" i="15"/>
  <c r="T73" i="15" s="1"/>
  <c r="AI169" i="15"/>
  <c r="AH169" i="15" s="1"/>
  <c r="AG169" i="15" s="1"/>
  <c r="AF169" i="15" s="1"/>
  <c r="AI47" i="15"/>
  <c r="AH47" i="15" s="1"/>
  <c r="AG47" i="15" s="1"/>
  <c r="AF47" i="15" s="1"/>
  <c r="AI240" i="15"/>
  <c r="AH240" i="15" s="1"/>
  <c r="AG240" i="15" s="1"/>
  <c r="AF240" i="15" s="1"/>
  <c r="AI231" i="15"/>
  <c r="AH231" i="15" s="1"/>
  <c r="AG231" i="15" s="1"/>
  <c r="AF231" i="15" s="1"/>
  <c r="AI309" i="15"/>
  <c r="AH309" i="15" s="1"/>
  <c r="AG309" i="15" s="1"/>
  <c r="AF309" i="15" s="1"/>
  <c r="AI187" i="15"/>
  <c r="AH187" i="15" s="1"/>
  <c r="AG187" i="15" s="1"/>
  <c r="AF187" i="15" s="1"/>
  <c r="AI16" i="15"/>
  <c r="AI81" i="15"/>
  <c r="AH81" i="15" s="1"/>
  <c r="AG81" i="15" s="1"/>
  <c r="AF81" i="15" s="1"/>
  <c r="AI152" i="15"/>
  <c r="AH152" i="15" s="1"/>
  <c r="AG152" i="15" s="1"/>
  <c r="AF152" i="15" s="1"/>
  <c r="AI291" i="15"/>
  <c r="AH291" i="15" s="1"/>
  <c r="AG291" i="15" s="1"/>
  <c r="AF291" i="15" s="1"/>
  <c r="AI30" i="15"/>
  <c r="AH30" i="15" s="1"/>
  <c r="AG30" i="15" s="1"/>
  <c r="AF30" i="15" s="1"/>
  <c r="AI270" i="15"/>
  <c r="AH270" i="15" s="1"/>
  <c r="AG270" i="15" s="1"/>
  <c r="AF270" i="15" s="1"/>
  <c r="AI369" i="15"/>
  <c r="AH369" i="15" s="1"/>
  <c r="C65" i="7"/>
  <c r="E302" i="17"/>
  <c r="AA13" i="7"/>
  <c r="O78" i="18"/>
  <c r="O82" i="18"/>
  <c r="O93" i="18"/>
  <c r="O113" i="18"/>
  <c r="O119" i="18"/>
  <c r="C71" i="7" s="1"/>
  <c r="O129" i="18"/>
  <c r="O148" i="18"/>
  <c r="O164" i="18"/>
  <c r="O185" i="18"/>
  <c r="O91" i="18"/>
  <c r="O120" i="18"/>
  <c r="O150" i="18"/>
  <c r="O192" i="18"/>
  <c r="O203" i="18"/>
  <c r="O79" i="18"/>
  <c r="O81" i="18"/>
  <c r="O97" i="18"/>
  <c r="O108" i="18"/>
  <c r="O116" i="18"/>
  <c r="O138" i="18"/>
  <c r="O160" i="18"/>
  <c r="O173" i="18"/>
  <c r="O177" i="18"/>
  <c r="O114" i="18"/>
  <c r="O141" i="18"/>
  <c r="O156" i="18"/>
  <c r="O210" i="18"/>
  <c r="C74" i="7" s="1"/>
  <c r="O226" i="18"/>
  <c r="O242" i="18"/>
  <c r="O266" i="18"/>
  <c r="O275" i="18"/>
  <c r="O290" i="18"/>
  <c r="O297" i="18"/>
  <c r="O306" i="18"/>
  <c r="O315" i="18"/>
  <c r="O347" i="18"/>
  <c r="O147" i="18"/>
  <c r="O193" i="18"/>
  <c r="O133" i="18"/>
  <c r="O168" i="18"/>
  <c r="O211" i="18"/>
  <c r="O236" i="18"/>
  <c r="O294" i="18"/>
  <c r="O332" i="18"/>
  <c r="O239" i="18"/>
  <c r="O281" i="18"/>
  <c r="O321" i="18"/>
  <c r="O346" i="18"/>
  <c r="O366" i="18"/>
  <c r="O355" i="18"/>
  <c r="O218" i="18"/>
  <c r="O227" i="18"/>
  <c r="O241" i="18"/>
  <c r="C75" i="7" s="1"/>
  <c r="O258" i="18"/>
  <c r="O273" i="18"/>
  <c r="O285" i="18"/>
  <c r="O307" i="18"/>
  <c r="O318" i="18"/>
  <c r="O323" i="18"/>
  <c r="O76" i="18"/>
  <c r="O89" i="18"/>
  <c r="O106" i="18"/>
  <c r="O118" i="18"/>
  <c r="O127" i="18"/>
  <c r="O146" i="18"/>
  <c r="O163" i="18"/>
  <c r="O172" i="18"/>
  <c r="O105" i="18"/>
  <c r="O140" i="18"/>
  <c r="O181" i="18"/>
  <c r="O201" i="18"/>
  <c r="O77" i="18"/>
  <c r="O96" i="18"/>
  <c r="O107" i="18"/>
  <c r="O112" i="18"/>
  <c r="O137" i="18"/>
  <c r="O145" i="18"/>
  <c r="O171" i="18"/>
  <c r="O176" i="18"/>
  <c r="O110" i="18"/>
  <c r="O135" i="18"/>
  <c r="O155" i="18"/>
  <c r="O379" i="18"/>
  <c r="C39" i="19" s="1"/>
  <c r="O360" i="18"/>
  <c r="O373" i="18"/>
  <c r="O361" i="18"/>
  <c r="O353" i="18"/>
  <c r="O334" i="18"/>
  <c r="O286" i="18"/>
  <c r="O251" i="18"/>
  <c r="O237" i="18"/>
  <c r="O308" i="18"/>
  <c r="O255" i="18"/>
  <c r="O244" i="18"/>
  <c r="O214" i="18"/>
  <c r="O183" i="18"/>
  <c r="O132" i="18"/>
  <c r="O198" i="18"/>
  <c r="O182" i="18"/>
  <c r="O80" i="18"/>
  <c r="O356" i="18"/>
  <c r="O378" i="18"/>
  <c r="O352" i="18"/>
  <c r="O370" i="18"/>
  <c r="O359" i="18"/>
  <c r="O350" i="18"/>
  <c r="O324" i="18"/>
  <c r="O279" i="18"/>
  <c r="O249" i="18"/>
  <c r="O339" i="18"/>
  <c r="O274" i="18"/>
  <c r="O253" i="18"/>
  <c r="O240" i="18"/>
  <c r="O209" i="18"/>
  <c r="O167" i="18"/>
  <c r="O212" i="18"/>
  <c r="O197" i="18"/>
  <c r="O348" i="18"/>
  <c r="O325" i="18"/>
  <c r="O319" i="18"/>
  <c r="O312" i="18"/>
  <c r="O288" i="18"/>
  <c r="O277" i="18"/>
  <c r="O265" i="18"/>
  <c r="O243" i="18"/>
  <c r="O228" i="18"/>
  <c r="O220" i="18"/>
  <c r="O369" i="18"/>
  <c r="O374" i="18"/>
  <c r="O351" i="18"/>
  <c r="O336" i="18"/>
  <c r="O287" i="18"/>
  <c r="O247" i="18"/>
  <c r="O340" i="18"/>
  <c r="O298" i="18"/>
  <c r="O264" i="18"/>
  <c r="O216" i="18"/>
  <c r="O179" i="18"/>
  <c r="O151" i="18"/>
  <c r="O195" i="18"/>
  <c r="O184" i="18"/>
  <c r="O86" i="18"/>
  <c r="O349" i="18"/>
  <c r="O326" i="18"/>
  <c r="O309" i="18"/>
  <c r="O301" i="18"/>
  <c r="O293" i="18"/>
  <c r="O276" i="18"/>
  <c r="O269" i="18"/>
  <c r="O256" i="18"/>
  <c r="O229" i="18"/>
  <c r="O215" i="18"/>
  <c r="O170" i="18"/>
  <c r="O128" i="18"/>
  <c r="O174" i="18"/>
  <c r="O139" i="18"/>
  <c r="O109" i="18"/>
  <c r="O88" i="18"/>
  <c r="C70" i="7" s="1"/>
  <c r="O194" i="18"/>
  <c r="O125" i="18"/>
  <c r="O165" i="18"/>
  <c r="O131" i="18"/>
  <c r="O115" i="18"/>
  <c r="O83" i="18"/>
  <c r="O90" i="18"/>
  <c r="O320" i="18"/>
  <c r="O302" i="18"/>
  <c r="C77" i="7" s="1"/>
  <c r="O267" i="18"/>
  <c r="O234" i="18"/>
  <c r="O372" i="18"/>
  <c r="O363" i="18"/>
  <c r="C79" i="7" s="1"/>
  <c r="O291" i="18"/>
  <c r="O341" i="18"/>
  <c r="O283" i="18"/>
  <c r="O180" i="18"/>
  <c r="C73" i="7" s="1"/>
  <c r="O196" i="18"/>
  <c r="O99" i="18"/>
  <c r="O85" i="18"/>
  <c r="O357" i="18"/>
  <c r="O310" i="18"/>
  <c r="O295" i="18"/>
  <c r="O270" i="18"/>
  <c r="O233" i="18"/>
  <c r="O200" i="18"/>
  <c r="O130" i="18"/>
  <c r="O175" i="18"/>
  <c r="O142" i="18"/>
  <c r="O111" i="18"/>
  <c r="O92" i="18"/>
  <c r="O75" i="18"/>
  <c r="O178" i="18"/>
  <c r="O103" i="18"/>
  <c r="O166" i="18"/>
  <c r="O144" i="18"/>
  <c r="O117" i="18"/>
  <c r="O84" i="18"/>
  <c r="O74" i="18"/>
  <c r="E333" i="17"/>
  <c r="E272" i="17"/>
  <c r="AC101" i="16"/>
  <c r="AC57" i="16"/>
  <c r="AC126" i="16"/>
  <c r="AC30" i="16"/>
  <c r="AC54" i="16"/>
  <c r="AC59" i="16"/>
  <c r="AC116" i="16"/>
  <c r="AC19" i="16"/>
  <c r="AC58" i="16"/>
  <c r="AC127" i="16"/>
  <c r="AC80" i="16"/>
  <c r="AC108" i="16"/>
  <c r="AC68" i="16"/>
  <c r="AC88" i="16"/>
  <c r="AC89" i="16"/>
  <c r="AC75" i="16"/>
  <c r="AC25" i="16"/>
  <c r="AC109" i="16"/>
  <c r="AC53" i="16"/>
  <c r="AC77" i="16"/>
  <c r="AC18" i="16"/>
  <c r="AC42" i="16"/>
  <c r="AC38" i="16"/>
  <c r="AC120" i="16"/>
  <c r="AC43" i="16"/>
  <c r="AC40" i="16"/>
  <c r="AC125" i="16"/>
  <c r="AC29" i="16"/>
  <c r="AC62" i="16"/>
  <c r="AC20" i="16"/>
  <c r="O12" i="16"/>
  <c r="K16" i="7"/>
  <c r="AI42" i="15"/>
  <c r="AH42" i="15" s="1"/>
  <c r="AG42" i="15" s="1"/>
  <c r="AF42" i="15" s="1"/>
  <c r="AI211" i="15"/>
  <c r="AH211" i="15" s="1"/>
  <c r="AG211" i="15" s="1"/>
  <c r="AF211" i="15" s="1"/>
  <c r="AI333" i="15"/>
  <c r="AH333" i="15" s="1"/>
  <c r="AG333" i="15" s="1"/>
  <c r="AF333" i="15" s="1"/>
  <c r="AI247" i="15"/>
  <c r="AH247" i="15" s="1"/>
  <c r="AG247" i="15" s="1"/>
  <c r="AF247" i="15" s="1"/>
  <c r="AI268" i="15"/>
  <c r="AH268" i="15" s="1"/>
  <c r="AG268" i="15" s="1"/>
  <c r="AF268" i="15" s="1"/>
  <c r="AI75" i="15"/>
  <c r="AH75" i="15" s="1"/>
  <c r="AG75" i="15" s="1"/>
  <c r="AF75" i="15" s="1"/>
  <c r="AI197" i="15"/>
  <c r="AH197" i="15" s="1"/>
  <c r="AG197" i="15" s="1"/>
  <c r="AF197" i="15" s="1"/>
  <c r="AI374" i="15"/>
  <c r="AH374" i="15" s="1"/>
  <c r="AG374" i="15" s="1"/>
  <c r="AF374" i="15" s="1"/>
  <c r="AI128" i="15"/>
  <c r="AH128" i="15" s="1"/>
  <c r="AG128" i="15" s="1"/>
  <c r="AF128" i="15" s="1"/>
  <c r="AI278" i="15"/>
  <c r="AH278" i="15" s="1"/>
  <c r="AG278" i="15" s="1"/>
  <c r="AF278" i="15" s="1"/>
  <c r="AI57" i="15"/>
  <c r="AH57" i="15" s="1"/>
  <c r="AG57" i="15" s="1"/>
  <c r="AF57" i="15" s="1"/>
  <c r="AI116" i="15"/>
  <c r="AH116" i="15" s="1"/>
  <c r="AG116" i="15" s="1"/>
  <c r="AF116" i="15" s="1"/>
  <c r="AI372" i="15"/>
  <c r="AH372" i="15" s="1"/>
  <c r="AG372" i="15" s="1"/>
  <c r="AF372" i="15" s="1"/>
  <c r="AI266" i="15"/>
  <c r="AH266" i="15" s="1"/>
  <c r="AG266" i="15" s="1"/>
  <c r="AF266" i="15" s="1"/>
  <c r="AI179" i="15"/>
  <c r="AH179" i="15" s="1"/>
  <c r="AG179" i="15" s="1"/>
  <c r="AF179" i="15" s="1"/>
  <c r="AI45" i="15"/>
  <c r="AH45" i="15" s="1"/>
  <c r="AG45" i="15" s="1"/>
  <c r="AF45" i="15" s="1"/>
  <c r="AI301" i="15"/>
  <c r="AH301" i="15" s="1"/>
  <c r="AG301" i="15" s="1"/>
  <c r="AF301" i="15" s="1"/>
  <c r="AI376" i="15"/>
  <c r="AH376" i="15" s="1"/>
  <c r="AG376" i="15" s="1"/>
  <c r="AF376" i="15" s="1"/>
  <c r="AI183" i="15"/>
  <c r="AH183" i="15" s="1"/>
  <c r="AG183" i="15" s="1"/>
  <c r="AF183" i="15" s="1"/>
  <c r="AI305" i="15"/>
  <c r="AH305" i="15" s="1"/>
  <c r="AG305" i="15" s="1"/>
  <c r="AF305" i="15" s="1"/>
  <c r="AI236" i="15"/>
  <c r="AH236" i="15" s="1"/>
  <c r="AG236" i="15" s="1"/>
  <c r="AF236" i="15" s="1"/>
  <c r="AI130" i="15"/>
  <c r="AH130" i="15" s="1"/>
  <c r="AI43" i="15"/>
  <c r="AH43" i="15" s="1"/>
  <c r="AG43" i="15" s="1"/>
  <c r="AF43" i="15" s="1"/>
  <c r="AI299" i="15"/>
  <c r="AH299" i="15" s="1"/>
  <c r="AG299" i="15" s="1"/>
  <c r="AF299" i="15" s="1"/>
  <c r="AI165" i="15"/>
  <c r="AH165" i="15" s="1"/>
  <c r="AG165" i="15" s="1"/>
  <c r="AF165" i="15" s="1"/>
  <c r="AI136" i="15"/>
  <c r="AH136" i="15" s="1"/>
  <c r="AG136" i="15" s="1"/>
  <c r="AF136" i="15" s="1"/>
  <c r="AI286" i="15"/>
  <c r="AH286" i="15" s="1"/>
  <c r="AG286" i="15" s="1"/>
  <c r="AF286" i="15" s="1"/>
  <c r="AI65" i="15"/>
  <c r="AH65" i="15" s="1"/>
  <c r="AG65" i="15" s="1"/>
  <c r="AF65" i="15" s="1"/>
  <c r="AI96" i="15"/>
  <c r="AH96" i="15" s="1"/>
  <c r="AG96" i="15" s="1"/>
  <c r="AF96" i="15" s="1"/>
  <c r="AI352" i="15"/>
  <c r="AH352" i="15" s="1"/>
  <c r="AG352" i="15" s="1"/>
  <c r="AF352" i="15" s="1"/>
  <c r="AI246" i="15"/>
  <c r="AH246" i="15" s="1"/>
  <c r="AG246" i="15" s="1"/>
  <c r="AF246" i="15" s="1"/>
  <c r="AI159" i="15"/>
  <c r="AH159" i="15" s="1"/>
  <c r="AG159" i="15" s="1"/>
  <c r="AF159" i="15" s="1"/>
  <c r="AI25" i="15"/>
  <c r="AH25" i="15" s="1"/>
  <c r="AG25" i="15" s="1"/>
  <c r="AF25" i="15" s="1"/>
  <c r="AI281" i="15"/>
  <c r="AH281" i="15" s="1"/>
  <c r="AG281" i="15" s="1"/>
  <c r="AF281" i="15" s="1"/>
  <c r="AI36" i="15"/>
  <c r="AH36" i="15" s="1"/>
  <c r="AG36" i="15" s="1"/>
  <c r="AF36" i="15" s="1"/>
  <c r="AI164" i="15"/>
  <c r="AH164" i="15" s="1"/>
  <c r="AG164" i="15" s="1"/>
  <c r="AF164" i="15" s="1"/>
  <c r="AI292" i="15"/>
  <c r="AH292" i="15" s="1"/>
  <c r="AG292" i="15" s="1"/>
  <c r="AF292" i="15" s="1"/>
  <c r="AI58" i="15"/>
  <c r="AH58" i="15" s="1"/>
  <c r="AG58" i="15" s="1"/>
  <c r="AF58" i="15" s="1"/>
  <c r="AI186" i="15"/>
  <c r="AH186" i="15" s="1"/>
  <c r="AG186" i="15" s="1"/>
  <c r="AF186" i="15" s="1"/>
  <c r="AI314" i="15"/>
  <c r="AH314" i="15" s="1"/>
  <c r="AG314" i="15" s="1"/>
  <c r="AF314" i="15" s="1"/>
  <c r="AI99" i="15"/>
  <c r="AH99" i="15" s="1"/>
  <c r="AG99" i="15" s="1"/>
  <c r="AF99" i="15" s="1"/>
  <c r="AI227" i="15"/>
  <c r="AH227" i="15" s="1"/>
  <c r="AI355" i="15"/>
  <c r="AH355" i="15" s="1"/>
  <c r="AG355" i="15" s="1"/>
  <c r="AF355" i="15" s="1"/>
  <c r="AI29" i="15"/>
  <c r="AH29" i="15" s="1"/>
  <c r="AG29" i="15" s="1"/>
  <c r="AF29" i="15" s="1"/>
  <c r="AI93" i="15"/>
  <c r="AH93" i="15" s="1"/>
  <c r="AG93" i="15" s="1"/>
  <c r="AF93" i="15" s="1"/>
  <c r="AI157" i="15"/>
  <c r="AH157" i="15" s="1"/>
  <c r="AG157" i="15" s="1"/>
  <c r="AF157" i="15" s="1"/>
  <c r="AI221" i="15"/>
  <c r="AH221" i="15" s="1"/>
  <c r="AI285" i="15"/>
  <c r="AH285" i="15" s="1"/>
  <c r="AI349" i="15"/>
  <c r="AH349" i="15" s="1"/>
  <c r="AG349" i="15" s="1"/>
  <c r="AF349" i="15" s="1"/>
  <c r="AI88" i="15"/>
  <c r="AH88" i="15" s="1"/>
  <c r="AI216" i="15"/>
  <c r="AH216" i="15" s="1"/>
  <c r="AG216" i="15" s="1"/>
  <c r="AF216" i="15" s="1"/>
  <c r="AI344" i="15"/>
  <c r="AH344" i="15" s="1"/>
  <c r="AG344" i="15" s="1"/>
  <c r="AF344" i="15" s="1"/>
  <c r="AI110" i="15"/>
  <c r="AH110" i="15" s="1"/>
  <c r="AG110" i="15" s="1"/>
  <c r="AF110" i="15" s="1"/>
  <c r="AI238" i="15"/>
  <c r="AH238" i="15" s="1"/>
  <c r="AG238" i="15" s="1"/>
  <c r="AF238" i="15" s="1"/>
  <c r="AI23" i="15"/>
  <c r="AH23" i="15" s="1"/>
  <c r="AG23" i="15" s="1"/>
  <c r="AF23" i="15" s="1"/>
  <c r="AI151" i="15"/>
  <c r="AH151" i="15" s="1"/>
  <c r="AG151" i="15" s="1"/>
  <c r="AF151" i="15" s="1"/>
  <c r="AI279" i="15"/>
  <c r="AH279" i="15" s="1"/>
  <c r="AG279" i="15" s="1"/>
  <c r="AF279" i="15" s="1"/>
  <c r="AI19" i="15"/>
  <c r="AH19" i="15" s="1"/>
  <c r="AI145" i="15"/>
  <c r="AH145" i="15" s="1"/>
  <c r="AG145" i="15" s="1"/>
  <c r="AF145" i="15" s="1"/>
  <c r="AI273" i="15"/>
  <c r="AH273" i="15" s="1"/>
  <c r="AG273" i="15" s="1"/>
  <c r="AF273" i="15" s="1"/>
  <c r="AI28" i="15"/>
  <c r="AH28" i="15" s="1"/>
  <c r="AG28" i="15" s="1"/>
  <c r="AF28" i="15" s="1"/>
  <c r="AI92" i="15"/>
  <c r="AH92" i="15" s="1"/>
  <c r="AG92" i="15" s="1"/>
  <c r="AF92" i="15" s="1"/>
  <c r="AI156" i="15"/>
  <c r="AH156" i="15" s="1"/>
  <c r="AG156" i="15" s="1"/>
  <c r="AF156" i="15" s="1"/>
  <c r="AI220" i="15"/>
  <c r="AH220" i="15" s="1"/>
  <c r="AG220" i="15" s="1"/>
  <c r="AF220" i="15" s="1"/>
  <c r="AI284" i="15"/>
  <c r="AH284" i="15" s="1"/>
  <c r="AG284" i="15" s="1"/>
  <c r="AF284" i="15" s="1"/>
  <c r="AI348" i="15"/>
  <c r="AH348" i="15" s="1"/>
  <c r="AG348" i="15" s="1"/>
  <c r="AF348" i="15" s="1"/>
  <c r="AI50" i="15"/>
  <c r="AH50" i="15" s="1"/>
  <c r="AG50" i="15" s="1"/>
  <c r="AF50" i="15" s="1"/>
  <c r="AI114" i="15"/>
  <c r="AH114" i="15" s="1"/>
  <c r="AG114" i="15" s="1"/>
  <c r="AF114" i="15" s="1"/>
  <c r="AI178" i="15"/>
  <c r="AH178" i="15" s="1"/>
  <c r="AG178" i="15" s="1"/>
  <c r="AF178" i="15" s="1"/>
  <c r="AI242" i="15"/>
  <c r="AH242" i="15" s="1"/>
  <c r="AG242" i="15" s="1"/>
  <c r="AF242" i="15" s="1"/>
  <c r="AI306" i="15"/>
  <c r="AH306" i="15" s="1"/>
  <c r="AG306" i="15" s="1"/>
  <c r="AF306" i="15" s="1"/>
  <c r="AI27" i="15"/>
  <c r="AH27" i="15" s="1"/>
  <c r="AG27" i="15" s="1"/>
  <c r="AF27" i="15" s="1"/>
  <c r="AI91" i="15"/>
  <c r="AH91" i="15" s="1"/>
  <c r="AG91" i="15" s="1"/>
  <c r="AF91" i="15" s="1"/>
  <c r="AI155" i="15"/>
  <c r="AH155" i="15" s="1"/>
  <c r="AG155" i="15" s="1"/>
  <c r="AF155" i="15" s="1"/>
  <c r="AI219" i="15"/>
  <c r="AH219" i="15" s="1"/>
  <c r="AG219" i="15" s="1"/>
  <c r="AF219" i="15" s="1"/>
  <c r="AI283" i="15"/>
  <c r="AH283" i="15" s="1"/>
  <c r="AG283" i="15" s="1"/>
  <c r="AF283" i="15" s="1"/>
  <c r="AI347" i="15"/>
  <c r="AH347" i="15" s="1"/>
  <c r="AG347" i="15" s="1"/>
  <c r="AF347" i="15" s="1"/>
  <c r="AI21" i="15"/>
  <c r="AH21" i="15" s="1"/>
  <c r="AG21" i="15" s="1"/>
  <c r="AF21" i="15" s="1"/>
  <c r="AI85" i="15"/>
  <c r="AH85" i="15" s="1"/>
  <c r="AG85" i="15" s="1"/>
  <c r="AF85" i="15" s="1"/>
  <c r="AI149" i="15"/>
  <c r="AH149" i="15" s="1"/>
  <c r="AG149" i="15" s="1"/>
  <c r="AF149" i="15" s="1"/>
  <c r="AI213" i="15"/>
  <c r="AH213" i="15" s="1"/>
  <c r="AG213" i="15" s="1"/>
  <c r="AF213" i="15" s="1"/>
  <c r="AI277" i="15"/>
  <c r="AH277" i="15" s="1"/>
  <c r="AG277" i="15" s="1"/>
  <c r="AF277" i="15" s="1"/>
  <c r="AI341" i="15"/>
  <c r="AH341" i="15" s="1"/>
  <c r="AG341" i="15" s="1"/>
  <c r="AF341" i="15" s="1"/>
  <c r="AI104" i="15"/>
  <c r="AH104" i="15" s="1"/>
  <c r="AG104" i="15" s="1"/>
  <c r="AF104" i="15" s="1"/>
  <c r="AI232" i="15"/>
  <c r="AH232" i="15" s="1"/>
  <c r="AG232" i="15" s="1"/>
  <c r="AF232" i="15" s="1"/>
  <c r="AI360" i="15"/>
  <c r="AH360" i="15" s="1"/>
  <c r="AG360" i="15" s="1"/>
  <c r="AF360" i="15" s="1"/>
  <c r="AI126" i="15"/>
  <c r="AH126" i="15" s="1"/>
  <c r="AG126" i="15" s="1"/>
  <c r="AF126" i="15" s="1"/>
  <c r="AI254" i="15"/>
  <c r="AH254" i="15" s="1"/>
  <c r="AG254" i="15" s="1"/>
  <c r="AF254" i="15" s="1"/>
  <c r="AI39" i="15"/>
  <c r="AH39" i="15" s="1"/>
  <c r="AG39" i="15" s="1"/>
  <c r="AF39" i="15" s="1"/>
  <c r="AI167" i="15"/>
  <c r="AH167" i="15" s="1"/>
  <c r="AG167" i="15" s="1"/>
  <c r="AF167" i="15" s="1"/>
  <c r="AI295" i="15"/>
  <c r="AH295" i="15" s="1"/>
  <c r="AG295" i="15" s="1"/>
  <c r="AF295" i="15" s="1"/>
  <c r="AI33" i="15"/>
  <c r="AH33" i="15" s="1"/>
  <c r="AG33" i="15" s="1"/>
  <c r="AF33" i="15" s="1"/>
  <c r="AI161" i="15"/>
  <c r="AH161" i="15" s="1"/>
  <c r="AG161" i="15" s="1"/>
  <c r="AF161" i="15" s="1"/>
  <c r="AI289" i="15"/>
  <c r="AH289" i="15" s="1"/>
  <c r="AG289" i="15" s="1"/>
  <c r="AF289" i="15" s="1"/>
  <c r="AI15" i="15"/>
  <c r="AH15" i="15" s="1"/>
  <c r="AG15" i="15" s="1"/>
  <c r="AI80" i="15"/>
  <c r="AH80" i="15" s="1"/>
  <c r="AG80" i="15" s="1"/>
  <c r="AF80" i="15" s="1"/>
  <c r="AI144" i="15"/>
  <c r="AH144" i="15" s="1"/>
  <c r="AG144" i="15" s="1"/>
  <c r="AF144" i="15" s="1"/>
  <c r="AI208" i="15"/>
  <c r="AH208" i="15" s="1"/>
  <c r="AG208" i="15" s="1"/>
  <c r="AF208" i="15" s="1"/>
  <c r="AI272" i="15"/>
  <c r="AH272" i="15" s="1"/>
  <c r="AG272" i="15" s="1"/>
  <c r="AF272" i="15" s="1"/>
  <c r="AI336" i="15"/>
  <c r="AH336" i="15" s="1"/>
  <c r="AG336" i="15" s="1"/>
  <c r="AF336" i="15" s="1"/>
  <c r="AI38" i="15"/>
  <c r="AH38" i="15" s="1"/>
  <c r="AG38" i="15" s="1"/>
  <c r="AF38" i="15" s="1"/>
  <c r="AI102" i="15"/>
  <c r="AH102" i="15" s="1"/>
  <c r="AG102" i="15" s="1"/>
  <c r="AF102" i="15" s="1"/>
  <c r="AI166" i="15"/>
  <c r="AH166" i="15" s="1"/>
  <c r="AG166" i="15" s="1"/>
  <c r="AF166" i="15" s="1"/>
  <c r="AI230" i="15"/>
  <c r="AH230" i="15" s="1"/>
  <c r="AG230" i="15" s="1"/>
  <c r="AF230" i="15" s="1"/>
  <c r="AI294" i="15"/>
  <c r="AH294" i="15" s="1"/>
  <c r="AG294" i="15" s="1"/>
  <c r="AF294" i="15" s="1"/>
  <c r="AI18" i="15"/>
  <c r="AH18" i="15" s="1"/>
  <c r="AG18" i="15" s="1"/>
  <c r="AF18" i="15" s="1"/>
  <c r="AI79" i="15"/>
  <c r="AH79" i="15" s="1"/>
  <c r="AG79" i="15" s="1"/>
  <c r="AF79" i="15" s="1"/>
  <c r="AI143" i="15"/>
  <c r="AH143" i="15" s="1"/>
  <c r="AG143" i="15" s="1"/>
  <c r="AF143" i="15" s="1"/>
  <c r="AI207" i="15"/>
  <c r="AH207" i="15" s="1"/>
  <c r="AG207" i="15" s="1"/>
  <c r="AF207" i="15" s="1"/>
  <c r="AI271" i="15"/>
  <c r="AH271" i="15" s="1"/>
  <c r="AG271" i="15" s="1"/>
  <c r="AF271" i="15" s="1"/>
  <c r="AI335" i="15"/>
  <c r="AH335" i="15" s="1"/>
  <c r="AG335" i="15" s="1"/>
  <c r="AF335" i="15" s="1"/>
  <c r="AI370" i="15"/>
  <c r="AH370" i="15" s="1"/>
  <c r="AG370" i="15" s="1"/>
  <c r="AF370" i="15" s="1"/>
  <c r="AI73" i="15"/>
  <c r="AH73" i="15" s="1"/>
  <c r="AG73" i="15" s="1"/>
  <c r="AF73" i="15" s="1"/>
  <c r="AI137" i="15"/>
  <c r="AH137" i="15" s="1"/>
  <c r="AG137" i="15" s="1"/>
  <c r="AF137" i="15" s="1"/>
  <c r="AI201" i="15"/>
  <c r="AH201" i="15" s="1"/>
  <c r="AG201" i="15" s="1"/>
  <c r="AF201" i="15" s="1"/>
  <c r="AI265" i="15"/>
  <c r="AH265" i="15" s="1"/>
  <c r="AG265" i="15" s="1"/>
  <c r="AF265" i="15" s="1"/>
  <c r="AI329" i="15"/>
  <c r="AH329" i="15" s="1"/>
  <c r="AG329" i="15" s="1"/>
  <c r="AF329" i="15" s="1"/>
  <c r="U297" i="15"/>
  <c r="U233" i="15"/>
  <c r="T233" i="15" s="1"/>
  <c r="S233" i="15" s="1"/>
  <c r="R233" i="15" s="1"/>
  <c r="U169" i="15"/>
  <c r="T169" i="15" s="1"/>
  <c r="S169" i="15" s="1"/>
  <c r="R169" i="15" s="1"/>
  <c r="U105" i="15"/>
  <c r="T105" i="15" s="1"/>
  <c r="U41" i="15"/>
  <c r="T41" i="15" s="1"/>
  <c r="S41" i="15" s="1"/>
  <c r="R41" i="15" s="1"/>
  <c r="U281" i="15"/>
  <c r="T281" i="15" s="1"/>
  <c r="U153" i="15"/>
  <c r="U25" i="15"/>
  <c r="T25" i="15" s="1"/>
  <c r="S25" i="15" s="1"/>
  <c r="R25" i="15" s="1"/>
  <c r="U249" i="15"/>
  <c r="T249" i="15" s="1"/>
  <c r="S249" i="15" s="1"/>
  <c r="R249" i="15" s="1"/>
  <c r="U121" i="15"/>
  <c r="T121" i="15" s="1"/>
  <c r="S121" i="15" s="1"/>
  <c r="R121" i="15" s="1"/>
  <c r="U322" i="15"/>
  <c r="T322" i="15" s="1"/>
  <c r="S322" i="15" s="1"/>
  <c r="R322" i="15" s="1"/>
  <c r="U194" i="15"/>
  <c r="T194" i="15" s="1"/>
  <c r="S194" i="15" s="1"/>
  <c r="R194" i="15" s="1"/>
  <c r="U66" i="15"/>
  <c r="T66" i="15" s="1"/>
  <c r="S66" i="15" s="1"/>
  <c r="R66" i="15" s="1"/>
  <c r="U299" i="15"/>
  <c r="T299" i="15" s="1"/>
  <c r="S299" i="15" s="1"/>
  <c r="R299" i="15" s="1"/>
  <c r="U171" i="15"/>
  <c r="T171" i="15" s="1"/>
  <c r="S171" i="15" s="1"/>
  <c r="R171" i="15" s="1"/>
  <c r="U43" i="15"/>
  <c r="T43" i="15" s="1"/>
  <c r="S43" i="15" s="1"/>
  <c r="R43" i="15" s="1"/>
  <c r="U280" i="15"/>
  <c r="T280" i="15" s="1"/>
  <c r="S280" i="15" s="1"/>
  <c r="R280" i="15" s="1"/>
  <c r="U152" i="15"/>
  <c r="T152" i="15" s="1"/>
  <c r="S152" i="15" s="1"/>
  <c r="R152" i="15" s="1"/>
  <c r="U24" i="15"/>
  <c r="T24" i="15" s="1"/>
  <c r="U261" i="15"/>
  <c r="T261" i="15" s="1"/>
  <c r="S261" i="15" s="1"/>
  <c r="R261" i="15" s="1"/>
  <c r="U133" i="15"/>
  <c r="T133" i="15" s="1"/>
  <c r="S133" i="15" s="1"/>
  <c r="R133" i="15" s="1"/>
  <c r="U378" i="15"/>
  <c r="T378" i="15" s="1"/>
  <c r="S378" i="15" s="1"/>
  <c r="R378" i="15" s="1"/>
  <c r="U318" i="15"/>
  <c r="T318" i="15" s="1"/>
  <c r="S318" i="15" s="1"/>
  <c r="R318" i="15" s="1"/>
  <c r="U254" i="15"/>
  <c r="T254" i="15" s="1"/>
  <c r="S254" i="15" s="1"/>
  <c r="R254" i="15" s="1"/>
  <c r="U190" i="15"/>
  <c r="T190" i="15" s="1"/>
  <c r="S190" i="15" s="1"/>
  <c r="R190" i="15" s="1"/>
  <c r="U126" i="15"/>
  <c r="T126" i="15" s="1"/>
  <c r="S126" i="15" s="1"/>
  <c r="R126" i="15" s="1"/>
  <c r="U62" i="15"/>
  <c r="T62" i="15" s="1"/>
  <c r="S62" i="15" s="1"/>
  <c r="R62" i="15" s="1"/>
  <c r="U359" i="15"/>
  <c r="T359" i="15" s="1"/>
  <c r="S359" i="15" s="1"/>
  <c r="R359" i="15" s="1"/>
  <c r="U295" i="15"/>
  <c r="T295" i="15" s="1"/>
  <c r="S295" i="15" s="1"/>
  <c r="R295" i="15" s="1"/>
  <c r="U231" i="15"/>
  <c r="T231" i="15" s="1"/>
  <c r="S231" i="15" s="1"/>
  <c r="R231" i="15" s="1"/>
  <c r="U167" i="15"/>
  <c r="T167" i="15" s="1"/>
  <c r="U103" i="15"/>
  <c r="T103" i="15" s="1"/>
  <c r="S103" i="15" s="1"/>
  <c r="R103" i="15" s="1"/>
  <c r="U39" i="15"/>
  <c r="T39" i="15" s="1"/>
  <c r="U340" i="15"/>
  <c r="T340" i="15" s="1"/>
  <c r="S340" i="15" s="1"/>
  <c r="R340" i="15" s="1"/>
  <c r="U276" i="15"/>
  <c r="T276" i="15" s="1"/>
  <c r="S276" i="15" s="1"/>
  <c r="R276" i="15" s="1"/>
  <c r="U212" i="15"/>
  <c r="T212" i="15" s="1"/>
  <c r="S212" i="15" s="1"/>
  <c r="R212" i="15" s="1"/>
  <c r="U148" i="15"/>
  <c r="T148" i="15" s="1"/>
  <c r="S148" i="15" s="1"/>
  <c r="R148" i="15" s="1"/>
  <c r="U84" i="15"/>
  <c r="T84" i="15" s="1"/>
  <c r="S84" i="15" s="1"/>
  <c r="R84" i="15" s="1"/>
  <c r="U20" i="15"/>
  <c r="T20" i="15" s="1"/>
  <c r="S20" i="15" s="1"/>
  <c r="R20" i="15" s="1"/>
  <c r="U321" i="15"/>
  <c r="T321" i="15" s="1"/>
  <c r="S321" i="15" s="1"/>
  <c r="R321" i="15" s="1"/>
  <c r="U257" i="15"/>
  <c r="T257" i="15" s="1"/>
  <c r="S257" i="15" s="1"/>
  <c r="R257" i="15" s="1"/>
  <c r="U193" i="15"/>
  <c r="T193" i="15" s="1"/>
  <c r="S193" i="15" s="1"/>
  <c r="R193" i="15" s="1"/>
  <c r="U129" i="15"/>
  <c r="T129" i="15" s="1"/>
  <c r="S129" i="15" s="1"/>
  <c r="R129" i="15" s="1"/>
  <c r="U65" i="15"/>
  <c r="T65" i="15" s="1"/>
  <c r="S65" i="15" s="1"/>
  <c r="R65" i="15" s="1"/>
  <c r="U370" i="15"/>
  <c r="T370" i="15" s="1"/>
  <c r="S370" i="15" s="1"/>
  <c r="R370" i="15" s="1"/>
  <c r="U242" i="15"/>
  <c r="T242" i="15" s="1"/>
  <c r="S242" i="15" s="1"/>
  <c r="R242" i="15" s="1"/>
  <c r="U114" i="15"/>
  <c r="T114" i="15" s="1"/>
  <c r="S114" i="15" s="1"/>
  <c r="R114" i="15" s="1"/>
  <c r="U347" i="15"/>
  <c r="T347" i="15" s="1"/>
  <c r="S347" i="15" s="1"/>
  <c r="R347" i="15" s="1"/>
  <c r="U61" i="15"/>
  <c r="T61" i="15" s="1"/>
  <c r="S61" i="15" s="1"/>
  <c r="R61" i="15" s="1"/>
  <c r="U125" i="15"/>
  <c r="T125" i="15" s="1"/>
  <c r="S125" i="15" s="1"/>
  <c r="R125" i="15" s="1"/>
  <c r="U189" i="15"/>
  <c r="T189" i="15" s="1"/>
  <c r="S189" i="15" s="1"/>
  <c r="R189" i="15" s="1"/>
  <c r="U253" i="15"/>
  <c r="T253" i="15" s="1"/>
  <c r="S253" i="15" s="1"/>
  <c r="R253" i="15" s="1"/>
  <c r="U317" i="15"/>
  <c r="T317" i="15" s="1"/>
  <c r="S317" i="15" s="1"/>
  <c r="R317" i="15" s="1"/>
  <c r="U16" i="15"/>
  <c r="U80" i="15"/>
  <c r="U144" i="15"/>
  <c r="T144" i="15" s="1"/>
  <c r="U208" i="15"/>
  <c r="T208" i="15" s="1"/>
  <c r="S208" i="15" s="1"/>
  <c r="R208" i="15" s="1"/>
  <c r="U272" i="15"/>
  <c r="T272" i="15" s="1"/>
  <c r="U336" i="15"/>
  <c r="T336" i="15" s="1"/>
  <c r="S336" i="15" s="1"/>
  <c r="R336" i="15" s="1"/>
  <c r="U35" i="15"/>
  <c r="T35" i="15" s="1"/>
  <c r="U99" i="15"/>
  <c r="T99" i="15" s="1"/>
  <c r="S99" i="15" s="1"/>
  <c r="R99" i="15" s="1"/>
  <c r="U163" i="15"/>
  <c r="T163" i="15" s="1"/>
  <c r="S163" i="15" s="1"/>
  <c r="R163" i="15" s="1"/>
  <c r="U227" i="15"/>
  <c r="T227" i="15" s="1"/>
  <c r="S227" i="15" s="1"/>
  <c r="R227" i="15" s="1"/>
  <c r="U291" i="15"/>
  <c r="T291" i="15" s="1"/>
  <c r="U355" i="15"/>
  <c r="T355" i="15" s="1"/>
  <c r="S355" i="15" s="1"/>
  <c r="R355" i="15" s="1"/>
  <c r="U58" i="15"/>
  <c r="T58" i="15" s="1"/>
  <c r="S58" i="15" s="1"/>
  <c r="R58" i="15" s="1"/>
  <c r="U122" i="15"/>
  <c r="T122" i="15" s="1"/>
  <c r="S122" i="15" s="1"/>
  <c r="R122" i="15" s="1"/>
  <c r="U186" i="15"/>
  <c r="T186" i="15" s="1"/>
  <c r="S186" i="15" s="1"/>
  <c r="R186" i="15" s="1"/>
  <c r="U250" i="15"/>
  <c r="T250" i="15" s="1"/>
  <c r="S250" i="15" s="1"/>
  <c r="R250" i="15" s="1"/>
  <c r="U314" i="15"/>
  <c r="T314" i="15" s="1"/>
  <c r="S314" i="15" s="1"/>
  <c r="R314" i="15" s="1"/>
  <c r="U379" i="15"/>
  <c r="J16" i="7" s="1"/>
  <c r="P11" i="7" s="1"/>
  <c r="U11" i="16" s="1"/>
  <c r="U77" i="15"/>
  <c r="T77" i="15" s="1"/>
  <c r="U141" i="15"/>
  <c r="T141" i="15" s="1"/>
  <c r="S141" i="15" s="1"/>
  <c r="R141" i="15" s="1"/>
  <c r="U205" i="15"/>
  <c r="T205" i="15" s="1"/>
  <c r="U269" i="15"/>
  <c r="U333" i="15"/>
  <c r="T333" i="15" s="1"/>
  <c r="S333" i="15" s="1"/>
  <c r="R333" i="15" s="1"/>
  <c r="U32" i="15"/>
  <c r="T32" i="15" s="1"/>
  <c r="S32" i="15" s="1"/>
  <c r="R32" i="15" s="1"/>
  <c r="U96" i="15"/>
  <c r="T96" i="15" s="1"/>
  <c r="U160" i="15"/>
  <c r="T160" i="15" s="1"/>
  <c r="S160" i="15" s="1"/>
  <c r="R160" i="15" s="1"/>
  <c r="U224" i="15"/>
  <c r="T224" i="15" s="1"/>
  <c r="S224" i="15" s="1"/>
  <c r="R224" i="15" s="1"/>
  <c r="U288" i="15"/>
  <c r="T288" i="15" s="1"/>
  <c r="S288" i="15" s="1"/>
  <c r="R288" i="15" s="1"/>
  <c r="U352" i="15"/>
  <c r="T352" i="15" s="1"/>
  <c r="S352" i="15" s="1"/>
  <c r="R352" i="15" s="1"/>
  <c r="U51" i="15"/>
  <c r="T51" i="15" s="1"/>
  <c r="S51" i="15" s="1"/>
  <c r="R51" i="15" s="1"/>
  <c r="U115" i="15"/>
  <c r="T115" i="15" s="1"/>
  <c r="U179" i="15"/>
  <c r="T179" i="15" s="1"/>
  <c r="S179" i="15" s="1"/>
  <c r="R179" i="15" s="1"/>
  <c r="U243" i="15"/>
  <c r="T243" i="15" s="1"/>
  <c r="U307" i="15"/>
  <c r="T307" i="15" s="1"/>
  <c r="S307" i="15" s="1"/>
  <c r="R307" i="15" s="1"/>
  <c r="U371" i="15"/>
  <c r="T371" i="15" s="1"/>
  <c r="S371" i="15" s="1"/>
  <c r="R371" i="15" s="1"/>
  <c r="U74" i="15"/>
  <c r="T74" i="15" s="1"/>
  <c r="S74" i="15" s="1"/>
  <c r="R74" i="15" s="1"/>
  <c r="U138" i="15"/>
  <c r="T138" i="15" s="1"/>
  <c r="S138" i="15" s="1"/>
  <c r="R138" i="15" s="1"/>
  <c r="U202" i="15"/>
  <c r="T202" i="15" s="1"/>
  <c r="S202" i="15" s="1"/>
  <c r="R202" i="15" s="1"/>
  <c r="U266" i="15"/>
  <c r="T266" i="15" s="1"/>
  <c r="S266" i="15" s="1"/>
  <c r="R266" i="15" s="1"/>
  <c r="U330" i="15"/>
  <c r="T330" i="15" s="1"/>
  <c r="S330" i="15" s="1"/>
  <c r="R330" i="15" s="1"/>
  <c r="U361" i="15"/>
  <c r="T361" i="15" s="1"/>
  <c r="U60" i="15"/>
  <c r="T60" i="15" s="1"/>
  <c r="S60" i="15" s="1"/>
  <c r="R60" i="15" s="1"/>
  <c r="U124" i="15"/>
  <c r="T124" i="15" s="1"/>
  <c r="S124" i="15" s="1"/>
  <c r="R124" i="15" s="1"/>
  <c r="U188" i="15"/>
  <c r="T188" i="15" s="1"/>
  <c r="S188" i="15" s="1"/>
  <c r="R188" i="15" s="1"/>
  <c r="U252" i="15"/>
  <c r="T252" i="15" s="1"/>
  <c r="S252" i="15" s="1"/>
  <c r="R252" i="15" s="1"/>
  <c r="U316" i="15"/>
  <c r="T316" i="15" s="1"/>
  <c r="S316" i="15" s="1"/>
  <c r="R316" i="15" s="1"/>
  <c r="U19" i="15"/>
  <c r="U79" i="15"/>
  <c r="T79" i="15" s="1"/>
  <c r="S79" i="15" s="1"/>
  <c r="R79" i="15" s="1"/>
  <c r="U143" i="15"/>
  <c r="T143" i="15" s="1"/>
  <c r="U207" i="15"/>
  <c r="T207" i="15" s="1"/>
  <c r="S207" i="15" s="1"/>
  <c r="R207" i="15" s="1"/>
  <c r="U271" i="15"/>
  <c r="T271" i="15" s="1"/>
  <c r="S271" i="15" s="1"/>
  <c r="R271" i="15" s="1"/>
  <c r="U335" i="15"/>
  <c r="T335" i="15" s="1"/>
  <c r="S335" i="15" s="1"/>
  <c r="R335" i="15" s="1"/>
  <c r="U38" i="15"/>
  <c r="T38" i="15" s="1"/>
  <c r="S38" i="15" s="1"/>
  <c r="R38" i="15" s="1"/>
  <c r="U102" i="15"/>
  <c r="T102" i="15" s="1"/>
  <c r="U166" i="15"/>
  <c r="T166" i="15" s="1"/>
  <c r="S166" i="15" s="1"/>
  <c r="R166" i="15" s="1"/>
  <c r="U230" i="15"/>
  <c r="T230" i="15" s="1"/>
  <c r="S230" i="15" s="1"/>
  <c r="R230" i="15" s="1"/>
  <c r="U294" i="15"/>
  <c r="T294" i="15" s="1"/>
  <c r="S294" i="15" s="1"/>
  <c r="R294" i="15" s="1"/>
  <c r="U358" i="15"/>
  <c r="T358" i="15" s="1"/>
  <c r="S358" i="15" s="1"/>
  <c r="R358" i="15" s="1"/>
  <c r="U85" i="15"/>
  <c r="T85" i="15" s="1"/>
  <c r="S85" i="15" s="1"/>
  <c r="R85" i="15" s="1"/>
  <c r="U213" i="15"/>
  <c r="T213" i="15" s="1"/>
  <c r="S213" i="15" s="1"/>
  <c r="R213" i="15" s="1"/>
  <c r="U341" i="15"/>
  <c r="T341" i="15" s="1"/>
  <c r="S341" i="15" s="1"/>
  <c r="R341" i="15" s="1"/>
  <c r="U104" i="15"/>
  <c r="T104" i="15" s="1"/>
  <c r="S104" i="15" s="1"/>
  <c r="R104" i="15" s="1"/>
  <c r="U232" i="15"/>
  <c r="T232" i="15" s="1"/>
  <c r="U360" i="15"/>
  <c r="T360" i="15" s="1"/>
  <c r="S360" i="15" s="1"/>
  <c r="R360" i="15" s="1"/>
  <c r="U123" i="15"/>
  <c r="T123" i="15" s="1"/>
  <c r="S123" i="15" s="1"/>
  <c r="R123" i="15" s="1"/>
  <c r="U251" i="15"/>
  <c r="T251" i="15" s="1"/>
  <c r="S251" i="15" s="1"/>
  <c r="R251" i="15" s="1"/>
  <c r="U17" i="15"/>
  <c r="T17" i="15" s="1"/>
  <c r="U146" i="15"/>
  <c r="T146" i="15" s="1"/>
  <c r="S146" i="15" s="1"/>
  <c r="R146" i="15" s="1"/>
  <c r="U274" i="15"/>
  <c r="T274" i="15" s="1"/>
  <c r="S274" i="15" s="1"/>
  <c r="R274" i="15" s="1"/>
  <c r="U15" i="15"/>
  <c r="U81" i="15"/>
  <c r="T81" i="15" s="1"/>
  <c r="S81" i="15" s="1"/>
  <c r="R81" i="15" s="1"/>
  <c r="U145" i="15"/>
  <c r="T145" i="15" s="1"/>
  <c r="S145" i="15" s="1"/>
  <c r="R145" i="15" s="1"/>
  <c r="U209" i="15"/>
  <c r="T209" i="15" s="1"/>
  <c r="S209" i="15" s="1"/>
  <c r="R209" i="15" s="1"/>
  <c r="U273" i="15"/>
  <c r="T273" i="15" s="1"/>
  <c r="S273" i="15" s="1"/>
  <c r="R273" i="15" s="1"/>
  <c r="U337" i="15"/>
  <c r="T337" i="15" s="1"/>
  <c r="S337" i="15" s="1"/>
  <c r="R337" i="15" s="1"/>
  <c r="U36" i="15"/>
  <c r="T36" i="15" s="1"/>
  <c r="U100" i="15"/>
  <c r="T100" i="15" s="1"/>
  <c r="S100" i="15" s="1"/>
  <c r="R100" i="15" s="1"/>
  <c r="U164" i="15"/>
  <c r="T164" i="15" s="1"/>
  <c r="S164" i="15" s="1"/>
  <c r="R164" i="15" s="1"/>
  <c r="U228" i="15"/>
  <c r="T228" i="15" s="1"/>
  <c r="U292" i="15"/>
  <c r="T292" i="15" s="1"/>
  <c r="S292" i="15" s="1"/>
  <c r="R292" i="15" s="1"/>
  <c r="U356" i="15"/>
  <c r="T356" i="15" s="1"/>
  <c r="U55" i="15"/>
  <c r="T55" i="15" s="1"/>
  <c r="S55" i="15" s="1"/>
  <c r="R55" i="15" s="1"/>
  <c r="U119" i="15"/>
  <c r="T119" i="15" s="1"/>
  <c r="S119" i="15" s="1"/>
  <c r="R119" i="15" s="1"/>
  <c r="U183" i="15"/>
  <c r="T183" i="15" s="1"/>
  <c r="S183" i="15" s="1"/>
  <c r="R183" i="15" s="1"/>
  <c r="U247" i="15"/>
  <c r="T247" i="15" s="1"/>
  <c r="S247" i="15" s="1"/>
  <c r="R247" i="15" s="1"/>
  <c r="U311" i="15"/>
  <c r="T311" i="15" s="1"/>
  <c r="S311" i="15" s="1"/>
  <c r="R311" i="15" s="1"/>
  <c r="U375" i="15"/>
  <c r="T375" i="15" s="1"/>
  <c r="S375" i="15" s="1"/>
  <c r="R375" i="15" s="1"/>
  <c r="U78" i="15"/>
  <c r="T78" i="15" s="1"/>
  <c r="S78" i="15" s="1"/>
  <c r="R78" i="15" s="1"/>
  <c r="U142" i="15"/>
  <c r="T142" i="15" s="1"/>
  <c r="S142" i="15" s="1"/>
  <c r="R142" i="15" s="1"/>
  <c r="U206" i="15"/>
  <c r="T206" i="15" s="1"/>
  <c r="S206" i="15" s="1"/>
  <c r="R206" i="15" s="1"/>
  <c r="U270" i="15"/>
  <c r="T270" i="15" s="1"/>
  <c r="S270" i="15" s="1"/>
  <c r="R270" i="15" s="1"/>
  <c r="U334" i="15"/>
  <c r="T334" i="15" s="1"/>
  <c r="S334" i="15" s="1"/>
  <c r="R334" i="15" s="1"/>
  <c r="U37" i="15"/>
  <c r="T37" i="15" s="1"/>
  <c r="U165" i="15"/>
  <c r="T165" i="15" s="1"/>
  <c r="S165" i="15" s="1"/>
  <c r="R165" i="15" s="1"/>
  <c r="U293" i="15"/>
  <c r="T293" i="15" s="1"/>
  <c r="S293" i="15" s="1"/>
  <c r="R293" i="15" s="1"/>
  <c r="U56" i="15"/>
  <c r="T56" i="15" s="1"/>
  <c r="S56" i="15" s="1"/>
  <c r="R56" i="15" s="1"/>
  <c r="U184" i="15"/>
  <c r="T184" i="15" s="1"/>
  <c r="S184" i="15" s="1"/>
  <c r="R184" i="15" s="1"/>
  <c r="U312" i="15"/>
  <c r="T312" i="15" s="1"/>
  <c r="U75" i="15"/>
  <c r="T75" i="15" s="1"/>
  <c r="S75" i="15" s="1"/>
  <c r="R75" i="15" s="1"/>
  <c r="U203" i="15"/>
  <c r="T203" i="15" s="1"/>
  <c r="U331" i="15"/>
  <c r="T331" i="15" s="1"/>
  <c r="S331" i="15" s="1"/>
  <c r="R331" i="15" s="1"/>
  <c r="U98" i="15"/>
  <c r="T98" i="15" s="1"/>
  <c r="S98" i="15" s="1"/>
  <c r="R98" i="15" s="1"/>
  <c r="U226" i="15"/>
  <c r="T226" i="15" s="1"/>
  <c r="S226" i="15" s="1"/>
  <c r="R226" i="15" s="1"/>
  <c r="U354" i="15"/>
  <c r="T354" i="15" s="1"/>
  <c r="S354" i="15" s="1"/>
  <c r="R354" i="15" s="1"/>
  <c r="U44" i="15"/>
  <c r="T44" i="15" s="1"/>
  <c r="S44" i="15" s="1"/>
  <c r="R44" i="15" s="1"/>
  <c r="U108" i="15"/>
  <c r="T108" i="15" s="1"/>
  <c r="S108" i="15" s="1"/>
  <c r="R108" i="15" s="1"/>
  <c r="U172" i="15"/>
  <c r="T172" i="15" s="1"/>
  <c r="S172" i="15" s="1"/>
  <c r="R172" i="15" s="1"/>
  <c r="U236" i="15"/>
  <c r="T236" i="15" s="1"/>
  <c r="S236" i="15" s="1"/>
  <c r="R236" i="15" s="1"/>
  <c r="U300" i="15"/>
  <c r="T300" i="15" s="1"/>
  <c r="S300" i="15" s="1"/>
  <c r="R300" i="15" s="1"/>
  <c r="U364" i="15"/>
  <c r="T364" i="15" s="1"/>
  <c r="S364" i="15" s="1"/>
  <c r="R364" i="15" s="1"/>
  <c r="U63" i="15"/>
  <c r="T63" i="15" s="1"/>
  <c r="S63" i="15" s="1"/>
  <c r="R63" i="15" s="1"/>
  <c r="U127" i="15"/>
  <c r="T127" i="15" s="1"/>
  <c r="S127" i="15" s="1"/>
  <c r="R127" i="15" s="1"/>
  <c r="U191" i="15"/>
  <c r="T191" i="15" s="1"/>
  <c r="U255" i="15"/>
  <c r="T255" i="15" s="1"/>
  <c r="S255" i="15" s="1"/>
  <c r="R255" i="15" s="1"/>
  <c r="U319" i="15"/>
  <c r="T319" i="15" s="1"/>
  <c r="U22" i="15"/>
  <c r="U86" i="15"/>
  <c r="T86" i="15" s="1"/>
  <c r="S86" i="15" s="1"/>
  <c r="R86" i="15" s="1"/>
  <c r="U150" i="15"/>
  <c r="T150" i="15" s="1"/>
  <c r="S150" i="15" s="1"/>
  <c r="R150" i="15" s="1"/>
  <c r="U214" i="15"/>
  <c r="T214" i="15" s="1"/>
  <c r="S214" i="15" s="1"/>
  <c r="R214" i="15" s="1"/>
  <c r="U278" i="15"/>
  <c r="T278" i="15" s="1"/>
  <c r="S278" i="15" s="1"/>
  <c r="R278" i="15" s="1"/>
  <c r="U342" i="15"/>
  <c r="T342" i="15" s="1"/>
  <c r="S342" i="15" s="1"/>
  <c r="R342" i="15" s="1"/>
  <c r="U53" i="15"/>
  <c r="T53" i="15" s="1"/>
  <c r="S53" i="15" s="1"/>
  <c r="R53" i="15" s="1"/>
  <c r="U181" i="15"/>
  <c r="T181" i="15" s="1"/>
  <c r="S181" i="15" s="1"/>
  <c r="R181" i="15" s="1"/>
  <c r="U309" i="15"/>
  <c r="T309" i="15" s="1"/>
  <c r="S309" i="15" s="1"/>
  <c r="R309" i="15" s="1"/>
  <c r="U72" i="15"/>
  <c r="T72" i="15" s="1"/>
  <c r="S72" i="15" s="1"/>
  <c r="R72" i="15" s="1"/>
  <c r="U200" i="15"/>
  <c r="T200" i="15" s="1"/>
  <c r="S200" i="15" s="1"/>
  <c r="R200" i="15" s="1"/>
  <c r="U328" i="15"/>
  <c r="T328" i="15" s="1"/>
  <c r="S328" i="15" s="1"/>
  <c r="R328" i="15" s="1"/>
  <c r="U91" i="15"/>
  <c r="T91" i="15" s="1"/>
  <c r="S91" i="15" s="1"/>
  <c r="R91" i="15" s="1"/>
  <c r="U219" i="15"/>
  <c r="T219" i="15" s="1"/>
  <c r="S219" i="15" s="1"/>
  <c r="R219" i="15" s="1"/>
  <c r="U50" i="15"/>
  <c r="T50" i="15" s="1"/>
  <c r="S50" i="15" s="1"/>
  <c r="R50" i="15" s="1"/>
  <c r="U306" i="15"/>
  <c r="T306" i="15" s="1"/>
  <c r="S306" i="15" s="1"/>
  <c r="R306" i="15" s="1"/>
  <c r="U97" i="15"/>
  <c r="T97" i="15" s="1"/>
  <c r="U225" i="15"/>
  <c r="T225" i="15" s="1"/>
  <c r="S225" i="15" s="1"/>
  <c r="R225" i="15" s="1"/>
  <c r="U353" i="15"/>
  <c r="T353" i="15" s="1"/>
  <c r="S353" i="15" s="1"/>
  <c r="R353" i="15" s="1"/>
  <c r="U116" i="15"/>
  <c r="T116" i="15" s="1"/>
  <c r="S116" i="15" s="1"/>
  <c r="R116" i="15" s="1"/>
  <c r="U244" i="15"/>
  <c r="T244" i="15" s="1"/>
  <c r="S244" i="15" s="1"/>
  <c r="R244" i="15" s="1"/>
  <c r="U372" i="15"/>
  <c r="T372" i="15" s="1"/>
  <c r="S372" i="15" s="1"/>
  <c r="R372" i="15" s="1"/>
  <c r="U135" i="15"/>
  <c r="T135" i="15" s="1"/>
  <c r="S135" i="15" s="1"/>
  <c r="R135" i="15" s="1"/>
  <c r="U263" i="15"/>
  <c r="T263" i="15" s="1"/>
  <c r="S263" i="15" s="1"/>
  <c r="R263" i="15" s="1"/>
  <c r="U30" i="15"/>
  <c r="T30" i="15" s="1"/>
  <c r="U158" i="15"/>
  <c r="T158" i="15" s="1"/>
  <c r="U286" i="15"/>
  <c r="T286" i="15" s="1"/>
  <c r="S286" i="15" s="1"/>
  <c r="R286" i="15" s="1"/>
  <c r="U69" i="15"/>
  <c r="T69" i="15" s="1"/>
  <c r="S69" i="15" s="1"/>
  <c r="R69" i="15" s="1"/>
  <c r="U325" i="15"/>
  <c r="T325" i="15" s="1"/>
  <c r="U216" i="15"/>
  <c r="T216" i="15" s="1"/>
  <c r="S216" i="15" s="1"/>
  <c r="R216" i="15" s="1"/>
  <c r="U107" i="15"/>
  <c r="T107" i="15" s="1"/>
  <c r="S107" i="15" s="1"/>
  <c r="R107" i="15" s="1"/>
  <c r="U363" i="15"/>
  <c r="T363" i="15" s="1"/>
  <c r="S363" i="15" s="1"/>
  <c r="R363" i="15" s="1"/>
  <c r="U258" i="15"/>
  <c r="T258" i="15" s="1"/>
  <c r="S258" i="15" s="1"/>
  <c r="R258" i="15" s="1"/>
  <c r="U185" i="15"/>
  <c r="T185" i="15" s="1"/>
  <c r="U89" i="15"/>
  <c r="T89" i="15" s="1"/>
  <c r="S89" i="15" s="1"/>
  <c r="R89" i="15" s="1"/>
  <c r="U345" i="15"/>
  <c r="T345" i="15" s="1"/>
  <c r="S345" i="15" s="1"/>
  <c r="R345" i="15" s="1"/>
  <c r="U137" i="15"/>
  <c r="T137" i="15" s="1"/>
  <c r="S137" i="15" s="1"/>
  <c r="R137" i="15" s="1"/>
  <c r="U265" i="15"/>
  <c r="T265" i="15" s="1"/>
  <c r="S265" i="15" s="1"/>
  <c r="R265" i="15" s="1"/>
  <c r="C63" i="7"/>
  <c r="E149" i="17"/>
  <c r="AI361" i="15"/>
  <c r="AH361" i="15" s="1"/>
  <c r="AG361" i="15" s="1"/>
  <c r="AF361" i="15" s="1"/>
  <c r="AI233" i="15"/>
  <c r="AH233" i="15" s="1"/>
  <c r="AG233" i="15" s="1"/>
  <c r="AF233" i="15" s="1"/>
  <c r="AI105" i="15"/>
  <c r="AH105" i="15" s="1"/>
  <c r="AG105" i="15" s="1"/>
  <c r="AF105" i="15" s="1"/>
  <c r="AI367" i="15"/>
  <c r="AH367" i="15" s="1"/>
  <c r="AG367" i="15" s="1"/>
  <c r="AF367" i="15" s="1"/>
  <c r="AI239" i="15"/>
  <c r="AH239" i="15" s="1"/>
  <c r="AG239" i="15" s="1"/>
  <c r="AF239" i="15" s="1"/>
  <c r="AI111" i="15"/>
  <c r="AH111" i="15" s="1"/>
  <c r="AG111" i="15" s="1"/>
  <c r="AF111" i="15" s="1"/>
  <c r="AI326" i="15"/>
  <c r="AH326" i="15" s="1"/>
  <c r="AG326" i="15" s="1"/>
  <c r="AF326" i="15" s="1"/>
  <c r="AI198" i="15"/>
  <c r="AH198" i="15" s="1"/>
  <c r="AG198" i="15" s="1"/>
  <c r="AF198" i="15" s="1"/>
  <c r="AI70" i="15"/>
  <c r="AH70" i="15" s="1"/>
  <c r="AG70" i="15" s="1"/>
  <c r="AF70" i="15" s="1"/>
  <c r="AI304" i="15"/>
  <c r="AH304" i="15" s="1"/>
  <c r="AG304" i="15" s="1"/>
  <c r="AF304" i="15" s="1"/>
  <c r="AI176" i="15"/>
  <c r="AH176" i="15" s="1"/>
  <c r="AG176" i="15" s="1"/>
  <c r="AF176" i="15" s="1"/>
  <c r="AI48" i="15"/>
  <c r="AH48" i="15" s="1"/>
  <c r="AG48" i="15" s="1"/>
  <c r="AF48" i="15" s="1"/>
  <c r="AI225" i="15"/>
  <c r="AH225" i="15" s="1"/>
  <c r="AG225" i="15" s="1"/>
  <c r="AF225" i="15" s="1"/>
  <c r="AI359" i="15"/>
  <c r="AH359" i="15" s="1"/>
  <c r="AG359" i="15" s="1"/>
  <c r="AF359" i="15" s="1"/>
  <c r="AI103" i="15"/>
  <c r="AH103" i="15" s="1"/>
  <c r="AG103" i="15" s="1"/>
  <c r="AF103" i="15" s="1"/>
  <c r="AI190" i="15"/>
  <c r="AH190" i="15" s="1"/>
  <c r="AG190" i="15" s="1"/>
  <c r="AF190" i="15" s="1"/>
  <c r="AI296" i="15"/>
  <c r="AH296" i="15" s="1"/>
  <c r="AI40" i="15"/>
  <c r="AH40" i="15" s="1"/>
  <c r="AG40" i="15" s="1"/>
  <c r="AF40" i="15" s="1"/>
  <c r="AI245" i="15"/>
  <c r="AH245" i="15" s="1"/>
  <c r="AG245" i="15" s="1"/>
  <c r="AF245" i="15" s="1"/>
  <c r="AI117" i="15"/>
  <c r="AH117" i="15" s="1"/>
  <c r="AG117" i="15" s="1"/>
  <c r="AF117" i="15" s="1"/>
  <c r="AI330" i="15"/>
  <c r="AH330" i="15" s="1"/>
  <c r="AG330" i="15" s="1"/>
  <c r="AF330" i="15" s="1"/>
  <c r="AI251" i="15"/>
  <c r="AH251" i="15" s="1"/>
  <c r="AG251" i="15" s="1"/>
  <c r="AF251" i="15" s="1"/>
  <c r="AI123" i="15"/>
  <c r="AH123" i="15" s="1"/>
  <c r="AI350" i="15"/>
  <c r="AH350" i="15" s="1"/>
  <c r="AG350" i="15" s="1"/>
  <c r="AF350" i="15" s="1"/>
  <c r="AI210" i="15"/>
  <c r="AH210" i="15" s="1"/>
  <c r="AG210" i="15" s="1"/>
  <c r="AF210" i="15" s="1"/>
  <c r="AI82" i="15"/>
  <c r="AH82" i="15" s="1"/>
  <c r="AG82" i="15" s="1"/>
  <c r="AF82" i="15" s="1"/>
  <c r="AI316" i="15"/>
  <c r="AH316" i="15" s="1"/>
  <c r="AG316" i="15" s="1"/>
  <c r="AF316" i="15" s="1"/>
  <c r="AI188" i="15"/>
  <c r="AH188" i="15" s="1"/>
  <c r="AG188" i="15" s="1"/>
  <c r="AF188" i="15" s="1"/>
  <c r="AI60" i="15"/>
  <c r="AH60" i="15" s="1"/>
  <c r="AG60" i="15" s="1"/>
  <c r="AF60" i="15" s="1"/>
  <c r="AI209" i="15"/>
  <c r="AH209" i="15" s="1"/>
  <c r="AG209" i="15" s="1"/>
  <c r="AF209" i="15" s="1"/>
  <c r="AI343" i="15"/>
  <c r="AH343" i="15" s="1"/>
  <c r="AG343" i="15" s="1"/>
  <c r="AF343" i="15" s="1"/>
  <c r="AI87" i="15"/>
  <c r="AH87" i="15" s="1"/>
  <c r="AG87" i="15" s="1"/>
  <c r="AF87" i="15" s="1"/>
  <c r="AI174" i="15"/>
  <c r="AH174" i="15" s="1"/>
  <c r="AG174" i="15" s="1"/>
  <c r="AF174" i="15" s="1"/>
  <c r="AI280" i="15"/>
  <c r="AH280" i="15" s="1"/>
  <c r="AG280" i="15" s="1"/>
  <c r="AF280" i="15" s="1"/>
  <c r="AI24" i="15"/>
  <c r="AH24" i="15" s="1"/>
  <c r="AG24" i="15" s="1"/>
  <c r="AF24" i="15" s="1"/>
  <c r="AI253" i="15"/>
  <c r="AH253" i="15" s="1"/>
  <c r="AG253" i="15" s="1"/>
  <c r="AF253" i="15" s="1"/>
  <c r="AI125" i="15"/>
  <c r="AH125" i="15" s="1"/>
  <c r="AG125" i="15" s="1"/>
  <c r="AF125" i="15" s="1"/>
  <c r="AI346" i="15"/>
  <c r="AH346" i="15" s="1"/>
  <c r="AG346" i="15" s="1"/>
  <c r="AF346" i="15" s="1"/>
  <c r="AI163" i="15"/>
  <c r="AH163" i="15" s="1"/>
  <c r="AG163" i="15" s="1"/>
  <c r="AF163" i="15" s="1"/>
  <c r="AI250" i="15"/>
  <c r="AH250" i="15" s="1"/>
  <c r="AG250" i="15" s="1"/>
  <c r="AF250" i="15" s="1"/>
  <c r="AI356" i="15"/>
  <c r="AH356" i="15" s="1"/>
  <c r="AG356" i="15" s="1"/>
  <c r="AF356" i="15" s="1"/>
  <c r="AI100" i="15"/>
  <c r="AH100" i="15" s="1"/>
  <c r="AG100" i="15" s="1"/>
  <c r="AF100" i="15" s="1"/>
  <c r="AI153" i="15"/>
  <c r="AH153" i="15" s="1"/>
  <c r="AG153" i="15" s="1"/>
  <c r="AF153" i="15" s="1"/>
  <c r="AI31" i="15"/>
  <c r="AH31" i="15" s="1"/>
  <c r="AG31" i="15" s="1"/>
  <c r="AF31" i="15" s="1"/>
  <c r="AI224" i="15"/>
  <c r="AH224" i="15" s="1"/>
  <c r="AG224" i="15" s="1"/>
  <c r="AF224" i="15" s="1"/>
  <c r="AI199" i="15"/>
  <c r="AH199" i="15" s="1"/>
  <c r="AG199" i="15" s="1"/>
  <c r="AF199" i="15" s="1"/>
  <c r="AI293" i="15"/>
  <c r="AH293" i="15" s="1"/>
  <c r="AG293" i="15" s="1"/>
  <c r="AF293" i="15" s="1"/>
  <c r="AI171" i="15"/>
  <c r="AH171" i="15" s="1"/>
  <c r="AG171" i="15" s="1"/>
  <c r="AF171" i="15" s="1"/>
  <c r="AI364" i="15"/>
  <c r="AH364" i="15" s="1"/>
  <c r="AG364" i="15" s="1"/>
  <c r="AF364" i="15" s="1"/>
  <c r="AI49" i="15"/>
  <c r="AH49" i="15" s="1"/>
  <c r="AG49" i="15" s="1"/>
  <c r="AF49" i="15" s="1"/>
  <c r="AI120" i="15"/>
  <c r="AH120" i="15" s="1"/>
  <c r="AG120" i="15" s="1"/>
  <c r="AF120" i="15" s="1"/>
  <c r="AI307" i="15"/>
  <c r="AH307" i="15" s="1"/>
  <c r="AG307" i="15" s="1"/>
  <c r="AF307" i="15" s="1"/>
  <c r="AI138" i="15"/>
  <c r="AH138" i="15" s="1"/>
  <c r="AG138" i="15" s="1"/>
  <c r="AF138" i="15" s="1"/>
  <c r="AI313" i="15"/>
  <c r="AH313" i="15" s="1"/>
  <c r="AG313" i="15" s="1"/>
  <c r="AF313" i="15" s="1"/>
  <c r="AI22" i="15"/>
  <c r="AH22" i="15" s="1"/>
  <c r="AI200" i="15"/>
  <c r="AH200" i="15" s="1"/>
  <c r="AG200" i="15" s="1"/>
  <c r="AF200" i="15" s="1"/>
  <c r="AI162" i="15"/>
  <c r="AH162" i="15" s="1"/>
  <c r="AG162" i="15" s="1"/>
  <c r="AF162" i="15" s="1"/>
  <c r="AI78" i="15"/>
  <c r="AH78" i="15" s="1"/>
  <c r="AG78" i="15" s="1"/>
  <c r="AF78" i="15" s="1"/>
  <c r="AI298" i="15"/>
  <c r="AH298" i="15" s="1"/>
  <c r="AG298" i="15" s="1"/>
  <c r="AF298" i="15" s="1"/>
  <c r="AC55" i="16"/>
  <c r="AC129" i="16"/>
  <c r="AC93" i="16"/>
  <c r="AC32" i="16"/>
  <c r="AC99" i="16"/>
  <c r="AC84" i="16"/>
  <c r="AC51" i="16"/>
  <c r="AC105" i="16"/>
  <c r="AC100" i="16"/>
  <c r="AC128" i="16"/>
  <c r="AC86" i="16"/>
  <c r="AC92" i="16"/>
  <c r="AC65" i="16"/>
  <c r="AC60" i="16"/>
  <c r="AC47" i="16"/>
  <c r="AC111" i="16"/>
  <c r="AC113" i="16"/>
  <c r="AC76" i="16"/>
  <c r="AC17" i="16"/>
  <c r="AC78" i="16"/>
  <c r="AC123" i="16"/>
  <c r="AC41" i="16"/>
  <c r="AC122" i="16"/>
  <c r="AC66" i="16"/>
  <c r="AC85" i="16"/>
  <c r="AC28" i="16"/>
  <c r="AC26" i="16"/>
  <c r="AC87" i="16"/>
  <c r="AC73" i="16"/>
  <c r="AC37" i="16"/>
  <c r="AC72" i="16"/>
  <c r="AC121" i="16"/>
  <c r="AC83" i="16"/>
  <c r="AC22" i="16"/>
  <c r="AC97" i="16"/>
  <c r="AC95" i="16"/>
  <c r="AC112" i="16"/>
  <c r="AC71" i="16"/>
  <c r="AC16" i="16"/>
  <c r="AC56" i="16"/>
  <c r="AC31" i="16"/>
  <c r="AC131" i="16"/>
  <c r="AC132" i="16"/>
  <c r="AC110" i="16"/>
  <c r="AC70" i="16"/>
  <c r="AC15" i="16"/>
  <c r="AC74" i="16"/>
  <c r="AC23" i="16"/>
  <c r="AC104" i="16"/>
  <c r="AC67" i="16"/>
  <c r="AC114" i="16"/>
  <c r="AC61" i="16"/>
  <c r="AC69" i="16"/>
  <c r="AC81" i="16"/>
  <c r="AC49" i="16"/>
  <c r="AC130" i="16"/>
  <c r="AC98" i="16"/>
  <c r="AC35" i="16"/>
  <c r="AC64" i="16"/>
  <c r="O11" i="16"/>
  <c r="AI20" i="15"/>
  <c r="AH20" i="15" s="1"/>
  <c r="AG20" i="15" s="1"/>
  <c r="AF20" i="15" s="1"/>
  <c r="AI276" i="15"/>
  <c r="AH276" i="15" s="1"/>
  <c r="AG276" i="15" s="1"/>
  <c r="AF276" i="15" s="1"/>
  <c r="AI170" i="15"/>
  <c r="AH170" i="15" s="1"/>
  <c r="AG170" i="15" s="1"/>
  <c r="AF170" i="15" s="1"/>
  <c r="AI83" i="15"/>
  <c r="AH83" i="15" s="1"/>
  <c r="AG83" i="15" s="1"/>
  <c r="AF83" i="15" s="1"/>
  <c r="AI339" i="15"/>
  <c r="AH339" i="15" s="1"/>
  <c r="AG339" i="15" s="1"/>
  <c r="AF339" i="15" s="1"/>
  <c r="AI205" i="15"/>
  <c r="AH205" i="15" s="1"/>
  <c r="AG205" i="15" s="1"/>
  <c r="AF205" i="15" s="1"/>
  <c r="AI184" i="15"/>
  <c r="AH184" i="15" s="1"/>
  <c r="AG184" i="15" s="1"/>
  <c r="AF184" i="15" s="1"/>
  <c r="AI342" i="15"/>
  <c r="AH342" i="15" s="1"/>
  <c r="AG342" i="15" s="1"/>
  <c r="AF342" i="15" s="1"/>
  <c r="AI113" i="15"/>
  <c r="AH113" i="15" s="1"/>
  <c r="AG113" i="15" s="1"/>
  <c r="AF113" i="15" s="1"/>
  <c r="AI140" i="15"/>
  <c r="AH140" i="15" s="1"/>
  <c r="AG140" i="15" s="1"/>
  <c r="AF140" i="15" s="1"/>
  <c r="AI34" i="15"/>
  <c r="AH34" i="15" s="1"/>
  <c r="AG34" i="15" s="1"/>
  <c r="AF34" i="15" s="1"/>
  <c r="AI290" i="15"/>
  <c r="AH290" i="15" s="1"/>
  <c r="AG290" i="15" s="1"/>
  <c r="AF290" i="15" s="1"/>
  <c r="AI203" i="15"/>
  <c r="AH203" i="15" s="1"/>
  <c r="AG203" i="15" s="1"/>
  <c r="AF203" i="15" s="1"/>
  <c r="AI69" i="15"/>
  <c r="AH69" i="15" s="1"/>
  <c r="AG69" i="15" s="1"/>
  <c r="AF69" i="15" s="1"/>
  <c r="AI325" i="15"/>
  <c r="AH325" i="15" s="1"/>
  <c r="AG325" i="15" s="1"/>
  <c r="AF325" i="15" s="1"/>
  <c r="AI94" i="15"/>
  <c r="AH94" i="15" s="1"/>
  <c r="AG94" i="15" s="1"/>
  <c r="AF94" i="15" s="1"/>
  <c r="AI263" i="15"/>
  <c r="AH263" i="15" s="1"/>
  <c r="AG263" i="15" s="1"/>
  <c r="AF263" i="15" s="1"/>
  <c r="AI365" i="15"/>
  <c r="AH365" i="15" s="1"/>
  <c r="AG365" i="15" s="1"/>
  <c r="AF365" i="15" s="1"/>
  <c r="AI256" i="15"/>
  <c r="AH256" i="15" s="1"/>
  <c r="AG256" i="15" s="1"/>
  <c r="AF256" i="15" s="1"/>
  <c r="AI150" i="15"/>
  <c r="AH150" i="15" s="1"/>
  <c r="AG150" i="15" s="1"/>
  <c r="AF150" i="15" s="1"/>
  <c r="AI63" i="15"/>
  <c r="AH63" i="15" s="1"/>
  <c r="AG63" i="15" s="1"/>
  <c r="AF63" i="15" s="1"/>
  <c r="AI319" i="15"/>
  <c r="AH319" i="15" s="1"/>
  <c r="AG319" i="15" s="1"/>
  <c r="AF319" i="15" s="1"/>
  <c r="AI185" i="15"/>
  <c r="AH185" i="15" s="1"/>
  <c r="AG185" i="15" s="1"/>
  <c r="AF185" i="15" s="1"/>
  <c r="AI52" i="15"/>
  <c r="AH52" i="15" s="1"/>
  <c r="AG52" i="15" s="1"/>
  <c r="AF52" i="15" s="1"/>
  <c r="AI180" i="15"/>
  <c r="AH180" i="15" s="1"/>
  <c r="AG180" i="15" s="1"/>
  <c r="AF180" i="15" s="1"/>
  <c r="AI308" i="15"/>
  <c r="AH308" i="15" s="1"/>
  <c r="AG308" i="15" s="1"/>
  <c r="AF308" i="15" s="1"/>
  <c r="AI74" i="15"/>
  <c r="AH74" i="15" s="1"/>
  <c r="AG74" i="15" s="1"/>
  <c r="AF74" i="15" s="1"/>
  <c r="AI202" i="15"/>
  <c r="AH202" i="15" s="1"/>
  <c r="AG202" i="15" s="1"/>
  <c r="AF202" i="15" s="1"/>
  <c r="AI334" i="15"/>
  <c r="AH334" i="15" s="1"/>
  <c r="AG334" i="15" s="1"/>
  <c r="AF334" i="15" s="1"/>
  <c r="AI115" i="15"/>
  <c r="AH115" i="15" s="1"/>
  <c r="AG115" i="15" s="1"/>
  <c r="AF115" i="15" s="1"/>
  <c r="AI243" i="15"/>
  <c r="AH243" i="15" s="1"/>
  <c r="AG243" i="15" s="1"/>
  <c r="AF243" i="15" s="1"/>
  <c r="AI371" i="15"/>
  <c r="AH371" i="15" s="1"/>
  <c r="AG371" i="15" s="1"/>
  <c r="AF371" i="15" s="1"/>
  <c r="AI109" i="15"/>
  <c r="AH109" i="15" s="1"/>
  <c r="AG109" i="15" s="1"/>
  <c r="AF109" i="15" s="1"/>
  <c r="AI237" i="15"/>
  <c r="AH237" i="15" s="1"/>
  <c r="AG237" i="15" s="1"/>
  <c r="AF237" i="15" s="1"/>
  <c r="AI373" i="15"/>
  <c r="AH373" i="15" s="1"/>
  <c r="AG373" i="15" s="1"/>
  <c r="AF373" i="15" s="1"/>
  <c r="AI248" i="15"/>
  <c r="AH248" i="15" s="1"/>
  <c r="AG248" i="15" s="1"/>
  <c r="AF248" i="15" s="1"/>
  <c r="AI142" i="15"/>
  <c r="AH142" i="15" s="1"/>
  <c r="AG142" i="15" s="1"/>
  <c r="AF142" i="15" s="1"/>
  <c r="AI55" i="15"/>
  <c r="AH55" i="15" s="1"/>
  <c r="AG55" i="15" s="1"/>
  <c r="AF55" i="15" s="1"/>
  <c r="AI311" i="15"/>
  <c r="AH311" i="15" s="1"/>
  <c r="AG311" i="15" s="1"/>
  <c r="AF311" i="15" s="1"/>
  <c r="AI177" i="15"/>
  <c r="AH177" i="15" s="1"/>
  <c r="AG177" i="15" s="1"/>
  <c r="AF177" i="15" s="1"/>
  <c r="AI44" i="15"/>
  <c r="AH44" i="15" s="1"/>
  <c r="AG44" i="15" s="1"/>
  <c r="AF44" i="15" s="1"/>
  <c r="AI172" i="15"/>
  <c r="AH172" i="15" s="1"/>
  <c r="AG172" i="15" s="1"/>
  <c r="AF172" i="15" s="1"/>
  <c r="AI300" i="15"/>
  <c r="AH300" i="15" s="1"/>
  <c r="AG300" i="15" s="1"/>
  <c r="AF300" i="15" s="1"/>
  <c r="AI66" i="15"/>
  <c r="AH66" i="15" s="1"/>
  <c r="AG66" i="15" s="1"/>
  <c r="AF66" i="15" s="1"/>
  <c r="AI194" i="15"/>
  <c r="AH194" i="15" s="1"/>
  <c r="AG194" i="15" s="1"/>
  <c r="AF194" i="15" s="1"/>
  <c r="AI322" i="15"/>
  <c r="AH322" i="15" s="1"/>
  <c r="AG322" i="15" s="1"/>
  <c r="AF322" i="15" s="1"/>
  <c r="AI107" i="15"/>
  <c r="AH107" i="15" s="1"/>
  <c r="AG107" i="15" s="1"/>
  <c r="AF107" i="15" s="1"/>
  <c r="AI235" i="15"/>
  <c r="AH235" i="15" s="1"/>
  <c r="AG235" i="15" s="1"/>
  <c r="AF235" i="15" s="1"/>
  <c r="AI363" i="15"/>
  <c r="AH363" i="15" s="1"/>
  <c r="AG363" i="15" s="1"/>
  <c r="AF363" i="15" s="1"/>
  <c r="AI101" i="15"/>
  <c r="AH101" i="15" s="1"/>
  <c r="AG101" i="15" s="1"/>
  <c r="AF101" i="15" s="1"/>
  <c r="AI229" i="15"/>
  <c r="AH229" i="15" s="1"/>
  <c r="AG229" i="15" s="1"/>
  <c r="AF229" i="15" s="1"/>
  <c r="AI357" i="15"/>
  <c r="AH357" i="15" s="1"/>
  <c r="AG357" i="15" s="1"/>
  <c r="AF357" i="15" s="1"/>
  <c r="AI264" i="15"/>
  <c r="AH264" i="15" s="1"/>
  <c r="AG264" i="15" s="1"/>
  <c r="AF264" i="15" s="1"/>
  <c r="AI158" i="15"/>
  <c r="AH158" i="15" s="1"/>
  <c r="AG158" i="15" s="1"/>
  <c r="AF158" i="15" s="1"/>
  <c r="AI71" i="15"/>
  <c r="AH71" i="15" s="1"/>
  <c r="AG71" i="15" s="1"/>
  <c r="AF71" i="15" s="1"/>
  <c r="AI327" i="15"/>
  <c r="AH327" i="15" s="1"/>
  <c r="AG327" i="15" s="1"/>
  <c r="AF327" i="15" s="1"/>
  <c r="AI193" i="15"/>
  <c r="AH193" i="15" s="1"/>
  <c r="AG193" i="15" s="1"/>
  <c r="AF193" i="15" s="1"/>
  <c r="AI32" i="15"/>
  <c r="AH32" i="15" s="1"/>
  <c r="AG32" i="15" s="1"/>
  <c r="AF32" i="15" s="1"/>
  <c r="AI160" i="15"/>
  <c r="AH160" i="15" s="1"/>
  <c r="AG160" i="15" s="1"/>
  <c r="AF160" i="15" s="1"/>
  <c r="AI288" i="15"/>
  <c r="AH288" i="15" s="1"/>
  <c r="AG288" i="15" s="1"/>
  <c r="AF288" i="15" s="1"/>
  <c r="AI54" i="15"/>
  <c r="AH54" i="15" s="1"/>
  <c r="AG54" i="15" s="1"/>
  <c r="AF54" i="15" s="1"/>
  <c r="AI182" i="15"/>
  <c r="AH182" i="15" s="1"/>
  <c r="AG182" i="15" s="1"/>
  <c r="AF182" i="15" s="1"/>
  <c r="AI310" i="15"/>
  <c r="AH310" i="15" s="1"/>
  <c r="AG310" i="15" s="1"/>
  <c r="AF310" i="15" s="1"/>
  <c r="AI95" i="15"/>
  <c r="AH95" i="15" s="1"/>
  <c r="AG95" i="15" s="1"/>
  <c r="AF95" i="15" s="1"/>
  <c r="AI223" i="15"/>
  <c r="AH223" i="15" s="1"/>
  <c r="AG223" i="15" s="1"/>
  <c r="AF223" i="15" s="1"/>
  <c r="AI351" i="15"/>
  <c r="AH351" i="15" s="1"/>
  <c r="AG351" i="15" s="1"/>
  <c r="AF351" i="15" s="1"/>
  <c r="AI89" i="15"/>
  <c r="AH89" i="15" s="1"/>
  <c r="AG89" i="15" s="1"/>
  <c r="AF89" i="15" s="1"/>
  <c r="AI217" i="15"/>
  <c r="AH217" i="15" s="1"/>
  <c r="AG217" i="15" s="1"/>
  <c r="AF217" i="15" s="1"/>
  <c r="AI345" i="15"/>
  <c r="AH345" i="15" s="1"/>
  <c r="AG345" i="15" s="1"/>
  <c r="AF345" i="15" s="1"/>
  <c r="AI68" i="15"/>
  <c r="AH68" i="15" s="1"/>
  <c r="AG68" i="15" s="1"/>
  <c r="AF68" i="15" s="1"/>
  <c r="AI132" i="15"/>
  <c r="AH132" i="15" s="1"/>
  <c r="AG132" i="15" s="1"/>
  <c r="AF132" i="15" s="1"/>
  <c r="AI196" i="15"/>
  <c r="AH196" i="15" s="1"/>
  <c r="AG196" i="15" s="1"/>
  <c r="AF196" i="15" s="1"/>
  <c r="AI260" i="15"/>
  <c r="AH260" i="15" s="1"/>
  <c r="AG260" i="15" s="1"/>
  <c r="AF260" i="15" s="1"/>
  <c r="AI324" i="15"/>
  <c r="AH324" i="15" s="1"/>
  <c r="AG324" i="15" s="1"/>
  <c r="AF324" i="15" s="1"/>
  <c r="AI26" i="15"/>
  <c r="AH26" i="15" s="1"/>
  <c r="AG26" i="15" s="1"/>
  <c r="AF26" i="15" s="1"/>
  <c r="AI90" i="15"/>
  <c r="AH90" i="15" s="1"/>
  <c r="AG90" i="15" s="1"/>
  <c r="AF90" i="15" s="1"/>
  <c r="AI154" i="15"/>
  <c r="AH154" i="15" s="1"/>
  <c r="AG154" i="15" s="1"/>
  <c r="AF154" i="15" s="1"/>
  <c r="AI218" i="15"/>
  <c r="AH218" i="15" s="1"/>
  <c r="AG218" i="15" s="1"/>
  <c r="AF218" i="15" s="1"/>
  <c r="AI282" i="15"/>
  <c r="AH282" i="15" s="1"/>
  <c r="AG282" i="15" s="1"/>
  <c r="AF282" i="15" s="1"/>
  <c r="AI366" i="15"/>
  <c r="AH366" i="15" s="1"/>
  <c r="AG366" i="15" s="1"/>
  <c r="AF366" i="15" s="1"/>
  <c r="AI67" i="15"/>
  <c r="AH67" i="15" s="1"/>
  <c r="AG67" i="15" s="1"/>
  <c r="AF67" i="15" s="1"/>
  <c r="AI131" i="15"/>
  <c r="AH131" i="15" s="1"/>
  <c r="AG131" i="15" s="1"/>
  <c r="AF131" i="15" s="1"/>
  <c r="AI195" i="15"/>
  <c r="AH195" i="15" s="1"/>
  <c r="AG195" i="15" s="1"/>
  <c r="AF195" i="15" s="1"/>
  <c r="AI259" i="15"/>
  <c r="AH259" i="15" s="1"/>
  <c r="AG259" i="15" s="1"/>
  <c r="AF259" i="15" s="1"/>
  <c r="AI323" i="15"/>
  <c r="AH323" i="15" s="1"/>
  <c r="AG323" i="15" s="1"/>
  <c r="AF323" i="15" s="1"/>
  <c r="Q217" i="15"/>
  <c r="AE202" i="15"/>
  <c r="AE330" i="15"/>
  <c r="AE109" i="15"/>
  <c r="AE52" i="15"/>
  <c r="AE180" i="15"/>
  <c r="AE308" i="15"/>
  <c r="AE23" i="15"/>
  <c r="AE151" i="15"/>
  <c r="AE233" i="15"/>
  <c r="AE297" i="15"/>
  <c r="AE361" i="15"/>
  <c r="AE307" i="15"/>
  <c r="AE279" i="15"/>
  <c r="AE138" i="15"/>
  <c r="AE298" i="15"/>
  <c r="AE77" i="15"/>
  <c r="AE205" i="15"/>
  <c r="AE148" i="15"/>
  <c r="Q35" i="15"/>
  <c r="Q291" i="15"/>
  <c r="AE183" i="15"/>
  <c r="AE313" i="15"/>
  <c r="AE339" i="15"/>
  <c r="AE84" i="15"/>
  <c r="AE340" i="15"/>
  <c r="Q227" i="15"/>
  <c r="AE119" i="15"/>
  <c r="AE281" i="15"/>
  <c r="AE275" i="15"/>
  <c r="AE375" i="15"/>
  <c r="Q25" i="15"/>
  <c r="Q281" i="15"/>
  <c r="Q158" i="15"/>
  <c r="Q67" i="15"/>
  <c r="Q323" i="15"/>
  <c r="Q372" i="15"/>
  <c r="Q249" i="15"/>
  <c r="Q126" i="15"/>
  <c r="Q148" i="15"/>
  <c r="AE42" i="15"/>
  <c r="AE250" i="15"/>
  <c r="AE378" i="15"/>
  <c r="Q137" i="15"/>
  <c r="Q265" i="15"/>
  <c r="AE29" i="15"/>
  <c r="AE157" i="15"/>
  <c r="Q78" i="15"/>
  <c r="Q206" i="15"/>
  <c r="Q334" i="15"/>
  <c r="AE100" i="15"/>
  <c r="AE228" i="15"/>
  <c r="AE356" i="15"/>
  <c r="Q115" i="15"/>
  <c r="Q243" i="15"/>
  <c r="Q371" i="15"/>
  <c r="AE135" i="15"/>
  <c r="AE90" i="15"/>
  <c r="Q324" i="15"/>
  <c r="Q196" i="15"/>
  <c r="Q15" i="15"/>
  <c r="Q80" i="15"/>
  <c r="Q144" i="15"/>
  <c r="Q176" i="15"/>
  <c r="Q208" i="15"/>
  <c r="Q240" i="15"/>
  <c r="Q272" i="15"/>
  <c r="Q304" i="15"/>
  <c r="Q336" i="15"/>
  <c r="Q368" i="15"/>
  <c r="AE38" i="15"/>
  <c r="AE70" i="15"/>
  <c r="AE102" i="15"/>
  <c r="AE134" i="15"/>
  <c r="AE166" i="15"/>
  <c r="AE198" i="15"/>
  <c r="AE230" i="15"/>
  <c r="AE262" i="15"/>
  <c r="AE294" i="15"/>
  <c r="AE326" i="15"/>
  <c r="AE358" i="15"/>
  <c r="Q21" i="15"/>
  <c r="Q53" i="15"/>
  <c r="Q85" i="15"/>
  <c r="Q117" i="15"/>
  <c r="Q149" i="15"/>
  <c r="Q181" i="15"/>
  <c r="Q213" i="15"/>
  <c r="Q245" i="15"/>
  <c r="Q277" i="15"/>
  <c r="Q309" i="15"/>
  <c r="Q341" i="15"/>
  <c r="Q373" i="15"/>
  <c r="AE41" i="15"/>
  <c r="Q350" i="15"/>
  <c r="AE74" i="15"/>
  <c r="AE266" i="15"/>
  <c r="AE45" i="15"/>
  <c r="AE173" i="15"/>
  <c r="AE116" i="15"/>
  <c r="AE244" i="15"/>
  <c r="AE372" i="15"/>
  <c r="AE87" i="15"/>
  <c r="AE199" i="15"/>
  <c r="AE265" i="15"/>
  <c r="AE329" i="15"/>
  <c r="AE243" i="15"/>
  <c r="AE371" i="15"/>
  <c r="AE343" i="15"/>
  <c r="AE234" i="15"/>
  <c r="AE362" i="15"/>
  <c r="AE141" i="15"/>
  <c r="AE20" i="15"/>
  <c r="AE276" i="15"/>
  <c r="Q163" i="15"/>
  <c r="AE55" i="15"/>
  <c r="AE249" i="15"/>
  <c r="AE377" i="15"/>
  <c r="AE311" i="15"/>
  <c r="AE212" i="15"/>
  <c r="Q99" i="15"/>
  <c r="Q355" i="15"/>
  <c r="AE215" i="15"/>
  <c r="AE345" i="15"/>
  <c r="AE247" i="15"/>
  <c r="Q180" i="15"/>
  <c r="Q153" i="15"/>
  <c r="Q30" i="15"/>
  <c r="Q286" i="15"/>
  <c r="Q195" i="15"/>
  <c r="Q88" i="15"/>
  <c r="Q121" i="15"/>
  <c r="Q377" i="15"/>
  <c r="Q254" i="15"/>
  <c r="Q276" i="15"/>
  <c r="AE170" i="15"/>
  <c r="AE314" i="15"/>
  <c r="Q73" i="15"/>
  <c r="Q201" i="15"/>
  <c r="Q329" i="15"/>
  <c r="AE93" i="15"/>
  <c r="Q379" i="15"/>
  <c r="Q142" i="15"/>
  <c r="Q270" i="15"/>
  <c r="AE36" i="15"/>
  <c r="AE164" i="15"/>
  <c r="AE292" i="15"/>
  <c r="Q51" i="15"/>
  <c r="Q179" i="15"/>
  <c r="Q307" i="15"/>
  <c r="AE71" i="15"/>
  <c r="AE154" i="15"/>
  <c r="AE26" i="15"/>
  <c r="Q260" i="15"/>
  <c r="Q120" i="15"/>
  <c r="Q48" i="15"/>
  <c r="Q112" i="15"/>
  <c r="Q160" i="15"/>
  <c r="Q192" i="15"/>
  <c r="Q224" i="15"/>
  <c r="Q256" i="15"/>
  <c r="Q288" i="15"/>
  <c r="Q320" i="15"/>
  <c r="Q352" i="15"/>
  <c r="AE22" i="15"/>
  <c r="AE54" i="15"/>
  <c r="AE86" i="15"/>
  <c r="AE118" i="15"/>
  <c r="AE150" i="15"/>
  <c r="AE182" i="15"/>
  <c r="AE214" i="15"/>
  <c r="AE246" i="15"/>
  <c r="AE278" i="15"/>
  <c r="AE310" i="15"/>
  <c r="AE342" i="15"/>
  <c r="AE374" i="15"/>
  <c r="Q37" i="15"/>
  <c r="Q69" i="15"/>
  <c r="Q101" i="15"/>
  <c r="Q133" i="15"/>
  <c r="Q165" i="15"/>
  <c r="Q197" i="15"/>
  <c r="Q229" i="15"/>
  <c r="Q261" i="15"/>
  <c r="Q293" i="15"/>
  <c r="Q325" i="15"/>
  <c r="Q357" i="15"/>
  <c r="AE25" i="15"/>
  <c r="AE57" i="15"/>
  <c r="AE89" i="15"/>
  <c r="AE121" i="15"/>
  <c r="AE153" i="15"/>
  <c r="AE185" i="15"/>
  <c r="AE217" i="15"/>
  <c r="Q42" i="15"/>
  <c r="Q74" i="15"/>
  <c r="Q106" i="15"/>
  <c r="Q138" i="15"/>
  <c r="Q170" i="15"/>
  <c r="Q202" i="15"/>
  <c r="Q234" i="15"/>
  <c r="Q266" i="15"/>
  <c r="Q298" i="15"/>
  <c r="Q330" i="15"/>
  <c r="Q362" i="15"/>
  <c r="AE32" i="15"/>
  <c r="AE64" i="15"/>
  <c r="AE96" i="15"/>
  <c r="AE128" i="15"/>
  <c r="AE160" i="15"/>
  <c r="AE192" i="15"/>
  <c r="AE224" i="15"/>
  <c r="AE256" i="15"/>
  <c r="AE288" i="15"/>
  <c r="AE320" i="15"/>
  <c r="AE352" i="15"/>
  <c r="Q18" i="15"/>
  <c r="Q47" i="15"/>
  <c r="Q79" i="15"/>
  <c r="Q111" i="15"/>
  <c r="Q143" i="15"/>
  <c r="Q175" i="15"/>
  <c r="Q207" i="15"/>
  <c r="Q239" i="15"/>
  <c r="Q271" i="15"/>
  <c r="Q303" i="15"/>
  <c r="Q335" i="15"/>
  <c r="Q367" i="15"/>
  <c r="AE35" i="15"/>
  <c r="AE67" i="15"/>
  <c r="AE99" i="15"/>
  <c r="AE131" i="15"/>
  <c r="AE163" i="15"/>
  <c r="AE195" i="15"/>
  <c r="AE229" i="15"/>
  <c r="AE261" i="15"/>
  <c r="AE293" i="15"/>
  <c r="AE325" i="15"/>
  <c r="AE357" i="15"/>
  <c r="AE235" i="15"/>
  <c r="AE299" i="15"/>
  <c r="AE363" i="15"/>
  <c r="AE271" i="15"/>
  <c r="AE335" i="15"/>
  <c r="AE327" i="15"/>
  <c r="AE355" i="15"/>
  <c r="AE227" i="15"/>
  <c r="AE321" i="15"/>
  <c r="AE257" i="15"/>
  <c r="AE191" i="15"/>
  <c r="AE127" i="15"/>
  <c r="AE63" i="15"/>
  <c r="Q363" i="15"/>
  <c r="Q299" i="15"/>
  <c r="Q235" i="15"/>
  <c r="Q171" i="15"/>
  <c r="Q107" i="15"/>
  <c r="Q43" i="15"/>
  <c r="AE348" i="15"/>
  <c r="AE284" i="15"/>
  <c r="AE220" i="15"/>
  <c r="AE156" i="15"/>
  <c r="AE92" i="15"/>
  <c r="AE28" i="15"/>
  <c r="Q326" i="15"/>
  <c r="Q262" i="15"/>
  <c r="Q198" i="15"/>
  <c r="Q134" i="15"/>
  <c r="Q70" i="15"/>
  <c r="AE213" i="15"/>
  <c r="AE149" i="15"/>
  <c r="AE85" i="15"/>
  <c r="AE21" i="15"/>
  <c r="Q321" i="15"/>
  <c r="Q257" i="15"/>
  <c r="Q193" i="15"/>
  <c r="Q129" i="15"/>
  <c r="Q65" i="15"/>
  <c r="AE370" i="15"/>
  <c r="AE306" i="15"/>
  <c r="AE242" i="15"/>
  <c r="AE178" i="15"/>
  <c r="AE114" i="15"/>
  <c r="AE50" i="15"/>
  <c r="Q348" i="15"/>
  <c r="Q284" i="15"/>
  <c r="Q220" i="15"/>
  <c r="Q156" i="15"/>
  <c r="Q40" i="15"/>
  <c r="Q222" i="15"/>
  <c r="Q89" i="15"/>
  <c r="AE73" i="15"/>
  <c r="AE105" i="15"/>
  <c r="AE137" i="15"/>
  <c r="AE169" i="15"/>
  <c r="AE201" i="15"/>
  <c r="Q26" i="15"/>
  <c r="Q58" i="15"/>
  <c r="Q90" i="15"/>
  <c r="Q122" i="15"/>
  <c r="Q154" i="15"/>
  <c r="Q186" i="15"/>
  <c r="Q218" i="15"/>
  <c r="Q250" i="15"/>
  <c r="Q282" i="15"/>
  <c r="Q314" i="15"/>
  <c r="Q346" i="15"/>
  <c r="AE15" i="15"/>
  <c r="AE48" i="15"/>
  <c r="AE80" i="15"/>
  <c r="AE112" i="15"/>
  <c r="AE144" i="15"/>
  <c r="AE176" i="15"/>
  <c r="AE208" i="15"/>
  <c r="AE240" i="15"/>
  <c r="AE272" i="15"/>
  <c r="AE304" i="15"/>
  <c r="AE336" i="15"/>
  <c r="AE368" i="15"/>
  <c r="Q31" i="15"/>
  <c r="Q63" i="15"/>
  <c r="Q95" i="15"/>
  <c r="Q127" i="15"/>
  <c r="Q159" i="15"/>
  <c r="Q191" i="15"/>
  <c r="Q223" i="15"/>
  <c r="Q255" i="15"/>
  <c r="Q287" i="15"/>
  <c r="Q319" i="15"/>
  <c r="Q351" i="15"/>
  <c r="AE16" i="15"/>
  <c r="AE51" i="15"/>
  <c r="AE83" i="15"/>
  <c r="AE115" i="15"/>
  <c r="AE147" i="15"/>
  <c r="AE179" i="15"/>
  <c r="AE211" i="15"/>
  <c r="AE245" i="15"/>
  <c r="AE277" i="15"/>
  <c r="AE309" i="15"/>
  <c r="AE341" i="15"/>
  <c r="AE373" i="15"/>
  <c r="AE267" i="15"/>
  <c r="AE331" i="15"/>
  <c r="AE239" i="15"/>
  <c r="AE303" i="15"/>
  <c r="AE367" i="15"/>
  <c r="AE263" i="15"/>
  <c r="AE291" i="15"/>
  <c r="AE353" i="15"/>
  <c r="AE289" i="15"/>
  <c r="AE225" i="15"/>
  <c r="AE159" i="15"/>
  <c r="AE95" i="15"/>
  <c r="AE31" i="15"/>
  <c r="Q331" i="15"/>
  <c r="Q267" i="15"/>
  <c r="Q203" i="15"/>
  <c r="Q139" i="15"/>
  <c r="Q75" i="15"/>
  <c r="AE379" i="15"/>
  <c r="AE12" i="16" s="1"/>
  <c r="AE316" i="15"/>
  <c r="AE252" i="15"/>
  <c r="AE188" i="15"/>
  <c r="AE124" i="15"/>
  <c r="AE60" i="15"/>
  <c r="Q358" i="15"/>
  <c r="Q294" i="15"/>
  <c r="Q230" i="15"/>
  <c r="Q166" i="15"/>
  <c r="Q102" i="15"/>
  <c r="Q38" i="15"/>
  <c r="AE181" i="15"/>
  <c r="AE117" i="15"/>
  <c r="AE53" i="15"/>
  <c r="Q353" i="15"/>
  <c r="Q289" i="15"/>
  <c r="Q225" i="15"/>
  <c r="Q161" i="15"/>
  <c r="Q97" i="15"/>
  <c r="Q33" i="15"/>
  <c r="AE338" i="15"/>
  <c r="AE274" i="15"/>
  <c r="AE210" i="15"/>
  <c r="AE146" i="15"/>
  <c r="AE82" i="15"/>
  <c r="AE18" i="15"/>
  <c r="Q316" i="15"/>
  <c r="Q252" i="15"/>
  <c r="Q188" i="15"/>
  <c r="Q104" i="15"/>
  <c r="Q131" i="15"/>
  <c r="Q345" i="15"/>
  <c r="Q94" i="15"/>
  <c r="Q313" i="15"/>
  <c r="Q24" i="15"/>
  <c r="AE218" i="15"/>
  <c r="Q105" i="15"/>
  <c r="Q361" i="15"/>
  <c r="Q46" i="15"/>
  <c r="Q302" i="15"/>
  <c r="AE196" i="15"/>
  <c r="Q83" i="15"/>
  <c r="Q339" i="15"/>
  <c r="Q56" i="15"/>
  <c r="Q356" i="15"/>
  <c r="Q64" i="15"/>
  <c r="Q168" i="15"/>
  <c r="Q232" i="15"/>
  <c r="Q296" i="15"/>
  <c r="Q360" i="15"/>
  <c r="AE62" i="15"/>
  <c r="AE126" i="15"/>
  <c r="AE190" i="15"/>
  <c r="AE254" i="15"/>
  <c r="AE318" i="15"/>
  <c r="Q378" i="15"/>
  <c r="Q77" i="15"/>
  <c r="Q141" i="15"/>
  <c r="Q205" i="15"/>
  <c r="Q269" i="15"/>
  <c r="Q333" i="15"/>
  <c r="AE33" i="15"/>
  <c r="AE97" i="15"/>
  <c r="AE161" i="15"/>
  <c r="Q19" i="15"/>
  <c r="Q82" i="15"/>
  <c r="Q146" i="15"/>
  <c r="Q210" i="15"/>
  <c r="Q274" i="15"/>
  <c r="Q338" i="15"/>
  <c r="AE40" i="15"/>
  <c r="AE104" i="15"/>
  <c r="Q259" i="15"/>
  <c r="Q62" i="15"/>
  <c r="AE282" i="15"/>
  <c r="AE61" i="15"/>
  <c r="Q366" i="15"/>
  <c r="Q147" i="15"/>
  <c r="AE58" i="15"/>
  <c r="Q96" i="15"/>
  <c r="Q248" i="15"/>
  <c r="Q376" i="15"/>
  <c r="AE142" i="15"/>
  <c r="AE270" i="15"/>
  <c r="Q29" i="15"/>
  <c r="Q157" i="15"/>
  <c r="Q285" i="15"/>
  <c r="AE49" i="15"/>
  <c r="AE177" i="15"/>
  <c r="Q98" i="15"/>
  <c r="Q226" i="15"/>
  <c r="Q354" i="15"/>
  <c r="AE120" i="15"/>
  <c r="AE200" i="15"/>
  <c r="AE264" i="15"/>
  <c r="AE328" i="15"/>
  <c r="Q23" i="15"/>
  <c r="Q87" i="15"/>
  <c r="Q151" i="15"/>
  <c r="Q215" i="15"/>
  <c r="Q279" i="15"/>
  <c r="Q343" i="15"/>
  <c r="AE43" i="15"/>
  <c r="AE107" i="15"/>
  <c r="AE171" i="15"/>
  <c r="AE237" i="15"/>
  <c r="AE301" i="15"/>
  <c r="AE365" i="15"/>
  <c r="AE315" i="15"/>
  <c r="AE287" i="15"/>
  <c r="AE295" i="15"/>
  <c r="AE369" i="15"/>
  <c r="AE241" i="15"/>
  <c r="AE111" i="15"/>
  <c r="Q347" i="15"/>
  <c r="Q219" i="15"/>
  <c r="Q91" i="15"/>
  <c r="AE332" i="15"/>
  <c r="AE204" i="15"/>
  <c r="AE76" i="15"/>
  <c r="Q310" i="15"/>
  <c r="Q182" i="15"/>
  <c r="Q54" i="15"/>
  <c r="AE133" i="15"/>
  <c r="Q369" i="15"/>
  <c r="Q241" i="15"/>
  <c r="Q113" i="15"/>
  <c r="AE354" i="15"/>
  <c r="AE226" i="15"/>
  <c r="AE98" i="15"/>
  <c r="Q332" i="15"/>
  <c r="Q204" i="15"/>
  <c r="Q28" i="15"/>
  <c r="Q60" i="15"/>
  <c r="Q92" i="15"/>
  <c r="Q124" i="15"/>
  <c r="Q308" i="15"/>
  <c r="AE106" i="15"/>
  <c r="Q238" i="15"/>
  <c r="AE167" i="15"/>
  <c r="Q152" i="15"/>
  <c r="AE46" i="15"/>
  <c r="AE302" i="15"/>
  <c r="Q189" i="15"/>
  <c r="AE81" i="15"/>
  <c r="Q130" i="15"/>
  <c r="AE24" i="15"/>
  <c r="AE216" i="15"/>
  <c r="AE344" i="15"/>
  <c r="Q103" i="15"/>
  <c r="Q231" i="15"/>
  <c r="Q359" i="15"/>
  <c r="AE123" i="15"/>
  <c r="AE253" i="15"/>
  <c r="AE219" i="15"/>
  <c r="AE319" i="15"/>
  <c r="AE337" i="15"/>
  <c r="AE79" i="15"/>
  <c r="Q187" i="15"/>
  <c r="AE300" i="15"/>
  <c r="AE44" i="15"/>
  <c r="Q150" i="15"/>
  <c r="AE101" i="15"/>
  <c r="Q209" i="15"/>
  <c r="AE322" i="15"/>
  <c r="AE66" i="15"/>
  <c r="Q172" i="15"/>
  <c r="Q68" i="15"/>
  <c r="Q132" i="15"/>
  <c r="Q41" i="15"/>
  <c r="AE132" i="15"/>
  <c r="AE186" i="15"/>
  <c r="Q216" i="15"/>
  <c r="AE110" i="15"/>
  <c r="AE366" i="15"/>
  <c r="Q253" i="15"/>
  <c r="AE145" i="15"/>
  <c r="Q194" i="15"/>
  <c r="AE88" i="15"/>
  <c r="AE248" i="15"/>
  <c r="AE376" i="15"/>
  <c r="Q135" i="15"/>
  <c r="Q263" i="15"/>
  <c r="AE27" i="15"/>
  <c r="AE155" i="15"/>
  <c r="AE285" i="15"/>
  <c r="AE283" i="15"/>
  <c r="AE359" i="15"/>
  <c r="AE273" i="15"/>
  <c r="AE19" i="15"/>
  <c r="Q123" i="15"/>
  <c r="AE236" i="15"/>
  <c r="Q342" i="15"/>
  <c r="Q86" i="15"/>
  <c r="AE37" i="15"/>
  <c r="Q145" i="15"/>
  <c r="AE258" i="15"/>
  <c r="Q364" i="15"/>
  <c r="Q72" i="15"/>
  <c r="Q52" i="15"/>
  <c r="Q116" i="15"/>
  <c r="Q57" i="15"/>
  <c r="Q190" i="15"/>
  <c r="Q340" i="15"/>
  <c r="AE346" i="15"/>
  <c r="Q233" i="15"/>
  <c r="AE125" i="15"/>
  <c r="Q174" i="15"/>
  <c r="AE68" i="15"/>
  <c r="AE324" i="15"/>
  <c r="Q211" i="15"/>
  <c r="AE103" i="15"/>
  <c r="AE122" i="15"/>
  <c r="Q228" i="15"/>
  <c r="Q128" i="15"/>
  <c r="Q200" i="15"/>
  <c r="Q264" i="15"/>
  <c r="Q328" i="15"/>
  <c r="AE30" i="15"/>
  <c r="AE94" i="15"/>
  <c r="AE158" i="15"/>
  <c r="AE222" i="15"/>
  <c r="AE286" i="15"/>
  <c r="AE350" i="15"/>
  <c r="Q45" i="15"/>
  <c r="Q109" i="15"/>
  <c r="Q173" i="15"/>
  <c r="Q237" i="15"/>
  <c r="Q301" i="15"/>
  <c r="Q365" i="15"/>
  <c r="AE65" i="15"/>
  <c r="AE129" i="15"/>
  <c r="AE193" i="15"/>
  <c r="Q50" i="15"/>
  <c r="Q114" i="15"/>
  <c r="Q178" i="15"/>
  <c r="Q242" i="15"/>
  <c r="Q306" i="15"/>
  <c r="Q370" i="15"/>
  <c r="AE72" i="15"/>
  <c r="AE136" i="15"/>
  <c r="Q244" i="15"/>
  <c r="Q212" i="15"/>
  <c r="Q169" i="15"/>
  <c r="Q110" i="15"/>
  <c r="AE260" i="15"/>
  <c r="AE39" i="15"/>
  <c r="Q164" i="15"/>
  <c r="Q184" i="15"/>
  <c r="Q312" i="15"/>
  <c r="AE78" i="15"/>
  <c r="AE206" i="15"/>
  <c r="AE334" i="15"/>
  <c r="Q93" i="15"/>
  <c r="Q221" i="15"/>
  <c r="Q349" i="15"/>
  <c r="AE113" i="15"/>
  <c r="Q34" i="15"/>
  <c r="Q162" i="15"/>
  <c r="Q290" i="15"/>
  <c r="AE56" i="15"/>
  <c r="AE168" i="15"/>
  <c r="AE232" i="15"/>
  <c r="AE296" i="15"/>
  <c r="AE360" i="15"/>
  <c r="Q55" i="15"/>
  <c r="Q119" i="15"/>
  <c r="Q183" i="15"/>
  <c r="Q247" i="15"/>
  <c r="Q311" i="15"/>
  <c r="Q375" i="15"/>
  <c r="AE75" i="15"/>
  <c r="AE139" i="15"/>
  <c r="AE203" i="15"/>
  <c r="AE269" i="15"/>
  <c r="AE333" i="15"/>
  <c r="AE251" i="15"/>
  <c r="AE223" i="15"/>
  <c r="AE351" i="15"/>
  <c r="AE323" i="15"/>
  <c r="AE305" i="15"/>
  <c r="AE175" i="15"/>
  <c r="AE47" i="15"/>
  <c r="Q283" i="15"/>
  <c r="Q155" i="15"/>
  <c r="Q27" i="15"/>
  <c r="AE268" i="15"/>
  <c r="AE140" i="15"/>
  <c r="Q374" i="15"/>
  <c r="Q246" i="15"/>
  <c r="Q118" i="15"/>
  <c r="AE197" i="15"/>
  <c r="AE69" i="15"/>
  <c r="Q305" i="15"/>
  <c r="Q177" i="15"/>
  <c r="Q49" i="15"/>
  <c r="AE290" i="15"/>
  <c r="AE162" i="15"/>
  <c r="AE34" i="15"/>
  <c r="Q268" i="15"/>
  <c r="Q136" i="15"/>
  <c r="Q44" i="15"/>
  <c r="Q76" i="15"/>
  <c r="Q108" i="15"/>
  <c r="Q140" i="15"/>
  <c r="Q185" i="15"/>
  <c r="Q297" i="15"/>
  <c r="Q16" i="15"/>
  <c r="Q292" i="15"/>
  <c r="Q280" i="15"/>
  <c r="AE174" i="15"/>
  <c r="Q61" i="15"/>
  <c r="Q317" i="15"/>
  <c r="AE209" i="15"/>
  <c r="Q258" i="15"/>
  <c r="AE152" i="15"/>
  <c r="AE280" i="15"/>
  <c r="Q39" i="15"/>
  <c r="Q167" i="15"/>
  <c r="Q295" i="15"/>
  <c r="AE59" i="15"/>
  <c r="AE187" i="15"/>
  <c r="AE317" i="15"/>
  <c r="AE347" i="15"/>
  <c r="AE231" i="15"/>
  <c r="AE207" i="15"/>
  <c r="Q315" i="15"/>
  <c r="Q59" i="15"/>
  <c r="AE172" i="15"/>
  <c r="Q278" i="15"/>
  <c r="Q22" i="15"/>
  <c r="Q337" i="15"/>
  <c r="Q81" i="15"/>
  <c r="AE194" i="15"/>
  <c r="Q300" i="15"/>
  <c r="Q36" i="15"/>
  <c r="Q100" i="15"/>
  <c r="Q318" i="15"/>
  <c r="AE189" i="15"/>
  <c r="Q275" i="15"/>
  <c r="Q32" i="15"/>
  <c r="Q344" i="15"/>
  <c r="AE238" i="15"/>
  <c r="Q125" i="15"/>
  <c r="AE17" i="15"/>
  <c r="Q66" i="15"/>
  <c r="Q322" i="15"/>
  <c r="AE184" i="15"/>
  <c r="AE312" i="15"/>
  <c r="Q71" i="15"/>
  <c r="Q199" i="15"/>
  <c r="Q327" i="15"/>
  <c r="AE91" i="15"/>
  <c r="AE221" i="15"/>
  <c r="AE349" i="15"/>
  <c r="AE255" i="15"/>
  <c r="AE259" i="15"/>
  <c r="AE143" i="15"/>
  <c r="Q251" i="15"/>
  <c r="AE364" i="15"/>
  <c r="AE108" i="15"/>
  <c r="Q214" i="15"/>
  <c r="AE165" i="15"/>
  <c r="Q273" i="15"/>
  <c r="Q17" i="15"/>
  <c r="AE130" i="15"/>
  <c r="Q236" i="15"/>
  <c r="Q20" i="15"/>
  <c r="Q84" i="15"/>
  <c r="AI249" i="15"/>
  <c r="AH249" i="15" s="1"/>
  <c r="AG249" i="15" s="1"/>
  <c r="AF249" i="15" s="1"/>
  <c r="AI338" i="15"/>
  <c r="AH338" i="15" s="1"/>
  <c r="AG338" i="15" s="1"/>
  <c r="AF338" i="15" s="1"/>
  <c r="AI127" i="15"/>
  <c r="AH127" i="15" s="1"/>
  <c r="AG127" i="15" s="1"/>
  <c r="AF127" i="15" s="1"/>
  <c r="AI214" i="15"/>
  <c r="AH214" i="15" s="1"/>
  <c r="AG214" i="15" s="1"/>
  <c r="AF214" i="15" s="1"/>
  <c r="AI320" i="15"/>
  <c r="AH320" i="15" s="1"/>
  <c r="AG320" i="15" s="1"/>
  <c r="AF320" i="15" s="1"/>
  <c r="AI64" i="15"/>
  <c r="AH64" i="15" s="1"/>
  <c r="AG64" i="15" s="1"/>
  <c r="AF64" i="15" s="1"/>
  <c r="AI354" i="15"/>
  <c r="AH354" i="15" s="1"/>
  <c r="AG354" i="15" s="1"/>
  <c r="AF354" i="15" s="1"/>
  <c r="AI222" i="15"/>
  <c r="AH222" i="15" s="1"/>
  <c r="AG222" i="15" s="1"/>
  <c r="AF222" i="15" s="1"/>
  <c r="AI72" i="15"/>
  <c r="AH72" i="15" s="1"/>
  <c r="AG72" i="15" s="1"/>
  <c r="AF72" i="15" s="1"/>
  <c r="AI133" i="15"/>
  <c r="AH133" i="15" s="1"/>
  <c r="AG133" i="15" s="1"/>
  <c r="AF133" i="15" s="1"/>
  <c r="AI267" i="15"/>
  <c r="AH267" i="15" s="1"/>
  <c r="AG267" i="15" s="1"/>
  <c r="AF267" i="15" s="1"/>
  <c r="AI378" i="15"/>
  <c r="AH378" i="15" s="1"/>
  <c r="AG378" i="15" s="1"/>
  <c r="AF378" i="15" s="1"/>
  <c r="AI98" i="15"/>
  <c r="AH98" i="15" s="1"/>
  <c r="AG98" i="15" s="1"/>
  <c r="AF98" i="15" s="1"/>
  <c r="AI204" i="15"/>
  <c r="AH204" i="15" s="1"/>
  <c r="AG204" i="15" s="1"/>
  <c r="AF204" i="15" s="1"/>
  <c r="AI119" i="15"/>
  <c r="AH119" i="15" s="1"/>
  <c r="AG119" i="15" s="1"/>
  <c r="AF119" i="15" s="1"/>
  <c r="AI269" i="15"/>
  <c r="AH269" i="15" s="1"/>
  <c r="AG269" i="15" s="1"/>
  <c r="AF269" i="15" s="1"/>
  <c r="AI379" i="15"/>
  <c r="AI234" i="15"/>
  <c r="AH234" i="15" s="1"/>
  <c r="AG234" i="15" s="1"/>
  <c r="AF234" i="15" s="1"/>
  <c r="AI84" i="15"/>
  <c r="AH84" i="15" s="1"/>
  <c r="AG84" i="15" s="1"/>
  <c r="AF84" i="15" s="1"/>
  <c r="AI377" i="15"/>
  <c r="AH377" i="15" s="1"/>
  <c r="AG377" i="15" s="1"/>
  <c r="AF377" i="15" s="1"/>
  <c r="AI121" i="15"/>
  <c r="AH121" i="15" s="1"/>
  <c r="AG121" i="15" s="1"/>
  <c r="AF121" i="15" s="1"/>
  <c r="AI255" i="15"/>
  <c r="AH255" i="15" s="1"/>
  <c r="AG255" i="15" s="1"/>
  <c r="AF255" i="15" s="1"/>
  <c r="AI358" i="15"/>
  <c r="AH358" i="15" s="1"/>
  <c r="AG358" i="15" s="1"/>
  <c r="AF358" i="15" s="1"/>
  <c r="AI86" i="15"/>
  <c r="AH86" i="15" s="1"/>
  <c r="AG86" i="15" s="1"/>
  <c r="AF86" i="15" s="1"/>
  <c r="AI192" i="15"/>
  <c r="AH192" i="15" s="1"/>
  <c r="AG192" i="15" s="1"/>
  <c r="AF192" i="15" s="1"/>
  <c r="AI257" i="15"/>
  <c r="AH257" i="15" s="1"/>
  <c r="AG257" i="15" s="1"/>
  <c r="AF257" i="15" s="1"/>
  <c r="AI135" i="15"/>
  <c r="AH135" i="15" s="1"/>
  <c r="AG135" i="15" s="1"/>
  <c r="AF135" i="15" s="1"/>
  <c r="AI328" i="15"/>
  <c r="AH328" i="15" s="1"/>
  <c r="AG328" i="15" s="1"/>
  <c r="AF328" i="15" s="1"/>
  <c r="AI261" i="15"/>
  <c r="AH261" i="15" s="1"/>
  <c r="AG261" i="15" s="1"/>
  <c r="AF261" i="15" s="1"/>
  <c r="AI362" i="15"/>
  <c r="AH362" i="15" s="1"/>
  <c r="AG362" i="15" s="1"/>
  <c r="AF362" i="15" s="1"/>
  <c r="AI139" i="15"/>
  <c r="AH139" i="15" s="1"/>
  <c r="AG139" i="15" s="1"/>
  <c r="AF139" i="15" s="1"/>
  <c r="AI226" i="15"/>
  <c r="AH226" i="15" s="1"/>
  <c r="AG226" i="15" s="1"/>
  <c r="AF226" i="15" s="1"/>
  <c r="AI332" i="15"/>
  <c r="AH332" i="15" s="1"/>
  <c r="AG332" i="15" s="1"/>
  <c r="AF332" i="15" s="1"/>
  <c r="AI76" i="15"/>
  <c r="AH76" i="15" s="1"/>
  <c r="AG76" i="15" s="1"/>
  <c r="AF76" i="15" s="1"/>
  <c r="AI375" i="15"/>
  <c r="AH375" i="15" s="1"/>
  <c r="AG375" i="15" s="1"/>
  <c r="AF375" i="15" s="1"/>
  <c r="AI206" i="15"/>
  <c r="AH206" i="15" s="1"/>
  <c r="AG206" i="15" s="1"/>
  <c r="AF206" i="15" s="1"/>
  <c r="AI56" i="15"/>
  <c r="AH56" i="15" s="1"/>
  <c r="AG56" i="15" s="1"/>
  <c r="AF56" i="15" s="1"/>
  <c r="AI141" i="15"/>
  <c r="AH141" i="15" s="1"/>
  <c r="AG141" i="15" s="1"/>
  <c r="AF141" i="15" s="1"/>
  <c r="AI275" i="15"/>
  <c r="AH275" i="15" s="1"/>
  <c r="AG275" i="15" s="1"/>
  <c r="AF275" i="15" s="1"/>
  <c r="AI17" i="15"/>
  <c r="AI106" i="15"/>
  <c r="AH106" i="15" s="1"/>
  <c r="AG106" i="15" s="1"/>
  <c r="AF106" i="15" s="1"/>
  <c r="AI212" i="15"/>
  <c r="AH212" i="15" s="1"/>
  <c r="AG212" i="15" s="1"/>
  <c r="AF212" i="15" s="1"/>
  <c r="AI241" i="15"/>
  <c r="AH241" i="15" s="1"/>
  <c r="AG241" i="15" s="1"/>
  <c r="AF241" i="15" s="1"/>
  <c r="AI312" i="15"/>
  <c r="AH312" i="15" s="1"/>
  <c r="AG312" i="15" s="1"/>
  <c r="AF312" i="15" s="1"/>
  <c r="AI147" i="15"/>
  <c r="AH147" i="15" s="1"/>
  <c r="AG147" i="15" s="1"/>
  <c r="AF147" i="15" s="1"/>
  <c r="AI340" i="15"/>
  <c r="AH340" i="15" s="1"/>
  <c r="AG340" i="15" s="1"/>
  <c r="AF340" i="15" s="1"/>
  <c r="P12" i="17"/>
  <c r="AK18" i="17"/>
  <c r="AK23" i="17"/>
  <c r="AK29" i="17"/>
  <c r="AK40" i="17"/>
  <c r="AK45" i="17"/>
  <c r="AK31" i="17"/>
  <c r="AK49" i="17"/>
  <c r="AK59" i="17"/>
  <c r="AK69" i="17"/>
  <c r="AK77" i="17"/>
  <c r="AK36" i="17"/>
  <c r="AK53" i="17"/>
  <c r="AK63" i="17"/>
  <c r="AK80" i="17"/>
  <c r="AK86" i="17"/>
  <c r="AK17" i="17"/>
  <c r="AK15" i="17"/>
  <c r="AK22" i="17"/>
  <c r="AK28" i="17"/>
  <c r="AK38" i="17"/>
  <c r="AK43" i="17"/>
  <c r="AK30" i="17"/>
  <c r="AK48" i="17"/>
  <c r="AK58" i="17"/>
  <c r="AK68" i="17"/>
  <c r="AK76" i="17"/>
  <c r="AK84" i="17"/>
  <c r="AK62" i="17"/>
  <c r="AK83" i="17"/>
  <c r="AK97" i="17"/>
  <c r="AK102" i="17"/>
  <c r="AK112" i="17"/>
  <c r="AK127" i="17"/>
  <c r="AK133" i="17"/>
  <c r="AK140" i="17"/>
  <c r="AK145" i="17"/>
  <c r="AK151" i="17"/>
  <c r="AK164" i="17"/>
  <c r="AK172" i="17"/>
  <c r="AK177" i="17"/>
  <c r="AK188" i="17"/>
  <c r="AK50" i="17"/>
  <c r="AK89" i="17"/>
  <c r="AK104" i="17"/>
  <c r="AK113" i="17"/>
  <c r="AK118" i="17"/>
  <c r="AK154" i="17"/>
  <c r="AK162" i="17"/>
  <c r="AK178" i="17"/>
  <c r="AK190" i="17"/>
  <c r="AK199" i="17"/>
  <c r="AK212" i="17"/>
  <c r="AK216" i="17"/>
  <c r="AK226" i="17"/>
  <c r="AK230" i="17"/>
  <c r="AK238" i="17"/>
  <c r="AK246" i="17"/>
  <c r="AK256" i="17"/>
  <c r="AK261" i="17"/>
  <c r="AK270" i="17"/>
  <c r="AK278" i="17"/>
  <c r="AK285" i="17"/>
  <c r="AK295" i="17"/>
  <c r="AK308" i="17"/>
  <c r="AK314" i="17"/>
  <c r="AK324" i="17"/>
  <c r="AK332" i="17"/>
  <c r="AK347" i="17"/>
  <c r="AK356" i="17"/>
  <c r="AK54" i="17"/>
  <c r="AK81" i="17"/>
  <c r="AK95" i="17"/>
  <c r="AK101" i="17"/>
  <c r="AK111" i="17"/>
  <c r="AK126" i="17"/>
  <c r="AK131" i="17"/>
  <c r="AK136" i="17"/>
  <c r="AK144" i="17"/>
  <c r="AK150" i="17"/>
  <c r="AK163" i="17"/>
  <c r="AK169" i="17"/>
  <c r="AK176" i="17"/>
  <c r="AK185" i="17"/>
  <c r="AK44" i="17"/>
  <c r="AK85" i="17"/>
  <c r="AK99" i="17"/>
  <c r="AK110" i="17"/>
  <c r="AK117" i="17"/>
  <c r="AK146" i="17"/>
  <c r="AK161" i="17"/>
  <c r="AK171" i="17"/>
  <c r="AK189" i="17"/>
  <c r="AK197" i="17"/>
  <c r="AK206" i="17"/>
  <c r="AK215" i="17"/>
  <c r="AK223" i="17"/>
  <c r="AK229" i="17"/>
  <c r="AK236" i="17"/>
  <c r="AK243" i="17"/>
  <c r="AK255" i="17"/>
  <c r="AK259" i="17"/>
  <c r="AK269" i="17"/>
  <c r="AK275" i="17"/>
  <c r="AK284" i="17"/>
  <c r="AK294" i="17"/>
  <c r="AK306" i="17"/>
  <c r="AK313" i="17"/>
  <c r="AK16" i="17"/>
  <c r="F8" i="17"/>
  <c r="AK21" i="17"/>
  <c r="AK27" i="17"/>
  <c r="AK35" i="17"/>
  <c r="AK42" i="17"/>
  <c r="AK25" i="17"/>
  <c r="AK33" i="17"/>
  <c r="AK57" i="17"/>
  <c r="AK65" i="17"/>
  <c r="AK72" i="17"/>
  <c r="AK79" i="17"/>
  <c r="AK39" i="17"/>
  <c r="AK60" i="17"/>
  <c r="AK70" i="17"/>
  <c r="AK82" i="17"/>
  <c r="AK90" i="17"/>
  <c r="AK380" i="17"/>
  <c r="AK19" i="17"/>
  <c r="AK26" i="17"/>
  <c r="AK34" i="17"/>
  <c r="AK41" i="17"/>
  <c r="AK46" i="17"/>
  <c r="AK32" i="17"/>
  <c r="AK52" i="17"/>
  <c r="AK61" i="17"/>
  <c r="AK71" i="17"/>
  <c r="AK78" i="17"/>
  <c r="AK47" i="17"/>
  <c r="AK73" i="17"/>
  <c r="AK94" i="17"/>
  <c r="AK100" i="17"/>
  <c r="AK109" i="17"/>
  <c r="AK123" i="17"/>
  <c r="AK130" i="17"/>
  <c r="AK135" i="17"/>
  <c r="AK142" i="17"/>
  <c r="AK149" i="17"/>
  <c r="AK155" i="17"/>
  <c r="AK166" i="17"/>
  <c r="AK175" i="17"/>
  <c r="AK184" i="17"/>
  <c r="AK37" i="17"/>
  <c r="AK56" i="17"/>
  <c r="AK96" i="17"/>
  <c r="AK107" i="17"/>
  <c r="AK116" i="17"/>
  <c r="AK143" i="17"/>
  <c r="AK160" i="17"/>
  <c r="AK168" i="17"/>
  <c r="AK187" i="17"/>
  <c r="AK195" i="17"/>
  <c r="AK202" i="17"/>
  <c r="AK214" i="17"/>
  <c r="AK221" i="17"/>
  <c r="AK228" i="17"/>
  <c r="AK234" i="17"/>
  <c r="AK241" i="17"/>
  <c r="AK248" i="17"/>
  <c r="AK258" i="17"/>
  <c r="AK266" i="17"/>
  <c r="AK273" i="17"/>
  <c r="AK283" i="17"/>
  <c r="AK289" i="17"/>
  <c r="AK298" i="17"/>
  <c r="AK311" i="17"/>
  <c r="AK320" i="17"/>
  <c r="AK329" i="17"/>
  <c r="AK336" i="17"/>
  <c r="AK352" i="17"/>
  <c r="AK360" i="17"/>
  <c r="AK64" i="17"/>
  <c r="AK87" i="17"/>
  <c r="AK98" i="17"/>
  <c r="AK105" i="17"/>
  <c r="AK121" i="17"/>
  <c r="AK128" i="17"/>
  <c r="AK134" i="17"/>
  <c r="AK141" i="17"/>
  <c r="AK148" i="17"/>
  <c r="AK153" i="17"/>
  <c r="AK165" i="17"/>
  <c r="AK173" i="17"/>
  <c r="AK181" i="17"/>
  <c r="AK24" i="17"/>
  <c r="AK51" i="17"/>
  <c r="AK92" i="17"/>
  <c r="AK106" i="17"/>
  <c r="AK114" i="17"/>
  <c r="AK122" i="17"/>
  <c r="AK158" i="17"/>
  <c r="AK167" i="17"/>
  <c r="AK180" i="17"/>
  <c r="AK194" i="17"/>
  <c r="AK200" i="17"/>
  <c r="AK220" i="17"/>
  <c r="AK231" i="17"/>
  <c r="AK247" i="17"/>
  <c r="AK262" i="17"/>
  <c r="AK280" i="17"/>
  <c r="AK296" i="17"/>
  <c r="AK318" i="17"/>
  <c r="AK325" i="17"/>
  <c r="AK335" i="17"/>
  <c r="AK349" i="17"/>
  <c r="AK359" i="17"/>
  <c r="AK66" i="17"/>
  <c r="AK91" i="17"/>
  <c r="AK119" i="17"/>
  <c r="AK88" i="17"/>
  <c r="AK137" i="17"/>
  <c r="AK183" i="17"/>
  <c r="AK132" i="17"/>
  <c r="AK157" i="17"/>
  <c r="AK182" i="17"/>
  <c r="AK196" i="17"/>
  <c r="AK204" i="17"/>
  <c r="AK210" i="17"/>
  <c r="AK222" i="17"/>
  <c r="AK244" i="17"/>
  <c r="AK254" i="17"/>
  <c r="AK265" i="17"/>
  <c r="AK279" i="17"/>
  <c r="AK299" i="17"/>
  <c r="AK307" i="17"/>
  <c r="AK328" i="17"/>
  <c r="AK339" i="17"/>
  <c r="AK232" i="17"/>
  <c r="AK245" i="17"/>
  <c r="AK274" i="17"/>
  <c r="AK287" i="17"/>
  <c r="AK301" i="17"/>
  <c r="AK316" i="17"/>
  <c r="AK326" i="17"/>
  <c r="AK341" i="17"/>
  <c r="AK357" i="17"/>
  <c r="AK369" i="17"/>
  <c r="AK373" i="17"/>
  <c r="AK346" i="17"/>
  <c r="AK354" i="17"/>
  <c r="AK368" i="17"/>
  <c r="AK361" i="17"/>
  <c r="AK67" i="17"/>
  <c r="AK93" i="17"/>
  <c r="AK120" i="17"/>
  <c r="AK103" i="17"/>
  <c r="AK139" i="17"/>
  <c r="AK186" i="17"/>
  <c r="AK138" i="17"/>
  <c r="AK159" i="17"/>
  <c r="AK191" i="17"/>
  <c r="AK198" i="17"/>
  <c r="AK205" i="17"/>
  <c r="AK217" i="17"/>
  <c r="AK225" i="17"/>
  <c r="AK249" i="17"/>
  <c r="AK260" i="17"/>
  <c r="AK267" i="17"/>
  <c r="AK281" i="17"/>
  <c r="AK300" i="17"/>
  <c r="AK310" i="17"/>
  <c r="AK330" i="17"/>
  <c r="AK340" i="17"/>
  <c r="AK233" i="17"/>
  <c r="AK252" i="17"/>
  <c r="AK277" i="17"/>
  <c r="AK291" i="17"/>
  <c r="AK303" i="17"/>
  <c r="AK317" i="17"/>
  <c r="AK327" i="17"/>
  <c r="AK344" i="17"/>
  <c r="AK358" i="17"/>
  <c r="AK370" i="17"/>
  <c r="AK375" i="17"/>
  <c r="AK348" i="17"/>
  <c r="AK362" i="17"/>
  <c r="AK374" i="17"/>
  <c r="AK213" i="17"/>
  <c r="AK227" i="17"/>
  <c r="AK240" i="17"/>
  <c r="AK257" i="17"/>
  <c r="AK272" i="17"/>
  <c r="AK288" i="17"/>
  <c r="AK309" i="17"/>
  <c r="AK322" i="17"/>
  <c r="AK331" i="17"/>
  <c r="AK343" i="17"/>
  <c r="AK355" i="17"/>
  <c r="AK363" i="17"/>
  <c r="AK74" i="17"/>
  <c r="AK108" i="17"/>
  <c r="AK125" i="17"/>
  <c r="AK124" i="17"/>
  <c r="AK147" i="17"/>
  <c r="AK209" i="17"/>
  <c r="AK152" i="17"/>
  <c r="AK174" i="17"/>
  <c r="AK192" i="17"/>
  <c r="AK201" i="17"/>
  <c r="AK207" i="17"/>
  <c r="AK218" i="17"/>
  <c r="AK237" i="17"/>
  <c r="AK250" i="17"/>
  <c r="AK263" i="17"/>
  <c r="AK271" i="17"/>
  <c r="AK290" i="17"/>
  <c r="AK302" i="17"/>
  <c r="AK315" i="17"/>
  <c r="AK334" i="17"/>
  <c r="AK342" i="17"/>
  <c r="AK235" i="17"/>
  <c r="AK253" i="17"/>
  <c r="AK282" i="17"/>
  <c r="AK292" i="17"/>
  <c r="AK305" i="17"/>
  <c r="AK319" i="17"/>
  <c r="AK333" i="17"/>
  <c r="AK345" i="17"/>
  <c r="AK365" i="17"/>
  <c r="AK371" i="17"/>
  <c r="AK377" i="17"/>
  <c r="AK350" i="17"/>
  <c r="AK364" i="17"/>
  <c r="AK376" i="17"/>
  <c r="AK55" i="17"/>
  <c r="AK75" i="17"/>
  <c r="AK115" i="17"/>
  <c r="AK20" i="17"/>
  <c r="AK129" i="17"/>
  <c r="AK170" i="17"/>
  <c r="AK211" i="17"/>
  <c r="AK156" i="17"/>
  <c r="AK179" i="17"/>
  <c r="AK193" i="17"/>
  <c r="AK203" i="17"/>
  <c r="AK208" i="17"/>
  <c r="AK219" i="17"/>
  <c r="AK242" i="17"/>
  <c r="AK251" i="17"/>
  <c r="AK264" i="17"/>
  <c r="AK276" i="17"/>
  <c r="AK297" i="17"/>
  <c r="AK304" i="17"/>
  <c r="AK323" i="17"/>
  <c r="AK337" i="17"/>
  <c r="AK224" i="17"/>
  <c r="AK239" i="17"/>
  <c r="AK268" i="17"/>
  <c r="AK286" i="17"/>
  <c r="AK293" i="17"/>
  <c r="AK312" i="17"/>
  <c r="AK321" i="17"/>
  <c r="AK338" i="17"/>
  <c r="AK353" i="17"/>
  <c r="AK366" i="17"/>
  <c r="AK372" i="17"/>
  <c r="AK378" i="17"/>
  <c r="AK351" i="17"/>
  <c r="AK367" i="17"/>
  <c r="AK379" i="17"/>
  <c r="AM7" i="16"/>
  <c r="AM11" i="16" s="1"/>
  <c r="AK5" i="16"/>
  <c r="AK6" i="16"/>
  <c r="AM9" i="16"/>
  <c r="AK9" i="16"/>
  <c r="AM5" i="16"/>
  <c r="AK7" i="16"/>
  <c r="AK11" i="16" s="1"/>
  <c r="AK3" i="16" s="1"/>
  <c r="Q13" i="19" s="1"/>
  <c r="AF11" i="7"/>
  <c r="P11" i="18"/>
  <c r="Z15" i="7"/>
  <c r="AA11" i="7"/>
  <c r="Q11" i="18" s="1"/>
  <c r="AK3" i="15"/>
  <c r="Q12" i="19" s="1"/>
  <c r="AJ6" i="16"/>
  <c r="AJ5" i="16"/>
  <c r="AJ7" i="16"/>
  <c r="AJ8" i="16"/>
  <c r="AI11" i="16"/>
  <c r="P10" i="16"/>
  <c r="L13" i="19"/>
  <c r="AE11" i="16"/>
  <c r="AC9" i="16"/>
  <c r="E379" i="15"/>
  <c r="C36" i="19"/>
  <c r="AC381" i="15"/>
  <c r="AC382" i="15"/>
  <c r="AC383" i="15"/>
  <c r="AH16" i="15"/>
  <c r="O9" i="24"/>
  <c r="AC9" i="22"/>
  <c r="AJ19" i="23"/>
  <c r="AJ17" i="23"/>
  <c r="AJ56" i="23"/>
  <c r="AJ78" i="23"/>
  <c r="AJ28" i="23"/>
  <c r="AJ80" i="23"/>
  <c r="AJ100" i="23"/>
  <c r="AJ113" i="23"/>
  <c r="AJ133" i="23"/>
  <c r="AJ147" i="23"/>
  <c r="AJ165" i="23"/>
  <c r="AJ181" i="23"/>
  <c r="AJ84" i="23"/>
  <c r="AJ117" i="23"/>
  <c r="AJ139" i="23"/>
  <c r="AJ178" i="23"/>
  <c r="AJ207" i="23"/>
  <c r="AJ234" i="23"/>
  <c r="AJ258" i="23"/>
  <c r="AJ272" i="23"/>
  <c r="AJ281" i="23"/>
  <c r="AJ293" i="23"/>
  <c r="AJ303" i="23"/>
  <c r="AJ308" i="23"/>
  <c r="AJ317" i="23"/>
  <c r="AJ324" i="23"/>
  <c r="AJ328" i="23"/>
  <c r="AJ333" i="23"/>
  <c r="AJ339" i="23"/>
  <c r="AJ351" i="23"/>
  <c r="AJ89" i="23"/>
  <c r="AJ77" i="23"/>
  <c r="AJ122" i="23"/>
  <c r="AJ156" i="23"/>
  <c r="AJ172" i="23"/>
  <c r="AJ193" i="23"/>
  <c r="AJ200" i="23"/>
  <c r="AJ208" i="23"/>
  <c r="AJ128" i="23"/>
  <c r="AJ167" i="23"/>
  <c r="AJ185" i="23"/>
  <c r="AJ201" i="23"/>
  <c r="AJ215" i="23"/>
  <c r="AJ230" i="23"/>
  <c r="AJ239" i="23"/>
  <c r="AJ245" i="23"/>
  <c r="AJ250" i="23"/>
  <c r="AJ290" i="23"/>
  <c r="AJ299" i="23"/>
  <c r="AJ311" i="23"/>
  <c r="AJ322" i="23"/>
  <c r="AJ217" i="23"/>
  <c r="AJ226" i="23"/>
  <c r="AJ256" i="23"/>
  <c r="AJ269" i="23"/>
  <c r="AJ285" i="23"/>
  <c r="AJ314" i="23"/>
  <c r="AJ342" i="23"/>
  <c r="AJ350" i="23"/>
  <c r="AJ355" i="23"/>
  <c r="AJ364" i="23"/>
  <c r="AJ366" i="23"/>
  <c r="AJ368" i="23"/>
  <c r="AJ371" i="23"/>
  <c r="AJ374" i="23"/>
  <c r="AJ341" i="23"/>
  <c r="AJ356" i="23"/>
  <c r="AJ358" i="23"/>
  <c r="AJ362" i="23"/>
  <c r="AJ372" i="23"/>
  <c r="AJ378" i="23"/>
  <c r="AJ379" i="23"/>
  <c r="AJ43" i="23"/>
  <c r="AJ85" i="23"/>
  <c r="AJ95" i="23"/>
  <c r="AJ125" i="23"/>
  <c r="AJ159" i="23"/>
  <c r="AJ53" i="23"/>
  <c r="AJ131" i="23"/>
  <c r="AJ190" i="23"/>
  <c r="AJ251" i="23"/>
  <c r="AJ276" i="23"/>
  <c r="AJ296" i="23"/>
  <c r="AJ312" i="23"/>
  <c r="AJ326" i="23"/>
  <c r="AJ336" i="23"/>
  <c r="AJ361" i="23"/>
  <c r="AJ110" i="23"/>
  <c r="AJ169" i="23"/>
  <c r="AJ195" i="23"/>
  <c r="AJ212" i="23"/>
  <c r="AJ173" i="23"/>
  <c r="AJ209" i="23"/>
  <c r="AJ236" i="23"/>
  <c r="AJ248" i="23"/>
  <c r="AJ297" i="23"/>
  <c r="AJ316" i="23"/>
  <c r="AJ219" i="23"/>
  <c r="AJ263" i="23"/>
  <c r="AJ292" i="23"/>
  <c r="AJ347" i="23"/>
  <c r="AJ363" i="23"/>
  <c r="AJ367" i="23"/>
  <c r="AJ373" i="23"/>
  <c r="AJ345" i="23"/>
  <c r="AJ360" i="23"/>
  <c r="AJ376" i="23"/>
  <c r="AJ33" i="23"/>
  <c r="AJ69" i="23"/>
  <c r="AJ63" i="23"/>
  <c r="AJ107" i="23"/>
  <c r="AJ140" i="23"/>
  <c r="AJ176" i="23"/>
  <c r="AJ103" i="23"/>
  <c r="AJ154" i="23"/>
  <c r="AJ224" i="23"/>
  <c r="AJ264" i="23"/>
  <c r="AJ288" i="23"/>
  <c r="AJ305" i="23"/>
  <c r="AJ320" i="23"/>
  <c r="AJ330" i="23"/>
  <c r="AJ344" i="23"/>
  <c r="AJ55" i="23"/>
  <c r="AJ141" i="23"/>
  <c r="AJ191" i="23"/>
  <c r="AJ203" i="23"/>
  <c r="AJ152" i="23"/>
  <c r="AJ189" i="23"/>
  <c r="AJ223" i="23"/>
  <c r="AJ242" i="23"/>
  <c r="AJ261" i="23"/>
  <c r="AJ302" i="23"/>
  <c r="AJ340" i="23"/>
  <c r="AJ235" i="23"/>
  <c r="AJ271" i="23"/>
  <c r="AJ332" i="23"/>
  <c r="AJ353" i="23"/>
  <c r="AJ365" i="23"/>
  <c r="AJ370" i="23"/>
  <c r="AJ375" i="23"/>
  <c r="AJ357" i="23"/>
  <c r="AJ369" i="23"/>
  <c r="AJ377" i="23"/>
  <c r="AJ15" i="23"/>
  <c r="AJ22" i="23"/>
  <c r="AJ37" i="23"/>
  <c r="AJ23" i="23"/>
  <c r="AJ46" i="23"/>
  <c r="AJ58" i="23"/>
  <c r="AJ71" i="23"/>
  <c r="AJ81" i="23"/>
  <c r="AJ86" i="23"/>
  <c r="AJ35" i="23"/>
  <c r="AJ65" i="23"/>
  <c r="AJ92" i="23"/>
  <c r="AJ96" i="23"/>
  <c r="AJ101" i="23"/>
  <c r="AJ108" i="23"/>
  <c r="AJ114" i="23"/>
  <c r="AJ126" i="23"/>
  <c r="AJ135" i="23"/>
  <c r="AJ142" i="23"/>
  <c r="AJ149" i="23"/>
  <c r="AJ161" i="23"/>
  <c r="AJ166" i="23"/>
  <c r="AJ177" i="23"/>
  <c r="AR13" i="7"/>
  <c r="AJ60" i="23"/>
  <c r="AJ91" i="23"/>
  <c r="AJ105" i="23"/>
  <c r="AJ118" i="23"/>
  <c r="AJ132" i="23"/>
  <c r="AJ144" i="23"/>
  <c r="AJ155" i="23"/>
  <c r="AJ182" i="23"/>
  <c r="AJ196" i="23"/>
  <c r="AJ213" i="23"/>
  <c r="AJ228" i="23"/>
  <c r="AJ237" i="23"/>
  <c r="AJ252" i="23"/>
  <c r="AJ259" i="23"/>
  <c r="AJ266" i="23"/>
  <c r="AJ273" i="23"/>
  <c r="AJ277" i="23"/>
  <c r="AJ283" i="23"/>
  <c r="AJ289" i="23"/>
  <c r="AJ352" i="23"/>
  <c r="AJ346" i="23"/>
  <c r="AJ318" i="23"/>
  <c r="AJ287" i="23"/>
  <c r="AJ270" i="23"/>
  <c r="AJ257" i="23"/>
  <c r="AJ232" i="23"/>
  <c r="AJ218" i="23"/>
  <c r="AJ338" i="23"/>
  <c r="AJ313" i="23"/>
  <c r="AJ301" i="23"/>
  <c r="AJ295" i="23"/>
  <c r="AJ255" i="23"/>
  <c r="AJ247" i="23"/>
  <c r="AJ241" i="23"/>
  <c r="AJ231" i="23"/>
  <c r="AJ220" i="23"/>
  <c r="AJ206" i="23"/>
  <c r="AJ188" i="23"/>
  <c r="AJ170" i="23"/>
  <c r="AJ146" i="23"/>
  <c r="AJ211" i="23"/>
  <c r="AJ202" i="23"/>
  <c r="AJ194" i="23"/>
  <c r="AJ186" i="23"/>
  <c r="AJ160" i="23"/>
  <c r="AJ129" i="23"/>
  <c r="AJ90" i="23"/>
  <c r="AJ123" i="23"/>
  <c r="AJ359" i="23"/>
  <c r="AJ343" i="23"/>
  <c r="AJ334" i="23"/>
  <c r="AJ329" i="23"/>
  <c r="AJ325" i="23"/>
  <c r="AJ319" i="23"/>
  <c r="AJ310" i="23"/>
  <c r="AJ304" i="23"/>
  <c r="AJ294" i="23"/>
  <c r="AJ284" i="23"/>
  <c r="AJ274" i="23"/>
  <c r="AJ260" i="23"/>
  <c r="AJ243" i="23"/>
  <c r="AJ221" i="23"/>
  <c r="AJ183" i="23"/>
  <c r="AJ148" i="23"/>
  <c r="AJ120" i="23"/>
  <c r="AJ99" i="23"/>
  <c r="AJ25" i="23"/>
  <c r="AJ168" i="23"/>
  <c r="AJ157" i="23"/>
  <c r="AJ137" i="23"/>
  <c r="AJ119" i="23"/>
  <c r="AJ104" i="23"/>
  <c r="AJ93" i="23"/>
  <c r="AJ47" i="23"/>
  <c r="AJ82" i="23"/>
  <c r="AJ61" i="23"/>
  <c r="AJ31" i="23"/>
  <c r="AJ26" i="23"/>
  <c r="AJ67" i="23"/>
  <c r="AJ59" i="23"/>
  <c r="AJ54" i="23"/>
  <c r="AJ48" i="23"/>
  <c r="AJ42" i="23"/>
  <c r="AJ29" i="23"/>
  <c r="AJ38" i="23"/>
  <c r="AJ32" i="23"/>
  <c r="AJ24" i="23"/>
  <c r="AJ18" i="23"/>
  <c r="AJ380" i="23"/>
  <c r="AJ16" i="23"/>
  <c r="AJ30" i="23"/>
  <c r="AJ40" i="23"/>
  <c r="AJ52" i="23"/>
  <c r="AJ64" i="23"/>
  <c r="AJ74" i="23"/>
  <c r="AJ83" i="23"/>
  <c r="AJ88" i="23"/>
  <c r="AJ49" i="23"/>
  <c r="AJ79" i="23"/>
  <c r="AJ94" i="23"/>
  <c r="AJ98" i="23"/>
  <c r="AJ106" i="23"/>
  <c r="AJ112" i="23"/>
  <c r="AJ121" i="23"/>
  <c r="AJ130" i="23"/>
  <c r="AJ138" i="23"/>
  <c r="AJ145" i="23"/>
  <c r="AJ158" i="23"/>
  <c r="AJ163" i="23"/>
  <c r="AJ174" i="23"/>
  <c r="AJ180" i="23"/>
  <c r="AJ45" i="23"/>
  <c r="AJ75" i="23"/>
  <c r="AJ102" i="23"/>
  <c r="AJ115" i="23"/>
  <c r="AJ124" i="23"/>
  <c r="AJ136" i="23"/>
  <c r="AJ150" i="23"/>
  <c r="AJ175" i="23"/>
  <c r="AJ187" i="23"/>
  <c r="AJ204" i="23"/>
  <c r="AJ222" i="23"/>
  <c r="AJ233" i="23"/>
  <c r="AJ246" i="23"/>
  <c r="AJ254" i="23"/>
  <c r="AJ262" i="23"/>
  <c r="AJ268" i="23"/>
  <c r="AJ275" i="23"/>
  <c r="AJ280" i="23"/>
  <c r="AJ286" i="23"/>
  <c r="AJ354" i="23"/>
  <c r="AJ348" i="23"/>
  <c r="AJ335" i="23"/>
  <c r="AJ309" i="23"/>
  <c r="AJ282" i="23"/>
  <c r="AJ265" i="23"/>
  <c r="AJ240" i="23"/>
  <c r="AJ225" i="23"/>
  <c r="AJ216" i="23"/>
  <c r="AJ321" i="23"/>
  <c r="AJ306" i="23"/>
  <c r="AJ298" i="23"/>
  <c r="AJ278" i="23"/>
  <c r="AJ249" i="23"/>
  <c r="AJ244" i="23"/>
  <c r="AJ238" i="23"/>
  <c r="AJ227" i="23"/>
  <c r="AJ210" i="23"/>
  <c r="AJ198" i="23"/>
  <c r="AJ184" i="23"/>
  <c r="AJ153" i="23"/>
  <c r="AJ214" i="23"/>
  <c r="AJ205" i="23"/>
  <c r="AJ199" i="23"/>
  <c r="AJ192" i="23"/>
  <c r="AJ171" i="23"/>
  <c r="AJ151" i="23"/>
  <c r="AJ116" i="23"/>
  <c r="AJ66" i="23"/>
  <c r="AJ68" i="23"/>
  <c r="AJ349" i="23"/>
  <c r="AJ337" i="23"/>
  <c r="AJ331" i="23"/>
  <c r="AJ327" i="23"/>
  <c r="AJ323" i="23"/>
  <c r="AJ315" i="23"/>
  <c r="AJ307" i="23"/>
  <c r="AJ300" i="23"/>
  <c r="AJ291" i="23"/>
  <c r="AJ279" i="23"/>
  <c r="AJ267" i="23"/>
  <c r="AJ253" i="23"/>
  <c r="AJ229" i="23"/>
  <c r="AJ197" i="23"/>
  <c r="AJ164" i="23"/>
  <c r="AJ134" i="23"/>
  <c r="AJ111" i="23"/>
  <c r="AJ73" i="23"/>
  <c r="AJ179" i="23"/>
  <c r="AJ162" i="23"/>
  <c r="AJ143" i="23"/>
  <c r="AJ127" i="23"/>
  <c r="AJ109" i="23"/>
  <c r="AJ97" i="23"/>
  <c r="AJ76" i="23"/>
  <c r="AJ87" i="23"/>
  <c r="AJ72" i="23"/>
  <c r="AJ50" i="23"/>
  <c r="AJ39" i="23"/>
  <c r="AJ70" i="23"/>
  <c r="AJ62" i="23"/>
  <c r="AJ57" i="23"/>
  <c r="AJ51" i="23"/>
  <c r="AJ44" i="23"/>
  <c r="AJ36" i="23"/>
  <c r="AJ20" i="23"/>
  <c r="AJ41" i="23"/>
  <c r="AJ34" i="23"/>
  <c r="AJ27" i="23"/>
  <c r="AJ21" i="23"/>
  <c r="F7" i="23"/>
  <c r="AC12" i="23" s="1"/>
  <c r="AZ17" i="6"/>
  <c r="AZ16" i="6"/>
  <c r="AT316" i="6"/>
  <c r="AT306" i="6"/>
  <c r="AT305" i="6"/>
  <c r="AT317" i="6"/>
  <c r="AT328" i="6"/>
  <c r="AT327" i="6"/>
  <c r="AZ21" i="6"/>
  <c r="AT207" i="6"/>
  <c r="AZ230" i="6"/>
  <c r="AZ19" i="6"/>
  <c r="C40" i="7"/>
  <c r="E272" i="15"/>
  <c r="C35" i="7"/>
  <c r="E119" i="15"/>
  <c r="C39" i="7"/>
  <c r="E241" i="15"/>
  <c r="C37" i="7"/>
  <c r="E180" i="15"/>
  <c r="C33" i="7"/>
  <c r="E60" i="15"/>
  <c r="C41" i="7"/>
  <c r="E302" i="15"/>
  <c r="C42" i="7"/>
  <c r="E333" i="15"/>
  <c r="C34" i="7"/>
  <c r="E88" i="15"/>
  <c r="C32" i="7"/>
  <c r="E29" i="15"/>
  <c r="C38" i="7"/>
  <c r="E210" i="15"/>
  <c r="O381" i="15"/>
  <c r="O383" i="15"/>
  <c r="O382" i="15"/>
  <c r="E15" i="15"/>
  <c r="E363" i="15"/>
  <c r="C43" i="7"/>
  <c r="E149" i="15"/>
  <c r="C36" i="7"/>
  <c r="E7" i="16"/>
  <c r="E8" i="16"/>
  <c r="K13" i="19" s="1"/>
  <c r="K37" i="19" s="1"/>
  <c r="AY379" i="6"/>
  <c r="AZ113" i="6"/>
  <c r="AY111" i="6"/>
  <c r="AZ111" i="6" s="1"/>
  <c r="AY129" i="6"/>
  <c r="AZ129" i="6" s="1"/>
  <c r="AY97" i="6"/>
  <c r="AZ97" i="6" s="1"/>
  <c r="AY146" i="6"/>
  <c r="AY93" i="6"/>
  <c r="AZ93" i="6" s="1"/>
  <c r="AY99" i="6"/>
  <c r="AZ99" i="6" s="1"/>
  <c r="AY117" i="6"/>
  <c r="AY132" i="6"/>
  <c r="AZ132" i="6" s="1"/>
  <c r="AY114" i="6"/>
  <c r="AZ114" i="6" s="1"/>
  <c r="AY120" i="6"/>
  <c r="AZ120" i="6" s="1"/>
  <c r="U380" i="6" s="1"/>
  <c r="U381" i="6" s="1"/>
  <c r="AY126" i="6"/>
  <c r="AY102" i="6"/>
  <c r="AZ102" i="6" s="1"/>
  <c r="AY128" i="6"/>
  <c r="AZ128" i="6" s="1"/>
  <c r="AY116" i="6"/>
  <c r="AZ116" i="6" s="1"/>
  <c r="AT209" i="6"/>
  <c r="AT216" i="6"/>
  <c r="AZ20" i="6"/>
  <c r="AT320" i="6"/>
  <c r="AT329" i="6"/>
  <c r="AT325" i="6"/>
  <c r="AT310" i="6"/>
  <c r="AT318" i="6"/>
  <c r="AT324" i="6"/>
  <c r="AT312" i="6"/>
  <c r="AT290" i="6"/>
  <c r="AY124" i="6"/>
  <c r="AZ124" i="6" s="1"/>
  <c r="AY123" i="6"/>
  <c r="AZ123" i="6" s="1"/>
  <c r="AY104" i="6"/>
  <c r="AZ104" i="6" s="1"/>
  <c r="AY107" i="6"/>
  <c r="AY98" i="6"/>
  <c r="AZ98" i="6" s="1"/>
  <c r="AY145" i="6"/>
  <c r="AY127" i="6"/>
  <c r="AZ127" i="6" s="1"/>
  <c r="AY112" i="6"/>
  <c r="AZ112" i="6" s="1"/>
  <c r="AY115" i="6"/>
  <c r="AZ115" i="6" s="1"/>
  <c r="AY130" i="6"/>
  <c r="AZ130" i="6" s="1"/>
  <c r="AY96" i="6"/>
  <c r="AZ96" i="6" s="1"/>
  <c r="AY125" i="6"/>
  <c r="AZ125" i="6" s="1"/>
  <c r="AY141" i="6"/>
  <c r="AY110" i="6"/>
  <c r="AZ110" i="6" s="1"/>
  <c r="AZ320" i="6"/>
  <c r="AT192" i="6"/>
  <c r="AT204" i="6"/>
  <c r="AT193" i="6"/>
  <c r="AT213" i="6"/>
  <c r="AE66" i="27"/>
  <c r="AH61" i="1"/>
  <c r="AG61" i="1" s="1"/>
  <c r="AF61" i="1" s="1"/>
  <c r="AH342" i="1"/>
  <c r="AH329" i="1"/>
  <c r="AG329" i="1" s="1"/>
  <c r="AF329" i="1" s="1"/>
  <c r="AH379" i="1"/>
  <c r="AG379" i="1" s="1"/>
  <c r="AF379" i="1" s="1"/>
  <c r="AH315" i="1"/>
  <c r="AG315" i="1" s="1"/>
  <c r="AF315" i="1" s="1"/>
  <c r="AH110" i="1"/>
  <c r="AG110" i="1" s="1"/>
  <c r="AF110" i="1" s="1"/>
  <c r="AH36" i="1"/>
  <c r="AG36" i="1" s="1"/>
  <c r="AF36" i="1" s="1"/>
  <c r="AH84" i="1"/>
  <c r="AH98" i="1"/>
  <c r="AG98" i="1" s="1"/>
  <c r="AF98" i="1" s="1"/>
  <c r="AH115" i="1"/>
  <c r="AG115" i="1" s="1"/>
  <c r="AF115" i="1" s="1"/>
  <c r="AH168" i="1"/>
  <c r="AG168" i="1" s="1"/>
  <c r="AF168" i="1" s="1"/>
  <c r="AH303" i="1"/>
  <c r="AH207" i="1"/>
  <c r="AG207" i="1" s="1"/>
  <c r="AF207" i="1" s="1"/>
  <c r="AH261" i="1"/>
  <c r="AG261" i="1" s="1"/>
  <c r="AF261" i="1" s="1"/>
  <c r="AH87" i="1"/>
  <c r="AG87" i="1" s="1"/>
  <c r="AF87" i="1" s="1"/>
  <c r="AH341" i="1"/>
  <c r="AG341" i="1" s="1"/>
  <c r="AF341" i="1" s="1"/>
  <c r="AH331" i="1"/>
  <c r="AG331" i="1" s="1"/>
  <c r="AF331" i="1" s="1"/>
  <c r="AH211" i="1"/>
  <c r="AG211" i="1" s="1"/>
  <c r="AF211" i="1" s="1"/>
  <c r="AH376" i="1"/>
  <c r="AG376" i="1" s="1"/>
  <c r="AF376" i="1" s="1"/>
  <c r="AH258" i="1"/>
  <c r="AG258" i="1" s="1"/>
  <c r="AF258" i="1" s="1"/>
  <c r="AH226" i="1"/>
  <c r="AG226" i="1" s="1"/>
  <c r="AF226" i="1" s="1"/>
  <c r="AH204" i="1"/>
  <c r="AH196" i="1"/>
  <c r="AG196" i="1" s="1"/>
  <c r="AF196" i="1" s="1"/>
  <c r="AH372" i="1"/>
  <c r="AG372" i="1" s="1"/>
  <c r="AF372" i="1" s="1"/>
  <c r="AH271" i="1"/>
  <c r="AG271" i="1" s="1"/>
  <c r="AF271" i="1" s="1"/>
  <c r="AH90" i="1"/>
  <c r="T40" i="1"/>
  <c r="S40" i="1" s="1"/>
  <c r="R40" i="1" s="1"/>
  <c r="AH230" i="1"/>
  <c r="AH352" i="1"/>
  <c r="AG352" i="1" s="1"/>
  <c r="AF352" i="1" s="1"/>
  <c r="AH54" i="1"/>
  <c r="AH32" i="1"/>
  <c r="AG32" i="1" s="1"/>
  <c r="AF32" i="1" s="1"/>
  <c r="AH130" i="1"/>
  <c r="AG130" i="1" s="1"/>
  <c r="AF130" i="1" s="1"/>
  <c r="AH251" i="1"/>
  <c r="AG251" i="1" s="1"/>
  <c r="AF251" i="1" s="1"/>
  <c r="AH25" i="1"/>
  <c r="AG25" i="1" s="1"/>
  <c r="AF25" i="1" s="1"/>
  <c r="AH108" i="1"/>
  <c r="AG108" i="1" s="1"/>
  <c r="AF108" i="1" s="1"/>
  <c r="AH320" i="1"/>
  <c r="AG320" i="1" s="1"/>
  <c r="AF320" i="1" s="1"/>
  <c r="T22" i="1"/>
  <c r="S22" i="1" s="1"/>
  <c r="R22" i="1" s="1"/>
  <c r="T26" i="1"/>
  <c r="S26" i="1" s="1"/>
  <c r="R26" i="1" s="1"/>
  <c r="T45" i="1"/>
  <c r="S45" i="1" s="1"/>
  <c r="R45" i="1" s="1"/>
  <c r="T68" i="1"/>
  <c r="S68" i="1" s="1"/>
  <c r="R68" i="1" s="1"/>
  <c r="T82" i="1"/>
  <c r="S82" i="1" s="1"/>
  <c r="R82" i="1" s="1"/>
  <c r="T96" i="1"/>
  <c r="T80" i="15"/>
  <c r="S80" i="15" s="1"/>
  <c r="R80" i="15" s="1"/>
  <c r="AH136" i="1"/>
  <c r="AG136" i="1" s="1"/>
  <c r="AF136" i="1" s="1"/>
  <c r="AH49" i="1"/>
  <c r="AG49" i="1" s="1"/>
  <c r="AF49" i="1" s="1"/>
  <c r="AH292" i="1"/>
  <c r="AG292" i="1" s="1"/>
  <c r="AF292" i="1" s="1"/>
  <c r="AH101" i="1"/>
  <c r="AG101" i="1" s="1"/>
  <c r="AF101" i="1" s="1"/>
  <c r="AH23" i="1"/>
  <c r="AG23" i="1" s="1"/>
  <c r="AF23" i="1" s="1"/>
  <c r="AH24" i="1"/>
  <c r="AG24" i="1" s="1"/>
  <c r="AF24" i="1" s="1"/>
  <c r="AH40" i="1"/>
  <c r="AG40" i="1" s="1"/>
  <c r="AF40" i="1" s="1"/>
  <c r="AH154" i="1"/>
  <c r="AH343" i="1"/>
  <c r="AG343" i="1" s="1"/>
  <c r="AF343" i="1" s="1"/>
  <c r="AH64" i="1"/>
  <c r="AG64" i="1" s="1"/>
  <c r="AF64" i="1" s="1"/>
  <c r="AH78" i="1"/>
  <c r="AG78" i="1" s="1"/>
  <c r="AF78" i="1" s="1"/>
  <c r="AH337" i="1"/>
  <c r="AH227" i="1"/>
  <c r="AG227" i="1" s="1"/>
  <c r="AF227" i="1" s="1"/>
  <c r="AH189" i="1"/>
  <c r="AG189" i="1" s="1"/>
  <c r="AF189" i="1" s="1"/>
  <c r="AH28" i="1"/>
  <c r="AG28" i="1" s="1"/>
  <c r="AF28" i="1" s="1"/>
  <c r="AH365" i="1"/>
  <c r="AG365" i="1" s="1"/>
  <c r="AF365" i="1" s="1"/>
  <c r="AH124" i="1"/>
  <c r="AG124" i="1" s="1"/>
  <c r="AF124" i="1" s="1"/>
  <c r="AH282" i="1"/>
  <c r="AH218" i="1"/>
  <c r="AG218" i="1" s="1"/>
  <c r="AF218" i="1" s="1"/>
  <c r="AH217" i="1"/>
  <c r="AG217" i="1" s="1"/>
  <c r="AF217" i="1" s="1"/>
  <c r="AH242" i="1"/>
  <c r="AG242" i="1" s="1"/>
  <c r="AF242" i="1" s="1"/>
  <c r="AH349" i="1"/>
  <c r="AG349" i="1" s="1"/>
  <c r="AF349" i="1" s="1"/>
  <c r="AH185" i="1"/>
  <c r="AG185" i="1" s="1"/>
  <c r="AF185" i="1" s="1"/>
  <c r="AH66" i="1"/>
  <c r="AG66" i="1" s="1"/>
  <c r="AF66" i="1" s="1"/>
  <c r="AH241" i="1"/>
  <c r="AG241" i="1" s="1"/>
  <c r="AF241" i="1" s="1"/>
  <c r="AH150" i="1"/>
  <c r="AG150" i="1" s="1"/>
  <c r="AF150" i="1" s="1"/>
  <c r="AH280" i="1"/>
  <c r="AG280" i="1" s="1"/>
  <c r="AF280" i="1" s="1"/>
  <c r="AH191" i="1"/>
  <c r="AG191" i="1" s="1"/>
  <c r="AF191" i="1" s="1"/>
  <c r="AH91" i="1"/>
  <c r="AG91" i="1" s="1"/>
  <c r="AF91" i="1" s="1"/>
  <c r="AH216" i="1"/>
  <c r="AG216" i="1" s="1"/>
  <c r="AF216" i="1" s="1"/>
  <c r="AH41" i="1"/>
  <c r="AG41" i="1" s="1"/>
  <c r="AF41" i="1" s="1"/>
  <c r="AH319" i="1"/>
  <c r="AG319" i="1" s="1"/>
  <c r="AF319" i="1" s="1"/>
  <c r="AH270" i="1"/>
  <c r="AG270" i="1" s="1"/>
  <c r="AF270" i="1" s="1"/>
  <c r="T54" i="1"/>
  <c r="S54" i="1" s="1"/>
  <c r="R54" i="1" s="1"/>
  <c r="AH30" i="1"/>
  <c r="AG30" i="1" s="1"/>
  <c r="AF30" i="1" s="1"/>
  <c r="AH287" i="1"/>
  <c r="AG287" i="1" s="1"/>
  <c r="AF287" i="1" s="1"/>
  <c r="AH107" i="1"/>
  <c r="AG107" i="1" s="1"/>
  <c r="AF107" i="1" s="1"/>
  <c r="AH22" i="1"/>
  <c r="AG22" i="1" s="1"/>
  <c r="AF22" i="1" s="1"/>
  <c r="T61" i="1"/>
  <c r="S61" i="1" s="1"/>
  <c r="R61" i="1" s="1"/>
  <c r="T90" i="1"/>
  <c r="AH311" i="1"/>
  <c r="AG311" i="1" s="1"/>
  <c r="AF311" i="1" s="1"/>
  <c r="AH100" i="1"/>
  <c r="AG100" i="1" s="1"/>
  <c r="AF100" i="1" s="1"/>
  <c r="AH208" i="1"/>
  <c r="AH371" i="1"/>
  <c r="AG371" i="1" s="1"/>
  <c r="AF371" i="1" s="1"/>
  <c r="AH117" i="1"/>
  <c r="AG117" i="1" s="1"/>
  <c r="AF117" i="1" s="1"/>
  <c r="AH314" i="1"/>
  <c r="AG314" i="1" s="1"/>
  <c r="AF314" i="1" s="1"/>
  <c r="AH175" i="1"/>
  <c r="AG175" i="1" s="1"/>
  <c r="AF175" i="1" s="1"/>
  <c r="AH366" i="1"/>
  <c r="AG366" i="1" s="1"/>
  <c r="AF366" i="1" s="1"/>
  <c r="AH272" i="1"/>
  <c r="AG272" i="1" s="1"/>
  <c r="AF272" i="1" s="1"/>
  <c r="AH106" i="1"/>
  <c r="AG106" i="1" s="1"/>
  <c r="AF106" i="1" s="1"/>
  <c r="AH222" i="1"/>
  <c r="AG222" i="1" s="1"/>
  <c r="AF222" i="1" s="1"/>
  <c r="AH259" i="1"/>
  <c r="AG259" i="1" s="1"/>
  <c r="AF259" i="1" s="1"/>
  <c r="AH18" i="1"/>
  <c r="AG18" i="1" s="1"/>
  <c r="AF18" i="1" s="1"/>
  <c r="AH138" i="1"/>
  <c r="AG138" i="1" s="1"/>
  <c r="AF138" i="1" s="1"/>
  <c r="AH285" i="1"/>
  <c r="AG285" i="1" s="1"/>
  <c r="AF285" i="1" s="1"/>
  <c r="AH68" i="1"/>
  <c r="AG68" i="1" s="1"/>
  <c r="AF68" i="1" s="1"/>
  <c r="T49" i="1"/>
  <c r="AH139" i="1"/>
  <c r="AG139" i="1" s="1"/>
  <c r="AF139" i="1" s="1"/>
  <c r="AH209" i="1"/>
  <c r="AH57" i="1"/>
  <c r="AG57" i="1" s="1"/>
  <c r="AF57" i="1" s="1"/>
  <c r="AH295" i="1"/>
  <c r="AH82" i="1"/>
  <c r="AG82" i="1" s="1"/>
  <c r="AF82" i="1" s="1"/>
  <c r="AH109" i="1"/>
  <c r="AG109" i="1" s="1"/>
  <c r="AF109" i="1" s="1"/>
  <c r="AH200" i="1"/>
  <c r="AG200" i="1" s="1"/>
  <c r="AF200" i="1" s="1"/>
  <c r="AH266" i="1"/>
  <c r="AG266" i="1" s="1"/>
  <c r="AF266" i="1" s="1"/>
  <c r="AH177" i="1"/>
  <c r="AG177" i="1" s="1"/>
  <c r="AF177" i="1" s="1"/>
  <c r="T24" i="1"/>
  <c r="T43" i="1"/>
  <c r="S43" i="1" s="1"/>
  <c r="R43" i="1" s="1"/>
  <c r="T66" i="1"/>
  <c r="S66" i="1" s="1"/>
  <c r="R66" i="1" s="1"/>
  <c r="T77" i="1"/>
  <c r="S77" i="1" s="1"/>
  <c r="R77" i="1" s="1"/>
  <c r="T92" i="1"/>
  <c r="S92" i="1" s="1"/>
  <c r="R92" i="1" s="1"/>
  <c r="T128" i="15"/>
  <c r="S128" i="15" s="1"/>
  <c r="R128" i="15" s="1"/>
  <c r="AH203" i="1"/>
  <c r="AG203" i="1" s="1"/>
  <c r="AF203" i="1" s="1"/>
  <c r="AH232" i="1"/>
  <c r="AG232" i="1" s="1"/>
  <c r="AF232" i="1" s="1"/>
  <c r="AH172" i="1"/>
  <c r="AG172" i="1" s="1"/>
  <c r="AF172" i="1" s="1"/>
  <c r="AH92" i="1"/>
  <c r="AG92" i="1" s="1"/>
  <c r="AF92" i="1" s="1"/>
  <c r="AH125" i="1"/>
  <c r="AG125" i="1" s="1"/>
  <c r="AF125" i="1" s="1"/>
  <c r="AH156" i="1"/>
  <c r="AG156" i="1" s="1"/>
  <c r="AF156" i="1" s="1"/>
  <c r="AH197" i="1"/>
  <c r="AG197" i="1" s="1"/>
  <c r="AF197" i="1" s="1"/>
  <c r="AH135" i="1"/>
  <c r="AG135" i="1" s="1"/>
  <c r="AF135" i="1" s="1"/>
  <c r="AH269" i="1"/>
  <c r="AG269" i="1" s="1"/>
  <c r="AF269" i="1" s="1"/>
  <c r="AH86" i="1"/>
  <c r="AG86" i="1" s="1"/>
  <c r="AF86" i="1" s="1"/>
  <c r="AH220" i="1"/>
  <c r="AH53" i="1"/>
  <c r="AG53" i="1" s="1"/>
  <c r="AF53" i="1" s="1"/>
  <c r="T29" i="1"/>
  <c r="S29" i="1" s="1"/>
  <c r="R29" i="1" s="1"/>
  <c r="AH215" i="1"/>
  <c r="AG215" i="1" s="1"/>
  <c r="AF215" i="1" s="1"/>
  <c r="AH353" i="1"/>
  <c r="AH165" i="1"/>
  <c r="AG165" i="1" s="1"/>
  <c r="AF165" i="1" s="1"/>
  <c r="AH74" i="1"/>
  <c r="AH327" i="1"/>
  <c r="AG327" i="1" s="1"/>
  <c r="AF327" i="1" s="1"/>
  <c r="T41" i="1"/>
  <c r="S41" i="1" s="1"/>
  <c r="R41" i="1" s="1"/>
  <c r="T73" i="1"/>
  <c r="S73" i="1" s="1"/>
  <c r="R73" i="1" s="1"/>
  <c r="AH148" i="1"/>
  <c r="AG148" i="1" s="1"/>
  <c r="AF148" i="1" s="1"/>
  <c r="AH336" i="1"/>
  <c r="AG336" i="1" s="1"/>
  <c r="AF336" i="1" s="1"/>
  <c r="AH140" i="1"/>
  <c r="AG140" i="1" s="1"/>
  <c r="AF140" i="1" s="1"/>
  <c r="AH112" i="1"/>
  <c r="AG112" i="1" s="1"/>
  <c r="AF112" i="1" s="1"/>
  <c r="AH48" i="1"/>
  <c r="AG48" i="1" s="1"/>
  <c r="AF48" i="1" s="1"/>
  <c r="AH144" i="1"/>
  <c r="AG144" i="1" s="1"/>
  <c r="AF144" i="1" s="1"/>
  <c r="AH225" i="1"/>
  <c r="AH302" i="1"/>
  <c r="AG302" i="1" s="1"/>
  <c r="AF302" i="1" s="1"/>
  <c r="AH244" i="1"/>
  <c r="AG244" i="1" s="1"/>
  <c r="AF244" i="1" s="1"/>
  <c r="AH375" i="1"/>
  <c r="AG375" i="1" s="1"/>
  <c r="AF375" i="1" s="1"/>
  <c r="AH153" i="1"/>
  <c r="AG153" i="1" s="1"/>
  <c r="AF153" i="1" s="1"/>
  <c r="AH126" i="1"/>
  <c r="AG126" i="1" s="1"/>
  <c r="AF126" i="1" s="1"/>
  <c r="AH307" i="1"/>
  <c r="AG307" i="1" s="1"/>
  <c r="AF307" i="1" s="1"/>
  <c r="AH103" i="1"/>
  <c r="AG103" i="1" s="1"/>
  <c r="AF103" i="1" s="1"/>
  <c r="T35" i="1"/>
  <c r="S35" i="1" s="1"/>
  <c r="R35" i="1" s="1"/>
  <c r="T60" i="1"/>
  <c r="S60" i="1" s="1"/>
  <c r="R60" i="1" s="1"/>
  <c r="AH286" i="1"/>
  <c r="AH360" i="1"/>
  <c r="AG360" i="1" s="1"/>
  <c r="AF360" i="1" s="1"/>
  <c r="AH77" i="1"/>
  <c r="AG77" i="1" s="1"/>
  <c r="AF77" i="1" s="1"/>
  <c r="AH265" i="1"/>
  <c r="AG265" i="1" s="1"/>
  <c r="AF265" i="1" s="1"/>
  <c r="AH300" i="1"/>
  <c r="AH243" i="1"/>
  <c r="AG243" i="1" s="1"/>
  <c r="AF243" i="1" s="1"/>
  <c r="AH322" i="1"/>
  <c r="AG322" i="1" s="1"/>
  <c r="AF322" i="1" s="1"/>
  <c r="AH279" i="1"/>
  <c r="AG279" i="1" s="1"/>
  <c r="AF279" i="1" s="1"/>
  <c r="AH248" i="1"/>
  <c r="T28" i="1"/>
  <c r="S28" i="1" s="1"/>
  <c r="R28" i="1" s="1"/>
  <c r="T55" i="1"/>
  <c r="T70" i="1"/>
  <c r="S70" i="1" s="1"/>
  <c r="R70" i="1" s="1"/>
  <c r="T86" i="1"/>
  <c r="S86" i="1" s="1"/>
  <c r="R86" i="1" s="1"/>
  <c r="T269" i="15"/>
  <c r="S269" i="15" s="1"/>
  <c r="R269" i="15" s="1"/>
  <c r="BH10" i="6"/>
  <c r="AH181" i="1"/>
  <c r="AG181" i="1" s="1"/>
  <c r="AF181" i="1" s="1"/>
  <c r="AH38" i="1"/>
  <c r="AG38" i="1" s="1"/>
  <c r="AF38" i="1" s="1"/>
  <c r="AH123" i="1"/>
  <c r="AH348" i="1"/>
  <c r="AG348" i="1" s="1"/>
  <c r="AF348" i="1" s="1"/>
  <c r="AH43" i="1"/>
  <c r="AG43" i="1" s="1"/>
  <c r="AF43" i="1" s="1"/>
  <c r="T371" i="1"/>
  <c r="T356" i="1"/>
  <c r="S356" i="1" s="1"/>
  <c r="R356" i="1" s="1"/>
  <c r="T337" i="1"/>
  <c r="AH80" i="1"/>
  <c r="AG80" i="1" s="1"/>
  <c r="AF80" i="1" s="1"/>
  <c r="AH213" i="1"/>
  <c r="AG213" i="1" s="1"/>
  <c r="AF213" i="1" s="1"/>
  <c r="AH347" i="1"/>
  <c r="AG347" i="1" s="1"/>
  <c r="AF347" i="1" s="1"/>
  <c r="AH355" i="1"/>
  <c r="AG355" i="1" s="1"/>
  <c r="AF355" i="1" s="1"/>
  <c r="AH221" i="1"/>
  <c r="AG221" i="1" s="1"/>
  <c r="AF221" i="1" s="1"/>
  <c r="T363" i="1"/>
  <c r="T345" i="1"/>
  <c r="S345" i="1" s="1"/>
  <c r="R345" i="1" s="1"/>
  <c r="T321" i="1"/>
  <c r="S321" i="1" s="1"/>
  <c r="R321" i="1" s="1"/>
  <c r="T304" i="1"/>
  <c r="S304" i="1" s="1"/>
  <c r="R304" i="1" s="1"/>
  <c r="T294" i="1"/>
  <c r="T273" i="1"/>
  <c r="S273" i="1" s="1"/>
  <c r="R273" i="1" s="1"/>
  <c r="T260" i="1"/>
  <c r="T241" i="1"/>
  <c r="S241" i="1" s="1"/>
  <c r="R241" i="1" s="1"/>
  <c r="T221" i="1"/>
  <c r="S221" i="1" s="1"/>
  <c r="R221" i="1" s="1"/>
  <c r="T206" i="1"/>
  <c r="S206" i="1" s="1"/>
  <c r="R206" i="1" s="1"/>
  <c r="T188" i="1"/>
  <c r="S188" i="1" s="1"/>
  <c r="R188" i="1" s="1"/>
  <c r="T176" i="1"/>
  <c r="T164" i="1"/>
  <c r="S164" i="1" s="1"/>
  <c r="R164" i="1" s="1"/>
  <c r="T147" i="1"/>
  <c r="S147" i="1" s="1"/>
  <c r="R147" i="1" s="1"/>
  <c r="T136" i="1"/>
  <c r="S136" i="1" s="1"/>
  <c r="R136" i="1" s="1"/>
  <c r="T117" i="1"/>
  <c r="S117" i="1" s="1"/>
  <c r="R117" i="1" s="1"/>
  <c r="T98" i="1"/>
  <c r="S98" i="1" s="1"/>
  <c r="R98" i="1" s="1"/>
  <c r="T80" i="1"/>
  <c r="S80" i="1" s="1"/>
  <c r="R80" i="1" s="1"/>
  <c r="T58" i="1"/>
  <c r="T33" i="1"/>
  <c r="S33" i="1" s="1"/>
  <c r="R33" i="1" s="1"/>
  <c r="T329" i="1"/>
  <c r="S329" i="1" s="1"/>
  <c r="R329" i="1" s="1"/>
  <c r="T314" i="1"/>
  <c r="T292" i="1"/>
  <c r="T281" i="1"/>
  <c r="S281" i="1" s="1"/>
  <c r="R281" i="1" s="1"/>
  <c r="T262" i="1"/>
  <c r="S262" i="1" s="1"/>
  <c r="R262" i="1" s="1"/>
  <c r="T250" i="1"/>
  <c r="S250" i="1" s="1"/>
  <c r="R250" i="1" s="1"/>
  <c r="T236" i="1"/>
  <c r="S236" i="1" s="1"/>
  <c r="R236" i="1" s="1"/>
  <c r="T222" i="1"/>
  <c r="S222" i="1" s="1"/>
  <c r="R222" i="1" s="1"/>
  <c r="T205" i="1"/>
  <c r="S205" i="1" s="1"/>
  <c r="R205" i="1" s="1"/>
  <c r="T191" i="1"/>
  <c r="S191" i="1" s="1"/>
  <c r="R191" i="1" s="1"/>
  <c r="T166" i="1"/>
  <c r="S166" i="1" s="1"/>
  <c r="R166" i="1" s="1"/>
  <c r="T152" i="1"/>
  <c r="S152" i="1" s="1"/>
  <c r="R152" i="1" s="1"/>
  <c r="T131" i="1"/>
  <c r="T119" i="1"/>
  <c r="S119" i="1" s="1"/>
  <c r="R119" i="1" s="1"/>
  <c r="T106" i="1"/>
  <c r="T91" i="1"/>
  <c r="S91" i="1" s="1"/>
  <c r="R91" i="1" s="1"/>
  <c r="T74" i="1"/>
  <c r="S74" i="1" s="1"/>
  <c r="R74" i="1" s="1"/>
  <c r="T65" i="1"/>
  <c r="S65" i="1" s="1"/>
  <c r="R65" i="1" s="1"/>
  <c r="T42" i="1"/>
  <c r="S42" i="1" s="1"/>
  <c r="R42" i="1" s="1"/>
  <c r="T23" i="1"/>
  <c r="S23" i="1" s="1"/>
  <c r="R23" i="1" s="1"/>
  <c r="AH249" i="1"/>
  <c r="AG249" i="1" s="1"/>
  <c r="AF249" i="1" s="1"/>
  <c r="AH377" i="1"/>
  <c r="AG377" i="1" s="1"/>
  <c r="AF377" i="1" s="1"/>
  <c r="AH169" i="1"/>
  <c r="AG169" i="1" s="1"/>
  <c r="AF169" i="1" s="1"/>
  <c r="AH212" i="1"/>
  <c r="AG212" i="1" s="1"/>
  <c r="AF212" i="1" s="1"/>
  <c r="AH288" i="1"/>
  <c r="AG288" i="1" s="1"/>
  <c r="AF288" i="1" s="1"/>
  <c r="AH147" i="1"/>
  <c r="AG147" i="1" s="1"/>
  <c r="AF147" i="1" s="1"/>
  <c r="AH306" i="1"/>
  <c r="AG306" i="1" s="1"/>
  <c r="AF306" i="1" s="1"/>
  <c r="AH324" i="1"/>
  <c r="AG324" i="1" s="1"/>
  <c r="AF324" i="1" s="1"/>
  <c r="AH76" i="1"/>
  <c r="AG76" i="1" s="1"/>
  <c r="AF76" i="1" s="1"/>
  <c r="T46" i="1"/>
  <c r="AH89" i="1"/>
  <c r="AH58" i="1"/>
  <c r="AG58" i="1" s="1"/>
  <c r="AF58" i="1" s="1"/>
  <c r="AH96" i="1"/>
  <c r="AH262" i="1"/>
  <c r="AG262" i="1" s="1"/>
  <c r="AF262" i="1" s="1"/>
  <c r="AH121" i="1"/>
  <c r="AG121" i="1" s="1"/>
  <c r="AF121" i="1" s="1"/>
  <c r="AH116" i="1"/>
  <c r="AG116" i="1" s="1"/>
  <c r="AF116" i="1" s="1"/>
  <c r="AH321" i="1"/>
  <c r="AG321" i="1" s="1"/>
  <c r="AF321" i="1" s="1"/>
  <c r="AH257" i="1"/>
  <c r="AG257" i="1" s="1"/>
  <c r="AF257" i="1" s="1"/>
  <c r="AH326" i="1"/>
  <c r="AG326" i="1" s="1"/>
  <c r="AF326" i="1" s="1"/>
  <c r="AH73" i="1"/>
  <c r="AG73" i="1" s="1"/>
  <c r="AF73" i="1" s="1"/>
  <c r="AH20" i="1"/>
  <c r="AG20" i="1" s="1"/>
  <c r="AF20" i="1" s="1"/>
  <c r="AH192" i="1"/>
  <c r="AG192" i="1" s="1"/>
  <c r="AF192" i="1" s="1"/>
  <c r="AH283" i="1"/>
  <c r="AG283" i="1" s="1"/>
  <c r="AF283" i="1" s="1"/>
  <c r="AH42" i="1"/>
  <c r="AG42" i="1" s="1"/>
  <c r="AF42" i="1" s="1"/>
  <c r="AH70" i="1"/>
  <c r="AH164" i="1"/>
  <c r="AG164" i="1" s="1"/>
  <c r="AF164" i="1" s="1"/>
  <c r="AH158" i="1"/>
  <c r="AH81" i="1"/>
  <c r="AG81" i="1" s="1"/>
  <c r="AF81" i="1" s="1"/>
  <c r="T19" i="1"/>
  <c r="AH237" i="1"/>
  <c r="AG237" i="1" s="1"/>
  <c r="AF237" i="1" s="1"/>
  <c r="AH97" i="1"/>
  <c r="AH34" i="1"/>
  <c r="AH233" i="1"/>
  <c r="AG233" i="1" s="1"/>
  <c r="AF233" i="1" s="1"/>
  <c r="T360" i="1"/>
  <c r="S360" i="1" s="1"/>
  <c r="R360" i="1" s="1"/>
  <c r="AH131" i="1"/>
  <c r="AH52" i="1"/>
  <c r="AG52" i="1" s="1"/>
  <c r="AF52" i="1" s="1"/>
  <c r="AH378" i="1"/>
  <c r="AG378" i="1" s="1"/>
  <c r="AF378" i="1" s="1"/>
  <c r="T348" i="1"/>
  <c r="S348" i="1" s="1"/>
  <c r="R348" i="1" s="1"/>
  <c r="T308" i="1"/>
  <c r="S308" i="1" s="1"/>
  <c r="R308" i="1" s="1"/>
  <c r="T276" i="1"/>
  <c r="S276" i="1" s="1"/>
  <c r="R276" i="1" s="1"/>
  <c r="T244" i="1"/>
  <c r="T212" i="1"/>
  <c r="S212" i="1" s="1"/>
  <c r="R212" i="1" s="1"/>
  <c r="T179" i="1"/>
  <c r="S179" i="1" s="1"/>
  <c r="R179" i="1" s="1"/>
  <c r="T149" i="1"/>
  <c r="S149" i="1" s="1"/>
  <c r="R149" i="1" s="1"/>
  <c r="T123" i="1"/>
  <c r="T83" i="1"/>
  <c r="S83" i="1" s="1"/>
  <c r="R83" i="1" s="1"/>
  <c r="T38" i="1"/>
  <c r="S38" i="1" s="1"/>
  <c r="R38" i="1" s="1"/>
  <c r="T318" i="1"/>
  <c r="S318" i="1" s="1"/>
  <c r="R318" i="1" s="1"/>
  <c r="T283" i="1"/>
  <c r="T252" i="1"/>
  <c r="T225" i="1"/>
  <c r="T196" i="1"/>
  <c r="T155" i="1"/>
  <c r="S155" i="1" s="1"/>
  <c r="R155" i="1" s="1"/>
  <c r="T121" i="1"/>
  <c r="S121" i="1" s="1"/>
  <c r="R121" i="1" s="1"/>
  <c r="T95" i="1"/>
  <c r="S95" i="1" s="1"/>
  <c r="R95" i="1" s="1"/>
  <c r="T67" i="1"/>
  <c r="S67" i="1" s="1"/>
  <c r="R67" i="1" s="1"/>
  <c r="T25" i="1"/>
  <c r="S25" i="1" s="1"/>
  <c r="R25" i="1" s="1"/>
  <c r="AH277" i="1"/>
  <c r="AG277" i="1" s="1"/>
  <c r="AF277" i="1" s="1"/>
  <c r="AH260" i="1"/>
  <c r="AG260" i="1" s="1"/>
  <c r="AF260" i="1" s="1"/>
  <c r="AH149" i="1"/>
  <c r="AG149" i="1" s="1"/>
  <c r="AF149" i="1" s="1"/>
  <c r="AH46" i="1"/>
  <c r="AG46" i="1" s="1"/>
  <c r="AF46" i="1" s="1"/>
  <c r="T51" i="1"/>
  <c r="S51" i="1" s="1"/>
  <c r="R51" i="1" s="1"/>
  <c r="AH155" i="1"/>
  <c r="AH334" i="1"/>
  <c r="AG334" i="1" s="1"/>
  <c r="AF334" i="1" s="1"/>
  <c r="AH346" i="1"/>
  <c r="AG346" i="1" s="1"/>
  <c r="AF346" i="1" s="1"/>
  <c r="AH308" i="1"/>
  <c r="AG308" i="1" s="1"/>
  <c r="AF308" i="1" s="1"/>
  <c r="AH252" i="1"/>
  <c r="AH304" i="1"/>
  <c r="AG304" i="1" s="1"/>
  <c r="AF304" i="1" s="1"/>
  <c r="AH253" i="1"/>
  <c r="AG253" i="1" s="1"/>
  <c r="AF253" i="1" s="1"/>
  <c r="AH274" i="1"/>
  <c r="AG274" i="1" s="1"/>
  <c r="AF274" i="1" s="1"/>
  <c r="AH122" i="1"/>
  <c r="AG122" i="1" s="1"/>
  <c r="AF122" i="1" s="1"/>
  <c r="AH119" i="1"/>
  <c r="AG119" i="1" s="1"/>
  <c r="AF119" i="1" s="1"/>
  <c r="AH309" i="1"/>
  <c r="AG309" i="1" s="1"/>
  <c r="AF309" i="1" s="1"/>
  <c r="AH44" i="1"/>
  <c r="AH184" i="1"/>
  <c r="AG184" i="1" s="1"/>
  <c r="AF184" i="1" s="1"/>
  <c r="AH268" i="1"/>
  <c r="AH102" i="1"/>
  <c r="AG102" i="1" s="1"/>
  <c r="AF102" i="1" s="1"/>
  <c r="AH290" i="1"/>
  <c r="AG290" i="1" s="1"/>
  <c r="AF290" i="1" s="1"/>
  <c r="AH59" i="1"/>
  <c r="AG59" i="1" s="1"/>
  <c r="AF59" i="1" s="1"/>
  <c r="AH114" i="1"/>
  <c r="AG114" i="1" s="1"/>
  <c r="AF114" i="1" s="1"/>
  <c r="AH127" i="1"/>
  <c r="AG127" i="1" s="1"/>
  <c r="AF127" i="1" s="1"/>
  <c r="AH229" i="1"/>
  <c r="AG229" i="1" s="1"/>
  <c r="AF229" i="1" s="1"/>
  <c r="AH344" i="1"/>
  <c r="AG344" i="1" s="1"/>
  <c r="AF344" i="1" s="1"/>
  <c r="AH195" i="1"/>
  <c r="AH65" i="1"/>
  <c r="T372" i="1"/>
  <c r="S372" i="1" s="1"/>
  <c r="R372" i="1" s="1"/>
  <c r="T358" i="1"/>
  <c r="S358" i="1" s="1"/>
  <c r="R358" i="1" s="1"/>
  <c r="T342" i="1"/>
  <c r="S342" i="1" s="1"/>
  <c r="R342" i="1" s="1"/>
  <c r="AH238" i="1"/>
  <c r="AH83" i="1"/>
  <c r="AG83" i="1" s="1"/>
  <c r="AF83" i="1" s="1"/>
  <c r="AH95" i="1"/>
  <c r="AH340" i="1"/>
  <c r="AG340" i="1" s="1"/>
  <c r="AF340" i="1" s="1"/>
  <c r="AH176" i="1"/>
  <c r="AG176" i="1" s="1"/>
  <c r="AF176" i="1" s="1"/>
  <c r="T364" i="1"/>
  <c r="S364" i="1" s="1"/>
  <c r="R364" i="1" s="1"/>
  <c r="T347" i="1"/>
  <c r="S347" i="1" s="1"/>
  <c r="R347" i="1" s="1"/>
  <c r="T328" i="1"/>
  <c r="S328" i="1" s="1"/>
  <c r="R328" i="1" s="1"/>
  <c r="T305" i="1"/>
  <c r="S305" i="1" s="1"/>
  <c r="R305" i="1" s="1"/>
  <c r="T295" i="1"/>
  <c r="S295" i="1" s="1"/>
  <c r="R295" i="1" s="1"/>
  <c r="T275" i="1"/>
  <c r="T263" i="1"/>
  <c r="S263" i="1" s="1"/>
  <c r="R263" i="1" s="1"/>
  <c r="T243" i="1"/>
  <c r="T223" i="1"/>
  <c r="S223" i="1" s="1"/>
  <c r="R223" i="1" s="1"/>
  <c r="T210" i="1"/>
  <c r="S210" i="1" s="1"/>
  <c r="R210" i="1" s="1"/>
  <c r="T190" i="1"/>
  <c r="S190" i="1" s="1"/>
  <c r="R190" i="1" s="1"/>
  <c r="T177" i="1"/>
  <c r="S177" i="1" s="1"/>
  <c r="R177" i="1" s="1"/>
  <c r="T167" i="1"/>
  <c r="T148" i="1"/>
  <c r="S148" i="1" s="1"/>
  <c r="R148" i="1" s="1"/>
  <c r="T138" i="1"/>
  <c r="S138" i="1" s="1"/>
  <c r="R138" i="1" s="1"/>
  <c r="T118" i="1"/>
  <c r="S118" i="1" s="1"/>
  <c r="R118" i="1" s="1"/>
  <c r="T99" i="1"/>
  <c r="S99" i="1" s="1"/>
  <c r="R99" i="1" s="1"/>
  <c r="T81" i="1"/>
  <c r="T59" i="1"/>
  <c r="S59" i="1" s="1"/>
  <c r="R59" i="1" s="1"/>
  <c r="T34" i="1"/>
  <c r="T330" i="1"/>
  <c r="S330" i="1" s="1"/>
  <c r="R330" i="1" s="1"/>
  <c r="T315" i="1"/>
  <c r="S315" i="1" s="1"/>
  <c r="R315" i="1" s="1"/>
  <c r="T296" i="1"/>
  <c r="S296" i="1" s="1"/>
  <c r="R296" i="1" s="1"/>
  <c r="AH294" i="1"/>
  <c r="AG294" i="1" s="1"/>
  <c r="AF294" i="1" s="1"/>
  <c r="AH182" i="1"/>
  <c r="AG182" i="1" s="1"/>
  <c r="AF182" i="1" s="1"/>
  <c r="AH178" i="1"/>
  <c r="T362" i="1"/>
  <c r="S362" i="1" s="1"/>
  <c r="R362" i="1" s="1"/>
  <c r="AH299" i="1"/>
  <c r="AG299" i="1" s="1"/>
  <c r="AF299" i="1" s="1"/>
  <c r="AH239" i="1"/>
  <c r="AG239" i="1" s="1"/>
  <c r="AF239" i="1" s="1"/>
  <c r="AH367" i="1"/>
  <c r="T350" i="1"/>
  <c r="S350" i="1" s="1"/>
  <c r="R350" i="1" s="1"/>
  <c r="T310" i="1"/>
  <c r="S310" i="1" s="1"/>
  <c r="R310" i="1" s="1"/>
  <c r="T284" i="1"/>
  <c r="S284" i="1" s="1"/>
  <c r="R284" i="1" s="1"/>
  <c r="T247" i="1"/>
  <c r="S247" i="1" s="1"/>
  <c r="R247" i="1" s="1"/>
  <c r="T215" i="1"/>
  <c r="S215" i="1" s="1"/>
  <c r="R215" i="1" s="1"/>
  <c r="T182" i="1"/>
  <c r="T156" i="1"/>
  <c r="S156" i="1" s="1"/>
  <c r="R156" i="1" s="1"/>
  <c r="T129" i="1"/>
  <c r="S129" i="1" s="1"/>
  <c r="R129" i="1" s="1"/>
  <c r="T88" i="1"/>
  <c r="S88" i="1" s="1"/>
  <c r="R88" i="1" s="1"/>
  <c r="T47" i="1"/>
  <c r="T322" i="1"/>
  <c r="S322" i="1" s="1"/>
  <c r="R322" i="1" s="1"/>
  <c r="T287" i="1"/>
  <c r="S287" i="1" s="1"/>
  <c r="R287" i="1" s="1"/>
  <c r="T257" i="1"/>
  <c r="S257" i="1" s="1"/>
  <c r="R257" i="1" s="1"/>
  <c r="T229" i="1"/>
  <c r="T198" i="1"/>
  <c r="T158" i="1"/>
  <c r="S158" i="1" s="1"/>
  <c r="R158" i="1" s="1"/>
  <c r="T124" i="1"/>
  <c r="T97" i="1"/>
  <c r="S97" i="1" s="1"/>
  <c r="R97" i="1" s="1"/>
  <c r="T69" i="1"/>
  <c r="S69" i="1" s="1"/>
  <c r="R69" i="1" s="1"/>
  <c r="T27" i="1"/>
  <c r="AH118" i="1"/>
  <c r="AG118" i="1" s="1"/>
  <c r="AF118" i="1" s="1"/>
  <c r="AH193" i="1"/>
  <c r="AG193" i="1" s="1"/>
  <c r="AF193" i="1" s="1"/>
  <c r="AH161" i="1"/>
  <c r="AG161" i="1" s="1"/>
  <c r="AF161" i="1" s="1"/>
  <c r="AH245" i="1"/>
  <c r="AG245" i="1" s="1"/>
  <c r="AF245" i="1" s="1"/>
  <c r="T57" i="1"/>
  <c r="S57" i="1" s="1"/>
  <c r="R57" i="1" s="1"/>
  <c r="AH231" i="1"/>
  <c r="AG231" i="1" s="1"/>
  <c r="AF231" i="1" s="1"/>
  <c r="AH263" i="1"/>
  <c r="AG263" i="1" s="1"/>
  <c r="AF263" i="1" s="1"/>
  <c r="AH339" i="1"/>
  <c r="AG339" i="1" s="1"/>
  <c r="AF339" i="1" s="1"/>
  <c r="AH199" i="1"/>
  <c r="AG199" i="1" s="1"/>
  <c r="AF199" i="1" s="1"/>
  <c r="AH275" i="1"/>
  <c r="AG275" i="1" s="1"/>
  <c r="AF275" i="1" s="1"/>
  <c r="AH369" i="1"/>
  <c r="AG369" i="1" s="1"/>
  <c r="AF369" i="1" s="1"/>
  <c r="AH187" i="1"/>
  <c r="AG187" i="1" s="1"/>
  <c r="AF187" i="1" s="1"/>
  <c r="AH291" i="1"/>
  <c r="AH278" i="1"/>
  <c r="AG278" i="1" s="1"/>
  <c r="AF278" i="1" s="1"/>
  <c r="AH224" i="1"/>
  <c r="AG224" i="1" s="1"/>
  <c r="AF224" i="1" s="1"/>
  <c r="AH201" i="1"/>
  <c r="AG201" i="1" s="1"/>
  <c r="AF201" i="1" s="1"/>
  <c r="T373" i="1"/>
  <c r="S373" i="1" s="1"/>
  <c r="R373" i="1" s="1"/>
  <c r="AH313" i="1"/>
  <c r="T366" i="1"/>
  <c r="S366" i="1" s="1"/>
  <c r="R366" i="1" s="1"/>
  <c r="T297" i="1"/>
  <c r="T227" i="1"/>
  <c r="S227" i="1" s="1"/>
  <c r="R227" i="1" s="1"/>
  <c r="T168" i="1"/>
  <c r="S168" i="1" s="1"/>
  <c r="R168" i="1" s="1"/>
  <c r="T102" i="1"/>
  <c r="S102" i="1" s="1"/>
  <c r="R102" i="1" s="1"/>
  <c r="T336" i="1"/>
  <c r="T266" i="1"/>
  <c r="S266" i="1" s="1"/>
  <c r="R266" i="1" s="1"/>
  <c r="T208" i="1"/>
  <c r="T135" i="1"/>
  <c r="S135" i="1" s="1"/>
  <c r="R135" i="1" s="1"/>
  <c r="T78" i="1"/>
  <c r="AH142" i="1"/>
  <c r="AG142" i="1" s="1"/>
  <c r="AF142" i="1" s="1"/>
  <c r="AH45" i="1"/>
  <c r="AG45" i="1" s="1"/>
  <c r="AF45" i="1" s="1"/>
  <c r="AH166" i="1"/>
  <c r="AG166" i="1" s="1"/>
  <c r="AF166" i="1" s="1"/>
  <c r="AH29" i="1"/>
  <c r="AG29" i="1" s="1"/>
  <c r="AF29" i="1" s="1"/>
  <c r="AH93" i="1"/>
  <c r="AG93" i="1" s="1"/>
  <c r="AF93" i="1" s="1"/>
  <c r="AH305" i="1"/>
  <c r="AH363" i="1"/>
  <c r="AG363" i="1" s="1"/>
  <c r="AF363" i="1" s="1"/>
  <c r="AH171" i="1"/>
  <c r="AH111" i="1"/>
  <c r="AH358" i="1"/>
  <c r="AG358" i="1" s="1"/>
  <c r="AF358" i="1" s="1"/>
  <c r="AH180" i="1"/>
  <c r="AG180" i="1" s="1"/>
  <c r="AF180" i="1" s="1"/>
  <c r="AH129" i="1"/>
  <c r="AG129" i="1" s="1"/>
  <c r="AF129" i="1" s="1"/>
  <c r="AH31" i="1"/>
  <c r="AG31" i="1" s="1"/>
  <c r="AF31" i="1" s="1"/>
  <c r="AH26" i="1"/>
  <c r="T376" i="1"/>
  <c r="S376" i="1" s="1"/>
  <c r="R376" i="1" s="1"/>
  <c r="T352" i="1"/>
  <c r="S352" i="1" s="1"/>
  <c r="R352" i="1" s="1"/>
  <c r="AH183" i="1"/>
  <c r="AG183" i="1" s="1"/>
  <c r="AF183" i="1" s="1"/>
  <c r="AH240" i="1"/>
  <c r="T378" i="1"/>
  <c r="S378" i="1" s="1"/>
  <c r="R378" i="1" s="1"/>
  <c r="T334" i="1"/>
  <c r="S334" i="1" s="1"/>
  <c r="R334" i="1" s="1"/>
  <c r="T301" i="1"/>
  <c r="S301" i="1" s="1"/>
  <c r="R301" i="1" s="1"/>
  <c r="T270" i="1"/>
  <c r="S270" i="1" s="1"/>
  <c r="R270" i="1" s="1"/>
  <c r="T232" i="1"/>
  <c r="S232" i="1" s="1"/>
  <c r="R232" i="1" s="1"/>
  <c r="T199" i="1"/>
  <c r="T173" i="1"/>
  <c r="T142" i="1"/>
  <c r="S142" i="1" s="1"/>
  <c r="R142" i="1" s="1"/>
  <c r="T109" i="1"/>
  <c r="S109" i="1" s="1"/>
  <c r="R109" i="1" s="1"/>
  <c r="T75" i="1"/>
  <c r="T341" i="1"/>
  <c r="S341" i="1" s="1"/>
  <c r="R341" i="1" s="1"/>
  <c r="T311" i="1"/>
  <c r="S311" i="1" s="1"/>
  <c r="R311" i="1" s="1"/>
  <c r="T282" i="1"/>
  <c r="S282" i="1" s="1"/>
  <c r="R282" i="1" s="1"/>
  <c r="T265" i="1"/>
  <c r="S265" i="1" s="1"/>
  <c r="R265" i="1" s="1"/>
  <c r="T251" i="1"/>
  <c r="S251" i="1" s="1"/>
  <c r="R251" i="1" s="1"/>
  <c r="T237" i="1"/>
  <c r="S237" i="1" s="1"/>
  <c r="R237" i="1" s="1"/>
  <c r="T224" i="1"/>
  <c r="S224" i="1" s="1"/>
  <c r="R224" i="1" s="1"/>
  <c r="T207" i="1"/>
  <c r="S207" i="1" s="1"/>
  <c r="R207" i="1" s="1"/>
  <c r="T194" i="1"/>
  <c r="S194" i="1" s="1"/>
  <c r="R194" i="1" s="1"/>
  <c r="T169" i="1"/>
  <c r="S169" i="1" s="1"/>
  <c r="R169" i="1" s="1"/>
  <c r="T153" i="1"/>
  <c r="S153" i="1" s="1"/>
  <c r="R153" i="1" s="1"/>
  <c r="T134" i="1"/>
  <c r="S134" i="1" s="1"/>
  <c r="R134" i="1" s="1"/>
  <c r="T120" i="1"/>
  <c r="T107" i="1"/>
  <c r="AH202" i="1"/>
  <c r="AG202" i="1" s="1"/>
  <c r="AF202" i="1" s="1"/>
  <c r="AH94" i="1"/>
  <c r="AG94" i="1" s="1"/>
  <c r="AF94" i="1" s="1"/>
  <c r="AH362" i="1"/>
  <c r="AG362" i="1" s="1"/>
  <c r="AF362" i="1" s="1"/>
  <c r="T369" i="1"/>
  <c r="AH194" i="1"/>
  <c r="AG194" i="1" s="1"/>
  <c r="AF194" i="1" s="1"/>
  <c r="T357" i="1"/>
  <c r="T290" i="1"/>
  <c r="S290" i="1" s="1"/>
  <c r="R290" i="1" s="1"/>
  <c r="T218" i="1"/>
  <c r="S218" i="1" s="1"/>
  <c r="R218" i="1" s="1"/>
  <c r="T161" i="1"/>
  <c r="S161" i="1" s="1"/>
  <c r="R161" i="1" s="1"/>
  <c r="T93" i="1"/>
  <c r="S93" i="1" s="1"/>
  <c r="R93" i="1" s="1"/>
  <c r="T326" i="1"/>
  <c r="S326" i="1" s="1"/>
  <c r="R326" i="1" s="1"/>
  <c r="T259" i="1"/>
  <c r="S259" i="1" s="1"/>
  <c r="R259" i="1" s="1"/>
  <c r="T201" i="1"/>
  <c r="T126" i="1"/>
  <c r="S126" i="1" s="1"/>
  <c r="R126" i="1" s="1"/>
  <c r="T71" i="1"/>
  <c r="S71" i="1" s="1"/>
  <c r="R71" i="1" s="1"/>
  <c r="AH15" i="1"/>
  <c r="AH256" i="1"/>
  <c r="T62" i="1"/>
  <c r="S62" i="1" s="1"/>
  <c r="R62" i="1" s="1"/>
  <c r="AH162" i="1"/>
  <c r="AH151" i="1"/>
  <c r="AH50" i="1"/>
  <c r="AG50" i="1" s="1"/>
  <c r="AF50" i="1" s="1"/>
  <c r="AH132" i="1"/>
  <c r="AG132" i="1" s="1"/>
  <c r="AF132" i="1" s="1"/>
  <c r="AH205" i="1"/>
  <c r="AG205" i="1" s="1"/>
  <c r="AF205" i="1" s="1"/>
  <c r="AH361" i="1"/>
  <c r="AG361" i="1" s="1"/>
  <c r="AF361" i="1" s="1"/>
  <c r="AH210" i="1"/>
  <c r="AG210" i="1" s="1"/>
  <c r="AF210" i="1" s="1"/>
  <c r="AH186" i="1"/>
  <c r="AG186" i="1" s="1"/>
  <c r="AF186" i="1" s="1"/>
  <c r="AH160" i="1"/>
  <c r="AG160" i="1" s="1"/>
  <c r="AF160" i="1" s="1"/>
  <c r="AH223" i="1"/>
  <c r="AG223" i="1" s="1"/>
  <c r="AF223" i="1" s="1"/>
  <c r="AH357" i="1"/>
  <c r="AG357" i="1" s="1"/>
  <c r="AF357" i="1" s="1"/>
  <c r="T374" i="1"/>
  <c r="S374" i="1" s="1"/>
  <c r="R374" i="1" s="1"/>
  <c r="T346" i="1"/>
  <c r="S346" i="1" s="1"/>
  <c r="R346" i="1" s="1"/>
  <c r="AH219" i="1"/>
  <c r="AG219" i="1" s="1"/>
  <c r="AF219" i="1" s="1"/>
  <c r="AH284" i="1"/>
  <c r="AG284" i="1" s="1"/>
  <c r="AF284" i="1" s="1"/>
  <c r="T367" i="1"/>
  <c r="T332" i="1"/>
  <c r="S332" i="1" s="1"/>
  <c r="R332" i="1" s="1"/>
  <c r="T298" i="1"/>
  <c r="S298" i="1" s="1"/>
  <c r="R298" i="1" s="1"/>
  <c r="T267" i="1"/>
  <c r="S267" i="1" s="1"/>
  <c r="R267" i="1" s="1"/>
  <c r="T228" i="1"/>
  <c r="S228" i="1" s="1"/>
  <c r="R228" i="1" s="1"/>
  <c r="T193" i="1"/>
  <c r="S193" i="1" s="1"/>
  <c r="R193" i="1" s="1"/>
  <c r="T170" i="1"/>
  <c r="S170" i="1" s="1"/>
  <c r="R170" i="1" s="1"/>
  <c r="T140" i="1"/>
  <c r="S140" i="1" s="1"/>
  <c r="R140" i="1" s="1"/>
  <c r="T103" i="1"/>
  <c r="S103" i="1" s="1"/>
  <c r="R103" i="1" s="1"/>
  <c r="T64" i="1"/>
  <c r="S64" i="1" s="1"/>
  <c r="R64" i="1" s="1"/>
  <c r="T338" i="1"/>
  <c r="T306" i="1"/>
  <c r="S306" i="1" s="1"/>
  <c r="R306" i="1" s="1"/>
  <c r="T269" i="1"/>
  <c r="S269" i="1" s="1"/>
  <c r="R269" i="1" s="1"/>
  <c r="T240" i="1"/>
  <c r="S240" i="1" s="1"/>
  <c r="R240" i="1" s="1"/>
  <c r="T209" i="1"/>
  <c r="T178" i="1"/>
  <c r="T137" i="1"/>
  <c r="T110" i="1"/>
  <c r="S110" i="1" s="1"/>
  <c r="R110" i="1" s="1"/>
  <c r="AH99" i="1"/>
  <c r="AG99" i="1" s="1"/>
  <c r="AF99" i="1" s="1"/>
  <c r="T245" i="15"/>
  <c r="S245" i="15" s="1"/>
  <c r="R245" i="15" s="1"/>
  <c r="AH214" i="1"/>
  <c r="AG214" i="1" s="1"/>
  <c r="AF214" i="1" s="1"/>
  <c r="T353" i="1"/>
  <c r="S353" i="1" s="1"/>
  <c r="R353" i="1" s="1"/>
  <c r="AH60" i="1"/>
  <c r="AG60" i="1" s="1"/>
  <c r="AF60" i="1" s="1"/>
  <c r="T379" i="1"/>
  <c r="S379" i="1" s="1"/>
  <c r="R379" i="1" s="1"/>
  <c r="T302" i="1"/>
  <c r="T235" i="1"/>
  <c r="S235" i="1" s="1"/>
  <c r="R235" i="1" s="1"/>
  <c r="T174" i="1"/>
  <c r="T112" i="1"/>
  <c r="S112" i="1" s="1"/>
  <c r="R112" i="1" s="1"/>
  <c r="T31" i="1"/>
  <c r="T279" i="1"/>
  <c r="S279" i="1" s="1"/>
  <c r="R279" i="1" s="1"/>
  <c r="T217" i="1"/>
  <c r="S217" i="1" s="1"/>
  <c r="R217" i="1" s="1"/>
  <c r="T150" i="1"/>
  <c r="S150" i="1" s="1"/>
  <c r="R150" i="1" s="1"/>
  <c r="T87" i="1"/>
  <c r="S87" i="1" s="1"/>
  <c r="R87" i="1" s="1"/>
  <c r="T21" i="1"/>
  <c r="AH104" i="1"/>
  <c r="AG104" i="1" s="1"/>
  <c r="AF104" i="1" s="1"/>
  <c r="AH316" i="1"/>
  <c r="AG316" i="1" s="1"/>
  <c r="AF316" i="1" s="1"/>
  <c r="AH141" i="1"/>
  <c r="AH190" i="1"/>
  <c r="AH359" i="1"/>
  <c r="AH67" i="1"/>
  <c r="AG67" i="1" s="1"/>
  <c r="AF67" i="1" s="1"/>
  <c r="AH146" i="1"/>
  <c r="AH254" i="1"/>
  <c r="AG254" i="1" s="1"/>
  <c r="AF254" i="1" s="1"/>
  <c r="AH374" i="1"/>
  <c r="AH16" i="1"/>
  <c r="AG16" i="1" s="1"/>
  <c r="AF16" i="1" s="1"/>
  <c r="AH297" i="1"/>
  <c r="AG297" i="1" s="1"/>
  <c r="AF297" i="1" s="1"/>
  <c r="AH33" i="1"/>
  <c r="AG33" i="1" s="1"/>
  <c r="AF33" i="1" s="1"/>
  <c r="AH17" i="1"/>
  <c r="AG17" i="1" s="1"/>
  <c r="AF17" i="1" s="1"/>
  <c r="T18" i="1"/>
  <c r="S18" i="1" s="1"/>
  <c r="R18" i="1" s="1"/>
  <c r="T355" i="1"/>
  <c r="AH75" i="1"/>
  <c r="AG75" i="1" s="1"/>
  <c r="AF75" i="1" s="1"/>
  <c r="AH120" i="1"/>
  <c r="AG120" i="1" s="1"/>
  <c r="AF120" i="1" s="1"/>
  <c r="AH246" i="1"/>
  <c r="AG246" i="1" s="1"/>
  <c r="AF246" i="1" s="1"/>
  <c r="T344" i="1"/>
  <c r="S344" i="1" s="1"/>
  <c r="R344" i="1" s="1"/>
  <c r="T303" i="1"/>
  <c r="T272" i="1"/>
  <c r="S272" i="1" s="1"/>
  <c r="R272" i="1" s="1"/>
  <c r="T239" i="1"/>
  <c r="S239" i="1" s="1"/>
  <c r="R239" i="1" s="1"/>
  <c r="T204" i="1"/>
  <c r="S204" i="1" s="1"/>
  <c r="R204" i="1" s="1"/>
  <c r="T175" i="1"/>
  <c r="S175" i="1" s="1"/>
  <c r="R175" i="1" s="1"/>
  <c r="T146" i="1"/>
  <c r="S146" i="1" s="1"/>
  <c r="R146" i="1" s="1"/>
  <c r="T116" i="1"/>
  <c r="S116" i="1" s="1"/>
  <c r="R116" i="1" s="1"/>
  <c r="T79" i="1"/>
  <c r="T32" i="1"/>
  <c r="S32" i="1" s="1"/>
  <c r="R32" i="1" s="1"/>
  <c r="T313" i="1"/>
  <c r="S313" i="1" s="1"/>
  <c r="R313" i="1" s="1"/>
  <c r="T280" i="1"/>
  <c r="S280" i="1" s="1"/>
  <c r="R280" i="1" s="1"/>
  <c r="T249" i="1"/>
  <c r="T219" i="1"/>
  <c r="S219" i="1" s="1"/>
  <c r="R219" i="1" s="1"/>
  <c r="T189" i="1"/>
  <c r="T151" i="1"/>
  <c r="S151" i="1" s="1"/>
  <c r="R151" i="1" s="1"/>
  <c r="T115" i="1"/>
  <c r="S115" i="1" s="1"/>
  <c r="R115" i="1" s="1"/>
  <c r="AH250" i="1"/>
  <c r="AG250" i="1" s="1"/>
  <c r="AF250" i="1" s="1"/>
  <c r="T290" i="15"/>
  <c r="S290" i="15" s="1"/>
  <c r="R290" i="15" s="1"/>
  <c r="T19" i="15"/>
  <c r="AH364" i="1"/>
  <c r="AG364" i="1" s="1"/>
  <c r="AF364" i="1" s="1"/>
  <c r="T375" i="1"/>
  <c r="S375" i="1" s="1"/>
  <c r="R375" i="1" s="1"/>
  <c r="AH335" i="1"/>
  <c r="AG335" i="1" s="1"/>
  <c r="AF335" i="1" s="1"/>
  <c r="T368" i="1"/>
  <c r="T300" i="1"/>
  <c r="S300" i="1" s="1"/>
  <c r="R300" i="1" s="1"/>
  <c r="T231" i="1"/>
  <c r="T172" i="1"/>
  <c r="S172" i="1" s="1"/>
  <c r="R172" i="1" s="1"/>
  <c r="T105" i="1"/>
  <c r="S105" i="1" s="1"/>
  <c r="R105" i="1" s="1"/>
  <c r="T340" i="1"/>
  <c r="S340" i="1" s="1"/>
  <c r="R340" i="1" s="1"/>
  <c r="T274" i="1"/>
  <c r="T211" i="1"/>
  <c r="S211" i="1" s="1"/>
  <c r="R211" i="1" s="1"/>
  <c r="T144" i="1"/>
  <c r="S144" i="1" s="1"/>
  <c r="R144" i="1" s="1"/>
  <c r="T84" i="1"/>
  <c r="S84" i="1" s="1"/>
  <c r="R84" i="1" s="1"/>
  <c r="AH350" i="1"/>
  <c r="AG350" i="1" s="1"/>
  <c r="AF350" i="1" s="1"/>
  <c r="AH255" i="1"/>
  <c r="AG255" i="1" s="1"/>
  <c r="AF255" i="1" s="1"/>
  <c r="AH373" i="1"/>
  <c r="AG373" i="1" s="1"/>
  <c r="AF373" i="1" s="1"/>
  <c r="AH79" i="1"/>
  <c r="AG79" i="1" s="1"/>
  <c r="AF79" i="1" s="1"/>
  <c r="AH345" i="1"/>
  <c r="AH228" i="1"/>
  <c r="AG228" i="1" s="1"/>
  <c r="AF228" i="1" s="1"/>
  <c r="AH267" i="1"/>
  <c r="AG267" i="1" s="1"/>
  <c r="AF267" i="1" s="1"/>
  <c r="AH55" i="1"/>
  <c r="AG55" i="1" s="1"/>
  <c r="AF55" i="1" s="1"/>
  <c r="AH163" i="1"/>
  <c r="AG163" i="1" s="1"/>
  <c r="AF163" i="1" s="1"/>
  <c r="AH35" i="1"/>
  <c r="AG35" i="1" s="1"/>
  <c r="AF35" i="1" s="1"/>
  <c r="T264" i="1"/>
  <c r="S264" i="1" s="1"/>
  <c r="R264" i="1" s="1"/>
  <c r="T139" i="1"/>
  <c r="S139" i="1" s="1"/>
  <c r="R139" i="1" s="1"/>
  <c r="T299" i="1"/>
  <c r="T171" i="1"/>
  <c r="S171" i="1" s="1"/>
  <c r="R171" i="1" s="1"/>
  <c r="T44" i="1"/>
  <c r="AH351" i="1"/>
  <c r="AG351" i="1" s="1"/>
  <c r="AF351" i="1" s="1"/>
  <c r="AH236" i="1"/>
  <c r="AH157" i="1"/>
  <c r="AG157" i="1" s="1"/>
  <c r="AF157" i="1" s="1"/>
  <c r="AH21" i="1"/>
  <c r="AG21" i="1" s="1"/>
  <c r="AF21" i="1" s="1"/>
  <c r="AH289" i="1"/>
  <c r="AG289" i="1" s="1"/>
  <c r="AF289" i="1" s="1"/>
  <c r="AH145" i="1"/>
  <c r="AH301" i="1"/>
  <c r="AG301" i="1" s="1"/>
  <c r="AF301" i="1" s="1"/>
  <c r="T324" i="1"/>
  <c r="S324" i="1" s="1"/>
  <c r="R324" i="1" s="1"/>
  <c r="AH273" i="1"/>
  <c r="AG273" i="1" s="1"/>
  <c r="AF273" i="1" s="1"/>
  <c r="T316" i="1"/>
  <c r="S316" i="1" s="1"/>
  <c r="R316" i="1" s="1"/>
  <c r="T253" i="1"/>
  <c r="S253" i="1" s="1"/>
  <c r="R253" i="1" s="1"/>
  <c r="T185" i="1"/>
  <c r="T130" i="1"/>
  <c r="S130" i="1" s="1"/>
  <c r="R130" i="1" s="1"/>
  <c r="T48" i="1"/>
  <c r="S48" i="1" s="1"/>
  <c r="R48" i="1" s="1"/>
  <c r="T288" i="1"/>
  <c r="S288" i="1" s="1"/>
  <c r="R288" i="1" s="1"/>
  <c r="T258" i="1"/>
  <c r="S258" i="1" s="1"/>
  <c r="R258" i="1" s="1"/>
  <c r="T230" i="1"/>
  <c r="S230" i="1" s="1"/>
  <c r="R230" i="1" s="1"/>
  <c r="T200" i="1"/>
  <c r="T160" i="1"/>
  <c r="S160" i="1" s="1"/>
  <c r="R160" i="1" s="1"/>
  <c r="T125" i="1"/>
  <c r="S125" i="1" s="1"/>
  <c r="R125" i="1" s="1"/>
  <c r="T100" i="1"/>
  <c r="S100" i="1" s="1"/>
  <c r="R100" i="1" s="1"/>
  <c r="AH47" i="1"/>
  <c r="T325" i="1"/>
  <c r="S325" i="1" s="1"/>
  <c r="R325" i="1" s="1"/>
  <c r="T317" i="1"/>
  <c r="S317" i="1" s="1"/>
  <c r="R317" i="1" s="1"/>
  <c r="T186" i="1"/>
  <c r="S186" i="1" s="1"/>
  <c r="R186" i="1" s="1"/>
  <c r="T52" i="1"/>
  <c r="S52" i="1" s="1"/>
  <c r="R52" i="1" s="1"/>
  <c r="T233" i="1"/>
  <c r="S233" i="1" s="1"/>
  <c r="R233" i="1" s="1"/>
  <c r="T101" i="1"/>
  <c r="AH137" i="1"/>
  <c r="AG137" i="1" s="1"/>
  <c r="AF137" i="1" s="1"/>
  <c r="AH85" i="1"/>
  <c r="AH133" i="1"/>
  <c r="AG133" i="1" s="1"/>
  <c r="AF133" i="1" s="1"/>
  <c r="AH152" i="1"/>
  <c r="AH173" i="1"/>
  <c r="AG173" i="1" s="1"/>
  <c r="AF173" i="1" s="1"/>
  <c r="AH317" i="1"/>
  <c r="AG317" i="1" s="1"/>
  <c r="AF317" i="1" s="1"/>
  <c r="AH368" i="1"/>
  <c r="AG368" i="1" s="1"/>
  <c r="AF368" i="1" s="1"/>
  <c r="T361" i="1"/>
  <c r="S361" i="1" s="1"/>
  <c r="R361" i="1" s="1"/>
  <c r="AH338" i="1"/>
  <c r="AG338" i="1" s="1"/>
  <c r="AF338" i="1" s="1"/>
  <c r="T349" i="1"/>
  <c r="T277" i="1"/>
  <c r="S277" i="1" s="1"/>
  <c r="R277" i="1" s="1"/>
  <c r="T214" i="1"/>
  <c r="T154" i="1"/>
  <c r="S154" i="1" s="1"/>
  <c r="R154" i="1" s="1"/>
  <c r="T85" i="1"/>
  <c r="S85" i="1" s="1"/>
  <c r="R85" i="1" s="1"/>
  <c r="T320" i="1"/>
  <c r="T256" i="1"/>
  <c r="S256" i="1" s="1"/>
  <c r="R256" i="1" s="1"/>
  <c r="T197" i="1"/>
  <c r="S197" i="1" s="1"/>
  <c r="R197" i="1" s="1"/>
  <c r="T122" i="1"/>
  <c r="S122" i="1" s="1"/>
  <c r="R122" i="1" s="1"/>
  <c r="T16" i="1"/>
  <c r="S16" i="1" s="1"/>
  <c r="R16" i="1" s="1"/>
  <c r="T22" i="15"/>
  <c r="S22" i="15" s="1"/>
  <c r="R22" i="15" s="1"/>
  <c r="T377" i="1"/>
  <c r="T17" i="1"/>
  <c r="T271" i="1"/>
  <c r="T143" i="1"/>
  <c r="S143" i="1" s="1"/>
  <c r="R143" i="1" s="1"/>
  <c r="T312" i="1"/>
  <c r="S312" i="1" s="1"/>
  <c r="R312" i="1" s="1"/>
  <c r="T184" i="1"/>
  <c r="T56" i="1"/>
  <c r="S56" i="1" s="1"/>
  <c r="R56" i="1" s="1"/>
  <c r="AH170" i="1"/>
  <c r="AG170" i="1" s="1"/>
  <c r="AF170" i="1" s="1"/>
  <c r="AH72" i="1"/>
  <c r="AH134" i="1"/>
  <c r="AG134" i="1" s="1"/>
  <c r="AF134" i="1" s="1"/>
  <c r="AH281" i="1"/>
  <c r="AH63" i="1"/>
  <c r="AG63" i="1" s="1"/>
  <c r="AF63" i="1" s="1"/>
  <c r="T15" i="1"/>
  <c r="AH235" i="1"/>
  <c r="AG235" i="1" s="1"/>
  <c r="AF235" i="1" s="1"/>
  <c r="T335" i="1"/>
  <c r="S335" i="1" s="1"/>
  <c r="R335" i="1" s="1"/>
  <c r="AH198" i="1"/>
  <c r="T319" i="1"/>
  <c r="S319" i="1" s="1"/>
  <c r="R319" i="1" s="1"/>
  <c r="T255" i="1"/>
  <c r="S255" i="1" s="1"/>
  <c r="R255" i="1" s="1"/>
  <c r="T187" i="1"/>
  <c r="T133" i="1"/>
  <c r="S133" i="1" s="1"/>
  <c r="R133" i="1" s="1"/>
  <c r="T53" i="1"/>
  <c r="S53" i="1" s="1"/>
  <c r="R53" i="1" s="1"/>
  <c r="T291" i="1"/>
  <c r="S291" i="1" s="1"/>
  <c r="R291" i="1" s="1"/>
  <c r="T234" i="1"/>
  <c r="T165" i="1"/>
  <c r="T104" i="1"/>
  <c r="S104" i="1" s="1"/>
  <c r="R104" i="1" s="1"/>
  <c r="AH37" i="1"/>
  <c r="T351" i="1"/>
  <c r="S351" i="1" s="1"/>
  <c r="R351" i="1" s="1"/>
  <c r="AH332" i="1"/>
  <c r="AG332" i="1" s="1"/>
  <c r="AF332" i="1" s="1"/>
  <c r="T333" i="1"/>
  <c r="T268" i="1"/>
  <c r="T195" i="1"/>
  <c r="S195" i="1" s="1"/>
  <c r="R195" i="1" s="1"/>
  <c r="T141" i="1"/>
  <c r="S141" i="1" s="1"/>
  <c r="R141" i="1" s="1"/>
  <c r="T72" i="1"/>
  <c r="S72" i="1" s="1"/>
  <c r="R72" i="1" s="1"/>
  <c r="T307" i="1"/>
  <c r="S307" i="1" s="1"/>
  <c r="R307" i="1" s="1"/>
  <c r="T242" i="1"/>
  <c r="T180" i="1"/>
  <c r="S180" i="1" s="1"/>
  <c r="R180" i="1" s="1"/>
  <c r="T111" i="1"/>
  <c r="T50" i="1"/>
  <c r="S50" i="1" s="1"/>
  <c r="R50" i="1" s="1"/>
  <c r="AH356" i="1"/>
  <c r="AG356" i="1" s="1"/>
  <c r="AF356" i="1" s="1"/>
  <c r="AH206" i="1"/>
  <c r="AG206" i="1" s="1"/>
  <c r="AF206" i="1" s="1"/>
  <c r="T30" i="1"/>
  <c r="S30" i="1" s="1"/>
  <c r="R30" i="1" s="1"/>
  <c r="AH167" i="1"/>
  <c r="AG167" i="1" s="1"/>
  <c r="AF167" i="1" s="1"/>
  <c r="AH71" i="1"/>
  <c r="AH234" i="1"/>
  <c r="AG234" i="1" s="1"/>
  <c r="AF234" i="1" s="1"/>
  <c r="AH159" i="1"/>
  <c r="AH328" i="1"/>
  <c r="T343" i="1"/>
  <c r="T331" i="1"/>
  <c r="S331" i="1" s="1"/>
  <c r="R331" i="1" s="1"/>
  <c r="T192" i="1"/>
  <c r="S192" i="1" s="1"/>
  <c r="R192" i="1" s="1"/>
  <c r="T63" i="1"/>
  <c r="S63" i="1" s="1"/>
  <c r="R63" i="1" s="1"/>
  <c r="T238" i="1"/>
  <c r="T108" i="1"/>
  <c r="S108" i="1" s="1"/>
  <c r="R108" i="1" s="1"/>
  <c r="AH56" i="1"/>
  <c r="AG56" i="1" s="1"/>
  <c r="AF56" i="1" s="1"/>
  <c r="T20" i="1"/>
  <c r="S20" i="1" s="1"/>
  <c r="R20" i="1" s="1"/>
  <c r="AH39" i="1"/>
  <c r="AH333" i="1"/>
  <c r="AG333" i="1" s="1"/>
  <c r="AF333" i="1" s="1"/>
  <c r="AH105" i="1"/>
  <c r="AH143" i="1"/>
  <c r="AG143" i="1" s="1"/>
  <c r="AF143" i="1" s="1"/>
  <c r="AH62" i="1"/>
  <c r="AG62" i="1" s="1"/>
  <c r="AF62" i="1" s="1"/>
  <c r="T365" i="1"/>
  <c r="S365" i="1" s="1"/>
  <c r="R365" i="1" s="1"/>
  <c r="AH370" i="1"/>
  <c r="T354" i="1"/>
  <c r="S354" i="1" s="1"/>
  <c r="R354" i="1" s="1"/>
  <c r="T286" i="1"/>
  <c r="S286" i="1" s="1"/>
  <c r="R286" i="1" s="1"/>
  <c r="T216" i="1"/>
  <c r="S216" i="1" s="1"/>
  <c r="R216" i="1" s="1"/>
  <c r="T159" i="1"/>
  <c r="S159" i="1" s="1"/>
  <c r="R159" i="1" s="1"/>
  <c r="T89" i="1"/>
  <c r="S89" i="1" s="1"/>
  <c r="R89" i="1" s="1"/>
  <c r="T323" i="1"/>
  <c r="T278" i="1"/>
  <c r="S278" i="1" s="1"/>
  <c r="R278" i="1" s="1"/>
  <c r="T245" i="1"/>
  <c r="T213" i="1"/>
  <c r="S213" i="1" s="1"/>
  <c r="R213" i="1" s="1"/>
  <c r="T183" i="1"/>
  <c r="S183" i="1" s="1"/>
  <c r="R183" i="1" s="1"/>
  <c r="T145" i="1"/>
  <c r="S145" i="1" s="1"/>
  <c r="R145" i="1" s="1"/>
  <c r="T113" i="1"/>
  <c r="AH293" i="1"/>
  <c r="AG293" i="1" s="1"/>
  <c r="AF293" i="1" s="1"/>
  <c r="AH128" i="1"/>
  <c r="AG128" i="1" s="1"/>
  <c r="AF128" i="1" s="1"/>
  <c r="AH312" i="1"/>
  <c r="T254" i="1"/>
  <c r="S254" i="1" s="1"/>
  <c r="R254" i="1" s="1"/>
  <c r="T132" i="1"/>
  <c r="T289" i="1"/>
  <c r="S289" i="1" s="1"/>
  <c r="R289" i="1" s="1"/>
  <c r="T163" i="1"/>
  <c r="S163" i="1" s="1"/>
  <c r="R163" i="1" s="1"/>
  <c r="T36" i="1"/>
  <c r="S36" i="1" s="1"/>
  <c r="R36" i="1" s="1"/>
  <c r="AH247" i="1"/>
  <c r="AG247" i="1" s="1"/>
  <c r="AF247" i="1" s="1"/>
  <c r="AH179" i="1"/>
  <c r="AG179" i="1" s="1"/>
  <c r="AF179" i="1" s="1"/>
  <c r="AH188" i="1"/>
  <c r="AG188" i="1" s="1"/>
  <c r="AF188" i="1" s="1"/>
  <c r="AH325" i="1"/>
  <c r="AH330" i="1"/>
  <c r="AG330" i="1" s="1"/>
  <c r="AF330" i="1" s="1"/>
  <c r="AH354" i="1"/>
  <c r="AG354" i="1" s="1"/>
  <c r="AF354" i="1" s="1"/>
  <c r="AH69" i="1"/>
  <c r="AG69" i="1" s="1"/>
  <c r="AF69" i="1" s="1"/>
  <c r="AH276" i="1"/>
  <c r="AH51" i="1"/>
  <c r="AG51" i="1" s="1"/>
  <c r="AF51" i="1" s="1"/>
  <c r="T309" i="1"/>
  <c r="S309" i="1" s="1"/>
  <c r="R309" i="1" s="1"/>
  <c r="T246" i="1"/>
  <c r="S246" i="1" s="1"/>
  <c r="R246" i="1" s="1"/>
  <c r="T181" i="1"/>
  <c r="S181" i="1" s="1"/>
  <c r="R181" i="1" s="1"/>
  <c r="T127" i="1"/>
  <c r="S127" i="1" s="1"/>
  <c r="R127" i="1" s="1"/>
  <c r="T39" i="1"/>
  <c r="S39" i="1" s="1"/>
  <c r="R39" i="1" s="1"/>
  <c r="T285" i="1"/>
  <c r="S285" i="1" s="1"/>
  <c r="R285" i="1" s="1"/>
  <c r="T226" i="1"/>
  <c r="S226" i="1" s="1"/>
  <c r="R226" i="1" s="1"/>
  <c r="T157" i="1"/>
  <c r="S157" i="1" s="1"/>
  <c r="R157" i="1" s="1"/>
  <c r="AH19" i="1"/>
  <c r="AG19" i="1" s="1"/>
  <c r="AF19" i="1" s="1"/>
  <c r="T153" i="15"/>
  <c r="S153" i="15" s="1"/>
  <c r="R153" i="15" s="1"/>
  <c r="AH113" i="1"/>
  <c r="AG113" i="1" s="1"/>
  <c r="AF113" i="1" s="1"/>
  <c r="AH310" i="1"/>
  <c r="AG310" i="1" s="1"/>
  <c r="AF310" i="1" s="1"/>
  <c r="T339" i="1"/>
  <c r="S339" i="1" s="1"/>
  <c r="R339" i="1" s="1"/>
  <c r="T202" i="1"/>
  <c r="S202" i="1" s="1"/>
  <c r="R202" i="1" s="1"/>
  <c r="T76" i="1"/>
  <c r="S76" i="1" s="1"/>
  <c r="R76" i="1" s="1"/>
  <c r="T248" i="1"/>
  <c r="S248" i="1" s="1"/>
  <c r="R248" i="1" s="1"/>
  <c r="T114" i="1"/>
  <c r="S114" i="1" s="1"/>
  <c r="R114" i="1" s="1"/>
  <c r="AH323" i="1"/>
  <c r="AG323" i="1" s="1"/>
  <c r="AF323" i="1" s="1"/>
  <c r="T37" i="1"/>
  <c r="S37" i="1" s="1"/>
  <c r="R37" i="1" s="1"/>
  <c r="AH174" i="1"/>
  <c r="AH88" i="1"/>
  <c r="AG88" i="1" s="1"/>
  <c r="AF88" i="1" s="1"/>
  <c r="AH318" i="1"/>
  <c r="AG318" i="1" s="1"/>
  <c r="AF318" i="1" s="1"/>
  <c r="AH27" i="1"/>
  <c r="AG27" i="1" s="1"/>
  <c r="AF27" i="1" s="1"/>
  <c r="AH296" i="1"/>
  <c r="T370" i="1"/>
  <c r="S370" i="1" s="1"/>
  <c r="R370" i="1" s="1"/>
  <c r="AH264" i="1"/>
  <c r="AG264" i="1" s="1"/>
  <c r="AF264" i="1" s="1"/>
  <c r="T359" i="1"/>
  <c r="S359" i="1" s="1"/>
  <c r="R359" i="1" s="1"/>
  <c r="T293" i="1"/>
  <c r="S293" i="1" s="1"/>
  <c r="R293" i="1" s="1"/>
  <c r="T220" i="1"/>
  <c r="S220" i="1" s="1"/>
  <c r="R220" i="1" s="1"/>
  <c r="T162" i="1"/>
  <c r="S162" i="1" s="1"/>
  <c r="R162" i="1" s="1"/>
  <c r="T94" i="1"/>
  <c r="S94" i="1" s="1"/>
  <c r="R94" i="1" s="1"/>
  <c r="T327" i="1"/>
  <c r="T261" i="1"/>
  <c r="S261" i="1" s="1"/>
  <c r="R261" i="1" s="1"/>
  <c r="T203" i="1"/>
  <c r="T128" i="1"/>
  <c r="S128" i="1" s="1"/>
  <c r="R128" i="1" s="1"/>
  <c r="AH298" i="1"/>
  <c r="T297" i="15"/>
  <c r="S297" i="15" s="1"/>
  <c r="R297" i="15" s="1"/>
  <c r="J12" i="6"/>
  <c r="AZ107" i="6"/>
  <c r="AZ117" i="6"/>
  <c r="AZ126" i="6"/>
  <c r="AT67" i="6"/>
  <c r="AT53" i="6"/>
  <c r="AT76" i="6"/>
  <c r="AT56" i="6"/>
  <c r="AT38" i="6"/>
  <c r="AT59" i="6"/>
  <c r="AT54" i="6"/>
  <c r="AT35" i="6"/>
  <c r="AZ35" i="6" s="1"/>
  <c r="AT62" i="6"/>
  <c r="AT47" i="6"/>
  <c r="AT71" i="6"/>
  <c r="AT27" i="6"/>
  <c r="AZ27" i="6" s="1"/>
  <c r="AT31" i="6"/>
  <c r="AZ31" i="6" s="1"/>
  <c r="AT61" i="6"/>
  <c r="AT68" i="6"/>
  <c r="AT37" i="6"/>
  <c r="AT43" i="6"/>
  <c r="AT52" i="6"/>
  <c r="AT60" i="6"/>
  <c r="AT58" i="6"/>
  <c r="AT30" i="6"/>
  <c r="AZ30" i="6" s="1"/>
  <c r="AT50" i="6"/>
  <c r="AT28" i="6"/>
  <c r="AZ28" i="6" s="1"/>
  <c r="AT75" i="6"/>
  <c r="AT22" i="6"/>
  <c r="AZ22" i="6" s="1"/>
  <c r="N380" i="6" s="1"/>
  <c r="N381" i="6" s="1"/>
  <c r="AT46" i="6"/>
  <c r="AT40" i="6"/>
  <c r="AT64" i="6"/>
  <c r="AY36" i="6"/>
  <c r="AY46" i="6"/>
  <c r="AZ46" i="6" s="1"/>
  <c r="AY53" i="6"/>
  <c r="AY38" i="6"/>
  <c r="AY83" i="6"/>
  <c r="AZ83" i="6" s="1"/>
  <c r="AY37" i="6"/>
  <c r="AZ37" i="6" s="1"/>
  <c r="AY63" i="6"/>
  <c r="AY44" i="6"/>
  <c r="AY76" i="6"/>
  <c r="AZ76" i="6" s="1"/>
  <c r="AY59" i="6"/>
  <c r="AZ59" i="6" s="1"/>
  <c r="AY57" i="6"/>
  <c r="AY51" i="6"/>
  <c r="AY67" i="6"/>
  <c r="AZ67" i="6" s="1"/>
  <c r="AY69" i="6"/>
  <c r="AY62" i="6"/>
  <c r="AZ62" i="6" s="1"/>
  <c r="AY49" i="6"/>
  <c r="AY50" i="6"/>
  <c r="AY71" i="6"/>
  <c r="AY74" i="6"/>
  <c r="AY90" i="6"/>
  <c r="AZ90" i="6" s="1"/>
  <c r="AY70" i="6"/>
  <c r="AY64" i="6"/>
  <c r="AZ64" i="6" s="1"/>
  <c r="Q380" i="6" s="1"/>
  <c r="Q381" i="6" s="1"/>
  <c r="AY84" i="6"/>
  <c r="AZ84" i="6" s="1"/>
  <c r="AY75" i="6"/>
  <c r="AZ75" i="6" s="1"/>
  <c r="AY88" i="6"/>
  <c r="AZ88" i="6" s="1"/>
  <c r="AY78" i="6"/>
  <c r="AZ78" i="6" s="1"/>
  <c r="R380" i="6" s="1"/>
  <c r="R381" i="6" s="1"/>
  <c r="AY68" i="6"/>
  <c r="AZ68" i="6" s="1"/>
  <c r="AY79" i="6"/>
  <c r="AZ79" i="6" s="1"/>
  <c r="AT303" i="6"/>
  <c r="AT311" i="6"/>
  <c r="AT309" i="6"/>
  <c r="AT313" i="6"/>
  <c r="AT314" i="6"/>
  <c r="AT321" i="6"/>
  <c r="AT304" i="6"/>
  <c r="AY278" i="6"/>
  <c r="AY315" i="6"/>
  <c r="AY312" i="6"/>
  <c r="AY306" i="6"/>
  <c r="AY262" i="6"/>
  <c r="AY267" i="6"/>
  <c r="AY302" i="6"/>
  <c r="AY272" i="6"/>
  <c r="AY309" i="6"/>
  <c r="AY264" i="6"/>
  <c r="AY314" i="6"/>
  <c r="AY263" i="6"/>
  <c r="AY291" i="6"/>
  <c r="AY298" i="6"/>
  <c r="AY283" i="6"/>
  <c r="AY304" i="6"/>
  <c r="AZ304" i="6" s="1"/>
  <c r="AY285" i="6"/>
  <c r="AY271" i="6"/>
  <c r="AY293" i="6"/>
  <c r="AY265" i="6"/>
  <c r="AY275" i="6"/>
  <c r="AY301" i="6"/>
  <c r="AY308" i="6"/>
  <c r="AY273" i="6"/>
  <c r="AY290" i="6"/>
  <c r="AY305" i="6"/>
  <c r="AY295" i="6"/>
  <c r="AY276" i="6"/>
  <c r="AT266" i="6"/>
  <c r="AT252" i="6"/>
  <c r="AT292" i="6"/>
  <c r="AT263" i="6"/>
  <c r="AT247" i="6"/>
  <c r="AT277" i="6"/>
  <c r="AT276" i="6"/>
  <c r="AT270" i="6"/>
  <c r="AT265" i="6"/>
  <c r="AT257" i="6"/>
  <c r="AT249" i="6"/>
  <c r="AT284" i="6"/>
  <c r="AT287" i="6"/>
  <c r="AT275" i="6"/>
  <c r="AT261" i="6"/>
  <c r="AT255" i="6"/>
  <c r="AT260" i="6"/>
  <c r="AT250" i="6"/>
  <c r="AT271" i="6"/>
  <c r="AT253" i="6"/>
  <c r="AT248" i="6"/>
  <c r="AT295" i="6"/>
  <c r="AT278" i="6"/>
  <c r="AT274" i="6"/>
  <c r="AT285" i="6"/>
  <c r="AT293" i="6"/>
  <c r="AT279" i="6"/>
  <c r="AT283" i="6"/>
  <c r="AY190" i="6"/>
  <c r="AY200" i="6"/>
  <c r="AY152" i="6"/>
  <c r="AY167" i="6"/>
  <c r="AY172" i="6"/>
  <c r="AY178" i="6"/>
  <c r="AY186" i="6"/>
  <c r="AY162" i="6"/>
  <c r="AY151" i="6"/>
  <c r="AY166" i="6"/>
  <c r="AY182" i="6"/>
  <c r="AY181" i="6"/>
  <c r="AY170" i="6"/>
  <c r="AY202" i="6"/>
  <c r="AY163" i="6"/>
  <c r="AY198" i="6"/>
  <c r="AY154" i="6"/>
  <c r="AY155" i="6"/>
  <c r="AZ155" i="6" s="1"/>
  <c r="AY169" i="6"/>
  <c r="AY196" i="6"/>
  <c r="AY176" i="6"/>
  <c r="AY194" i="6"/>
  <c r="AZ194" i="6" s="1"/>
  <c r="AY192" i="6"/>
  <c r="AY173" i="6"/>
  <c r="AY174" i="6"/>
  <c r="AY153" i="6"/>
  <c r="AY199" i="6"/>
  <c r="AY168" i="6"/>
  <c r="AY211" i="6"/>
  <c r="AY220" i="6"/>
  <c r="AZ220" i="6" s="1"/>
  <c r="AY251" i="6"/>
  <c r="AY219" i="6"/>
  <c r="AZ219" i="6" s="1"/>
  <c r="AY218" i="6"/>
  <c r="AZ218" i="6" s="1"/>
  <c r="AB380" i="6" s="1"/>
  <c r="AB381" i="6" s="1"/>
  <c r="AY229" i="6"/>
  <c r="AZ229" i="6" s="1"/>
  <c r="AY208" i="6"/>
  <c r="AY232" i="6"/>
  <c r="AZ232" i="6" s="1"/>
  <c r="AC380" i="6" s="1"/>
  <c r="AC381" i="6" s="1"/>
  <c r="AY243" i="6"/>
  <c r="AZ243" i="6" s="1"/>
  <c r="AY244" i="6"/>
  <c r="AZ244" i="6" s="1"/>
  <c r="AY234" i="6"/>
  <c r="AZ234" i="6" s="1"/>
  <c r="AY233" i="6"/>
  <c r="AZ233" i="6" s="1"/>
  <c r="AY205" i="6"/>
  <c r="AY228" i="6"/>
  <c r="AZ228" i="6" s="1"/>
  <c r="AY204" i="6"/>
  <c r="AY238" i="6"/>
  <c r="AZ238" i="6" s="1"/>
  <c r="AY214" i="6"/>
  <c r="AY217" i="6"/>
  <c r="AY210" i="6"/>
  <c r="AY257" i="6"/>
  <c r="AZ257" i="6" s="1"/>
  <c r="AY227" i="6"/>
  <c r="AZ227" i="6" s="1"/>
  <c r="AY249" i="6"/>
  <c r="AY235" i="6"/>
  <c r="AZ235" i="6" s="1"/>
  <c r="AY246" i="6"/>
  <c r="AY252" i="6"/>
  <c r="AY248" i="6"/>
  <c r="AY216" i="6"/>
  <c r="AY226" i="6"/>
  <c r="AZ226" i="6" s="1"/>
  <c r="AY374" i="6"/>
  <c r="AY378" i="6"/>
  <c r="AY376" i="6"/>
  <c r="AY377" i="6"/>
  <c r="AY363" i="6"/>
  <c r="AY348" i="6"/>
  <c r="AY328" i="6"/>
  <c r="AY325" i="6"/>
  <c r="AY361" i="6"/>
  <c r="AY368" i="6"/>
  <c r="AY326" i="6"/>
  <c r="AZ326" i="6" s="1"/>
  <c r="AY330" i="6"/>
  <c r="AY357" i="6"/>
  <c r="AY355" i="6"/>
  <c r="AY360" i="6"/>
  <c r="AY362" i="6"/>
  <c r="AY344" i="6"/>
  <c r="AY356" i="6"/>
  <c r="AY364" i="6"/>
  <c r="AY346" i="6"/>
  <c r="AY366" i="6"/>
  <c r="AY322" i="6"/>
  <c r="AY337" i="6"/>
  <c r="AY323" i="6"/>
  <c r="AY316" i="6"/>
  <c r="AY336" i="6"/>
  <c r="AY317" i="6"/>
  <c r="AY318" i="6"/>
  <c r="AY329" i="6"/>
  <c r="AY324" i="6"/>
  <c r="AY319" i="6"/>
  <c r="AY341" i="6"/>
  <c r="AT191" i="6"/>
  <c r="AT198" i="6"/>
  <c r="AT196" i="6"/>
  <c r="AT217" i="6"/>
  <c r="AT203" i="6"/>
  <c r="AT215" i="6"/>
  <c r="AT201" i="6"/>
  <c r="AT208" i="6"/>
  <c r="AT188" i="6"/>
  <c r="AT172" i="6"/>
  <c r="AT183" i="6"/>
  <c r="AT167" i="6"/>
  <c r="AT136" i="6"/>
  <c r="AT139" i="6"/>
  <c r="AT153" i="6"/>
  <c r="AT145" i="6"/>
  <c r="AT169" i="6"/>
  <c r="AT148" i="6"/>
  <c r="AT137" i="6"/>
  <c r="AT138" i="6"/>
  <c r="AT185" i="6"/>
  <c r="AZ185" i="6" s="1"/>
  <c r="AT158" i="6"/>
  <c r="AT174" i="6"/>
  <c r="AT143" i="6"/>
  <c r="AT156" i="6"/>
  <c r="AT166" i="6"/>
  <c r="AT152" i="6"/>
  <c r="AT149" i="6"/>
  <c r="AT151" i="6"/>
  <c r="AT144" i="6"/>
  <c r="AT173" i="6"/>
  <c r="AT165" i="6"/>
  <c r="AT141" i="6"/>
  <c r="AT168" i="6"/>
  <c r="AT157" i="6"/>
  <c r="AT160" i="6"/>
  <c r="AA40" i="6"/>
  <c r="AT375" i="6" s="1"/>
  <c r="J13" i="6"/>
  <c r="AY134" i="6"/>
  <c r="AY144" i="6"/>
  <c r="AZ144" i="6" s="1"/>
  <c r="AY100" i="6"/>
  <c r="AZ100" i="6" s="1"/>
  <c r="AY101" i="6"/>
  <c r="AZ101" i="6" s="1"/>
  <c r="AY108" i="6"/>
  <c r="AZ108" i="6" s="1"/>
  <c r="AY105" i="6"/>
  <c r="AZ105" i="6" s="1"/>
  <c r="AY139" i="6"/>
  <c r="AY92" i="6"/>
  <c r="AZ92" i="6" s="1"/>
  <c r="S380" i="6" s="1"/>
  <c r="S381" i="6" s="1"/>
  <c r="AY135" i="6"/>
  <c r="AY147" i="6"/>
  <c r="AY137" i="6"/>
  <c r="AZ137" i="6" s="1"/>
  <c r="AY142" i="6"/>
  <c r="AY109" i="6"/>
  <c r="AZ109" i="6" s="1"/>
  <c r="AY131" i="6"/>
  <c r="AZ131" i="6" s="1"/>
  <c r="AY140" i="6"/>
  <c r="AY106" i="6"/>
  <c r="AZ106" i="6" s="1"/>
  <c r="T380" i="6" s="1"/>
  <c r="T381" i="6" s="1"/>
  <c r="AY143" i="6"/>
  <c r="AY121" i="6"/>
  <c r="AZ121" i="6" s="1"/>
  <c r="AY94" i="6"/>
  <c r="AZ94" i="6" s="1"/>
  <c r="AY138" i="6"/>
  <c r="AZ138" i="6" s="1"/>
  <c r="AY103" i="6"/>
  <c r="AZ103" i="6" s="1"/>
  <c r="AY133" i="6"/>
  <c r="AZ133" i="6" s="1"/>
  <c r="AY95" i="6"/>
  <c r="AZ95" i="6" s="1"/>
  <c r="AY136" i="6"/>
  <c r="AY122" i="6"/>
  <c r="AZ122" i="6" s="1"/>
  <c r="AY118" i="6"/>
  <c r="AZ118" i="6" s="1"/>
  <c r="AY119" i="6"/>
  <c r="AZ119" i="6" s="1"/>
  <c r="AT73" i="6"/>
  <c r="AZ73" i="6" s="1"/>
  <c r="AT39" i="6"/>
  <c r="AT69" i="6"/>
  <c r="AT26" i="6"/>
  <c r="AZ26" i="6" s="1"/>
  <c r="AT24" i="6"/>
  <c r="AZ24" i="6" s="1"/>
  <c r="AT45" i="6"/>
  <c r="AT57" i="6"/>
  <c r="AT36" i="6"/>
  <c r="AT63" i="6"/>
  <c r="AT65" i="6"/>
  <c r="AT77" i="6"/>
  <c r="AT33" i="6"/>
  <c r="AZ33" i="6" s="1"/>
  <c r="AT25" i="6"/>
  <c r="AZ25" i="6" s="1"/>
  <c r="AT34" i="6"/>
  <c r="AZ34" i="6" s="1"/>
  <c r="AT29" i="6"/>
  <c r="AZ29" i="6" s="1"/>
  <c r="AT41" i="6"/>
  <c r="AT74" i="6"/>
  <c r="AT66" i="6"/>
  <c r="AT42" i="6"/>
  <c r="AT48" i="6"/>
  <c r="AT70" i="6"/>
  <c r="AT44" i="6"/>
  <c r="AT23" i="6"/>
  <c r="AZ23" i="6" s="1"/>
  <c r="AT51" i="6"/>
  <c r="AT72" i="6"/>
  <c r="AT32" i="6"/>
  <c r="AZ32" i="6" s="1"/>
  <c r="AT49" i="6"/>
  <c r="AT348" i="6"/>
  <c r="AT349" i="6"/>
  <c r="AT343" i="6"/>
  <c r="AT331" i="6"/>
  <c r="AT351" i="6"/>
  <c r="AT344" i="6"/>
  <c r="AT346" i="6"/>
  <c r="AT333" i="6"/>
  <c r="AT347" i="6"/>
  <c r="AT341" i="6"/>
  <c r="AT356" i="6"/>
  <c r="AT339" i="6"/>
  <c r="AT334" i="6"/>
  <c r="AT335" i="6"/>
  <c r="AT354" i="6"/>
  <c r="AT340" i="6"/>
  <c r="AT336" i="6"/>
  <c r="AT357" i="6"/>
  <c r="AT330" i="6"/>
  <c r="AT342" i="6"/>
  <c r="AT350" i="6"/>
  <c r="AT352" i="6"/>
  <c r="AT345" i="6"/>
  <c r="AT353" i="6"/>
  <c r="AT355" i="6"/>
  <c r="AT337" i="6"/>
  <c r="AT332" i="6"/>
  <c r="AT338" i="6"/>
  <c r="AY58" i="6"/>
  <c r="AZ58" i="6" s="1"/>
  <c r="AY61" i="6"/>
  <c r="AY48" i="6"/>
  <c r="AZ48" i="6" s="1"/>
  <c r="AY60" i="6"/>
  <c r="AZ60" i="6" s="1"/>
  <c r="AY66" i="6"/>
  <c r="AZ66" i="6" s="1"/>
  <c r="AY43" i="6"/>
  <c r="AZ43" i="6" s="1"/>
  <c r="AY42" i="6"/>
  <c r="AY45" i="6"/>
  <c r="AY39" i="6"/>
  <c r="AZ39" i="6" s="1"/>
  <c r="AY85" i="6"/>
  <c r="AZ85" i="6" s="1"/>
  <c r="AY55" i="6"/>
  <c r="AZ55" i="6" s="1"/>
  <c r="AY47" i="6"/>
  <c r="AY56" i="6"/>
  <c r="AZ56" i="6" s="1"/>
  <c r="AY81" i="6"/>
  <c r="AZ81" i="6" s="1"/>
  <c r="AY54" i="6"/>
  <c r="AY52" i="6"/>
  <c r="AY40" i="6"/>
  <c r="AY41" i="6"/>
  <c r="AY87" i="6"/>
  <c r="AZ87" i="6" s="1"/>
  <c r="AY89" i="6"/>
  <c r="AZ89" i="6" s="1"/>
  <c r="AY82" i="6"/>
  <c r="AZ82" i="6" s="1"/>
  <c r="AY86" i="6"/>
  <c r="AZ86" i="6" s="1"/>
  <c r="AY77" i="6"/>
  <c r="AY91" i="6"/>
  <c r="AZ91" i="6" s="1"/>
  <c r="AY65" i="6"/>
  <c r="AZ65" i="6" s="1"/>
  <c r="AY80" i="6"/>
  <c r="AZ80" i="6" s="1"/>
  <c r="AY72" i="6"/>
  <c r="AT302" i="6"/>
  <c r="AT307" i="6"/>
  <c r="AT322" i="6"/>
  <c r="AT319" i="6"/>
  <c r="AT315" i="6"/>
  <c r="AT308" i="6"/>
  <c r="AT323" i="6"/>
  <c r="AY261" i="6"/>
  <c r="AZ261" i="6" s="1"/>
  <c r="AY296" i="6"/>
  <c r="AY297" i="6"/>
  <c r="AY288" i="6"/>
  <c r="AY294" i="6"/>
  <c r="AY280" i="6"/>
  <c r="AY307" i="6"/>
  <c r="AZ307" i="6" s="1"/>
  <c r="AY268" i="6"/>
  <c r="AY281" i="6"/>
  <c r="AY303" i="6"/>
  <c r="AZ303" i="6" s="1"/>
  <c r="AY279" i="6"/>
  <c r="AZ279" i="6" s="1"/>
  <c r="AY311" i="6"/>
  <c r="AY277" i="6"/>
  <c r="AY299" i="6"/>
  <c r="AY269" i="6"/>
  <c r="AY289" i="6"/>
  <c r="AY266" i="6"/>
  <c r="AZ266" i="6" s="1"/>
  <c r="AY310" i="6"/>
  <c r="AY274" i="6"/>
  <c r="AY284" i="6"/>
  <c r="AZ284" i="6" s="1"/>
  <c r="AY260" i="6"/>
  <c r="AZ260" i="6" s="1"/>
  <c r="AE380" i="6" s="1"/>
  <c r="AE381" i="6" s="1"/>
  <c r="AY270" i="6"/>
  <c r="AZ270" i="6" s="1"/>
  <c r="AY313" i="6"/>
  <c r="AZ313" i="6" s="1"/>
  <c r="AY286" i="6"/>
  <c r="AY287" i="6"/>
  <c r="AZ287" i="6" s="1"/>
  <c r="AY292" i="6"/>
  <c r="AY282" i="6"/>
  <c r="AT246" i="6"/>
  <c r="AT299" i="6"/>
  <c r="AT289" i="6"/>
  <c r="AT280" i="6"/>
  <c r="AT262" i="6"/>
  <c r="AT281" i="6"/>
  <c r="AT300" i="6"/>
  <c r="AZ300" i="6" s="1"/>
  <c r="AT267" i="6"/>
  <c r="AT251" i="6"/>
  <c r="AT268" i="6"/>
  <c r="AT259" i="6"/>
  <c r="AT298" i="6"/>
  <c r="AT294" i="6"/>
  <c r="AT291" i="6"/>
  <c r="AT258" i="6"/>
  <c r="AT254" i="6"/>
  <c r="AT269" i="6"/>
  <c r="AT272" i="6"/>
  <c r="AT273" i="6"/>
  <c r="AT256" i="6"/>
  <c r="AT264" i="6"/>
  <c r="AT282" i="6"/>
  <c r="AT301" i="6"/>
  <c r="AT286" i="6"/>
  <c r="AT288" i="6"/>
  <c r="AT296" i="6"/>
  <c r="AT297" i="6"/>
  <c r="AY197" i="6"/>
  <c r="AY203" i="6"/>
  <c r="AY177" i="6"/>
  <c r="AY158" i="6"/>
  <c r="AZ158" i="6" s="1"/>
  <c r="AY161" i="6"/>
  <c r="AY191" i="6"/>
  <c r="AY165" i="6"/>
  <c r="AY159" i="6"/>
  <c r="AY180" i="6"/>
  <c r="AY193" i="6"/>
  <c r="AY175" i="6"/>
  <c r="AY201" i="6"/>
  <c r="AY148" i="6"/>
  <c r="AY149" i="6"/>
  <c r="AZ149" i="6" s="1"/>
  <c r="AY179" i="6"/>
  <c r="AY150" i="6"/>
  <c r="AY187" i="6"/>
  <c r="AY156" i="6"/>
  <c r="AY183" i="6"/>
  <c r="AZ183" i="6" s="1"/>
  <c r="AY184" i="6"/>
  <c r="AY157" i="6"/>
  <c r="AZ157" i="6" s="1"/>
  <c r="AY195" i="6"/>
  <c r="AY188" i="6"/>
  <c r="AZ188" i="6" s="1"/>
  <c r="AY164" i="6"/>
  <c r="AY160" i="6"/>
  <c r="AY171" i="6"/>
  <c r="AY189" i="6"/>
  <c r="AY209" i="6"/>
  <c r="AY236" i="6"/>
  <c r="AZ236" i="6" s="1"/>
  <c r="AY247" i="6"/>
  <c r="AY253" i="6"/>
  <c r="AY213" i="6"/>
  <c r="AY254" i="6"/>
  <c r="AY240" i="6"/>
  <c r="AZ240" i="6" s="1"/>
  <c r="AY224" i="6"/>
  <c r="AZ224" i="6" s="1"/>
  <c r="AY206" i="6"/>
  <c r="AY207" i="6"/>
  <c r="AY223" i="6"/>
  <c r="AZ223" i="6" s="1"/>
  <c r="AY258" i="6"/>
  <c r="AY239" i="6"/>
  <c r="AZ239" i="6" s="1"/>
  <c r="AY231" i="6"/>
  <c r="AZ231" i="6" s="1"/>
  <c r="AY242" i="6"/>
  <c r="AZ242" i="6" s="1"/>
  <c r="AY259" i="6"/>
  <c r="AY237" i="6"/>
  <c r="AZ237" i="6" s="1"/>
  <c r="AY241" i="6"/>
  <c r="AZ241" i="6" s="1"/>
  <c r="AY255" i="6"/>
  <c r="AZ255" i="6" s="1"/>
  <c r="AY222" i="6"/>
  <c r="AZ222" i="6" s="1"/>
  <c r="AY221" i="6"/>
  <c r="AZ221" i="6" s="1"/>
  <c r="AY256" i="6"/>
  <c r="AY215" i="6"/>
  <c r="AZ215" i="6" s="1"/>
  <c r="AY245" i="6"/>
  <c r="AZ245" i="6" s="1"/>
  <c r="AY212" i="6"/>
  <c r="AY250" i="6"/>
  <c r="AY225" i="6"/>
  <c r="AZ225" i="6" s="1"/>
  <c r="AY380" i="6"/>
  <c r="AY373" i="6"/>
  <c r="AY372" i="6"/>
  <c r="AY375" i="6"/>
  <c r="AY353" i="6"/>
  <c r="AY352" i="6"/>
  <c r="AZ352" i="6" s="1"/>
  <c r="AY343" i="6"/>
  <c r="AZ343" i="6" s="1"/>
  <c r="AY332" i="6"/>
  <c r="AY347" i="6"/>
  <c r="AZ347" i="6" s="1"/>
  <c r="AY367" i="6"/>
  <c r="AY350" i="6"/>
  <c r="AZ350" i="6" s="1"/>
  <c r="AY327" i="6"/>
  <c r="AY365" i="6"/>
  <c r="AY359" i="6"/>
  <c r="AY358" i="6"/>
  <c r="AY351" i="6"/>
  <c r="AY349" i="6"/>
  <c r="AY345" i="6"/>
  <c r="AY369" i="6"/>
  <c r="AY354" i="6"/>
  <c r="AY370" i="6"/>
  <c r="AY371" i="6"/>
  <c r="AY338" i="6"/>
  <c r="AY333" i="6"/>
  <c r="AZ333" i="6" s="1"/>
  <c r="AY331" i="6"/>
  <c r="AY340" i="6"/>
  <c r="AZ340" i="6" s="1"/>
  <c r="AY342" i="6"/>
  <c r="AY335" i="6"/>
  <c r="AZ335" i="6" s="1"/>
  <c r="AY321" i="6"/>
  <c r="AZ321" i="6" s="1"/>
  <c r="AY339" i="6"/>
  <c r="AZ339" i="6" s="1"/>
  <c r="AY334" i="6"/>
  <c r="AZ334" i="6" s="1"/>
  <c r="AT197" i="6"/>
  <c r="AT210" i="6"/>
  <c r="AT206" i="6"/>
  <c r="AT200" i="6"/>
  <c r="AT190" i="6"/>
  <c r="AT202" i="6"/>
  <c r="AT205" i="6"/>
  <c r="AT212" i="6"/>
  <c r="AT199" i="6"/>
  <c r="AT211" i="6"/>
  <c r="AT214" i="6"/>
  <c r="AT195" i="6"/>
  <c r="AT147" i="6"/>
  <c r="AT162" i="6"/>
  <c r="AT134" i="6"/>
  <c r="AT170" i="6"/>
  <c r="AT187" i="6"/>
  <c r="AT161" i="6"/>
  <c r="AT159" i="6"/>
  <c r="AT180" i="6"/>
  <c r="AT164" i="6"/>
  <c r="AT189" i="6"/>
  <c r="AT140" i="6"/>
  <c r="AT184" i="6"/>
  <c r="AT186" i="6"/>
  <c r="AT150" i="6"/>
  <c r="AT142" i="6"/>
  <c r="AT135" i="6"/>
  <c r="AT177" i="6"/>
  <c r="AT179" i="6"/>
  <c r="AT178" i="6"/>
  <c r="AT154" i="6"/>
  <c r="AT163" i="6"/>
  <c r="AT181" i="6"/>
  <c r="AT176" i="6"/>
  <c r="AT175" i="6"/>
  <c r="AT146" i="6"/>
  <c r="AT182" i="6"/>
  <c r="AT171" i="6"/>
  <c r="AG130" i="15"/>
  <c r="AF130" i="15" s="1"/>
  <c r="AG22" i="15"/>
  <c r="AF22" i="15" s="1"/>
  <c r="AG369" i="15"/>
  <c r="AF369" i="15" s="1"/>
  <c r="AG296" i="15"/>
  <c r="AF296" i="15" s="1"/>
  <c r="AG123" i="15"/>
  <c r="AF123" i="15" s="1"/>
  <c r="AG19" i="15"/>
  <c r="AF19" i="15" s="1"/>
  <c r="AG88" i="15"/>
  <c r="AF88" i="15" s="1"/>
  <c r="AG317" i="15"/>
  <c r="AF317" i="15" s="1"/>
  <c r="AG285" i="15"/>
  <c r="AF285" i="15" s="1"/>
  <c r="AG221" i="15"/>
  <c r="AF221" i="15" s="1"/>
  <c r="AG227" i="15"/>
  <c r="AF227" i="15" s="1"/>
  <c r="AI124" i="15" l="1"/>
  <c r="AH124" i="15" s="1"/>
  <c r="AG124" i="15" s="1"/>
  <c r="AF124" i="15" s="1"/>
  <c r="U332" i="15"/>
  <c r="T332" i="15" s="1"/>
  <c r="S332" i="15" s="1"/>
  <c r="R332" i="15" s="1"/>
  <c r="U26" i="15"/>
  <c r="T26" i="15" s="1"/>
  <c r="S26" i="15" s="1"/>
  <c r="R26" i="15" s="1"/>
  <c r="U93" i="15"/>
  <c r="T93" i="15" s="1"/>
  <c r="S93" i="15" s="1"/>
  <c r="R93" i="15" s="1"/>
  <c r="U132" i="15"/>
  <c r="T132" i="15" s="1"/>
  <c r="S132" i="15" s="1"/>
  <c r="R132" i="15" s="1"/>
  <c r="AI353" i="15"/>
  <c r="AH353" i="15" s="1"/>
  <c r="AG353" i="15" s="1"/>
  <c r="AF353" i="15" s="1"/>
  <c r="U240" i="15"/>
  <c r="T240" i="15" s="1"/>
  <c r="U106" i="15"/>
  <c r="T106" i="15" s="1"/>
  <c r="S106" i="15" s="1"/>
  <c r="R106" i="15" s="1"/>
  <c r="U101" i="15"/>
  <c r="T101" i="15" s="1"/>
  <c r="S101" i="15" s="1"/>
  <c r="R101" i="15" s="1"/>
  <c r="U131" i="15"/>
  <c r="T131" i="15" s="1"/>
  <c r="S131" i="15" s="1"/>
  <c r="R131" i="15" s="1"/>
  <c r="U64" i="15"/>
  <c r="T64" i="15" s="1"/>
  <c r="S64" i="15" s="1"/>
  <c r="R64" i="15" s="1"/>
  <c r="U362" i="15"/>
  <c r="T362" i="15" s="1"/>
  <c r="S362" i="15" s="1"/>
  <c r="R362" i="15" s="1"/>
  <c r="U338" i="15"/>
  <c r="T338" i="15" s="1"/>
  <c r="S338" i="15" s="1"/>
  <c r="R338" i="15" s="1"/>
  <c r="U34" i="15"/>
  <c r="T34" i="15" s="1"/>
  <c r="S34" i="15" s="1"/>
  <c r="R34" i="15" s="1"/>
  <c r="U289" i="15"/>
  <c r="T289" i="15" s="1"/>
  <c r="S289" i="15" s="1"/>
  <c r="R289" i="15" s="1"/>
  <c r="AI303" i="15"/>
  <c r="AH303" i="15" s="1"/>
  <c r="AG303" i="15" s="1"/>
  <c r="AF303" i="15" s="1"/>
  <c r="AI189" i="15"/>
  <c r="AH189" i="15" s="1"/>
  <c r="AG189" i="15" s="1"/>
  <c r="AF189" i="15" s="1"/>
  <c r="AI148" i="15"/>
  <c r="AH148" i="15" s="1"/>
  <c r="AG148" i="15" s="1"/>
  <c r="AF148" i="15" s="1"/>
  <c r="U221" i="15"/>
  <c r="T221" i="15" s="1"/>
  <c r="U368" i="15"/>
  <c r="T368" i="15" s="1"/>
  <c r="S368" i="15" s="1"/>
  <c r="R368" i="15" s="1"/>
  <c r="U154" i="15"/>
  <c r="T154" i="15" s="1"/>
  <c r="S154" i="15" s="1"/>
  <c r="R154" i="15" s="1"/>
  <c r="U301" i="15"/>
  <c r="T301" i="15" s="1"/>
  <c r="U83" i="15"/>
  <c r="T83" i="15" s="1"/>
  <c r="S83" i="15" s="1"/>
  <c r="R83" i="15" s="1"/>
  <c r="U234" i="15"/>
  <c r="T234" i="15" s="1"/>
  <c r="S234" i="15" s="1"/>
  <c r="R234" i="15" s="1"/>
  <c r="U175" i="15"/>
  <c r="T175" i="15" s="1"/>
  <c r="U187" i="15"/>
  <c r="T187" i="15" s="1"/>
  <c r="S187" i="15" s="1"/>
  <c r="R187" i="15" s="1"/>
  <c r="U23" i="15"/>
  <c r="T23" i="15" s="1"/>
  <c r="S23" i="15" s="1"/>
  <c r="R23" i="15" s="1"/>
  <c r="U248" i="15"/>
  <c r="T248" i="15" s="1"/>
  <c r="U223" i="15"/>
  <c r="T223" i="15" s="1"/>
  <c r="U283" i="15"/>
  <c r="T283" i="15" s="1"/>
  <c r="S283" i="15" s="1"/>
  <c r="R283" i="15" s="1"/>
  <c r="U344" i="15"/>
  <c r="T344" i="15" s="1"/>
  <c r="S344" i="15" s="1"/>
  <c r="R344" i="15" s="1"/>
  <c r="AI62" i="15"/>
  <c r="AH62" i="15" s="1"/>
  <c r="AG62" i="15" s="1"/>
  <c r="AF62" i="15" s="1"/>
  <c r="AI302" i="15"/>
  <c r="AH302" i="15" s="1"/>
  <c r="AG302" i="15" s="1"/>
  <c r="AF302" i="15" s="1"/>
  <c r="AI118" i="15"/>
  <c r="AH118" i="15" s="1"/>
  <c r="AG118" i="15" s="1"/>
  <c r="AF118" i="15" s="1"/>
  <c r="AI331" i="15"/>
  <c r="AH331" i="15" s="1"/>
  <c r="AG331" i="15" s="1"/>
  <c r="AF331" i="15" s="1"/>
  <c r="AI244" i="15"/>
  <c r="AH244" i="15" s="1"/>
  <c r="AG244" i="15" s="1"/>
  <c r="AF244" i="15" s="1"/>
  <c r="AI108" i="15"/>
  <c r="AH108" i="15" s="1"/>
  <c r="AG108" i="15" s="1"/>
  <c r="AF108" i="15" s="1"/>
  <c r="AI321" i="15"/>
  <c r="AH321" i="15" s="1"/>
  <c r="AG321" i="15" s="1"/>
  <c r="AF321" i="15" s="1"/>
  <c r="AI228" i="15"/>
  <c r="AH228" i="15" s="1"/>
  <c r="AG228" i="15" s="1"/>
  <c r="AF228" i="15" s="1"/>
  <c r="AI61" i="15"/>
  <c r="AH61" i="15" s="1"/>
  <c r="AG61" i="15" s="1"/>
  <c r="AF61" i="15" s="1"/>
  <c r="AI46" i="15"/>
  <c r="AH46" i="15" s="1"/>
  <c r="AG46" i="15" s="1"/>
  <c r="AF46" i="15" s="1"/>
  <c r="AI337" i="15"/>
  <c r="AH337" i="15" s="1"/>
  <c r="AG337" i="15" s="1"/>
  <c r="AF337" i="15" s="1"/>
  <c r="AI146" i="15"/>
  <c r="AH146" i="15" s="1"/>
  <c r="AG146" i="15" s="1"/>
  <c r="AF146" i="15" s="1"/>
  <c r="AI315" i="15"/>
  <c r="AH315" i="15" s="1"/>
  <c r="AG315" i="15" s="1"/>
  <c r="AF315" i="15" s="1"/>
  <c r="AI168" i="15"/>
  <c r="AH168" i="15" s="1"/>
  <c r="AG168" i="15" s="1"/>
  <c r="AF168" i="15" s="1"/>
  <c r="AI97" i="15"/>
  <c r="AH97" i="15" s="1"/>
  <c r="AG97" i="15" s="1"/>
  <c r="AF97" i="15" s="1"/>
  <c r="AI368" i="15"/>
  <c r="AH368" i="15" s="1"/>
  <c r="AG368" i="15" s="1"/>
  <c r="AF368" i="15" s="1"/>
  <c r="AI175" i="15"/>
  <c r="AH175" i="15" s="1"/>
  <c r="AG175" i="15" s="1"/>
  <c r="AF175" i="15" s="1"/>
  <c r="AI297" i="15"/>
  <c r="AH297" i="15" s="1"/>
  <c r="AG297" i="15" s="1"/>
  <c r="AF297" i="15" s="1"/>
  <c r="U217" i="15"/>
  <c r="T217" i="15" s="1"/>
  <c r="S217" i="15" s="1"/>
  <c r="R217" i="15" s="1"/>
  <c r="U235" i="15"/>
  <c r="T235" i="15" s="1"/>
  <c r="S235" i="15" s="1"/>
  <c r="R235" i="15" s="1"/>
  <c r="U350" i="15"/>
  <c r="T350" i="15" s="1"/>
  <c r="S350" i="15" s="1"/>
  <c r="R350" i="15" s="1"/>
  <c r="U199" i="15"/>
  <c r="T199" i="15" s="1"/>
  <c r="S199" i="15" s="1"/>
  <c r="R199" i="15" s="1"/>
  <c r="U52" i="15"/>
  <c r="T52" i="15" s="1"/>
  <c r="S52" i="15" s="1"/>
  <c r="R52" i="15" s="1"/>
  <c r="U178" i="15"/>
  <c r="T178" i="15" s="1"/>
  <c r="S178" i="15" s="1"/>
  <c r="R178" i="15" s="1"/>
  <c r="U264" i="15"/>
  <c r="T264" i="15" s="1"/>
  <c r="S264" i="15" s="1"/>
  <c r="R264" i="15" s="1"/>
  <c r="U117" i="15"/>
  <c r="T117" i="15" s="1"/>
  <c r="U182" i="15"/>
  <c r="T182" i="15" s="1"/>
  <c r="S182" i="15" s="1"/>
  <c r="R182" i="15" s="1"/>
  <c r="U287" i="15"/>
  <c r="T287" i="15" s="1"/>
  <c r="S287" i="15" s="1"/>
  <c r="R287" i="15" s="1"/>
  <c r="U31" i="15"/>
  <c r="T31" i="15" s="1"/>
  <c r="S31" i="15" s="1"/>
  <c r="R31" i="15" s="1"/>
  <c r="U140" i="15"/>
  <c r="T140" i="15" s="1"/>
  <c r="S140" i="15" s="1"/>
  <c r="R140" i="15" s="1"/>
  <c r="U162" i="15"/>
  <c r="T162" i="15" s="1"/>
  <c r="S162" i="15" s="1"/>
  <c r="R162" i="15" s="1"/>
  <c r="U376" i="15"/>
  <c r="T376" i="15" s="1"/>
  <c r="S376" i="15" s="1"/>
  <c r="R376" i="15" s="1"/>
  <c r="U229" i="15"/>
  <c r="T229" i="15" s="1"/>
  <c r="U238" i="15"/>
  <c r="T238" i="15" s="1"/>
  <c r="S238" i="15" s="1"/>
  <c r="R238" i="15" s="1"/>
  <c r="U343" i="15"/>
  <c r="T343" i="15" s="1"/>
  <c r="S343" i="15" s="1"/>
  <c r="R343" i="15" s="1"/>
  <c r="U87" i="15"/>
  <c r="T87" i="15" s="1"/>
  <c r="U196" i="15"/>
  <c r="T196" i="15" s="1"/>
  <c r="S196" i="15" s="1"/>
  <c r="R196" i="15" s="1"/>
  <c r="U305" i="15"/>
  <c r="T305" i="15" s="1"/>
  <c r="S305" i="15" s="1"/>
  <c r="R305" i="15" s="1"/>
  <c r="U49" i="15"/>
  <c r="T49" i="15" s="1"/>
  <c r="U315" i="15"/>
  <c r="T315" i="15" s="1"/>
  <c r="S315" i="15" s="1"/>
  <c r="R315" i="15" s="1"/>
  <c r="U168" i="15"/>
  <c r="T168" i="15" s="1"/>
  <c r="S168" i="15" s="1"/>
  <c r="R168" i="15" s="1"/>
  <c r="U21" i="15"/>
  <c r="T21" i="15" s="1"/>
  <c r="S21" i="15" s="1"/>
  <c r="R21" i="15" s="1"/>
  <c r="U134" i="15"/>
  <c r="T134" i="15" s="1"/>
  <c r="S134" i="15" s="1"/>
  <c r="R134" i="15" s="1"/>
  <c r="U239" i="15"/>
  <c r="T239" i="15" s="1"/>
  <c r="S239" i="15" s="1"/>
  <c r="R239" i="15" s="1"/>
  <c r="U348" i="15"/>
  <c r="T348" i="15" s="1"/>
  <c r="S348" i="15" s="1"/>
  <c r="R348" i="15" s="1"/>
  <c r="U29" i="15"/>
  <c r="T29" i="15" s="1"/>
  <c r="S29" i="15" s="1"/>
  <c r="R29" i="15" s="1"/>
  <c r="U285" i="15"/>
  <c r="T285" i="15" s="1"/>
  <c r="S285" i="15" s="1"/>
  <c r="R285" i="15" s="1"/>
  <c r="U176" i="15"/>
  <c r="T176" i="15" s="1"/>
  <c r="S176" i="15" s="1"/>
  <c r="R176" i="15" s="1"/>
  <c r="U67" i="15"/>
  <c r="T67" i="15" s="1"/>
  <c r="S67" i="15" s="1"/>
  <c r="R67" i="15" s="1"/>
  <c r="U323" i="15"/>
  <c r="T323" i="15" s="1"/>
  <c r="U218" i="15"/>
  <c r="T218" i="15" s="1"/>
  <c r="S218" i="15" s="1"/>
  <c r="R218" i="15" s="1"/>
  <c r="U109" i="15"/>
  <c r="T109" i="15" s="1"/>
  <c r="S109" i="15" s="1"/>
  <c r="R109" i="15" s="1"/>
  <c r="U365" i="15"/>
  <c r="T365" i="15" s="1"/>
  <c r="S365" i="15" s="1"/>
  <c r="R365" i="15" s="1"/>
  <c r="U256" i="15"/>
  <c r="T256" i="15" s="1"/>
  <c r="U147" i="15"/>
  <c r="T147" i="15" s="1"/>
  <c r="S147" i="15" s="1"/>
  <c r="R147" i="15" s="1"/>
  <c r="AZ329" i="6"/>
  <c r="AZ192" i="6"/>
  <c r="AZ290" i="6"/>
  <c r="AH13" i="7"/>
  <c r="AI13" i="7"/>
  <c r="T379" i="15"/>
  <c r="S379" i="15" s="1"/>
  <c r="R379" i="15" s="1"/>
  <c r="U12" i="16"/>
  <c r="U10" i="16" s="1"/>
  <c r="AZ146" i="6"/>
  <c r="AZ213" i="6"/>
  <c r="AZ318" i="6"/>
  <c r="AZ325" i="6"/>
  <c r="O382" i="18"/>
  <c r="O383" i="18"/>
  <c r="O381" i="18"/>
  <c r="T15" i="15"/>
  <c r="S15" i="15" s="1"/>
  <c r="AG10" i="7"/>
  <c r="E7" i="20" s="1"/>
  <c r="O10" i="20" s="1"/>
  <c r="P13" i="7"/>
  <c r="AJ10" i="17"/>
  <c r="AJ12" i="17" s="1"/>
  <c r="Q13" i="7"/>
  <c r="T16" i="15"/>
  <c r="S16" i="15" s="1"/>
  <c r="R16" i="15" s="1"/>
  <c r="AI383" i="15"/>
  <c r="AL11" i="7"/>
  <c r="AG11" i="7"/>
  <c r="Q11" i="20" s="1"/>
  <c r="AF15" i="7"/>
  <c r="P11" i="20"/>
  <c r="AE11" i="17"/>
  <c r="P10" i="17"/>
  <c r="L14" i="19"/>
  <c r="AI11" i="17"/>
  <c r="AK9" i="17"/>
  <c r="AM9" i="17"/>
  <c r="AM5" i="17"/>
  <c r="AM7" i="17"/>
  <c r="AM11" i="17" s="1"/>
  <c r="AK6" i="17"/>
  <c r="AK7" i="17"/>
  <c r="AK11" i="17" s="1"/>
  <c r="AK5" i="17"/>
  <c r="AH17" i="15"/>
  <c r="AE381" i="15"/>
  <c r="AE382" i="15"/>
  <c r="AE383" i="15"/>
  <c r="J15" i="7"/>
  <c r="Q12" i="16"/>
  <c r="AG16" i="15"/>
  <c r="AF16" i="15" s="1"/>
  <c r="AK17" i="18"/>
  <c r="AK19" i="18"/>
  <c r="AK28" i="18"/>
  <c r="AK35" i="18"/>
  <c r="AK44" i="18"/>
  <c r="AK26" i="18"/>
  <c r="AK48" i="18"/>
  <c r="AK55" i="18"/>
  <c r="AK60" i="18"/>
  <c r="AK75" i="18"/>
  <c r="AK86" i="18"/>
  <c r="AK34" i="18"/>
  <c r="AK54" i="18"/>
  <c r="AK68" i="18"/>
  <c r="AK87" i="18"/>
  <c r="AK94" i="18"/>
  <c r="AK102" i="18"/>
  <c r="AK109" i="18"/>
  <c r="AK115" i="18"/>
  <c r="AK128" i="18"/>
  <c r="AK133" i="18"/>
  <c r="AK141" i="18"/>
  <c r="AK149" i="18"/>
  <c r="AK157" i="18"/>
  <c r="AK166" i="18"/>
  <c r="AK177" i="18"/>
  <c r="AK27" i="18"/>
  <c r="AK47" i="18"/>
  <c r="AK71" i="18"/>
  <c r="AK82" i="18"/>
  <c r="AK98" i="18"/>
  <c r="AK127" i="18"/>
  <c r="AK146" i="18"/>
  <c r="AK158" i="18"/>
  <c r="AK174" i="18"/>
  <c r="AK188" i="18"/>
  <c r="AK194" i="18"/>
  <c r="AK207" i="18"/>
  <c r="AK217" i="18"/>
  <c r="AK222" i="18"/>
  <c r="AK228" i="18"/>
  <c r="AK233" i="18"/>
  <c r="AK242" i="18"/>
  <c r="AK247" i="18"/>
  <c r="AK251" i="18"/>
  <c r="AK260" i="18"/>
  <c r="AK269" i="18"/>
  <c r="AK277" i="18"/>
  <c r="AK16" i="18"/>
  <c r="P12" i="18"/>
  <c r="AK23" i="18"/>
  <c r="AK30" i="18"/>
  <c r="AK38" i="18"/>
  <c r="AK45" i="18"/>
  <c r="AK29" i="18"/>
  <c r="AK49" i="18"/>
  <c r="AK56" i="18"/>
  <c r="AK62" i="18"/>
  <c r="AK76" i="18"/>
  <c r="AK88" i="18"/>
  <c r="AK37" i="18"/>
  <c r="AK61" i="18"/>
  <c r="AK79" i="18"/>
  <c r="AK90" i="18"/>
  <c r="AK95" i="18"/>
  <c r="AK103" i="18"/>
  <c r="AK110" i="18"/>
  <c r="AK116" i="18"/>
  <c r="AK129" i="18"/>
  <c r="AK134" i="18"/>
  <c r="AK144" i="18"/>
  <c r="AK150" i="18"/>
  <c r="AK159" i="18"/>
  <c r="AK167" i="18"/>
  <c r="AK182" i="18"/>
  <c r="AK36" i="18"/>
  <c r="AK63" i="18"/>
  <c r="AK72" i="18"/>
  <c r="F8" i="18"/>
  <c r="AK24" i="18"/>
  <c r="AK39" i="18"/>
  <c r="AK31" i="18"/>
  <c r="AK57" i="18"/>
  <c r="AK83" i="18"/>
  <c r="AK43" i="18"/>
  <c r="AK80" i="18"/>
  <c r="AK99" i="18"/>
  <c r="AK112" i="18"/>
  <c r="AK130" i="18"/>
  <c r="AK145" i="18"/>
  <c r="AK164" i="18"/>
  <c r="AK183" i="18"/>
  <c r="AK64" i="18"/>
  <c r="AK96" i="18"/>
  <c r="AK139" i="18"/>
  <c r="AK161" i="18"/>
  <c r="AK190" i="18"/>
  <c r="AK211" i="18"/>
  <c r="AK225" i="18"/>
  <c r="AK237" i="18"/>
  <c r="AK249" i="18"/>
  <c r="AK267" i="18"/>
  <c r="AK279" i="18"/>
  <c r="AK18" i="18"/>
  <c r="AK33" i="18"/>
  <c r="AK22" i="18"/>
  <c r="AK53" i="18"/>
  <c r="AK69" i="18"/>
  <c r="AK20" i="18"/>
  <c r="AK67" i="18"/>
  <c r="AK93" i="18"/>
  <c r="AK106" i="18"/>
  <c r="AK126" i="18"/>
  <c r="AK140" i="18"/>
  <c r="AK156" i="18"/>
  <c r="AK171" i="18"/>
  <c r="AK46" i="18"/>
  <c r="AK81" i="18"/>
  <c r="AK97" i="18"/>
  <c r="AK121" i="18"/>
  <c r="AK143" i="18"/>
  <c r="AK155" i="18"/>
  <c r="AK172" i="18"/>
  <c r="AK184" i="18"/>
  <c r="AK191" i="18"/>
  <c r="AK201" i="18"/>
  <c r="AK216" i="18"/>
  <c r="AK221" i="18"/>
  <c r="AK227" i="18"/>
  <c r="AK232" i="18"/>
  <c r="AK239" i="18"/>
  <c r="AK245" i="18"/>
  <c r="AK250" i="18"/>
  <c r="AK259" i="18"/>
  <c r="AK268" i="18"/>
  <c r="AK276" i="18"/>
  <c r="AK281" i="18"/>
  <c r="AK287" i="18"/>
  <c r="AK292" i="18"/>
  <c r="AK299" i="18"/>
  <c r="AK311" i="18"/>
  <c r="AK327" i="18"/>
  <c r="AK337" i="18"/>
  <c r="AK341" i="18"/>
  <c r="AK350" i="18"/>
  <c r="AK355" i="18"/>
  <c r="AK360" i="18"/>
  <c r="AK365" i="18"/>
  <c r="AK111" i="18"/>
  <c r="AK124" i="18"/>
  <c r="AK105" i="18"/>
  <c r="AK125" i="18"/>
  <c r="AK142" i="18"/>
  <c r="AK187" i="18"/>
  <c r="AK203" i="18"/>
  <c r="AK209" i="18"/>
  <c r="AK162" i="18"/>
  <c r="AK176" i="18"/>
  <c r="AK192" i="18"/>
  <c r="AK205" i="18"/>
  <c r="AK234" i="18"/>
  <c r="AK253" i="18"/>
  <c r="AK264" i="18"/>
  <c r="AK274" i="18"/>
  <c r="AK303" i="18"/>
  <c r="AK316" i="18"/>
  <c r="AK331" i="18"/>
  <c r="AK231" i="18"/>
  <c r="AK256" i="18"/>
  <c r="AK282" i="18"/>
  <c r="AK300" i="18"/>
  <c r="AK307" i="18"/>
  <c r="AK317" i="18"/>
  <c r="AK333" i="18"/>
  <c r="AK342" i="18"/>
  <c r="AK366" i="18"/>
  <c r="AK372" i="18"/>
  <c r="AK353" i="18"/>
  <c r="AK370" i="18"/>
  <c r="AK378" i="18"/>
  <c r="AK285" i="18"/>
  <c r="AK291" i="18"/>
  <c r="AK298" i="18"/>
  <c r="AK310" i="18"/>
  <c r="AK324" i="18"/>
  <c r="AK330" i="18"/>
  <c r="AK340" i="18"/>
  <c r="AK347" i="18"/>
  <c r="AK354" i="18"/>
  <c r="AK359" i="18"/>
  <c r="AK364" i="18"/>
  <c r="AK101" i="18"/>
  <c r="AK123" i="18"/>
  <c r="AK78" i="18"/>
  <c r="AK119" i="18"/>
  <c r="AK138" i="18"/>
  <c r="AK175" i="18"/>
  <c r="AK200" i="18"/>
  <c r="AK208" i="18"/>
  <c r="AK154" i="18"/>
  <c r="AK173" i="18"/>
  <c r="AK185" i="18"/>
  <c r="AK202" i="18"/>
  <c r="AK219" i="18"/>
  <c r="AK241" i="18"/>
  <c r="AK261" i="18"/>
  <c r="AK273" i="18"/>
  <c r="AK293" i="18"/>
  <c r="AK314" i="18"/>
  <c r="AK320" i="18"/>
  <c r="AK226" i="18"/>
  <c r="AK254" i="18"/>
  <c r="AK275" i="18"/>
  <c r="AK297" i="18"/>
  <c r="AK305" i="18"/>
  <c r="AK315" i="18"/>
  <c r="AK326" i="18"/>
  <c r="AK336" i="18"/>
  <c r="AK348" i="18"/>
  <c r="AK371" i="18"/>
  <c r="AK349" i="18"/>
  <c r="AK368" i="18"/>
  <c r="AK377" i="18"/>
  <c r="AK380" i="18"/>
  <c r="AK32" i="18"/>
  <c r="AK21" i="18"/>
  <c r="AK52" i="18"/>
  <c r="AK65" i="18"/>
  <c r="AK91" i="18"/>
  <c r="AK66" i="18"/>
  <c r="AK92" i="18"/>
  <c r="AK104" i="18"/>
  <c r="AK120" i="18"/>
  <c r="AK137" i="18"/>
  <c r="AK153" i="18"/>
  <c r="AK168" i="18"/>
  <c r="AK40" i="18"/>
  <c r="AK74" i="18"/>
  <c r="AK118" i="18"/>
  <c r="AK152" i="18"/>
  <c r="AK181" i="18"/>
  <c r="AK198" i="18"/>
  <c r="AK220" i="18"/>
  <c r="AK230" i="18"/>
  <c r="AK244" i="18"/>
  <c r="AK258" i="18"/>
  <c r="AK272" i="18"/>
  <c r="AK15" i="18"/>
  <c r="AK25" i="18"/>
  <c r="AK41" i="18"/>
  <c r="AK42" i="18"/>
  <c r="AK58" i="18"/>
  <c r="AK84" i="18"/>
  <c r="AK50" i="18"/>
  <c r="AK85" i="18"/>
  <c r="AK100" i="18"/>
  <c r="AK113" i="18"/>
  <c r="AK132" i="18"/>
  <c r="AK148" i="18"/>
  <c r="AK165" i="18"/>
  <c r="AK186" i="18"/>
  <c r="AK70" i="18"/>
  <c r="AK89" i="18"/>
  <c r="AK117" i="18"/>
  <c r="AK131" i="18"/>
  <c r="AK151" i="18"/>
  <c r="AK160" i="18"/>
  <c r="AK180" i="18"/>
  <c r="AK189" i="18"/>
  <c r="AK195" i="18"/>
  <c r="AK210" i="18"/>
  <c r="AK218" i="18"/>
  <c r="AK223" i="18"/>
  <c r="AK229" i="18"/>
  <c r="AK236" i="18"/>
  <c r="AK243" i="18"/>
  <c r="AK248" i="18"/>
  <c r="AK252" i="18"/>
  <c r="AK262" i="18"/>
  <c r="AK270" i="18"/>
  <c r="AK278" i="18"/>
  <c r="AK284" i="18"/>
  <c r="AK290" i="18"/>
  <c r="AK296" i="18"/>
  <c r="AK308" i="18"/>
  <c r="AK323" i="18"/>
  <c r="AK329" i="18"/>
  <c r="AK339" i="18"/>
  <c r="AK346" i="18"/>
  <c r="AK352" i="18"/>
  <c r="AK358" i="18"/>
  <c r="AK363" i="18"/>
  <c r="AK77" i="18"/>
  <c r="AK122" i="18"/>
  <c r="AK73" i="18"/>
  <c r="AK108" i="18"/>
  <c r="AK136" i="18"/>
  <c r="AK170" i="18"/>
  <c r="AK197" i="18"/>
  <c r="AK206" i="18"/>
  <c r="AK213" i="18"/>
  <c r="AK169" i="18"/>
  <c r="AK179" i="18"/>
  <c r="AK199" i="18"/>
  <c r="AK215" i="18"/>
  <c r="AK240" i="18"/>
  <c r="AK257" i="18"/>
  <c r="AK271" i="18"/>
  <c r="AK289" i="18"/>
  <c r="AK309" i="18"/>
  <c r="AK319" i="18"/>
  <c r="AK224" i="18"/>
  <c r="AK246" i="18"/>
  <c r="AK265" i="18"/>
  <c r="AK295" i="18"/>
  <c r="AK304" i="18"/>
  <c r="AK313" i="18"/>
  <c r="AK325" i="18"/>
  <c r="AK335" i="18"/>
  <c r="AK345" i="18"/>
  <c r="AK369" i="18"/>
  <c r="AK374" i="18"/>
  <c r="AK362" i="18"/>
  <c r="AK376" i="18"/>
  <c r="AK283" i="18"/>
  <c r="AK288" i="18"/>
  <c r="AK294" i="18"/>
  <c r="AK302" i="18"/>
  <c r="AK321" i="18"/>
  <c r="AK328" i="18"/>
  <c r="AK338" i="18"/>
  <c r="AK343" i="18"/>
  <c r="AK351" i="18"/>
  <c r="AK357" i="18"/>
  <c r="AK361" i="18"/>
  <c r="AK59" i="18"/>
  <c r="AK114" i="18"/>
  <c r="AK51" i="18"/>
  <c r="AK107" i="18"/>
  <c r="AK135" i="18"/>
  <c r="AK147" i="18"/>
  <c r="AK193" i="18"/>
  <c r="AK204" i="18"/>
  <c r="AK212" i="18"/>
  <c r="AK163" i="18"/>
  <c r="AK178" i="18"/>
  <c r="AK196" i="18"/>
  <c r="AK214" i="18"/>
  <c r="AK238" i="18"/>
  <c r="AK255" i="18"/>
  <c r="AK266" i="18"/>
  <c r="AK280" i="18"/>
  <c r="AK306" i="18"/>
  <c r="AK318" i="18"/>
  <c r="AK332" i="18"/>
  <c r="AK235" i="18"/>
  <c r="AK263" i="18"/>
  <c r="AK286" i="18"/>
  <c r="AK301" i="18"/>
  <c r="AK312" i="18"/>
  <c r="AK322" i="18"/>
  <c r="AK334" i="18"/>
  <c r="AK344" i="18"/>
  <c r="AK367" i="18"/>
  <c r="AK373" i="18"/>
  <c r="AK356" i="18"/>
  <c r="AK375" i="18"/>
  <c r="AK379" i="18"/>
  <c r="AH379" i="15"/>
  <c r="AG379" i="15" s="1"/>
  <c r="AF379" i="15" s="1"/>
  <c r="AI12" i="16"/>
  <c r="Q383" i="15"/>
  <c r="Q382" i="15"/>
  <c r="Q381" i="15"/>
  <c r="L36" i="19"/>
  <c r="AC9" i="23"/>
  <c r="AJ138" i="24"/>
  <c r="AJ156" i="24"/>
  <c r="AJ170" i="24"/>
  <c r="AJ23" i="24"/>
  <c r="AJ98" i="24"/>
  <c r="AJ133" i="24"/>
  <c r="AJ174" i="24"/>
  <c r="AJ191" i="24"/>
  <c r="AJ208" i="24"/>
  <c r="AJ224" i="24"/>
  <c r="AJ244" i="24"/>
  <c r="AJ266" i="24"/>
  <c r="AJ278" i="24"/>
  <c r="AJ291" i="24"/>
  <c r="AJ310" i="24"/>
  <c r="AJ322" i="24"/>
  <c r="AJ333" i="24"/>
  <c r="AJ347" i="24"/>
  <c r="AJ49" i="24"/>
  <c r="AJ116" i="24"/>
  <c r="AJ102" i="24"/>
  <c r="AJ380" i="24"/>
  <c r="AJ29" i="24"/>
  <c r="AJ24" i="24"/>
  <c r="AJ43" i="24"/>
  <c r="AJ58" i="24"/>
  <c r="AJ75" i="24"/>
  <c r="AJ44" i="24"/>
  <c r="AJ73" i="24"/>
  <c r="AJ96" i="24"/>
  <c r="AJ111" i="24"/>
  <c r="AJ130" i="24"/>
  <c r="AJ149" i="24"/>
  <c r="AJ166" i="24"/>
  <c r="AJ178" i="24"/>
  <c r="AJ84" i="24"/>
  <c r="AJ123" i="24"/>
  <c r="AJ162" i="24"/>
  <c r="AJ186" i="24"/>
  <c r="AJ201" i="24"/>
  <c r="AJ216" i="24"/>
  <c r="AJ236" i="24"/>
  <c r="AJ257" i="24"/>
  <c r="AJ273" i="24"/>
  <c r="AJ285" i="24"/>
  <c r="AJ306" i="24"/>
  <c r="AJ318" i="24"/>
  <c r="AJ329" i="24"/>
  <c r="AJ343" i="24"/>
  <c r="AJ359" i="24"/>
  <c r="AJ100" i="24"/>
  <c r="AJ83" i="24"/>
  <c r="AJ141" i="24"/>
  <c r="AJ192" i="24"/>
  <c r="AJ203" i="24"/>
  <c r="AJ128" i="24"/>
  <c r="AJ150" i="24"/>
  <c r="AJ180" i="24"/>
  <c r="AJ200" i="24"/>
  <c r="AJ214" i="24"/>
  <c r="AJ239" i="24"/>
  <c r="AJ249" i="24"/>
  <c r="AJ263" i="24"/>
  <c r="AJ15" i="24"/>
  <c r="AJ26" i="24"/>
  <c r="F7" i="24"/>
  <c r="AC12" i="24" s="1"/>
  <c r="AJ38" i="24"/>
  <c r="AJ52" i="24"/>
  <c r="AJ72" i="24"/>
  <c r="AJ22" i="24"/>
  <c r="AJ62" i="24"/>
  <c r="AJ91" i="24"/>
  <c r="AJ109" i="24"/>
  <c r="AJ122" i="24"/>
  <c r="AJ144" i="24"/>
  <c r="AJ160" i="24"/>
  <c r="AJ175" i="24"/>
  <c r="AJ63" i="24"/>
  <c r="AJ113" i="24"/>
  <c r="AJ151" i="24"/>
  <c r="AJ183" i="24"/>
  <c r="AJ197" i="24"/>
  <c r="AJ212" i="24"/>
  <c r="AJ231" i="24"/>
  <c r="AJ254" i="24"/>
  <c r="AJ271" i="24"/>
  <c r="AJ283" i="24"/>
  <c r="AJ302" i="24"/>
  <c r="AJ315" i="24"/>
  <c r="AJ326" i="24"/>
  <c r="AJ339" i="24"/>
  <c r="AJ354" i="24"/>
  <c r="AJ88" i="24"/>
  <c r="AJ39" i="24"/>
  <c r="AJ135" i="24"/>
  <c r="AJ190" i="24"/>
  <c r="AJ199" i="24"/>
  <c r="AJ127" i="24"/>
  <c r="AJ143" i="24"/>
  <c r="AJ161" i="24"/>
  <c r="AJ188" i="24"/>
  <c r="AJ209" i="24"/>
  <c r="AJ227" i="24"/>
  <c r="AJ248" i="24"/>
  <c r="AJ262" i="24"/>
  <c r="AJ277" i="24"/>
  <c r="AJ293" i="24"/>
  <c r="AJ300" i="24"/>
  <c r="AJ317" i="24"/>
  <c r="AJ219" i="24"/>
  <c r="AJ228" i="24"/>
  <c r="AJ234" i="24"/>
  <c r="AJ250" i="24"/>
  <c r="AJ260" i="24"/>
  <c r="AJ282" i="24"/>
  <c r="AJ298" i="24"/>
  <c r="AJ321" i="24"/>
  <c r="AJ340" i="24"/>
  <c r="AJ353" i="24"/>
  <c r="AJ364" i="24"/>
  <c r="AJ372" i="24"/>
  <c r="AJ362" i="24"/>
  <c r="AJ369" i="24"/>
  <c r="AJ376" i="24"/>
  <c r="AJ289" i="24"/>
  <c r="AJ314" i="24"/>
  <c r="AJ223" i="24"/>
  <c r="AJ245" i="24"/>
  <c r="AJ274" i="24"/>
  <c r="AJ313" i="24"/>
  <c r="AJ351" i="24"/>
  <c r="AJ371" i="24"/>
  <c r="AJ363" i="24"/>
  <c r="AJ378" i="24"/>
  <c r="AJ301" i="24"/>
  <c r="AJ220" i="24"/>
  <c r="AJ240" i="24"/>
  <c r="AJ261" i="24"/>
  <c r="AJ304" i="24"/>
  <c r="AJ345" i="24"/>
  <c r="AJ366" i="24"/>
  <c r="AJ367" i="24"/>
  <c r="AJ379" i="24"/>
  <c r="AJ146" i="24"/>
  <c r="AJ165" i="24"/>
  <c r="AJ176" i="24"/>
  <c r="AJ80" i="24"/>
  <c r="AJ114" i="24"/>
  <c r="AJ153" i="24"/>
  <c r="AJ184" i="24"/>
  <c r="AJ198" i="24"/>
  <c r="AJ215" i="24"/>
  <c r="AJ235" i="24"/>
  <c r="AJ255" i="24"/>
  <c r="AJ272" i="24"/>
  <c r="AJ284" i="24"/>
  <c r="AJ303" i="24"/>
  <c r="AJ316" i="24"/>
  <c r="AJ327" i="24"/>
  <c r="AJ342" i="24"/>
  <c r="AJ357" i="24"/>
  <c r="AJ90" i="24"/>
  <c r="AJ65" i="24"/>
  <c r="AJ16" i="24"/>
  <c r="AJ21" i="24"/>
  <c r="AJ37" i="24"/>
  <c r="AJ34" i="24"/>
  <c r="AJ50" i="24"/>
  <c r="AJ69" i="24"/>
  <c r="AJ86" i="24"/>
  <c r="AJ57" i="24"/>
  <c r="AJ81" i="24"/>
  <c r="AJ106" i="24"/>
  <c r="AJ120" i="24"/>
  <c r="AJ139" i="24"/>
  <c r="AJ157" i="24"/>
  <c r="AJ172" i="24"/>
  <c r="AJ59" i="24"/>
  <c r="AJ103" i="24"/>
  <c r="AJ145" i="24"/>
  <c r="AJ177" i="24"/>
  <c r="AJ194" i="24"/>
  <c r="AJ210" i="24"/>
  <c r="AJ226" i="24"/>
  <c r="AJ246" i="24"/>
  <c r="AJ268" i="24"/>
  <c r="AJ280" i="24"/>
  <c r="AJ294" i="24"/>
  <c r="AJ311" i="24"/>
  <c r="AJ323" i="24"/>
  <c r="AJ334" i="24"/>
  <c r="AJ348" i="24"/>
  <c r="AJ53" i="24"/>
  <c r="AJ117" i="24"/>
  <c r="AJ126" i="24"/>
  <c r="AJ171" i="24"/>
  <c r="AJ195" i="24"/>
  <c r="AJ213" i="24"/>
  <c r="AJ142" i="24"/>
  <c r="AJ158" i="24"/>
  <c r="AJ185" i="24"/>
  <c r="AJ205" i="24"/>
  <c r="AJ225" i="24"/>
  <c r="AJ242" i="24"/>
  <c r="AJ252" i="24"/>
  <c r="AJ269" i="24"/>
  <c r="AJ19" i="24"/>
  <c r="AJ32" i="24"/>
  <c r="AJ31" i="24"/>
  <c r="AJ47" i="24"/>
  <c r="AJ67" i="24"/>
  <c r="AJ82" i="24"/>
  <c r="AJ55" i="24"/>
  <c r="AJ77" i="24"/>
  <c r="AJ99" i="24"/>
  <c r="AJ115" i="24"/>
  <c r="AJ136" i="24"/>
  <c r="AJ154" i="24"/>
  <c r="AJ169" i="24"/>
  <c r="AX13" i="7"/>
  <c r="AJ94" i="24"/>
  <c r="AJ132" i="24"/>
  <c r="AJ168" i="24"/>
  <c r="AJ189" i="24"/>
  <c r="AJ206" i="24"/>
  <c r="AJ222" i="24"/>
  <c r="AJ238" i="24"/>
  <c r="AJ264" i="24"/>
  <c r="AJ276" i="24"/>
  <c r="AJ290" i="24"/>
  <c r="AJ308" i="24"/>
  <c r="AJ320" i="24"/>
  <c r="AJ332" i="24"/>
  <c r="AJ346" i="24"/>
  <c r="AJ361" i="24"/>
  <c r="AJ108" i="24"/>
  <c r="AJ93" i="24"/>
  <c r="AJ164" i="24"/>
  <c r="AJ193" i="24"/>
  <c r="AJ207" i="24"/>
  <c r="AJ131" i="24"/>
  <c r="AJ155" i="24"/>
  <c r="AJ182" i="24"/>
  <c r="AJ204" i="24"/>
  <c r="AJ217" i="24"/>
  <c r="AJ241" i="24"/>
  <c r="AJ251" i="24"/>
  <c r="AJ265" i="24"/>
  <c r="AJ279" i="24"/>
  <c r="AJ296" i="24"/>
  <c r="AJ309" i="24"/>
  <c r="AJ330" i="24"/>
  <c r="AJ221" i="24"/>
  <c r="AJ232" i="24"/>
  <c r="AJ243" i="24"/>
  <c r="AJ256" i="24"/>
  <c r="AJ267" i="24"/>
  <c r="AJ287" i="24"/>
  <c r="AJ305" i="24"/>
  <c r="AJ337" i="24"/>
  <c r="AJ350" i="24"/>
  <c r="AJ356" i="24"/>
  <c r="AJ368" i="24"/>
  <c r="AJ341" i="24"/>
  <c r="AJ365" i="24"/>
  <c r="AJ373" i="24"/>
  <c r="AJ377" i="24"/>
  <c r="AJ299" i="24"/>
  <c r="AJ335" i="24"/>
  <c r="AJ233" i="24"/>
  <c r="AJ259" i="24"/>
  <c r="AJ292" i="24"/>
  <c r="AJ338" i="24"/>
  <c r="AJ358" i="24"/>
  <c r="AJ352" i="24"/>
  <c r="AJ370" i="24"/>
  <c r="AJ295" i="24"/>
  <c r="AJ325" i="24"/>
  <c r="AJ230" i="24"/>
  <c r="AJ253" i="24"/>
  <c r="AJ286" i="24"/>
  <c r="AJ328" i="24"/>
  <c r="AJ355" i="24"/>
  <c r="AJ374" i="24"/>
  <c r="AJ375" i="24"/>
  <c r="AJ89" i="24"/>
  <c r="AJ319" i="24"/>
  <c r="AJ237" i="24"/>
  <c r="AJ187" i="24"/>
  <c r="AJ167" i="24"/>
  <c r="AJ112" i="24"/>
  <c r="AJ60" i="24"/>
  <c r="AJ78" i="24"/>
  <c r="AJ45" i="24"/>
  <c r="AJ36" i="24"/>
  <c r="AJ129" i="24"/>
  <c r="AJ71" i="24"/>
  <c r="AJ336" i="24"/>
  <c r="AJ312" i="24"/>
  <c r="AJ281" i="24"/>
  <c r="AJ247" i="24"/>
  <c r="AJ211" i="24"/>
  <c r="AJ181" i="24"/>
  <c r="AJ104" i="24"/>
  <c r="AJ173" i="24"/>
  <c r="AJ140" i="24"/>
  <c r="AJ119" i="24"/>
  <c r="AJ101" i="24"/>
  <c r="AJ79" i="24"/>
  <c r="AJ56" i="24"/>
  <c r="AJ85" i="24"/>
  <c r="AJ68" i="24"/>
  <c r="AJ48" i="24"/>
  <c r="AJ33" i="24"/>
  <c r="AJ40" i="24"/>
  <c r="AJ25" i="24"/>
  <c r="AJ147" i="24"/>
  <c r="AJ344" i="24"/>
  <c r="AJ307" i="24"/>
  <c r="AJ258" i="24"/>
  <c r="AJ163" i="24"/>
  <c r="AJ179" i="24"/>
  <c r="AJ121" i="24"/>
  <c r="AJ97" i="24"/>
  <c r="AJ46" i="24"/>
  <c r="AJ51" i="24"/>
  <c r="AJ137" i="24"/>
  <c r="AJ360" i="24"/>
  <c r="AJ288" i="24"/>
  <c r="AJ218" i="24"/>
  <c r="AJ92" i="24"/>
  <c r="AJ134" i="24"/>
  <c r="AJ87" i="24"/>
  <c r="AJ17" i="24"/>
  <c r="AJ66" i="24"/>
  <c r="AJ28" i="24"/>
  <c r="AJ20" i="24"/>
  <c r="AJ118" i="24"/>
  <c r="AJ349" i="24"/>
  <c r="AJ324" i="24"/>
  <c r="AJ297" i="24"/>
  <c r="AJ270" i="24"/>
  <c r="AJ229" i="24"/>
  <c r="AJ196" i="24"/>
  <c r="AJ148" i="24"/>
  <c r="AJ61" i="24"/>
  <c r="AJ159" i="24"/>
  <c r="AJ124" i="24"/>
  <c r="AJ110" i="24"/>
  <c r="AJ95" i="24"/>
  <c r="AJ64" i="24"/>
  <c r="AJ42" i="24"/>
  <c r="AJ74" i="24"/>
  <c r="AJ54" i="24"/>
  <c r="AJ41" i="24"/>
  <c r="AJ18" i="24"/>
  <c r="AJ30" i="24"/>
  <c r="AJ105" i="24"/>
  <c r="AJ331" i="24"/>
  <c r="AJ275" i="24"/>
  <c r="AJ202" i="24"/>
  <c r="AJ125" i="24"/>
  <c r="AJ152" i="24"/>
  <c r="AJ107" i="24"/>
  <c r="AJ76" i="24"/>
  <c r="AJ70" i="24"/>
  <c r="AJ35" i="24"/>
  <c r="AJ27" i="24"/>
  <c r="O9" i="25"/>
  <c r="AZ207" i="6"/>
  <c r="AZ317" i="6"/>
  <c r="AZ305" i="6"/>
  <c r="AO13" i="7"/>
  <c r="O12" i="23"/>
  <c r="AZ316" i="6"/>
  <c r="AI380" i="6" s="1"/>
  <c r="AI381" i="6" s="1"/>
  <c r="AZ327" i="6"/>
  <c r="AZ306" i="6"/>
  <c r="AZ328" i="6"/>
  <c r="AZ354" i="6"/>
  <c r="AZ345" i="6"/>
  <c r="AZ351" i="6"/>
  <c r="AZ332" i="6"/>
  <c r="AZ247" i="6"/>
  <c r="AZ209" i="6"/>
  <c r="AZ156" i="6"/>
  <c r="AZ201" i="6"/>
  <c r="AZ193" i="6"/>
  <c r="AZ191" i="6"/>
  <c r="AZ203" i="6"/>
  <c r="AZ292" i="6"/>
  <c r="AZ310" i="6"/>
  <c r="AZ311" i="6"/>
  <c r="AZ41" i="6"/>
  <c r="AZ52" i="6"/>
  <c r="AZ47" i="6"/>
  <c r="AZ45" i="6"/>
  <c r="AZ61" i="6"/>
  <c r="AZ136" i="6"/>
  <c r="AZ324" i="6"/>
  <c r="AZ248" i="6"/>
  <c r="AZ249" i="6"/>
  <c r="AZ50" i="6"/>
  <c r="P380" i="6" s="1"/>
  <c r="P381" i="6" s="1"/>
  <c r="AZ53" i="6"/>
  <c r="AZ145" i="6"/>
  <c r="AC10" i="16"/>
  <c r="O10" i="16"/>
  <c r="AK8" i="15"/>
  <c r="E383" i="15"/>
  <c r="E9" i="15"/>
  <c r="E11" i="15" s="1"/>
  <c r="E382" i="15"/>
  <c r="AJ10" i="15"/>
  <c r="AJ12" i="15" s="1"/>
  <c r="AJ13" i="15" s="1"/>
  <c r="E381" i="15"/>
  <c r="AZ212" i="6"/>
  <c r="AZ342" i="6"/>
  <c r="AZ331" i="6"/>
  <c r="AZ338" i="6"/>
  <c r="AZ349" i="6"/>
  <c r="AZ353" i="6"/>
  <c r="AZ250" i="6"/>
  <c r="AZ259" i="6"/>
  <c r="AZ258" i="6"/>
  <c r="AZ253" i="6"/>
  <c r="AZ160" i="6"/>
  <c r="AZ148" i="6"/>
  <c r="W380" i="6" s="1"/>
  <c r="W381" i="6" s="1"/>
  <c r="AZ165" i="6"/>
  <c r="AZ274" i="6"/>
  <c r="AF380" i="6" s="1"/>
  <c r="AF381" i="6" s="1"/>
  <c r="AZ277" i="6"/>
  <c r="AZ281" i="6"/>
  <c r="AZ72" i="6"/>
  <c r="AZ77" i="6"/>
  <c r="AZ40" i="6"/>
  <c r="AZ54" i="6"/>
  <c r="AZ42" i="6"/>
  <c r="AZ143" i="6"/>
  <c r="AZ139" i="6"/>
  <c r="AZ141" i="6"/>
  <c r="AZ216" i="6"/>
  <c r="AZ252" i="6"/>
  <c r="AZ204" i="6"/>
  <c r="AA380" i="6" s="1"/>
  <c r="AA381" i="6" s="1"/>
  <c r="AZ285" i="6"/>
  <c r="AZ314" i="6"/>
  <c r="AZ309" i="6"/>
  <c r="AZ312" i="6"/>
  <c r="AZ71" i="6"/>
  <c r="AZ38" i="6"/>
  <c r="AN13" i="7"/>
  <c r="O11" i="23"/>
  <c r="P68" i="27"/>
  <c r="AE67" i="27"/>
  <c r="S325" i="15"/>
  <c r="R325" i="15" s="1"/>
  <c r="S356" i="15"/>
  <c r="R356" i="15" s="1"/>
  <c r="S312" i="15"/>
  <c r="R312" i="15" s="1"/>
  <c r="S73" i="15"/>
  <c r="R73" i="15" s="1"/>
  <c r="AG298" i="1"/>
  <c r="AF298" i="1" s="1"/>
  <c r="S203" i="1"/>
  <c r="R203" i="1" s="1"/>
  <c r="S327" i="1"/>
  <c r="R327" i="1" s="1"/>
  <c r="AG296" i="1"/>
  <c r="AF296" i="1" s="1"/>
  <c r="AG174" i="1"/>
  <c r="AF174" i="1" s="1"/>
  <c r="S17" i="15"/>
  <c r="R17" i="15" s="1"/>
  <c r="S232" i="15"/>
  <c r="R232" i="15" s="1"/>
  <c r="S319" i="15"/>
  <c r="R319" i="15" s="1"/>
  <c r="S281" i="15"/>
  <c r="R281" i="15" s="1"/>
  <c r="AG276" i="1"/>
  <c r="AF276" i="1" s="1"/>
  <c r="AG325" i="1"/>
  <c r="AF325" i="1" s="1"/>
  <c r="S113" i="1"/>
  <c r="R113" i="1" s="1"/>
  <c r="S245" i="1"/>
  <c r="R245" i="1" s="1"/>
  <c r="S323" i="1"/>
  <c r="R323" i="1" s="1"/>
  <c r="AG370" i="1"/>
  <c r="AF370" i="1" s="1"/>
  <c r="AG105" i="1"/>
  <c r="AF105" i="1" s="1"/>
  <c r="AG39" i="1"/>
  <c r="AF39" i="1" s="1"/>
  <c r="S238" i="1"/>
  <c r="R238" i="1" s="1"/>
  <c r="S343" i="1"/>
  <c r="R343" i="1" s="1"/>
  <c r="AG159" i="1"/>
  <c r="AF159" i="1" s="1"/>
  <c r="AG71" i="1"/>
  <c r="AF71" i="1" s="1"/>
  <c r="S111" i="1"/>
  <c r="R111" i="1" s="1"/>
  <c r="S242" i="1"/>
  <c r="R242" i="1" s="1"/>
  <c r="S333" i="1"/>
  <c r="R333" i="1" s="1"/>
  <c r="S102" i="15"/>
  <c r="R102" i="15" s="1"/>
  <c r="S228" i="15"/>
  <c r="R228" i="15" s="1"/>
  <c r="S37" i="15"/>
  <c r="R37" i="15" s="1"/>
  <c r="S92" i="15"/>
  <c r="R92" i="15" s="1"/>
  <c r="S151" i="15"/>
  <c r="R151" i="15" s="1"/>
  <c r="S234" i="1"/>
  <c r="R234" i="1" s="1"/>
  <c r="S187" i="1"/>
  <c r="R187" i="1" s="1"/>
  <c r="S15" i="1"/>
  <c r="T381" i="1"/>
  <c r="T382" i="1"/>
  <c r="T383" i="1"/>
  <c r="AG281" i="1"/>
  <c r="AF281" i="1" s="1"/>
  <c r="AG72" i="1"/>
  <c r="AF72" i="1" s="1"/>
  <c r="S271" i="1"/>
  <c r="R271" i="1" s="1"/>
  <c r="S377" i="1"/>
  <c r="R377" i="1" s="1"/>
  <c r="S210" i="15"/>
  <c r="R210" i="15" s="1"/>
  <c r="S277" i="15"/>
  <c r="R277" i="15" s="1"/>
  <c r="S167" i="15"/>
  <c r="R167" i="15" s="1"/>
  <c r="S214" i="1"/>
  <c r="R214" i="1" s="1"/>
  <c r="S349" i="1"/>
  <c r="R349" i="1" s="1"/>
  <c r="AG152" i="1"/>
  <c r="AF152" i="1" s="1"/>
  <c r="AG85" i="1"/>
  <c r="AF85" i="1" s="1"/>
  <c r="S101" i="1"/>
  <c r="R101" i="1" s="1"/>
  <c r="AG47" i="1"/>
  <c r="AF47" i="1" s="1"/>
  <c r="S200" i="1"/>
  <c r="R200" i="1" s="1"/>
  <c r="S185" i="1"/>
  <c r="R185" i="1" s="1"/>
  <c r="AG145" i="1"/>
  <c r="AF145" i="1" s="1"/>
  <c r="AG236" i="1"/>
  <c r="AF236" i="1" s="1"/>
  <c r="S44" i="1"/>
  <c r="R44" i="1" s="1"/>
  <c r="S299" i="1"/>
  <c r="R299" i="1" s="1"/>
  <c r="AG345" i="1"/>
  <c r="AF345" i="1" s="1"/>
  <c r="S274" i="1"/>
  <c r="R274" i="1" s="1"/>
  <c r="S231" i="1"/>
  <c r="R231" i="1" s="1"/>
  <c r="S368" i="1"/>
  <c r="R368" i="1" s="1"/>
  <c r="S24" i="15"/>
  <c r="R24" i="15" s="1"/>
  <c r="S143" i="15"/>
  <c r="R143" i="15" s="1"/>
  <c r="S361" i="15"/>
  <c r="R361" i="15" s="1"/>
  <c r="S105" i="15"/>
  <c r="R105" i="15" s="1"/>
  <c r="S229" i="15"/>
  <c r="R229" i="15" s="1"/>
  <c r="S175" i="15"/>
  <c r="R175" i="15" s="1"/>
  <c r="S284" i="15"/>
  <c r="R284" i="15" s="1"/>
  <c r="S28" i="15"/>
  <c r="R28" i="15" s="1"/>
  <c r="S87" i="15"/>
  <c r="R87" i="15" s="1"/>
  <c r="S49" i="15"/>
  <c r="R49" i="15" s="1"/>
  <c r="S189" i="1"/>
  <c r="R189" i="1" s="1"/>
  <c r="S249" i="1"/>
  <c r="R249" i="1" s="1"/>
  <c r="S79" i="1"/>
  <c r="R79" i="1" s="1"/>
  <c r="S355" i="1"/>
  <c r="R355" i="1" s="1"/>
  <c r="AG374" i="1"/>
  <c r="AF374" i="1" s="1"/>
  <c r="AG146" i="1"/>
  <c r="AF146" i="1" s="1"/>
  <c r="AG359" i="1"/>
  <c r="AF359" i="1" s="1"/>
  <c r="AG141" i="1"/>
  <c r="AF141" i="1" s="1"/>
  <c r="S31" i="1"/>
  <c r="R31" i="1" s="1"/>
  <c r="S174" i="1"/>
  <c r="R174" i="1" s="1"/>
  <c r="S302" i="1"/>
  <c r="R302" i="1" s="1"/>
  <c r="S117" i="15"/>
  <c r="R117" i="15" s="1"/>
  <c r="S351" i="15"/>
  <c r="R351" i="15" s="1"/>
  <c r="S223" i="15"/>
  <c r="R223" i="15" s="1"/>
  <c r="S204" i="15"/>
  <c r="R204" i="15" s="1"/>
  <c r="S313" i="15"/>
  <c r="R313" i="15" s="1"/>
  <c r="S185" i="15"/>
  <c r="R185" i="15" s="1"/>
  <c r="S57" i="15"/>
  <c r="R57" i="15" s="1"/>
  <c r="S158" i="15"/>
  <c r="R158" i="15" s="1"/>
  <c r="S30" i="15"/>
  <c r="R30" i="15" s="1"/>
  <c r="S97" i="15"/>
  <c r="R97" i="15" s="1"/>
  <c r="S137" i="1"/>
  <c r="R137" i="1" s="1"/>
  <c r="S209" i="1"/>
  <c r="R209" i="1" s="1"/>
  <c r="S338" i="1"/>
  <c r="R338" i="1" s="1"/>
  <c r="S367" i="1"/>
  <c r="R367" i="1" s="1"/>
  <c r="AG151" i="1"/>
  <c r="AF151" i="1" s="1"/>
  <c r="AH381" i="1"/>
  <c r="AH383" i="1"/>
  <c r="AG15" i="1"/>
  <c r="AH382" i="1"/>
  <c r="S357" i="1"/>
  <c r="R357" i="1" s="1"/>
  <c r="S369" i="1"/>
  <c r="R369" i="1" s="1"/>
  <c r="S107" i="1"/>
  <c r="R107" i="1" s="1"/>
  <c r="S75" i="1"/>
  <c r="R75" i="1" s="1"/>
  <c r="S199" i="1"/>
  <c r="R199" i="1" s="1"/>
  <c r="AG240" i="1"/>
  <c r="AF240" i="1" s="1"/>
  <c r="AG26" i="1"/>
  <c r="AF26" i="1" s="1"/>
  <c r="AG171" i="1"/>
  <c r="AF171" i="1" s="1"/>
  <c r="AG305" i="1"/>
  <c r="AF305" i="1" s="1"/>
  <c r="S78" i="1"/>
  <c r="R78" i="1" s="1"/>
  <c r="S208" i="1"/>
  <c r="R208" i="1" s="1"/>
  <c r="S336" i="1"/>
  <c r="R336" i="1" s="1"/>
  <c r="S297" i="1"/>
  <c r="R297" i="1" s="1"/>
  <c r="AG313" i="1"/>
  <c r="AF313" i="1" s="1"/>
  <c r="S27" i="1"/>
  <c r="R27" i="1" s="1"/>
  <c r="S229" i="1"/>
  <c r="R229" i="1" s="1"/>
  <c r="S47" i="1"/>
  <c r="R47" i="1" s="1"/>
  <c r="S182" i="1"/>
  <c r="R182" i="1" s="1"/>
  <c r="AG367" i="1"/>
  <c r="AF367" i="1" s="1"/>
  <c r="AG178" i="1"/>
  <c r="AF178" i="1" s="1"/>
  <c r="S34" i="1"/>
  <c r="R34" i="1" s="1"/>
  <c r="S81" i="1"/>
  <c r="R81" i="1" s="1"/>
  <c r="S243" i="1"/>
  <c r="R243" i="1" s="1"/>
  <c r="S275" i="1"/>
  <c r="R275" i="1" s="1"/>
  <c r="AG95" i="1"/>
  <c r="AF95" i="1" s="1"/>
  <c r="AG238" i="1"/>
  <c r="AF238" i="1" s="1"/>
  <c r="AG65" i="1"/>
  <c r="AF65" i="1" s="1"/>
  <c r="AG252" i="1"/>
  <c r="AF252" i="1" s="1"/>
  <c r="AG155" i="1"/>
  <c r="AF155" i="1" s="1"/>
  <c r="S225" i="1"/>
  <c r="R225" i="1" s="1"/>
  <c r="S283" i="1"/>
  <c r="R283" i="1" s="1"/>
  <c r="S123" i="1"/>
  <c r="R123" i="1" s="1"/>
  <c r="S244" i="1"/>
  <c r="R244" i="1" s="1"/>
  <c r="AG131" i="1"/>
  <c r="AF131" i="1" s="1"/>
  <c r="AG97" i="1"/>
  <c r="AF97" i="1" s="1"/>
  <c r="S19" i="1"/>
  <c r="R19" i="1" s="1"/>
  <c r="AG158" i="1"/>
  <c r="AF158" i="1" s="1"/>
  <c r="AG70" i="1"/>
  <c r="AF70" i="1" s="1"/>
  <c r="AG96" i="1"/>
  <c r="AF96" i="1" s="1"/>
  <c r="AG89" i="1"/>
  <c r="AF89" i="1" s="1"/>
  <c r="S106" i="1"/>
  <c r="R106" i="1" s="1"/>
  <c r="S131" i="1"/>
  <c r="R131" i="1" s="1"/>
  <c r="S292" i="1"/>
  <c r="R292" i="1" s="1"/>
  <c r="S58" i="1"/>
  <c r="R58" i="1" s="1"/>
  <c r="S260" i="1"/>
  <c r="R260" i="1" s="1"/>
  <c r="S294" i="1"/>
  <c r="R294" i="1" s="1"/>
  <c r="S363" i="1"/>
  <c r="R363" i="1" s="1"/>
  <c r="S337" i="1"/>
  <c r="R337" i="1" s="1"/>
  <c r="S371" i="1"/>
  <c r="R371" i="1" s="1"/>
  <c r="BH11" i="6"/>
  <c r="BH12" i="6" s="1"/>
  <c r="BH86" i="6" s="1"/>
  <c r="AD86" i="15" s="1"/>
  <c r="S243" i="15"/>
  <c r="R243" i="15" s="1"/>
  <c r="S115" i="15"/>
  <c r="R115" i="15" s="1"/>
  <c r="S96" i="15"/>
  <c r="R96" i="15" s="1"/>
  <c r="S205" i="15"/>
  <c r="R205" i="15" s="1"/>
  <c r="S77" i="15"/>
  <c r="R77" i="15" s="1"/>
  <c r="S55" i="1"/>
  <c r="R55" i="1" s="1"/>
  <c r="AG248" i="1"/>
  <c r="AF248" i="1" s="1"/>
  <c r="AG300" i="1"/>
  <c r="AF300" i="1" s="1"/>
  <c r="AG286" i="1"/>
  <c r="AF286" i="1" s="1"/>
  <c r="AG225" i="1"/>
  <c r="AF225" i="1" s="1"/>
  <c r="S323" i="15"/>
  <c r="R323" i="15" s="1"/>
  <c r="AG74" i="1"/>
  <c r="AF74" i="1" s="1"/>
  <c r="AG353" i="1"/>
  <c r="AF353" i="1" s="1"/>
  <c r="AG220" i="1"/>
  <c r="AF220" i="1" s="1"/>
  <c r="S275" i="15"/>
  <c r="R275" i="15" s="1"/>
  <c r="S256" i="15"/>
  <c r="R256" i="15" s="1"/>
  <c r="S24" i="1"/>
  <c r="R24" i="1" s="1"/>
  <c r="AG295" i="1"/>
  <c r="AF295" i="1" s="1"/>
  <c r="AG209" i="1"/>
  <c r="AF209" i="1" s="1"/>
  <c r="S49" i="1"/>
  <c r="R49" i="1" s="1"/>
  <c r="AG208" i="1"/>
  <c r="AF208" i="1" s="1"/>
  <c r="S112" i="15"/>
  <c r="R112" i="15" s="1"/>
  <c r="S90" i="1"/>
  <c r="R90" i="1" s="1"/>
  <c r="AG282" i="1"/>
  <c r="AF282" i="1" s="1"/>
  <c r="AG337" i="1"/>
  <c r="AF337" i="1" s="1"/>
  <c r="AG154" i="1"/>
  <c r="AF154" i="1" s="1"/>
  <c r="S291" i="15"/>
  <c r="R291" i="15" s="1"/>
  <c r="S35" i="15"/>
  <c r="R35" i="15" s="1"/>
  <c r="S272" i="15"/>
  <c r="R272" i="15" s="1"/>
  <c r="S144" i="15"/>
  <c r="R144" i="15" s="1"/>
  <c r="S221" i="15"/>
  <c r="R221" i="15" s="1"/>
  <c r="S96" i="1"/>
  <c r="R96" i="1" s="1"/>
  <c r="AG54" i="1"/>
  <c r="AF54" i="1" s="1"/>
  <c r="AG230" i="1"/>
  <c r="AF230" i="1" s="1"/>
  <c r="AG90" i="1"/>
  <c r="AF90" i="1" s="1"/>
  <c r="AG204" i="1"/>
  <c r="AF204" i="1" s="1"/>
  <c r="AG303" i="1"/>
  <c r="AF303" i="1" s="1"/>
  <c r="AG84" i="1"/>
  <c r="AF84" i="1" s="1"/>
  <c r="AG342" i="1"/>
  <c r="AF342" i="1" s="1"/>
  <c r="BH270" i="6"/>
  <c r="AD270" i="15" s="1"/>
  <c r="S203" i="15"/>
  <c r="R203" i="15" s="1"/>
  <c r="S191" i="15"/>
  <c r="R191" i="15" s="1"/>
  <c r="S132" i="1"/>
  <c r="R132" i="1" s="1"/>
  <c r="AG312" i="1"/>
  <c r="AF312" i="1" s="1"/>
  <c r="AG328" i="1"/>
  <c r="AF328" i="1" s="1"/>
  <c r="S268" i="1"/>
  <c r="R268" i="1" s="1"/>
  <c r="AG37" i="1"/>
  <c r="AF37" i="1" s="1"/>
  <c r="S201" i="15"/>
  <c r="R201" i="15" s="1"/>
  <c r="S46" i="15"/>
  <c r="R46" i="15" s="1"/>
  <c r="S260" i="15"/>
  <c r="R260" i="15" s="1"/>
  <c r="S165" i="1"/>
  <c r="R165" i="1" s="1"/>
  <c r="AG198" i="1"/>
  <c r="AF198" i="1" s="1"/>
  <c r="S184" i="1"/>
  <c r="R184" i="1" s="1"/>
  <c r="S17" i="1"/>
  <c r="R17" i="1" s="1"/>
  <c r="S39" i="15"/>
  <c r="R39" i="15" s="1"/>
  <c r="S320" i="1"/>
  <c r="R320" i="1" s="1"/>
  <c r="S19" i="15"/>
  <c r="R19" i="15" s="1"/>
  <c r="S36" i="15"/>
  <c r="R36" i="15" s="1"/>
  <c r="S248" i="15"/>
  <c r="R248" i="15" s="1"/>
  <c r="S177" i="15"/>
  <c r="R177" i="15" s="1"/>
  <c r="S303" i="1"/>
  <c r="R303" i="1" s="1"/>
  <c r="AG190" i="1"/>
  <c r="AF190" i="1" s="1"/>
  <c r="S21" i="1"/>
  <c r="R21" i="1" s="1"/>
  <c r="S308" i="15"/>
  <c r="R308" i="15" s="1"/>
  <c r="S178" i="1"/>
  <c r="R178" i="1" s="1"/>
  <c r="AG162" i="1"/>
  <c r="AF162" i="1" s="1"/>
  <c r="AG256" i="1"/>
  <c r="AF256" i="1" s="1"/>
  <c r="S201" i="1"/>
  <c r="R201" i="1" s="1"/>
  <c r="S120" i="1"/>
  <c r="R120" i="1" s="1"/>
  <c r="S173" i="1"/>
  <c r="R173" i="1" s="1"/>
  <c r="AG111" i="1"/>
  <c r="AF111" i="1" s="1"/>
  <c r="AG291" i="1"/>
  <c r="AF291" i="1" s="1"/>
  <c r="S124" i="1"/>
  <c r="R124" i="1" s="1"/>
  <c r="S198" i="1"/>
  <c r="R198" i="1" s="1"/>
  <c r="S167" i="1"/>
  <c r="R167" i="1" s="1"/>
  <c r="AG195" i="1"/>
  <c r="AF195" i="1" s="1"/>
  <c r="AG268" i="1"/>
  <c r="AF268" i="1" s="1"/>
  <c r="AG44" i="1"/>
  <c r="AF44" i="1" s="1"/>
  <c r="S196" i="1"/>
  <c r="R196" i="1" s="1"/>
  <c r="S252" i="1"/>
  <c r="R252" i="1" s="1"/>
  <c r="AG34" i="1"/>
  <c r="AF34" i="1" s="1"/>
  <c r="S46" i="1"/>
  <c r="R46" i="1" s="1"/>
  <c r="S314" i="1"/>
  <c r="R314" i="1" s="1"/>
  <c r="S176" i="1"/>
  <c r="R176" i="1" s="1"/>
  <c r="AG123" i="1"/>
  <c r="AF123" i="1" s="1"/>
  <c r="S90" i="15"/>
  <c r="R90" i="15" s="1"/>
  <c r="S301" i="15"/>
  <c r="R301" i="15" s="1"/>
  <c r="S282" i="15"/>
  <c r="R282" i="15" s="1"/>
  <c r="S240" i="15"/>
  <c r="R240" i="15" s="1"/>
  <c r="AZ375" i="6"/>
  <c r="AZ206" i="6"/>
  <c r="AZ171" i="6"/>
  <c r="AZ164" i="6"/>
  <c r="AZ195" i="6"/>
  <c r="AZ184" i="6"/>
  <c r="AZ150" i="6"/>
  <c r="AZ159" i="6"/>
  <c r="AZ286" i="6"/>
  <c r="AZ289" i="6"/>
  <c r="AZ299" i="6"/>
  <c r="AZ268" i="6"/>
  <c r="AZ280" i="6"/>
  <c r="AZ288" i="6"/>
  <c r="AG380" i="6" s="1"/>
  <c r="AG381" i="6" s="1"/>
  <c r="AZ296" i="6"/>
  <c r="AZ142" i="6"/>
  <c r="AZ147" i="6"/>
  <c r="AZ319" i="6"/>
  <c r="AZ337" i="6"/>
  <c r="AZ344" i="6"/>
  <c r="AK380" i="6" s="1"/>
  <c r="AK381" i="6" s="1"/>
  <c r="AZ357" i="6"/>
  <c r="AZ246" i="6"/>
  <c r="AD380" i="6" s="1"/>
  <c r="AD381" i="6" s="1"/>
  <c r="AZ217" i="6"/>
  <c r="AZ168" i="6"/>
  <c r="AZ153" i="6"/>
  <c r="AZ173" i="6"/>
  <c r="AZ196" i="6"/>
  <c r="AZ198" i="6"/>
  <c r="AZ202" i="6"/>
  <c r="AZ181" i="6"/>
  <c r="AZ166" i="6"/>
  <c r="AZ162" i="6"/>
  <c r="X380" i="6" s="1"/>
  <c r="X381" i="6" s="1"/>
  <c r="AZ178" i="6"/>
  <c r="AZ167" i="6"/>
  <c r="AZ200" i="6"/>
  <c r="AZ276" i="6"/>
  <c r="AZ273" i="6"/>
  <c r="AZ301" i="6"/>
  <c r="AZ265" i="6"/>
  <c r="AZ271" i="6"/>
  <c r="AZ298" i="6"/>
  <c r="AZ263" i="6"/>
  <c r="AZ264" i="6"/>
  <c r="AZ272" i="6"/>
  <c r="AZ267" i="6"/>
  <c r="AZ315" i="6"/>
  <c r="AZ49" i="6"/>
  <c r="AZ69" i="6"/>
  <c r="AZ51" i="6"/>
  <c r="AZ44" i="6"/>
  <c r="AT363" i="6"/>
  <c r="AZ363" i="6" s="1"/>
  <c r="AT370" i="6"/>
  <c r="AZ370" i="6" s="1"/>
  <c r="AT374" i="6"/>
  <c r="AZ374" i="6" s="1"/>
  <c r="AT377" i="6"/>
  <c r="AZ377" i="6" s="1"/>
  <c r="AT364" i="6"/>
  <c r="AZ364" i="6" s="1"/>
  <c r="AT376" i="6"/>
  <c r="AZ376" i="6" s="1"/>
  <c r="AT360" i="6"/>
  <c r="AZ360" i="6" s="1"/>
  <c r="AT379" i="6"/>
  <c r="AZ379" i="6" s="1"/>
  <c r="AT367" i="6"/>
  <c r="AZ367" i="6" s="1"/>
  <c r="AT369" i="6"/>
  <c r="AZ369" i="6" s="1"/>
  <c r="AT361" i="6"/>
  <c r="AZ361" i="6" s="1"/>
  <c r="AT371" i="6"/>
  <c r="AZ371" i="6" s="1"/>
  <c r="AZ256" i="6"/>
  <c r="AZ254" i="6"/>
  <c r="AZ189" i="6"/>
  <c r="AZ187" i="6"/>
  <c r="AZ179" i="6"/>
  <c r="AZ175" i="6"/>
  <c r="AZ180" i="6"/>
  <c r="AZ161" i="6"/>
  <c r="AZ177" i="6"/>
  <c r="AZ197" i="6"/>
  <c r="AZ282" i="6"/>
  <c r="AZ269" i="6"/>
  <c r="AZ294" i="6"/>
  <c r="AZ297" i="6"/>
  <c r="AZ140" i="6"/>
  <c r="AZ135" i="6"/>
  <c r="AZ134" i="6"/>
  <c r="V380" i="6" s="1"/>
  <c r="V381" i="6" s="1"/>
  <c r="AZ341" i="6"/>
  <c r="AZ336" i="6"/>
  <c r="AZ323" i="6"/>
  <c r="AZ322" i="6"/>
  <c r="AZ346" i="6"/>
  <c r="AZ356" i="6"/>
  <c r="AZ355" i="6"/>
  <c r="AZ330" i="6"/>
  <c r="AJ380" i="6" s="1"/>
  <c r="AJ381" i="6" s="1"/>
  <c r="AZ348" i="6"/>
  <c r="AZ210" i="6"/>
  <c r="AZ214" i="6"/>
  <c r="AZ205" i="6"/>
  <c r="AZ208" i="6"/>
  <c r="AZ251" i="6"/>
  <c r="AZ211" i="6"/>
  <c r="AZ199" i="6"/>
  <c r="AZ174" i="6"/>
  <c r="AZ176" i="6"/>
  <c r="Y380" i="6" s="1"/>
  <c r="Y381" i="6" s="1"/>
  <c r="AZ169" i="6"/>
  <c r="AZ154" i="6"/>
  <c r="AZ163" i="6"/>
  <c r="AZ170" i="6"/>
  <c r="AZ182" i="6"/>
  <c r="AZ151" i="6"/>
  <c r="AZ186" i="6"/>
  <c r="AZ172" i="6"/>
  <c r="AZ152" i="6"/>
  <c r="AZ190" i="6"/>
  <c r="Z380" i="6" s="1"/>
  <c r="Z381" i="6" s="1"/>
  <c r="AZ295" i="6"/>
  <c r="AZ308" i="6"/>
  <c r="AZ275" i="6"/>
  <c r="AZ293" i="6"/>
  <c r="AZ283" i="6"/>
  <c r="AZ291" i="6"/>
  <c r="AZ302" i="6"/>
  <c r="AH380" i="6" s="1"/>
  <c r="AH381" i="6" s="1"/>
  <c r="AZ262" i="6"/>
  <c r="AZ278" i="6"/>
  <c r="AZ70" i="6"/>
  <c r="AZ74" i="6"/>
  <c r="AZ57" i="6"/>
  <c r="AZ63" i="6"/>
  <c r="AZ36" i="6"/>
  <c r="O380" i="6" s="1"/>
  <c r="O381" i="6" s="1"/>
  <c r="AY13" i="6"/>
  <c r="AY12" i="6"/>
  <c r="AT359" i="6"/>
  <c r="AZ359" i="6" s="1"/>
  <c r="AT358" i="6"/>
  <c r="AT366" i="6"/>
  <c r="AZ366" i="6" s="1"/>
  <c r="AT365" i="6"/>
  <c r="AZ365" i="6" s="1"/>
  <c r="AT378" i="6"/>
  <c r="AZ378" i="6" s="1"/>
  <c r="AT372" i="6"/>
  <c r="AZ372" i="6" s="1"/>
  <c r="AM380" i="6" s="1"/>
  <c r="AM381" i="6" s="1"/>
  <c r="AT373" i="6"/>
  <c r="AZ373" i="6" s="1"/>
  <c r="AT368" i="6"/>
  <c r="AZ368" i="6" s="1"/>
  <c r="AT380" i="6"/>
  <c r="AZ380" i="6" s="1"/>
  <c r="AT362" i="6"/>
  <c r="AZ362" i="6" s="1"/>
  <c r="AF15" i="15"/>
  <c r="AI381" i="15" l="1"/>
  <c r="AI382" i="15"/>
  <c r="U381" i="15"/>
  <c r="U382" i="15"/>
  <c r="U383" i="15"/>
  <c r="T381" i="15"/>
  <c r="BH343" i="6"/>
  <c r="AD343" i="1" s="1"/>
  <c r="BH99" i="6"/>
  <c r="AD99" i="1" s="1"/>
  <c r="AI356" i="16"/>
  <c r="AH356" i="16" s="1"/>
  <c r="U246" i="16"/>
  <c r="T246" i="16" s="1"/>
  <c r="S246" i="16" s="1"/>
  <c r="R246" i="16" s="1"/>
  <c r="U97" i="16"/>
  <c r="T97" i="16" s="1"/>
  <c r="S97" i="16" s="1"/>
  <c r="R97" i="16" s="1"/>
  <c r="U319" i="16"/>
  <c r="T319" i="16" s="1"/>
  <c r="S319" i="16" s="1"/>
  <c r="R319" i="16" s="1"/>
  <c r="U178" i="16"/>
  <c r="T178" i="16" s="1"/>
  <c r="S178" i="16" s="1"/>
  <c r="R178" i="16" s="1"/>
  <c r="U29" i="16"/>
  <c r="T29" i="16" s="1"/>
  <c r="S29" i="16" s="1"/>
  <c r="R29" i="16" s="1"/>
  <c r="U243" i="16"/>
  <c r="T243" i="16" s="1"/>
  <c r="S243" i="16" s="1"/>
  <c r="R243" i="16" s="1"/>
  <c r="U94" i="16"/>
  <c r="T94" i="16" s="1"/>
  <c r="S94" i="16" s="1"/>
  <c r="R94" i="16" s="1"/>
  <c r="U312" i="16"/>
  <c r="T312" i="16" s="1"/>
  <c r="S312" i="16" s="1"/>
  <c r="R312" i="16" s="1"/>
  <c r="U167" i="16"/>
  <c r="T167" i="16" s="1"/>
  <c r="S167" i="16" s="1"/>
  <c r="R167" i="16" s="1"/>
  <c r="U26" i="16"/>
  <c r="T26" i="16" s="1"/>
  <c r="S26" i="16" s="1"/>
  <c r="R26" i="16" s="1"/>
  <c r="U244" i="16"/>
  <c r="T244" i="16" s="1"/>
  <c r="S244" i="16" s="1"/>
  <c r="R244" i="16" s="1"/>
  <c r="U155" i="16"/>
  <c r="T155" i="16" s="1"/>
  <c r="S155" i="16" s="1"/>
  <c r="R155" i="16" s="1"/>
  <c r="U369" i="16"/>
  <c r="T369" i="16" s="1"/>
  <c r="S369" i="16" s="1"/>
  <c r="R369" i="16" s="1"/>
  <c r="U224" i="16"/>
  <c r="T224" i="16" s="1"/>
  <c r="S224" i="16" s="1"/>
  <c r="R224" i="16" s="1"/>
  <c r="U79" i="16"/>
  <c r="T79" i="16" s="1"/>
  <c r="S79" i="16" s="1"/>
  <c r="R79" i="16" s="1"/>
  <c r="U301" i="16"/>
  <c r="T301" i="16" s="1"/>
  <c r="S301" i="16" s="1"/>
  <c r="R301" i="16" s="1"/>
  <c r="U156" i="16"/>
  <c r="T156" i="16" s="1"/>
  <c r="S156" i="16" s="1"/>
  <c r="R156" i="16" s="1"/>
  <c r="U366" i="16"/>
  <c r="T366" i="16" s="1"/>
  <c r="S366" i="16" s="1"/>
  <c r="R366" i="16" s="1"/>
  <c r="U217" i="16"/>
  <c r="T217" i="16" s="1"/>
  <c r="S217" i="16" s="1"/>
  <c r="R217" i="16" s="1"/>
  <c r="U72" i="16"/>
  <c r="T72" i="16" s="1"/>
  <c r="S72" i="16" s="1"/>
  <c r="R72" i="16" s="1"/>
  <c r="U298" i="16"/>
  <c r="T298" i="16" s="1"/>
  <c r="S298" i="16" s="1"/>
  <c r="R298" i="16" s="1"/>
  <c r="U149" i="16"/>
  <c r="T149" i="16" s="1"/>
  <c r="S149" i="16" s="1"/>
  <c r="R149" i="16" s="1"/>
  <c r="U363" i="16"/>
  <c r="T363" i="16" s="1"/>
  <c r="S363" i="16" s="1"/>
  <c r="R363" i="16" s="1"/>
  <c r="U214" i="16"/>
  <c r="T214" i="16" s="1"/>
  <c r="S214" i="16" s="1"/>
  <c r="R214" i="16" s="1"/>
  <c r="U65" i="16"/>
  <c r="T65" i="16" s="1"/>
  <c r="S65" i="16" s="1"/>
  <c r="R65" i="16" s="1"/>
  <c r="U287" i="16"/>
  <c r="T287" i="16" s="1"/>
  <c r="S287" i="16" s="1"/>
  <c r="R287" i="16" s="1"/>
  <c r="U146" i="16"/>
  <c r="T146" i="16" s="1"/>
  <c r="S146" i="16" s="1"/>
  <c r="R146" i="16" s="1"/>
  <c r="U364" i="16"/>
  <c r="T364" i="16" s="1"/>
  <c r="S364" i="16" s="1"/>
  <c r="R364" i="16" s="1"/>
  <c r="U211" i="16"/>
  <c r="T211" i="16" s="1"/>
  <c r="S211" i="16" s="1"/>
  <c r="R211" i="16" s="1"/>
  <c r="U62" i="16"/>
  <c r="T62" i="16" s="1"/>
  <c r="S62" i="16" s="1"/>
  <c r="R62" i="16" s="1"/>
  <c r="U280" i="16"/>
  <c r="T280" i="16" s="1"/>
  <c r="S280" i="16" s="1"/>
  <c r="R280" i="16" s="1"/>
  <c r="U135" i="16"/>
  <c r="T135" i="16" s="1"/>
  <c r="S135" i="16" s="1"/>
  <c r="R135" i="16" s="1"/>
  <c r="U357" i="16"/>
  <c r="T357" i="16" s="1"/>
  <c r="S357" i="16" s="1"/>
  <c r="R357" i="16" s="1"/>
  <c r="U212" i="16"/>
  <c r="T212" i="16" s="1"/>
  <c r="S212" i="16" s="1"/>
  <c r="R212" i="16" s="1"/>
  <c r="U123" i="16"/>
  <c r="T123" i="16" s="1"/>
  <c r="S123" i="16" s="1"/>
  <c r="R123" i="16" s="1"/>
  <c r="U337" i="16"/>
  <c r="T337" i="16" s="1"/>
  <c r="S337" i="16" s="1"/>
  <c r="R337" i="16" s="1"/>
  <c r="U192" i="16"/>
  <c r="T192" i="16" s="1"/>
  <c r="S192" i="16" s="1"/>
  <c r="R192" i="16" s="1"/>
  <c r="U47" i="16"/>
  <c r="T47" i="16" s="1"/>
  <c r="S47" i="16" s="1"/>
  <c r="R47" i="16" s="1"/>
  <c r="U269" i="16"/>
  <c r="T269" i="16" s="1"/>
  <c r="S269" i="16" s="1"/>
  <c r="R269" i="16" s="1"/>
  <c r="U124" i="16"/>
  <c r="T124" i="16" s="1"/>
  <c r="S124" i="16" s="1"/>
  <c r="R124" i="16" s="1"/>
  <c r="U334" i="16"/>
  <c r="T334" i="16" s="1"/>
  <c r="S334" i="16" s="1"/>
  <c r="R334" i="16" s="1"/>
  <c r="U185" i="16"/>
  <c r="T185" i="16" s="1"/>
  <c r="S185" i="16" s="1"/>
  <c r="R185" i="16" s="1"/>
  <c r="U40" i="16"/>
  <c r="T40" i="16" s="1"/>
  <c r="S40" i="16" s="1"/>
  <c r="R40" i="16" s="1"/>
  <c r="U266" i="16"/>
  <c r="T266" i="16" s="1"/>
  <c r="S266" i="16" s="1"/>
  <c r="R266" i="16" s="1"/>
  <c r="U117" i="16"/>
  <c r="T117" i="16" s="1"/>
  <c r="S117" i="16" s="1"/>
  <c r="R117" i="16" s="1"/>
  <c r="AI92" i="16"/>
  <c r="AH92" i="16" s="1"/>
  <c r="U228" i="16"/>
  <c r="T228" i="16" s="1"/>
  <c r="S228" i="16" s="1"/>
  <c r="R228" i="16" s="1"/>
  <c r="U373" i="16"/>
  <c r="T373" i="16" s="1"/>
  <c r="S373" i="16" s="1"/>
  <c r="R373" i="16" s="1"/>
  <c r="U151" i="16"/>
  <c r="T151" i="16" s="1"/>
  <c r="S151" i="16" s="1"/>
  <c r="R151" i="16" s="1"/>
  <c r="U296" i="16"/>
  <c r="T296" i="16" s="1"/>
  <c r="S296" i="16" s="1"/>
  <c r="R296" i="16" s="1"/>
  <c r="U78" i="16"/>
  <c r="T78" i="16" s="1"/>
  <c r="S78" i="16" s="1"/>
  <c r="R78" i="16" s="1"/>
  <c r="U227" i="16"/>
  <c r="T227" i="16" s="1"/>
  <c r="S227" i="16" s="1"/>
  <c r="R227" i="16" s="1"/>
  <c r="U380" i="16"/>
  <c r="T380" i="16" s="1"/>
  <c r="S380" i="16" s="1"/>
  <c r="R380" i="16" s="1"/>
  <c r="U162" i="16"/>
  <c r="T162" i="16" s="1"/>
  <c r="S162" i="16" s="1"/>
  <c r="R162" i="16" s="1"/>
  <c r="U303" i="16"/>
  <c r="T303" i="16" s="1"/>
  <c r="S303" i="16" s="1"/>
  <c r="R303" i="16" s="1"/>
  <c r="U81" i="16"/>
  <c r="T81" i="16" s="1"/>
  <c r="S81" i="16" s="1"/>
  <c r="R81" i="16" s="1"/>
  <c r="U230" i="16"/>
  <c r="T230" i="16" s="1"/>
  <c r="S230" i="16" s="1"/>
  <c r="R230" i="16" s="1"/>
  <c r="U379" i="16"/>
  <c r="P16" i="7" s="1"/>
  <c r="U101" i="16"/>
  <c r="T101" i="16" s="1"/>
  <c r="S101" i="16" s="1"/>
  <c r="R101" i="16" s="1"/>
  <c r="U250" i="16"/>
  <c r="T250" i="16" s="1"/>
  <c r="S250" i="16" s="1"/>
  <c r="R250" i="16" s="1"/>
  <c r="U24" i="16"/>
  <c r="T24" i="16" s="1"/>
  <c r="S24" i="16" s="1"/>
  <c r="R24" i="16" s="1"/>
  <c r="U169" i="16"/>
  <c r="T169" i="16" s="1"/>
  <c r="S169" i="16" s="1"/>
  <c r="R169" i="16" s="1"/>
  <c r="U318" i="16"/>
  <c r="T318" i="16" s="1"/>
  <c r="S318" i="16" s="1"/>
  <c r="R318" i="16" s="1"/>
  <c r="U108" i="16"/>
  <c r="T108" i="16" s="1"/>
  <c r="S108" i="16" s="1"/>
  <c r="R108" i="16" s="1"/>
  <c r="U253" i="16"/>
  <c r="T253" i="16" s="1"/>
  <c r="S253" i="16" s="1"/>
  <c r="R253" i="16" s="1"/>
  <c r="U31" i="16"/>
  <c r="T31" i="16" s="1"/>
  <c r="S31" i="16" s="1"/>
  <c r="R31" i="16" s="1"/>
  <c r="U176" i="16"/>
  <c r="T176" i="16" s="1"/>
  <c r="S176" i="16" s="1"/>
  <c r="R176" i="16" s="1"/>
  <c r="U321" i="16"/>
  <c r="T321" i="16" s="1"/>
  <c r="S321" i="16" s="1"/>
  <c r="R321" i="16" s="1"/>
  <c r="U107" i="16"/>
  <c r="T107" i="16" s="1"/>
  <c r="S107" i="16" s="1"/>
  <c r="R107" i="16" s="1"/>
  <c r="U260" i="16"/>
  <c r="T260" i="16" s="1"/>
  <c r="S260" i="16" s="1"/>
  <c r="R260" i="16" s="1"/>
  <c r="U42" i="16"/>
  <c r="T42" i="16" s="1"/>
  <c r="S42" i="16" s="1"/>
  <c r="R42" i="16" s="1"/>
  <c r="U183" i="16"/>
  <c r="T183" i="16" s="1"/>
  <c r="S183" i="16" s="1"/>
  <c r="R183" i="16" s="1"/>
  <c r="U328" i="16"/>
  <c r="T328" i="16" s="1"/>
  <c r="S328" i="16" s="1"/>
  <c r="R328" i="16" s="1"/>
  <c r="U110" i="16"/>
  <c r="T110" i="16" s="1"/>
  <c r="S110" i="16" s="1"/>
  <c r="R110" i="16" s="1"/>
  <c r="U259" i="16"/>
  <c r="T259" i="16" s="1"/>
  <c r="S259" i="16" s="1"/>
  <c r="R259" i="16" s="1"/>
  <c r="U45" i="16"/>
  <c r="T45" i="16" s="1"/>
  <c r="S45" i="16" s="1"/>
  <c r="R45" i="16" s="1"/>
  <c r="U194" i="16"/>
  <c r="T194" i="16" s="1"/>
  <c r="S194" i="16" s="1"/>
  <c r="R194" i="16" s="1"/>
  <c r="U335" i="16"/>
  <c r="T335" i="16" s="1"/>
  <c r="S335" i="16" s="1"/>
  <c r="R335" i="16" s="1"/>
  <c r="U113" i="16"/>
  <c r="T113" i="16" s="1"/>
  <c r="S113" i="16" s="1"/>
  <c r="R113" i="16" s="1"/>
  <c r="U262" i="16"/>
  <c r="T262" i="16" s="1"/>
  <c r="S262" i="16" s="1"/>
  <c r="R262" i="16" s="1"/>
  <c r="O16" i="7"/>
  <c r="U133" i="16"/>
  <c r="T133" i="16" s="1"/>
  <c r="S133" i="16" s="1"/>
  <c r="R133" i="16" s="1"/>
  <c r="U282" i="16"/>
  <c r="T282" i="16" s="1"/>
  <c r="S282" i="16" s="1"/>
  <c r="R282" i="16" s="1"/>
  <c r="U56" i="16"/>
  <c r="T56" i="16" s="1"/>
  <c r="S56" i="16" s="1"/>
  <c r="R56" i="16" s="1"/>
  <c r="U201" i="16"/>
  <c r="T201" i="16" s="1"/>
  <c r="S201" i="16" s="1"/>
  <c r="R201" i="16" s="1"/>
  <c r="U350" i="16"/>
  <c r="T350" i="16" s="1"/>
  <c r="S350" i="16" s="1"/>
  <c r="R350" i="16" s="1"/>
  <c r="U140" i="16"/>
  <c r="T140" i="16" s="1"/>
  <c r="S140" i="16" s="1"/>
  <c r="R140" i="16" s="1"/>
  <c r="U285" i="16"/>
  <c r="T285" i="16" s="1"/>
  <c r="S285" i="16" s="1"/>
  <c r="R285" i="16" s="1"/>
  <c r="U63" i="16"/>
  <c r="T63" i="16" s="1"/>
  <c r="S63" i="16" s="1"/>
  <c r="R63" i="16" s="1"/>
  <c r="U208" i="16"/>
  <c r="T208" i="16" s="1"/>
  <c r="S208" i="16" s="1"/>
  <c r="R208" i="16" s="1"/>
  <c r="U353" i="16"/>
  <c r="T353" i="16" s="1"/>
  <c r="S353" i="16" s="1"/>
  <c r="R353" i="16" s="1"/>
  <c r="U139" i="16"/>
  <c r="T139" i="16" s="1"/>
  <c r="S139" i="16" s="1"/>
  <c r="R139" i="16" s="1"/>
  <c r="AI240" i="16"/>
  <c r="AH240" i="16" s="1"/>
  <c r="AG240" i="16" s="1"/>
  <c r="AF240" i="16" s="1"/>
  <c r="AI201" i="16"/>
  <c r="AH201" i="16" s="1"/>
  <c r="AG201" i="16" s="1"/>
  <c r="AF201" i="16" s="1"/>
  <c r="BH172" i="6"/>
  <c r="AD172" i="1" s="1"/>
  <c r="BH246" i="6"/>
  <c r="P246" i="1" s="1"/>
  <c r="V246" i="1" s="1"/>
  <c r="BH22" i="6"/>
  <c r="AD22" i="15" s="1"/>
  <c r="AI215" i="16"/>
  <c r="AH215" i="16" s="1"/>
  <c r="AG215" i="16" s="1"/>
  <c r="AF215" i="16" s="1"/>
  <c r="AI80" i="16"/>
  <c r="AH80" i="16" s="1"/>
  <c r="AG80" i="16" s="1"/>
  <c r="AF80" i="16" s="1"/>
  <c r="AI182" i="16"/>
  <c r="AH182" i="16" s="1"/>
  <c r="AG182" i="16" s="1"/>
  <c r="AF182" i="16" s="1"/>
  <c r="BH139" i="6"/>
  <c r="AD139" i="15" s="1"/>
  <c r="BH140" i="6"/>
  <c r="P140" i="15" s="1"/>
  <c r="BH354" i="6"/>
  <c r="AD354" i="1" s="1"/>
  <c r="BH350" i="6"/>
  <c r="P350" i="15" s="1"/>
  <c r="V350" i="15" s="1"/>
  <c r="F350" i="15" s="1"/>
  <c r="BH255" i="6"/>
  <c r="P255" i="15" s="1"/>
  <c r="V255" i="15" s="1"/>
  <c r="F255" i="15" s="1"/>
  <c r="G255" i="15" s="1"/>
  <c r="BX255" i="6" s="1"/>
  <c r="BH100" i="6"/>
  <c r="AD100" i="15" s="1"/>
  <c r="AI52" i="16"/>
  <c r="AH52" i="16" s="1"/>
  <c r="AG52" i="16" s="1"/>
  <c r="AF52" i="16" s="1"/>
  <c r="AI193" i="16"/>
  <c r="AH193" i="16" s="1"/>
  <c r="AG193" i="16" s="1"/>
  <c r="AF193" i="16" s="1"/>
  <c r="AI170" i="16"/>
  <c r="AH170" i="16" s="1"/>
  <c r="AG170" i="16" s="1"/>
  <c r="AF170" i="16" s="1"/>
  <c r="AI155" i="16"/>
  <c r="AH155" i="16" s="1"/>
  <c r="AG155" i="16" s="1"/>
  <c r="AF155" i="16" s="1"/>
  <c r="AI375" i="16"/>
  <c r="AH375" i="16" s="1"/>
  <c r="AG375" i="16" s="1"/>
  <c r="AF375" i="16" s="1"/>
  <c r="AI271" i="16"/>
  <c r="AH271" i="16" s="1"/>
  <c r="AG271" i="16" s="1"/>
  <c r="AF271" i="16" s="1"/>
  <c r="L39" i="19"/>
  <c r="BH119" i="6"/>
  <c r="AD119" i="1" s="1"/>
  <c r="BH170" i="6"/>
  <c r="BH20" i="6"/>
  <c r="AD20" i="15" s="1"/>
  <c r="BH224" i="6"/>
  <c r="BH194" i="6"/>
  <c r="AD194" i="15" s="1"/>
  <c r="BH221" i="6"/>
  <c r="P221" i="1" s="1"/>
  <c r="V221" i="1" s="1"/>
  <c r="BH18" i="6"/>
  <c r="AD18" i="1" s="1"/>
  <c r="BH59" i="6"/>
  <c r="BH261" i="6"/>
  <c r="AD261" i="1" s="1"/>
  <c r="BH374" i="6"/>
  <c r="BH176" i="6"/>
  <c r="P176" i="1" s="1"/>
  <c r="V176" i="1" s="1"/>
  <c r="BH36" i="6"/>
  <c r="BH189" i="6"/>
  <c r="AD189" i="15" s="1"/>
  <c r="AI101" i="16"/>
  <c r="AH101" i="16" s="1"/>
  <c r="AG101" i="16" s="1"/>
  <c r="AF101" i="16" s="1"/>
  <c r="U100" i="16"/>
  <c r="T100" i="16" s="1"/>
  <c r="S100" i="16" s="1"/>
  <c r="R100" i="16" s="1"/>
  <c r="U356" i="16"/>
  <c r="T356" i="16" s="1"/>
  <c r="S356" i="16" s="1"/>
  <c r="R356" i="16" s="1"/>
  <c r="U245" i="16"/>
  <c r="T245" i="16" s="1"/>
  <c r="S245" i="16" s="1"/>
  <c r="R245" i="16" s="1"/>
  <c r="U138" i="16"/>
  <c r="T138" i="16" s="1"/>
  <c r="S138" i="16" s="1"/>
  <c r="R138" i="16" s="1"/>
  <c r="U23" i="16"/>
  <c r="T23" i="16" s="1"/>
  <c r="S23" i="16" s="1"/>
  <c r="R23" i="16" s="1"/>
  <c r="U279" i="16"/>
  <c r="T279" i="16" s="1"/>
  <c r="S279" i="16" s="1"/>
  <c r="R279" i="16" s="1"/>
  <c r="U168" i="16"/>
  <c r="T168" i="16" s="1"/>
  <c r="S168" i="16" s="1"/>
  <c r="R168" i="16" s="1"/>
  <c r="U57" i="16"/>
  <c r="T57" i="16" s="1"/>
  <c r="S57" i="16" s="1"/>
  <c r="R57" i="16" s="1"/>
  <c r="U313" i="16"/>
  <c r="T313" i="16" s="1"/>
  <c r="S313" i="16" s="1"/>
  <c r="R313" i="16" s="1"/>
  <c r="U206" i="16"/>
  <c r="T206" i="16" s="1"/>
  <c r="S206" i="16" s="1"/>
  <c r="R206" i="16" s="1"/>
  <c r="U99" i="16"/>
  <c r="T99" i="16" s="1"/>
  <c r="S99" i="16" s="1"/>
  <c r="R99" i="16" s="1"/>
  <c r="U355" i="16"/>
  <c r="T355" i="16" s="1"/>
  <c r="S355" i="16" s="1"/>
  <c r="R355" i="16" s="1"/>
  <c r="U252" i="16"/>
  <c r="T252" i="16" s="1"/>
  <c r="S252" i="16" s="1"/>
  <c r="R252" i="16" s="1"/>
  <c r="U141" i="16"/>
  <c r="T141" i="16" s="1"/>
  <c r="S141" i="16" s="1"/>
  <c r="R141" i="16" s="1"/>
  <c r="U34" i="16"/>
  <c r="T34" i="16" s="1"/>
  <c r="S34" i="16" s="1"/>
  <c r="R34" i="16" s="1"/>
  <c r="U290" i="16"/>
  <c r="T290" i="16" s="1"/>
  <c r="S290" i="16" s="1"/>
  <c r="R290" i="16" s="1"/>
  <c r="U175" i="16"/>
  <c r="T175" i="16" s="1"/>
  <c r="S175" i="16" s="1"/>
  <c r="R175" i="16" s="1"/>
  <c r="U64" i="16"/>
  <c r="T64" i="16" s="1"/>
  <c r="S64" i="16" s="1"/>
  <c r="R64" i="16" s="1"/>
  <c r="U320" i="16"/>
  <c r="T320" i="16" s="1"/>
  <c r="S320" i="16" s="1"/>
  <c r="R320" i="16" s="1"/>
  <c r="U209" i="16"/>
  <c r="T209" i="16" s="1"/>
  <c r="S209" i="16" s="1"/>
  <c r="R209" i="16" s="1"/>
  <c r="U102" i="16"/>
  <c r="T102" i="16" s="1"/>
  <c r="S102" i="16" s="1"/>
  <c r="R102" i="16" s="1"/>
  <c r="U358" i="16"/>
  <c r="T358" i="16" s="1"/>
  <c r="S358" i="16" s="1"/>
  <c r="R358" i="16" s="1"/>
  <c r="U251" i="16"/>
  <c r="T251" i="16" s="1"/>
  <c r="S251" i="16" s="1"/>
  <c r="R251" i="16" s="1"/>
  <c r="U84" i="16"/>
  <c r="T84" i="16" s="1"/>
  <c r="S84" i="16" s="1"/>
  <c r="R84" i="16" s="1"/>
  <c r="U340" i="16"/>
  <c r="T340" i="16" s="1"/>
  <c r="S340" i="16" s="1"/>
  <c r="R340" i="16" s="1"/>
  <c r="U229" i="16"/>
  <c r="T229" i="16" s="1"/>
  <c r="S229" i="16" s="1"/>
  <c r="R229" i="16" s="1"/>
  <c r="U122" i="16"/>
  <c r="T122" i="16" s="1"/>
  <c r="S122" i="16" s="1"/>
  <c r="R122" i="16" s="1"/>
  <c r="U378" i="16"/>
  <c r="T378" i="16" s="1"/>
  <c r="S378" i="16" s="1"/>
  <c r="R378" i="16" s="1"/>
  <c r="U263" i="16"/>
  <c r="T263" i="16" s="1"/>
  <c r="S263" i="16" s="1"/>
  <c r="R263" i="16" s="1"/>
  <c r="U152" i="16"/>
  <c r="T152" i="16" s="1"/>
  <c r="S152" i="16" s="1"/>
  <c r="R152" i="16" s="1"/>
  <c r="U41" i="16"/>
  <c r="T41" i="16" s="1"/>
  <c r="S41" i="16" s="1"/>
  <c r="R41" i="16" s="1"/>
  <c r="U297" i="16"/>
  <c r="T297" i="16" s="1"/>
  <c r="S297" i="16" s="1"/>
  <c r="R297" i="16" s="1"/>
  <c r="U190" i="16"/>
  <c r="T190" i="16" s="1"/>
  <c r="S190" i="16" s="1"/>
  <c r="R190" i="16" s="1"/>
  <c r="U83" i="16"/>
  <c r="T83" i="16" s="1"/>
  <c r="S83" i="16" s="1"/>
  <c r="R83" i="16" s="1"/>
  <c r="U339" i="16"/>
  <c r="T339" i="16" s="1"/>
  <c r="S339" i="16" s="1"/>
  <c r="R339" i="16" s="1"/>
  <c r="U236" i="16"/>
  <c r="T236" i="16" s="1"/>
  <c r="S236" i="16" s="1"/>
  <c r="R236" i="16" s="1"/>
  <c r="U125" i="16"/>
  <c r="T125" i="16" s="1"/>
  <c r="S125" i="16" s="1"/>
  <c r="R125" i="16" s="1"/>
  <c r="U19" i="16"/>
  <c r="T19" i="16" s="1"/>
  <c r="S19" i="16" s="1"/>
  <c r="R19" i="16" s="1"/>
  <c r="U274" i="16"/>
  <c r="T274" i="16" s="1"/>
  <c r="S274" i="16" s="1"/>
  <c r="R274" i="16" s="1"/>
  <c r="U159" i="16"/>
  <c r="T159" i="16" s="1"/>
  <c r="S159" i="16" s="1"/>
  <c r="R159" i="16" s="1"/>
  <c r="U48" i="16"/>
  <c r="T48" i="16" s="1"/>
  <c r="S48" i="16" s="1"/>
  <c r="R48" i="16" s="1"/>
  <c r="U304" i="16"/>
  <c r="T304" i="16" s="1"/>
  <c r="S304" i="16" s="1"/>
  <c r="R304" i="16" s="1"/>
  <c r="U193" i="16"/>
  <c r="T193" i="16" s="1"/>
  <c r="S193" i="16" s="1"/>
  <c r="R193" i="16" s="1"/>
  <c r="U86" i="16"/>
  <c r="T86" i="16" s="1"/>
  <c r="S86" i="16" s="1"/>
  <c r="R86" i="16" s="1"/>
  <c r="U342" i="16"/>
  <c r="T342" i="16" s="1"/>
  <c r="S342" i="16" s="1"/>
  <c r="R342" i="16" s="1"/>
  <c r="U235" i="16"/>
  <c r="T235" i="16" s="1"/>
  <c r="S235" i="16" s="1"/>
  <c r="R235" i="16" s="1"/>
  <c r="U132" i="16"/>
  <c r="T132" i="16" s="1"/>
  <c r="S132" i="16" s="1"/>
  <c r="R132" i="16" s="1"/>
  <c r="U21" i="16"/>
  <c r="T21" i="16" s="1"/>
  <c r="S21" i="16" s="1"/>
  <c r="R21" i="16" s="1"/>
  <c r="U277" i="16"/>
  <c r="T277" i="16" s="1"/>
  <c r="S277" i="16" s="1"/>
  <c r="R277" i="16" s="1"/>
  <c r="U170" i="16"/>
  <c r="T170" i="16" s="1"/>
  <c r="S170" i="16" s="1"/>
  <c r="R170" i="16" s="1"/>
  <c r="U55" i="16"/>
  <c r="T55" i="16" s="1"/>
  <c r="S55" i="16" s="1"/>
  <c r="R55" i="16" s="1"/>
  <c r="U311" i="16"/>
  <c r="T311" i="16" s="1"/>
  <c r="S311" i="16" s="1"/>
  <c r="R311" i="16" s="1"/>
  <c r="U200" i="16"/>
  <c r="T200" i="16" s="1"/>
  <c r="S200" i="16" s="1"/>
  <c r="R200" i="16" s="1"/>
  <c r="U89" i="16"/>
  <c r="T89" i="16" s="1"/>
  <c r="S89" i="16" s="1"/>
  <c r="R89" i="16" s="1"/>
  <c r="U345" i="16"/>
  <c r="T345" i="16" s="1"/>
  <c r="S345" i="16" s="1"/>
  <c r="R345" i="16" s="1"/>
  <c r="U238" i="16"/>
  <c r="T238" i="16" s="1"/>
  <c r="S238" i="16" s="1"/>
  <c r="R238" i="16" s="1"/>
  <c r="U131" i="16"/>
  <c r="T131" i="16" s="1"/>
  <c r="S131" i="16" s="1"/>
  <c r="R131" i="16" s="1"/>
  <c r="U28" i="16"/>
  <c r="T28" i="16" s="1"/>
  <c r="S28" i="16" s="1"/>
  <c r="R28" i="16" s="1"/>
  <c r="U284" i="16"/>
  <c r="T284" i="16" s="1"/>
  <c r="S284" i="16" s="1"/>
  <c r="R284" i="16" s="1"/>
  <c r="U173" i="16"/>
  <c r="T173" i="16" s="1"/>
  <c r="S173" i="16" s="1"/>
  <c r="R173" i="16" s="1"/>
  <c r="U66" i="16"/>
  <c r="T66" i="16" s="1"/>
  <c r="S66" i="16" s="1"/>
  <c r="R66" i="16" s="1"/>
  <c r="U322" i="16"/>
  <c r="T322" i="16" s="1"/>
  <c r="S322" i="16" s="1"/>
  <c r="R322" i="16" s="1"/>
  <c r="U207" i="16"/>
  <c r="T207" i="16" s="1"/>
  <c r="S207" i="16" s="1"/>
  <c r="R207" i="16" s="1"/>
  <c r="U96" i="16"/>
  <c r="T96" i="16" s="1"/>
  <c r="S96" i="16" s="1"/>
  <c r="R96" i="16" s="1"/>
  <c r="U352" i="16"/>
  <c r="T352" i="16" s="1"/>
  <c r="S352" i="16" s="1"/>
  <c r="R352" i="16" s="1"/>
  <c r="U241" i="16"/>
  <c r="T241" i="16" s="1"/>
  <c r="S241" i="16" s="1"/>
  <c r="R241" i="16" s="1"/>
  <c r="U134" i="16"/>
  <c r="T134" i="16" s="1"/>
  <c r="S134" i="16" s="1"/>
  <c r="R134" i="16" s="1"/>
  <c r="U27" i="16"/>
  <c r="T27" i="16" s="1"/>
  <c r="S27" i="16" s="1"/>
  <c r="R27" i="16" s="1"/>
  <c r="U283" i="16"/>
  <c r="T283" i="16" s="1"/>
  <c r="S283" i="16" s="1"/>
  <c r="R283" i="16" s="1"/>
  <c r="U116" i="16"/>
  <c r="T116" i="16" s="1"/>
  <c r="S116" i="16" s="1"/>
  <c r="R116" i="16" s="1"/>
  <c r="U372" i="16"/>
  <c r="T372" i="16" s="1"/>
  <c r="S372" i="16" s="1"/>
  <c r="R372" i="16" s="1"/>
  <c r="U261" i="16"/>
  <c r="T261" i="16" s="1"/>
  <c r="S261" i="16" s="1"/>
  <c r="R261" i="16" s="1"/>
  <c r="U154" i="16"/>
  <c r="T154" i="16" s="1"/>
  <c r="S154" i="16" s="1"/>
  <c r="R154" i="16" s="1"/>
  <c r="U39" i="16"/>
  <c r="T39" i="16" s="1"/>
  <c r="S39" i="16" s="1"/>
  <c r="R39" i="16" s="1"/>
  <c r="U295" i="16"/>
  <c r="T295" i="16" s="1"/>
  <c r="S295" i="16" s="1"/>
  <c r="R295" i="16" s="1"/>
  <c r="U184" i="16"/>
  <c r="T184" i="16" s="1"/>
  <c r="S184" i="16" s="1"/>
  <c r="R184" i="16" s="1"/>
  <c r="U73" i="16"/>
  <c r="T73" i="16" s="1"/>
  <c r="S73" i="16" s="1"/>
  <c r="R73" i="16" s="1"/>
  <c r="U329" i="16"/>
  <c r="T329" i="16" s="1"/>
  <c r="S329" i="16" s="1"/>
  <c r="R329" i="16" s="1"/>
  <c r="U222" i="16"/>
  <c r="T222" i="16" s="1"/>
  <c r="S222" i="16" s="1"/>
  <c r="R222" i="16" s="1"/>
  <c r="U115" i="16"/>
  <c r="T115" i="16" s="1"/>
  <c r="S115" i="16" s="1"/>
  <c r="R115" i="16" s="1"/>
  <c r="U371" i="16"/>
  <c r="T371" i="16" s="1"/>
  <c r="S371" i="16" s="1"/>
  <c r="R371" i="16" s="1"/>
  <c r="U268" i="16"/>
  <c r="T268" i="16" s="1"/>
  <c r="S268" i="16" s="1"/>
  <c r="R268" i="16" s="1"/>
  <c r="U157" i="16"/>
  <c r="T157" i="16" s="1"/>
  <c r="S157" i="16" s="1"/>
  <c r="R157" i="16" s="1"/>
  <c r="U50" i="16"/>
  <c r="T50" i="16" s="1"/>
  <c r="S50" i="16" s="1"/>
  <c r="R50" i="16" s="1"/>
  <c r="U306" i="16"/>
  <c r="T306" i="16" s="1"/>
  <c r="S306" i="16" s="1"/>
  <c r="R306" i="16" s="1"/>
  <c r="U191" i="16"/>
  <c r="T191" i="16" s="1"/>
  <c r="S191" i="16" s="1"/>
  <c r="R191" i="16" s="1"/>
  <c r="U80" i="16"/>
  <c r="T80" i="16" s="1"/>
  <c r="S80" i="16" s="1"/>
  <c r="R80" i="16" s="1"/>
  <c r="U336" i="16"/>
  <c r="T336" i="16" s="1"/>
  <c r="S336" i="16" s="1"/>
  <c r="R336" i="16" s="1"/>
  <c r="U225" i="16"/>
  <c r="T225" i="16" s="1"/>
  <c r="S225" i="16" s="1"/>
  <c r="R225" i="16" s="1"/>
  <c r="U118" i="16"/>
  <c r="T118" i="16" s="1"/>
  <c r="S118" i="16" s="1"/>
  <c r="R118" i="16" s="1"/>
  <c r="U374" i="16"/>
  <c r="T374" i="16" s="1"/>
  <c r="S374" i="16" s="1"/>
  <c r="R374" i="16" s="1"/>
  <c r="U267" i="16"/>
  <c r="T267" i="16" s="1"/>
  <c r="S267" i="16" s="1"/>
  <c r="R267" i="16" s="1"/>
  <c r="AI289" i="16"/>
  <c r="AH289" i="16" s="1"/>
  <c r="AI71" i="16"/>
  <c r="AH71" i="16" s="1"/>
  <c r="AG71" i="16" s="1"/>
  <c r="AF71" i="16" s="1"/>
  <c r="AI294" i="16"/>
  <c r="AH294" i="16" s="1"/>
  <c r="AG294" i="16" s="1"/>
  <c r="AF294" i="16" s="1"/>
  <c r="AI204" i="16"/>
  <c r="AH204" i="16" s="1"/>
  <c r="AG204" i="16" s="1"/>
  <c r="AF204" i="16" s="1"/>
  <c r="AI16" i="16"/>
  <c r="AH16" i="16" s="1"/>
  <c r="AG16" i="16" s="1"/>
  <c r="AF16" i="16" s="1"/>
  <c r="AI291" i="16"/>
  <c r="AH291" i="16" s="1"/>
  <c r="AG291" i="16" s="1"/>
  <c r="AF291" i="16" s="1"/>
  <c r="AI125" i="16"/>
  <c r="AH125" i="16" s="1"/>
  <c r="AG125" i="16" s="1"/>
  <c r="AF125" i="16" s="1"/>
  <c r="AI322" i="16"/>
  <c r="AH322" i="16" s="1"/>
  <c r="AG322" i="16" s="1"/>
  <c r="AF322" i="16" s="1"/>
  <c r="AI216" i="16"/>
  <c r="AH216" i="16" s="1"/>
  <c r="AG216" i="16" s="1"/>
  <c r="AF216" i="16" s="1"/>
  <c r="AI46" i="16"/>
  <c r="AH46" i="16" s="1"/>
  <c r="AG46" i="16" s="1"/>
  <c r="AF46" i="16" s="1"/>
  <c r="AI235" i="16"/>
  <c r="AH235" i="16" s="1"/>
  <c r="E8" i="20"/>
  <c r="K16" i="19" s="1"/>
  <c r="AG13" i="7"/>
  <c r="AM10" i="7" s="1"/>
  <c r="O37" i="20"/>
  <c r="O131" i="20"/>
  <c r="O186" i="20"/>
  <c r="O272" i="20"/>
  <c r="AG28" i="7" s="1"/>
  <c r="O337" i="20"/>
  <c r="O175" i="20"/>
  <c r="O246" i="20"/>
  <c r="O261" i="20"/>
  <c r="O365" i="20"/>
  <c r="O34" i="20"/>
  <c r="O85" i="20"/>
  <c r="O113" i="20"/>
  <c r="O172" i="20"/>
  <c r="O171" i="20"/>
  <c r="O232" i="20"/>
  <c r="O298" i="20"/>
  <c r="O341" i="20"/>
  <c r="O216" i="20"/>
  <c r="O303" i="20"/>
  <c r="O258" i="20"/>
  <c r="O338" i="20"/>
  <c r="O349" i="20"/>
  <c r="O23" i="20"/>
  <c r="O91" i="20"/>
  <c r="O123" i="20"/>
  <c r="O256" i="20"/>
  <c r="O313" i="20"/>
  <c r="O132" i="20"/>
  <c r="O220" i="20"/>
  <c r="O336" i="20"/>
  <c r="O339" i="20"/>
  <c r="O18" i="20"/>
  <c r="O75" i="20"/>
  <c r="O99" i="20"/>
  <c r="O150" i="20"/>
  <c r="O135" i="20"/>
  <c r="O218" i="20"/>
  <c r="O277" i="20"/>
  <c r="O327" i="20"/>
  <c r="O129" i="20"/>
  <c r="O268" i="20"/>
  <c r="O249" i="20"/>
  <c r="O305" i="20"/>
  <c r="O343" i="20"/>
  <c r="O378" i="20"/>
  <c r="O56" i="20"/>
  <c r="O98" i="20"/>
  <c r="O251" i="20"/>
  <c r="O306" i="20"/>
  <c r="O102" i="20"/>
  <c r="O212" i="20"/>
  <c r="O310" i="20"/>
  <c r="O333" i="20"/>
  <c r="AG30" i="7" s="1"/>
  <c r="O377" i="20"/>
  <c r="O68" i="20"/>
  <c r="O96" i="20"/>
  <c r="O140" i="20"/>
  <c r="O124" i="20"/>
  <c r="O208" i="20"/>
  <c r="O269" i="20"/>
  <c r="O324" i="20"/>
  <c r="O115" i="20"/>
  <c r="O236" i="20"/>
  <c r="O41" i="20"/>
  <c r="O43" i="20"/>
  <c r="O70" i="20"/>
  <c r="O54" i="20"/>
  <c r="O110" i="20"/>
  <c r="O148" i="20"/>
  <c r="O176" i="20"/>
  <c r="O95" i="20"/>
  <c r="O158" i="20"/>
  <c r="O202" i="20"/>
  <c r="O69" i="20"/>
  <c r="O105" i="20"/>
  <c r="O174" i="20"/>
  <c r="O145" i="20"/>
  <c r="O226" i="20"/>
  <c r="O257" i="20"/>
  <c r="O286" i="20"/>
  <c r="O335" i="20"/>
  <c r="O86" i="20"/>
  <c r="O170" i="20"/>
  <c r="O217" i="20"/>
  <c r="O215" i="20"/>
  <c r="O33" i="20"/>
  <c r="O71" i="20"/>
  <c r="O244" i="20"/>
  <c r="O293" i="20"/>
  <c r="O111" i="20"/>
  <c r="O194" i="20"/>
  <c r="O301" i="20"/>
  <c r="O323" i="20"/>
  <c r="O375" i="20"/>
  <c r="O64" i="20"/>
  <c r="O89" i="20"/>
  <c r="O138" i="20"/>
  <c r="O107" i="20"/>
  <c r="O196" i="20"/>
  <c r="O263" i="20"/>
  <c r="O321" i="20"/>
  <c r="O36" i="20"/>
  <c r="O207" i="20"/>
  <c r="O242" i="20"/>
  <c r="O279" i="20"/>
  <c r="O371" i="20"/>
  <c r="O372" i="20"/>
  <c r="O60" i="20"/>
  <c r="AG21" i="7" s="1"/>
  <c r="O155" i="20"/>
  <c r="O214" i="20"/>
  <c r="O282" i="20"/>
  <c r="O358" i="20"/>
  <c r="O203" i="20"/>
  <c r="O280" i="20"/>
  <c r="O291" i="20"/>
  <c r="O354" i="20"/>
  <c r="O28" i="20"/>
  <c r="O58" i="20"/>
  <c r="O120" i="20"/>
  <c r="O50" i="20"/>
  <c r="O189" i="20"/>
  <c r="O240" i="20"/>
  <c r="O316" i="20"/>
  <c r="O363" i="20"/>
  <c r="AG31" i="7" s="1"/>
  <c r="O157" i="20"/>
  <c r="O231" i="20"/>
  <c r="O266" i="20"/>
  <c r="O366" i="20"/>
  <c r="O360" i="20"/>
  <c r="O47" i="20"/>
  <c r="O151" i="20"/>
  <c r="O206" i="20"/>
  <c r="O273" i="20"/>
  <c r="O356" i="20"/>
  <c r="O188" i="20"/>
  <c r="O260" i="20"/>
  <c r="O288" i="20"/>
  <c r="O347" i="20"/>
  <c r="O38" i="20"/>
  <c r="O45" i="20"/>
  <c r="O119" i="20"/>
  <c r="AG23" i="7" s="1"/>
  <c r="O19" i="20"/>
  <c r="O178" i="20"/>
  <c r="O237" i="20"/>
  <c r="O309" i="20"/>
  <c r="O344" i="20"/>
  <c r="O143" i="20"/>
  <c r="O325" i="20"/>
  <c r="O29" i="20"/>
  <c r="AG20" i="7" s="1"/>
  <c r="O48" i="20"/>
  <c r="O17" i="20"/>
  <c r="O73" i="20"/>
  <c r="O130" i="20"/>
  <c r="O154" i="20"/>
  <c r="O49" i="20"/>
  <c r="O122" i="20"/>
  <c r="O184" i="20"/>
  <c r="O44" i="20"/>
  <c r="O53" i="20"/>
  <c r="O136" i="20"/>
  <c r="O90" i="20"/>
  <c r="O200" i="20"/>
  <c r="O245" i="20"/>
  <c r="O274" i="20"/>
  <c r="O311" i="20"/>
  <c r="O357" i="20"/>
  <c r="O106" i="20"/>
  <c r="O182" i="20"/>
  <c r="O190" i="20"/>
  <c r="O228" i="20"/>
  <c r="O297" i="20"/>
  <c r="O221" i="20"/>
  <c r="O300" i="20"/>
  <c r="O353" i="20"/>
  <c r="O368" i="20"/>
  <c r="O26" i="20"/>
  <c r="O39" i="20"/>
  <c r="O82" i="20"/>
  <c r="O62" i="20"/>
  <c r="O100" i="20"/>
  <c r="O134" i="20"/>
  <c r="O167" i="20"/>
  <c r="O94" i="20"/>
  <c r="O169" i="20"/>
  <c r="O193" i="20"/>
  <c r="O229" i="20"/>
  <c r="O259" i="20"/>
  <c r="O294" i="20"/>
  <c r="O320" i="20"/>
  <c r="O340" i="20"/>
  <c r="O104" i="20"/>
  <c r="O141" i="20"/>
  <c r="O210" i="20"/>
  <c r="AG26" i="7" s="1"/>
  <c r="O295" i="20"/>
  <c r="O248" i="20"/>
  <c r="O299" i="20"/>
  <c r="O374" i="20"/>
  <c r="O373" i="20"/>
  <c r="O74" i="20"/>
  <c r="O179" i="20"/>
  <c r="O230" i="20"/>
  <c r="O285" i="20"/>
  <c r="O61" i="20"/>
  <c r="O144" i="20"/>
  <c r="O292" i="20"/>
  <c r="O307" i="20"/>
  <c r="O364" i="20"/>
  <c r="O32" i="20"/>
  <c r="O67" i="20"/>
  <c r="O127" i="20"/>
  <c r="O83" i="20"/>
  <c r="O192" i="20"/>
  <c r="O253" i="20"/>
  <c r="O318" i="20"/>
  <c r="O87" i="20"/>
  <c r="O177" i="20"/>
  <c r="O241" i="20"/>
  <c r="AG27" i="7" s="1"/>
  <c r="O15" i="20"/>
  <c r="O46" i="20"/>
  <c r="O81" i="20"/>
  <c r="O57" i="20"/>
  <c r="O116" i="20"/>
  <c r="O152" i="20"/>
  <c r="O181" i="20"/>
  <c r="O109" i="20"/>
  <c r="O162" i="20"/>
  <c r="O211" i="20"/>
  <c r="O55" i="20"/>
  <c r="O66" i="20"/>
  <c r="O153" i="20"/>
  <c r="O121" i="20"/>
  <c r="O213" i="20"/>
  <c r="O252" i="20"/>
  <c r="O284" i="20"/>
  <c r="O328" i="20"/>
  <c r="O359" i="20"/>
  <c r="O137" i="20"/>
  <c r="O199" i="20"/>
  <c r="O204" i="20"/>
  <c r="O247" i="20"/>
  <c r="O302" i="20"/>
  <c r="AG29" i="7" s="1"/>
  <c r="O254" i="20"/>
  <c r="O315" i="20"/>
  <c r="O369" i="20"/>
  <c r="O376" i="20"/>
  <c r="O35" i="20"/>
  <c r="O65" i="20"/>
  <c r="O88" i="20"/>
  <c r="AG22" i="7" s="1"/>
  <c r="O80" i="20"/>
  <c r="O103" i="20"/>
  <c r="O139" i="20"/>
  <c r="O185" i="20"/>
  <c r="O112" i="20"/>
  <c r="O173" i="20"/>
  <c r="O201" i="20"/>
  <c r="O234" i="20"/>
  <c r="O267" i="20"/>
  <c r="O308" i="20"/>
  <c r="O322" i="20"/>
  <c r="O342" i="20"/>
  <c r="O126" i="20"/>
  <c r="O156" i="20"/>
  <c r="O222" i="20"/>
  <c r="O314" i="20"/>
  <c r="O255" i="20"/>
  <c r="O319" i="20"/>
  <c r="O348" i="20"/>
  <c r="O278" i="20"/>
  <c r="O304" i="20"/>
  <c r="O265" i="20"/>
  <c r="O331" i="20"/>
  <c r="O350" i="20"/>
  <c r="O379" i="20"/>
  <c r="C40" i="19" s="1"/>
  <c r="O20" i="20"/>
  <c r="O72" i="20"/>
  <c r="O40" i="20"/>
  <c r="O92" i="20"/>
  <c r="O118" i="20"/>
  <c r="O146" i="20"/>
  <c r="O24" i="20"/>
  <c r="O128" i="20"/>
  <c r="O187" i="20"/>
  <c r="O209" i="20"/>
  <c r="O239" i="20"/>
  <c r="O271" i="20"/>
  <c r="O312" i="20"/>
  <c r="O326" i="20"/>
  <c r="O361" i="20"/>
  <c r="O183" i="20"/>
  <c r="O163" i="20"/>
  <c r="O243" i="20"/>
  <c r="O224" i="20"/>
  <c r="O262" i="20"/>
  <c r="O352" i="20"/>
  <c r="O355" i="20"/>
  <c r="O27" i="20"/>
  <c r="O114" i="20"/>
  <c r="O159" i="20"/>
  <c r="O264" i="20"/>
  <c r="O334" i="20"/>
  <c r="O168" i="20"/>
  <c r="O225" i="20"/>
  <c r="O238" i="20"/>
  <c r="O346" i="20"/>
  <c r="O25" i="20"/>
  <c r="O79" i="20"/>
  <c r="O101" i="20"/>
  <c r="O165" i="20"/>
  <c r="O161" i="20"/>
  <c r="O227" i="20"/>
  <c r="O290" i="20"/>
  <c r="O330" i="20"/>
  <c r="O197" i="20"/>
  <c r="O281" i="20"/>
  <c r="O16" i="20"/>
  <c r="O31" i="20"/>
  <c r="O59" i="20"/>
  <c r="O51" i="20"/>
  <c r="O93" i="20"/>
  <c r="O133" i="20"/>
  <c r="O160" i="20"/>
  <c r="O78" i="20"/>
  <c r="O142" i="20"/>
  <c r="O195" i="20"/>
  <c r="O42" i="20"/>
  <c r="O84" i="20"/>
  <c r="O117" i="20"/>
  <c r="O22" i="20"/>
  <c r="O166" i="20"/>
  <c r="O233" i="20"/>
  <c r="O270" i="20"/>
  <c r="O296" i="20"/>
  <c r="O351" i="20"/>
  <c r="O76" i="20"/>
  <c r="O180" i="20"/>
  <c r="AG25" i="7" s="1"/>
  <c r="O149" i="20"/>
  <c r="AG24" i="7" s="1"/>
  <c r="O223" i="20"/>
  <c r="O283" i="20"/>
  <c r="O332" i="20"/>
  <c r="O289" i="20"/>
  <c r="O345" i="20"/>
  <c r="O362" i="20"/>
  <c r="O21" i="20"/>
  <c r="O30" i="20"/>
  <c r="O77" i="20"/>
  <c r="O52" i="20"/>
  <c r="O97" i="20"/>
  <c r="O125" i="20"/>
  <c r="O164" i="20"/>
  <c r="O63" i="20"/>
  <c r="O147" i="20"/>
  <c r="O191" i="20"/>
  <c r="O219" i="20"/>
  <c r="O250" i="20"/>
  <c r="O287" i="20"/>
  <c r="O317" i="20"/>
  <c r="O329" i="20"/>
  <c r="O108" i="20"/>
  <c r="O198" i="20"/>
  <c r="O205" i="20"/>
  <c r="O275" i="20"/>
  <c r="O235" i="20"/>
  <c r="O276" i="20"/>
  <c r="O370" i="20"/>
  <c r="O367" i="20"/>
  <c r="BH191" i="6"/>
  <c r="AD191" i="15" s="1"/>
  <c r="BH30" i="6"/>
  <c r="BH108" i="6"/>
  <c r="P108" i="1" s="1"/>
  <c r="V108" i="1" s="1"/>
  <c r="T382" i="15"/>
  <c r="T383" i="15"/>
  <c r="U36" i="16"/>
  <c r="T36" i="16" s="1"/>
  <c r="S36" i="16" s="1"/>
  <c r="R36" i="16" s="1"/>
  <c r="U164" i="16"/>
  <c r="T164" i="16" s="1"/>
  <c r="S164" i="16" s="1"/>
  <c r="R164" i="16" s="1"/>
  <c r="U292" i="16"/>
  <c r="T292" i="16" s="1"/>
  <c r="S292" i="16" s="1"/>
  <c r="R292" i="16" s="1"/>
  <c r="U53" i="16"/>
  <c r="T53" i="16" s="1"/>
  <c r="S53" i="16" s="1"/>
  <c r="R53" i="16" s="1"/>
  <c r="U181" i="16"/>
  <c r="T181" i="16" s="1"/>
  <c r="S181" i="16" s="1"/>
  <c r="R181" i="16" s="1"/>
  <c r="U309" i="16"/>
  <c r="T309" i="16" s="1"/>
  <c r="S309" i="16" s="1"/>
  <c r="R309" i="16" s="1"/>
  <c r="U74" i="16"/>
  <c r="T74" i="16" s="1"/>
  <c r="S74" i="16" s="1"/>
  <c r="R74" i="16" s="1"/>
  <c r="U202" i="16"/>
  <c r="T202" i="16" s="1"/>
  <c r="S202" i="16" s="1"/>
  <c r="R202" i="16" s="1"/>
  <c r="U330" i="16"/>
  <c r="T330" i="16" s="1"/>
  <c r="S330" i="16" s="1"/>
  <c r="R330" i="16" s="1"/>
  <c r="U87" i="16"/>
  <c r="T87" i="16" s="1"/>
  <c r="S87" i="16" s="1"/>
  <c r="R87" i="16" s="1"/>
  <c r="U215" i="16"/>
  <c r="T215" i="16" s="1"/>
  <c r="S215" i="16" s="1"/>
  <c r="R215" i="16" s="1"/>
  <c r="U343" i="16"/>
  <c r="T343" i="16" s="1"/>
  <c r="S343" i="16" s="1"/>
  <c r="R343" i="16" s="1"/>
  <c r="U104" i="16"/>
  <c r="T104" i="16" s="1"/>
  <c r="S104" i="16" s="1"/>
  <c r="R104" i="16" s="1"/>
  <c r="U232" i="16"/>
  <c r="T232" i="16" s="1"/>
  <c r="S232" i="16" s="1"/>
  <c r="R232" i="16" s="1"/>
  <c r="U360" i="16"/>
  <c r="T360" i="16" s="1"/>
  <c r="S360" i="16" s="1"/>
  <c r="R360" i="16" s="1"/>
  <c r="U121" i="16"/>
  <c r="T121" i="16" s="1"/>
  <c r="S121" i="16" s="1"/>
  <c r="R121" i="16" s="1"/>
  <c r="U249" i="16"/>
  <c r="T249" i="16" s="1"/>
  <c r="S249" i="16" s="1"/>
  <c r="R249" i="16" s="1"/>
  <c r="U377" i="16"/>
  <c r="T377" i="16" s="1"/>
  <c r="S377" i="16" s="1"/>
  <c r="R377" i="16" s="1"/>
  <c r="U142" i="16"/>
  <c r="T142" i="16" s="1"/>
  <c r="S142" i="16" s="1"/>
  <c r="R142" i="16" s="1"/>
  <c r="U270" i="16"/>
  <c r="T270" i="16" s="1"/>
  <c r="S270" i="16" s="1"/>
  <c r="R270" i="16" s="1"/>
  <c r="U35" i="16"/>
  <c r="T35" i="16" s="1"/>
  <c r="S35" i="16" s="1"/>
  <c r="R35" i="16" s="1"/>
  <c r="U163" i="16"/>
  <c r="T163" i="16" s="1"/>
  <c r="S163" i="16" s="1"/>
  <c r="R163" i="16" s="1"/>
  <c r="U291" i="16"/>
  <c r="T291" i="16" s="1"/>
  <c r="S291" i="16" s="1"/>
  <c r="R291" i="16" s="1"/>
  <c r="U60" i="16"/>
  <c r="T60" i="16" s="1"/>
  <c r="S60" i="16" s="1"/>
  <c r="R60" i="16" s="1"/>
  <c r="U188" i="16"/>
  <c r="T188" i="16" s="1"/>
  <c r="S188" i="16" s="1"/>
  <c r="R188" i="16" s="1"/>
  <c r="U316" i="16"/>
  <c r="T316" i="16" s="1"/>
  <c r="S316" i="16" s="1"/>
  <c r="R316" i="16" s="1"/>
  <c r="U77" i="16"/>
  <c r="T77" i="16" s="1"/>
  <c r="S77" i="16" s="1"/>
  <c r="R77" i="16" s="1"/>
  <c r="U205" i="16"/>
  <c r="T205" i="16" s="1"/>
  <c r="S205" i="16" s="1"/>
  <c r="R205" i="16" s="1"/>
  <c r="U333" i="16"/>
  <c r="T333" i="16" s="1"/>
  <c r="S333" i="16" s="1"/>
  <c r="R333" i="16" s="1"/>
  <c r="U98" i="16"/>
  <c r="T98" i="16" s="1"/>
  <c r="S98" i="16" s="1"/>
  <c r="R98" i="16" s="1"/>
  <c r="U226" i="16"/>
  <c r="T226" i="16" s="1"/>
  <c r="S226" i="16" s="1"/>
  <c r="R226" i="16" s="1"/>
  <c r="U354" i="16"/>
  <c r="T354" i="16" s="1"/>
  <c r="S354" i="16" s="1"/>
  <c r="R354" i="16" s="1"/>
  <c r="U111" i="16"/>
  <c r="T111" i="16" s="1"/>
  <c r="S111" i="16" s="1"/>
  <c r="R111" i="16" s="1"/>
  <c r="U239" i="16"/>
  <c r="T239" i="16" s="1"/>
  <c r="S239" i="16" s="1"/>
  <c r="R239" i="16" s="1"/>
  <c r="U367" i="16"/>
  <c r="T367" i="16" s="1"/>
  <c r="S367" i="16" s="1"/>
  <c r="R367" i="16" s="1"/>
  <c r="U128" i="16"/>
  <c r="T128" i="16" s="1"/>
  <c r="S128" i="16" s="1"/>
  <c r="R128" i="16" s="1"/>
  <c r="U256" i="16"/>
  <c r="T256" i="16" s="1"/>
  <c r="S256" i="16" s="1"/>
  <c r="R256" i="16" s="1"/>
  <c r="U17" i="16"/>
  <c r="T17" i="16" s="1"/>
  <c r="S17" i="16" s="1"/>
  <c r="R17" i="16" s="1"/>
  <c r="U145" i="16"/>
  <c r="T145" i="16" s="1"/>
  <c r="S145" i="16" s="1"/>
  <c r="R145" i="16" s="1"/>
  <c r="U273" i="16"/>
  <c r="T273" i="16" s="1"/>
  <c r="S273" i="16" s="1"/>
  <c r="R273" i="16" s="1"/>
  <c r="U38" i="16"/>
  <c r="T38" i="16" s="1"/>
  <c r="S38" i="16" s="1"/>
  <c r="R38" i="16" s="1"/>
  <c r="U166" i="16"/>
  <c r="T166" i="16" s="1"/>
  <c r="S166" i="16" s="1"/>
  <c r="R166" i="16" s="1"/>
  <c r="U294" i="16"/>
  <c r="T294" i="16" s="1"/>
  <c r="S294" i="16" s="1"/>
  <c r="R294" i="16" s="1"/>
  <c r="U59" i="16"/>
  <c r="T59" i="16" s="1"/>
  <c r="S59" i="16" s="1"/>
  <c r="R59" i="16" s="1"/>
  <c r="U187" i="16"/>
  <c r="T187" i="16" s="1"/>
  <c r="S187" i="16" s="1"/>
  <c r="R187" i="16" s="1"/>
  <c r="U315" i="16"/>
  <c r="T315" i="16" s="1"/>
  <c r="S315" i="16" s="1"/>
  <c r="R315" i="16" s="1"/>
  <c r="U20" i="16"/>
  <c r="T20" i="16" s="1"/>
  <c r="S20" i="16" s="1"/>
  <c r="R20" i="16" s="1"/>
  <c r="U148" i="16"/>
  <c r="T148" i="16" s="1"/>
  <c r="S148" i="16" s="1"/>
  <c r="R148" i="16" s="1"/>
  <c r="U276" i="16"/>
  <c r="T276" i="16" s="1"/>
  <c r="S276" i="16" s="1"/>
  <c r="R276" i="16" s="1"/>
  <c r="U37" i="16"/>
  <c r="T37" i="16" s="1"/>
  <c r="S37" i="16" s="1"/>
  <c r="R37" i="16" s="1"/>
  <c r="U165" i="16"/>
  <c r="T165" i="16" s="1"/>
  <c r="S165" i="16" s="1"/>
  <c r="R165" i="16" s="1"/>
  <c r="U293" i="16"/>
  <c r="T293" i="16" s="1"/>
  <c r="S293" i="16" s="1"/>
  <c r="R293" i="16" s="1"/>
  <c r="U58" i="16"/>
  <c r="T58" i="16" s="1"/>
  <c r="S58" i="16" s="1"/>
  <c r="R58" i="16" s="1"/>
  <c r="U186" i="16"/>
  <c r="T186" i="16" s="1"/>
  <c r="S186" i="16" s="1"/>
  <c r="R186" i="16" s="1"/>
  <c r="U314" i="16"/>
  <c r="T314" i="16" s="1"/>
  <c r="S314" i="16" s="1"/>
  <c r="R314" i="16" s="1"/>
  <c r="U71" i="16"/>
  <c r="T71" i="16" s="1"/>
  <c r="S71" i="16" s="1"/>
  <c r="R71" i="16" s="1"/>
  <c r="U199" i="16"/>
  <c r="T199" i="16" s="1"/>
  <c r="S199" i="16" s="1"/>
  <c r="R199" i="16" s="1"/>
  <c r="U327" i="16"/>
  <c r="T327" i="16" s="1"/>
  <c r="S327" i="16" s="1"/>
  <c r="R327" i="16" s="1"/>
  <c r="U88" i="16"/>
  <c r="T88" i="16" s="1"/>
  <c r="S88" i="16" s="1"/>
  <c r="R88" i="16" s="1"/>
  <c r="U216" i="16"/>
  <c r="T216" i="16" s="1"/>
  <c r="S216" i="16" s="1"/>
  <c r="R216" i="16" s="1"/>
  <c r="U344" i="16"/>
  <c r="T344" i="16" s="1"/>
  <c r="S344" i="16" s="1"/>
  <c r="R344" i="16" s="1"/>
  <c r="U105" i="16"/>
  <c r="T105" i="16" s="1"/>
  <c r="S105" i="16" s="1"/>
  <c r="R105" i="16" s="1"/>
  <c r="U233" i="16"/>
  <c r="T233" i="16" s="1"/>
  <c r="S233" i="16" s="1"/>
  <c r="R233" i="16" s="1"/>
  <c r="U361" i="16"/>
  <c r="T361" i="16" s="1"/>
  <c r="S361" i="16" s="1"/>
  <c r="R361" i="16" s="1"/>
  <c r="U126" i="16"/>
  <c r="T126" i="16" s="1"/>
  <c r="S126" i="16" s="1"/>
  <c r="R126" i="16" s="1"/>
  <c r="U254" i="16"/>
  <c r="T254" i="16" s="1"/>
  <c r="S254" i="16" s="1"/>
  <c r="R254" i="16" s="1"/>
  <c r="U15" i="16"/>
  <c r="T15" i="16" s="1"/>
  <c r="U147" i="16"/>
  <c r="T147" i="16" s="1"/>
  <c r="S147" i="16" s="1"/>
  <c r="R147" i="16" s="1"/>
  <c r="U275" i="16"/>
  <c r="T275" i="16" s="1"/>
  <c r="S275" i="16" s="1"/>
  <c r="R275" i="16" s="1"/>
  <c r="U44" i="16"/>
  <c r="T44" i="16" s="1"/>
  <c r="S44" i="16" s="1"/>
  <c r="R44" i="16" s="1"/>
  <c r="U172" i="16"/>
  <c r="T172" i="16" s="1"/>
  <c r="S172" i="16" s="1"/>
  <c r="R172" i="16" s="1"/>
  <c r="U300" i="16"/>
  <c r="T300" i="16" s="1"/>
  <c r="S300" i="16" s="1"/>
  <c r="R300" i="16" s="1"/>
  <c r="U61" i="16"/>
  <c r="T61" i="16" s="1"/>
  <c r="S61" i="16" s="1"/>
  <c r="R61" i="16" s="1"/>
  <c r="U189" i="16"/>
  <c r="T189" i="16" s="1"/>
  <c r="S189" i="16" s="1"/>
  <c r="R189" i="16" s="1"/>
  <c r="U317" i="16"/>
  <c r="T317" i="16" s="1"/>
  <c r="S317" i="16" s="1"/>
  <c r="R317" i="16" s="1"/>
  <c r="U82" i="16"/>
  <c r="T82" i="16" s="1"/>
  <c r="S82" i="16" s="1"/>
  <c r="R82" i="16" s="1"/>
  <c r="U210" i="16"/>
  <c r="T210" i="16" s="1"/>
  <c r="S210" i="16" s="1"/>
  <c r="R210" i="16" s="1"/>
  <c r="U338" i="16"/>
  <c r="T338" i="16" s="1"/>
  <c r="S338" i="16" s="1"/>
  <c r="R338" i="16" s="1"/>
  <c r="U95" i="16"/>
  <c r="T95" i="16" s="1"/>
  <c r="S95" i="16" s="1"/>
  <c r="R95" i="16" s="1"/>
  <c r="U223" i="16"/>
  <c r="T223" i="16" s="1"/>
  <c r="S223" i="16" s="1"/>
  <c r="R223" i="16" s="1"/>
  <c r="U351" i="16"/>
  <c r="T351" i="16" s="1"/>
  <c r="S351" i="16" s="1"/>
  <c r="R351" i="16" s="1"/>
  <c r="U112" i="16"/>
  <c r="T112" i="16" s="1"/>
  <c r="S112" i="16" s="1"/>
  <c r="R112" i="16" s="1"/>
  <c r="U240" i="16"/>
  <c r="T240" i="16" s="1"/>
  <c r="S240" i="16" s="1"/>
  <c r="R240" i="16" s="1"/>
  <c r="U368" i="16"/>
  <c r="T368" i="16" s="1"/>
  <c r="S368" i="16" s="1"/>
  <c r="R368" i="16" s="1"/>
  <c r="U129" i="16"/>
  <c r="T129" i="16" s="1"/>
  <c r="S129" i="16" s="1"/>
  <c r="R129" i="16" s="1"/>
  <c r="U257" i="16"/>
  <c r="T257" i="16" s="1"/>
  <c r="S257" i="16" s="1"/>
  <c r="R257" i="16" s="1"/>
  <c r="U22" i="16"/>
  <c r="T22" i="16" s="1"/>
  <c r="S22" i="16" s="1"/>
  <c r="R22" i="16" s="1"/>
  <c r="U150" i="16"/>
  <c r="T150" i="16" s="1"/>
  <c r="S150" i="16" s="1"/>
  <c r="R150" i="16" s="1"/>
  <c r="U278" i="16"/>
  <c r="T278" i="16" s="1"/>
  <c r="S278" i="16" s="1"/>
  <c r="R278" i="16" s="1"/>
  <c r="U43" i="16"/>
  <c r="T43" i="16" s="1"/>
  <c r="S43" i="16" s="1"/>
  <c r="R43" i="16" s="1"/>
  <c r="U171" i="16"/>
  <c r="T171" i="16" s="1"/>
  <c r="S171" i="16" s="1"/>
  <c r="R171" i="16" s="1"/>
  <c r="U299" i="16"/>
  <c r="T299" i="16" s="1"/>
  <c r="S299" i="16" s="1"/>
  <c r="R299" i="16" s="1"/>
  <c r="U68" i="16"/>
  <c r="T68" i="16" s="1"/>
  <c r="S68" i="16" s="1"/>
  <c r="R68" i="16" s="1"/>
  <c r="U196" i="16"/>
  <c r="T196" i="16" s="1"/>
  <c r="S196" i="16" s="1"/>
  <c r="R196" i="16" s="1"/>
  <c r="U324" i="16"/>
  <c r="T324" i="16" s="1"/>
  <c r="S324" i="16" s="1"/>
  <c r="R324" i="16" s="1"/>
  <c r="U85" i="16"/>
  <c r="T85" i="16" s="1"/>
  <c r="S85" i="16" s="1"/>
  <c r="R85" i="16" s="1"/>
  <c r="U213" i="16"/>
  <c r="T213" i="16" s="1"/>
  <c r="S213" i="16" s="1"/>
  <c r="R213" i="16" s="1"/>
  <c r="U341" i="16"/>
  <c r="T341" i="16" s="1"/>
  <c r="S341" i="16" s="1"/>
  <c r="R341" i="16" s="1"/>
  <c r="U106" i="16"/>
  <c r="T106" i="16" s="1"/>
  <c r="S106" i="16" s="1"/>
  <c r="R106" i="16" s="1"/>
  <c r="U234" i="16"/>
  <c r="T234" i="16" s="1"/>
  <c r="S234" i="16" s="1"/>
  <c r="R234" i="16" s="1"/>
  <c r="U362" i="16"/>
  <c r="T362" i="16" s="1"/>
  <c r="S362" i="16" s="1"/>
  <c r="R362" i="16" s="1"/>
  <c r="U119" i="16"/>
  <c r="T119" i="16" s="1"/>
  <c r="S119" i="16" s="1"/>
  <c r="R119" i="16" s="1"/>
  <c r="U247" i="16"/>
  <c r="T247" i="16" s="1"/>
  <c r="S247" i="16" s="1"/>
  <c r="R247" i="16" s="1"/>
  <c r="U375" i="16"/>
  <c r="T375" i="16" s="1"/>
  <c r="S375" i="16" s="1"/>
  <c r="R375" i="16" s="1"/>
  <c r="U136" i="16"/>
  <c r="T136" i="16" s="1"/>
  <c r="S136" i="16" s="1"/>
  <c r="R136" i="16" s="1"/>
  <c r="U264" i="16"/>
  <c r="T264" i="16" s="1"/>
  <c r="S264" i="16" s="1"/>
  <c r="R264" i="16" s="1"/>
  <c r="U25" i="16"/>
  <c r="T25" i="16" s="1"/>
  <c r="S25" i="16" s="1"/>
  <c r="R25" i="16" s="1"/>
  <c r="U153" i="16"/>
  <c r="T153" i="16" s="1"/>
  <c r="S153" i="16" s="1"/>
  <c r="R153" i="16" s="1"/>
  <c r="U281" i="16"/>
  <c r="T281" i="16" s="1"/>
  <c r="S281" i="16" s="1"/>
  <c r="R281" i="16" s="1"/>
  <c r="U46" i="16"/>
  <c r="T46" i="16" s="1"/>
  <c r="S46" i="16" s="1"/>
  <c r="R46" i="16" s="1"/>
  <c r="U174" i="16"/>
  <c r="T174" i="16" s="1"/>
  <c r="S174" i="16" s="1"/>
  <c r="R174" i="16" s="1"/>
  <c r="U302" i="16"/>
  <c r="T302" i="16" s="1"/>
  <c r="S302" i="16" s="1"/>
  <c r="R302" i="16" s="1"/>
  <c r="U67" i="16"/>
  <c r="T67" i="16" s="1"/>
  <c r="S67" i="16" s="1"/>
  <c r="R67" i="16" s="1"/>
  <c r="U195" i="16"/>
  <c r="T195" i="16" s="1"/>
  <c r="S195" i="16" s="1"/>
  <c r="R195" i="16" s="1"/>
  <c r="U323" i="16"/>
  <c r="T323" i="16" s="1"/>
  <c r="S323" i="16" s="1"/>
  <c r="R323" i="16" s="1"/>
  <c r="U92" i="16"/>
  <c r="T92" i="16" s="1"/>
  <c r="S92" i="16" s="1"/>
  <c r="R92" i="16" s="1"/>
  <c r="U220" i="16"/>
  <c r="T220" i="16" s="1"/>
  <c r="S220" i="16" s="1"/>
  <c r="R220" i="16" s="1"/>
  <c r="U348" i="16"/>
  <c r="T348" i="16" s="1"/>
  <c r="S348" i="16" s="1"/>
  <c r="R348" i="16" s="1"/>
  <c r="U109" i="16"/>
  <c r="T109" i="16" s="1"/>
  <c r="S109" i="16" s="1"/>
  <c r="R109" i="16" s="1"/>
  <c r="U237" i="16"/>
  <c r="T237" i="16" s="1"/>
  <c r="S237" i="16" s="1"/>
  <c r="R237" i="16" s="1"/>
  <c r="U365" i="16"/>
  <c r="T365" i="16" s="1"/>
  <c r="S365" i="16" s="1"/>
  <c r="R365" i="16" s="1"/>
  <c r="U130" i="16"/>
  <c r="T130" i="16" s="1"/>
  <c r="S130" i="16" s="1"/>
  <c r="R130" i="16" s="1"/>
  <c r="U258" i="16"/>
  <c r="T258" i="16" s="1"/>
  <c r="S258" i="16" s="1"/>
  <c r="R258" i="16" s="1"/>
  <c r="U18" i="16"/>
  <c r="T18" i="16" s="1"/>
  <c r="S18" i="16" s="1"/>
  <c r="R18" i="16" s="1"/>
  <c r="U143" i="16"/>
  <c r="T143" i="16" s="1"/>
  <c r="S143" i="16" s="1"/>
  <c r="R143" i="16" s="1"/>
  <c r="U271" i="16"/>
  <c r="T271" i="16" s="1"/>
  <c r="S271" i="16" s="1"/>
  <c r="R271" i="16" s="1"/>
  <c r="U32" i="16"/>
  <c r="T32" i="16" s="1"/>
  <c r="S32" i="16" s="1"/>
  <c r="R32" i="16" s="1"/>
  <c r="U160" i="16"/>
  <c r="T160" i="16" s="1"/>
  <c r="S160" i="16" s="1"/>
  <c r="R160" i="16" s="1"/>
  <c r="U288" i="16"/>
  <c r="T288" i="16" s="1"/>
  <c r="S288" i="16" s="1"/>
  <c r="R288" i="16" s="1"/>
  <c r="U49" i="16"/>
  <c r="T49" i="16" s="1"/>
  <c r="S49" i="16" s="1"/>
  <c r="R49" i="16" s="1"/>
  <c r="U177" i="16"/>
  <c r="T177" i="16" s="1"/>
  <c r="S177" i="16" s="1"/>
  <c r="R177" i="16" s="1"/>
  <c r="U305" i="16"/>
  <c r="T305" i="16" s="1"/>
  <c r="U70" i="16"/>
  <c r="T70" i="16" s="1"/>
  <c r="S70" i="16" s="1"/>
  <c r="R70" i="16" s="1"/>
  <c r="U198" i="16"/>
  <c r="T198" i="16" s="1"/>
  <c r="S198" i="16" s="1"/>
  <c r="R198" i="16" s="1"/>
  <c r="U326" i="16"/>
  <c r="T326" i="16" s="1"/>
  <c r="S326" i="16" s="1"/>
  <c r="R326" i="16" s="1"/>
  <c r="U91" i="16"/>
  <c r="T91" i="16" s="1"/>
  <c r="S91" i="16" s="1"/>
  <c r="R91" i="16" s="1"/>
  <c r="U219" i="16"/>
  <c r="T219" i="16" s="1"/>
  <c r="S219" i="16" s="1"/>
  <c r="R219" i="16" s="1"/>
  <c r="U347" i="16"/>
  <c r="T347" i="16" s="1"/>
  <c r="S347" i="16" s="1"/>
  <c r="R347" i="16" s="1"/>
  <c r="U52" i="16"/>
  <c r="T52" i="16" s="1"/>
  <c r="S52" i="16" s="1"/>
  <c r="R52" i="16" s="1"/>
  <c r="U180" i="16"/>
  <c r="T180" i="16" s="1"/>
  <c r="S180" i="16" s="1"/>
  <c r="R180" i="16" s="1"/>
  <c r="U308" i="16"/>
  <c r="T308" i="16" s="1"/>
  <c r="S308" i="16" s="1"/>
  <c r="R308" i="16" s="1"/>
  <c r="U69" i="16"/>
  <c r="T69" i="16" s="1"/>
  <c r="S69" i="16" s="1"/>
  <c r="R69" i="16" s="1"/>
  <c r="U197" i="16"/>
  <c r="T197" i="16" s="1"/>
  <c r="S197" i="16" s="1"/>
  <c r="R197" i="16" s="1"/>
  <c r="U325" i="16"/>
  <c r="T325" i="16" s="1"/>
  <c r="S325" i="16" s="1"/>
  <c r="R325" i="16" s="1"/>
  <c r="U90" i="16"/>
  <c r="T90" i="16" s="1"/>
  <c r="S90" i="16" s="1"/>
  <c r="R90" i="16" s="1"/>
  <c r="U218" i="16"/>
  <c r="T218" i="16" s="1"/>
  <c r="S218" i="16" s="1"/>
  <c r="R218" i="16" s="1"/>
  <c r="U346" i="16"/>
  <c r="T346" i="16" s="1"/>
  <c r="S346" i="16" s="1"/>
  <c r="R346" i="16" s="1"/>
  <c r="U103" i="16"/>
  <c r="T103" i="16" s="1"/>
  <c r="S103" i="16" s="1"/>
  <c r="R103" i="16" s="1"/>
  <c r="U231" i="16"/>
  <c r="T231" i="16" s="1"/>
  <c r="S231" i="16" s="1"/>
  <c r="R231" i="16" s="1"/>
  <c r="U359" i="16"/>
  <c r="T359" i="16" s="1"/>
  <c r="S359" i="16" s="1"/>
  <c r="R359" i="16" s="1"/>
  <c r="U120" i="16"/>
  <c r="T120" i="16" s="1"/>
  <c r="S120" i="16" s="1"/>
  <c r="R120" i="16" s="1"/>
  <c r="U248" i="16"/>
  <c r="T248" i="16" s="1"/>
  <c r="S248" i="16" s="1"/>
  <c r="R248" i="16" s="1"/>
  <c r="U376" i="16"/>
  <c r="T376" i="16" s="1"/>
  <c r="S376" i="16" s="1"/>
  <c r="R376" i="16" s="1"/>
  <c r="U137" i="16"/>
  <c r="T137" i="16" s="1"/>
  <c r="S137" i="16" s="1"/>
  <c r="R137" i="16" s="1"/>
  <c r="U265" i="16"/>
  <c r="T265" i="16" s="1"/>
  <c r="S265" i="16" s="1"/>
  <c r="R265" i="16" s="1"/>
  <c r="U30" i="16"/>
  <c r="T30" i="16" s="1"/>
  <c r="S30" i="16" s="1"/>
  <c r="R30" i="16" s="1"/>
  <c r="U158" i="16"/>
  <c r="T158" i="16" s="1"/>
  <c r="S158" i="16" s="1"/>
  <c r="R158" i="16" s="1"/>
  <c r="U286" i="16"/>
  <c r="T286" i="16" s="1"/>
  <c r="S286" i="16" s="1"/>
  <c r="R286" i="16" s="1"/>
  <c r="U51" i="16"/>
  <c r="T51" i="16" s="1"/>
  <c r="S51" i="16" s="1"/>
  <c r="R51" i="16" s="1"/>
  <c r="U179" i="16"/>
  <c r="T179" i="16" s="1"/>
  <c r="S179" i="16" s="1"/>
  <c r="R179" i="16" s="1"/>
  <c r="U307" i="16"/>
  <c r="T307" i="16" s="1"/>
  <c r="S307" i="16" s="1"/>
  <c r="R307" i="16" s="1"/>
  <c r="U76" i="16"/>
  <c r="T76" i="16" s="1"/>
  <c r="S76" i="16" s="1"/>
  <c r="R76" i="16" s="1"/>
  <c r="U204" i="16"/>
  <c r="T204" i="16" s="1"/>
  <c r="S204" i="16" s="1"/>
  <c r="R204" i="16" s="1"/>
  <c r="U332" i="16"/>
  <c r="T332" i="16" s="1"/>
  <c r="S332" i="16" s="1"/>
  <c r="R332" i="16" s="1"/>
  <c r="U93" i="16"/>
  <c r="T93" i="16" s="1"/>
  <c r="S93" i="16" s="1"/>
  <c r="R93" i="16" s="1"/>
  <c r="U221" i="16"/>
  <c r="T221" i="16" s="1"/>
  <c r="S221" i="16" s="1"/>
  <c r="R221" i="16" s="1"/>
  <c r="U349" i="16"/>
  <c r="T349" i="16" s="1"/>
  <c r="S349" i="16" s="1"/>
  <c r="R349" i="16" s="1"/>
  <c r="U114" i="16"/>
  <c r="T114" i="16" s="1"/>
  <c r="S114" i="16" s="1"/>
  <c r="R114" i="16" s="1"/>
  <c r="U242" i="16"/>
  <c r="T242" i="16" s="1"/>
  <c r="S242" i="16" s="1"/>
  <c r="R242" i="16" s="1"/>
  <c r="U370" i="16"/>
  <c r="T370" i="16" s="1"/>
  <c r="S370" i="16" s="1"/>
  <c r="R370" i="16" s="1"/>
  <c r="U127" i="16"/>
  <c r="T127" i="16" s="1"/>
  <c r="S127" i="16" s="1"/>
  <c r="R127" i="16" s="1"/>
  <c r="U255" i="16"/>
  <c r="T255" i="16" s="1"/>
  <c r="S255" i="16" s="1"/>
  <c r="R255" i="16" s="1"/>
  <c r="U16" i="16"/>
  <c r="T16" i="16" s="1"/>
  <c r="S16" i="16" s="1"/>
  <c r="R16" i="16" s="1"/>
  <c r="U144" i="16"/>
  <c r="T144" i="16" s="1"/>
  <c r="S144" i="16" s="1"/>
  <c r="R144" i="16" s="1"/>
  <c r="U272" i="16"/>
  <c r="T272" i="16" s="1"/>
  <c r="S272" i="16" s="1"/>
  <c r="R272" i="16" s="1"/>
  <c r="U33" i="16"/>
  <c r="T33" i="16" s="1"/>
  <c r="S33" i="16" s="1"/>
  <c r="R33" i="16" s="1"/>
  <c r="U161" i="16"/>
  <c r="T161" i="16" s="1"/>
  <c r="S161" i="16" s="1"/>
  <c r="R161" i="16" s="1"/>
  <c r="U289" i="16"/>
  <c r="T289" i="16" s="1"/>
  <c r="S289" i="16" s="1"/>
  <c r="R289" i="16" s="1"/>
  <c r="U54" i="16"/>
  <c r="T54" i="16" s="1"/>
  <c r="S54" i="16" s="1"/>
  <c r="R54" i="16" s="1"/>
  <c r="U182" i="16"/>
  <c r="T182" i="16" s="1"/>
  <c r="S182" i="16" s="1"/>
  <c r="R182" i="16" s="1"/>
  <c r="U310" i="16"/>
  <c r="T310" i="16" s="1"/>
  <c r="S310" i="16" s="1"/>
  <c r="R310" i="16" s="1"/>
  <c r="U75" i="16"/>
  <c r="T75" i="16" s="1"/>
  <c r="S75" i="16" s="1"/>
  <c r="R75" i="16" s="1"/>
  <c r="U203" i="16"/>
  <c r="T203" i="16" s="1"/>
  <c r="S203" i="16" s="1"/>
  <c r="R203" i="16" s="1"/>
  <c r="U331" i="16"/>
  <c r="T331" i="16" s="1"/>
  <c r="S331" i="16" s="1"/>
  <c r="R331" i="16" s="1"/>
  <c r="AI158" i="16"/>
  <c r="AH158" i="16" s="1"/>
  <c r="AG158" i="16" s="1"/>
  <c r="AF158" i="16" s="1"/>
  <c r="AI67" i="16"/>
  <c r="AH67" i="16" s="1"/>
  <c r="AG67" i="16" s="1"/>
  <c r="AF67" i="16" s="1"/>
  <c r="AI149" i="16"/>
  <c r="AH149" i="16" s="1"/>
  <c r="AG149" i="16" s="1"/>
  <c r="AF149" i="16" s="1"/>
  <c r="AI226" i="16"/>
  <c r="AH226" i="16" s="1"/>
  <c r="AG226" i="16" s="1"/>
  <c r="AF226" i="16" s="1"/>
  <c r="AI351" i="16"/>
  <c r="AH351" i="16" s="1"/>
  <c r="AG351" i="16" s="1"/>
  <c r="AF351" i="16" s="1"/>
  <c r="AI120" i="16"/>
  <c r="AH120" i="16" s="1"/>
  <c r="AG120" i="16" s="1"/>
  <c r="AF120" i="16" s="1"/>
  <c r="AI378" i="16"/>
  <c r="AH378" i="16" s="1"/>
  <c r="AG378" i="16" s="1"/>
  <c r="AF378" i="16" s="1"/>
  <c r="AI143" i="16"/>
  <c r="AH143" i="16" s="1"/>
  <c r="AG143" i="16" s="1"/>
  <c r="AF143" i="16" s="1"/>
  <c r="AI288" i="16"/>
  <c r="AH288" i="16" s="1"/>
  <c r="AG288" i="16" s="1"/>
  <c r="AF288" i="16" s="1"/>
  <c r="AI89" i="16"/>
  <c r="AH89" i="16" s="1"/>
  <c r="AG89" i="16" s="1"/>
  <c r="AF89" i="16" s="1"/>
  <c r="AI86" i="16"/>
  <c r="AH86" i="16" s="1"/>
  <c r="AG86" i="16" s="1"/>
  <c r="AF86" i="16" s="1"/>
  <c r="AI293" i="16"/>
  <c r="AH293" i="16" s="1"/>
  <c r="AG293" i="16" s="1"/>
  <c r="AF293" i="16" s="1"/>
  <c r="AI83" i="16"/>
  <c r="AH83" i="16" s="1"/>
  <c r="AG83" i="16" s="1"/>
  <c r="AF83" i="16" s="1"/>
  <c r="AI254" i="16"/>
  <c r="AH254" i="16" s="1"/>
  <c r="AG254" i="16" s="1"/>
  <c r="AF254" i="16" s="1"/>
  <c r="AI295" i="16"/>
  <c r="AH295" i="16" s="1"/>
  <c r="AG295" i="16" s="1"/>
  <c r="AF295" i="16" s="1"/>
  <c r="AI148" i="16"/>
  <c r="AH148" i="16" s="1"/>
  <c r="AG148" i="16" s="1"/>
  <c r="AF148" i="16" s="1"/>
  <c r="AI369" i="16"/>
  <c r="AH369" i="16" s="1"/>
  <c r="AG369" i="16" s="1"/>
  <c r="AF369" i="16" s="1"/>
  <c r="AI119" i="16"/>
  <c r="AH119" i="16" s="1"/>
  <c r="AG119" i="16" s="1"/>
  <c r="AF119" i="16" s="1"/>
  <c r="AI300" i="16"/>
  <c r="AH300" i="16" s="1"/>
  <c r="AG300" i="16" s="1"/>
  <c r="AF300" i="16" s="1"/>
  <c r="AI339" i="16"/>
  <c r="AH339" i="16" s="1"/>
  <c r="AG339" i="16" s="1"/>
  <c r="AF339" i="16" s="1"/>
  <c r="AI114" i="16"/>
  <c r="AH114" i="16" s="1"/>
  <c r="AG114" i="16" s="1"/>
  <c r="AF114" i="16" s="1"/>
  <c r="AI237" i="16"/>
  <c r="AH237" i="16" s="1"/>
  <c r="AG237" i="16" s="1"/>
  <c r="AF237" i="16" s="1"/>
  <c r="AI25" i="16"/>
  <c r="AH25" i="16" s="1"/>
  <c r="AG25" i="16" s="1"/>
  <c r="AF25" i="16" s="1"/>
  <c r="AI266" i="16"/>
  <c r="AH266" i="16" s="1"/>
  <c r="AG266" i="16" s="1"/>
  <c r="AF266" i="16" s="1"/>
  <c r="AI348" i="16"/>
  <c r="AH348" i="16" s="1"/>
  <c r="AG348" i="16" s="1"/>
  <c r="AF348" i="16" s="1"/>
  <c r="AD255" i="1"/>
  <c r="BH377" i="6"/>
  <c r="AD377" i="15" s="1"/>
  <c r="BH329" i="6"/>
  <c r="BH258" i="6"/>
  <c r="P258" i="1" s="1"/>
  <c r="V258" i="1" s="1"/>
  <c r="BH245" i="6"/>
  <c r="P245" i="15" s="1"/>
  <c r="V245" i="15" s="1"/>
  <c r="F245" i="15" s="1"/>
  <c r="H245" i="15" s="1"/>
  <c r="BH229" i="6"/>
  <c r="BH105" i="6"/>
  <c r="P105" i="1" s="1"/>
  <c r="V105" i="1" s="1"/>
  <c r="BH373" i="6"/>
  <c r="P373" i="1" s="1"/>
  <c r="BH169" i="6"/>
  <c r="P169" i="15" s="1"/>
  <c r="V169" i="15" s="1"/>
  <c r="F169" i="15" s="1"/>
  <c r="H169" i="15" s="1"/>
  <c r="BH96" i="6"/>
  <c r="BH231" i="6"/>
  <c r="AD231" i="1" s="1"/>
  <c r="BH42" i="6"/>
  <c r="BH352" i="6"/>
  <c r="P352" i="1" s="1"/>
  <c r="BH148" i="6"/>
  <c r="BH287" i="6"/>
  <c r="AD287" i="1" s="1"/>
  <c r="BH126" i="6"/>
  <c r="BH207" i="6"/>
  <c r="P207" i="15" s="1"/>
  <c r="V207" i="15" s="1"/>
  <c r="F207" i="15" s="1"/>
  <c r="G207" i="15" s="1"/>
  <c r="BX207" i="6" s="1"/>
  <c r="BH202" i="6"/>
  <c r="AD202" i="1" s="1"/>
  <c r="BH222" i="6"/>
  <c r="AD222" i="1" s="1"/>
  <c r="BH324" i="6"/>
  <c r="AD324" i="1" s="1"/>
  <c r="BH168" i="6"/>
  <c r="BH230" i="6"/>
  <c r="BH211" i="6"/>
  <c r="AD211" i="1" s="1"/>
  <c r="BH234" i="6"/>
  <c r="AD234" i="1" s="1"/>
  <c r="BH49" i="6"/>
  <c r="AD49" i="15" s="1"/>
  <c r="BH209" i="6"/>
  <c r="BH171" i="6"/>
  <c r="AD171" i="15" s="1"/>
  <c r="BH151" i="6"/>
  <c r="BH341" i="6"/>
  <c r="AD341" i="1" s="1"/>
  <c r="BH24" i="6"/>
  <c r="AI30" i="16"/>
  <c r="AH30" i="16" s="1"/>
  <c r="AI286" i="16"/>
  <c r="AH286" i="16" s="1"/>
  <c r="AG286" i="16" s="1"/>
  <c r="AF286" i="16" s="1"/>
  <c r="AI21" i="16"/>
  <c r="AH21" i="16" s="1"/>
  <c r="AI112" i="16"/>
  <c r="AH112" i="16" s="1"/>
  <c r="AI368" i="16"/>
  <c r="AH368" i="16" s="1"/>
  <c r="AG368" i="16" s="1"/>
  <c r="AF368" i="16" s="1"/>
  <c r="AI231" i="16"/>
  <c r="AH231" i="16" s="1"/>
  <c r="AG231" i="16" s="1"/>
  <c r="AF231" i="16" s="1"/>
  <c r="AI98" i="16"/>
  <c r="AH98" i="16" s="1"/>
  <c r="AI185" i="16"/>
  <c r="AH185" i="16" s="1"/>
  <c r="AG185" i="16" s="1"/>
  <c r="AF185" i="16" s="1"/>
  <c r="AI308" i="16"/>
  <c r="AH308" i="16" s="1"/>
  <c r="AG308" i="16" s="1"/>
  <c r="AF308" i="16" s="1"/>
  <c r="AI38" i="16"/>
  <c r="AH38" i="16" s="1"/>
  <c r="AG38" i="16" s="1"/>
  <c r="AF38" i="16" s="1"/>
  <c r="AI49" i="16"/>
  <c r="AH49" i="16" s="1"/>
  <c r="AG49" i="16" s="1"/>
  <c r="AF49" i="16" s="1"/>
  <c r="AI376" i="16"/>
  <c r="AH376" i="16" s="1"/>
  <c r="AG376" i="16" s="1"/>
  <c r="AF376" i="16" s="1"/>
  <c r="AI122" i="16"/>
  <c r="AH122" i="16" s="1"/>
  <c r="AG122" i="16" s="1"/>
  <c r="AF122" i="16" s="1"/>
  <c r="AI219" i="16"/>
  <c r="AH219" i="16" s="1"/>
  <c r="AG219" i="16" s="1"/>
  <c r="AF219" i="16" s="1"/>
  <c r="AI221" i="16"/>
  <c r="AH221" i="16" s="1"/>
  <c r="AG221" i="16" s="1"/>
  <c r="AF221" i="16" s="1"/>
  <c r="AI206" i="16"/>
  <c r="AH206" i="16" s="1"/>
  <c r="AG206" i="16" s="1"/>
  <c r="AF206" i="16" s="1"/>
  <c r="AI32" i="16"/>
  <c r="AH32" i="16" s="1"/>
  <c r="AG32" i="16" s="1"/>
  <c r="AF32" i="16" s="1"/>
  <c r="AI53" i="16"/>
  <c r="AH53" i="16" s="1"/>
  <c r="AG53" i="16" s="1"/>
  <c r="AF53" i="16" s="1"/>
  <c r="AI274" i="16"/>
  <c r="AH274" i="16" s="1"/>
  <c r="AG274" i="16" s="1"/>
  <c r="AF274" i="16" s="1"/>
  <c r="AI100" i="16"/>
  <c r="AH100" i="16" s="1"/>
  <c r="AG100" i="16" s="1"/>
  <c r="AF100" i="16" s="1"/>
  <c r="AI255" i="16"/>
  <c r="AH255" i="16" s="1"/>
  <c r="AG255" i="16" s="1"/>
  <c r="AF255" i="16" s="1"/>
  <c r="AI342" i="16"/>
  <c r="AH342" i="16" s="1"/>
  <c r="AG342" i="16" s="1"/>
  <c r="AF342" i="16" s="1"/>
  <c r="AI168" i="16"/>
  <c r="AH168" i="16" s="1"/>
  <c r="AG168" i="16" s="1"/>
  <c r="AF168" i="16" s="1"/>
  <c r="AI75" i="16"/>
  <c r="AH75" i="16" s="1"/>
  <c r="AG75" i="16" s="1"/>
  <c r="AF75" i="16" s="1"/>
  <c r="AI297" i="16"/>
  <c r="AH297" i="16" s="1"/>
  <c r="AG297" i="16" s="1"/>
  <c r="AF297" i="16" s="1"/>
  <c r="AI252" i="16"/>
  <c r="AH252" i="16" s="1"/>
  <c r="AG252" i="16" s="1"/>
  <c r="AF252" i="16" s="1"/>
  <c r="AI47" i="16"/>
  <c r="AH47" i="16" s="1"/>
  <c r="AI97" i="16"/>
  <c r="AH97" i="16" s="1"/>
  <c r="AG97" i="16" s="1"/>
  <c r="AF97" i="16" s="1"/>
  <c r="AI336" i="16"/>
  <c r="AH336" i="16" s="1"/>
  <c r="AI66" i="16"/>
  <c r="AH66" i="16" s="1"/>
  <c r="AG66" i="16" s="1"/>
  <c r="AF66" i="16" s="1"/>
  <c r="AI331" i="16"/>
  <c r="AH331" i="16" s="1"/>
  <c r="AG331" i="16" s="1"/>
  <c r="AF331" i="16" s="1"/>
  <c r="AI333" i="16"/>
  <c r="AH333" i="16" s="1"/>
  <c r="AG333" i="16" s="1"/>
  <c r="AF333" i="16" s="1"/>
  <c r="AI134" i="16"/>
  <c r="AH134" i="16" s="1"/>
  <c r="AG134" i="16" s="1"/>
  <c r="AF134" i="16" s="1"/>
  <c r="AI195" i="16"/>
  <c r="AH195" i="16" s="1"/>
  <c r="AG195" i="16" s="1"/>
  <c r="AF195" i="16" s="1"/>
  <c r="AI197" i="16"/>
  <c r="AH197" i="16" s="1"/>
  <c r="AI218" i="16"/>
  <c r="AH218" i="16" s="1"/>
  <c r="AG218" i="16" s="1"/>
  <c r="AF218" i="16" s="1"/>
  <c r="AI44" i="16"/>
  <c r="AH44" i="16" s="1"/>
  <c r="AG44" i="16" s="1"/>
  <c r="AF44" i="16" s="1"/>
  <c r="AI367" i="16"/>
  <c r="AH367" i="16" s="1"/>
  <c r="AG367" i="16" s="1"/>
  <c r="AF367" i="16" s="1"/>
  <c r="AI302" i="16"/>
  <c r="AH302" i="16" s="1"/>
  <c r="AG302" i="16" s="1"/>
  <c r="AF302" i="16" s="1"/>
  <c r="AI128" i="16"/>
  <c r="AH128" i="16" s="1"/>
  <c r="AG128" i="16" s="1"/>
  <c r="AF128" i="16" s="1"/>
  <c r="AI199" i="16"/>
  <c r="AH199" i="16" s="1"/>
  <c r="AG199" i="16" s="1"/>
  <c r="AF199" i="16" s="1"/>
  <c r="AI370" i="16"/>
  <c r="AH370" i="16" s="1"/>
  <c r="AG370" i="16" s="1"/>
  <c r="AF370" i="16" s="1"/>
  <c r="AI196" i="16"/>
  <c r="AH196" i="16" s="1"/>
  <c r="AG196" i="16" s="1"/>
  <c r="AF196" i="16" s="1"/>
  <c r="AI159" i="16"/>
  <c r="AH159" i="16" s="1"/>
  <c r="AG159" i="16" s="1"/>
  <c r="AF159" i="16" s="1"/>
  <c r="AI273" i="16"/>
  <c r="AH273" i="16" s="1"/>
  <c r="AG273" i="16" s="1"/>
  <c r="AF273" i="16" s="1"/>
  <c r="AI264" i="16"/>
  <c r="AH264" i="16" s="1"/>
  <c r="AG264" i="16" s="1"/>
  <c r="AF264" i="16" s="1"/>
  <c r="AI39" i="16"/>
  <c r="AH39" i="16" s="1"/>
  <c r="AG39" i="16" s="1"/>
  <c r="AF39" i="16" s="1"/>
  <c r="AI105" i="16"/>
  <c r="AH105" i="16" s="1"/>
  <c r="BH328" i="6"/>
  <c r="BH260" i="6"/>
  <c r="AD260" i="15" s="1"/>
  <c r="BH313" i="6"/>
  <c r="BH56" i="6"/>
  <c r="P56" i="15" s="1"/>
  <c r="BH312" i="6"/>
  <c r="AD312" i="1" s="1"/>
  <c r="BH240" i="6"/>
  <c r="P240" i="15" s="1"/>
  <c r="V240" i="15" s="1"/>
  <c r="F240" i="15" s="1"/>
  <c r="H240" i="15" s="1"/>
  <c r="BH357" i="6"/>
  <c r="BH323" i="6"/>
  <c r="AD323" i="1" s="1"/>
  <c r="BH219" i="6"/>
  <c r="BH28" i="6"/>
  <c r="P28" i="15" s="1"/>
  <c r="V28" i="15" s="1"/>
  <c r="F28" i="15" s="1"/>
  <c r="H28" i="15" s="1"/>
  <c r="BH223" i="6"/>
  <c r="P223" i="1" s="1"/>
  <c r="V223" i="1" s="1"/>
  <c r="BH44" i="6"/>
  <c r="P44" i="15" s="1"/>
  <c r="V44" i="15" s="1"/>
  <c r="F44" i="15" s="1"/>
  <c r="H44" i="15" s="1"/>
  <c r="BH109" i="6"/>
  <c r="P109" i="1" s="1"/>
  <c r="V109" i="1" s="1"/>
  <c r="BH182" i="6"/>
  <c r="AD182" i="15" s="1"/>
  <c r="BH70" i="6"/>
  <c r="P70" i="15" s="1"/>
  <c r="AI111" i="16"/>
  <c r="AH111" i="16" s="1"/>
  <c r="AG111" i="16" s="1"/>
  <c r="AF111" i="16" s="1"/>
  <c r="AI189" i="16"/>
  <c r="AH189" i="16" s="1"/>
  <c r="AG189" i="16" s="1"/>
  <c r="AF189" i="16" s="1"/>
  <c r="AI220" i="16"/>
  <c r="AH220" i="16" s="1"/>
  <c r="AG220" i="16" s="1"/>
  <c r="AF220" i="16" s="1"/>
  <c r="AI187" i="16"/>
  <c r="AH187" i="16" s="1"/>
  <c r="AG187" i="16" s="1"/>
  <c r="AF187" i="16" s="1"/>
  <c r="AI361" i="16"/>
  <c r="AH361" i="16" s="1"/>
  <c r="AI138" i="16"/>
  <c r="AH138" i="16" s="1"/>
  <c r="AI183" i="16"/>
  <c r="AH183" i="16" s="1"/>
  <c r="AI357" i="16"/>
  <c r="AH357" i="16" s="1"/>
  <c r="AG357" i="16" s="1"/>
  <c r="AF357" i="16" s="1"/>
  <c r="AI136" i="16"/>
  <c r="AH136" i="16" s="1"/>
  <c r="AG136" i="16" s="1"/>
  <c r="AF136" i="16" s="1"/>
  <c r="AI355" i="16"/>
  <c r="AH355" i="16" s="1"/>
  <c r="AG355" i="16" s="1"/>
  <c r="AF355" i="16" s="1"/>
  <c r="AI310" i="16"/>
  <c r="AH310" i="16" s="1"/>
  <c r="AG310" i="16" s="1"/>
  <c r="AF310" i="16" s="1"/>
  <c r="AI54" i="16"/>
  <c r="AH54" i="16" s="1"/>
  <c r="AG54" i="16" s="1"/>
  <c r="AF54" i="16" s="1"/>
  <c r="AI319" i="16"/>
  <c r="AH319" i="16" s="1"/>
  <c r="AG319" i="16" s="1"/>
  <c r="AF319" i="16" s="1"/>
  <c r="AI324" i="16"/>
  <c r="AH324" i="16" s="1"/>
  <c r="AG324" i="16" s="1"/>
  <c r="AF324" i="16" s="1"/>
  <c r="AI68" i="16"/>
  <c r="AH68" i="16" s="1"/>
  <c r="AG68" i="16" s="1"/>
  <c r="AF68" i="16" s="1"/>
  <c r="AI153" i="16"/>
  <c r="AH153" i="16" s="1"/>
  <c r="AG153" i="16" s="1"/>
  <c r="AF153" i="16" s="1"/>
  <c r="AI242" i="16"/>
  <c r="AH242" i="16" s="1"/>
  <c r="AG242" i="16" s="1"/>
  <c r="AF242" i="16" s="1"/>
  <c r="AI33" i="16"/>
  <c r="AH33" i="16" s="1"/>
  <c r="AG33" i="16" s="1"/>
  <c r="AF33" i="16" s="1"/>
  <c r="AI117" i="16"/>
  <c r="AH117" i="16" s="1"/>
  <c r="AG117" i="16" s="1"/>
  <c r="AF117" i="16" s="1"/>
  <c r="AI256" i="16"/>
  <c r="AH256" i="16" s="1"/>
  <c r="AG256" i="16" s="1"/>
  <c r="AF256" i="16" s="1"/>
  <c r="AI17" i="16"/>
  <c r="AH17" i="16" s="1"/>
  <c r="AG17" i="16" s="1"/>
  <c r="AF17" i="16" s="1"/>
  <c r="AI257" i="16"/>
  <c r="AH257" i="16" s="1"/>
  <c r="AG257" i="16" s="1"/>
  <c r="AF257" i="16" s="1"/>
  <c r="AI174" i="16"/>
  <c r="AH174" i="16" s="1"/>
  <c r="AI59" i="16"/>
  <c r="AH59" i="16" s="1"/>
  <c r="AG59" i="16" s="1"/>
  <c r="AF59" i="16" s="1"/>
  <c r="AI285" i="16"/>
  <c r="AH285" i="16" s="1"/>
  <c r="AG285" i="16" s="1"/>
  <c r="AF285" i="16" s="1"/>
  <c r="AI172" i="16"/>
  <c r="AH172" i="16" s="1"/>
  <c r="AG172" i="16" s="1"/>
  <c r="AF172" i="16" s="1"/>
  <c r="AI283" i="16"/>
  <c r="AH283" i="16" s="1"/>
  <c r="AG283" i="16" s="1"/>
  <c r="AF283" i="16" s="1"/>
  <c r="AI346" i="16"/>
  <c r="AH346" i="16" s="1"/>
  <c r="AG346" i="16" s="1"/>
  <c r="AF346" i="16" s="1"/>
  <c r="AI90" i="16"/>
  <c r="AH90" i="16" s="1"/>
  <c r="AG90" i="16" s="1"/>
  <c r="AF90" i="16" s="1"/>
  <c r="AI279" i="16"/>
  <c r="AH279" i="16" s="1"/>
  <c r="AG279" i="16" s="1"/>
  <c r="AF279" i="16" s="1"/>
  <c r="AI344" i="16"/>
  <c r="AH344" i="16" s="1"/>
  <c r="AG344" i="16" s="1"/>
  <c r="AF344" i="16" s="1"/>
  <c r="AI88" i="16"/>
  <c r="AH88" i="16" s="1"/>
  <c r="AG88" i="16" s="1"/>
  <c r="AF88" i="16" s="1"/>
  <c r="AI113" i="16"/>
  <c r="AH113" i="16" s="1"/>
  <c r="AG113" i="16" s="1"/>
  <c r="AF113" i="16" s="1"/>
  <c r="AI262" i="16"/>
  <c r="AH262" i="16" s="1"/>
  <c r="AG262" i="16" s="1"/>
  <c r="AF262" i="16" s="1"/>
  <c r="AI18" i="16"/>
  <c r="AH18" i="16" s="1"/>
  <c r="AG18" i="16" s="1"/>
  <c r="AF18" i="16" s="1"/>
  <c r="AI77" i="16"/>
  <c r="AH77" i="16" s="1"/>
  <c r="AG77" i="16" s="1"/>
  <c r="AF77" i="16" s="1"/>
  <c r="AI276" i="16"/>
  <c r="AH276" i="16" s="1"/>
  <c r="AG276" i="16" s="1"/>
  <c r="AF276" i="16" s="1"/>
  <c r="AI20" i="16"/>
  <c r="AH20" i="16" s="1"/>
  <c r="AG20" i="16" s="1"/>
  <c r="AF20" i="16" s="1"/>
  <c r="AI249" i="16"/>
  <c r="AH249" i="16" s="1"/>
  <c r="AG249" i="16" s="1"/>
  <c r="AF249" i="16" s="1"/>
  <c r="AI194" i="16"/>
  <c r="AH194" i="16" s="1"/>
  <c r="AG194" i="16" s="1"/>
  <c r="AF194" i="16" s="1"/>
  <c r="AI135" i="16"/>
  <c r="AH135" i="16" s="1"/>
  <c r="AG135" i="16" s="1"/>
  <c r="AF135" i="16" s="1"/>
  <c r="AI213" i="16"/>
  <c r="AH213" i="16" s="1"/>
  <c r="AG213" i="16" s="1"/>
  <c r="AF213" i="16" s="1"/>
  <c r="AI208" i="16"/>
  <c r="AH208" i="16" s="1"/>
  <c r="AG208" i="16" s="1"/>
  <c r="AF208" i="16" s="1"/>
  <c r="AI179" i="16"/>
  <c r="AH179" i="16" s="1"/>
  <c r="AG179" i="16" s="1"/>
  <c r="AF179" i="16" s="1"/>
  <c r="AI353" i="16"/>
  <c r="AH353" i="16" s="1"/>
  <c r="AG353" i="16" s="1"/>
  <c r="AF353" i="16" s="1"/>
  <c r="AI126" i="16"/>
  <c r="AH126" i="16" s="1"/>
  <c r="AG126" i="16" s="1"/>
  <c r="AF126" i="16" s="1"/>
  <c r="AI207" i="16"/>
  <c r="AH207" i="16" s="1"/>
  <c r="AG207" i="16" s="1"/>
  <c r="AF207" i="16" s="1"/>
  <c r="AI379" i="16"/>
  <c r="AI124" i="16"/>
  <c r="AH124" i="16" s="1"/>
  <c r="AI37" i="16"/>
  <c r="AH37" i="16" s="1"/>
  <c r="AG37" i="16" s="1"/>
  <c r="AF37" i="16" s="1"/>
  <c r="AI298" i="16"/>
  <c r="AH298" i="16" s="1"/>
  <c r="AG298" i="16" s="1"/>
  <c r="AF298" i="16" s="1"/>
  <c r="AI42" i="16"/>
  <c r="AH42" i="16" s="1"/>
  <c r="AG42" i="16" s="1"/>
  <c r="AF42" i="16" s="1"/>
  <c r="AI29" i="16"/>
  <c r="AH29" i="16" s="1"/>
  <c r="AG29" i="16" s="1"/>
  <c r="AF29" i="16" s="1"/>
  <c r="AI296" i="16"/>
  <c r="AH296" i="16" s="1"/>
  <c r="AG296" i="16" s="1"/>
  <c r="AF296" i="16" s="1"/>
  <c r="AI40" i="16"/>
  <c r="AH40" i="16" s="1"/>
  <c r="AI209" i="16"/>
  <c r="AH209" i="16" s="1"/>
  <c r="AG209" i="16" s="1"/>
  <c r="AF209" i="16" s="1"/>
  <c r="AI214" i="16"/>
  <c r="AH214" i="16" s="1"/>
  <c r="AG214" i="16" s="1"/>
  <c r="AF214" i="16" s="1"/>
  <c r="AI95" i="16"/>
  <c r="AH95" i="16" s="1"/>
  <c r="AG95" i="16" s="1"/>
  <c r="AF95" i="16" s="1"/>
  <c r="AI173" i="16"/>
  <c r="AH173" i="16" s="1"/>
  <c r="AG173" i="16" s="1"/>
  <c r="AF173" i="16" s="1"/>
  <c r="AI228" i="16"/>
  <c r="AH228" i="16" s="1"/>
  <c r="AG228" i="16" s="1"/>
  <c r="AF228" i="16" s="1"/>
  <c r="AI171" i="16"/>
  <c r="AH171" i="16" s="1"/>
  <c r="AG171" i="16" s="1"/>
  <c r="AF171" i="16" s="1"/>
  <c r="AI345" i="16"/>
  <c r="AH345" i="16" s="1"/>
  <c r="AG345" i="16" s="1"/>
  <c r="AF345" i="16" s="1"/>
  <c r="AI146" i="16"/>
  <c r="AH146" i="16" s="1"/>
  <c r="AG146" i="16" s="1"/>
  <c r="AF146" i="16" s="1"/>
  <c r="AI107" i="16"/>
  <c r="AH107" i="16" s="1"/>
  <c r="AG107" i="16" s="1"/>
  <c r="AF107" i="16" s="1"/>
  <c r="AI309" i="16"/>
  <c r="AH309" i="16" s="1"/>
  <c r="AI160" i="16"/>
  <c r="AH160" i="16" s="1"/>
  <c r="AG160" i="16" s="1"/>
  <c r="AF160" i="16" s="1"/>
  <c r="AI275" i="16"/>
  <c r="AH275" i="16" s="1"/>
  <c r="AG275" i="16" s="1"/>
  <c r="AF275" i="16" s="1"/>
  <c r="AI334" i="16"/>
  <c r="AH334" i="16" s="1"/>
  <c r="AG334" i="16" s="1"/>
  <c r="AF334" i="16" s="1"/>
  <c r="AI78" i="16"/>
  <c r="AH78" i="16" s="1"/>
  <c r="AG78" i="16" s="1"/>
  <c r="AF78" i="16" s="1"/>
  <c r="AI303" i="16"/>
  <c r="AH303" i="16" s="1"/>
  <c r="AG303" i="16" s="1"/>
  <c r="AF303" i="16" s="1"/>
  <c r="AI332" i="16"/>
  <c r="AH332" i="16" s="1"/>
  <c r="AI76" i="16"/>
  <c r="AH76" i="16" s="1"/>
  <c r="AG76" i="16" s="1"/>
  <c r="AF76" i="16" s="1"/>
  <c r="AI137" i="16"/>
  <c r="AH137" i="16" s="1"/>
  <c r="AG137" i="16" s="1"/>
  <c r="AF137" i="16" s="1"/>
  <c r="AI250" i="16"/>
  <c r="AH250" i="16" s="1"/>
  <c r="AG250" i="16" s="1"/>
  <c r="AF250" i="16" s="1"/>
  <c r="AI55" i="16"/>
  <c r="AH55" i="16" s="1"/>
  <c r="AG55" i="16" s="1"/>
  <c r="AF55" i="16" s="1"/>
  <c r="AI133" i="16"/>
  <c r="AH133" i="16" s="1"/>
  <c r="AG133" i="16" s="1"/>
  <c r="AF133" i="16" s="1"/>
  <c r="AI248" i="16"/>
  <c r="AH248" i="16" s="1"/>
  <c r="AI99" i="16"/>
  <c r="AH99" i="16" s="1"/>
  <c r="AG99" i="16" s="1"/>
  <c r="AF99" i="16" s="1"/>
  <c r="AI305" i="16"/>
  <c r="AH305" i="16" s="1"/>
  <c r="AG305" i="16" s="1"/>
  <c r="AF305" i="16" s="1"/>
  <c r="AI166" i="16"/>
  <c r="AH166" i="16" s="1"/>
  <c r="AG166" i="16" s="1"/>
  <c r="AF166" i="16" s="1"/>
  <c r="AI43" i="16"/>
  <c r="AH43" i="16" s="1"/>
  <c r="AG43" i="16" s="1"/>
  <c r="AF43" i="16" s="1"/>
  <c r="AI269" i="16"/>
  <c r="AH269" i="16" s="1"/>
  <c r="AG269" i="16" s="1"/>
  <c r="AF269" i="16" s="1"/>
  <c r="AI180" i="16"/>
  <c r="AH180" i="16" s="1"/>
  <c r="AG180" i="16" s="1"/>
  <c r="AF180" i="16" s="1"/>
  <c r="AI267" i="16"/>
  <c r="AH267" i="16" s="1"/>
  <c r="AG267" i="16" s="1"/>
  <c r="AF267" i="16" s="1"/>
  <c r="AI354" i="16"/>
  <c r="AH354" i="16" s="1"/>
  <c r="AG354" i="16" s="1"/>
  <c r="AF354" i="16" s="1"/>
  <c r="AM5" i="18"/>
  <c r="AK5" i="18"/>
  <c r="AK9" i="18"/>
  <c r="AM7" i="18"/>
  <c r="AM11" i="18" s="1"/>
  <c r="AK7" i="18"/>
  <c r="AK11" i="18" s="1"/>
  <c r="AM9" i="18"/>
  <c r="O15" i="7"/>
  <c r="Q10" i="16"/>
  <c r="Q321" i="16" s="1"/>
  <c r="AH381" i="15"/>
  <c r="AH383" i="15"/>
  <c r="AG17" i="15"/>
  <c r="AK3" i="17"/>
  <c r="Q14" i="19" s="1"/>
  <c r="AK16" i="20"/>
  <c r="AK29" i="20"/>
  <c r="AK24" i="20"/>
  <c r="AK49" i="20"/>
  <c r="AK65" i="20"/>
  <c r="AK79" i="20"/>
  <c r="AK89" i="20"/>
  <c r="AK62" i="20"/>
  <c r="AK91" i="20"/>
  <c r="AK106" i="20"/>
  <c r="AK119" i="20"/>
  <c r="AK142" i="20"/>
  <c r="AK157" i="20"/>
  <c r="AK173" i="20"/>
  <c r="AK44" i="20"/>
  <c r="AK93" i="20"/>
  <c r="AK126" i="20"/>
  <c r="AK150" i="20"/>
  <c r="AK184" i="20"/>
  <c r="AK204" i="20"/>
  <c r="AK217" i="20"/>
  <c r="AK231" i="20"/>
  <c r="AK249" i="20"/>
  <c r="AK269" i="20"/>
  <c r="AK289" i="20"/>
  <c r="AK304" i="20"/>
  <c r="AK319" i="20"/>
  <c r="AK329" i="20"/>
  <c r="AK341" i="20"/>
  <c r="AK45" i="20"/>
  <c r="AK96" i="20"/>
  <c r="AK167" i="20"/>
  <c r="AK195" i="20"/>
  <c r="AK151" i="20"/>
  <c r="AK198" i="20"/>
  <c r="AK238" i="20"/>
  <c r="AK265" i="20"/>
  <c r="AK300" i="20"/>
  <c r="AK225" i="20"/>
  <c r="AK245" i="20"/>
  <c r="AK279" i="20"/>
  <c r="AK298" i="20"/>
  <c r="AK347" i="20"/>
  <c r="AK366" i="20"/>
  <c r="AK351" i="20"/>
  <c r="AK369" i="20"/>
  <c r="AK380" i="20"/>
  <c r="AK34" i="20"/>
  <c r="AK26" i="20"/>
  <c r="AK51" i="20"/>
  <c r="AK66" i="20"/>
  <c r="AK82" i="20"/>
  <c r="AK20" i="20"/>
  <c r="AK63" i="20"/>
  <c r="AK97" i="20"/>
  <c r="AK107" i="20"/>
  <c r="AK121" i="20"/>
  <c r="AK143" i="20"/>
  <c r="AK158" i="20"/>
  <c r="AK176" i="20"/>
  <c r="AK46" i="20"/>
  <c r="AK94" i="20"/>
  <c r="AK132" i="20"/>
  <c r="AK152" i="20"/>
  <c r="AK190" i="20"/>
  <c r="AK205" i="20"/>
  <c r="AK36" i="20"/>
  <c r="AK52" i="20"/>
  <c r="AK83" i="20"/>
  <c r="AK70" i="20"/>
  <c r="AK109" i="20"/>
  <c r="AK144" i="20"/>
  <c r="AK177" i="20"/>
  <c r="AK108" i="20"/>
  <c r="AK163" i="20"/>
  <c r="AK206" i="20"/>
  <c r="AK236" i="20"/>
  <c r="AK273" i="20"/>
  <c r="AK306" i="20"/>
  <c r="AK331" i="20"/>
  <c r="AK101" i="20"/>
  <c r="AK185" i="20"/>
  <c r="AK169" i="20"/>
  <c r="AK251" i="20"/>
  <c r="AK308" i="20"/>
  <c r="AK250" i="20"/>
  <c r="AK311" i="20"/>
  <c r="AK375" i="20"/>
  <c r="AK372" i="20"/>
  <c r="AK40" i="20"/>
  <c r="AK53" i="20"/>
  <c r="AK84" i="20"/>
  <c r="AK71" i="20"/>
  <c r="AK112" i="20"/>
  <c r="AK146" i="20"/>
  <c r="AK178" i="20"/>
  <c r="AK111" i="20"/>
  <c r="AK165" i="20"/>
  <c r="AK208" i="20"/>
  <c r="AK222" i="20"/>
  <c r="AK237" i="20"/>
  <c r="AK258" i="20"/>
  <c r="AK274" i="20"/>
  <c r="AK296" i="20"/>
  <c r="AK307" i="20"/>
  <c r="AK324" i="20"/>
  <c r="AK332" i="20"/>
  <c r="AK349" i="20"/>
  <c r="AK124" i="20"/>
  <c r="AK122" i="20"/>
  <c r="AK188" i="20"/>
  <c r="AK213" i="20"/>
  <c r="AK171" i="20"/>
  <c r="AK215" i="20"/>
  <c r="AK252" i="20"/>
  <c r="AK276" i="20"/>
  <c r="AK317" i="20"/>
  <c r="AK229" i="20"/>
  <c r="AK260" i="20"/>
  <c r="AK284" i="20"/>
  <c r="AK312" i="20"/>
  <c r="AK359" i="20"/>
  <c r="AK377" i="20"/>
  <c r="AK356" i="20"/>
  <c r="AK373" i="20"/>
  <c r="AK22" i="20"/>
  <c r="AK42" i="20"/>
  <c r="AK75" i="20"/>
  <c r="AK60" i="20"/>
  <c r="AK103" i="20"/>
  <c r="AK130" i="20"/>
  <c r="AK166" i="20"/>
  <c r="AK80" i="20"/>
  <c r="AK141" i="20"/>
  <c r="AK201" i="20"/>
  <c r="AK228" i="20"/>
  <c r="AK262" i="20"/>
  <c r="AK302" i="20"/>
  <c r="AK327" i="20"/>
  <c r="AK360" i="20"/>
  <c r="AK148" i="20"/>
  <c r="AK139" i="20"/>
  <c r="AK232" i="20"/>
  <c r="AK290" i="20"/>
  <c r="AK240" i="20"/>
  <c r="AK291" i="20"/>
  <c r="AK363" i="20"/>
  <c r="AK367" i="20"/>
  <c r="AK27" i="20"/>
  <c r="AK47" i="20"/>
  <c r="AK78" i="20"/>
  <c r="AK61" i="20"/>
  <c r="AK104" i="20"/>
  <c r="AK138" i="20"/>
  <c r="AK168" i="20"/>
  <c r="AK81" i="20"/>
  <c r="AK145" i="20"/>
  <c r="AK202" i="20"/>
  <c r="AK219" i="20"/>
  <c r="AK233" i="20"/>
  <c r="AK253" i="20"/>
  <c r="AK270" i="20"/>
  <c r="AK292" i="20"/>
  <c r="AK305" i="20"/>
  <c r="AK320" i="20"/>
  <c r="AK330" i="20"/>
  <c r="AK342" i="20"/>
  <c r="AK95" i="20"/>
  <c r="AK105" i="20"/>
  <c r="AK174" i="20"/>
  <c r="AK207" i="20"/>
  <c r="AK159" i="20"/>
  <c r="AK199" i="20"/>
  <c r="AK241" i="20"/>
  <c r="AK268" i="20"/>
  <c r="AK301" i="20"/>
  <c r="AK226" i="20"/>
  <c r="AK246" i="20"/>
  <c r="AK280" i="20"/>
  <c r="AK310" i="20"/>
  <c r="AK350" i="20"/>
  <c r="AK371" i="20"/>
  <c r="AK353" i="20"/>
  <c r="AK370" i="20"/>
  <c r="AK15" i="20"/>
  <c r="AK41" i="20"/>
  <c r="AK37" i="20"/>
  <c r="AK54" i="20"/>
  <c r="AK72" i="20"/>
  <c r="AK85" i="20"/>
  <c r="AK32" i="20"/>
  <c r="AK74" i="20"/>
  <c r="AK100" i="20"/>
  <c r="AK114" i="20"/>
  <c r="AK128" i="20"/>
  <c r="AK147" i="20"/>
  <c r="AK162" i="20"/>
  <c r="AK180" i="20"/>
  <c r="AK64" i="20"/>
  <c r="AK113" i="20"/>
  <c r="AK136" i="20"/>
  <c r="AK170" i="20"/>
  <c r="AK197" i="20"/>
  <c r="AK209" i="20"/>
  <c r="AK223" i="20"/>
  <c r="AK242" i="20"/>
  <c r="AK259" i="20"/>
  <c r="AK277" i="20"/>
  <c r="AK297" i="20"/>
  <c r="AK309" i="20"/>
  <c r="AK325" i="20"/>
  <c r="AK333" i="20"/>
  <c r="AK352" i="20"/>
  <c r="AK28" i="20"/>
  <c r="AK135" i="20"/>
  <c r="AK189" i="20"/>
  <c r="AK216" i="20"/>
  <c r="AK172" i="20"/>
  <c r="AK218" i="20"/>
  <c r="AK255" i="20"/>
  <c r="AK278" i="20"/>
  <c r="AK318" i="20"/>
  <c r="AK234" i="20"/>
  <c r="AK266" i="20"/>
  <c r="AK287" i="20"/>
  <c r="AK313" i="20"/>
  <c r="AK361" i="20"/>
  <c r="AK343" i="20"/>
  <c r="AK358" i="20"/>
  <c r="AK374" i="20"/>
  <c r="AK19" i="20"/>
  <c r="F8" i="20"/>
  <c r="AK38" i="20"/>
  <c r="AK57" i="20"/>
  <c r="AK73" i="20"/>
  <c r="AK86" i="20"/>
  <c r="AK48" i="20"/>
  <c r="AK76" i="20"/>
  <c r="AK102" i="20"/>
  <c r="AK115" i="20"/>
  <c r="AK129" i="20"/>
  <c r="AK153" i="20"/>
  <c r="AK164" i="20"/>
  <c r="AK182" i="20"/>
  <c r="AK67" i="20"/>
  <c r="AK117" i="20"/>
  <c r="AK140" i="20"/>
  <c r="AK175" i="20"/>
  <c r="AK200" i="20"/>
  <c r="P12" i="20"/>
  <c r="AK33" i="20"/>
  <c r="AK68" i="20"/>
  <c r="AK23" i="20"/>
  <c r="AK98" i="20"/>
  <c r="AK123" i="20"/>
  <c r="AK160" i="20"/>
  <c r="AK50" i="20"/>
  <c r="AK133" i="20"/>
  <c r="AK192" i="20"/>
  <c r="AK220" i="20"/>
  <c r="AK254" i="20"/>
  <c r="AK294" i="20"/>
  <c r="AK321" i="20"/>
  <c r="AK344" i="20"/>
  <c r="AK110" i="20"/>
  <c r="AK210" i="20"/>
  <c r="AK203" i="20"/>
  <c r="AK271" i="20"/>
  <c r="AK227" i="20"/>
  <c r="AK281" i="20"/>
  <c r="AK357" i="20"/>
  <c r="AK354" i="20"/>
  <c r="AK17" i="20"/>
  <c r="AK35" i="20"/>
  <c r="AK69" i="20"/>
  <c r="AK31" i="20"/>
  <c r="AK99" i="20"/>
  <c r="AK127" i="20"/>
  <c r="AK161" i="20"/>
  <c r="AK56" i="20"/>
  <c r="AK134" i="20"/>
  <c r="AK196" i="20"/>
  <c r="AK214" i="20"/>
  <c r="AK230" i="20"/>
  <c r="AK248" i="20"/>
  <c r="AK263" i="20"/>
  <c r="AK286" i="20"/>
  <c r="AK303" i="20"/>
  <c r="AK316" i="20"/>
  <c r="AK328" i="20"/>
  <c r="AK337" i="20"/>
  <c r="AK39" i="20"/>
  <c r="AK92" i="20"/>
  <c r="AK155" i="20"/>
  <c r="AK194" i="20"/>
  <c r="AK149" i="20"/>
  <c r="AK187" i="20"/>
  <c r="AK235" i="20"/>
  <c r="AK264" i="20"/>
  <c r="AK295" i="20"/>
  <c r="AK340" i="20"/>
  <c r="AK244" i="20"/>
  <c r="AK275" i="20"/>
  <c r="AK293" i="20"/>
  <c r="AK339" i="20"/>
  <c r="AK365" i="20"/>
  <c r="AK348" i="20"/>
  <c r="AK368" i="20"/>
  <c r="AK379" i="20"/>
  <c r="AK18" i="20"/>
  <c r="AK58" i="20"/>
  <c r="AK87" i="20"/>
  <c r="AK77" i="20"/>
  <c r="AK116" i="20"/>
  <c r="AK154" i="20"/>
  <c r="AK25" i="20"/>
  <c r="AK120" i="20"/>
  <c r="AK181" i="20"/>
  <c r="AK212" i="20"/>
  <c r="AK247" i="20"/>
  <c r="AK285" i="20"/>
  <c r="AK315" i="20"/>
  <c r="AK336" i="20"/>
  <c r="AK55" i="20"/>
  <c r="AK193" i="20"/>
  <c r="AK186" i="20"/>
  <c r="AK257" i="20"/>
  <c r="AK334" i="20"/>
  <c r="AK272" i="20"/>
  <c r="AK338" i="20"/>
  <c r="AK346" i="20"/>
  <c r="AK378" i="20"/>
  <c r="AK21" i="20"/>
  <c r="AK59" i="20"/>
  <c r="AK88" i="20"/>
  <c r="AK90" i="20"/>
  <c r="AK118" i="20"/>
  <c r="AK156" i="20"/>
  <c r="AK43" i="20"/>
  <c r="AK125" i="20"/>
  <c r="AK211" i="20"/>
  <c r="AK243" i="20"/>
  <c r="AK282" i="20"/>
  <c r="AK314" i="20"/>
  <c r="AK335" i="20"/>
  <c r="AK30" i="20"/>
  <c r="AK191" i="20"/>
  <c r="AK179" i="20"/>
  <c r="AK256" i="20"/>
  <c r="AK323" i="20"/>
  <c r="AK267" i="20"/>
  <c r="AK322" i="20"/>
  <c r="AK345" i="20"/>
  <c r="AK376" i="20"/>
  <c r="AK183" i="20"/>
  <c r="AK224" i="20"/>
  <c r="AK261" i="20"/>
  <c r="AK299" i="20"/>
  <c r="AK326" i="20"/>
  <c r="AK355" i="20"/>
  <c r="AK137" i="20"/>
  <c r="AK131" i="20"/>
  <c r="AK221" i="20"/>
  <c r="AK283" i="20"/>
  <c r="AK239" i="20"/>
  <c r="AK288" i="20"/>
  <c r="AK362" i="20"/>
  <c r="AK364" i="20"/>
  <c r="Q120" i="16"/>
  <c r="Q192" i="16"/>
  <c r="L15" i="19"/>
  <c r="AI11" i="18"/>
  <c r="P10" i="18"/>
  <c r="AE11" i="18"/>
  <c r="AR11" i="7"/>
  <c r="P11" i="22"/>
  <c r="AL15" i="7"/>
  <c r="AM11" i="7"/>
  <c r="Q11" i="22" s="1"/>
  <c r="Q311" i="16"/>
  <c r="Q139" i="16"/>
  <c r="Q45" i="16"/>
  <c r="Q128" i="16"/>
  <c r="AH382" i="15"/>
  <c r="BH104" i="6"/>
  <c r="AD104" i="15" s="1"/>
  <c r="BH299" i="6"/>
  <c r="P299" i="15" s="1"/>
  <c r="V299" i="15" s="1"/>
  <c r="F299" i="15" s="1"/>
  <c r="G299" i="15" s="1"/>
  <c r="BX299" i="6" s="1"/>
  <c r="BH275" i="6"/>
  <c r="AD275" i="15" s="1"/>
  <c r="BH111" i="6"/>
  <c r="P111" i="15" s="1"/>
  <c r="V111" i="15" s="1"/>
  <c r="F111" i="15" s="1"/>
  <c r="H111" i="15" s="1"/>
  <c r="C12" i="19"/>
  <c r="F36" i="19"/>
  <c r="BH259" i="6"/>
  <c r="AD259" i="1" s="1"/>
  <c r="BH340" i="6"/>
  <c r="BH214" i="6"/>
  <c r="AD214" i="15" s="1"/>
  <c r="BH264" i="6"/>
  <c r="BH144" i="6"/>
  <c r="BH335" i="6"/>
  <c r="BH23" i="6"/>
  <c r="P23" i="15" s="1"/>
  <c r="V23" i="15" s="1"/>
  <c r="F23" i="15" s="1"/>
  <c r="G23" i="15" s="1"/>
  <c r="BX23" i="6" s="1"/>
  <c r="BH355" i="6"/>
  <c r="BH228" i="6"/>
  <c r="AD228" i="1" s="1"/>
  <c r="BH192" i="6"/>
  <c r="BH125" i="6"/>
  <c r="AD125" i="15" s="1"/>
  <c r="BH304" i="6"/>
  <c r="BH362" i="6"/>
  <c r="P362" i="15" s="1"/>
  <c r="V362" i="15" s="1"/>
  <c r="F362" i="15" s="1"/>
  <c r="BH130" i="6"/>
  <c r="BH129" i="6"/>
  <c r="P129" i="1" s="1"/>
  <c r="V129" i="1" s="1"/>
  <c r="BH372" i="6"/>
  <c r="BH297" i="6"/>
  <c r="AD297" i="15" s="1"/>
  <c r="BH77" i="6"/>
  <c r="BH63" i="6"/>
  <c r="AD63" i="15" s="1"/>
  <c r="BH339" i="6"/>
  <c r="BH247" i="6"/>
  <c r="P247" i="15" s="1"/>
  <c r="V247" i="15" s="1"/>
  <c r="F247" i="15" s="1"/>
  <c r="G247" i="15" s="1"/>
  <c r="BX247" i="6" s="1"/>
  <c r="BH316" i="6"/>
  <c r="BH263" i="6"/>
  <c r="P263" i="1" s="1"/>
  <c r="V263" i="1" s="1"/>
  <c r="BH349" i="6"/>
  <c r="BH289" i="6"/>
  <c r="P289" i="15" s="1"/>
  <c r="V289" i="15" s="1"/>
  <c r="F289" i="15" s="1"/>
  <c r="G289" i="15" s="1"/>
  <c r="BX289" i="6" s="1"/>
  <c r="BH318" i="6"/>
  <c r="BH186" i="6"/>
  <c r="P186" i="1" s="1"/>
  <c r="V186" i="1" s="1"/>
  <c r="BH141" i="6"/>
  <c r="BH15" i="6"/>
  <c r="AD15" i="15" s="1"/>
  <c r="BH179" i="6"/>
  <c r="BH353" i="6"/>
  <c r="BH250" i="6"/>
  <c r="AD250" i="1" s="1"/>
  <c r="BH298" i="6"/>
  <c r="AD298" i="15" s="1"/>
  <c r="BH376" i="6"/>
  <c r="P376" i="15" s="1"/>
  <c r="BH147" i="6"/>
  <c r="P147" i="1" s="1"/>
  <c r="V147" i="1" s="1"/>
  <c r="BH326" i="6"/>
  <c r="P326" i="15" s="1"/>
  <c r="V326" i="15" s="1"/>
  <c r="F326" i="15" s="1"/>
  <c r="G326" i="15" s="1"/>
  <c r="BX326" i="6" s="1"/>
  <c r="BH375" i="6"/>
  <c r="AD375" i="15" s="1"/>
  <c r="BH136" i="6"/>
  <c r="BH197" i="6"/>
  <c r="P197" i="1" s="1"/>
  <c r="V197" i="1" s="1"/>
  <c r="BH236" i="6"/>
  <c r="BH142" i="6"/>
  <c r="AD142" i="1" s="1"/>
  <c r="BH65" i="6"/>
  <c r="BH173" i="6"/>
  <c r="AD173" i="15" s="1"/>
  <c r="BH45" i="6"/>
  <c r="P45" i="15" s="1"/>
  <c r="V45" i="15" s="1"/>
  <c r="F45" i="15" s="1"/>
  <c r="BH84" i="6"/>
  <c r="P84" i="15" s="1"/>
  <c r="V84" i="15" s="1"/>
  <c r="F84" i="15" s="1"/>
  <c r="BH81" i="6"/>
  <c r="BH266" i="6"/>
  <c r="P266" i="15" s="1"/>
  <c r="V266" i="15" s="1"/>
  <c r="F266" i="15" s="1"/>
  <c r="G266" i="15" s="1"/>
  <c r="BX266" i="6" s="1"/>
  <c r="BH308" i="6"/>
  <c r="BH67" i="6"/>
  <c r="BH359" i="6"/>
  <c r="BH325" i="6"/>
  <c r="P325" i="1" s="1"/>
  <c r="V325" i="1" s="1"/>
  <c r="F325" i="1" s="1"/>
  <c r="BH305" i="6"/>
  <c r="BH301" i="6"/>
  <c r="AD301" i="1" s="1"/>
  <c r="BH115" i="6"/>
  <c r="BH248" i="6"/>
  <c r="P248" i="1" s="1"/>
  <c r="V248" i="1" s="1"/>
  <c r="BH220" i="6"/>
  <c r="BH167" i="6"/>
  <c r="AD167" i="1" s="1"/>
  <c r="BH272" i="6"/>
  <c r="BH218" i="6"/>
  <c r="BH94" i="6"/>
  <c r="BH319" i="6"/>
  <c r="AD319" i="15" s="1"/>
  <c r="BH58" i="6"/>
  <c r="BH114" i="6"/>
  <c r="P114" i="15" s="1"/>
  <c r="V114" i="15" s="1"/>
  <c r="F114" i="15" s="1"/>
  <c r="BH97" i="6"/>
  <c r="BH200" i="6"/>
  <c r="P200" i="1" s="1"/>
  <c r="V200" i="1" s="1"/>
  <c r="BH243" i="6"/>
  <c r="BH157" i="6"/>
  <c r="AD157" i="15" s="1"/>
  <c r="BH201" i="6"/>
  <c r="BH268" i="6"/>
  <c r="P268" i="15" s="1"/>
  <c r="V268" i="15" s="1"/>
  <c r="F268" i="15" s="1"/>
  <c r="BH102" i="6"/>
  <c r="BH336" i="6"/>
  <c r="AD336" i="15" s="1"/>
  <c r="BH32" i="6"/>
  <c r="BH320" i="6"/>
  <c r="P320" i="1" s="1"/>
  <c r="V320" i="1" s="1"/>
  <c r="F320" i="1" s="1"/>
  <c r="BH90" i="6"/>
  <c r="AD90" i="1" s="1"/>
  <c r="BH37" i="6"/>
  <c r="BH295" i="6"/>
  <c r="BH178" i="6"/>
  <c r="P178" i="15" s="1"/>
  <c r="V178" i="15" s="1"/>
  <c r="F178" i="15" s="1"/>
  <c r="G178" i="15" s="1"/>
  <c r="BX178" i="6" s="1"/>
  <c r="BH137" i="6"/>
  <c r="BH225" i="6"/>
  <c r="P225" i="1" s="1"/>
  <c r="V225" i="1" s="1"/>
  <c r="BH50" i="6"/>
  <c r="AD50" i="1" s="1"/>
  <c r="BH103" i="6"/>
  <c r="P103" i="1" s="1"/>
  <c r="V103" i="1" s="1"/>
  <c r="BH366" i="6"/>
  <c r="BH346" i="6"/>
  <c r="P346" i="1" s="1"/>
  <c r="BH378" i="6"/>
  <c r="BH204" i="6"/>
  <c r="AD204" i="1" s="1"/>
  <c r="BH337" i="6"/>
  <c r="P337" i="1" s="1"/>
  <c r="V337" i="1" s="1"/>
  <c r="F337" i="1" s="1"/>
  <c r="G337" i="1" s="1"/>
  <c r="BW337" i="6" s="1"/>
  <c r="BH39" i="6"/>
  <c r="P39" i="1" s="1"/>
  <c r="V39" i="1" s="1"/>
  <c r="BH131" i="6"/>
  <c r="BH73" i="6"/>
  <c r="P73" i="15" s="1"/>
  <c r="V73" i="15" s="1"/>
  <c r="F73" i="15" s="1"/>
  <c r="BH185" i="6"/>
  <c r="P185" i="15" s="1"/>
  <c r="V185" i="15" s="1"/>
  <c r="F185" i="15" s="1"/>
  <c r="H185" i="15" s="1"/>
  <c r="BH161" i="6"/>
  <c r="BH134" i="6"/>
  <c r="P134" i="15" s="1"/>
  <c r="BH92" i="6"/>
  <c r="AD92" i="15" s="1"/>
  <c r="BH327" i="6"/>
  <c r="P327" i="1" s="1"/>
  <c r="V327" i="1" s="1"/>
  <c r="F327" i="1" s="1"/>
  <c r="Q16" i="7"/>
  <c r="AI222" i="16"/>
  <c r="AH222" i="16" s="1"/>
  <c r="AG222" i="16" s="1"/>
  <c r="AF222" i="16" s="1"/>
  <c r="AI161" i="16"/>
  <c r="AH161" i="16" s="1"/>
  <c r="AG161" i="16" s="1"/>
  <c r="AF161" i="16" s="1"/>
  <c r="AI48" i="16"/>
  <c r="AH48" i="16" s="1"/>
  <c r="AG48" i="16" s="1"/>
  <c r="AF48" i="16" s="1"/>
  <c r="AI304" i="16"/>
  <c r="AH304" i="16" s="1"/>
  <c r="AG304" i="16" s="1"/>
  <c r="AF304" i="16" s="1"/>
  <c r="AI359" i="16"/>
  <c r="AH359" i="16" s="1"/>
  <c r="AG359" i="16" s="1"/>
  <c r="AF359" i="16" s="1"/>
  <c r="AI34" i="16"/>
  <c r="AH34" i="16" s="1"/>
  <c r="AG34" i="16" s="1"/>
  <c r="AF34" i="16" s="1"/>
  <c r="AI290" i="16"/>
  <c r="AH290" i="16" s="1"/>
  <c r="AG290" i="16" s="1"/>
  <c r="AF290" i="16" s="1"/>
  <c r="AI57" i="16"/>
  <c r="AH57" i="16" s="1"/>
  <c r="AG57" i="16" s="1"/>
  <c r="AF57" i="16" s="1"/>
  <c r="AI116" i="16"/>
  <c r="AH116" i="16" s="1"/>
  <c r="AG116" i="16" s="1"/>
  <c r="AF116" i="16" s="1"/>
  <c r="AI372" i="16"/>
  <c r="AH372" i="16" s="1"/>
  <c r="AG372" i="16" s="1"/>
  <c r="AF372" i="16" s="1"/>
  <c r="AI223" i="16"/>
  <c r="AH223" i="16" s="1"/>
  <c r="AG223" i="16" s="1"/>
  <c r="AF223" i="16" s="1"/>
  <c r="AI102" i="16"/>
  <c r="AH102" i="16" s="1"/>
  <c r="AG102" i="16" s="1"/>
  <c r="AF102" i="16" s="1"/>
  <c r="AI358" i="16"/>
  <c r="AH358" i="16" s="1"/>
  <c r="AI259" i="16"/>
  <c r="AH259" i="16" s="1"/>
  <c r="AG259" i="16" s="1"/>
  <c r="AF259" i="16" s="1"/>
  <c r="AI184" i="16"/>
  <c r="AH184" i="16" s="1"/>
  <c r="AG184" i="16" s="1"/>
  <c r="AF184" i="16" s="1"/>
  <c r="AI261" i="16"/>
  <c r="AH261" i="16" s="1"/>
  <c r="AG261" i="16" s="1"/>
  <c r="AF261" i="16" s="1"/>
  <c r="AI27" i="16"/>
  <c r="AH27" i="16" s="1"/>
  <c r="AG27" i="16" s="1"/>
  <c r="AF27" i="16" s="1"/>
  <c r="AI186" i="16"/>
  <c r="AH186" i="16" s="1"/>
  <c r="AG186" i="16" s="1"/>
  <c r="AF186" i="16" s="1"/>
  <c r="AI265" i="16"/>
  <c r="AH265" i="16" s="1"/>
  <c r="AG265" i="16" s="1"/>
  <c r="AF265" i="16" s="1"/>
  <c r="AI35" i="16"/>
  <c r="AH35" i="16" s="1"/>
  <c r="AG35" i="16" s="1"/>
  <c r="AF35" i="16" s="1"/>
  <c r="AI268" i="16"/>
  <c r="AH268" i="16" s="1"/>
  <c r="AG268" i="16" s="1"/>
  <c r="AF268" i="16" s="1"/>
  <c r="AI93" i="16"/>
  <c r="AH93" i="16" s="1"/>
  <c r="AG93" i="16" s="1"/>
  <c r="AF93" i="16" s="1"/>
  <c r="AI31" i="16"/>
  <c r="AH31" i="16" s="1"/>
  <c r="AG31" i="16" s="1"/>
  <c r="AF31" i="16" s="1"/>
  <c r="AI270" i="16"/>
  <c r="AH270" i="16" s="1"/>
  <c r="AG270" i="16" s="1"/>
  <c r="AF270" i="16" s="1"/>
  <c r="AI65" i="16"/>
  <c r="AH65" i="16" s="1"/>
  <c r="AG65" i="16" s="1"/>
  <c r="AF65" i="16" s="1"/>
  <c r="AI96" i="16"/>
  <c r="AH96" i="16" s="1"/>
  <c r="AG96" i="16" s="1"/>
  <c r="AF96" i="16" s="1"/>
  <c r="AI352" i="16"/>
  <c r="AH352" i="16" s="1"/>
  <c r="AG352" i="16" s="1"/>
  <c r="AF352" i="16" s="1"/>
  <c r="AI263" i="16"/>
  <c r="AH263" i="16" s="1"/>
  <c r="AG263" i="16" s="1"/>
  <c r="AF263" i="16" s="1"/>
  <c r="AI82" i="16"/>
  <c r="AH82" i="16" s="1"/>
  <c r="AG82" i="16" s="1"/>
  <c r="AF82" i="16" s="1"/>
  <c r="AI338" i="16"/>
  <c r="AH338" i="16" s="1"/>
  <c r="AG338" i="16" s="1"/>
  <c r="AF338" i="16" s="1"/>
  <c r="AI299" i="16"/>
  <c r="AH299" i="16" s="1"/>
  <c r="AG299" i="16" s="1"/>
  <c r="AF299" i="16" s="1"/>
  <c r="AI164" i="16"/>
  <c r="AH164" i="16" s="1"/>
  <c r="AG164" i="16" s="1"/>
  <c r="AF164" i="16" s="1"/>
  <c r="AI301" i="16"/>
  <c r="AH301" i="16" s="1"/>
  <c r="AG301" i="16" s="1"/>
  <c r="AF301" i="16" s="1"/>
  <c r="AI91" i="16"/>
  <c r="AH91" i="16" s="1"/>
  <c r="AG91" i="16" s="1"/>
  <c r="AF91" i="16" s="1"/>
  <c r="AI150" i="16"/>
  <c r="AH150" i="16" s="1"/>
  <c r="AG150" i="16" s="1"/>
  <c r="AF150" i="16" s="1"/>
  <c r="AI337" i="16"/>
  <c r="AH337" i="16" s="1"/>
  <c r="AG337" i="16" s="1"/>
  <c r="AF337" i="16" s="1"/>
  <c r="AI163" i="16"/>
  <c r="AH163" i="16" s="1"/>
  <c r="AG163" i="16" s="1"/>
  <c r="AF163" i="16" s="1"/>
  <c r="AI232" i="16"/>
  <c r="AH232" i="16" s="1"/>
  <c r="AG232" i="16" s="1"/>
  <c r="AF232" i="16" s="1"/>
  <c r="AI165" i="16"/>
  <c r="AH165" i="16" s="1"/>
  <c r="AG165" i="16" s="1"/>
  <c r="AF165" i="16" s="1"/>
  <c r="AI87" i="16"/>
  <c r="AH87" i="16" s="1"/>
  <c r="AG87" i="16" s="1"/>
  <c r="AF87" i="16" s="1"/>
  <c r="AI234" i="16"/>
  <c r="AH234" i="16" s="1"/>
  <c r="AG234" i="16" s="1"/>
  <c r="AF234" i="16" s="1"/>
  <c r="AI169" i="16"/>
  <c r="AH169" i="16" s="1"/>
  <c r="AG169" i="16" s="1"/>
  <c r="AF169" i="16" s="1"/>
  <c r="AI60" i="16"/>
  <c r="AH60" i="16" s="1"/>
  <c r="AG60" i="16" s="1"/>
  <c r="AF60" i="16" s="1"/>
  <c r="AI316" i="16"/>
  <c r="AH316" i="16" s="1"/>
  <c r="AG316" i="16" s="1"/>
  <c r="AF316" i="16" s="1"/>
  <c r="AI335" i="16"/>
  <c r="AH335" i="16" s="1"/>
  <c r="AG335" i="16" s="1"/>
  <c r="AF335" i="16" s="1"/>
  <c r="AI62" i="16"/>
  <c r="AH62" i="16" s="1"/>
  <c r="AG62" i="16" s="1"/>
  <c r="AF62" i="16" s="1"/>
  <c r="AI318" i="16"/>
  <c r="AH318" i="16" s="1"/>
  <c r="AG318" i="16" s="1"/>
  <c r="AF318" i="16" s="1"/>
  <c r="AI307" i="16"/>
  <c r="AH307" i="16" s="1"/>
  <c r="AG307" i="16" s="1"/>
  <c r="AF307" i="16" s="1"/>
  <c r="AI144" i="16"/>
  <c r="AH144" i="16" s="1"/>
  <c r="AG144" i="16" s="1"/>
  <c r="AF144" i="16" s="1"/>
  <c r="AI341" i="16"/>
  <c r="AH341" i="16" s="1"/>
  <c r="AG341" i="16" s="1"/>
  <c r="AF341" i="16" s="1"/>
  <c r="AI167" i="16"/>
  <c r="AH167" i="16" s="1"/>
  <c r="AG167" i="16" s="1"/>
  <c r="AF167" i="16" s="1"/>
  <c r="AI130" i="16"/>
  <c r="AH130" i="16" s="1"/>
  <c r="AG130" i="16" s="1"/>
  <c r="AF130" i="16" s="1"/>
  <c r="AI371" i="16"/>
  <c r="AH371" i="16" s="1"/>
  <c r="AG371" i="16" s="1"/>
  <c r="AF371" i="16" s="1"/>
  <c r="AI203" i="16"/>
  <c r="AH203" i="16" s="1"/>
  <c r="AG203" i="16" s="1"/>
  <c r="AF203" i="16" s="1"/>
  <c r="AI212" i="16"/>
  <c r="AH212" i="16" s="1"/>
  <c r="AG212" i="16" s="1"/>
  <c r="AF212" i="16" s="1"/>
  <c r="AI205" i="16"/>
  <c r="AH205" i="16" s="1"/>
  <c r="AG205" i="16" s="1"/>
  <c r="AF205" i="16" s="1"/>
  <c r="AI127" i="16"/>
  <c r="AH127" i="16" s="1"/>
  <c r="AG127" i="16" s="1"/>
  <c r="AF127" i="16" s="1"/>
  <c r="AI198" i="16"/>
  <c r="AH198" i="16" s="1"/>
  <c r="AG198" i="16" s="1"/>
  <c r="AF198" i="16" s="1"/>
  <c r="AI241" i="16"/>
  <c r="AH241" i="16" s="1"/>
  <c r="AG241" i="16" s="1"/>
  <c r="AF241" i="16" s="1"/>
  <c r="AI24" i="16"/>
  <c r="AH24" i="16" s="1"/>
  <c r="AG24" i="16" s="1"/>
  <c r="AF24" i="16" s="1"/>
  <c r="AI280" i="16"/>
  <c r="AH280" i="16" s="1"/>
  <c r="AG280" i="16" s="1"/>
  <c r="AF280" i="16" s="1"/>
  <c r="AI69" i="16"/>
  <c r="AH69" i="16" s="1"/>
  <c r="AG69" i="16" s="1"/>
  <c r="AF69" i="16" s="1"/>
  <c r="AI26" i="16"/>
  <c r="AH26" i="16" s="1"/>
  <c r="AG26" i="16" s="1"/>
  <c r="AF26" i="16" s="1"/>
  <c r="AI282" i="16"/>
  <c r="AH282" i="16" s="1"/>
  <c r="AG282" i="16" s="1"/>
  <c r="AF282" i="16" s="1"/>
  <c r="AI73" i="16"/>
  <c r="AH73" i="16" s="1"/>
  <c r="AG73" i="16" s="1"/>
  <c r="AF73" i="16" s="1"/>
  <c r="AI108" i="16"/>
  <c r="AH108" i="16" s="1"/>
  <c r="AG108" i="16" s="1"/>
  <c r="AF108" i="16" s="1"/>
  <c r="AI364" i="16"/>
  <c r="AH364" i="16" s="1"/>
  <c r="AG364" i="16" s="1"/>
  <c r="AF364" i="16" s="1"/>
  <c r="AI239" i="16"/>
  <c r="AH239" i="16" s="1"/>
  <c r="AG239" i="16" s="1"/>
  <c r="AF239" i="16" s="1"/>
  <c r="AI110" i="16"/>
  <c r="AH110" i="16" s="1"/>
  <c r="AG110" i="16" s="1"/>
  <c r="AF110" i="16" s="1"/>
  <c r="AI366" i="16"/>
  <c r="AH366" i="16" s="1"/>
  <c r="AG366" i="16" s="1"/>
  <c r="AF366" i="16" s="1"/>
  <c r="AI211" i="16"/>
  <c r="AH211" i="16" s="1"/>
  <c r="AG211" i="16" s="1"/>
  <c r="AF211" i="16" s="1"/>
  <c r="AI192" i="16"/>
  <c r="AH192" i="16" s="1"/>
  <c r="AG192" i="16" s="1"/>
  <c r="AF192" i="16" s="1"/>
  <c r="AI245" i="16"/>
  <c r="AH245" i="16" s="1"/>
  <c r="AG245" i="16" s="1"/>
  <c r="AF245" i="16" s="1"/>
  <c r="AI380" i="16"/>
  <c r="AH380" i="16" s="1"/>
  <c r="AG380" i="16" s="1"/>
  <c r="AF380" i="16" s="1"/>
  <c r="AI178" i="16"/>
  <c r="AH178" i="16" s="1"/>
  <c r="AG178" i="16" s="1"/>
  <c r="AF178" i="16" s="1"/>
  <c r="AI281" i="16"/>
  <c r="AH281" i="16" s="1"/>
  <c r="AG281" i="16" s="1"/>
  <c r="AF281" i="16" s="1"/>
  <c r="AI51" i="16"/>
  <c r="AH51" i="16" s="1"/>
  <c r="AI260" i="16"/>
  <c r="AH260" i="16" s="1"/>
  <c r="AG260" i="16" s="1"/>
  <c r="AF260" i="16" s="1"/>
  <c r="AI109" i="16"/>
  <c r="AH109" i="16" s="1"/>
  <c r="AG109" i="16" s="1"/>
  <c r="AF109" i="16" s="1"/>
  <c r="AI15" i="16"/>
  <c r="AI246" i="16"/>
  <c r="AH246" i="16" s="1"/>
  <c r="AG246" i="16" s="1"/>
  <c r="AF246" i="16" s="1"/>
  <c r="AI145" i="16"/>
  <c r="AH145" i="16" s="1"/>
  <c r="AG145" i="16" s="1"/>
  <c r="AF145" i="16" s="1"/>
  <c r="AI72" i="16"/>
  <c r="AH72" i="16" s="1"/>
  <c r="AG72" i="16" s="1"/>
  <c r="AF72" i="16" s="1"/>
  <c r="AI328" i="16"/>
  <c r="AH328" i="16" s="1"/>
  <c r="AG328" i="16" s="1"/>
  <c r="AF328" i="16" s="1"/>
  <c r="AI311" i="16"/>
  <c r="AH311" i="16" s="1"/>
  <c r="AG311" i="16" s="1"/>
  <c r="AF311" i="16" s="1"/>
  <c r="AI74" i="16"/>
  <c r="AH74" i="16" s="1"/>
  <c r="AG74" i="16" s="1"/>
  <c r="AF74" i="16" s="1"/>
  <c r="AI330" i="16"/>
  <c r="AH330" i="16" s="1"/>
  <c r="AG330" i="16" s="1"/>
  <c r="AF330" i="16" s="1"/>
  <c r="AI315" i="16"/>
  <c r="AH315" i="16" s="1"/>
  <c r="AG315" i="16" s="1"/>
  <c r="AF315" i="16" s="1"/>
  <c r="AI156" i="16"/>
  <c r="AH156" i="16" s="1"/>
  <c r="AG156" i="16" s="1"/>
  <c r="AF156" i="16" s="1"/>
  <c r="AI317" i="16"/>
  <c r="AH317" i="16" s="1"/>
  <c r="AG317" i="16" s="1"/>
  <c r="AF317" i="16" s="1"/>
  <c r="AI123" i="16"/>
  <c r="AH123" i="16" s="1"/>
  <c r="AG123" i="16" s="1"/>
  <c r="AF123" i="16" s="1"/>
  <c r="AI94" i="16"/>
  <c r="AH94" i="16" s="1"/>
  <c r="AG94" i="16" s="1"/>
  <c r="AF94" i="16" s="1"/>
  <c r="AI350" i="16"/>
  <c r="AH350" i="16" s="1"/>
  <c r="AG350" i="16" s="1"/>
  <c r="AF350" i="16" s="1"/>
  <c r="AI243" i="16"/>
  <c r="AH243" i="16" s="1"/>
  <c r="AG243" i="16" s="1"/>
  <c r="AF243" i="16" s="1"/>
  <c r="AI176" i="16"/>
  <c r="AH176" i="16" s="1"/>
  <c r="AG176" i="16" s="1"/>
  <c r="AF176" i="16" s="1"/>
  <c r="AI277" i="16"/>
  <c r="AH277" i="16" s="1"/>
  <c r="AG277" i="16" s="1"/>
  <c r="AF277" i="16" s="1"/>
  <c r="AI41" i="16"/>
  <c r="AH41" i="16" s="1"/>
  <c r="AG41" i="16" s="1"/>
  <c r="AF41" i="16" s="1"/>
  <c r="AI162" i="16"/>
  <c r="AH162" i="16" s="1"/>
  <c r="AG162" i="16" s="1"/>
  <c r="AF162" i="16" s="1"/>
  <c r="AI313" i="16"/>
  <c r="AH313" i="16" s="1"/>
  <c r="AG313" i="16" s="1"/>
  <c r="AF313" i="16" s="1"/>
  <c r="AI115" i="16"/>
  <c r="AH115" i="16" s="1"/>
  <c r="AG115" i="16" s="1"/>
  <c r="AF115" i="16" s="1"/>
  <c r="AI244" i="16"/>
  <c r="AH244" i="16" s="1"/>
  <c r="AG244" i="16" s="1"/>
  <c r="AF244" i="16" s="1"/>
  <c r="AI141" i="16"/>
  <c r="AH141" i="16" s="1"/>
  <c r="AG141" i="16" s="1"/>
  <c r="AF141" i="16" s="1"/>
  <c r="AI63" i="16"/>
  <c r="AH63" i="16" s="1"/>
  <c r="AG63" i="16" s="1"/>
  <c r="AF63" i="16" s="1"/>
  <c r="AI230" i="16"/>
  <c r="AH230" i="16" s="1"/>
  <c r="AG230" i="16" s="1"/>
  <c r="AF230" i="16" s="1"/>
  <c r="AI177" i="16"/>
  <c r="AH177" i="16" s="1"/>
  <c r="AG177" i="16" s="1"/>
  <c r="AF177" i="16" s="1"/>
  <c r="AI56" i="16"/>
  <c r="AH56" i="16" s="1"/>
  <c r="AG56" i="16" s="1"/>
  <c r="AF56" i="16" s="1"/>
  <c r="AI312" i="16"/>
  <c r="AH312" i="16" s="1"/>
  <c r="AG312" i="16" s="1"/>
  <c r="AF312" i="16" s="1"/>
  <c r="AI343" i="16"/>
  <c r="AH343" i="16" s="1"/>
  <c r="AG343" i="16" s="1"/>
  <c r="AF343" i="16" s="1"/>
  <c r="AI58" i="16"/>
  <c r="AH58" i="16" s="1"/>
  <c r="AG58" i="16" s="1"/>
  <c r="AF58" i="16" s="1"/>
  <c r="AI314" i="16"/>
  <c r="AH314" i="16" s="1"/>
  <c r="AG314" i="16" s="1"/>
  <c r="AF314" i="16" s="1"/>
  <c r="AI347" i="16"/>
  <c r="AH347" i="16" s="1"/>
  <c r="AG347" i="16" s="1"/>
  <c r="AF347" i="16" s="1"/>
  <c r="AI140" i="16"/>
  <c r="AH140" i="16" s="1"/>
  <c r="AG140" i="16" s="1"/>
  <c r="AF140" i="16" s="1"/>
  <c r="AI349" i="16"/>
  <c r="AH349" i="16" s="1"/>
  <c r="AG349" i="16" s="1"/>
  <c r="AF349" i="16" s="1"/>
  <c r="AI175" i="16"/>
  <c r="AH175" i="16" s="1"/>
  <c r="AG175" i="16" s="1"/>
  <c r="AF175" i="16" s="1"/>
  <c r="AI142" i="16"/>
  <c r="AH142" i="16" s="1"/>
  <c r="AG142" i="16" s="1"/>
  <c r="AF142" i="16" s="1"/>
  <c r="AI321" i="16"/>
  <c r="AH321" i="16" s="1"/>
  <c r="AG321" i="16" s="1"/>
  <c r="AF321" i="16" s="1"/>
  <c r="AI131" i="16"/>
  <c r="AH131" i="16" s="1"/>
  <c r="AG131" i="16" s="1"/>
  <c r="AF131" i="16" s="1"/>
  <c r="AI224" i="16"/>
  <c r="AH224" i="16" s="1"/>
  <c r="AG224" i="16" s="1"/>
  <c r="AF224" i="16" s="1"/>
  <c r="AI181" i="16"/>
  <c r="AH181" i="16" s="1"/>
  <c r="AG181" i="16" s="1"/>
  <c r="AF181" i="16" s="1"/>
  <c r="AI103" i="16"/>
  <c r="AH103" i="16" s="1"/>
  <c r="AG103" i="16" s="1"/>
  <c r="AF103" i="16" s="1"/>
  <c r="AI210" i="16"/>
  <c r="AH210" i="16" s="1"/>
  <c r="AI217" i="16"/>
  <c r="AH217" i="16" s="1"/>
  <c r="AG217" i="16" s="1"/>
  <c r="AF217" i="16" s="1"/>
  <c r="AI36" i="16"/>
  <c r="AH36" i="16" s="1"/>
  <c r="AG36" i="16" s="1"/>
  <c r="AF36" i="16" s="1"/>
  <c r="AI292" i="16"/>
  <c r="AH292" i="16" s="1"/>
  <c r="AG292" i="16" s="1"/>
  <c r="AF292" i="16" s="1"/>
  <c r="AI45" i="16"/>
  <c r="AH45" i="16" s="1"/>
  <c r="AG45" i="16" s="1"/>
  <c r="AF45" i="16" s="1"/>
  <c r="AI22" i="16"/>
  <c r="AH22" i="16" s="1"/>
  <c r="AG22" i="16" s="1"/>
  <c r="AF22" i="16" s="1"/>
  <c r="AI278" i="16"/>
  <c r="AH278" i="16" s="1"/>
  <c r="AG278" i="16" s="1"/>
  <c r="AF278" i="16" s="1"/>
  <c r="AI81" i="16"/>
  <c r="AH81" i="16" s="1"/>
  <c r="AG81" i="16" s="1"/>
  <c r="AF81" i="16" s="1"/>
  <c r="AI104" i="16"/>
  <c r="AH104" i="16" s="1"/>
  <c r="AG104" i="16" s="1"/>
  <c r="AF104" i="16" s="1"/>
  <c r="AI360" i="16"/>
  <c r="AH360" i="16" s="1"/>
  <c r="AG360" i="16" s="1"/>
  <c r="AF360" i="16" s="1"/>
  <c r="AI247" i="16"/>
  <c r="AH247" i="16" s="1"/>
  <c r="AG247" i="16" s="1"/>
  <c r="AF247" i="16" s="1"/>
  <c r="AI106" i="16"/>
  <c r="AH106" i="16" s="1"/>
  <c r="AG106" i="16" s="1"/>
  <c r="AF106" i="16" s="1"/>
  <c r="AI362" i="16"/>
  <c r="AH362" i="16" s="1"/>
  <c r="AG362" i="16" s="1"/>
  <c r="AF362" i="16" s="1"/>
  <c r="AI251" i="16"/>
  <c r="AH251" i="16" s="1"/>
  <c r="AG251" i="16" s="1"/>
  <c r="AF251" i="16" s="1"/>
  <c r="AI188" i="16"/>
  <c r="AH188" i="16" s="1"/>
  <c r="AG188" i="16" s="1"/>
  <c r="AF188" i="16" s="1"/>
  <c r="AI253" i="16"/>
  <c r="AH253" i="16" s="1"/>
  <c r="AG253" i="16" s="1"/>
  <c r="AF253" i="16" s="1"/>
  <c r="AI377" i="16"/>
  <c r="AH377" i="16" s="1"/>
  <c r="AI190" i="16"/>
  <c r="AH190" i="16" s="1"/>
  <c r="AG190" i="16" s="1"/>
  <c r="AF190" i="16" s="1"/>
  <c r="AI225" i="16"/>
  <c r="AH225" i="16" s="1"/>
  <c r="AG225" i="16" s="1"/>
  <c r="AF225" i="16" s="1"/>
  <c r="AI19" i="16"/>
  <c r="AH19" i="16" s="1"/>
  <c r="AG19" i="16" s="1"/>
  <c r="AF19" i="16" s="1"/>
  <c r="AI272" i="16"/>
  <c r="AH272" i="16" s="1"/>
  <c r="AG272" i="16" s="1"/>
  <c r="AF272" i="16" s="1"/>
  <c r="AI85" i="16"/>
  <c r="AH85" i="16" s="1"/>
  <c r="AG85" i="16" s="1"/>
  <c r="AF85" i="16" s="1"/>
  <c r="AI23" i="16"/>
  <c r="AH23" i="16" s="1"/>
  <c r="AG23" i="16" s="1"/>
  <c r="AF23" i="16" s="1"/>
  <c r="AI258" i="16"/>
  <c r="AH258" i="16" s="1"/>
  <c r="AG258" i="16" s="1"/>
  <c r="AF258" i="16" s="1"/>
  <c r="AI121" i="16"/>
  <c r="AH121" i="16" s="1"/>
  <c r="AG121" i="16" s="1"/>
  <c r="AF121" i="16" s="1"/>
  <c r="AI84" i="16"/>
  <c r="AH84" i="16" s="1"/>
  <c r="AG84" i="16" s="1"/>
  <c r="AF84" i="16" s="1"/>
  <c r="AI340" i="16"/>
  <c r="AH340" i="16" s="1"/>
  <c r="AG340" i="16" s="1"/>
  <c r="AF340" i="16" s="1"/>
  <c r="AI287" i="16"/>
  <c r="AH287" i="16" s="1"/>
  <c r="AG287" i="16" s="1"/>
  <c r="AF287" i="16" s="1"/>
  <c r="AI70" i="16"/>
  <c r="AH70" i="16" s="1"/>
  <c r="AG70" i="16" s="1"/>
  <c r="AF70" i="16" s="1"/>
  <c r="AI326" i="16"/>
  <c r="AH326" i="16" s="1"/>
  <c r="AG326" i="16" s="1"/>
  <c r="AF326" i="16" s="1"/>
  <c r="AI323" i="16"/>
  <c r="AH323" i="16" s="1"/>
  <c r="AG323" i="16" s="1"/>
  <c r="AF323" i="16" s="1"/>
  <c r="AI152" i="16"/>
  <c r="AH152" i="16" s="1"/>
  <c r="AG152" i="16" s="1"/>
  <c r="AF152" i="16" s="1"/>
  <c r="AI325" i="16"/>
  <c r="AH325" i="16" s="1"/>
  <c r="AI139" i="16"/>
  <c r="AH139" i="16" s="1"/>
  <c r="AG139" i="16" s="1"/>
  <c r="AF139" i="16" s="1"/>
  <c r="AI154" i="16"/>
  <c r="AH154" i="16" s="1"/>
  <c r="AG154" i="16" s="1"/>
  <c r="AF154" i="16" s="1"/>
  <c r="AI329" i="16"/>
  <c r="AH329" i="16" s="1"/>
  <c r="AG329" i="16" s="1"/>
  <c r="AF329" i="16" s="1"/>
  <c r="AI147" i="16"/>
  <c r="AH147" i="16" s="1"/>
  <c r="AG147" i="16" s="1"/>
  <c r="AF147" i="16" s="1"/>
  <c r="AI236" i="16"/>
  <c r="AH236" i="16" s="1"/>
  <c r="AG236" i="16" s="1"/>
  <c r="AF236" i="16" s="1"/>
  <c r="AI157" i="16"/>
  <c r="AH157" i="16" s="1"/>
  <c r="AG157" i="16" s="1"/>
  <c r="AF157" i="16" s="1"/>
  <c r="AI79" i="16"/>
  <c r="AH79" i="16" s="1"/>
  <c r="AG79" i="16" s="1"/>
  <c r="AF79" i="16" s="1"/>
  <c r="AI238" i="16"/>
  <c r="AH238" i="16" s="1"/>
  <c r="AG238" i="16" s="1"/>
  <c r="AF238" i="16" s="1"/>
  <c r="AI129" i="16"/>
  <c r="AH129" i="16" s="1"/>
  <c r="AG129" i="16" s="1"/>
  <c r="AF129" i="16" s="1"/>
  <c r="AI64" i="16"/>
  <c r="AH64" i="16" s="1"/>
  <c r="AG64" i="16" s="1"/>
  <c r="AF64" i="16" s="1"/>
  <c r="AI320" i="16"/>
  <c r="AH320" i="16" s="1"/>
  <c r="AG320" i="16" s="1"/>
  <c r="AF320" i="16" s="1"/>
  <c r="AI327" i="16"/>
  <c r="AH327" i="16" s="1"/>
  <c r="AG327" i="16" s="1"/>
  <c r="AF327" i="16" s="1"/>
  <c r="AI50" i="16"/>
  <c r="AH50" i="16" s="1"/>
  <c r="AG50" i="16" s="1"/>
  <c r="AF50" i="16" s="1"/>
  <c r="AI306" i="16"/>
  <c r="AH306" i="16" s="1"/>
  <c r="AG306" i="16" s="1"/>
  <c r="AF306" i="16" s="1"/>
  <c r="AI363" i="16"/>
  <c r="AH363" i="16" s="1"/>
  <c r="AG363" i="16" s="1"/>
  <c r="AF363" i="16" s="1"/>
  <c r="AI132" i="16"/>
  <c r="AH132" i="16" s="1"/>
  <c r="AG132" i="16" s="1"/>
  <c r="AF132" i="16" s="1"/>
  <c r="AI365" i="16"/>
  <c r="AH365" i="16" s="1"/>
  <c r="AG365" i="16" s="1"/>
  <c r="AF365" i="16" s="1"/>
  <c r="AI191" i="16"/>
  <c r="AH191" i="16" s="1"/>
  <c r="AG191" i="16" s="1"/>
  <c r="AF191" i="16" s="1"/>
  <c r="AI118" i="16"/>
  <c r="AH118" i="16" s="1"/>
  <c r="AG118" i="16" s="1"/>
  <c r="AF118" i="16" s="1"/>
  <c r="AI374" i="16"/>
  <c r="AH374" i="16" s="1"/>
  <c r="AG374" i="16" s="1"/>
  <c r="AF374" i="16" s="1"/>
  <c r="AI227" i="16"/>
  <c r="AH227" i="16" s="1"/>
  <c r="AG227" i="16" s="1"/>
  <c r="AF227" i="16" s="1"/>
  <c r="AI200" i="16"/>
  <c r="AH200" i="16" s="1"/>
  <c r="AG200" i="16" s="1"/>
  <c r="AF200" i="16" s="1"/>
  <c r="AI229" i="16"/>
  <c r="AH229" i="16" s="1"/>
  <c r="AG229" i="16" s="1"/>
  <c r="AF229" i="16" s="1"/>
  <c r="AI151" i="16"/>
  <c r="AH151" i="16" s="1"/>
  <c r="AG151" i="16" s="1"/>
  <c r="AF151" i="16" s="1"/>
  <c r="AI202" i="16"/>
  <c r="AH202" i="16" s="1"/>
  <c r="AG202" i="16" s="1"/>
  <c r="AF202" i="16" s="1"/>
  <c r="AI233" i="16"/>
  <c r="AH233" i="16" s="1"/>
  <c r="AG233" i="16" s="1"/>
  <c r="AF233" i="16" s="1"/>
  <c r="AI28" i="16"/>
  <c r="AH28" i="16" s="1"/>
  <c r="AG28" i="16" s="1"/>
  <c r="AF28" i="16" s="1"/>
  <c r="AI284" i="16"/>
  <c r="AH284" i="16" s="1"/>
  <c r="AG284" i="16" s="1"/>
  <c r="AF284" i="16" s="1"/>
  <c r="AI61" i="16"/>
  <c r="AH61" i="16" s="1"/>
  <c r="AG61" i="16" s="1"/>
  <c r="AF61" i="16" s="1"/>
  <c r="AI373" i="16"/>
  <c r="AH373" i="16" s="1"/>
  <c r="AG373" i="16" s="1"/>
  <c r="AF373" i="16" s="1"/>
  <c r="P119" i="15"/>
  <c r="D35" i="7" s="1"/>
  <c r="AD194" i="1"/>
  <c r="AJ15" i="25"/>
  <c r="AJ24" i="25"/>
  <c r="AJ35" i="25"/>
  <c r="AJ31" i="25"/>
  <c r="AJ40" i="25"/>
  <c r="AJ50" i="25"/>
  <c r="AJ54" i="25"/>
  <c r="AJ63" i="25"/>
  <c r="AJ72" i="25"/>
  <c r="AJ78" i="25"/>
  <c r="AJ84" i="25"/>
  <c r="AJ22" i="25"/>
  <c r="AJ47" i="25"/>
  <c r="AJ65" i="25"/>
  <c r="AJ81" i="25"/>
  <c r="AJ95" i="25"/>
  <c r="AJ105" i="25"/>
  <c r="AJ114" i="25"/>
  <c r="AJ123" i="25"/>
  <c r="AJ127" i="25"/>
  <c r="AJ134" i="25"/>
  <c r="AJ142" i="25"/>
  <c r="AJ148" i="25"/>
  <c r="AJ162" i="25"/>
  <c r="AJ18" i="25"/>
  <c r="AJ61" i="25"/>
  <c r="AJ89" i="25"/>
  <c r="AJ107" i="25"/>
  <c r="AJ120" i="25"/>
  <c r="AJ137" i="25"/>
  <c r="AJ160" i="25"/>
  <c r="AJ169" i="25"/>
  <c r="AJ182" i="25"/>
  <c r="AJ190" i="25"/>
  <c r="AJ194" i="25"/>
  <c r="AJ200" i="25"/>
  <c r="AJ205" i="25"/>
  <c r="AJ212" i="25"/>
  <c r="AJ218" i="25"/>
  <c r="AJ222" i="25"/>
  <c r="AJ226" i="25"/>
  <c r="AJ236" i="25"/>
  <c r="AJ246" i="25"/>
  <c r="AJ254" i="25"/>
  <c r="AJ259" i="25"/>
  <c r="AJ266" i="25"/>
  <c r="AJ274" i="25"/>
  <c r="AJ279" i="25"/>
  <c r="AJ289" i="25"/>
  <c r="AJ296" i="25"/>
  <c r="AJ305" i="25"/>
  <c r="AJ311" i="25"/>
  <c r="AJ328" i="25"/>
  <c r="AJ335" i="25"/>
  <c r="AJ344" i="25"/>
  <c r="AJ352" i="25"/>
  <c r="AJ358" i="25"/>
  <c r="AJ98" i="25"/>
  <c r="AJ117" i="25"/>
  <c r="AJ64" i="25"/>
  <c r="AJ97" i="25"/>
  <c r="AJ121" i="25"/>
  <c r="AJ152" i="25"/>
  <c r="AJ176" i="25"/>
  <c r="AJ186" i="25"/>
  <c r="AJ138" i="25"/>
  <c r="AJ155" i="25"/>
  <c r="AJ175" i="25"/>
  <c r="AJ204" i="25"/>
  <c r="AJ217" i="25"/>
  <c r="AJ235" i="25"/>
  <c r="AJ249" i="25"/>
  <c r="AJ280" i="25"/>
  <c r="AJ295" i="25"/>
  <c r="AJ304" i="25"/>
  <c r="AJ317" i="25"/>
  <c r="AJ330" i="25"/>
  <c r="AJ234" i="25"/>
  <c r="AJ250" i="25"/>
  <c r="AJ264" i="25"/>
  <c r="AJ278" i="25"/>
  <c r="AJ293" i="25"/>
  <c r="AJ315" i="25"/>
  <c r="AJ325" i="25"/>
  <c r="AJ340" i="25"/>
  <c r="AJ355" i="25"/>
  <c r="AJ364" i="25"/>
  <c r="AJ345" i="25"/>
  <c r="AJ363" i="25"/>
  <c r="AJ371" i="25"/>
  <c r="AJ376" i="25"/>
  <c r="AJ379" i="25"/>
  <c r="AJ17" i="25"/>
  <c r="AJ27" i="25"/>
  <c r="AJ36" i="25"/>
  <c r="AJ25" i="25"/>
  <c r="AJ39" i="25"/>
  <c r="AJ49" i="25"/>
  <c r="AJ53" i="25"/>
  <c r="AJ59" i="25"/>
  <c r="AJ69" i="25"/>
  <c r="AJ77" i="25"/>
  <c r="AJ83" i="25"/>
  <c r="AJ19" i="25"/>
  <c r="AJ45" i="25"/>
  <c r="AJ58" i="25"/>
  <c r="AJ76" i="25"/>
  <c r="AJ94" i="25"/>
  <c r="AJ104" i="25"/>
  <c r="AJ112" i="25"/>
  <c r="AJ122" i="25"/>
  <c r="AJ126" i="25"/>
  <c r="AJ131" i="25"/>
  <c r="AJ141" i="25"/>
  <c r="AJ147" i="25"/>
  <c r="AJ161" i="25"/>
  <c r="AJ180" i="25"/>
  <c r="AJ46" i="25"/>
  <c r="AJ71" i="25"/>
  <c r="AJ92" i="25"/>
  <c r="AJ119" i="25"/>
  <c r="AJ136" i="25"/>
  <c r="AJ159" i="25"/>
  <c r="AJ167" i="25"/>
  <c r="AJ178" i="25"/>
  <c r="AJ188" i="25"/>
  <c r="AJ193" i="25"/>
  <c r="AJ199" i="25"/>
  <c r="AJ203" i="25"/>
  <c r="AJ211" i="25"/>
  <c r="AJ215" i="25"/>
  <c r="AJ221" i="25"/>
  <c r="AJ225" i="25"/>
  <c r="AJ233" i="25"/>
  <c r="AJ245" i="25"/>
  <c r="AJ253" i="25"/>
  <c r="AJ257" i="25"/>
  <c r="AJ265" i="25"/>
  <c r="AJ270" i="25"/>
  <c r="AJ277" i="25"/>
  <c r="AJ287" i="25"/>
  <c r="AJ294" i="25"/>
  <c r="AJ302" i="25"/>
  <c r="AJ308" i="25"/>
  <c r="AJ327" i="25"/>
  <c r="AJ334" i="25"/>
  <c r="AJ341" i="25"/>
  <c r="AJ351" i="25"/>
  <c r="AJ356" i="25"/>
  <c r="AJ86" i="25"/>
  <c r="AJ110" i="25"/>
  <c r="AJ30" i="25"/>
  <c r="AJ96" i="25"/>
  <c r="AJ109" i="25"/>
  <c r="AJ144" i="25"/>
  <c r="AJ170" i="25"/>
  <c r="AJ183" i="25"/>
  <c r="AJ208" i="25"/>
  <c r="AJ154" i="25"/>
  <c r="AJ172" i="25"/>
  <c r="AJ189" i="25"/>
  <c r="AJ216" i="25"/>
  <c r="AJ231" i="25"/>
  <c r="AJ244" i="25"/>
  <c r="AJ271" i="25"/>
  <c r="AJ288" i="25"/>
  <c r="AJ301" i="25"/>
  <c r="AJ316" i="25"/>
  <c r="AJ323" i="25"/>
  <c r="AJ229" i="25"/>
  <c r="AJ243" i="25"/>
  <c r="AJ263" i="25"/>
  <c r="AJ273" i="25"/>
  <c r="AJ292" i="25"/>
  <c r="AJ312" i="25"/>
  <c r="AJ324" i="25"/>
  <c r="AJ337" i="25"/>
  <c r="AJ348" i="25"/>
  <c r="AJ361" i="25"/>
  <c r="AJ370" i="25"/>
  <c r="AJ362" i="25"/>
  <c r="AJ369" i="25"/>
  <c r="AJ374" i="25"/>
  <c r="AJ378" i="25"/>
  <c r="F7" i="25"/>
  <c r="AJ21" i="25"/>
  <c r="AJ29" i="25"/>
  <c r="AJ37" i="25"/>
  <c r="BD13" i="7"/>
  <c r="AJ34" i="25"/>
  <c r="AJ44" i="25"/>
  <c r="AJ52" i="25"/>
  <c r="AJ57" i="25"/>
  <c r="AJ68" i="25"/>
  <c r="AJ74" i="25"/>
  <c r="AJ80" i="25"/>
  <c r="AJ16" i="25"/>
  <c r="AJ42" i="25"/>
  <c r="AJ56" i="25"/>
  <c r="AJ75" i="25"/>
  <c r="AJ87" i="25"/>
  <c r="AJ103" i="25"/>
  <c r="AJ111" i="25"/>
  <c r="AJ116" i="25"/>
  <c r="AJ125" i="25"/>
  <c r="AJ130" i="25"/>
  <c r="AJ140" i="25"/>
  <c r="AJ146" i="25"/>
  <c r="AJ157" i="25"/>
  <c r="AJ165" i="25"/>
  <c r="AJ41" i="25"/>
  <c r="AJ70" i="25"/>
  <c r="AJ91" i="25"/>
  <c r="AJ118" i="25"/>
  <c r="AJ133" i="25"/>
  <c r="AJ156" i="25"/>
  <c r="AJ166" i="25"/>
  <c r="AJ174" i="25"/>
  <c r="AJ187" i="25"/>
  <c r="AJ192" i="25"/>
  <c r="AJ197" i="25"/>
  <c r="AJ202" i="25"/>
  <c r="AJ210" i="25"/>
  <c r="AJ214" i="25"/>
  <c r="AJ220" i="25"/>
  <c r="AJ224" i="25"/>
  <c r="AJ232" i="25"/>
  <c r="AJ242" i="25"/>
  <c r="AJ248" i="25"/>
  <c r="AJ256" i="25"/>
  <c r="AJ262" i="25"/>
  <c r="AJ268" i="25"/>
  <c r="AJ276" i="25"/>
  <c r="AJ283" i="25"/>
  <c r="AJ291" i="25"/>
  <c r="AJ300" i="25"/>
  <c r="AJ307" i="25"/>
  <c r="AJ318" i="25"/>
  <c r="AJ332" i="25"/>
  <c r="AJ338" i="25"/>
  <c r="AJ349" i="25"/>
  <c r="AJ354" i="25"/>
  <c r="AJ60" i="25"/>
  <c r="AJ108" i="25"/>
  <c r="AJ20" i="25"/>
  <c r="AJ93" i="25"/>
  <c r="AJ101" i="25"/>
  <c r="AJ135" i="25"/>
  <c r="AJ158" i="25"/>
  <c r="AJ179" i="25"/>
  <c r="AJ198" i="25"/>
  <c r="AJ151" i="25"/>
  <c r="AJ171" i="25"/>
  <c r="AJ184" i="25"/>
  <c r="AJ207" i="25"/>
  <c r="AJ230" i="25"/>
  <c r="AJ238" i="25"/>
  <c r="AJ260" i="25"/>
  <c r="AJ285" i="25"/>
  <c r="AJ299" i="25"/>
  <c r="AJ313" i="25"/>
  <c r="AJ321" i="25"/>
  <c r="AJ339" i="25"/>
  <c r="AJ241" i="25"/>
  <c r="AJ258" i="25"/>
  <c r="AJ272" i="25"/>
  <c r="AJ286" i="25"/>
  <c r="AJ309" i="25"/>
  <c r="AJ322" i="25"/>
  <c r="AJ329" i="25"/>
  <c r="AJ343" i="25"/>
  <c r="AJ359" i="25"/>
  <c r="AJ368" i="25"/>
  <c r="AJ350" i="25"/>
  <c r="AJ367" i="25"/>
  <c r="AJ373" i="25"/>
  <c r="AJ377" i="25"/>
  <c r="AJ380" i="25"/>
  <c r="AJ23" i="25"/>
  <c r="AJ33" i="25"/>
  <c r="AJ38" i="25"/>
  <c r="AJ32" i="25"/>
  <c r="AJ43" i="25"/>
  <c r="AJ51" i="25"/>
  <c r="AJ55" i="25"/>
  <c r="AJ67" i="25"/>
  <c r="AJ73" i="25"/>
  <c r="AJ79" i="25"/>
  <c r="AJ85" i="25"/>
  <c r="AJ26" i="25"/>
  <c r="AJ48" i="25"/>
  <c r="AJ66" i="25"/>
  <c r="AJ82" i="25"/>
  <c r="AJ100" i="25"/>
  <c r="AJ106" i="25"/>
  <c r="AJ115" i="25"/>
  <c r="AJ124" i="25"/>
  <c r="AJ128" i="25"/>
  <c r="AJ139" i="25"/>
  <c r="AJ143" i="25"/>
  <c r="AJ150" i="25"/>
  <c r="AJ163" i="25"/>
  <c r="AJ28" i="25"/>
  <c r="AJ62" i="25"/>
  <c r="AJ90" i="25"/>
  <c r="AJ113" i="25"/>
  <c r="AJ129" i="25"/>
  <c r="AJ145" i="25"/>
  <c r="AJ164" i="25"/>
  <c r="AJ173" i="25"/>
  <c r="AJ185" i="25"/>
  <c r="AJ191" i="25"/>
  <c r="AJ196" i="25"/>
  <c r="AJ201" i="25"/>
  <c r="AJ209" i="25"/>
  <c r="AJ213" i="25"/>
  <c r="AJ219" i="25"/>
  <c r="AJ223" i="25"/>
  <c r="AJ227" i="25"/>
  <c r="AJ240" i="25"/>
  <c r="AJ247" i="25"/>
  <c r="AJ255" i="25"/>
  <c r="AJ261" i="25"/>
  <c r="AJ267" i="25"/>
  <c r="AJ275" i="25"/>
  <c r="AJ282" i="25"/>
  <c r="AJ290" i="25"/>
  <c r="AJ297" i="25"/>
  <c r="AJ306" i="25"/>
  <c r="AJ314" i="25"/>
  <c r="AJ331" i="25"/>
  <c r="AJ336" i="25"/>
  <c r="AJ347" i="25"/>
  <c r="AJ353" i="25"/>
  <c r="AJ360" i="25"/>
  <c r="AJ102" i="25"/>
  <c r="AJ88" i="25"/>
  <c r="AJ99" i="25"/>
  <c r="AJ132" i="25"/>
  <c r="AJ153" i="25"/>
  <c r="AJ177" i="25"/>
  <c r="AJ195" i="25"/>
  <c r="AJ149" i="25"/>
  <c r="AJ168" i="25"/>
  <c r="AJ181" i="25"/>
  <c r="AJ206" i="25"/>
  <c r="AJ228" i="25"/>
  <c r="AJ237" i="25"/>
  <c r="AJ252" i="25"/>
  <c r="AJ281" i="25"/>
  <c r="AJ298" i="25"/>
  <c r="AJ310" i="25"/>
  <c r="AJ319" i="25"/>
  <c r="AJ333" i="25"/>
  <c r="AJ239" i="25"/>
  <c r="AJ251" i="25"/>
  <c r="AJ269" i="25"/>
  <c r="AJ284" i="25"/>
  <c r="AJ303" i="25"/>
  <c r="AJ320" i="25"/>
  <c r="AJ326" i="25"/>
  <c r="AJ342" i="25"/>
  <c r="AJ357" i="25"/>
  <c r="AJ365" i="25"/>
  <c r="AJ346" i="25"/>
  <c r="AJ366" i="25"/>
  <c r="AJ372" i="25"/>
  <c r="AJ375" i="25"/>
  <c r="AC9" i="24"/>
  <c r="AC165" i="16"/>
  <c r="AC158" i="16"/>
  <c r="AC157" i="16"/>
  <c r="AC166" i="16"/>
  <c r="AC147" i="16"/>
  <c r="AC161" i="16"/>
  <c r="AC143" i="16"/>
  <c r="AC151" i="16"/>
  <c r="AC160" i="16"/>
  <c r="AC148" i="16"/>
  <c r="AC159" i="16"/>
  <c r="AC144" i="16"/>
  <c r="AC153" i="16"/>
  <c r="AC152" i="16"/>
  <c r="AC154" i="16"/>
  <c r="AC137" i="16"/>
  <c r="AC140" i="16"/>
  <c r="AC138" i="16"/>
  <c r="AC139" i="16"/>
  <c r="AC155" i="16"/>
  <c r="AC163" i="16"/>
  <c r="AC149" i="16"/>
  <c r="AC162" i="16"/>
  <c r="AC156" i="16"/>
  <c r="AC141" i="16"/>
  <c r="AC145" i="16"/>
  <c r="AC142" i="16"/>
  <c r="AC146" i="16"/>
  <c r="AC136" i="16"/>
  <c r="AC164" i="16"/>
  <c r="AC150" i="16"/>
  <c r="AU13" i="7"/>
  <c r="O12" i="24"/>
  <c r="AC187" i="16"/>
  <c r="AC188" i="16"/>
  <c r="AC212" i="16"/>
  <c r="AC246" i="16"/>
  <c r="AC268" i="16"/>
  <c r="AC300" i="16"/>
  <c r="AC341" i="16"/>
  <c r="AC239" i="16"/>
  <c r="AC317" i="16"/>
  <c r="AC277" i="16"/>
  <c r="AC321" i="16"/>
  <c r="AC373" i="16"/>
  <c r="AC380" i="16"/>
  <c r="AC167" i="16"/>
  <c r="AC215" i="16"/>
  <c r="AC269" i="16"/>
  <c r="AC342" i="16"/>
  <c r="AC245" i="16"/>
  <c r="AC281" i="16"/>
  <c r="AC374" i="16"/>
  <c r="AC191" i="16"/>
  <c r="AC249" i="16"/>
  <c r="AC310" i="16"/>
  <c r="AC328" i="16"/>
  <c r="AC329" i="16"/>
  <c r="AC172" i="16"/>
  <c r="AC192" i="16"/>
  <c r="AC221" i="16"/>
  <c r="AC250" i="16"/>
  <c r="AC275" i="16"/>
  <c r="AC315" i="16"/>
  <c r="AC345" i="16"/>
  <c r="AC196" i="16"/>
  <c r="AC255" i="16"/>
  <c r="AC226" i="16"/>
  <c r="AC290" i="16"/>
  <c r="AC331" i="16"/>
  <c r="AC378" i="16"/>
  <c r="AC177" i="16"/>
  <c r="AC228" i="16"/>
  <c r="AC284" i="16"/>
  <c r="AC356" i="16"/>
  <c r="AC210" i="16"/>
  <c r="AC303" i="16"/>
  <c r="AC299" i="16"/>
  <c r="AC361" i="16"/>
  <c r="AC200" i="16"/>
  <c r="AC261" i="16"/>
  <c r="AC333" i="16"/>
  <c r="AC220" i="16"/>
  <c r="AC252" i="16"/>
  <c r="AC355" i="16"/>
  <c r="AC179" i="16"/>
  <c r="AC199" i="16"/>
  <c r="AC229" i="16"/>
  <c r="AC260" i="16"/>
  <c r="AC285" i="16"/>
  <c r="AC332" i="16"/>
  <c r="AC357" i="16"/>
  <c r="AC214" i="16"/>
  <c r="AC216" i="16"/>
  <c r="AC306" i="16"/>
  <c r="AC244" i="16"/>
  <c r="AC302" i="16"/>
  <c r="AC353" i="16"/>
  <c r="AC362" i="16"/>
  <c r="AC193" i="16"/>
  <c r="AC251" i="16"/>
  <c r="AC318" i="16"/>
  <c r="AC201" i="16"/>
  <c r="AC234" i="16"/>
  <c r="AC335" i="16"/>
  <c r="AC175" i="16"/>
  <c r="AC225" i="16"/>
  <c r="AC279" i="16"/>
  <c r="AC351" i="16"/>
  <c r="AC202" i="16"/>
  <c r="AC289" i="16"/>
  <c r="AC296" i="16"/>
  <c r="AC352" i="16"/>
  <c r="AC174" i="16"/>
  <c r="AC194" i="16"/>
  <c r="AC224" i="16"/>
  <c r="AC256" i="16"/>
  <c r="AC278" i="16"/>
  <c r="AC324" i="16"/>
  <c r="AC348" i="16"/>
  <c r="AC171" i="16"/>
  <c r="AC205" i="16"/>
  <c r="AC280" i="16"/>
  <c r="AC235" i="16"/>
  <c r="AC295" i="16"/>
  <c r="AC336" i="16"/>
  <c r="AC349" i="16"/>
  <c r="AC183" i="16"/>
  <c r="AC178" i="16"/>
  <c r="AC237" i="16"/>
  <c r="AC291" i="16"/>
  <c r="AC365" i="16"/>
  <c r="AC312" i="16"/>
  <c r="AC308" i="16"/>
  <c r="AC371" i="16"/>
  <c r="AC211" i="16"/>
  <c r="AC267" i="16"/>
  <c r="AC340" i="16"/>
  <c r="AC233" i="16"/>
  <c r="AC274" i="16"/>
  <c r="AC370" i="16"/>
  <c r="AC176" i="16"/>
  <c r="AC197" i="16"/>
  <c r="AC227" i="16"/>
  <c r="AC258" i="16"/>
  <c r="AC283" i="16"/>
  <c r="AC326" i="16"/>
  <c r="AC354" i="16"/>
  <c r="AC204" i="16"/>
  <c r="AC208" i="16"/>
  <c r="AC294" i="16"/>
  <c r="AC241" i="16"/>
  <c r="AC297" i="16"/>
  <c r="AC346" i="16"/>
  <c r="AC359" i="16"/>
  <c r="AC189" i="16"/>
  <c r="AC247" i="16"/>
  <c r="AC301" i="16"/>
  <c r="AC319" i="16"/>
  <c r="AC322" i="16"/>
  <c r="AC169" i="16"/>
  <c r="AC219" i="16"/>
  <c r="AC273" i="16"/>
  <c r="AC344" i="16"/>
  <c r="AC254" i="16"/>
  <c r="AC286" i="16"/>
  <c r="AC377" i="16"/>
  <c r="AC182" i="16"/>
  <c r="AC203" i="16"/>
  <c r="AC236" i="16"/>
  <c r="AC262" i="16"/>
  <c r="AC288" i="16"/>
  <c r="AC334" i="16"/>
  <c r="AC364" i="16"/>
  <c r="AC222" i="16"/>
  <c r="AC311" i="16"/>
  <c r="AC263" i="16"/>
  <c r="AC307" i="16"/>
  <c r="AC358" i="16"/>
  <c r="AC368" i="16"/>
  <c r="AC198" i="16"/>
  <c r="AC259" i="16"/>
  <c r="AC330" i="16"/>
  <c r="AC213" i="16"/>
  <c r="AC242" i="16"/>
  <c r="AC350" i="16"/>
  <c r="AC180" i="16"/>
  <c r="AC232" i="16"/>
  <c r="AC287" i="16"/>
  <c r="AC360" i="16"/>
  <c r="AC217" i="16"/>
  <c r="AC309" i="16"/>
  <c r="AC305" i="16"/>
  <c r="AC363" i="16"/>
  <c r="AC168" i="16"/>
  <c r="AC190" i="16"/>
  <c r="AC218" i="16"/>
  <c r="AC248" i="16"/>
  <c r="AC270" i="16"/>
  <c r="AC304" i="16"/>
  <c r="AC343" i="16"/>
  <c r="AC253" i="16"/>
  <c r="AC323" i="16"/>
  <c r="AC282" i="16"/>
  <c r="AC327" i="16"/>
  <c r="AC375" i="16"/>
  <c r="AC173" i="16"/>
  <c r="AC223" i="16"/>
  <c r="AC276" i="16"/>
  <c r="AC347" i="16"/>
  <c r="AC170" i="16"/>
  <c r="AC271" i="16"/>
  <c r="AC293" i="16"/>
  <c r="AC379" i="16"/>
  <c r="AC195" i="16"/>
  <c r="AC257" i="16"/>
  <c r="AC325" i="16"/>
  <c r="AC206" i="16"/>
  <c r="AC240" i="16"/>
  <c r="AC337" i="16"/>
  <c r="AC184" i="16"/>
  <c r="AC181" i="16"/>
  <c r="AC209" i="16"/>
  <c r="AC238" i="16"/>
  <c r="AC266" i="16"/>
  <c r="AC292" i="16"/>
  <c r="AC339" i="16"/>
  <c r="AC366" i="16"/>
  <c r="AC231" i="16"/>
  <c r="AC314" i="16"/>
  <c r="AC272" i="16"/>
  <c r="AC313" i="16"/>
  <c r="AC369" i="16"/>
  <c r="AC372" i="16"/>
  <c r="AC207" i="16"/>
  <c r="AC264" i="16"/>
  <c r="AC338" i="16"/>
  <c r="AC230" i="16"/>
  <c r="AC265" i="16"/>
  <c r="AC367" i="16"/>
  <c r="AC186" i="16"/>
  <c r="AC185" i="16"/>
  <c r="AC243" i="16"/>
  <c r="AC298" i="16"/>
  <c r="AC316" i="16"/>
  <c r="AC320" i="16"/>
  <c r="AC376" i="16"/>
  <c r="O30" i="17"/>
  <c r="E30" i="17" s="1"/>
  <c r="O45" i="17"/>
  <c r="E45" i="17" s="1"/>
  <c r="O53" i="17"/>
  <c r="E53" i="17" s="1"/>
  <c r="O73" i="17"/>
  <c r="E73" i="17" s="1"/>
  <c r="O82" i="17"/>
  <c r="E82" i="17" s="1"/>
  <c r="O86" i="17"/>
  <c r="E86" i="17" s="1"/>
  <c r="O22" i="17"/>
  <c r="E22" i="17" s="1"/>
  <c r="O50" i="17"/>
  <c r="E50" i="17" s="1"/>
  <c r="O98" i="17"/>
  <c r="E98" i="17" s="1"/>
  <c r="O113" i="17"/>
  <c r="E113" i="17" s="1"/>
  <c r="O31" i="17"/>
  <c r="E31" i="17" s="1"/>
  <c r="O60" i="17"/>
  <c r="O26" i="17"/>
  <c r="E26" i="17" s="1"/>
  <c r="O107" i="17"/>
  <c r="E107" i="17" s="1"/>
  <c r="O25" i="17"/>
  <c r="E25" i="17" s="1"/>
  <c r="O37" i="17"/>
  <c r="E37" i="17" s="1"/>
  <c r="O66" i="17"/>
  <c r="E66" i="17" s="1"/>
  <c r="O77" i="17"/>
  <c r="E77" i="17" s="1"/>
  <c r="O40" i="17"/>
  <c r="E40" i="17" s="1"/>
  <c r="O70" i="17"/>
  <c r="E70" i="17" s="1"/>
  <c r="O13" i="7"/>
  <c r="O21" i="17"/>
  <c r="E21" i="17" s="1"/>
  <c r="O29" i="17"/>
  <c r="O41" i="17"/>
  <c r="E41" i="17" s="1"/>
  <c r="O52" i="17"/>
  <c r="E52" i="17" s="1"/>
  <c r="O63" i="17"/>
  <c r="E63" i="17" s="1"/>
  <c r="O79" i="17"/>
  <c r="E79" i="17" s="1"/>
  <c r="O85" i="17"/>
  <c r="E85" i="17" s="1"/>
  <c r="O91" i="17"/>
  <c r="E91" i="17" s="1"/>
  <c r="O46" i="17"/>
  <c r="E46" i="17" s="1"/>
  <c r="O95" i="17"/>
  <c r="E95" i="17" s="1"/>
  <c r="O108" i="17"/>
  <c r="E108" i="17" s="1"/>
  <c r="O123" i="17"/>
  <c r="E123" i="17" s="1"/>
  <c r="O56" i="17"/>
  <c r="E56" i="17" s="1"/>
  <c r="O69" i="17"/>
  <c r="E69" i="17" s="1"/>
  <c r="O119" i="17"/>
  <c r="O49" i="17"/>
  <c r="E49" i="17" s="1"/>
  <c r="O117" i="17"/>
  <c r="E117" i="17" s="1"/>
  <c r="O43" i="17"/>
  <c r="E43" i="17" s="1"/>
  <c r="O42" i="17"/>
  <c r="E42" i="17" s="1"/>
  <c r="O67" i="17"/>
  <c r="E67" i="17" s="1"/>
  <c r="O92" i="17"/>
  <c r="E92" i="17" s="1"/>
  <c r="O51" i="17"/>
  <c r="E51" i="17" s="1"/>
  <c r="O72" i="17"/>
  <c r="E72" i="17" s="1"/>
  <c r="O99" i="17"/>
  <c r="E99" i="17" s="1"/>
  <c r="O102" i="17"/>
  <c r="E102" i="17" s="1"/>
  <c r="O109" i="17"/>
  <c r="E109" i="17" s="1"/>
  <c r="O122" i="17"/>
  <c r="E122" i="17" s="1"/>
  <c r="O61" i="17"/>
  <c r="E61" i="17" s="1"/>
  <c r="O97" i="17"/>
  <c r="E97" i="17" s="1"/>
  <c r="O59" i="17"/>
  <c r="E59" i="17" s="1"/>
  <c r="O116" i="17"/>
  <c r="E116" i="17" s="1"/>
  <c r="O19" i="17"/>
  <c r="E19" i="17" s="1"/>
  <c r="O81" i="17"/>
  <c r="E81" i="17" s="1"/>
  <c r="O111" i="17"/>
  <c r="E111" i="17" s="1"/>
  <c r="O15" i="16"/>
  <c r="O22" i="16"/>
  <c r="E22" i="16" s="1"/>
  <c r="O27" i="16"/>
  <c r="E27" i="16" s="1"/>
  <c r="O35" i="16"/>
  <c r="E35" i="16" s="1"/>
  <c r="O43" i="16"/>
  <c r="E43" i="16" s="1"/>
  <c r="O26" i="16"/>
  <c r="E26" i="16" s="1"/>
  <c r="O49" i="16"/>
  <c r="E49" i="16" s="1"/>
  <c r="O89" i="16"/>
  <c r="E89" i="16" s="1"/>
  <c r="O66" i="16"/>
  <c r="E66" i="16" s="1"/>
  <c r="O95" i="16"/>
  <c r="E95" i="16" s="1"/>
  <c r="O114" i="16"/>
  <c r="O123" i="16"/>
  <c r="E123" i="16" s="1"/>
  <c r="O131" i="16"/>
  <c r="E131" i="16" s="1"/>
  <c r="O136" i="16"/>
  <c r="E136" i="16" s="1"/>
  <c r="O147" i="16"/>
  <c r="E147" i="16" s="1"/>
  <c r="O161" i="16"/>
  <c r="O179" i="16"/>
  <c r="E179" i="16" s="1"/>
  <c r="O188" i="16"/>
  <c r="E188" i="16" s="1"/>
  <c r="O63" i="16"/>
  <c r="E63" i="16" s="1"/>
  <c r="O98" i="16"/>
  <c r="E98" i="16" s="1"/>
  <c r="O104" i="16"/>
  <c r="E104" i="16" s="1"/>
  <c r="O138" i="16"/>
  <c r="E138" i="16" s="1"/>
  <c r="O146" i="16"/>
  <c r="E146" i="16" s="1"/>
  <c r="O166" i="16"/>
  <c r="E166" i="16" s="1"/>
  <c r="O181" i="16"/>
  <c r="E181" i="16" s="1"/>
  <c r="O196" i="16"/>
  <c r="E196" i="16" s="1"/>
  <c r="O205" i="16"/>
  <c r="E205" i="16" s="1"/>
  <c r="O210" i="16"/>
  <c r="O231" i="16"/>
  <c r="E231" i="16" s="1"/>
  <c r="O240" i="16"/>
  <c r="E240" i="16" s="1"/>
  <c r="O246" i="16"/>
  <c r="E246" i="16" s="1"/>
  <c r="O254" i="16"/>
  <c r="E254" i="16" s="1"/>
  <c r="O268" i="16"/>
  <c r="E268" i="16" s="1"/>
  <c r="O281" i="16"/>
  <c r="E281" i="16" s="1"/>
  <c r="O295" i="16"/>
  <c r="E295" i="16" s="1"/>
  <c r="O306" i="16"/>
  <c r="E306" i="16" s="1"/>
  <c r="O322" i="16"/>
  <c r="E322" i="16" s="1"/>
  <c r="O336" i="16"/>
  <c r="E336" i="16" s="1"/>
  <c r="O345" i="16"/>
  <c r="E345" i="16" s="1"/>
  <c r="O364" i="16"/>
  <c r="E364" i="16" s="1"/>
  <c r="O79" i="16"/>
  <c r="E79" i="16" s="1"/>
  <c r="O115" i="16"/>
  <c r="E115" i="16" s="1"/>
  <c r="O39" i="16"/>
  <c r="E39" i="16" s="1"/>
  <c r="O112" i="16"/>
  <c r="E112" i="16" s="1"/>
  <c r="O171" i="16"/>
  <c r="E171" i="16" s="1"/>
  <c r="O195" i="16"/>
  <c r="E195" i="16" s="1"/>
  <c r="O211" i="16"/>
  <c r="E211" i="16" s="1"/>
  <c r="O218" i="16"/>
  <c r="E218" i="16" s="1"/>
  <c r="O148" i="16"/>
  <c r="E148" i="16" s="1"/>
  <c r="O169" i="16"/>
  <c r="E169" i="16" s="1"/>
  <c r="O193" i="16"/>
  <c r="E193" i="16" s="1"/>
  <c r="O204" i="16"/>
  <c r="O228" i="16"/>
  <c r="E228" i="16" s="1"/>
  <c r="O247" i="16"/>
  <c r="E247" i="16" s="1"/>
  <c r="O258" i="16"/>
  <c r="E258" i="16" s="1"/>
  <c r="O267" i="16"/>
  <c r="E267" i="16" s="1"/>
  <c r="O305" i="16"/>
  <c r="E305" i="16" s="1"/>
  <c r="O302" i="16"/>
  <c r="O356" i="16"/>
  <c r="E356" i="16" s="1"/>
  <c r="O374" i="16"/>
  <c r="E374" i="16" s="1"/>
  <c r="O358" i="16"/>
  <c r="E358" i="16" s="1"/>
  <c r="O380" i="16"/>
  <c r="E380" i="16" s="1"/>
  <c r="O34" i="16"/>
  <c r="E34" i="16" s="1"/>
  <c r="O59" i="16"/>
  <c r="O72" i="16"/>
  <c r="E72" i="16" s="1"/>
  <c r="O77" i="16"/>
  <c r="E77" i="16" s="1"/>
  <c r="O85" i="16"/>
  <c r="E85" i="16" s="1"/>
  <c r="O92" i="16"/>
  <c r="E92" i="16" s="1"/>
  <c r="O68" i="16"/>
  <c r="E68" i="16" s="1"/>
  <c r="O97" i="16"/>
  <c r="E97" i="16" s="1"/>
  <c r="O116" i="16"/>
  <c r="E116" i="16" s="1"/>
  <c r="O158" i="16"/>
  <c r="E158" i="16" s="1"/>
  <c r="O178" i="16"/>
  <c r="E178" i="16" s="1"/>
  <c r="O223" i="16"/>
  <c r="E223" i="16" s="1"/>
  <c r="O236" i="16"/>
  <c r="E236" i="16" s="1"/>
  <c r="O275" i="16"/>
  <c r="E275" i="16" s="1"/>
  <c r="O294" i="16"/>
  <c r="E294" i="16" s="1"/>
  <c r="O303" i="16"/>
  <c r="E303" i="16" s="1"/>
  <c r="O321" i="16"/>
  <c r="E321" i="16" s="1"/>
  <c r="O332" i="16"/>
  <c r="E332" i="16" s="1"/>
  <c r="O344" i="16"/>
  <c r="E344" i="16" s="1"/>
  <c r="O363" i="16"/>
  <c r="O304" i="16"/>
  <c r="E304" i="16" s="1"/>
  <c r="O221" i="16"/>
  <c r="E221" i="16" s="1"/>
  <c r="O253" i="16"/>
  <c r="E253" i="16" s="1"/>
  <c r="O276" i="16"/>
  <c r="E276" i="16" s="1"/>
  <c r="O287" i="16"/>
  <c r="O314" i="16"/>
  <c r="E314" i="16" s="1"/>
  <c r="O335" i="16"/>
  <c r="E335" i="16" s="1"/>
  <c r="O369" i="16"/>
  <c r="E369" i="16" s="1"/>
  <c r="O352" i="16"/>
  <c r="O372" i="16"/>
  <c r="E372" i="16" s="1"/>
  <c r="O21" i="16"/>
  <c r="E21" i="16" s="1"/>
  <c r="O25" i="16"/>
  <c r="E25" i="16" s="1"/>
  <c r="O33" i="16"/>
  <c r="E33" i="16" s="1"/>
  <c r="O42" i="16"/>
  <c r="E42" i="16" s="1"/>
  <c r="O16" i="16"/>
  <c r="E16" i="16" s="1"/>
  <c r="O47" i="16"/>
  <c r="E47" i="16" s="1"/>
  <c r="O60" i="16"/>
  <c r="O61" i="16"/>
  <c r="E61" i="16" s="1"/>
  <c r="O93" i="16"/>
  <c r="E93" i="16" s="1"/>
  <c r="O109" i="16"/>
  <c r="O122" i="16"/>
  <c r="E122" i="16" s="1"/>
  <c r="O126" i="16"/>
  <c r="E126" i="16" s="1"/>
  <c r="O135" i="16"/>
  <c r="E135" i="16" s="1"/>
  <c r="O145" i="16"/>
  <c r="E145" i="16" s="1"/>
  <c r="O157" i="16"/>
  <c r="E157" i="16" s="1"/>
  <c r="O177" i="16"/>
  <c r="E177" i="16" s="1"/>
  <c r="O185" i="16"/>
  <c r="E185" i="16" s="1"/>
  <c r="O58" i="16"/>
  <c r="E58" i="16" s="1"/>
  <c r="O71" i="16"/>
  <c r="E71" i="16" s="1"/>
  <c r="O103" i="16"/>
  <c r="E103" i="16" s="1"/>
  <c r="O130" i="16"/>
  <c r="E130" i="16" s="1"/>
  <c r="O144" i="16"/>
  <c r="E144" i="16" s="1"/>
  <c r="O163" i="16"/>
  <c r="E163" i="16" s="1"/>
  <c r="O184" i="16"/>
  <c r="E184" i="16" s="1"/>
  <c r="O199" i="16"/>
  <c r="E199" i="16" s="1"/>
  <c r="O207" i="16"/>
  <c r="E207" i="16" s="1"/>
  <c r="O216" i="16"/>
  <c r="E216" i="16" s="1"/>
  <c r="O233" i="16"/>
  <c r="E233" i="16" s="1"/>
  <c r="O242" i="16"/>
  <c r="E242" i="16" s="1"/>
  <c r="O249" i="16"/>
  <c r="E249" i="16" s="1"/>
  <c r="O255" i="16"/>
  <c r="E255" i="16" s="1"/>
  <c r="O269" i="16"/>
  <c r="E269" i="16" s="1"/>
  <c r="O283" i="16"/>
  <c r="E283" i="16" s="1"/>
  <c r="O297" i="16"/>
  <c r="E297" i="16" s="1"/>
  <c r="O301" i="16"/>
  <c r="O308" i="16"/>
  <c r="E308" i="16" s="1"/>
  <c r="O319" i="16"/>
  <c r="E319" i="16" s="1"/>
  <c r="O331" i="16"/>
  <c r="E331" i="16" s="1"/>
  <c r="O343" i="16"/>
  <c r="O353" i="16"/>
  <c r="E353" i="16" s="1"/>
  <c r="O73" i="16"/>
  <c r="O111" i="16"/>
  <c r="E111" i="16" s="1"/>
  <c r="O38" i="16"/>
  <c r="E38" i="16" s="1"/>
  <c r="O108" i="16"/>
  <c r="O168" i="16"/>
  <c r="E168" i="16" s="1"/>
  <c r="O192" i="16"/>
  <c r="E192" i="16" s="1"/>
  <c r="O206" i="16"/>
  <c r="E206" i="16" s="1"/>
  <c r="O215" i="16"/>
  <c r="E215" i="16" s="1"/>
  <c r="O140" i="16"/>
  <c r="E140" i="16" s="1"/>
  <c r="O159" i="16"/>
  <c r="E159" i="16" s="1"/>
  <c r="O172" i="16"/>
  <c r="E172" i="16" s="1"/>
  <c r="O191" i="16"/>
  <c r="E191" i="16" s="1"/>
  <c r="O201" i="16"/>
  <c r="E201" i="16" s="1"/>
  <c r="O225" i="16"/>
  <c r="O243" i="16"/>
  <c r="E243" i="16" s="1"/>
  <c r="O251" i="16"/>
  <c r="E251" i="16" s="1"/>
  <c r="O259" i="16"/>
  <c r="E259" i="16" s="1"/>
  <c r="O271" i="16"/>
  <c r="E271" i="16" s="1"/>
  <c r="O317" i="16"/>
  <c r="E317" i="16" s="1"/>
  <c r="O326" i="16"/>
  <c r="E326" i="16" s="1"/>
  <c r="O360" i="16"/>
  <c r="E360" i="16" s="1"/>
  <c r="O377" i="16"/>
  <c r="E377" i="16" s="1"/>
  <c r="O366" i="16"/>
  <c r="E366" i="16" s="1"/>
  <c r="O17" i="16"/>
  <c r="E17" i="16" s="1"/>
  <c r="O48" i="16"/>
  <c r="E48" i="16" s="1"/>
  <c r="O67" i="16"/>
  <c r="E67" i="16" s="1"/>
  <c r="O74" i="16"/>
  <c r="E74" i="16" s="1"/>
  <c r="O78" i="16"/>
  <c r="E78" i="16" s="1"/>
  <c r="O86" i="16"/>
  <c r="E86" i="16" s="1"/>
  <c r="O46" i="16"/>
  <c r="E46" i="16" s="1"/>
  <c r="O82" i="16"/>
  <c r="E82" i="16" s="1"/>
  <c r="O105" i="16"/>
  <c r="E105" i="16" s="1"/>
  <c r="O119" i="16"/>
  <c r="O162" i="16"/>
  <c r="E162" i="16" s="1"/>
  <c r="O180" i="16"/>
  <c r="O229" i="16"/>
  <c r="E229" i="16" s="1"/>
  <c r="O239" i="16"/>
  <c r="E239" i="16" s="1"/>
  <c r="O282" i="16"/>
  <c r="E282" i="16" s="1"/>
  <c r="O296" i="16"/>
  <c r="E296" i="16" s="1"/>
  <c r="O307" i="16"/>
  <c r="E307" i="16" s="1"/>
  <c r="O323" i="16"/>
  <c r="E323" i="16" s="1"/>
  <c r="O337" i="16"/>
  <c r="E337" i="16" s="1"/>
  <c r="O346" i="16"/>
  <c r="O270" i="16"/>
  <c r="E270" i="16" s="1"/>
  <c r="O315" i="16"/>
  <c r="E315" i="16" s="1"/>
  <c r="O226" i="16"/>
  <c r="E226" i="16" s="1"/>
  <c r="O261" i="16"/>
  <c r="E261" i="16" s="1"/>
  <c r="O280" i="16"/>
  <c r="E280" i="16" s="1"/>
  <c r="O293" i="16"/>
  <c r="E293" i="16" s="1"/>
  <c r="O316" i="16"/>
  <c r="E316" i="16" s="1"/>
  <c r="O355" i="16"/>
  <c r="E355" i="16" s="1"/>
  <c r="O373" i="16"/>
  <c r="E373" i="16" s="1"/>
  <c r="O357" i="16"/>
  <c r="E357" i="16" s="1"/>
  <c r="O379" i="16"/>
  <c r="O15" i="17"/>
  <c r="O39" i="17"/>
  <c r="E39" i="17" s="1"/>
  <c r="O38" i="17"/>
  <c r="E38" i="17" s="1"/>
  <c r="O62" i="17"/>
  <c r="E62" i="17" s="1"/>
  <c r="O75" i="17"/>
  <c r="E75" i="17" s="1"/>
  <c r="O84" i="17"/>
  <c r="E84" i="17" s="1"/>
  <c r="O90" i="17"/>
  <c r="E90" i="17" s="1"/>
  <c r="O32" i="17"/>
  <c r="E32" i="17" s="1"/>
  <c r="O93" i="17"/>
  <c r="E93" i="17" s="1"/>
  <c r="O103" i="17"/>
  <c r="E103" i="17" s="1"/>
  <c r="O120" i="17"/>
  <c r="E120" i="17" s="1"/>
  <c r="O48" i="17"/>
  <c r="E48" i="17" s="1"/>
  <c r="O110" i="17"/>
  <c r="E110" i="17" s="1"/>
  <c r="O65" i="17"/>
  <c r="E65" i="17" s="1"/>
  <c r="O17" i="17"/>
  <c r="E17" i="17" s="1"/>
  <c r="O20" i="17"/>
  <c r="E20" i="17" s="1"/>
  <c r="O44" i="17"/>
  <c r="E44" i="17" s="1"/>
  <c r="O71" i="17"/>
  <c r="E71" i="17" s="1"/>
  <c r="O23" i="17"/>
  <c r="E23" i="17" s="1"/>
  <c r="O58" i="17"/>
  <c r="E58" i="17" s="1"/>
  <c r="O88" i="17"/>
  <c r="O16" i="17"/>
  <c r="E16" i="17" s="1"/>
  <c r="O24" i="17"/>
  <c r="E24" i="17" s="1"/>
  <c r="O36" i="17"/>
  <c r="E36" i="17" s="1"/>
  <c r="O34" i="17"/>
  <c r="E34" i="17" s="1"/>
  <c r="O55" i="17"/>
  <c r="E55" i="17" s="1"/>
  <c r="O74" i="17"/>
  <c r="E74" i="17" s="1"/>
  <c r="O83" i="17"/>
  <c r="E83" i="17" s="1"/>
  <c r="O89" i="17"/>
  <c r="E89" i="17" s="1"/>
  <c r="O27" i="17"/>
  <c r="E27" i="17" s="1"/>
  <c r="O78" i="17"/>
  <c r="E78" i="17" s="1"/>
  <c r="O101" i="17"/>
  <c r="E101" i="17" s="1"/>
  <c r="O115" i="17"/>
  <c r="E115" i="17" s="1"/>
  <c r="O35" i="17"/>
  <c r="E35" i="17" s="1"/>
  <c r="O64" i="17"/>
  <c r="E64" i="17" s="1"/>
  <c r="O94" i="17"/>
  <c r="E94" i="17" s="1"/>
  <c r="O112" i="17"/>
  <c r="E112" i="17" s="1"/>
  <c r="O104" i="17"/>
  <c r="E104" i="17" s="1"/>
  <c r="O18" i="17"/>
  <c r="E18" i="17" s="1"/>
  <c r="O33" i="17"/>
  <c r="E33" i="17" s="1"/>
  <c r="O54" i="17"/>
  <c r="E54" i="17" s="1"/>
  <c r="O76" i="17"/>
  <c r="E76" i="17" s="1"/>
  <c r="O28" i="17"/>
  <c r="E28" i="17" s="1"/>
  <c r="O68" i="17"/>
  <c r="E68" i="17" s="1"/>
  <c r="O96" i="17"/>
  <c r="E96" i="17" s="1"/>
  <c r="O100" i="17"/>
  <c r="E100" i="17" s="1"/>
  <c r="O105" i="17"/>
  <c r="E105" i="17" s="1"/>
  <c r="O114" i="17"/>
  <c r="E114" i="17" s="1"/>
  <c r="O57" i="17"/>
  <c r="E57" i="17" s="1"/>
  <c r="O80" i="17"/>
  <c r="E80" i="17" s="1"/>
  <c r="O118" i="17"/>
  <c r="E118" i="17" s="1"/>
  <c r="O87" i="17"/>
  <c r="E87" i="17" s="1"/>
  <c r="O121" i="17"/>
  <c r="E121" i="17" s="1"/>
  <c r="O47" i="17"/>
  <c r="E47" i="17" s="1"/>
  <c r="O106" i="17"/>
  <c r="E106" i="17" s="1"/>
  <c r="AC10" i="17"/>
  <c r="O20" i="16"/>
  <c r="E20" i="16" s="1"/>
  <c r="O24" i="16"/>
  <c r="E24" i="16" s="1"/>
  <c r="O30" i="16"/>
  <c r="E30" i="16" s="1"/>
  <c r="O41" i="16"/>
  <c r="E41" i="16" s="1"/>
  <c r="O45" i="16"/>
  <c r="E45" i="16" s="1"/>
  <c r="O32" i="16"/>
  <c r="E32" i="16" s="1"/>
  <c r="O56" i="16"/>
  <c r="E56" i="16" s="1"/>
  <c r="O55" i="16"/>
  <c r="E55" i="16" s="1"/>
  <c r="O90" i="16"/>
  <c r="O106" i="16"/>
  <c r="E106" i="16" s="1"/>
  <c r="O120" i="16"/>
  <c r="E120" i="16" s="1"/>
  <c r="O125" i="16"/>
  <c r="E125" i="16" s="1"/>
  <c r="O133" i="16"/>
  <c r="E133" i="16" s="1"/>
  <c r="O143" i="16"/>
  <c r="E143" i="16" s="1"/>
  <c r="O153" i="16"/>
  <c r="E153" i="16" s="1"/>
  <c r="O170" i="16"/>
  <c r="E170" i="16" s="1"/>
  <c r="O183" i="16"/>
  <c r="E183" i="16" s="1"/>
  <c r="O52" i="16"/>
  <c r="E52" i="16" s="1"/>
  <c r="O65" i="16"/>
  <c r="E65" i="16" s="1"/>
  <c r="O101" i="16"/>
  <c r="E101" i="16" s="1"/>
  <c r="O127" i="16"/>
  <c r="E127" i="16" s="1"/>
  <c r="O142" i="16"/>
  <c r="E142" i="16" s="1"/>
  <c r="O155" i="16"/>
  <c r="E155" i="16" s="1"/>
  <c r="O173" i="16"/>
  <c r="E173" i="16" s="1"/>
  <c r="O186" i="16"/>
  <c r="E186" i="16" s="1"/>
  <c r="O202" i="16"/>
  <c r="E202" i="16" s="1"/>
  <c r="O208" i="16"/>
  <c r="E208" i="16" s="1"/>
  <c r="O220" i="16"/>
  <c r="E220" i="16" s="1"/>
  <c r="O235" i="16"/>
  <c r="E235" i="16" s="1"/>
  <c r="O244" i="16"/>
  <c r="E244" i="16" s="1"/>
  <c r="O250" i="16"/>
  <c r="E250" i="16" s="1"/>
  <c r="O262" i="16"/>
  <c r="E262" i="16" s="1"/>
  <c r="O272" i="16"/>
  <c r="O288" i="16"/>
  <c r="E288" i="16" s="1"/>
  <c r="O299" i="16"/>
  <c r="E299" i="16" s="1"/>
  <c r="O311" i="16"/>
  <c r="E311" i="16" s="1"/>
  <c r="O327" i="16"/>
  <c r="E327" i="16" s="1"/>
  <c r="O341" i="16"/>
  <c r="E341" i="16" s="1"/>
  <c r="O350" i="16"/>
  <c r="E350" i="16" s="1"/>
  <c r="O36" i="16"/>
  <c r="E36" i="16" s="1"/>
  <c r="O110" i="16"/>
  <c r="E110" i="16" s="1"/>
  <c r="O128" i="16"/>
  <c r="E128" i="16" s="1"/>
  <c r="O102" i="16"/>
  <c r="E102" i="16" s="1"/>
  <c r="O160" i="16"/>
  <c r="E160" i="16" s="1"/>
  <c r="O190" i="16"/>
  <c r="E190" i="16" s="1"/>
  <c r="O200" i="16"/>
  <c r="E200" i="16" s="1"/>
  <c r="O214" i="16"/>
  <c r="E214" i="16" s="1"/>
  <c r="O137" i="16"/>
  <c r="O152" i="16"/>
  <c r="E152" i="16" s="1"/>
  <c r="O175" i="16"/>
  <c r="E175" i="16" s="1"/>
  <c r="O198" i="16"/>
  <c r="E198" i="16" s="1"/>
  <c r="O222" i="16"/>
  <c r="E222" i="16" s="1"/>
  <c r="O237" i="16"/>
  <c r="E237" i="16" s="1"/>
  <c r="O256" i="16"/>
  <c r="E256" i="16" s="1"/>
  <c r="O260" i="16"/>
  <c r="E260" i="16" s="1"/>
  <c r="O278" i="16"/>
  <c r="E278" i="16" s="1"/>
  <c r="O333" i="16"/>
  <c r="O330" i="16"/>
  <c r="E330" i="16" s="1"/>
  <c r="O367" i="16"/>
  <c r="E367" i="16" s="1"/>
  <c r="O349" i="16"/>
  <c r="O370" i="16"/>
  <c r="E370" i="16" s="1"/>
  <c r="O18" i="16"/>
  <c r="E18" i="16" s="1"/>
  <c r="O50" i="16"/>
  <c r="E50" i="16" s="1"/>
  <c r="O69" i="16"/>
  <c r="E69" i="16" s="1"/>
  <c r="O75" i="16"/>
  <c r="E75" i="16" s="1"/>
  <c r="O80" i="16"/>
  <c r="E80" i="16" s="1"/>
  <c r="O87" i="16"/>
  <c r="E87" i="16" s="1"/>
  <c r="O57" i="16"/>
  <c r="E57" i="16" s="1"/>
  <c r="O91" i="16"/>
  <c r="E91" i="16" s="1"/>
  <c r="O107" i="16"/>
  <c r="E107" i="16" s="1"/>
  <c r="O151" i="16"/>
  <c r="E151" i="16" s="1"/>
  <c r="O165" i="16"/>
  <c r="E165" i="16" s="1"/>
  <c r="O213" i="16"/>
  <c r="E213" i="16" s="1"/>
  <c r="O232" i="16"/>
  <c r="E232" i="16" s="1"/>
  <c r="O241" i="16"/>
  <c r="O284" i="16"/>
  <c r="E284" i="16" s="1"/>
  <c r="O298" i="16"/>
  <c r="E298" i="16" s="1"/>
  <c r="O309" i="16"/>
  <c r="E309" i="16" s="1"/>
  <c r="O325" i="16"/>
  <c r="E325" i="16" s="1"/>
  <c r="O339" i="16"/>
  <c r="O348" i="16"/>
  <c r="E348" i="16" s="1"/>
  <c r="O277" i="16"/>
  <c r="E277" i="16" s="1"/>
  <c r="O318" i="16"/>
  <c r="E318" i="16" s="1"/>
  <c r="O227" i="16"/>
  <c r="E227" i="16" s="1"/>
  <c r="O265" i="16"/>
  <c r="E265" i="16" s="1"/>
  <c r="O285" i="16"/>
  <c r="E285" i="16" s="1"/>
  <c r="O310" i="16"/>
  <c r="E310" i="16" s="1"/>
  <c r="O320" i="16"/>
  <c r="E320" i="16" s="1"/>
  <c r="O359" i="16"/>
  <c r="E359" i="16" s="1"/>
  <c r="O376" i="16"/>
  <c r="E376" i="16" s="1"/>
  <c r="O361" i="16"/>
  <c r="E361" i="16" s="1"/>
  <c r="O19" i="16"/>
  <c r="E19" i="16" s="1"/>
  <c r="O23" i="16"/>
  <c r="E23" i="16" s="1"/>
  <c r="O28" i="16"/>
  <c r="O40" i="16"/>
  <c r="E40" i="16" s="1"/>
  <c r="O44" i="16"/>
  <c r="E44" i="16" s="1"/>
  <c r="O29" i="16"/>
  <c r="O53" i="16"/>
  <c r="E53" i="16" s="1"/>
  <c r="O37" i="16"/>
  <c r="E37" i="16" s="1"/>
  <c r="O81" i="16"/>
  <c r="E81" i="16" s="1"/>
  <c r="O100" i="16"/>
  <c r="E100" i="16" s="1"/>
  <c r="O117" i="16"/>
  <c r="E117" i="16" s="1"/>
  <c r="O124" i="16"/>
  <c r="E124" i="16" s="1"/>
  <c r="O132" i="16"/>
  <c r="E132" i="16" s="1"/>
  <c r="O141" i="16"/>
  <c r="E141" i="16" s="1"/>
  <c r="O149" i="16"/>
  <c r="O164" i="16"/>
  <c r="E164" i="16" s="1"/>
  <c r="O182" i="16"/>
  <c r="E182" i="16" s="1"/>
  <c r="O51" i="16"/>
  <c r="E51" i="16" s="1"/>
  <c r="O64" i="16"/>
  <c r="E64" i="16" s="1"/>
  <c r="O99" i="16"/>
  <c r="E99" i="16" s="1"/>
  <c r="O121" i="16"/>
  <c r="E121" i="16" s="1"/>
  <c r="O139" i="16"/>
  <c r="E139" i="16" s="1"/>
  <c r="O154" i="16"/>
  <c r="E154" i="16" s="1"/>
  <c r="O167" i="16"/>
  <c r="E167" i="16" s="1"/>
  <c r="O174" i="16"/>
  <c r="E174" i="16" s="1"/>
  <c r="O187" i="16"/>
  <c r="E187" i="16" s="1"/>
  <c r="O203" i="16"/>
  <c r="E203" i="16" s="1"/>
  <c r="O209" i="16"/>
  <c r="E209" i="16" s="1"/>
  <c r="O224" i="16"/>
  <c r="O238" i="16"/>
  <c r="E238" i="16" s="1"/>
  <c r="O245" i="16"/>
  <c r="E245" i="16" s="1"/>
  <c r="O252" i="16"/>
  <c r="E252" i="16" s="1"/>
  <c r="O263" i="16"/>
  <c r="E263" i="16" s="1"/>
  <c r="O274" i="16"/>
  <c r="E274" i="16" s="1"/>
  <c r="O290" i="16"/>
  <c r="E290" i="16" s="1"/>
  <c r="O324" i="16"/>
  <c r="E324" i="16" s="1"/>
  <c r="O338" i="16"/>
  <c r="E338" i="16" s="1"/>
  <c r="O347" i="16"/>
  <c r="E347" i="16" s="1"/>
  <c r="O365" i="16"/>
  <c r="E365" i="16" s="1"/>
  <c r="O96" i="16"/>
  <c r="E96" i="16" s="1"/>
  <c r="O118" i="16"/>
  <c r="E118" i="16" s="1"/>
  <c r="O83" i="16"/>
  <c r="E83" i="16" s="1"/>
  <c r="O134" i="16"/>
  <c r="E134" i="16" s="1"/>
  <c r="O189" i="16"/>
  <c r="E189" i="16" s="1"/>
  <c r="O197" i="16"/>
  <c r="E197" i="16" s="1"/>
  <c r="O212" i="16"/>
  <c r="E212" i="16" s="1"/>
  <c r="O129" i="16"/>
  <c r="E129" i="16" s="1"/>
  <c r="O150" i="16"/>
  <c r="E150" i="16" s="1"/>
  <c r="O194" i="16"/>
  <c r="E194" i="16" s="1"/>
  <c r="O219" i="16"/>
  <c r="E219" i="16" s="1"/>
  <c r="O230" i="16"/>
  <c r="E230" i="16" s="1"/>
  <c r="O257" i="16"/>
  <c r="E257" i="16" s="1"/>
  <c r="O264" i="16"/>
  <c r="E264" i="16" s="1"/>
  <c r="O291" i="16"/>
  <c r="E291" i="16" s="1"/>
  <c r="O292" i="16"/>
  <c r="E292" i="16" s="1"/>
  <c r="O340" i="16"/>
  <c r="E340" i="16" s="1"/>
  <c r="O371" i="16"/>
  <c r="E371" i="16" s="1"/>
  <c r="O354" i="16"/>
  <c r="O375" i="16"/>
  <c r="E375" i="16" s="1"/>
  <c r="O31" i="16"/>
  <c r="E31" i="16" s="1"/>
  <c r="O54" i="16"/>
  <c r="E54" i="16" s="1"/>
  <c r="O70" i="16"/>
  <c r="E70" i="16" s="1"/>
  <c r="O76" i="16"/>
  <c r="E76" i="16" s="1"/>
  <c r="O84" i="16"/>
  <c r="E84" i="16" s="1"/>
  <c r="O88" i="16"/>
  <c r="O62" i="16"/>
  <c r="E62" i="16" s="1"/>
  <c r="O94" i="16"/>
  <c r="E94" i="16" s="1"/>
  <c r="O113" i="16"/>
  <c r="E113" i="16" s="1"/>
  <c r="O156" i="16"/>
  <c r="E156" i="16" s="1"/>
  <c r="O176" i="16"/>
  <c r="E176" i="16" s="1"/>
  <c r="O217" i="16"/>
  <c r="E217" i="16" s="1"/>
  <c r="O234" i="16"/>
  <c r="E234" i="16" s="1"/>
  <c r="O273" i="16"/>
  <c r="E273" i="16" s="1"/>
  <c r="O289" i="16"/>
  <c r="E289" i="16" s="1"/>
  <c r="O300" i="16"/>
  <c r="E300" i="16" s="1"/>
  <c r="O312" i="16"/>
  <c r="E312" i="16" s="1"/>
  <c r="O328" i="16"/>
  <c r="O342" i="16"/>
  <c r="E342" i="16" s="1"/>
  <c r="O351" i="16"/>
  <c r="E351" i="16" s="1"/>
  <c r="O279" i="16"/>
  <c r="E279" i="16" s="1"/>
  <c r="O334" i="16"/>
  <c r="E334" i="16" s="1"/>
  <c r="O248" i="16"/>
  <c r="E248" i="16" s="1"/>
  <c r="O266" i="16"/>
  <c r="E266" i="16" s="1"/>
  <c r="O286" i="16"/>
  <c r="E286" i="16" s="1"/>
  <c r="O313" i="16"/>
  <c r="E313" i="16" s="1"/>
  <c r="O329" i="16"/>
  <c r="E329" i="16" s="1"/>
  <c r="O362" i="16"/>
  <c r="E362" i="16" s="1"/>
  <c r="O378" i="16"/>
  <c r="E378" i="16" s="1"/>
  <c r="O368" i="16"/>
  <c r="E368" i="16" s="1"/>
  <c r="AC16" i="17"/>
  <c r="AC27" i="17"/>
  <c r="AC36" i="17"/>
  <c r="AC54" i="17"/>
  <c r="AC81" i="17"/>
  <c r="AC85" i="17"/>
  <c r="AC121" i="17"/>
  <c r="AC79" i="17"/>
  <c r="AC33" i="17"/>
  <c r="AC49" i="17"/>
  <c r="AC73" i="17"/>
  <c r="AC55" i="17"/>
  <c r="AC104" i="17"/>
  <c r="AC45" i="17"/>
  <c r="AC123" i="17"/>
  <c r="AC32" i="17"/>
  <c r="AC40" i="17"/>
  <c r="AC67" i="17"/>
  <c r="AC69" i="17"/>
  <c r="AC23" i="17"/>
  <c r="AC58" i="17"/>
  <c r="AC41" i="17"/>
  <c r="AC96" i="17"/>
  <c r="AC62" i="17"/>
  <c r="AC18" i="17"/>
  <c r="AC38" i="17"/>
  <c r="AC51" i="17"/>
  <c r="AC86" i="17"/>
  <c r="AC77" i="17"/>
  <c r="AC111" i="17"/>
  <c r="AC90" i="17"/>
  <c r="AC65" i="17"/>
  <c r="AC37" i="17"/>
  <c r="AC47" i="17"/>
  <c r="AC78" i="17"/>
  <c r="AC82" i="17"/>
  <c r="AC112" i="17"/>
  <c r="AC53" i="17"/>
  <c r="AC15" i="17"/>
  <c r="AC35" i="17"/>
  <c r="AC50" i="17"/>
  <c r="AC80" i="17"/>
  <c r="AC75" i="17"/>
  <c r="AC107" i="17"/>
  <c r="AC71" i="17"/>
  <c r="AC30" i="17"/>
  <c r="AC109" i="17"/>
  <c r="AC100" i="17"/>
  <c r="AC113" i="17"/>
  <c r="AC31" i="17"/>
  <c r="AC39" i="17"/>
  <c r="AC68" i="17"/>
  <c r="AC48" i="17"/>
  <c r="AC103" i="17"/>
  <c r="AC29" i="17"/>
  <c r="AC108" i="17"/>
  <c r="AC66" i="17"/>
  <c r="AC57" i="17"/>
  <c r="AC110" i="17"/>
  <c r="AC76" i="17"/>
  <c r="AC20" i="17"/>
  <c r="AC46" i="17"/>
  <c r="AC60" i="17"/>
  <c r="AC89" i="17"/>
  <c r="AC92" i="17"/>
  <c r="AC118" i="17"/>
  <c r="AC74" i="17"/>
  <c r="AC102" i="17"/>
  <c r="AC21" i="17"/>
  <c r="AC56" i="17"/>
  <c r="AC88" i="17"/>
  <c r="AC34" i="17"/>
  <c r="AC43" i="17"/>
  <c r="AC70" i="17"/>
  <c r="AC72" i="17"/>
  <c r="AC116" i="17"/>
  <c r="AC99" i="17"/>
  <c r="AC28" i="17"/>
  <c r="AC24" i="17"/>
  <c r="AC64" i="17"/>
  <c r="AC42" i="17"/>
  <c r="AC97" i="17"/>
  <c r="AC120" i="17"/>
  <c r="AC101" i="17"/>
  <c r="AC17" i="17"/>
  <c r="AC25" i="17"/>
  <c r="AC61" i="17"/>
  <c r="AC52" i="17"/>
  <c r="AC91" i="17"/>
  <c r="AC122" i="17"/>
  <c r="AC105" i="17"/>
  <c r="AC26" i="17"/>
  <c r="AC22" i="17"/>
  <c r="AC63" i="17"/>
  <c r="AC93" i="17"/>
  <c r="AC94" i="17"/>
  <c r="AC119" i="17"/>
  <c r="AC98" i="17"/>
  <c r="AC114" i="17"/>
  <c r="AC117" i="17"/>
  <c r="AC95" i="17"/>
  <c r="AC19" i="17"/>
  <c r="AC44" i="17"/>
  <c r="AC59" i="17"/>
  <c r="AC87" i="17"/>
  <c r="AC84" i="17"/>
  <c r="AC115" i="17"/>
  <c r="AC106" i="17"/>
  <c r="AC83" i="17"/>
  <c r="AT12" i="6"/>
  <c r="O11" i="24"/>
  <c r="AT13" i="7"/>
  <c r="BH347" i="6"/>
  <c r="BH153" i="6"/>
  <c r="BH190" i="6"/>
  <c r="P190" i="15" s="1"/>
  <c r="V190" i="15" s="1"/>
  <c r="F190" i="15" s="1"/>
  <c r="BH61" i="6"/>
  <c r="P97" i="15"/>
  <c r="V97" i="15" s="1"/>
  <c r="F97" i="15" s="1"/>
  <c r="U12" i="17"/>
  <c r="P30" i="15"/>
  <c r="V30" i="15" s="1"/>
  <c r="F30" i="15" s="1"/>
  <c r="H30" i="15" s="1"/>
  <c r="AD316" i="1"/>
  <c r="P318" i="1"/>
  <c r="V318" i="1" s="1"/>
  <c r="F318" i="1" s="1"/>
  <c r="AD179" i="15"/>
  <c r="P250" i="15"/>
  <c r="V250" i="15" s="1"/>
  <c r="F250" i="15" s="1"/>
  <c r="G250" i="15" s="1"/>
  <c r="BX250" i="6" s="1"/>
  <c r="AD326" i="15"/>
  <c r="P326" i="1"/>
  <c r="V326" i="1" s="1"/>
  <c r="F326" i="1" s="1"/>
  <c r="P236" i="15"/>
  <c r="V236" i="15" s="1"/>
  <c r="F236" i="15" s="1"/>
  <c r="H236" i="15" s="1"/>
  <c r="AD236" i="15"/>
  <c r="AD305" i="15"/>
  <c r="AD220" i="15"/>
  <c r="P20" i="15"/>
  <c r="V20" i="15" s="1"/>
  <c r="F20" i="15" s="1"/>
  <c r="G20" i="15" s="1"/>
  <c r="BX20" i="6" s="1"/>
  <c r="P224" i="15"/>
  <c r="V224" i="15" s="1"/>
  <c r="F224" i="15" s="1"/>
  <c r="G224" i="15" s="1"/>
  <c r="BX224" i="6" s="1"/>
  <c r="P141" i="15"/>
  <c r="V141" i="15" s="1"/>
  <c r="F141" i="15" s="1"/>
  <c r="H141" i="15" s="1"/>
  <c r="AD326" i="1"/>
  <c r="P316" i="1"/>
  <c r="V316" i="1" s="1"/>
  <c r="F316" i="1" s="1"/>
  <c r="P372" i="15"/>
  <c r="V372" i="15" s="1"/>
  <c r="F372" i="15" s="1"/>
  <c r="P231" i="15"/>
  <c r="V231" i="15" s="1"/>
  <c r="F231" i="15" s="1"/>
  <c r="P343" i="15"/>
  <c r="V343" i="15" s="1"/>
  <c r="F343" i="15" s="1"/>
  <c r="AD343" i="15"/>
  <c r="P59" i="1"/>
  <c r="V59" i="1" s="1"/>
  <c r="AD350" i="15"/>
  <c r="AD99" i="15"/>
  <c r="AD374" i="15"/>
  <c r="P168" i="15"/>
  <c r="V168" i="15" s="1"/>
  <c r="F168" i="15" s="1"/>
  <c r="G168" i="15" s="1"/>
  <c r="BX168" i="6" s="1"/>
  <c r="AD260" i="1"/>
  <c r="AD240" i="15"/>
  <c r="P209" i="1"/>
  <c r="V209" i="1" s="1"/>
  <c r="P58" i="1"/>
  <c r="V58" i="1" s="1"/>
  <c r="P49" i="15"/>
  <c r="V49" i="15" s="1"/>
  <c r="F49" i="15" s="1"/>
  <c r="H49" i="15" s="1"/>
  <c r="P185" i="1"/>
  <c r="V185" i="1" s="1"/>
  <c r="P102" i="15"/>
  <c r="V102" i="15" s="1"/>
  <c r="F102" i="15" s="1"/>
  <c r="P343" i="1"/>
  <c r="V343" i="1" s="1"/>
  <c r="F343" i="1" s="1"/>
  <c r="P312" i="15"/>
  <c r="V312" i="15" s="1"/>
  <c r="F312" i="15" s="1"/>
  <c r="G312" i="15" s="1"/>
  <c r="BX312" i="6" s="1"/>
  <c r="AD272" i="15"/>
  <c r="BH262" i="6"/>
  <c r="P262" i="1" s="1"/>
  <c r="V262" i="1" s="1"/>
  <c r="BH154" i="6"/>
  <c r="P154" i="1" s="1"/>
  <c r="V154" i="1" s="1"/>
  <c r="BH181" i="6"/>
  <c r="AD181" i="1" s="1"/>
  <c r="BH244" i="6"/>
  <c r="P244" i="1" s="1"/>
  <c r="V244" i="1" s="1"/>
  <c r="BH68" i="6"/>
  <c r="P68" i="1" s="1"/>
  <c r="V68" i="1" s="1"/>
  <c r="BH361" i="6"/>
  <c r="P361" i="1" s="1"/>
  <c r="BH215" i="6"/>
  <c r="BH116" i="6"/>
  <c r="AD104" i="1"/>
  <c r="P272" i="1"/>
  <c r="V272" i="1" s="1"/>
  <c r="AD299" i="1"/>
  <c r="AD97" i="15"/>
  <c r="AD323" i="15"/>
  <c r="P90" i="1"/>
  <c r="V90" i="1" s="1"/>
  <c r="P77" i="15"/>
  <c r="V77" i="15" s="1"/>
  <c r="F77" i="15" s="1"/>
  <c r="G77" i="15" s="1"/>
  <c r="BX77" i="6" s="1"/>
  <c r="BH307" i="6"/>
  <c r="BH317" i="6"/>
  <c r="P317" i="15" s="1"/>
  <c r="V317" i="15" s="1"/>
  <c r="F317" i="15" s="1"/>
  <c r="G317" i="15" s="1"/>
  <c r="BX317" i="6" s="1"/>
  <c r="BH358" i="6"/>
  <c r="AD358" i="15" s="1"/>
  <c r="BH91" i="6"/>
  <c r="P91" i="1" s="1"/>
  <c r="V91" i="1" s="1"/>
  <c r="BH117" i="6"/>
  <c r="BH121" i="6"/>
  <c r="AD121" i="1" s="1"/>
  <c r="BH98" i="6"/>
  <c r="BH138" i="6"/>
  <c r="P138" i="1" s="1"/>
  <c r="V138" i="1" s="1"/>
  <c r="BH127" i="6"/>
  <c r="BH251" i="6"/>
  <c r="AD251" i="1" s="1"/>
  <c r="BH206" i="6"/>
  <c r="P206" i="15" s="1"/>
  <c r="V206" i="15" s="1"/>
  <c r="F206" i="15" s="1"/>
  <c r="G206" i="15" s="1"/>
  <c r="BX206" i="6" s="1"/>
  <c r="BH53" i="6"/>
  <c r="AD53" i="1" s="1"/>
  <c r="BH80" i="6"/>
  <c r="AD80" i="15" s="1"/>
  <c r="BH118" i="6"/>
  <c r="P118" i="1" s="1"/>
  <c r="V118" i="1" s="1"/>
  <c r="BH60" i="6"/>
  <c r="BH360" i="6"/>
  <c r="P360" i="1" s="1"/>
  <c r="V360" i="1" s="1"/>
  <c r="F360" i="1" s="1"/>
  <c r="BH188" i="6"/>
  <c r="BH159" i="6"/>
  <c r="P159" i="1" s="1"/>
  <c r="V159" i="1" s="1"/>
  <c r="BH322" i="6"/>
  <c r="BH110" i="6"/>
  <c r="P110" i="15" s="1"/>
  <c r="BH334" i="6"/>
  <c r="BH85" i="6"/>
  <c r="P85" i="15" s="1"/>
  <c r="BH101" i="6"/>
  <c r="BH232" i="6"/>
  <c r="P232" i="1" s="1"/>
  <c r="V232" i="1" s="1"/>
  <c r="BH155" i="6"/>
  <c r="BH351" i="6"/>
  <c r="AD351" i="1" s="1"/>
  <c r="BH344" i="6"/>
  <c r="BH38" i="6"/>
  <c r="P38" i="1" s="1"/>
  <c r="V38" i="1" s="1"/>
  <c r="BH265" i="6"/>
  <c r="BH163" i="6"/>
  <c r="P163" i="1" s="1"/>
  <c r="V163" i="1" s="1"/>
  <c r="BH48" i="6"/>
  <c r="BH306" i="6"/>
  <c r="P306" i="15" s="1"/>
  <c r="V306" i="15" s="1"/>
  <c r="BH183" i="6"/>
  <c r="BH280" i="6"/>
  <c r="P280" i="15" s="1"/>
  <c r="BH93" i="6"/>
  <c r="BH235" i="6"/>
  <c r="AD235" i="1" s="1"/>
  <c r="BH128" i="6"/>
  <c r="P128" i="15" s="1"/>
  <c r="V128" i="15" s="1"/>
  <c r="F128" i="15" s="1"/>
  <c r="H128" i="15" s="1"/>
  <c r="BH25" i="6"/>
  <c r="AD25" i="15" s="1"/>
  <c r="BH315" i="6"/>
  <c r="BH62" i="6"/>
  <c r="AD62" i="1" s="1"/>
  <c r="BH356" i="6"/>
  <c r="AD356" i="1" s="1"/>
  <c r="BH135" i="6"/>
  <c r="P135" i="1" s="1"/>
  <c r="V135" i="1" s="1"/>
  <c r="BH43" i="6"/>
  <c r="BH286" i="6"/>
  <c r="AD286" i="1" s="1"/>
  <c r="BH71" i="6"/>
  <c r="AD71" i="15" s="1"/>
  <c r="BH33" i="6"/>
  <c r="P33" i="1" s="1"/>
  <c r="V33" i="1" s="1"/>
  <c r="BH342" i="6"/>
  <c r="P342" i="1" s="1"/>
  <c r="V342" i="1" s="1"/>
  <c r="F342" i="1" s="1"/>
  <c r="BH217" i="6"/>
  <c r="P217" i="15" s="1"/>
  <c r="V217" i="15" s="1"/>
  <c r="F217" i="15" s="1"/>
  <c r="BH369" i="6"/>
  <c r="BH294" i="6"/>
  <c r="P294" i="1" s="1"/>
  <c r="V294" i="1" s="1"/>
  <c r="F294" i="1" s="1"/>
  <c r="BH26" i="6"/>
  <c r="AD26" i="15" s="1"/>
  <c r="BH371" i="6"/>
  <c r="P371" i="15" s="1"/>
  <c r="BH293" i="6"/>
  <c r="BH146" i="6"/>
  <c r="P146" i="1" s="1"/>
  <c r="V146" i="1" s="1"/>
  <c r="BH274" i="6"/>
  <c r="AD274" i="15" s="1"/>
  <c r="BH330" i="6"/>
  <c r="P330" i="15" s="1"/>
  <c r="V330" i="15" s="1"/>
  <c r="F330" i="15" s="1"/>
  <c r="G330" i="15" s="1"/>
  <c r="BX330" i="6" s="1"/>
  <c r="BH162" i="6"/>
  <c r="AD162" i="1" s="1"/>
  <c r="BH158" i="6"/>
  <c r="P158" i="1" s="1"/>
  <c r="V158" i="1" s="1"/>
  <c r="BH41" i="6"/>
  <c r="P41" i="15" s="1"/>
  <c r="V41" i="15" s="1"/>
  <c r="F41" i="15" s="1"/>
  <c r="BH17" i="6"/>
  <c r="P17" i="15" s="1"/>
  <c r="V17" i="15" s="1"/>
  <c r="F17" i="15" s="1"/>
  <c r="BH213" i="6"/>
  <c r="AD213" i="15" s="1"/>
  <c r="BH227" i="6"/>
  <c r="P227" i="15" s="1"/>
  <c r="BH195" i="6"/>
  <c r="P195" i="1" s="1"/>
  <c r="V195" i="1" s="1"/>
  <c r="BH252" i="6"/>
  <c r="P252" i="15" s="1"/>
  <c r="V252" i="15" s="1"/>
  <c r="F252" i="15" s="1"/>
  <c r="BH51" i="6"/>
  <c r="AD51" i="1" s="1"/>
  <c r="BH367" i="6"/>
  <c r="P367" i="15" s="1"/>
  <c r="BH75" i="6"/>
  <c r="BH184" i="6"/>
  <c r="P184" i="1" s="1"/>
  <c r="V184" i="1" s="1"/>
  <c r="BH291" i="6"/>
  <c r="BH267" i="6"/>
  <c r="P267" i="1" s="1"/>
  <c r="V267" i="1" s="1"/>
  <c r="BH279" i="6"/>
  <c r="AD279" i="15" s="1"/>
  <c r="BH35" i="6"/>
  <c r="AD35" i="15" s="1"/>
  <c r="BH370" i="6"/>
  <c r="AD370" i="1" s="1"/>
  <c r="BH233" i="6"/>
  <c r="AD233" i="15" s="1"/>
  <c r="BH57" i="6"/>
  <c r="BH21" i="6"/>
  <c r="AD21" i="1" s="1"/>
  <c r="BH241" i="6"/>
  <c r="BH74" i="6"/>
  <c r="AD74" i="1" s="1"/>
  <c r="BH345" i="6"/>
  <c r="BH288" i="6"/>
  <c r="AD288" i="15" s="1"/>
  <c r="BH177" i="6"/>
  <c r="BH363" i="6"/>
  <c r="AD363" i="15" s="1"/>
  <c r="BH72" i="6"/>
  <c r="BH282" i="6"/>
  <c r="AD282" i="1" s="1"/>
  <c r="BH284" i="6"/>
  <c r="BH205" i="6"/>
  <c r="AD205" i="1" s="1"/>
  <c r="BH78" i="6"/>
  <c r="AD78" i="1" s="1"/>
  <c r="BH55" i="6"/>
  <c r="P55" i="15" s="1"/>
  <c r="BH52" i="6"/>
  <c r="BH123" i="6"/>
  <c r="P123" i="15" s="1"/>
  <c r="V123" i="15" s="1"/>
  <c r="F123" i="15" s="1"/>
  <c r="BH83" i="6"/>
  <c r="AD83" i="1" s="1"/>
  <c r="BH276" i="6"/>
  <c r="AD276" i="1" s="1"/>
  <c r="BH107" i="6"/>
  <c r="AD107" i="15" s="1"/>
  <c r="BH174" i="6"/>
  <c r="AD174" i="1" s="1"/>
  <c r="BH175" i="6"/>
  <c r="P175" i="1" s="1"/>
  <c r="V175" i="1" s="1"/>
  <c r="BH281" i="6"/>
  <c r="P281" i="1" s="1"/>
  <c r="V281" i="1" s="1"/>
  <c r="BH290" i="6"/>
  <c r="BH216" i="6"/>
  <c r="AD216" i="15" s="1"/>
  <c r="BH303" i="6"/>
  <c r="AD303" i="15" s="1"/>
  <c r="BH196" i="6"/>
  <c r="P196" i="15" s="1"/>
  <c r="V196" i="15" s="1"/>
  <c r="F196" i="15" s="1"/>
  <c r="BH47" i="6"/>
  <c r="P47" i="15" s="1"/>
  <c r="V47" i="15" s="1"/>
  <c r="F47" i="15" s="1"/>
  <c r="BH82" i="6"/>
  <c r="AD82" i="15" s="1"/>
  <c r="BH27" i="6"/>
  <c r="AD27" i="1" s="1"/>
  <c r="BH285" i="6"/>
  <c r="AD285" i="15" s="1"/>
  <c r="BH165" i="6"/>
  <c r="AD165" i="1" s="1"/>
  <c r="BH278" i="6"/>
  <c r="P278" i="1" s="1"/>
  <c r="V278" i="1" s="1"/>
  <c r="BH106" i="6"/>
  <c r="BH239" i="6"/>
  <c r="AD239" i="15" s="1"/>
  <c r="BH208" i="6"/>
  <c r="BH300" i="6"/>
  <c r="AD300" i="15" s="1"/>
  <c r="BH198" i="6"/>
  <c r="AD198" i="15" s="1"/>
  <c r="BH187" i="6"/>
  <c r="AD187" i="15" s="1"/>
  <c r="BH271" i="6"/>
  <c r="BH238" i="6"/>
  <c r="P238" i="1" s="1"/>
  <c r="V238" i="1" s="1"/>
  <c r="BH46" i="6"/>
  <c r="AD46" i="15" s="1"/>
  <c r="BH256" i="6"/>
  <c r="AD256" i="15" s="1"/>
  <c r="BH237" i="6"/>
  <c r="P237" i="1" s="1"/>
  <c r="V237" i="1" s="1"/>
  <c r="BH210" i="6"/>
  <c r="P210" i="15" s="1"/>
  <c r="BH380" i="6"/>
  <c r="BH120" i="6"/>
  <c r="AD120" i="15" s="1"/>
  <c r="BH314" i="6"/>
  <c r="BH124" i="6"/>
  <c r="AD124" i="1" s="1"/>
  <c r="BH31" i="6"/>
  <c r="AD31" i="1" s="1"/>
  <c r="BH34" i="6"/>
  <c r="P34" i="1" s="1"/>
  <c r="V34" i="1" s="1"/>
  <c r="BH54" i="6"/>
  <c r="P54" i="15" s="1"/>
  <c r="BH199" i="6"/>
  <c r="AD199" i="15" s="1"/>
  <c r="BH302" i="6"/>
  <c r="BH112" i="6"/>
  <c r="P112" i="15" s="1"/>
  <c r="V112" i="15" s="1"/>
  <c r="F112" i="15" s="1"/>
  <c r="BH368" i="6"/>
  <c r="BH40" i="6"/>
  <c r="AD40" i="1" s="1"/>
  <c r="BH156" i="6"/>
  <c r="BH19" i="6"/>
  <c r="AD19" i="15" s="1"/>
  <c r="BH160" i="6"/>
  <c r="BH64" i="6"/>
  <c r="AD64" i="15" s="1"/>
  <c r="BH283" i="6"/>
  <c r="AD283" i="1" s="1"/>
  <c r="BH132" i="6"/>
  <c r="AD132" i="1" s="1"/>
  <c r="P260" i="1"/>
  <c r="V260" i="1" s="1"/>
  <c r="P243" i="1"/>
  <c r="V243" i="1" s="1"/>
  <c r="P69" i="27"/>
  <c r="AE68" i="27"/>
  <c r="G32" i="27"/>
  <c r="AD172" i="15"/>
  <c r="AD245" i="1"/>
  <c r="AD77" i="15"/>
  <c r="P86" i="1"/>
  <c r="V86" i="1" s="1"/>
  <c r="P229" i="1"/>
  <c r="V229" i="1" s="1"/>
  <c r="P105" i="15"/>
  <c r="V105" i="15" s="1"/>
  <c r="P245" i="1"/>
  <c r="V245" i="1" s="1"/>
  <c r="AD359" i="1"/>
  <c r="P189" i="1"/>
  <c r="V189" i="1" s="1"/>
  <c r="P44" i="1"/>
  <c r="V44" i="1" s="1"/>
  <c r="P111" i="1"/>
  <c r="V111" i="1" s="1"/>
  <c r="P323" i="1"/>
  <c r="V323" i="1" s="1"/>
  <c r="F323" i="1" s="1"/>
  <c r="AD115" i="15"/>
  <c r="AD58" i="15"/>
  <c r="AD340" i="1"/>
  <c r="AD340" i="15"/>
  <c r="AD335" i="1"/>
  <c r="P335" i="1"/>
  <c r="V335" i="1" s="1"/>
  <c r="F335" i="1" s="1"/>
  <c r="G335" i="1" s="1"/>
  <c r="BW335" i="6" s="1"/>
  <c r="P355" i="15"/>
  <c r="V355" i="15" s="1"/>
  <c r="F355" i="15" s="1"/>
  <c r="AD355" i="1"/>
  <c r="P192" i="1"/>
  <c r="V192" i="1" s="1"/>
  <c r="P304" i="15"/>
  <c r="V304" i="15" s="1"/>
  <c r="F304" i="15" s="1"/>
  <c r="P130" i="1"/>
  <c r="V130" i="1" s="1"/>
  <c r="P116" i="15"/>
  <c r="V116" i="15" s="1"/>
  <c r="F116" i="15" s="1"/>
  <c r="G116" i="15" s="1"/>
  <c r="BX116" i="6" s="1"/>
  <c r="P159" i="15"/>
  <c r="V159" i="15" s="1"/>
  <c r="F159" i="15" s="1"/>
  <c r="AD264" i="1"/>
  <c r="AD304" i="1"/>
  <c r="P139" i="1"/>
  <c r="V139" i="1" s="1"/>
  <c r="P139" i="15"/>
  <c r="V139" i="15" s="1"/>
  <c r="F139" i="15" s="1"/>
  <c r="AD140" i="1"/>
  <c r="P140" i="1"/>
  <c r="V140" i="1" s="1"/>
  <c r="P270" i="15"/>
  <c r="V270" i="15" s="1"/>
  <c r="F270" i="15" s="1"/>
  <c r="AD270" i="1"/>
  <c r="AD372" i="1"/>
  <c r="P270" i="1"/>
  <c r="V270" i="1" s="1"/>
  <c r="P339" i="15"/>
  <c r="V339" i="15" s="1"/>
  <c r="F339" i="15" s="1"/>
  <c r="AD339" i="15"/>
  <c r="AD349" i="1"/>
  <c r="P354" i="15"/>
  <c r="P287" i="15"/>
  <c r="V287" i="15" s="1"/>
  <c r="F287" i="15" s="1"/>
  <c r="AD350" i="1"/>
  <c r="P350" i="1"/>
  <c r="P376" i="1"/>
  <c r="V376" i="1" s="1"/>
  <c r="F376" i="1" s="1"/>
  <c r="P222" i="15"/>
  <c r="V222" i="15" s="1"/>
  <c r="F222" i="15" s="1"/>
  <c r="P136" i="1"/>
  <c r="V136" i="1" s="1"/>
  <c r="P136" i="15"/>
  <c r="V136" i="15" s="1"/>
  <c r="F136" i="15" s="1"/>
  <c r="P65" i="1"/>
  <c r="V65" i="1" s="1"/>
  <c r="AD176" i="1"/>
  <c r="P211" i="15"/>
  <c r="V211" i="15" s="1"/>
  <c r="F211" i="15" s="1"/>
  <c r="AD211" i="15"/>
  <c r="AD45" i="1"/>
  <c r="P45" i="1"/>
  <c r="V45" i="1" s="1"/>
  <c r="P22" i="1"/>
  <c r="V22" i="1" s="1"/>
  <c r="P81" i="15"/>
  <c r="V81" i="15" s="1"/>
  <c r="F81" i="15" s="1"/>
  <c r="P308" i="1"/>
  <c r="V308" i="1" s="1"/>
  <c r="F308" i="1" s="1"/>
  <c r="AD36" i="1"/>
  <c r="P359" i="1"/>
  <c r="P56" i="1"/>
  <c r="V56" i="1" s="1"/>
  <c r="AD56" i="15"/>
  <c r="P305" i="1"/>
  <c r="P220" i="15"/>
  <c r="P100" i="1"/>
  <c r="V100" i="1" s="1"/>
  <c r="P100" i="15"/>
  <c r="P171" i="1"/>
  <c r="V171" i="1" s="1"/>
  <c r="P94" i="1"/>
  <c r="V94" i="1" s="1"/>
  <c r="AD94" i="1"/>
  <c r="P219" i="1"/>
  <c r="V219" i="1" s="1"/>
  <c r="P30" i="1"/>
  <c r="V30" i="1" s="1"/>
  <c r="P28" i="1"/>
  <c r="V28" i="1" s="1"/>
  <c r="P341" i="15"/>
  <c r="V341" i="15" s="1"/>
  <c r="F341" i="15" s="1"/>
  <c r="AD137" i="1"/>
  <c r="AD102" i="1"/>
  <c r="AD366" i="1"/>
  <c r="AD182" i="1"/>
  <c r="AD32" i="1"/>
  <c r="P32" i="1"/>
  <c r="V32" i="1" s="1"/>
  <c r="P337" i="15"/>
  <c r="V337" i="15" s="1"/>
  <c r="F337" i="15" s="1"/>
  <c r="G337" i="15" s="1"/>
  <c r="BX337" i="6" s="1"/>
  <c r="P295" i="15"/>
  <c r="V295" i="15" s="1"/>
  <c r="F295" i="15" s="1"/>
  <c r="AD327" i="1"/>
  <c r="BH203" i="6"/>
  <c r="BH249" i="6"/>
  <c r="BH122" i="6"/>
  <c r="BH113" i="6"/>
  <c r="BH226" i="6"/>
  <c r="BH310" i="6"/>
  <c r="BH95" i="6"/>
  <c r="BH379" i="6"/>
  <c r="BH143" i="6"/>
  <c r="BH309" i="6"/>
  <c r="BH242" i="6"/>
  <c r="BH66" i="6"/>
  <c r="BH257" i="6"/>
  <c r="BH69" i="6"/>
  <c r="BH164" i="6"/>
  <c r="BH296" i="6"/>
  <c r="BH333" i="6"/>
  <c r="BH89" i="6"/>
  <c r="BH254" i="6"/>
  <c r="BH311" i="6"/>
  <c r="BH277" i="6"/>
  <c r="BH269" i="6"/>
  <c r="BH193" i="6"/>
  <c r="BH150" i="6"/>
  <c r="BH149" i="6"/>
  <c r="BH87" i="6"/>
  <c r="P87" i="15" s="1"/>
  <c r="BH338" i="6"/>
  <c r="BH292" i="6"/>
  <c r="BH29" i="6"/>
  <c r="BH88" i="6"/>
  <c r="BH76" i="6"/>
  <c r="BH364" i="6"/>
  <c r="BH253" i="6"/>
  <c r="BH332" i="6"/>
  <c r="BH321" i="6"/>
  <c r="BH16" i="6"/>
  <c r="BH145" i="6"/>
  <c r="BH166" i="6"/>
  <c r="BH273" i="6"/>
  <c r="BH180" i="6"/>
  <c r="BH212" i="6"/>
  <c r="BH79" i="6"/>
  <c r="BH133" i="6"/>
  <c r="BH348" i="6"/>
  <c r="BH331" i="6"/>
  <c r="BH152" i="6"/>
  <c r="AD152" i="1" s="1"/>
  <c r="BH365" i="6"/>
  <c r="AF15" i="1"/>
  <c r="AG382" i="1"/>
  <c r="AG381" i="1"/>
  <c r="AG383" i="1"/>
  <c r="S382" i="15"/>
  <c r="S381" i="15"/>
  <c r="S383" i="15"/>
  <c r="R15" i="15"/>
  <c r="AD44" i="15"/>
  <c r="AD243" i="15"/>
  <c r="AD255" i="15"/>
  <c r="AD140" i="15"/>
  <c r="AD341" i="15"/>
  <c r="P285" i="15"/>
  <c r="V285" i="15" s="1"/>
  <c r="F285" i="15" s="1"/>
  <c r="P86" i="15"/>
  <c r="V86" i="15" s="1"/>
  <c r="F86" i="15" s="1"/>
  <c r="AD86" i="1"/>
  <c r="P106" i="1"/>
  <c r="V106" i="1" s="1"/>
  <c r="P283" i="1"/>
  <c r="V283" i="1" s="1"/>
  <c r="S382" i="1"/>
  <c r="S381" i="1"/>
  <c r="R15" i="1"/>
  <c r="S383" i="1"/>
  <c r="AT13" i="6"/>
  <c r="AZ358" i="6"/>
  <c r="AZ12" i="6" s="1"/>
  <c r="AG30" i="16"/>
  <c r="AF30" i="16" s="1"/>
  <c r="AG289" i="16"/>
  <c r="AF289" i="16" s="1"/>
  <c r="AG21" i="16"/>
  <c r="AF21" i="16" s="1"/>
  <c r="AG112" i="16"/>
  <c r="AF112" i="16" s="1"/>
  <c r="AG98" i="16"/>
  <c r="AF98" i="16" s="1"/>
  <c r="AG248" i="16"/>
  <c r="AF248" i="16" s="1"/>
  <c r="AG332" i="16"/>
  <c r="AF332" i="16" s="1"/>
  <c r="AG309" i="16"/>
  <c r="AF309" i="16" s="1"/>
  <c r="AG356" i="16"/>
  <c r="AF356" i="16" s="1"/>
  <c r="AG40" i="16"/>
  <c r="AF40" i="16" s="1"/>
  <c r="AG124" i="16"/>
  <c r="AF124" i="16" s="1"/>
  <c r="AG47" i="16"/>
  <c r="AF47" i="16" s="1"/>
  <c r="AG336" i="16"/>
  <c r="AF336" i="16" s="1"/>
  <c r="AG197" i="16"/>
  <c r="AF197" i="16" s="1"/>
  <c r="AG174" i="16"/>
  <c r="AF174" i="16" s="1"/>
  <c r="AG235" i="16"/>
  <c r="AF235" i="16" s="1"/>
  <c r="AG183" i="16"/>
  <c r="AF183" i="16" s="1"/>
  <c r="AG138" i="16"/>
  <c r="AF138" i="16" s="1"/>
  <c r="AG361" i="16"/>
  <c r="AF361" i="16" s="1"/>
  <c r="AG105" i="16"/>
  <c r="AF105" i="16" s="1"/>
  <c r="AG92" i="16"/>
  <c r="AF92" i="16" s="1"/>
  <c r="AG358" i="16"/>
  <c r="AF358" i="16" s="1"/>
  <c r="AG210" i="16"/>
  <c r="AF210" i="16" s="1"/>
  <c r="AG377" i="16"/>
  <c r="AF377" i="16" s="1"/>
  <c r="AG325" i="16"/>
  <c r="AF325" i="16" s="1"/>
  <c r="AG51" i="16"/>
  <c r="AF51" i="16" s="1"/>
  <c r="AD354" i="15" l="1"/>
  <c r="P191" i="1"/>
  <c r="V191" i="1" s="1"/>
  <c r="P22" i="15"/>
  <c r="V22" i="15" s="1"/>
  <c r="F22" i="15" s="1"/>
  <c r="AD22" i="1"/>
  <c r="AA22" i="1" s="1"/>
  <c r="Z22" i="1" s="1"/>
  <c r="Y22" i="1" s="1"/>
  <c r="P354" i="1"/>
  <c r="AD139" i="1"/>
  <c r="AD377" i="1"/>
  <c r="P255" i="1"/>
  <c r="V255" i="1" s="1"/>
  <c r="P99" i="15"/>
  <c r="V99" i="15" s="1"/>
  <c r="F99" i="15" s="1"/>
  <c r="G99" i="15" s="1"/>
  <c r="BX99" i="6" s="1"/>
  <c r="P172" i="1"/>
  <c r="V172" i="1" s="1"/>
  <c r="AA172" i="1" s="1"/>
  <c r="Z172" i="1" s="1"/>
  <c r="Y172" i="1" s="1"/>
  <c r="AD20" i="1"/>
  <c r="P172" i="15"/>
  <c r="V172" i="15" s="1"/>
  <c r="F172" i="15" s="1"/>
  <c r="H172" i="15" s="1"/>
  <c r="I172" i="15" s="1"/>
  <c r="P18" i="1"/>
  <c r="V18" i="1" s="1"/>
  <c r="P99" i="1"/>
  <c r="V99" i="1" s="1"/>
  <c r="AA99" i="1" s="1"/>
  <c r="Z99" i="1" s="1"/>
  <c r="Y99" i="1" s="1"/>
  <c r="P139" i="16"/>
  <c r="T379" i="16"/>
  <c r="S379" i="16" s="1"/>
  <c r="R379" i="16" s="1"/>
  <c r="Q42" i="16"/>
  <c r="Q167" i="16"/>
  <c r="P167" i="16" s="1"/>
  <c r="V167" i="16" s="1"/>
  <c r="Q148" i="16"/>
  <c r="Q253" i="16"/>
  <c r="P253" i="16" s="1"/>
  <c r="V253" i="16" s="1"/>
  <c r="F253" i="16" s="1"/>
  <c r="G253" i="16" s="1"/>
  <c r="BY253" i="6" s="1"/>
  <c r="Q103" i="16"/>
  <c r="Q121" i="16"/>
  <c r="P121" i="16" s="1"/>
  <c r="V121" i="16" s="1"/>
  <c r="F121" i="16" s="1"/>
  <c r="G121" i="16" s="1"/>
  <c r="BY121" i="6" s="1"/>
  <c r="K40" i="19"/>
  <c r="Q305" i="16"/>
  <c r="Q44" i="16"/>
  <c r="Q152" i="16"/>
  <c r="P152" i="16" s="1"/>
  <c r="V152" i="16" s="1"/>
  <c r="F152" i="16" s="1"/>
  <c r="Q194" i="16"/>
  <c r="Q361" i="16"/>
  <c r="P361" i="16" s="1"/>
  <c r="V361" i="16" s="1"/>
  <c r="F361" i="16" s="1"/>
  <c r="G361" i="16" s="1"/>
  <c r="BY361" i="6" s="1"/>
  <c r="Q129" i="16"/>
  <c r="Q161" i="16"/>
  <c r="Q221" i="16"/>
  <c r="Q19" i="16"/>
  <c r="P19" i="16" s="1"/>
  <c r="V19" i="16" s="1"/>
  <c r="F19" i="16" s="1"/>
  <c r="G19" i="16" s="1"/>
  <c r="BY19" i="6" s="1"/>
  <c r="Q290" i="16"/>
  <c r="Q169" i="16"/>
  <c r="P169" i="16" s="1"/>
  <c r="V169" i="16" s="1"/>
  <c r="F169" i="16" s="1"/>
  <c r="G169" i="16" s="1"/>
  <c r="BY169" i="6" s="1"/>
  <c r="Q75" i="16"/>
  <c r="AD278" i="15"/>
  <c r="P184" i="15"/>
  <c r="V184" i="15" s="1"/>
  <c r="F184" i="15" s="1"/>
  <c r="P62" i="15"/>
  <c r="V62" i="15" s="1"/>
  <c r="F62" i="15" s="1"/>
  <c r="G62" i="15" s="1"/>
  <c r="BX62" i="6" s="1"/>
  <c r="P112" i="1"/>
  <c r="V112" i="1" s="1"/>
  <c r="P363" i="15"/>
  <c r="D43" i="7" s="1"/>
  <c r="AD21" i="15"/>
  <c r="AD118" i="15"/>
  <c r="P351" i="15"/>
  <c r="V351" i="15" s="1"/>
  <c r="F351" i="15" s="1"/>
  <c r="G351" i="15" s="1"/>
  <c r="BX351" i="6" s="1"/>
  <c r="AD138" i="15"/>
  <c r="P129" i="16"/>
  <c r="P275" i="1"/>
  <c r="V275" i="1" s="1"/>
  <c r="AD49" i="1"/>
  <c r="AD352" i="1"/>
  <c r="AD169" i="1"/>
  <c r="P352" i="15"/>
  <c r="V352" i="15" s="1"/>
  <c r="F352" i="15" s="1"/>
  <c r="G352" i="15" s="1"/>
  <c r="BX352" i="6" s="1"/>
  <c r="Q111" i="16"/>
  <c r="Q330" i="16"/>
  <c r="Q144" i="16"/>
  <c r="P144" i="16" s="1"/>
  <c r="V144" i="16" s="1"/>
  <c r="F144" i="16" s="1"/>
  <c r="G144" i="16" s="1"/>
  <c r="BY144" i="6" s="1"/>
  <c r="Q64" i="16"/>
  <c r="P64" i="16" s="1"/>
  <c r="V64" i="16" s="1"/>
  <c r="F64" i="16" s="1"/>
  <c r="G64" i="16" s="1"/>
  <c r="BY64" i="6" s="1"/>
  <c r="Q24" i="16"/>
  <c r="Q348" i="16"/>
  <c r="P348" i="16" s="1"/>
  <c r="Q370" i="16"/>
  <c r="Q168" i="16"/>
  <c r="Q38" i="16"/>
  <c r="Q67" i="16"/>
  <c r="P67" i="16" s="1"/>
  <c r="V67" i="16" s="1"/>
  <c r="F67" i="16" s="1"/>
  <c r="Q377" i="16"/>
  <c r="Q117" i="16"/>
  <c r="P117" i="16" s="1"/>
  <c r="V117" i="16" s="1"/>
  <c r="F117" i="16" s="1"/>
  <c r="G117" i="16" s="1"/>
  <c r="BY117" i="6" s="1"/>
  <c r="Q18" i="16"/>
  <c r="Q131" i="16"/>
  <c r="P131" i="16" s="1"/>
  <c r="V131" i="16" s="1"/>
  <c r="F131" i="16" s="1"/>
  <c r="G131" i="16" s="1"/>
  <c r="BY131" i="6" s="1"/>
  <c r="Q267" i="16"/>
  <c r="Q351" i="16"/>
  <c r="P351" i="16" s="1"/>
  <c r="V351" i="16" s="1"/>
  <c r="F351" i="16" s="1"/>
  <c r="G351" i="16" s="1"/>
  <c r="BY351" i="6" s="1"/>
  <c r="Q338" i="16"/>
  <c r="Q32" i="16"/>
  <c r="P32" i="16" s="1"/>
  <c r="V32" i="16" s="1"/>
  <c r="F32" i="16" s="1"/>
  <c r="Q375" i="16"/>
  <c r="Q314" i="16"/>
  <c r="P314" i="16" s="1"/>
  <c r="V314" i="16" s="1"/>
  <c r="F314" i="16" s="1"/>
  <c r="G314" i="16" s="1"/>
  <c r="BY314" i="6" s="1"/>
  <c r="Q36" i="16"/>
  <c r="Q80" i="16"/>
  <c r="Q246" i="16"/>
  <c r="P246" i="16" s="1"/>
  <c r="Q143" i="16"/>
  <c r="P143" i="16" s="1"/>
  <c r="AA22" i="15"/>
  <c r="Z22" i="15" s="1"/>
  <c r="Y22" i="15" s="1"/>
  <c r="AA18" i="1"/>
  <c r="Z18" i="1" s="1"/>
  <c r="Y18" i="1" s="1"/>
  <c r="P75" i="16"/>
  <c r="V75" i="16" s="1"/>
  <c r="F75" i="16" s="1"/>
  <c r="G75" i="16" s="1"/>
  <c r="BY75" i="6" s="1"/>
  <c r="H255" i="15"/>
  <c r="J255" i="15" s="1"/>
  <c r="AA255" i="15"/>
  <c r="Z255" i="15" s="1"/>
  <c r="Y255" i="15" s="1"/>
  <c r="AA140" i="1"/>
  <c r="Z140" i="1" s="1"/>
  <c r="Y140" i="1" s="1"/>
  <c r="P161" i="16"/>
  <c r="V161" i="16" s="1"/>
  <c r="Q266" i="16"/>
  <c r="Q85" i="16"/>
  <c r="P85" i="16" s="1"/>
  <c r="V85" i="16" s="1"/>
  <c r="F85" i="16" s="1"/>
  <c r="G85" i="16" s="1"/>
  <c r="BY85" i="6" s="1"/>
  <c r="Q203" i="16"/>
  <c r="Q333" i="16"/>
  <c r="P333" i="16" s="1"/>
  <c r="Q268" i="16"/>
  <c r="P268" i="16" s="1"/>
  <c r="V268" i="16" s="1"/>
  <c r="F268" i="16" s="1"/>
  <c r="G268" i="16" s="1"/>
  <c r="BY268" i="6" s="1"/>
  <c r="Q23" i="16"/>
  <c r="P23" i="16" s="1"/>
  <c r="V23" i="16" s="1"/>
  <c r="F23" i="16" s="1"/>
  <c r="G23" i="16" s="1"/>
  <c r="BY23" i="6" s="1"/>
  <c r="Q57" i="16"/>
  <c r="Q336" i="16"/>
  <c r="Q190" i="16"/>
  <c r="Q312" i="16"/>
  <c r="P312" i="16" s="1"/>
  <c r="V312" i="16" s="1"/>
  <c r="F312" i="16" s="1"/>
  <c r="G312" i="16" s="1"/>
  <c r="BY312" i="6" s="1"/>
  <c r="Q133" i="16"/>
  <c r="P133" i="16" s="1"/>
  <c r="V133" i="16" s="1"/>
  <c r="F133" i="16" s="1"/>
  <c r="Q379" i="16"/>
  <c r="P15" i="7" s="1"/>
  <c r="Q102" i="16"/>
  <c r="P102" i="16" s="1"/>
  <c r="V102" i="16" s="1"/>
  <c r="F102" i="16" s="1"/>
  <c r="G102" i="16" s="1"/>
  <c r="BY102" i="6" s="1"/>
  <c r="Q208" i="16"/>
  <c r="P208" i="16" s="1"/>
  <c r="V208" i="16" s="1"/>
  <c r="F208" i="16" s="1"/>
  <c r="G208" i="16" s="1"/>
  <c r="BY208" i="6" s="1"/>
  <c r="Q215" i="16"/>
  <c r="Q353" i="16"/>
  <c r="P353" i="16" s="1"/>
  <c r="V353" i="16" s="1"/>
  <c r="F353" i="16" s="1"/>
  <c r="G353" i="16" s="1"/>
  <c r="BY353" i="6" s="1"/>
  <c r="Q238" i="16"/>
  <c r="P238" i="16" s="1"/>
  <c r="V238" i="16" s="1"/>
  <c r="F238" i="16" s="1"/>
  <c r="G238" i="16" s="1"/>
  <c r="BY238" i="6" s="1"/>
  <c r="Q274" i="16"/>
  <c r="P274" i="16" s="1"/>
  <c r="V274" i="16" s="1"/>
  <c r="F274" i="16" s="1"/>
  <c r="G274" i="16" s="1"/>
  <c r="BY274" i="6" s="1"/>
  <c r="Q260" i="16"/>
  <c r="P260" i="16" s="1"/>
  <c r="V260" i="16" s="1"/>
  <c r="F260" i="16" s="1"/>
  <c r="G260" i="16" s="1"/>
  <c r="BY260" i="6" s="1"/>
  <c r="Q41" i="16"/>
  <c r="P41" i="16" s="1"/>
  <c r="V41" i="16" s="1"/>
  <c r="F41" i="16" s="1"/>
  <c r="G41" i="16" s="1"/>
  <c r="BY41" i="6" s="1"/>
  <c r="Q265" i="16"/>
  <c r="P265" i="16" s="1"/>
  <c r="V265" i="16" s="1"/>
  <c r="F265" i="16" s="1"/>
  <c r="G265" i="16" s="1"/>
  <c r="BY265" i="6" s="1"/>
  <c r="Q235" i="16"/>
  <c r="P235" i="16" s="1"/>
  <c r="V235" i="16" s="1"/>
  <c r="F235" i="16" s="1"/>
  <c r="Q252" i="16"/>
  <c r="Q308" i="16"/>
  <c r="P308" i="16" s="1"/>
  <c r="V308" i="16" s="1"/>
  <c r="F308" i="16" s="1"/>
  <c r="G308" i="16" s="1"/>
  <c r="BY308" i="6" s="1"/>
  <c r="Q171" i="16"/>
  <c r="P171" i="16" s="1"/>
  <c r="V171" i="16" s="1"/>
  <c r="F171" i="16" s="1"/>
  <c r="G171" i="16" s="1"/>
  <c r="BY171" i="6" s="1"/>
  <c r="Q328" i="16"/>
  <c r="P328" i="16" s="1"/>
  <c r="V328" i="16" s="1"/>
  <c r="Q48" i="16"/>
  <c r="Q255" i="16"/>
  <c r="Q236" i="16"/>
  <c r="Q263" i="16"/>
  <c r="P263" i="16" s="1"/>
  <c r="V263" i="16" s="1"/>
  <c r="F263" i="16" s="1"/>
  <c r="Q232" i="16"/>
  <c r="P232" i="16" s="1"/>
  <c r="V232" i="16" s="1"/>
  <c r="F232" i="16" s="1"/>
  <c r="G232" i="16" s="1"/>
  <c r="BY232" i="6" s="1"/>
  <c r="Q365" i="16"/>
  <c r="P365" i="16" s="1"/>
  <c r="Q207" i="16"/>
  <c r="P207" i="16" s="1"/>
  <c r="V207" i="16" s="1"/>
  <c r="F207" i="16" s="1"/>
  <c r="G207" i="16" s="1"/>
  <c r="BY207" i="6" s="1"/>
  <c r="Q363" i="16"/>
  <c r="P363" i="16" s="1"/>
  <c r="Q354" i="16"/>
  <c r="P354" i="16" s="1"/>
  <c r="V354" i="16" s="1"/>
  <c r="Q343" i="16"/>
  <c r="Q104" i="16"/>
  <c r="P104" i="16" s="1"/>
  <c r="V104" i="16" s="1"/>
  <c r="F104" i="16" s="1"/>
  <c r="G104" i="16" s="1"/>
  <c r="BY104" i="6" s="1"/>
  <c r="Q53" i="16"/>
  <c r="P53" i="16" s="1"/>
  <c r="V53" i="16" s="1"/>
  <c r="F53" i="16" s="1"/>
  <c r="G53" i="16" s="1"/>
  <c r="BY53" i="6" s="1"/>
  <c r="Q347" i="16"/>
  <c r="P347" i="16" s="1"/>
  <c r="V347" i="16" s="1"/>
  <c r="F347" i="16" s="1"/>
  <c r="G347" i="16" s="1"/>
  <c r="BY347" i="6" s="1"/>
  <c r="Q82" i="16"/>
  <c r="P82" i="16" s="1"/>
  <c r="V82" i="16" s="1"/>
  <c r="F82" i="16" s="1"/>
  <c r="G82" i="16" s="1"/>
  <c r="BY82" i="6" s="1"/>
  <c r="Q357" i="16"/>
  <c r="P357" i="16" s="1"/>
  <c r="V357" i="16" s="1"/>
  <c r="F357" i="16" s="1"/>
  <c r="G357" i="16" s="1"/>
  <c r="BY357" i="6" s="1"/>
  <c r="Q172" i="16"/>
  <c r="P172" i="16" s="1"/>
  <c r="V172" i="16" s="1"/>
  <c r="F172" i="16" s="1"/>
  <c r="G172" i="16" s="1"/>
  <c r="BY172" i="6" s="1"/>
  <c r="Q270" i="16"/>
  <c r="P270" i="16" s="1"/>
  <c r="V270" i="16" s="1"/>
  <c r="F270" i="16" s="1"/>
  <c r="Q37" i="16"/>
  <c r="P37" i="16" s="1"/>
  <c r="V37" i="16" s="1"/>
  <c r="F37" i="16" s="1"/>
  <c r="G37" i="16" s="1"/>
  <c r="BY37" i="6" s="1"/>
  <c r="Q134" i="16"/>
  <c r="Q151" i="16"/>
  <c r="P151" i="16" s="1"/>
  <c r="V151" i="16" s="1"/>
  <c r="F151" i="16" s="1"/>
  <c r="G151" i="16" s="1"/>
  <c r="BY151" i="6" s="1"/>
  <c r="Q240" i="16"/>
  <c r="P240" i="16" s="1"/>
  <c r="V240" i="16" s="1"/>
  <c r="F240" i="16" s="1"/>
  <c r="G240" i="16" s="1"/>
  <c r="BY240" i="6" s="1"/>
  <c r="Q213" i="16"/>
  <c r="P213" i="16" s="1"/>
  <c r="V213" i="16" s="1"/>
  <c r="F213" i="16" s="1"/>
  <c r="Q248" i="16"/>
  <c r="AD238" i="1"/>
  <c r="AA238" i="1" s="1"/>
  <c r="Z238" i="1" s="1"/>
  <c r="Y238" i="1" s="1"/>
  <c r="P19" i="1"/>
  <c r="V19" i="1" s="1"/>
  <c r="P363" i="1"/>
  <c r="V363" i="1" s="1"/>
  <c r="F363" i="1" s="1"/>
  <c r="AD187" i="1"/>
  <c r="AD276" i="15"/>
  <c r="P233" i="15"/>
  <c r="V233" i="15" s="1"/>
  <c r="F233" i="15" s="1"/>
  <c r="H233" i="15" s="1"/>
  <c r="P330" i="1"/>
  <c r="V330" i="1" s="1"/>
  <c r="F330" i="1" s="1"/>
  <c r="AD74" i="15"/>
  <c r="AD373" i="15"/>
  <c r="AD176" i="15"/>
  <c r="P104" i="1"/>
  <c r="V104" i="1" s="1"/>
  <c r="AA104" i="1" s="1"/>
  <c r="Z104" i="1" s="1"/>
  <c r="Y104" i="1" s="1"/>
  <c r="AD108" i="1"/>
  <c r="AD100" i="1"/>
  <c r="AA100" i="1" s="1"/>
  <c r="Z100" i="1" s="1"/>
  <c r="Y100" i="1" s="1"/>
  <c r="AD312" i="15"/>
  <c r="AD146" i="15"/>
  <c r="AD159" i="1"/>
  <c r="P286" i="1"/>
  <c r="V286" i="1" s="1"/>
  <c r="AA286" i="1" s="1"/>
  <c r="Z286" i="1" s="1"/>
  <c r="Y286" i="1" s="1"/>
  <c r="P306" i="1"/>
  <c r="V306" i="1" s="1"/>
  <c r="F306" i="1" s="1"/>
  <c r="AD85" i="15"/>
  <c r="P53" i="1"/>
  <c r="V53" i="1" s="1"/>
  <c r="AD91" i="1"/>
  <c r="AA91" i="1" s="1"/>
  <c r="Z91" i="1" s="1"/>
  <c r="Y91" i="1" s="1"/>
  <c r="P68" i="15"/>
  <c r="V68" i="15" s="1"/>
  <c r="F68" i="15" s="1"/>
  <c r="G68" i="15" s="1"/>
  <c r="BX68" i="6" s="1"/>
  <c r="P223" i="15"/>
  <c r="V223" i="15" s="1"/>
  <c r="F223" i="15" s="1"/>
  <c r="G223" i="15" s="1"/>
  <c r="BX223" i="6" s="1"/>
  <c r="P261" i="1"/>
  <c r="V261" i="1" s="1"/>
  <c r="AA261" i="1" s="1"/>
  <c r="Z261" i="1" s="1"/>
  <c r="Y261" i="1" s="1"/>
  <c r="AD246" i="1"/>
  <c r="AA246" i="1" s="1"/>
  <c r="Z246" i="1" s="1"/>
  <c r="Y246" i="1" s="1"/>
  <c r="P194" i="15"/>
  <c r="V194" i="15" s="1"/>
  <c r="F194" i="15" s="1"/>
  <c r="G194" i="15" s="1"/>
  <c r="BX194" i="6" s="1"/>
  <c r="P119" i="1"/>
  <c r="D23" i="7" s="1"/>
  <c r="P191" i="15"/>
  <c r="V191" i="15" s="1"/>
  <c r="F191" i="15" s="1"/>
  <c r="H191" i="15" s="1"/>
  <c r="AD246" i="15"/>
  <c r="P246" i="15"/>
  <c r="V246" i="15" s="1"/>
  <c r="F246" i="15" s="1"/>
  <c r="G246" i="15" s="1"/>
  <c r="BX246" i="6" s="1"/>
  <c r="AD227" i="15"/>
  <c r="P367" i="1"/>
  <c r="P64" i="15"/>
  <c r="V64" i="15" s="1"/>
  <c r="F64" i="15" s="1"/>
  <c r="G64" i="15" s="1"/>
  <c r="BX64" i="6" s="1"/>
  <c r="P34" i="15"/>
  <c r="V34" i="15" s="1"/>
  <c r="F34" i="15" s="1"/>
  <c r="G34" i="15" s="1"/>
  <c r="BX34" i="6" s="1"/>
  <c r="P239" i="1"/>
  <c r="V239" i="1" s="1"/>
  <c r="P82" i="1"/>
  <c r="V82" i="1" s="1"/>
  <c r="AD55" i="1"/>
  <c r="P288" i="15"/>
  <c r="AD267" i="1"/>
  <c r="AA267" i="1" s="1"/>
  <c r="Z267" i="1" s="1"/>
  <c r="Y267" i="1" s="1"/>
  <c r="AD227" i="1"/>
  <c r="AD371" i="1"/>
  <c r="AD191" i="1"/>
  <c r="P176" i="15"/>
  <c r="V176" i="15" s="1"/>
  <c r="F176" i="15" s="1"/>
  <c r="H176" i="15" s="1"/>
  <c r="P194" i="16"/>
  <c r="AD278" i="1"/>
  <c r="AA278" i="1" s="1"/>
  <c r="Z278" i="1" s="1"/>
  <c r="Y278" i="1" s="1"/>
  <c r="AD267" i="15"/>
  <c r="AD33" i="15"/>
  <c r="AD135" i="1"/>
  <c r="P235" i="15"/>
  <c r="V235" i="15" s="1"/>
  <c r="F235" i="15" s="1"/>
  <c r="AD38" i="15"/>
  <c r="AD110" i="1"/>
  <c r="P360" i="15"/>
  <c r="V360" i="15" s="1"/>
  <c r="F360" i="15" s="1"/>
  <c r="P251" i="15"/>
  <c r="V251" i="15" s="1"/>
  <c r="F251" i="15" s="1"/>
  <c r="G251" i="15" s="1"/>
  <c r="BX251" i="6" s="1"/>
  <c r="AD121" i="15"/>
  <c r="AD262" i="15"/>
  <c r="AD39" i="1"/>
  <c r="AD178" i="1"/>
  <c r="P261" i="15"/>
  <c r="V261" i="15" s="1"/>
  <c r="F261" i="15" s="1"/>
  <c r="G261" i="15" s="1"/>
  <c r="BX261" i="6" s="1"/>
  <c r="AD261" i="15"/>
  <c r="P18" i="15"/>
  <c r="V18" i="15" s="1"/>
  <c r="F18" i="15" s="1"/>
  <c r="H18" i="15" s="1"/>
  <c r="I18" i="15" s="1"/>
  <c r="P194" i="1"/>
  <c r="V194" i="1" s="1"/>
  <c r="AA194" i="1" s="1"/>
  <c r="Z194" i="1" s="1"/>
  <c r="Y194" i="1" s="1"/>
  <c r="P20" i="1"/>
  <c r="V20" i="1" s="1"/>
  <c r="AD119" i="15"/>
  <c r="AD258" i="15"/>
  <c r="AD18" i="15"/>
  <c r="G169" i="15"/>
  <c r="BX169" i="6" s="1"/>
  <c r="G172" i="15"/>
  <c r="BX172" i="6" s="1"/>
  <c r="AA94" i="1"/>
  <c r="Z94" i="1" s="1"/>
  <c r="Y94" i="1" s="1"/>
  <c r="P177" i="1"/>
  <c r="V177" i="1" s="1"/>
  <c r="AD177" i="1"/>
  <c r="AD345" i="1"/>
  <c r="P345" i="1"/>
  <c r="V345" i="1" s="1"/>
  <c r="F345" i="1" s="1"/>
  <c r="P43" i="1"/>
  <c r="V43" i="1" s="1"/>
  <c r="AA43" i="1" s="1"/>
  <c r="Z43" i="1" s="1"/>
  <c r="Y43" i="1" s="1"/>
  <c r="AD43" i="1"/>
  <c r="AD265" i="1"/>
  <c r="P265" i="1"/>
  <c r="V265" i="1" s="1"/>
  <c r="AD101" i="1"/>
  <c r="AD101" i="15"/>
  <c r="P334" i="1"/>
  <c r="V334" i="1" s="1"/>
  <c r="F334" i="1" s="1"/>
  <c r="I334" i="1" s="1"/>
  <c r="P334" i="15"/>
  <c r="V334" i="15" s="1"/>
  <c r="F334" i="15" s="1"/>
  <c r="G334" i="15" s="1"/>
  <c r="BX334" i="6" s="1"/>
  <c r="AD322" i="15"/>
  <c r="AD322" i="1"/>
  <c r="P215" i="1"/>
  <c r="V215" i="1" s="1"/>
  <c r="AD215" i="15"/>
  <c r="P181" i="1"/>
  <c r="V181" i="1" s="1"/>
  <c r="AA181" i="1" s="1"/>
  <c r="Z181" i="1" s="1"/>
  <c r="Y181" i="1" s="1"/>
  <c r="P181" i="15"/>
  <c r="V181" i="15" s="1"/>
  <c r="F181" i="15" s="1"/>
  <c r="H181" i="15" s="1"/>
  <c r="J181" i="15" s="1"/>
  <c r="S305" i="16"/>
  <c r="R305" i="16" s="1"/>
  <c r="P305" i="16" s="1"/>
  <c r="V305" i="16" s="1"/>
  <c r="F305" i="16" s="1"/>
  <c r="G305" i="16" s="1"/>
  <c r="BY305" i="6" s="1"/>
  <c r="AD30" i="15"/>
  <c r="AA30" i="15" s="1"/>
  <c r="Z30" i="15" s="1"/>
  <c r="Y30" i="15" s="1"/>
  <c r="AD30" i="1"/>
  <c r="AA30" i="1" s="1"/>
  <c r="Z30" i="1" s="1"/>
  <c r="Y30" i="1" s="1"/>
  <c r="P36" i="15"/>
  <c r="V36" i="15" s="1"/>
  <c r="F36" i="15" s="1"/>
  <c r="P36" i="1"/>
  <c r="V36" i="1" s="1"/>
  <c r="AA36" i="1" s="1"/>
  <c r="Z36" i="1" s="1"/>
  <c r="Y36" i="1" s="1"/>
  <c r="P374" i="1"/>
  <c r="V374" i="1" s="1"/>
  <c r="F374" i="1" s="1"/>
  <c r="P374" i="15"/>
  <c r="V374" i="15" s="1"/>
  <c r="F374" i="15" s="1"/>
  <c r="AA374" i="15" s="1"/>
  <c r="Z374" i="15" s="1"/>
  <c r="Y374" i="15" s="1"/>
  <c r="AD374" i="1"/>
  <c r="AD59" i="15"/>
  <c r="AD59" i="1"/>
  <c r="AA59" i="1" s="1"/>
  <c r="Z59" i="1" s="1"/>
  <c r="Y59" i="1" s="1"/>
  <c r="P59" i="15"/>
  <c r="V59" i="15" s="1"/>
  <c r="F59" i="15" s="1"/>
  <c r="G59" i="15" s="1"/>
  <c r="BX59" i="6" s="1"/>
  <c r="AD224" i="1"/>
  <c r="AD224" i="15"/>
  <c r="AA224" i="15" s="1"/>
  <c r="Z224" i="15" s="1"/>
  <c r="Y224" i="15" s="1"/>
  <c r="AD170" i="15"/>
  <c r="P170" i="15"/>
  <c r="V170" i="15" s="1"/>
  <c r="F170" i="15" s="1"/>
  <c r="H170" i="15" s="1"/>
  <c r="I170" i="15" s="1"/>
  <c r="AD36" i="15"/>
  <c r="AA36" i="15" s="1"/>
  <c r="Z36" i="15" s="1"/>
  <c r="Y36" i="15" s="1"/>
  <c r="P336" i="16"/>
  <c r="V336" i="16" s="1"/>
  <c r="F336" i="16" s="1"/>
  <c r="G336" i="16" s="1"/>
  <c r="BY336" i="6" s="1"/>
  <c r="AA45" i="1"/>
  <c r="Z45" i="1" s="1"/>
  <c r="Y45" i="1" s="1"/>
  <c r="P215" i="15"/>
  <c r="V215" i="15" s="1"/>
  <c r="F215" i="15" s="1"/>
  <c r="H215" i="15" s="1"/>
  <c r="I215" i="15" s="1"/>
  <c r="AD181" i="15"/>
  <c r="AA181" i="15" s="1"/>
  <c r="Z181" i="15" s="1"/>
  <c r="Y181" i="15" s="1"/>
  <c r="P221" i="15"/>
  <c r="V221" i="15" s="1"/>
  <c r="F221" i="15" s="1"/>
  <c r="G221" i="15" s="1"/>
  <c r="BX221" i="6" s="1"/>
  <c r="AD221" i="1"/>
  <c r="AA221" i="1" s="1"/>
  <c r="Z221" i="1" s="1"/>
  <c r="Y221" i="1" s="1"/>
  <c r="AD170" i="1"/>
  <c r="AD131" i="1"/>
  <c r="P131" i="1"/>
  <c r="V131" i="1" s="1"/>
  <c r="AA131" i="1" s="1"/>
  <c r="Z131" i="1" s="1"/>
  <c r="Y131" i="1" s="1"/>
  <c r="P378" i="15"/>
  <c r="V378" i="15" s="1"/>
  <c r="F378" i="15" s="1"/>
  <c r="G378" i="15" s="1"/>
  <c r="BX378" i="6" s="1"/>
  <c r="P378" i="1"/>
  <c r="V378" i="1" s="1"/>
  <c r="F378" i="1" s="1"/>
  <c r="P366" i="15"/>
  <c r="V366" i="15" s="1"/>
  <c r="F366" i="15" s="1"/>
  <c r="G366" i="15" s="1"/>
  <c r="BX366" i="6" s="1"/>
  <c r="P366" i="1"/>
  <c r="V366" i="1" s="1"/>
  <c r="F366" i="1" s="1"/>
  <c r="G366" i="1" s="1"/>
  <c r="BW366" i="6" s="1"/>
  <c r="AD295" i="15"/>
  <c r="P295" i="1"/>
  <c r="V295" i="1" s="1"/>
  <c r="F295" i="1" s="1"/>
  <c r="AD32" i="15"/>
  <c r="P32" i="15"/>
  <c r="V32" i="15" s="1"/>
  <c r="F32" i="15" s="1"/>
  <c r="G32" i="15" s="1"/>
  <c r="BX32" i="6" s="1"/>
  <c r="AD102" i="15"/>
  <c r="AA102" i="15" s="1"/>
  <c r="Z102" i="15" s="1"/>
  <c r="Y102" i="15" s="1"/>
  <c r="P102" i="1"/>
  <c r="V102" i="1" s="1"/>
  <c r="AD201" i="1"/>
  <c r="AD201" i="15"/>
  <c r="AD243" i="1"/>
  <c r="AA243" i="1" s="1"/>
  <c r="Z243" i="1" s="1"/>
  <c r="Y243" i="1" s="1"/>
  <c r="P243" i="15"/>
  <c r="V243" i="15" s="1"/>
  <c r="F243" i="15" s="1"/>
  <c r="H243" i="15" s="1"/>
  <c r="J243" i="15" s="1"/>
  <c r="P97" i="1"/>
  <c r="V97" i="1" s="1"/>
  <c r="AD97" i="1"/>
  <c r="AD58" i="1"/>
  <c r="AA58" i="1" s="1"/>
  <c r="Z58" i="1" s="1"/>
  <c r="Y58" i="1" s="1"/>
  <c r="P58" i="15"/>
  <c r="V58" i="15" s="1"/>
  <c r="F58" i="15" s="1"/>
  <c r="H58" i="15" s="1"/>
  <c r="J58" i="15" s="1"/>
  <c r="AD94" i="15"/>
  <c r="P94" i="15"/>
  <c r="V94" i="15" s="1"/>
  <c r="F94" i="15" s="1"/>
  <c r="G94" i="15" s="1"/>
  <c r="BX94" i="6" s="1"/>
  <c r="AD272" i="1"/>
  <c r="AA272" i="1" s="1"/>
  <c r="Z272" i="1" s="1"/>
  <c r="Y272" i="1" s="1"/>
  <c r="P272" i="15"/>
  <c r="V272" i="15" s="1"/>
  <c r="F272" i="15" s="1"/>
  <c r="AD220" i="1"/>
  <c r="P220" i="1"/>
  <c r="V220" i="1" s="1"/>
  <c r="AD115" i="1"/>
  <c r="P115" i="1"/>
  <c r="V115" i="1" s="1"/>
  <c r="AD305" i="1"/>
  <c r="P305" i="15"/>
  <c r="V305" i="15" s="1"/>
  <c r="F305" i="15" s="1"/>
  <c r="G305" i="15" s="1"/>
  <c r="BX305" i="6" s="1"/>
  <c r="AD359" i="15"/>
  <c r="P359" i="15"/>
  <c r="V359" i="15" s="1"/>
  <c r="F359" i="15" s="1"/>
  <c r="G359" i="15" s="1"/>
  <c r="BX359" i="6" s="1"/>
  <c r="AD308" i="15"/>
  <c r="AD308" i="1"/>
  <c r="AA308" i="1" s="1"/>
  <c r="Z308" i="1" s="1"/>
  <c r="Y308" i="1" s="1"/>
  <c r="AD81" i="15"/>
  <c r="AA81" i="15" s="1"/>
  <c r="Z81" i="15" s="1"/>
  <c r="Y81" i="15" s="1"/>
  <c r="P81" i="1"/>
  <c r="V81" i="1" s="1"/>
  <c r="AD81" i="1"/>
  <c r="AD65" i="15"/>
  <c r="AD65" i="1"/>
  <c r="AA65" i="1" s="1"/>
  <c r="Z65" i="1" s="1"/>
  <c r="Y65" i="1" s="1"/>
  <c r="P65" i="15"/>
  <c r="V65" i="15" s="1"/>
  <c r="F65" i="15" s="1"/>
  <c r="G65" i="15" s="1"/>
  <c r="BX65" i="6" s="1"/>
  <c r="P236" i="1"/>
  <c r="V236" i="1" s="1"/>
  <c r="AD236" i="1"/>
  <c r="AD136" i="15"/>
  <c r="AA136" i="15" s="1"/>
  <c r="Z136" i="15" s="1"/>
  <c r="Y136" i="15" s="1"/>
  <c r="AD136" i="1"/>
  <c r="AA136" i="1" s="1"/>
  <c r="Z136" i="1" s="1"/>
  <c r="Y136" i="1" s="1"/>
  <c r="P179" i="1"/>
  <c r="V179" i="1" s="1"/>
  <c r="AD179" i="1"/>
  <c r="P179" i="15"/>
  <c r="V179" i="15" s="1"/>
  <c r="F179" i="15" s="1"/>
  <c r="AD141" i="15"/>
  <c r="AD141" i="1"/>
  <c r="P141" i="1"/>
  <c r="V141" i="1" s="1"/>
  <c r="AD318" i="15"/>
  <c r="AD318" i="1"/>
  <c r="AD349" i="15"/>
  <c r="P349" i="1"/>
  <c r="V349" i="1" s="1"/>
  <c r="P349" i="15"/>
  <c r="V349" i="15" s="1"/>
  <c r="F349" i="15" s="1"/>
  <c r="P316" i="15"/>
  <c r="V316" i="15" s="1"/>
  <c r="F316" i="15" s="1"/>
  <c r="G316" i="15" s="1"/>
  <c r="BX316" i="6" s="1"/>
  <c r="AD316" i="15"/>
  <c r="AD339" i="1"/>
  <c r="P339" i="1"/>
  <c r="V339" i="1" s="1"/>
  <c r="F339" i="1" s="1"/>
  <c r="AD372" i="15"/>
  <c r="AA372" i="15" s="1"/>
  <c r="Z372" i="15" s="1"/>
  <c r="Y372" i="15" s="1"/>
  <c r="P372" i="1"/>
  <c r="V372" i="1" s="1"/>
  <c r="F372" i="1" s="1"/>
  <c r="G372" i="1" s="1"/>
  <c r="BW372" i="6" s="1"/>
  <c r="AD130" i="1"/>
  <c r="AA130" i="1" s="1"/>
  <c r="Z130" i="1" s="1"/>
  <c r="Y130" i="1" s="1"/>
  <c r="AD130" i="15"/>
  <c r="P130" i="15"/>
  <c r="V130" i="15" s="1"/>
  <c r="F130" i="15" s="1"/>
  <c r="G130" i="15" s="1"/>
  <c r="BX130" i="6" s="1"/>
  <c r="P304" i="1"/>
  <c r="V304" i="1" s="1"/>
  <c r="F304" i="1" s="1"/>
  <c r="AD304" i="15"/>
  <c r="AA304" i="15" s="1"/>
  <c r="Z304" i="15" s="1"/>
  <c r="Y304" i="15" s="1"/>
  <c r="P192" i="15"/>
  <c r="V192" i="15" s="1"/>
  <c r="F192" i="15" s="1"/>
  <c r="AD192" i="15"/>
  <c r="AD192" i="1"/>
  <c r="AD355" i="15"/>
  <c r="AA355" i="15" s="1"/>
  <c r="Z355" i="15" s="1"/>
  <c r="Y355" i="15" s="1"/>
  <c r="P355" i="1"/>
  <c r="V355" i="1" s="1"/>
  <c r="F355" i="1" s="1"/>
  <c r="I355" i="1" s="1"/>
  <c r="H355" i="15" s="1"/>
  <c r="P335" i="15"/>
  <c r="V335" i="15" s="1"/>
  <c r="F335" i="15" s="1"/>
  <c r="G335" i="15" s="1"/>
  <c r="BX335" i="6" s="1"/>
  <c r="AD335" i="15"/>
  <c r="P264" i="1"/>
  <c r="V264" i="1" s="1"/>
  <c r="AA264" i="1" s="1"/>
  <c r="Z264" i="1" s="1"/>
  <c r="Y264" i="1" s="1"/>
  <c r="P264" i="15"/>
  <c r="V264" i="15" s="1"/>
  <c r="F264" i="15" s="1"/>
  <c r="AD264" i="15"/>
  <c r="P340" i="1"/>
  <c r="V340" i="1" s="1"/>
  <c r="F340" i="1" s="1"/>
  <c r="I340" i="1" s="1"/>
  <c r="P340" i="15"/>
  <c r="V340" i="15" s="1"/>
  <c r="F340" i="15" s="1"/>
  <c r="AA340" i="15" s="1"/>
  <c r="Z340" i="15" s="1"/>
  <c r="Y340" i="15" s="1"/>
  <c r="AD221" i="15"/>
  <c r="P224" i="1"/>
  <c r="V224" i="1" s="1"/>
  <c r="P170" i="1"/>
  <c r="V170" i="1" s="1"/>
  <c r="P255" i="16"/>
  <c r="V255" i="16" s="1"/>
  <c r="F255" i="16" s="1"/>
  <c r="G255" i="16" s="1"/>
  <c r="BY255" i="6" s="1"/>
  <c r="P236" i="16"/>
  <c r="V236" i="16" s="1"/>
  <c r="F236" i="16" s="1"/>
  <c r="G236" i="16" s="1"/>
  <c r="BY236" i="6" s="1"/>
  <c r="P343" i="16"/>
  <c r="V343" i="16" s="1"/>
  <c r="AD70" i="1"/>
  <c r="P70" i="1"/>
  <c r="V70" i="1" s="1"/>
  <c r="AD70" i="15"/>
  <c r="P109" i="15"/>
  <c r="V109" i="15" s="1"/>
  <c r="F109" i="15" s="1"/>
  <c r="G109" i="15" s="1"/>
  <c r="BX109" i="6" s="1"/>
  <c r="AD109" i="1"/>
  <c r="AA109" i="1" s="1"/>
  <c r="Z109" i="1" s="1"/>
  <c r="Y109" i="1" s="1"/>
  <c r="AD109" i="15"/>
  <c r="AD223" i="15"/>
  <c r="AD223" i="1"/>
  <c r="AD219" i="15"/>
  <c r="AD219" i="1"/>
  <c r="AA219" i="1" s="1"/>
  <c r="Z219" i="1" s="1"/>
  <c r="Y219" i="1" s="1"/>
  <c r="P219" i="15"/>
  <c r="AD357" i="15"/>
  <c r="AD357" i="1"/>
  <c r="P313" i="15"/>
  <c r="V313" i="15" s="1"/>
  <c r="F313" i="15" s="1"/>
  <c r="G313" i="15" s="1"/>
  <c r="BX313" i="6" s="1"/>
  <c r="P313" i="1"/>
  <c r="V313" i="1" s="1"/>
  <c r="F313" i="1" s="1"/>
  <c r="I313" i="1" s="1"/>
  <c r="AD313" i="1"/>
  <c r="P328" i="1"/>
  <c r="V328" i="1" s="1"/>
  <c r="F328" i="1" s="1"/>
  <c r="I328" i="1" s="1"/>
  <c r="P328" i="15"/>
  <c r="V328" i="15" s="1"/>
  <c r="F328" i="15" s="1"/>
  <c r="G328" i="15" s="1"/>
  <c r="BX328" i="6" s="1"/>
  <c r="AD328" i="15"/>
  <c r="AD24" i="1"/>
  <c r="AD24" i="15"/>
  <c r="P151" i="1"/>
  <c r="V151" i="1" s="1"/>
  <c r="AD151" i="1"/>
  <c r="AD151" i="15"/>
  <c r="P209" i="15"/>
  <c r="V209" i="15" s="1"/>
  <c r="F209" i="15" s="1"/>
  <c r="G209" i="15" s="1"/>
  <c r="BX209" i="6" s="1"/>
  <c r="AD209" i="1"/>
  <c r="AA209" i="1" s="1"/>
  <c r="Z209" i="1" s="1"/>
  <c r="Y209" i="1" s="1"/>
  <c r="P234" i="1"/>
  <c r="V234" i="1" s="1"/>
  <c r="AA234" i="1" s="1"/>
  <c r="Z234" i="1" s="1"/>
  <c r="Y234" i="1" s="1"/>
  <c r="P234" i="15"/>
  <c r="V234" i="15" s="1"/>
  <c r="F234" i="15" s="1"/>
  <c r="H234" i="15" s="1"/>
  <c r="AD234" i="15"/>
  <c r="AD230" i="15"/>
  <c r="P230" i="1"/>
  <c r="V230" i="1" s="1"/>
  <c r="P126" i="15"/>
  <c r="V126" i="15" s="1"/>
  <c r="F126" i="15" s="1"/>
  <c r="P126" i="1"/>
  <c r="V126" i="1" s="1"/>
  <c r="AD148" i="1"/>
  <c r="P148" i="15"/>
  <c r="V148" i="15" s="1"/>
  <c r="F148" i="15" s="1"/>
  <c r="H148" i="15" s="1"/>
  <c r="P42" i="15"/>
  <c r="V42" i="15" s="1"/>
  <c r="F42" i="15" s="1"/>
  <c r="P42" i="16"/>
  <c r="V42" i="16" s="1"/>
  <c r="F42" i="16" s="1"/>
  <c r="G42" i="16" s="1"/>
  <c r="BY42" i="6" s="1"/>
  <c r="AD96" i="1"/>
  <c r="AD96" i="15"/>
  <c r="P96" i="1"/>
  <c r="V96" i="1" s="1"/>
  <c r="P373" i="15"/>
  <c r="V373" i="15" s="1"/>
  <c r="F373" i="15" s="1"/>
  <c r="G373" i="15" s="1"/>
  <c r="BX373" i="6" s="1"/>
  <c r="AD373" i="1"/>
  <c r="AD229" i="1"/>
  <c r="AA229" i="1" s="1"/>
  <c r="Z229" i="1" s="1"/>
  <c r="Y229" i="1" s="1"/>
  <c r="P229" i="15"/>
  <c r="V229" i="15" s="1"/>
  <c r="F229" i="15" s="1"/>
  <c r="H229" i="15" s="1"/>
  <c r="I229" i="15" s="1"/>
  <c r="P377" i="1"/>
  <c r="V377" i="1" s="1"/>
  <c r="F377" i="1" s="1"/>
  <c r="I377" i="1" s="1"/>
  <c r="P377" i="15"/>
  <c r="V377" i="15" s="1"/>
  <c r="F377" i="15" s="1"/>
  <c r="G377" i="15" s="1"/>
  <c r="BX377" i="6" s="1"/>
  <c r="AA176" i="1"/>
  <c r="Z176" i="1" s="1"/>
  <c r="Y176" i="1" s="1"/>
  <c r="AA255" i="1"/>
  <c r="Z255" i="1" s="1"/>
  <c r="Y255" i="1" s="1"/>
  <c r="AD189" i="1"/>
  <c r="AA189" i="1" s="1"/>
  <c r="Z189" i="1" s="1"/>
  <c r="Y189" i="1" s="1"/>
  <c r="P189" i="15"/>
  <c r="V189" i="15" s="1"/>
  <c r="F189" i="15" s="1"/>
  <c r="O382" i="20"/>
  <c r="O381" i="20"/>
  <c r="O383" i="20"/>
  <c r="E8" i="22"/>
  <c r="K17" i="19" s="1"/>
  <c r="K41" i="19" s="1"/>
  <c r="E7" i="22"/>
  <c r="O10" i="22" s="1"/>
  <c r="AA44" i="15"/>
  <c r="Z44" i="15" s="1"/>
  <c r="Y44" i="15" s="1"/>
  <c r="G44" i="15"/>
  <c r="BX44" i="6" s="1"/>
  <c r="AD205" i="15"/>
  <c r="AD55" i="15"/>
  <c r="P174" i="1"/>
  <c r="V174" i="1" s="1"/>
  <c r="AA174" i="1" s="1"/>
  <c r="Z174" i="1" s="1"/>
  <c r="Y174" i="1" s="1"/>
  <c r="AD367" i="1"/>
  <c r="P40" i="1"/>
  <c r="V40" i="1" s="1"/>
  <c r="AA40" i="1" s="1"/>
  <c r="Z40" i="1" s="1"/>
  <c r="Y40" i="1" s="1"/>
  <c r="AD199" i="1"/>
  <c r="P124" i="15"/>
  <c r="V124" i="15" s="1"/>
  <c r="F124" i="15" s="1"/>
  <c r="G124" i="15" s="1"/>
  <c r="BX124" i="6" s="1"/>
  <c r="P300" i="1"/>
  <c r="V300" i="1" s="1"/>
  <c r="F300" i="1" s="1"/>
  <c r="G300" i="1" s="1"/>
  <c r="BW300" i="6" s="1"/>
  <c r="P278" i="15"/>
  <c r="V278" i="15" s="1"/>
  <c r="F278" i="15" s="1"/>
  <c r="H278" i="15" s="1"/>
  <c r="AD285" i="1"/>
  <c r="P82" i="15"/>
  <c r="V82" i="15" s="1"/>
  <c r="F82" i="15" s="1"/>
  <c r="G82" i="15" s="1"/>
  <c r="BX82" i="6" s="1"/>
  <c r="P216" i="15"/>
  <c r="V216" i="15" s="1"/>
  <c r="F216" i="15" s="1"/>
  <c r="G216" i="15" s="1"/>
  <c r="BX216" i="6" s="1"/>
  <c r="P276" i="1"/>
  <c r="V276" i="1" s="1"/>
  <c r="AA276" i="1" s="1"/>
  <c r="Z276" i="1" s="1"/>
  <c r="Y276" i="1" s="1"/>
  <c r="P205" i="1"/>
  <c r="V205" i="1" s="1"/>
  <c r="AA205" i="1" s="1"/>
  <c r="Z205" i="1" s="1"/>
  <c r="Y205" i="1" s="1"/>
  <c r="AD35" i="1"/>
  <c r="AD184" i="15"/>
  <c r="P227" i="1"/>
  <c r="V227" i="1" s="1"/>
  <c r="AA227" i="1" s="1"/>
  <c r="Z227" i="1" s="1"/>
  <c r="Y227" i="1" s="1"/>
  <c r="AD330" i="1"/>
  <c r="P146" i="15"/>
  <c r="V146" i="15" s="1"/>
  <c r="F146" i="15" s="1"/>
  <c r="H146" i="15" s="1"/>
  <c r="AD367" i="15"/>
  <c r="AD347" i="1"/>
  <c r="P73" i="1"/>
  <c r="V73" i="1" s="1"/>
  <c r="P320" i="15"/>
  <c r="V320" i="15" s="1"/>
  <c r="F320" i="15" s="1"/>
  <c r="G320" i="15" s="1"/>
  <c r="BX320" i="6" s="1"/>
  <c r="AD336" i="1"/>
  <c r="P157" i="15"/>
  <c r="V157" i="15" s="1"/>
  <c r="F157" i="15" s="1"/>
  <c r="H157" i="15" s="1"/>
  <c r="P200" i="15"/>
  <c r="V200" i="15" s="1"/>
  <c r="F200" i="15" s="1"/>
  <c r="G200" i="15" s="1"/>
  <c r="BX200" i="6" s="1"/>
  <c r="AD319" i="1"/>
  <c r="AD67" i="1"/>
  <c r="P375" i="15"/>
  <c r="V375" i="15" s="1"/>
  <c r="F375" i="15" s="1"/>
  <c r="G375" i="15" s="1"/>
  <c r="BX375" i="6" s="1"/>
  <c r="P353" i="1"/>
  <c r="V353" i="1" s="1"/>
  <c r="F353" i="1" s="1"/>
  <c r="I353" i="1" s="1"/>
  <c r="P263" i="15"/>
  <c r="V263" i="15" s="1"/>
  <c r="F263" i="15" s="1"/>
  <c r="G263" i="15" s="1"/>
  <c r="BX263" i="6" s="1"/>
  <c r="AD132" i="15"/>
  <c r="P294" i="15"/>
  <c r="V294" i="15" s="1"/>
  <c r="F294" i="15" s="1"/>
  <c r="AD120" i="1"/>
  <c r="AD281" i="15"/>
  <c r="P25" i="15"/>
  <c r="V25" i="15" s="1"/>
  <c r="F25" i="15" s="1"/>
  <c r="G25" i="15" s="1"/>
  <c r="BX25" i="6" s="1"/>
  <c r="AD163" i="15"/>
  <c r="AD232" i="1"/>
  <c r="AA232" i="1" s="1"/>
  <c r="Z232" i="1" s="1"/>
  <c r="Y232" i="1" s="1"/>
  <c r="P110" i="1"/>
  <c r="V110" i="1" s="1"/>
  <c r="P232" i="15"/>
  <c r="P33" i="15"/>
  <c r="V33" i="15" s="1"/>
  <c r="F33" i="15" s="1"/>
  <c r="P135" i="15"/>
  <c r="P62" i="1"/>
  <c r="V62" i="1" s="1"/>
  <c r="AA62" i="1" s="1"/>
  <c r="Z62" i="1" s="1"/>
  <c r="Y62" i="1" s="1"/>
  <c r="AD235" i="15"/>
  <c r="P280" i="1"/>
  <c r="V280" i="1" s="1"/>
  <c r="P163" i="15"/>
  <c r="V163" i="15" s="1"/>
  <c r="F163" i="15" s="1"/>
  <c r="H163" i="15" s="1"/>
  <c r="I163" i="15" s="1"/>
  <c r="P38" i="15"/>
  <c r="V38" i="15" s="1"/>
  <c r="F38" i="15" s="1"/>
  <c r="G38" i="15" s="1"/>
  <c r="BX38" i="6" s="1"/>
  <c r="AD351" i="15"/>
  <c r="AA351" i="15" s="1"/>
  <c r="Z351" i="15" s="1"/>
  <c r="Y351" i="15" s="1"/>
  <c r="P351" i="1"/>
  <c r="V351" i="1" s="1"/>
  <c r="F351" i="1" s="1"/>
  <c r="G351" i="1" s="1"/>
  <c r="BW351" i="6" s="1"/>
  <c r="P85" i="1"/>
  <c r="V85" i="1" s="1"/>
  <c r="AD110" i="15"/>
  <c r="AD360" i="15"/>
  <c r="AD118" i="1"/>
  <c r="AD251" i="15"/>
  <c r="P121" i="15"/>
  <c r="V121" i="15" s="1"/>
  <c r="F121" i="15" s="1"/>
  <c r="G121" i="15" s="1"/>
  <c r="BX121" i="6" s="1"/>
  <c r="AD91" i="15"/>
  <c r="AD317" i="1"/>
  <c r="P228" i="1"/>
  <c r="V228" i="1" s="1"/>
  <c r="AA228" i="1" s="1"/>
  <c r="Z228" i="1" s="1"/>
  <c r="Y228" i="1" s="1"/>
  <c r="AD313" i="15"/>
  <c r="P35" i="15"/>
  <c r="V35" i="15" s="1"/>
  <c r="F35" i="15" s="1"/>
  <c r="H35" i="15" s="1"/>
  <c r="J35" i="15" s="1"/>
  <c r="AD146" i="1"/>
  <c r="AD196" i="15"/>
  <c r="P96" i="15"/>
  <c r="V96" i="15" s="1"/>
  <c r="F96" i="15" s="1"/>
  <c r="G96" i="15" s="1"/>
  <c r="BX96" i="6" s="1"/>
  <c r="AD353" i="1"/>
  <c r="P24" i="16"/>
  <c r="V24" i="16" s="1"/>
  <c r="F24" i="16" s="1"/>
  <c r="G24" i="16" s="1"/>
  <c r="BY24" i="6" s="1"/>
  <c r="AD209" i="15"/>
  <c r="P324" i="1"/>
  <c r="V324" i="1" s="1"/>
  <c r="F324" i="1" s="1"/>
  <c r="G324" i="1" s="1"/>
  <c r="BW324" i="6" s="1"/>
  <c r="AD202" i="15"/>
  <c r="P221" i="16"/>
  <c r="V221" i="16" s="1"/>
  <c r="F221" i="16" s="1"/>
  <c r="G221" i="16" s="1"/>
  <c r="BY221" i="6" s="1"/>
  <c r="P42" i="1"/>
  <c r="V42" i="1" s="1"/>
  <c r="AD229" i="15"/>
  <c r="AD258" i="1"/>
  <c r="AA258" i="1" s="1"/>
  <c r="Z258" i="1" s="1"/>
  <c r="Y258" i="1" s="1"/>
  <c r="U381" i="16"/>
  <c r="P258" i="15"/>
  <c r="V258" i="15" s="1"/>
  <c r="F258" i="15" s="1"/>
  <c r="G258" i="15" s="1"/>
  <c r="BX258" i="6" s="1"/>
  <c r="AD328" i="1"/>
  <c r="AA328" i="1" s="1"/>
  <c r="Z328" i="1" s="1"/>
  <c r="Y328" i="1" s="1"/>
  <c r="P377" i="16"/>
  <c r="V377" i="16" s="1"/>
  <c r="F377" i="16" s="1"/>
  <c r="G377" i="16" s="1"/>
  <c r="BY377" i="6" s="1"/>
  <c r="P18" i="16"/>
  <c r="V18" i="16" s="1"/>
  <c r="F18" i="16" s="1"/>
  <c r="G18" i="16" s="1"/>
  <c r="BY18" i="6" s="1"/>
  <c r="U382" i="16"/>
  <c r="P108" i="15"/>
  <c r="V108" i="15" s="1"/>
  <c r="F108" i="15" s="1"/>
  <c r="AD108" i="15"/>
  <c r="P252" i="16"/>
  <c r="V252" i="16" s="1"/>
  <c r="F252" i="16" s="1"/>
  <c r="G252" i="16" s="1"/>
  <c r="BY252" i="6" s="1"/>
  <c r="AD230" i="1"/>
  <c r="AD371" i="15"/>
  <c r="AD112" i="15"/>
  <c r="AA112" i="15" s="1"/>
  <c r="Z112" i="15" s="1"/>
  <c r="Y112" i="15" s="1"/>
  <c r="P217" i="1"/>
  <c r="V217" i="1" s="1"/>
  <c r="P158" i="15"/>
  <c r="V158" i="15" s="1"/>
  <c r="F158" i="15" s="1"/>
  <c r="H158" i="15" s="1"/>
  <c r="P199" i="1"/>
  <c r="V199" i="1" s="1"/>
  <c r="AD252" i="1"/>
  <c r="P123" i="1"/>
  <c r="V123" i="1" s="1"/>
  <c r="AD158" i="1"/>
  <c r="AA158" i="1" s="1"/>
  <c r="Z158" i="1" s="1"/>
  <c r="Y158" i="1" s="1"/>
  <c r="P371" i="1"/>
  <c r="V371" i="1" s="1"/>
  <c r="F371" i="1" s="1"/>
  <c r="G371" i="1" s="1"/>
  <c r="BW371" i="6" s="1"/>
  <c r="P64" i="1"/>
  <c r="V64" i="1" s="1"/>
  <c r="P40" i="15"/>
  <c r="V40" i="15" s="1"/>
  <c r="F40" i="15" s="1"/>
  <c r="H40" i="15" s="1"/>
  <c r="AD112" i="1"/>
  <c r="AA112" i="1" s="1"/>
  <c r="Z112" i="1" s="1"/>
  <c r="Y112" i="1" s="1"/>
  <c r="P199" i="15"/>
  <c r="V199" i="15" s="1"/>
  <c r="F199" i="15" s="1"/>
  <c r="G199" i="15" s="1"/>
  <c r="BX199" i="6" s="1"/>
  <c r="P187" i="15"/>
  <c r="V187" i="15" s="1"/>
  <c r="F187" i="15" s="1"/>
  <c r="H187" i="15" s="1"/>
  <c r="P300" i="15"/>
  <c r="V300" i="15" s="1"/>
  <c r="F300" i="15" s="1"/>
  <c r="G300" i="15" s="1"/>
  <c r="BX300" i="6" s="1"/>
  <c r="AD239" i="1"/>
  <c r="P285" i="1"/>
  <c r="V285" i="1" s="1"/>
  <c r="AD82" i="1"/>
  <c r="P216" i="1"/>
  <c r="V216" i="1" s="1"/>
  <c r="P276" i="15"/>
  <c r="V276" i="15" s="1"/>
  <c r="F276" i="15" s="1"/>
  <c r="H276" i="15" s="1"/>
  <c r="AD363" i="1"/>
  <c r="AD288" i="1"/>
  <c r="P288" i="1"/>
  <c r="V288" i="1" s="1"/>
  <c r="F288" i="1" s="1"/>
  <c r="AD233" i="1"/>
  <c r="P233" i="1"/>
  <c r="V233" i="1" s="1"/>
  <c r="P35" i="1"/>
  <c r="V35" i="1" s="1"/>
  <c r="AD184" i="1"/>
  <c r="AA184" i="1" s="1"/>
  <c r="Z184" i="1" s="1"/>
  <c r="Y184" i="1" s="1"/>
  <c r="AD17" i="1"/>
  <c r="AD178" i="15"/>
  <c r="AA178" i="15" s="1"/>
  <c r="Z178" i="15" s="1"/>
  <c r="Y178" i="15" s="1"/>
  <c r="P111" i="16"/>
  <c r="AD111" i="15"/>
  <c r="AA111" i="15" s="1"/>
  <c r="Z111" i="15" s="1"/>
  <c r="Y111" i="15" s="1"/>
  <c r="P190" i="1"/>
  <c r="V190" i="1" s="1"/>
  <c r="P357" i="15"/>
  <c r="V357" i="15" s="1"/>
  <c r="F357" i="15" s="1"/>
  <c r="G357" i="15" s="1"/>
  <c r="BX357" i="6" s="1"/>
  <c r="P312" i="1"/>
  <c r="V312" i="1" s="1"/>
  <c r="F312" i="1" s="1"/>
  <c r="AD84" i="15"/>
  <c r="AA84" i="15" s="1"/>
  <c r="Z84" i="15" s="1"/>
  <c r="Y84" i="15" s="1"/>
  <c r="P173" i="15"/>
  <c r="V173" i="15" s="1"/>
  <c r="F173" i="15" s="1"/>
  <c r="G173" i="15" s="1"/>
  <c r="BX173" i="6" s="1"/>
  <c r="P230" i="15"/>
  <c r="V230" i="15" s="1"/>
  <c r="F230" i="15" s="1"/>
  <c r="H230" i="15" s="1"/>
  <c r="AD148" i="15"/>
  <c r="P148" i="1"/>
  <c r="V148" i="1" s="1"/>
  <c r="AD282" i="15"/>
  <c r="AD64" i="1"/>
  <c r="P238" i="15"/>
  <c r="V238" i="15" s="1"/>
  <c r="F238" i="15" s="1"/>
  <c r="H238" i="15" s="1"/>
  <c r="P239" i="15"/>
  <c r="V239" i="15" s="1"/>
  <c r="F239" i="15" s="1"/>
  <c r="G239" i="15" s="1"/>
  <c r="BX239" i="6" s="1"/>
  <c r="AD216" i="1"/>
  <c r="AD154" i="1"/>
  <c r="AA154" i="1" s="1"/>
  <c r="Z154" i="1" s="1"/>
  <c r="Y154" i="1" s="1"/>
  <c r="AD280" i="15"/>
  <c r="P251" i="1"/>
  <c r="V251" i="1" s="1"/>
  <c r="AA251" i="1" s="1"/>
  <c r="Z251" i="1" s="1"/>
  <c r="Y251" i="1" s="1"/>
  <c r="AD232" i="15"/>
  <c r="AD159" i="15"/>
  <c r="AA159" i="15" s="1"/>
  <c r="Z159" i="15" s="1"/>
  <c r="Y159" i="15" s="1"/>
  <c r="AD85" i="1"/>
  <c r="AA85" i="1" s="1"/>
  <c r="Z85" i="1" s="1"/>
  <c r="Y85" i="1" s="1"/>
  <c r="AD286" i="15"/>
  <c r="P286" i="15"/>
  <c r="V286" i="15" s="1"/>
  <c r="F286" i="15" s="1"/>
  <c r="G286" i="15" s="1"/>
  <c r="BX286" i="6" s="1"/>
  <c r="AD135" i="15"/>
  <c r="AD62" i="15"/>
  <c r="P235" i="1"/>
  <c r="V235" i="1" s="1"/>
  <c r="AA235" i="1" s="1"/>
  <c r="Z235" i="1" s="1"/>
  <c r="Y235" i="1" s="1"/>
  <c r="AD280" i="1"/>
  <c r="AD163" i="1"/>
  <c r="AA163" i="1" s="1"/>
  <c r="Z163" i="1" s="1"/>
  <c r="Y163" i="1" s="1"/>
  <c r="AD38" i="1"/>
  <c r="AA38" i="1" s="1"/>
  <c r="Z38" i="1" s="1"/>
  <c r="Y38" i="1" s="1"/>
  <c r="P38" i="16"/>
  <c r="V38" i="16" s="1"/>
  <c r="F38" i="16" s="1"/>
  <c r="G38" i="16" s="1"/>
  <c r="BY38" i="6" s="1"/>
  <c r="AD360" i="1"/>
  <c r="AA360" i="1" s="1"/>
  <c r="Z360" i="1" s="1"/>
  <c r="Y360" i="1" s="1"/>
  <c r="P118" i="15"/>
  <c r="V118" i="15" s="1"/>
  <c r="F118" i="15" s="1"/>
  <c r="G118" i="15" s="1"/>
  <c r="BX118" i="6" s="1"/>
  <c r="P53" i="15"/>
  <c r="V53" i="15" s="1"/>
  <c r="F53" i="15" s="1"/>
  <c r="H53" i="15" s="1"/>
  <c r="J53" i="15" s="1"/>
  <c r="AD53" i="15"/>
  <c r="P138" i="15"/>
  <c r="V138" i="15" s="1"/>
  <c r="F138" i="15" s="1"/>
  <c r="G138" i="15" s="1"/>
  <c r="BX138" i="6" s="1"/>
  <c r="AD138" i="1"/>
  <c r="AA138" i="1" s="1"/>
  <c r="Z138" i="1" s="1"/>
  <c r="Y138" i="1" s="1"/>
  <c r="P121" i="1"/>
  <c r="V121" i="1" s="1"/>
  <c r="AA121" i="1" s="1"/>
  <c r="Z121" i="1" s="1"/>
  <c r="Y121" i="1" s="1"/>
  <c r="P91" i="15"/>
  <c r="V91" i="15" s="1"/>
  <c r="F91" i="15" s="1"/>
  <c r="P317" i="1"/>
  <c r="V317" i="1" s="1"/>
  <c r="F317" i="1" s="1"/>
  <c r="G317" i="1" s="1"/>
  <c r="BW317" i="6" s="1"/>
  <c r="AD317" i="15"/>
  <c r="AA317" i="15" s="1"/>
  <c r="Z317" i="15" s="1"/>
  <c r="Y317" i="15" s="1"/>
  <c r="AD361" i="15"/>
  <c r="AD244" i="1"/>
  <c r="AA244" i="1" s="1"/>
  <c r="Z244" i="1" s="1"/>
  <c r="Y244" i="1" s="1"/>
  <c r="P362" i="1"/>
  <c r="V362" i="1" s="1"/>
  <c r="F362" i="1" s="1"/>
  <c r="P144" i="1"/>
  <c r="V144" i="1" s="1"/>
  <c r="AD325" i="15"/>
  <c r="P24" i="15"/>
  <c r="V24" i="15" s="1"/>
  <c r="F24" i="15" s="1"/>
  <c r="H24" i="15" s="1"/>
  <c r="AD300" i="1"/>
  <c r="AD245" i="15"/>
  <c r="AA245" i="15" s="1"/>
  <c r="Z245" i="15" s="1"/>
  <c r="Y245" i="15" s="1"/>
  <c r="AD158" i="15"/>
  <c r="AD347" i="15"/>
  <c r="AD248" i="1"/>
  <c r="P24" i="1"/>
  <c r="V24" i="1" s="1"/>
  <c r="AD200" i="15"/>
  <c r="P151" i="15"/>
  <c r="V151" i="15" s="1"/>
  <c r="F151" i="15" s="1"/>
  <c r="P299" i="1"/>
  <c r="V299" i="1" s="1"/>
  <c r="F299" i="1" s="1"/>
  <c r="P324" i="15"/>
  <c r="V324" i="15" s="1"/>
  <c r="F324" i="15" s="1"/>
  <c r="G324" i="15" s="1"/>
  <c r="BX324" i="6" s="1"/>
  <c r="AD324" i="15"/>
  <c r="AD126" i="15"/>
  <c r="AD126" i="1"/>
  <c r="AD42" i="1"/>
  <c r="AA42" i="1" s="1"/>
  <c r="Z42" i="1" s="1"/>
  <c r="Y42" i="1" s="1"/>
  <c r="AD42" i="15"/>
  <c r="AD266" i="1"/>
  <c r="P266" i="1"/>
  <c r="V266" i="1" s="1"/>
  <c r="AD353" i="15"/>
  <c r="U383" i="16"/>
  <c r="P357" i="1"/>
  <c r="V357" i="1" s="1"/>
  <c r="F357" i="1" s="1"/>
  <c r="AD299" i="15"/>
  <c r="AA299" i="15" s="1"/>
  <c r="Z299" i="15" s="1"/>
  <c r="Y299" i="15" s="1"/>
  <c r="AD111" i="1"/>
  <c r="P148" i="16"/>
  <c r="V148" i="16" s="1"/>
  <c r="F148" i="16" s="1"/>
  <c r="G148" i="16" s="1"/>
  <c r="BY148" i="6" s="1"/>
  <c r="P192" i="16"/>
  <c r="V192" i="16" s="1"/>
  <c r="F192" i="16" s="1"/>
  <c r="G192" i="16" s="1"/>
  <c r="BY192" i="6" s="1"/>
  <c r="P120" i="16"/>
  <c r="V120" i="16" s="1"/>
  <c r="F120" i="16" s="1"/>
  <c r="G120" i="16" s="1"/>
  <c r="BY120" i="6" s="1"/>
  <c r="P36" i="16"/>
  <c r="V36" i="16" s="1"/>
  <c r="F36" i="16" s="1"/>
  <c r="G36" i="16" s="1"/>
  <c r="BY36" i="6" s="1"/>
  <c r="AD168" i="1"/>
  <c r="P168" i="1"/>
  <c r="V168" i="1" s="1"/>
  <c r="P207" i="1"/>
  <c r="V207" i="1" s="1"/>
  <c r="AD207" i="1"/>
  <c r="P329" i="15"/>
  <c r="V329" i="15" s="1"/>
  <c r="F329" i="15" s="1"/>
  <c r="G329" i="15" s="1"/>
  <c r="BX329" i="6" s="1"/>
  <c r="P329" i="1"/>
  <c r="V329" i="1" s="1"/>
  <c r="F329" i="1" s="1"/>
  <c r="G329" i="1" s="1"/>
  <c r="BW329" i="6" s="1"/>
  <c r="AD75" i="15"/>
  <c r="P83" i="1"/>
  <c r="V83" i="1" s="1"/>
  <c r="AA83" i="1" s="1"/>
  <c r="Z83" i="1" s="1"/>
  <c r="Y83" i="1" s="1"/>
  <c r="AD78" i="15"/>
  <c r="P195" i="15"/>
  <c r="V195" i="15" s="1"/>
  <c r="F195" i="15" s="1"/>
  <c r="H195" i="15" s="1"/>
  <c r="P213" i="15"/>
  <c r="V213" i="15" s="1"/>
  <c r="F213" i="15" s="1"/>
  <c r="H213" i="15" s="1"/>
  <c r="P26" i="1"/>
  <c r="V26" i="1" s="1"/>
  <c r="AD28" i="15"/>
  <c r="AA28" i="15" s="1"/>
  <c r="Z28" i="15" s="1"/>
  <c r="Y28" i="15" s="1"/>
  <c r="AD167" i="15"/>
  <c r="AD222" i="15"/>
  <c r="AA222" i="15" s="1"/>
  <c r="Z222" i="15" s="1"/>
  <c r="Y222" i="15" s="1"/>
  <c r="AD105" i="15"/>
  <c r="P347" i="1"/>
  <c r="V347" i="1" s="1"/>
  <c r="F347" i="1" s="1"/>
  <c r="P347" i="15"/>
  <c r="V347" i="15" s="1"/>
  <c r="F347" i="15" s="1"/>
  <c r="AD161" i="1"/>
  <c r="P346" i="15"/>
  <c r="V346" i="15" s="1"/>
  <c r="F346" i="15" s="1"/>
  <c r="G346" i="15" s="1"/>
  <c r="BX346" i="6" s="1"/>
  <c r="P182" i="15"/>
  <c r="V182" i="15" s="1"/>
  <c r="F182" i="15" s="1"/>
  <c r="G182" i="15" s="1"/>
  <c r="BX182" i="6" s="1"/>
  <c r="AD103" i="1"/>
  <c r="AA103" i="1" s="1"/>
  <c r="Z103" i="1" s="1"/>
  <c r="Y103" i="1" s="1"/>
  <c r="P104" i="15"/>
  <c r="V104" i="15" s="1"/>
  <c r="F104" i="15" s="1"/>
  <c r="H104" i="15" s="1"/>
  <c r="P341" i="1"/>
  <c r="V341" i="1" s="1"/>
  <c r="F341" i="1" s="1"/>
  <c r="P157" i="1"/>
  <c r="V157" i="1" s="1"/>
  <c r="AD28" i="1"/>
  <c r="AA28" i="1" s="1"/>
  <c r="Z28" i="1" s="1"/>
  <c r="Y28" i="1" s="1"/>
  <c r="P171" i="15"/>
  <c r="V171" i="15" s="1"/>
  <c r="F171" i="15" s="1"/>
  <c r="AA171" i="15" s="1"/>
  <c r="Z171" i="15" s="1"/>
  <c r="Y171" i="15" s="1"/>
  <c r="AD56" i="1"/>
  <c r="AA56" i="1" s="1"/>
  <c r="Z56" i="1" s="1"/>
  <c r="Y56" i="1" s="1"/>
  <c r="P67" i="15"/>
  <c r="V67" i="15" s="1"/>
  <c r="F67" i="15" s="1"/>
  <c r="H67" i="15" s="1"/>
  <c r="P211" i="1"/>
  <c r="V211" i="1" s="1"/>
  <c r="AA211" i="1" s="1"/>
  <c r="Z211" i="1" s="1"/>
  <c r="Y211" i="1" s="1"/>
  <c r="P222" i="1"/>
  <c r="V222" i="1" s="1"/>
  <c r="AA222" i="1" s="1"/>
  <c r="Z222" i="1" s="1"/>
  <c r="Y222" i="1" s="1"/>
  <c r="P287" i="1"/>
  <c r="V287" i="1" s="1"/>
  <c r="AA287" i="1" s="1"/>
  <c r="Z287" i="1" s="1"/>
  <c r="Y287" i="1" s="1"/>
  <c r="AD195" i="15"/>
  <c r="P214" i="1"/>
  <c r="V214" i="1" s="1"/>
  <c r="P144" i="15"/>
  <c r="V144" i="15" s="1"/>
  <c r="F144" i="15" s="1"/>
  <c r="G144" i="15" s="1"/>
  <c r="BX144" i="6" s="1"/>
  <c r="AD129" i="1"/>
  <c r="AA129" i="1" s="1"/>
  <c r="Z129" i="1" s="1"/>
  <c r="Y129" i="1" s="1"/>
  <c r="P244" i="15"/>
  <c r="V244" i="15" s="1"/>
  <c r="F244" i="15" s="1"/>
  <c r="H244" i="15" s="1"/>
  <c r="AD244" i="15"/>
  <c r="AD228" i="15"/>
  <c r="P23" i="1"/>
  <c r="V23" i="1" s="1"/>
  <c r="AD144" i="15"/>
  <c r="P214" i="15"/>
  <c r="V214" i="15" s="1"/>
  <c r="P259" i="1"/>
  <c r="V259" i="1" s="1"/>
  <c r="AA259" i="1" s="1"/>
  <c r="Z259" i="1" s="1"/>
  <c r="Y259" i="1" s="1"/>
  <c r="P319" i="15"/>
  <c r="V319" i="15" s="1"/>
  <c r="F319" i="15" s="1"/>
  <c r="AD105" i="1"/>
  <c r="AA105" i="1" s="1"/>
  <c r="Z105" i="1" s="1"/>
  <c r="Y105" i="1" s="1"/>
  <c r="P231" i="1"/>
  <c r="V231" i="1" s="1"/>
  <c r="AA231" i="1" s="1"/>
  <c r="Z231" i="1" s="1"/>
  <c r="Y231" i="1" s="1"/>
  <c r="P274" i="1"/>
  <c r="V274" i="1" s="1"/>
  <c r="P297" i="1"/>
  <c r="V297" i="1" s="1"/>
  <c r="F297" i="1" s="1"/>
  <c r="P44" i="16"/>
  <c r="V44" i="16" s="1"/>
  <c r="F44" i="16" s="1"/>
  <c r="AD171" i="1"/>
  <c r="P182" i="1"/>
  <c r="V182" i="1" s="1"/>
  <c r="AA182" i="1" s="1"/>
  <c r="Z182" i="1" s="1"/>
  <c r="Y182" i="1" s="1"/>
  <c r="P323" i="15"/>
  <c r="V323" i="15" s="1"/>
  <c r="F323" i="15" s="1"/>
  <c r="G323" i="15" s="1"/>
  <c r="BX323" i="6" s="1"/>
  <c r="P275" i="15"/>
  <c r="V275" i="15" s="1"/>
  <c r="F275" i="15" s="1"/>
  <c r="AD346" i="1"/>
  <c r="AD204" i="15"/>
  <c r="AD39" i="15"/>
  <c r="P240" i="1"/>
  <c r="V240" i="1" s="1"/>
  <c r="P168" i="16"/>
  <c r="V168" i="16" s="1"/>
  <c r="F168" i="16" s="1"/>
  <c r="G168" i="16" s="1"/>
  <c r="BY168" i="6" s="1"/>
  <c r="AD168" i="15"/>
  <c r="AA168" i="15" s="1"/>
  <c r="Z168" i="15" s="1"/>
  <c r="Y168" i="15" s="1"/>
  <c r="AD207" i="15"/>
  <c r="AA207" i="15" s="1"/>
  <c r="Z207" i="15" s="1"/>
  <c r="Y207" i="15" s="1"/>
  <c r="AD352" i="15"/>
  <c r="AD231" i="15"/>
  <c r="AA231" i="15" s="1"/>
  <c r="Z231" i="15" s="1"/>
  <c r="Y231" i="15" s="1"/>
  <c r="AD84" i="1"/>
  <c r="P375" i="16"/>
  <c r="V375" i="16" s="1"/>
  <c r="F375" i="16" s="1"/>
  <c r="G375" i="16" s="1"/>
  <c r="BY375" i="6" s="1"/>
  <c r="P298" i="1"/>
  <c r="V298" i="1" s="1"/>
  <c r="AD375" i="1"/>
  <c r="P169" i="1"/>
  <c r="V169" i="1" s="1"/>
  <c r="AA169" i="1" s="1"/>
  <c r="Z169" i="1" s="1"/>
  <c r="Y169" i="1" s="1"/>
  <c r="AD329" i="1"/>
  <c r="AD240" i="1"/>
  <c r="P248" i="16"/>
  <c r="V248" i="16" s="1"/>
  <c r="F248" i="16" s="1"/>
  <c r="G248" i="16" s="1"/>
  <c r="BY248" i="6" s="1"/>
  <c r="AD67" i="15"/>
  <c r="AD186" i="1"/>
  <c r="AA186" i="1" s="1"/>
  <c r="Z186" i="1" s="1"/>
  <c r="Y186" i="1" s="1"/>
  <c r="AD247" i="1"/>
  <c r="AD169" i="15"/>
  <c r="AA169" i="15" s="1"/>
  <c r="Z169" i="15" s="1"/>
  <c r="Y169" i="15" s="1"/>
  <c r="AD329" i="15"/>
  <c r="AD103" i="15"/>
  <c r="AD275" i="1"/>
  <c r="AD287" i="15"/>
  <c r="AA287" i="15" s="1"/>
  <c r="Z287" i="15" s="1"/>
  <c r="Y287" i="15" s="1"/>
  <c r="Q323" i="16"/>
  <c r="P323" i="16" s="1"/>
  <c r="V323" i="16" s="1"/>
  <c r="F323" i="16" s="1"/>
  <c r="G323" i="16" s="1"/>
  <c r="BY323" i="6" s="1"/>
  <c r="Q105" i="16"/>
  <c r="P105" i="16" s="1"/>
  <c r="V105" i="16" s="1"/>
  <c r="F105" i="16" s="1"/>
  <c r="G105" i="16" s="1"/>
  <c r="BY105" i="6" s="1"/>
  <c r="Q95" i="16"/>
  <c r="P95" i="16" s="1"/>
  <c r="V95" i="16" s="1"/>
  <c r="F95" i="16" s="1"/>
  <c r="Q378" i="16"/>
  <c r="P378" i="16" s="1"/>
  <c r="V378" i="16" s="1"/>
  <c r="F378" i="16" s="1"/>
  <c r="G378" i="16" s="1"/>
  <c r="BY378" i="6" s="1"/>
  <c r="Q214" i="16"/>
  <c r="P214" i="16" s="1"/>
  <c r="V214" i="16" s="1"/>
  <c r="F214" i="16" s="1"/>
  <c r="G214" i="16" s="1"/>
  <c r="BY214" i="6" s="1"/>
  <c r="Q166" i="16"/>
  <c r="P166" i="16" s="1"/>
  <c r="V166" i="16" s="1"/>
  <c r="F166" i="16" s="1"/>
  <c r="G166" i="16" s="1"/>
  <c r="BY166" i="6" s="1"/>
  <c r="Q187" i="16"/>
  <c r="P187" i="16" s="1"/>
  <c r="V187" i="16" s="1"/>
  <c r="F187" i="16" s="1"/>
  <c r="G187" i="16" s="1"/>
  <c r="BY187" i="6" s="1"/>
  <c r="Q146" i="16"/>
  <c r="P146" i="16" s="1"/>
  <c r="V146" i="16" s="1"/>
  <c r="F146" i="16" s="1"/>
  <c r="G146" i="16" s="1"/>
  <c r="BY146" i="6" s="1"/>
  <c r="Q352" i="16"/>
  <c r="P352" i="16" s="1"/>
  <c r="V352" i="16" s="1"/>
  <c r="Q288" i="16"/>
  <c r="P288" i="16" s="1"/>
  <c r="V288" i="16" s="1"/>
  <c r="F288" i="16" s="1"/>
  <c r="G288" i="16" s="1"/>
  <c r="BY288" i="6" s="1"/>
  <c r="Q99" i="16"/>
  <c r="P99" i="16" s="1"/>
  <c r="V99" i="16" s="1"/>
  <c r="F99" i="16" s="1"/>
  <c r="G99" i="16" s="1"/>
  <c r="BY99" i="6" s="1"/>
  <c r="Q78" i="16"/>
  <c r="P78" i="16" s="1"/>
  <c r="V78" i="16" s="1"/>
  <c r="F78" i="16" s="1"/>
  <c r="G78" i="16" s="1"/>
  <c r="BY78" i="6" s="1"/>
  <c r="Q212" i="16"/>
  <c r="Q92" i="16"/>
  <c r="P92" i="16" s="1"/>
  <c r="V92" i="16" s="1"/>
  <c r="F92" i="16" s="1"/>
  <c r="G92" i="16" s="1"/>
  <c r="BY92" i="6" s="1"/>
  <c r="Q369" i="16"/>
  <c r="P369" i="16" s="1"/>
  <c r="V369" i="16" s="1"/>
  <c r="F369" i="16" s="1"/>
  <c r="Q284" i="16"/>
  <c r="P284" i="16" s="1"/>
  <c r="V284" i="16" s="1"/>
  <c r="F284" i="16" s="1"/>
  <c r="G284" i="16" s="1"/>
  <c r="BY284" i="6" s="1"/>
  <c r="Q179" i="16"/>
  <c r="Q155" i="16"/>
  <c r="P155" i="16" s="1"/>
  <c r="V155" i="16" s="1"/>
  <c r="F155" i="16" s="1"/>
  <c r="G155" i="16" s="1"/>
  <c r="BY155" i="6" s="1"/>
  <c r="Q70" i="16"/>
  <c r="P70" i="16" s="1"/>
  <c r="Q282" i="16"/>
  <c r="P282" i="16" s="1"/>
  <c r="V282" i="16" s="1"/>
  <c r="F282" i="16" s="1"/>
  <c r="Q77" i="16"/>
  <c r="Q184" i="16"/>
  <c r="P184" i="16" s="1"/>
  <c r="V184" i="16" s="1"/>
  <c r="F184" i="16" s="1"/>
  <c r="G184" i="16" s="1"/>
  <c r="BY184" i="6" s="1"/>
  <c r="Q329" i="16"/>
  <c r="P329" i="16" s="1"/>
  <c r="V329" i="16" s="1"/>
  <c r="F329" i="16" s="1"/>
  <c r="G329" i="16" s="1"/>
  <c r="BY329" i="6" s="1"/>
  <c r="Q98" i="16"/>
  <c r="P98" i="16" s="1"/>
  <c r="V98" i="16" s="1"/>
  <c r="F98" i="16" s="1"/>
  <c r="G98" i="16" s="1"/>
  <c r="BY98" i="6" s="1"/>
  <c r="Q31" i="16"/>
  <c r="Q157" i="16"/>
  <c r="P157" i="16" s="1"/>
  <c r="V157" i="16" s="1"/>
  <c r="F157" i="16" s="1"/>
  <c r="G157" i="16" s="1"/>
  <c r="BY157" i="6" s="1"/>
  <c r="Q113" i="16"/>
  <c r="Q156" i="16"/>
  <c r="Q153" i="16"/>
  <c r="Q374" i="16"/>
  <c r="P374" i="16" s="1"/>
  <c r="V374" i="16" s="1"/>
  <c r="F374" i="16" s="1"/>
  <c r="G374" i="16" s="1"/>
  <c r="BY374" i="6" s="1"/>
  <c r="Q137" i="16"/>
  <c r="P137" i="16" s="1"/>
  <c r="V137" i="16" s="1"/>
  <c r="Q50" i="16"/>
  <c r="P50" i="16" s="1"/>
  <c r="V50" i="16" s="1"/>
  <c r="F50" i="16" s="1"/>
  <c r="G50" i="16" s="1"/>
  <c r="BY50" i="6" s="1"/>
  <c r="Q340" i="16"/>
  <c r="P340" i="16" s="1"/>
  <c r="V340" i="16" s="1"/>
  <c r="F340" i="16" s="1"/>
  <c r="G340" i="16" s="1"/>
  <c r="BY340" i="6" s="1"/>
  <c r="Q368" i="16"/>
  <c r="P368" i="16" s="1"/>
  <c r="V368" i="16" s="1"/>
  <c r="F368" i="16" s="1"/>
  <c r="G368" i="16" s="1"/>
  <c r="BY368" i="6" s="1"/>
  <c r="Q149" i="16"/>
  <c r="Q315" i="16"/>
  <c r="P315" i="16" s="1"/>
  <c r="V315" i="16" s="1"/>
  <c r="F315" i="16" s="1"/>
  <c r="G315" i="16" s="1"/>
  <c r="BY315" i="6" s="1"/>
  <c r="Q68" i="16"/>
  <c r="P68" i="16" s="1"/>
  <c r="V68" i="16" s="1"/>
  <c r="F68" i="16" s="1"/>
  <c r="G68" i="16" s="1"/>
  <c r="BY68" i="6" s="1"/>
  <c r="Q88" i="16"/>
  <c r="Q27" i="16"/>
  <c r="P27" i="16" s="1"/>
  <c r="V27" i="16" s="1"/>
  <c r="F27" i="16" s="1"/>
  <c r="G27" i="16" s="1"/>
  <c r="BY27" i="6" s="1"/>
  <c r="Q150" i="16"/>
  <c r="P150" i="16" s="1"/>
  <c r="V150" i="16" s="1"/>
  <c r="F150" i="16" s="1"/>
  <c r="G150" i="16" s="1"/>
  <c r="BY150" i="6" s="1"/>
  <c r="Q130" i="16"/>
  <c r="P130" i="16" s="1"/>
  <c r="V130" i="16" s="1"/>
  <c r="F130" i="16" s="1"/>
  <c r="Q97" i="16"/>
  <c r="P97" i="16" s="1"/>
  <c r="V97" i="16" s="1"/>
  <c r="F97" i="16" s="1"/>
  <c r="G97" i="16" s="1"/>
  <c r="BY97" i="6" s="1"/>
  <c r="Q227" i="16"/>
  <c r="P227" i="16" s="1"/>
  <c r="V227" i="16" s="1"/>
  <c r="F227" i="16" s="1"/>
  <c r="Q60" i="16"/>
  <c r="P60" i="16" s="1"/>
  <c r="D45" i="7" s="1"/>
  <c r="Q275" i="16"/>
  <c r="P275" i="16" s="1"/>
  <c r="V275" i="16" s="1"/>
  <c r="F275" i="16" s="1"/>
  <c r="G275" i="16" s="1"/>
  <c r="BY275" i="6" s="1"/>
  <c r="Q165" i="16"/>
  <c r="P165" i="16" s="1"/>
  <c r="V165" i="16" s="1"/>
  <c r="F165" i="16" s="1"/>
  <c r="Q262" i="16"/>
  <c r="P262" i="16" s="1"/>
  <c r="V262" i="16" s="1"/>
  <c r="F262" i="16" s="1"/>
  <c r="G262" i="16" s="1"/>
  <c r="BY262" i="6" s="1"/>
  <c r="Q362" i="16"/>
  <c r="P362" i="16" s="1"/>
  <c r="V362" i="16" s="1"/>
  <c r="F362" i="16" s="1"/>
  <c r="G362" i="16" s="1"/>
  <c r="BY362" i="6" s="1"/>
  <c r="Q182" i="16"/>
  <c r="P182" i="16" s="1"/>
  <c r="V182" i="16" s="1"/>
  <c r="F182" i="16" s="1"/>
  <c r="G182" i="16" s="1"/>
  <c r="BY182" i="6" s="1"/>
  <c r="Q273" i="16"/>
  <c r="P273" i="16" s="1"/>
  <c r="V273" i="16" s="1"/>
  <c r="F273" i="16" s="1"/>
  <c r="Q325" i="16"/>
  <c r="Q90" i="16"/>
  <c r="P90" i="16" s="1"/>
  <c r="V90" i="16" s="1"/>
  <c r="Q197" i="16"/>
  <c r="P197" i="16" s="1"/>
  <c r="V197" i="16" s="1"/>
  <c r="F197" i="16" s="1"/>
  <c r="G197" i="16" s="1"/>
  <c r="BY197" i="6" s="1"/>
  <c r="Q326" i="16"/>
  <c r="P326" i="16" s="1"/>
  <c r="V326" i="16" s="1"/>
  <c r="F326" i="16" s="1"/>
  <c r="G326" i="16" s="1"/>
  <c r="BY326" i="6" s="1"/>
  <c r="Q257" i="16"/>
  <c r="Q229" i="16"/>
  <c r="P229" i="16" s="1"/>
  <c r="V229" i="16" s="1"/>
  <c r="F229" i="16" s="1"/>
  <c r="G229" i="16" s="1"/>
  <c r="BY229" i="6" s="1"/>
  <c r="Q58" i="16"/>
  <c r="P58" i="16" s="1"/>
  <c r="V58" i="16" s="1"/>
  <c r="F58" i="16" s="1"/>
  <c r="G58" i="16" s="1"/>
  <c r="BY58" i="6" s="1"/>
  <c r="Q73" i="16"/>
  <c r="P73" i="16" s="1"/>
  <c r="V73" i="16" s="1"/>
  <c r="Q226" i="16"/>
  <c r="P226" i="16" s="1"/>
  <c r="V226" i="16" s="1"/>
  <c r="F226" i="16" s="1"/>
  <c r="G226" i="16" s="1"/>
  <c r="BY226" i="6" s="1"/>
  <c r="Q74" i="16"/>
  <c r="P74" i="16" s="1"/>
  <c r="V74" i="16" s="1"/>
  <c r="F74" i="16" s="1"/>
  <c r="Q302" i="16"/>
  <c r="P302" i="16" s="1"/>
  <c r="Q358" i="16"/>
  <c r="P358" i="16" s="1"/>
  <c r="V358" i="16" s="1"/>
  <c r="F358" i="16" s="1"/>
  <c r="G358" i="16" s="1"/>
  <c r="BY358" i="6" s="1"/>
  <c r="Q231" i="16"/>
  <c r="P231" i="16" s="1"/>
  <c r="V231" i="16" s="1"/>
  <c r="F231" i="16" s="1"/>
  <c r="Q116" i="16"/>
  <c r="P116" i="16" s="1"/>
  <c r="V116" i="16" s="1"/>
  <c r="F116" i="16" s="1"/>
  <c r="Q122" i="16"/>
  <c r="P122" i="16" s="1"/>
  <c r="V122" i="16" s="1"/>
  <c r="F122" i="16" s="1"/>
  <c r="G122" i="16" s="1"/>
  <c r="BY122" i="6" s="1"/>
  <c r="Q108" i="16"/>
  <c r="P108" i="16" s="1"/>
  <c r="Q233" i="16"/>
  <c r="P233" i="16" s="1"/>
  <c r="V233" i="16" s="1"/>
  <c r="F233" i="16" s="1"/>
  <c r="G233" i="16" s="1"/>
  <c r="BY233" i="6" s="1"/>
  <c r="Q94" i="16"/>
  <c r="P94" i="16" s="1"/>
  <c r="V94" i="16" s="1"/>
  <c r="F94" i="16" s="1"/>
  <c r="G94" i="16" s="1"/>
  <c r="BY94" i="6" s="1"/>
  <c r="Q125" i="16"/>
  <c r="Q135" i="16"/>
  <c r="P135" i="16" s="1"/>
  <c r="V135" i="16" s="1"/>
  <c r="F135" i="16" s="1"/>
  <c r="G135" i="16" s="1"/>
  <c r="BY135" i="6" s="1"/>
  <c r="Q86" i="16"/>
  <c r="P86" i="16" s="1"/>
  <c r="V86" i="16" s="1"/>
  <c r="F86" i="16" s="1"/>
  <c r="G86" i="16" s="1"/>
  <c r="BY86" i="6" s="1"/>
  <c r="Q217" i="16"/>
  <c r="P217" i="16" s="1"/>
  <c r="V217" i="16" s="1"/>
  <c r="F217" i="16" s="1"/>
  <c r="G217" i="16" s="1"/>
  <c r="BY217" i="6" s="1"/>
  <c r="Q174" i="16"/>
  <c r="P174" i="16" s="1"/>
  <c r="V174" i="16" s="1"/>
  <c r="F174" i="16" s="1"/>
  <c r="G174" i="16" s="1"/>
  <c r="BY174" i="6" s="1"/>
  <c r="Q109" i="16"/>
  <c r="P109" i="16" s="1"/>
  <c r="Q93" i="16"/>
  <c r="Q345" i="16"/>
  <c r="P345" i="16" s="1"/>
  <c r="V345" i="16" s="1"/>
  <c r="F345" i="16" s="1"/>
  <c r="Q376" i="16"/>
  <c r="P376" i="16" s="1"/>
  <c r="V376" i="16" s="1"/>
  <c r="F376" i="16" s="1"/>
  <c r="G376" i="16" s="1"/>
  <c r="BY376" i="6" s="1"/>
  <c r="Q199" i="16"/>
  <c r="P199" i="16" s="1"/>
  <c r="V199" i="16" s="1"/>
  <c r="F199" i="16" s="1"/>
  <c r="G199" i="16" s="1"/>
  <c r="BY199" i="6" s="1"/>
  <c r="Q189" i="16"/>
  <c r="P189" i="16" s="1"/>
  <c r="V189" i="16" s="1"/>
  <c r="F189" i="16" s="1"/>
  <c r="G189" i="16" s="1"/>
  <c r="BY189" i="6" s="1"/>
  <c r="Q230" i="16"/>
  <c r="P230" i="16" s="1"/>
  <c r="V230" i="16" s="1"/>
  <c r="F230" i="16" s="1"/>
  <c r="Q306" i="16"/>
  <c r="P306" i="16" s="1"/>
  <c r="V306" i="16" s="1"/>
  <c r="F306" i="16" s="1"/>
  <c r="G306" i="16" s="1"/>
  <c r="BY306" i="6" s="1"/>
  <c r="Q364" i="16"/>
  <c r="P364" i="16" s="1"/>
  <c r="V364" i="16" s="1"/>
  <c r="F364" i="16" s="1"/>
  <c r="G364" i="16" s="1"/>
  <c r="BY364" i="6" s="1"/>
  <c r="Q33" i="16"/>
  <c r="P33" i="16" s="1"/>
  <c r="V33" i="16" s="1"/>
  <c r="F33" i="16" s="1"/>
  <c r="G33" i="16" s="1"/>
  <c r="BY33" i="6" s="1"/>
  <c r="Q259" i="16"/>
  <c r="P259" i="16" s="1"/>
  <c r="V259" i="16" s="1"/>
  <c r="F259" i="16" s="1"/>
  <c r="Q244" i="16"/>
  <c r="Q218" i="16"/>
  <c r="P218" i="16" s="1"/>
  <c r="V218" i="16" s="1"/>
  <c r="F218" i="16" s="1"/>
  <c r="G218" i="16" s="1"/>
  <c r="BY218" i="6" s="1"/>
  <c r="Q307" i="16"/>
  <c r="P307" i="16" s="1"/>
  <c r="V307" i="16" s="1"/>
  <c r="F307" i="16" s="1"/>
  <c r="G307" i="16" s="1"/>
  <c r="BY307" i="6" s="1"/>
  <c r="Q28" i="16"/>
  <c r="P28" i="16" s="1"/>
  <c r="Q170" i="16"/>
  <c r="P170" i="16" s="1"/>
  <c r="V170" i="16" s="1"/>
  <c r="F170" i="16" s="1"/>
  <c r="G170" i="16" s="1"/>
  <c r="BY170" i="6" s="1"/>
  <c r="Q350" i="16"/>
  <c r="P350" i="16" s="1"/>
  <c r="V350" i="16" s="1"/>
  <c r="F350" i="16" s="1"/>
  <c r="G350" i="16" s="1"/>
  <c r="BY350" i="6" s="1"/>
  <c r="Q15" i="16"/>
  <c r="Q298" i="16"/>
  <c r="P298" i="16" s="1"/>
  <c r="V298" i="16" s="1"/>
  <c r="F298" i="16" s="1"/>
  <c r="G298" i="16" s="1"/>
  <c r="BY298" i="6" s="1"/>
  <c r="Q209" i="16"/>
  <c r="P209" i="16" s="1"/>
  <c r="V209" i="16" s="1"/>
  <c r="F209" i="16" s="1"/>
  <c r="G209" i="16" s="1"/>
  <c r="BY209" i="6" s="1"/>
  <c r="Q177" i="16"/>
  <c r="P177" i="16" s="1"/>
  <c r="Q239" i="16"/>
  <c r="P239" i="16" s="1"/>
  <c r="V239" i="16" s="1"/>
  <c r="F239" i="16" s="1"/>
  <c r="G239" i="16" s="1"/>
  <c r="BY239" i="6" s="1"/>
  <c r="Q219" i="16"/>
  <c r="P219" i="16" s="1"/>
  <c r="V219" i="16" s="1"/>
  <c r="F219" i="16" s="1"/>
  <c r="G219" i="16" s="1"/>
  <c r="BY219" i="6" s="1"/>
  <c r="Q237" i="16"/>
  <c r="P237" i="16" s="1"/>
  <c r="V237" i="16" s="1"/>
  <c r="F237" i="16" s="1"/>
  <c r="G237" i="16" s="1"/>
  <c r="BY237" i="6" s="1"/>
  <c r="P202" i="1"/>
  <c r="V202" i="1" s="1"/>
  <c r="AA202" i="1" s="1"/>
  <c r="Z202" i="1" s="1"/>
  <c r="Y202" i="1" s="1"/>
  <c r="P202" i="15"/>
  <c r="V202" i="15" s="1"/>
  <c r="F202" i="15" s="1"/>
  <c r="P49" i="1"/>
  <c r="V49" i="1" s="1"/>
  <c r="AA49" i="1" s="1"/>
  <c r="Z49" i="1" s="1"/>
  <c r="Y49" i="1" s="1"/>
  <c r="AD156" i="15"/>
  <c r="P156" i="16"/>
  <c r="V156" i="16" s="1"/>
  <c r="F156" i="16" s="1"/>
  <c r="P156" i="15"/>
  <c r="V156" i="15" s="1"/>
  <c r="F156" i="15" s="1"/>
  <c r="AD368" i="1"/>
  <c r="AD302" i="15"/>
  <c r="AD302" i="1"/>
  <c r="AD106" i="1"/>
  <c r="P106" i="15"/>
  <c r="V106" i="15" s="1"/>
  <c r="F106" i="15" s="1"/>
  <c r="H106" i="15" s="1"/>
  <c r="P27" i="15"/>
  <c r="V27" i="15" s="1"/>
  <c r="F27" i="15" s="1"/>
  <c r="P27" i="1"/>
  <c r="V27" i="1" s="1"/>
  <c r="AA27" i="1" s="1"/>
  <c r="Z27" i="1" s="1"/>
  <c r="Y27" i="1" s="1"/>
  <c r="P303" i="1"/>
  <c r="V303" i="1" s="1"/>
  <c r="F303" i="1" s="1"/>
  <c r="G303" i="1" s="1"/>
  <c r="BW303" i="6" s="1"/>
  <c r="P303" i="15"/>
  <c r="V303" i="15" s="1"/>
  <c r="F303" i="15" s="1"/>
  <c r="G303" i="15" s="1"/>
  <c r="BX303" i="6" s="1"/>
  <c r="AD175" i="1"/>
  <c r="P175" i="15"/>
  <c r="V175" i="15" s="1"/>
  <c r="F175" i="15" s="1"/>
  <c r="G175" i="15" s="1"/>
  <c r="BX175" i="6" s="1"/>
  <c r="AD284" i="1"/>
  <c r="P284" i="15"/>
  <c r="V284" i="15" s="1"/>
  <c r="F284" i="15" s="1"/>
  <c r="H284" i="15" s="1"/>
  <c r="I284" i="15" s="1"/>
  <c r="AD72" i="15"/>
  <c r="P72" i="15"/>
  <c r="V72" i="15" s="1"/>
  <c r="F72" i="15" s="1"/>
  <c r="H72" i="15" s="1"/>
  <c r="AD241" i="1"/>
  <c r="P241" i="1"/>
  <c r="V241" i="1" s="1"/>
  <c r="P57" i="1"/>
  <c r="V57" i="1" s="1"/>
  <c r="AD57" i="1"/>
  <c r="P57" i="15"/>
  <c r="V57" i="15" s="1"/>
  <c r="F57" i="15" s="1"/>
  <c r="H57" i="15" s="1"/>
  <c r="AD57" i="15"/>
  <c r="P370" i="15"/>
  <c r="V370" i="15" s="1"/>
  <c r="F370" i="15" s="1"/>
  <c r="G370" i="15" s="1"/>
  <c r="BX370" i="6" s="1"/>
  <c r="P370" i="1"/>
  <c r="V370" i="1" s="1"/>
  <c r="F370" i="1" s="1"/>
  <c r="G370" i="1" s="1"/>
  <c r="BW370" i="6" s="1"/>
  <c r="P41" i="1"/>
  <c r="V41" i="1" s="1"/>
  <c r="AD369" i="1"/>
  <c r="AD369" i="15"/>
  <c r="P71" i="15"/>
  <c r="V71" i="15" s="1"/>
  <c r="F71" i="15" s="1"/>
  <c r="G71" i="15" s="1"/>
  <c r="BX71" i="6" s="1"/>
  <c r="AD71" i="1"/>
  <c r="P356" i="1"/>
  <c r="V356" i="1" s="1"/>
  <c r="F356" i="1" s="1"/>
  <c r="G356" i="1" s="1"/>
  <c r="BW356" i="6" s="1"/>
  <c r="AD356" i="15"/>
  <c r="AD128" i="15"/>
  <c r="AA128" i="15" s="1"/>
  <c r="Z128" i="15" s="1"/>
  <c r="Y128" i="15" s="1"/>
  <c r="AD128" i="1"/>
  <c r="AD98" i="1"/>
  <c r="AD98" i="15"/>
  <c r="AD117" i="1"/>
  <c r="P117" i="1"/>
  <c r="V117" i="1" s="1"/>
  <c r="AD358" i="1"/>
  <c r="P358" i="15"/>
  <c r="V358" i="15" s="1"/>
  <c r="F358" i="15" s="1"/>
  <c r="G358" i="15" s="1"/>
  <c r="BX358" i="6" s="1"/>
  <c r="AD307" i="1"/>
  <c r="P307" i="15"/>
  <c r="V307" i="15" s="1"/>
  <c r="F307" i="15" s="1"/>
  <c r="G307" i="15" s="1"/>
  <c r="BX307" i="6" s="1"/>
  <c r="AD327" i="15"/>
  <c r="P327" i="15"/>
  <c r="V327" i="15" s="1"/>
  <c r="F327" i="15" s="1"/>
  <c r="G327" i="15" s="1"/>
  <c r="BX327" i="6" s="1"/>
  <c r="AD134" i="1"/>
  <c r="P134" i="1"/>
  <c r="V134" i="1" s="1"/>
  <c r="AD185" i="1"/>
  <c r="AA185" i="1" s="1"/>
  <c r="Z185" i="1" s="1"/>
  <c r="Y185" i="1" s="1"/>
  <c r="AD185" i="15"/>
  <c r="AA185" i="15" s="1"/>
  <c r="Z185" i="15" s="1"/>
  <c r="Y185" i="15" s="1"/>
  <c r="AD337" i="15"/>
  <c r="AD337" i="1"/>
  <c r="AA337" i="1" s="1"/>
  <c r="Z337" i="1" s="1"/>
  <c r="Y337" i="1" s="1"/>
  <c r="P50" i="1"/>
  <c r="V50" i="1" s="1"/>
  <c r="AA50" i="1" s="1"/>
  <c r="Z50" i="1" s="1"/>
  <c r="Y50" i="1" s="1"/>
  <c r="P50" i="15"/>
  <c r="V50" i="15" s="1"/>
  <c r="F50" i="15" s="1"/>
  <c r="H50" i="15" s="1"/>
  <c r="AD50" i="15"/>
  <c r="P137" i="1"/>
  <c r="V137" i="1" s="1"/>
  <c r="AA137" i="1" s="1"/>
  <c r="Z137" i="1" s="1"/>
  <c r="Y137" i="1" s="1"/>
  <c r="P137" i="15"/>
  <c r="V137" i="15" s="1"/>
  <c r="F137" i="15" s="1"/>
  <c r="AD160" i="15"/>
  <c r="P160" i="15"/>
  <c r="V160" i="15" s="1"/>
  <c r="F160" i="15" s="1"/>
  <c r="H160" i="15" s="1"/>
  <c r="P314" i="1"/>
  <c r="V314" i="1" s="1"/>
  <c r="F314" i="1" s="1"/>
  <c r="I314" i="1" s="1"/>
  <c r="P314" i="15"/>
  <c r="V314" i="15" s="1"/>
  <c r="F314" i="15" s="1"/>
  <c r="G314" i="15" s="1"/>
  <c r="BX314" i="6" s="1"/>
  <c r="AD271" i="15"/>
  <c r="P271" i="1"/>
  <c r="V271" i="1" s="1"/>
  <c r="AD271" i="1"/>
  <c r="P208" i="15"/>
  <c r="V208" i="15" s="1"/>
  <c r="F208" i="15" s="1"/>
  <c r="G208" i="15" s="1"/>
  <c r="BX208" i="6" s="1"/>
  <c r="AD208" i="15"/>
  <c r="P165" i="1"/>
  <c r="V165" i="1" s="1"/>
  <c r="AA165" i="1" s="1"/>
  <c r="Z165" i="1" s="1"/>
  <c r="Y165" i="1" s="1"/>
  <c r="AD47" i="1"/>
  <c r="AD47" i="15"/>
  <c r="AA47" i="15" s="1"/>
  <c r="Z47" i="15" s="1"/>
  <c r="Y47" i="15" s="1"/>
  <c r="AD290" i="15"/>
  <c r="AD290" i="1"/>
  <c r="P52" i="15"/>
  <c r="V52" i="15" s="1"/>
  <c r="F52" i="15" s="1"/>
  <c r="G52" i="15" s="1"/>
  <c r="BX52" i="6" s="1"/>
  <c r="AD52" i="15"/>
  <c r="AD293" i="1"/>
  <c r="P293" i="15"/>
  <c r="V293" i="15" s="1"/>
  <c r="F293" i="15" s="1"/>
  <c r="AD315" i="1"/>
  <c r="P315" i="1"/>
  <c r="V315" i="1" s="1"/>
  <c r="F315" i="1" s="1"/>
  <c r="AD93" i="15"/>
  <c r="AD93" i="1"/>
  <c r="AD183" i="15"/>
  <c r="P183" i="15"/>
  <c r="V183" i="15" s="1"/>
  <c r="F183" i="15" s="1"/>
  <c r="G183" i="15" s="1"/>
  <c r="BX183" i="6" s="1"/>
  <c r="P48" i="15"/>
  <c r="V48" i="15" s="1"/>
  <c r="F48" i="15" s="1"/>
  <c r="H48" i="15" s="1"/>
  <c r="J48" i="15" s="1"/>
  <c r="AD48" i="15"/>
  <c r="P344" i="15"/>
  <c r="V344" i="15" s="1"/>
  <c r="F344" i="15" s="1"/>
  <c r="P344" i="1"/>
  <c r="V344" i="1" s="1"/>
  <c r="F344" i="1" s="1"/>
  <c r="AD344" i="15"/>
  <c r="P155" i="1"/>
  <c r="V155" i="1" s="1"/>
  <c r="P155" i="15"/>
  <c r="V155" i="15" s="1"/>
  <c r="F155" i="15" s="1"/>
  <c r="H155" i="15" s="1"/>
  <c r="AD188" i="15"/>
  <c r="P188" i="1"/>
  <c r="V188" i="1" s="1"/>
  <c r="P60" i="15"/>
  <c r="D33" i="7" s="1"/>
  <c r="AD60" i="15"/>
  <c r="AD80" i="1"/>
  <c r="P80" i="15"/>
  <c r="V80" i="15" s="1"/>
  <c r="F80" i="15" s="1"/>
  <c r="G80" i="15" s="1"/>
  <c r="BX80" i="6" s="1"/>
  <c r="P127" i="15"/>
  <c r="V127" i="15" s="1"/>
  <c r="F127" i="15" s="1"/>
  <c r="H127" i="15" s="1"/>
  <c r="AD127" i="15"/>
  <c r="AD61" i="15"/>
  <c r="P61" i="15"/>
  <c r="V61" i="15" s="1"/>
  <c r="F61" i="15" s="1"/>
  <c r="H61" i="15" s="1"/>
  <c r="AD153" i="15"/>
  <c r="P153" i="15"/>
  <c r="V153" i="15" s="1"/>
  <c r="F153" i="15" s="1"/>
  <c r="G153" i="15" s="1"/>
  <c r="BX153" i="6" s="1"/>
  <c r="P57" i="16"/>
  <c r="V57" i="16" s="1"/>
  <c r="F57" i="16" s="1"/>
  <c r="G57" i="16" s="1"/>
  <c r="BY57" i="6" s="1"/>
  <c r="P107" i="1"/>
  <c r="V107" i="1" s="1"/>
  <c r="P78" i="1"/>
  <c r="V78" i="1" s="1"/>
  <c r="AA78" i="1" s="1"/>
  <c r="Z78" i="1" s="1"/>
  <c r="Y78" i="1" s="1"/>
  <c r="P156" i="1"/>
  <c r="V156" i="1" s="1"/>
  <c r="P54" i="1"/>
  <c r="V54" i="1" s="1"/>
  <c r="AD106" i="15"/>
  <c r="P290" i="1"/>
  <c r="P284" i="1"/>
  <c r="V284" i="1" s="1"/>
  <c r="P241" i="15"/>
  <c r="AD279" i="1"/>
  <c r="P75" i="15"/>
  <c r="V75" i="15" s="1"/>
  <c r="F75" i="15" s="1"/>
  <c r="H75" i="15" s="1"/>
  <c r="P162" i="1"/>
  <c r="V162" i="1" s="1"/>
  <c r="AA162" i="1" s="1"/>
  <c r="Z162" i="1" s="1"/>
  <c r="Y162" i="1" s="1"/>
  <c r="P293" i="1"/>
  <c r="AD153" i="1"/>
  <c r="P283" i="15"/>
  <c r="V283" i="15" s="1"/>
  <c r="F283" i="15" s="1"/>
  <c r="P71" i="1"/>
  <c r="V71" i="1" s="1"/>
  <c r="P43" i="15"/>
  <c r="V43" i="15" s="1"/>
  <c r="F43" i="15" s="1"/>
  <c r="H43" i="15" s="1"/>
  <c r="J43" i="15" s="1"/>
  <c r="P128" i="16"/>
  <c r="V128" i="16" s="1"/>
  <c r="F128" i="16" s="1"/>
  <c r="AD48" i="1"/>
  <c r="AD344" i="1"/>
  <c r="AD155" i="1"/>
  <c r="AD60" i="1"/>
  <c r="P80" i="1"/>
  <c r="V80" i="1" s="1"/>
  <c r="AD127" i="1"/>
  <c r="P98" i="15"/>
  <c r="V98" i="15" s="1"/>
  <c r="F98" i="15" s="1"/>
  <c r="H98" i="15" s="1"/>
  <c r="P279" i="15"/>
  <c r="V279" i="15" s="1"/>
  <c r="F279" i="15" s="1"/>
  <c r="G279" i="15" s="1"/>
  <c r="BX279" i="6" s="1"/>
  <c r="AD116" i="1"/>
  <c r="AD116" i="15"/>
  <c r="AA116" i="15" s="1"/>
  <c r="Z116" i="15" s="1"/>
  <c r="Y116" i="15" s="1"/>
  <c r="P116" i="1"/>
  <c r="V116" i="1" s="1"/>
  <c r="AA116" i="1" s="1"/>
  <c r="Z116" i="1" s="1"/>
  <c r="Y116" i="1" s="1"/>
  <c r="AD361" i="1"/>
  <c r="P361" i="15"/>
  <c r="V361" i="15" s="1"/>
  <c r="F361" i="15" s="1"/>
  <c r="G361" i="15" s="1"/>
  <c r="BX361" i="6" s="1"/>
  <c r="P154" i="15"/>
  <c r="V154" i="15" s="1"/>
  <c r="F154" i="15" s="1"/>
  <c r="H154" i="15" s="1"/>
  <c r="AD154" i="15"/>
  <c r="P260" i="15"/>
  <c r="V260" i="15" s="1"/>
  <c r="F260" i="15" s="1"/>
  <c r="P179" i="16"/>
  <c r="V179" i="16" s="1"/>
  <c r="F179" i="16" s="1"/>
  <c r="G179" i="16" s="1"/>
  <c r="BY179" i="6" s="1"/>
  <c r="P77" i="16"/>
  <c r="P93" i="16"/>
  <c r="P244" i="16"/>
  <c r="V244" i="16" s="1"/>
  <c r="F244" i="16" s="1"/>
  <c r="G244" i="16" s="1"/>
  <c r="BY244" i="6" s="1"/>
  <c r="AD44" i="1"/>
  <c r="AA44" i="1" s="1"/>
  <c r="Z44" i="1" s="1"/>
  <c r="Y44" i="1" s="1"/>
  <c r="P31" i="16"/>
  <c r="V31" i="16" s="1"/>
  <c r="F31" i="16" s="1"/>
  <c r="V11" i="7"/>
  <c r="U11" i="17" s="1"/>
  <c r="U10" i="17" s="1"/>
  <c r="Q271" i="16"/>
  <c r="P271" i="16" s="1"/>
  <c r="Q247" i="16"/>
  <c r="P247" i="16" s="1"/>
  <c r="V247" i="16" s="1"/>
  <c r="F247" i="16" s="1"/>
  <c r="Q242" i="16"/>
  <c r="P242" i="16" s="1"/>
  <c r="V242" i="16" s="1"/>
  <c r="Q283" i="16"/>
  <c r="Q178" i="16"/>
  <c r="P178" i="16" s="1"/>
  <c r="V178" i="16" s="1"/>
  <c r="F178" i="16" s="1"/>
  <c r="G178" i="16" s="1"/>
  <c r="BY178" i="6" s="1"/>
  <c r="Q223" i="16"/>
  <c r="P223" i="16" s="1"/>
  <c r="V223" i="16" s="1"/>
  <c r="F223" i="16" s="1"/>
  <c r="Q250" i="16"/>
  <c r="P250" i="16" s="1"/>
  <c r="V250" i="16" s="1"/>
  <c r="F250" i="16" s="1"/>
  <c r="G250" i="16" s="1"/>
  <c r="BY250" i="6" s="1"/>
  <c r="Q204" i="16"/>
  <c r="P204" i="16" s="1"/>
  <c r="V204" i="16" s="1"/>
  <c r="Q294" i="16"/>
  <c r="P294" i="16" s="1"/>
  <c r="Q59" i="16"/>
  <c r="P59" i="16" s="1"/>
  <c r="V59" i="16" s="1"/>
  <c r="Q183" i="16"/>
  <c r="P183" i="16" s="1"/>
  <c r="V183" i="16" s="1"/>
  <c r="F183" i="16" s="1"/>
  <c r="G183" i="16" s="1"/>
  <c r="BY183" i="6" s="1"/>
  <c r="Q107" i="16"/>
  <c r="P107" i="16" s="1"/>
  <c r="V107" i="16" s="1"/>
  <c r="F107" i="16" s="1"/>
  <c r="G107" i="16" s="1"/>
  <c r="BY107" i="6" s="1"/>
  <c r="Q181" i="16"/>
  <c r="P181" i="16" s="1"/>
  <c r="V181" i="16" s="1"/>
  <c r="F181" i="16" s="1"/>
  <c r="G181" i="16" s="1"/>
  <c r="BY181" i="6" s="1"/>
  <c r="Q355" i="16"/>
  <c r="P355" i="16" s="1"/>
  <c r="V355" i="16" s="1"/>
  <c r="F355" i="16" s="1"/>
  <c r="G355" i="16" s="1"/>
  <c r="BY355" i="6" s="1"/>
  <c r="Q61" i="16"/>
  <c r="P61" i="16" s="1"/>
  <c r="V61" i="16" s="1"/>
  <c r="F61" i="16" s="1"/>
  <c r="G61" i="16" s="1"/>
  <c r="BY61" i="6" s="1"/>
  <c r="Q84" i="16"/>
  <c r="P84" i="16" s="1"/>
  <c r="Q71" i="16"/>
  <c r="P71" i="16" s="1"/>
  <c r="V71" i="16" s="1"/>
  <c r="F71" i="16" s="1"/>
  <c r="G71" i="16" s="1"/>
  <c r="BY71" i="6" s="1"/>
  <c r="Q304" i="16"/>
  <c r="P304" i="16" s="1"/>
  <c r="V304" i="16" s="1"/>
  <c r="F304" i="16" s="1"/>
  <c r="Q118" i="16"/>
  <c r="P118" i="16" s="1"/>
  <c r="V118" i="16" s="1"/>
  <c r="F118" i="16" s="1"/>
  <c r="G118" i="16" s="1"/>
  <c r="BY118" i="6" s="1"/>
  <c r="Q87" i="16"/>
  <c r="P87" i="16" s="1"/>
  <c r="V87" i="16" s="1"/>
  <c r="F87" i="16" s="1"/>
  <c r="G87" i="16" s="1"/>
  <c r="BY87" i="6" s="1"/>
  <c r="Q89" i="16"/>
  <c r="P89" i="16" s="1"/>
  <c r="V89" i="16" s="1"/>
  <c r="F89" i="16" s="1"/>
  <c r="Q154" i="16"/>
  <c r="P154" i="16" s="1"/>
  <c r="V154" i="16" s="1"/>
  <c r="F154" i="16" s="1"/>
  <c r="G154" i="16" s="1"/>
  <c r="BY154" i="6" s="1"/>
  <c r="Q124" i="16"/>
  <c r="P124" i="16" s="1"/>
  <c r="V124" i="16" s="1"/>
  <c r="F124" i="16" s="1"/>
  <c r="G124" i="16" s="1"/>
  <c r="BY124" i="6" s="1"/>
  <c r="Q360" i="16"/>
  <c r="P360" i="16" s="1"/>
  <c r="V360" i="16" s="1"/>
  <c r="F360" i="16" s="1"/>
  <c r="Q256" i="16"/>
  <c r="P256" i="16" s="1"/>
  <c r="V256" i="16" s="1"/>
  <c r="F256" i="16" s="1"/>
  <c r="G256" i="16" s="1"/>
  <c r="BY256" i="6" s="1"/>
  <c r="Q76" i="16"/>
  <c r="P76" i="16" s="1"/>
  <c r="V76" i="16" s="1"/>
  <c r="Q316" i="16"/>
  <c r="P316" i="16" s="1"/>
  <c r="V316" i="16" s="1"/>
  <c r="F316" i="16" s="1"/>
  <c r="Q69" i="16"/>
  <c r="P69" i="16" s="1"/>
  <c r="V69" i="16" s="1"/>
  <c r="F69" i="16" s="1"/>
  <c r="Q346" i="16"/>
  <c r="P346" i="16" s="1"/>
  <c r="V346" i="16" s="1"/>
  <c r="Q202" i="16"/>
  <c r="P202" i="16" s="1"/>
  <c r="V202" i="16" s="1"/>
  <c r="F202" i="16" s="1"/>
  <c r="G202" i="16" s="1"/>
  <c r="BY202" i="6" s="1"/>
  <c r="Q224" i="16"/>
  <c r="P224" i="16" s="1"/>
  <c r="V224" i="16" s="1"/>
  <c r="Q140" i="16"/>
  <c r="P140" i="16" s="1"/>
  <c r="V140" i="16" s="1"/>
  <c r="F140" i="16" s="1"/>
  <c r="G140" i="16" s="1"/>
  <c r="BY140" i="6" s="1"/>
  <c r="Q373" i="16"/>
  <c r="P373" i="16" s="1"/>
  <c r="V373" i="16" s="1"/>
  <c r="F373" i="16" s="1"/>
  <c r="G373" i="16" s="1"/>
  <c r="BY373" i="6" s="1"/>
  <c r="Q106" i="16"/>
  <c r="P106" i="16" s="1"/>
  <c r="V106" i="16" s="1"/>
  <c r="Q163" i="16"/>
  <c r="P163" i="16" s="1"/>
  <c r="V163" i="16" s="1"/>
  <c r="F163" i="16" s="1"/>
  <c r="G163" i="16" s="1"/>
  <c r="BY163" i="6" s="1"/>
  <c r="Q159" i="16"/>
  <c r="P159" i="16" s="1"/>
  <c r="V159" i="16" s="1"/>
  <c r="F159" i="16" s="1"/>
  <c r="Q342" i="16"/>
  <c r="P342" i="16" s="1"/>
  <c r="V342" i="16" s="1"/>
  <c r="F342" i="16" s="1"/>
  <c r="G342" i="16" s="1"/>
  <c r="BY342" i="6" s="1"/>
  <c r="Q123" i="16"/>
  <c r="P123" i="16" s="1"/>
  <c r="V123" i="16" s="1"/>
  <c r="Q188" i="16"/>
  <c r="P188" i="16" s="1"/>
  <c r="V188" i="16" s="1"/>
  <c r="F188" i="16" s="1"/>
  <c r="G188" i="16" s="1"/>
  <c r="BY188" i="6" s="1"/>
  <c r="Q147" i="16"/>
  <c r="P147" i="16" s="1"/>
  <c r="V147" i="16" s="1"/>
  <c r="F147" i="16" s="1"/>
  <c r="G147" i="16" s="1"/>
  <c r="BY147" i="6" s="1"/>
  <c r="Q249" i="16"/>
  <c r="Q222" i="16"/>
  <c r="P222" i="16" s="1"/>
  <c r="V222" i="16" s="1"/>
  <c r="F222" i="16" s="1"/>
  <c r="G222" i="16" s="1"/>
  <c r="BY222" i="6" s="1"/>
  <c r="Q277" i="16"/>
  <c r="P277" i="16" s="1"/>
  <c r="V277" i="16" s="1"/>
  <c r="F277" i="16" s="1"/>
  <c r="G277" i="16" s="1"/>
  <c r="BY277" i="6" s="1"/>
  <c r="Q293" i="16"/>
  <c r="P293" i="16" s="1"/>
  <c r="V293" i="16" s="1"/>
  <c r="F293" i="16" s="1"/>
  <c r="G293" i="16" s="1"/>
  <c r="BY293" i="6" s="1"/>
  <c r="Q243" i="16"/>
  <c r="P243" i="16" s="1"/>
  <c r="V243" i="16" s="1"/>
  <c r="F243" i="16" s="1"/>
  <c r="Q110" i="16"/>
  <c r="P110" i="16" s="1"/>
  <c r="V110" i="16" s="1"/>
  <c r="F110" i="16" s="1"/>
  <c r="G110" i="16" s="1"/>
  <c r="BY110" i="6" s="1"/>
  <c r="Q180" i="16"/>
  <c r="P180" i="16" s="1"/>
  <c r="Q20" i="16"/>
  <c r="P20" i="16" s="1"/>
  <c r="V20" i="16" s="1"/>
  <c r="F20" i="16" s="1"/>
  <c r="G20" i="16" s="1"/>
  <c r="BY20" i="6" s="1"/>
  <c r="Q46" i="16"/>
  <c r="P46" i="16" s="1"/>
  <c r="V46" i="16" s="1"/>
  <c r="F46" i="16" s="1"/>
  <c r="G46" i="16" s="1"/>
  <c r="BY46" i="6" s="1"/>
  <c r="Q193" i="16"/>
  <c r="P193" i="16" s="1"/>
  <c r="V193" i="16" s="1"/>
  <c r="F193" i="16" s="1"/>
  <c r="G193" i="16" s="1"/>
  <c r="BY193" i="6" s="1"/>
  <c r="Q276" i="16"/>
  <c r="P276" i="16" s="1"/>
  <c r="V276" i="16" s="1"/>
  <c r="F276" i="16" s="1"/>
  <c r="G276" i="16" s="1"/>
  <c r="BY276" i="6" s="1"/>
  <c r="Q112" i="16"/>
  <c r="P112" i="16" s="1"/>
  <c r="V112" i="16" s="1"/>
  <c r="Q254" i="16"/>
  <c r="P254" i="16" s="1"/>
  <c r="V254" i="16" s="1"/>
  <c r="F254" i="16" s="1"/>
  <c r="G254" i="16" s="1"/>
  <c r="BY254" i="6" s="1"/>
  <c r="Q115" i="16"/>
  <c r="P115" i="16" s="1"/>
  <c r="V115" i="16" s="1"/>
  <c r="F115" i="16" s="1"/>
  <c r="G115" i="16" s="1"/>
  <c r="BY115" i="6" s="1"/>
  <c r="Q251" i="16"/>
  <c r="P251" i="16" s="1"/>
  <c r="V251" i="16" s="1"/>
  <c r="F251" i="16" s="1"/>
  <c r="G251" i="16" s="1"/>
  <c r="BY251" i="6" s="1"/>
  <c r="Q21" i="16"/>
  <c r="P21" i="16" s="1"/>
  <c r="V21" i="16" s="1"/>
  <c r="F21" i="16" s="1"/>
  <c r="G21" i="16" s="1"/>
  <c r="BY21" i="6" s="1"/>
  <c r="Q286" i="16"/>
  <c r="P286" i="16" s="1"/>
  <c r="V286" i="16" s="1"/>
  <c r="F286" i="16" s="1"/>
  <c r="G286" i="16" s="1"/>
  <c r="BY286" i="6" s="1"/>
  <c r="Q185" i="16"/>
  <c r="P185" i="16" s="1"/>
  <c r="V185" i="16" s="1"/>
  <c r="F185" i="16" s="1"/>
  <c r="Q83" i="16"/>
  <c r="P83" i="16" s="1"/>
  <c r="V83" i="16" s="1"/>
  <c r="F83" i="16" s="1"/>
  <c r="G83" i="16" s="1"/>
  <c r="BY83" i="6" s="1"/>
  <c r="Q279" i="16"/>
  <c r="Q356" i="16"/>
  <c r="P356" i="16" s="1"/>
  <c r="V356" i="16" s="1"/>
  <c r="F356" i="16" s="1"/>
  <c r="G356" i="16" s="1"/>
  <c r="BY356" i="6" s="1"/>
  <c r="Q196" i="16"/>
  <c r="P196" i="16" s="1"/>
  <c r="V196" i="16" s="1"/>
  <c r="F196" i="16" s="1"/>
  <c r="Q216" i="16"/>
  <c r="P216" i="16" s="1"/>
  <c r="V216" i="16" s="1"/>
  <c r="F216" i="16" s="1"/>
  <c r="Q35" i="16"/>
  <c r="P35" i="16" s="1"/>
  <c r="V35" i="16" s="1"/>
  <c r="F35" i="16" s="1"/>
  <c r="G35" i="16" s="1"/>
  <c r="BY35" i="6" s="1"/>
  <c r="Q49" i="16"/>
  <c r="P49" i="16" s="1"/>
  <c r="V49" i="16" s="1"/>
  <c r="F49" i="16" s="1"/>
  <c r="G49" i="16" s="1"/>
  <c r="BY49" i="6" s="1"/>
  <c r="Q160" i="16"/>
  <c r="P160" i="16" s="1"/>
  <c r="V160" i="16" s="1"/>
  <c r="F160" i="16" s="1"/>
  <c r="Q367" i="16"/>
  <c r="P367" i="16" s="1"/>
  <c r="V367" i="16" s="1"/>
  <c r="F367" i="16" s="1"/>
  <c r="G367" i="16" s="1"/>
  <c r="BY367" i="6" s="1"/>
  <c r="Q341" i="16"/>
  <c r="P341" i="16" s="1"/>
  <c r="V341" i="16" s="1"/>
  <c r="F341" i="16" s="1"/>
  <c r="Q164" i="16"/>
  <c r="P164" i="16" s="1"/>
  <c r="V164" i="16" s="1"/>
  <c r="F164" i="16" s="1"/>
  <c r="G164" i="16" s="1"/>
  <c r="BY164" i="6" s="1"/>
  <c r="Q278" i="16"/>
  <c r="P278" i="16" s="1"/>
  <c r="V278" i="16" s="1"/>
  <c r="F278" i="16" s="1"/>
  <c r="G278" i="16" s="1"/>
  <c r="BY278" i="6" s="1"/>
  <c r="Q22" i="16"/>
  <c r="P22" i="16" s="1"/>
  <c r="V22" i="16" s="1"/>
  <c r="F22" i="16" s="1"/>
  <c r="Q258" i="16"/>
  <c r="P258" i="16" s="1"/>
  <c r="Q17" i="16"/>
  <c r="Q132" i="16"/>
  <c r="P132" i="16" s="1"/>
  <c r="V132" i="16" s="1"/>
  <c r="F132" i="16" s="1"/>
  <c r="G132" i="16" s="1"/>
  <c r="BY132" i="6" s="1"/>
  <c r="Q371" i="16"/>
  <c r="P371" i="16" s="1"/>
  <c r="V371" i="16" s="1"/>
  <c r="F371" i="16" s="1"/>
  <c r="G371" i="16" s="1"/>
  <c r="BY371" i="6" s="1"/>
  <c r="Q269" i="16"/>
  <c r="P269" i="16" s="1"/>
  <c r="V269" i="16" s="1"/>
  <c r="Q96" i="16"/>
  <c r="P96" i="16" s="1"/>
  <c r="V96" i="16" s="1"/>
  <c r="F96" i="16" s="1"/>
  <c r="G96" i="16" s="1"/>
  <c r="BY96" i="6" s="1"/>
  <c r="Q158" i="16"/>
  <c r="P158" i="16" s="1"/>
  <c r="V158" i="16" s="1"/>
  <c r="F158" i="16" s="1"/>
  <c r="Q313" i="16"/>
  <c r="P313" i="16" s="1"/>
  <c r="V313" i="16" s="1"/>
  <c r="F313" i="16" s="1"/>
  <c r="G313" i="16" s="1"/>
  <c r="BY313" i="6" s="1"/>
  <c r="Q211" i="16"/>
  <c r="P211" i="16" s="1"/>
  <c r="Q206" i="16"/>
  <c r="P206" i="16" s="1"/>
  <c r="V206" i="16" s="1"/>
  <c r="F206" i="16" s="1"/>
  <c r="G206" i="16" s="1"/>
  <c r="BY206" i="6" s="1"/>
  <c r="Q320" i="16"/>
  <c r="P320" i="16" s="1"/>
  <c r="V320" i="16" s="1"/>
  <c r="F320" i="16" s="1"/>
  <c r="G320" i="16" s="1"/>
  <c r="BY320" i="6" s="1"/>
  <c r="Q79" i="16"/>
  <c r="P79" i="16" s="1"/>
  <c r="V79" i="16" s="1"/>
  <c r="F79" i="16" s="1"/>
  <c r="G79" i="16" s="1"/>
  <c r="BY79" i="6" s="1"/>
  <c r="Q300" i="16"/>
  <c r="P300" i="16" s="1"/>
  <c r="V300" i="16" s="1"/>
  <c r="F300" i="16" s="1"/>
  <c r="G300" i="16" s="1"/>
  <c r="BY300" i="6" s="1"/>
  <c r="Q291" i="16"/>
  <c r="P291" i="16" s="1"/>
  <c r="V291" i="16" s="1"/>
  <c r="F291" i="16" s="1"/>
  <c r="G291" i="16" s="1"/>
  <c r="BY291" i="6" s="1"/>
  <c r="Q234" i="16"/>
  <c r="P234" i="16" s="1"/>
  <c r="V234" i="16" s="1"/>
  <c r="F234" i="16" s="1"/>
  <c r="G234" i="16" s="1"/>
  <c r="BY234" i="6" s="1"/>
  <c r="Q245" i="16"/>
  <c r="P245" i="16" s="1"/>
  <c r="V245" i="16" s="1"/>
  <c r="F245" i="16" s="1"/>
  <c r="G245" i="16" s="1"/>
  <c r="BY245" i="6" s="1"/>
  <c r="Q310" i="16"/>
  <c r="P310" i="16" s="1"/>
  <c r="V310" i="16" s="1"/>
  <c r="F310" i="16" s="1"/>
  <c r="G310" i="16" s="1"/>
  <c r="BY310" i="6" s="1"/>
  <c r="Q43" i="16"/>
  <c r="P43" i="16" s="1"/>
  <c r="V43" i="16" s="1"/>
  <c r="F43" i="16" s="1"/>
  <c r="G43" i="16" s="1"/>
  <c r="BY43" i="6" s="1"/>
  <c r="Q81" i="16"/>
  <c r="P81" i="16" s="1"/>
  <c r="V81" i="16" s="1"/>
  <c r="F81" i="16" s="1"/>
  <c r="G81" i="16" s="1"/>
  <c r="BY81" i="6" s="1"/>
  <c r="Q142" i="16"/>
  <c r="P142" i="16" s="1"/>
  <c r="V142" i="16" s="1"/>
  <c r="F142" i="16" s="1"/>
  <c r="G142" i="16" s="1"/>
  <c r="BY142" i="6" s="1"/>
  <c r="Q119" i="16"/>
  <c r="P119" i="16" s="1"/>
  <c r="D47" i="7" s="1"/>
  <c r="Q65" i="16"/>
  <c r="P65" i="16" s="1"/>
  <c r="V65" i="16" s="1"/>
  <c r="F65" i="16" s="1"/>
  <c r="G65" i="16" s="1"/>
  <c r="BY65" i="6" s="1"/>
  <c r="Q297" i="16"/>
  <c r="P297" i="16" s="1"/>
  <c r="V297" i="16" s="1"/>
  <c r="F297" i="16" s="1"/>
  <c r="G297" i="16" s="1"/>
  <c r="BY297" i="6" s="1"/>
  <c r="Q195" i="16"/>
  <c r="Q138" i="16"/>
  <c r="P138" i="16" s="1"/>
  <c r="V138" i="16" s="1"/>
  <c r="F138" i="16" s="1"/>
  <c r="G138" i="16" s="1"/>
  <c r="BY138" i="6" s="1"/>
  <c r="Q301" i="16"/>
  <c r="P301" i="16" s="1"/>
  <c r="V301" i="16" s="1"/>
  <c r="Q198" i="16"/>
  <c r="P198" i="16" s="1"/>
  <c r="V198" i="16" s="1"/>
  <c r="F198" i="16" s="1"/>
  <c r="G198" i="16" s="1"/>
  <c r="BY198" i="6" s="1"/>
  <c r="Q289" i="16"/>
  <c r="P289" i="16" s="1"/>
  <c r="V289" i="16" s="1"/>
  <c r="F289" i="16" s="1"/>
  <c r="Q26" i="16"/>
  <c r="P26" i="16" s="1"/>
  <c r="V26" i="16" s="1"/>
  <c r="F26" i="16" s="1"/>
  <c r="G26" i="16" s="1"/>
  <c r="BY26" i="6" s="1"/>
  <c r="Q127" i="16"/>
  <c r="P127" i="16" s="1"/>
  <c r="V127" i="16" s="1"/>
  <c r="F127" i="16" s="1"/>
  <c r="G127" i="16" s="1"/>
  <c r="BY127" i="6" s="1"/>
  <c r="Q101" i="16"/>
  <c r="P101" i="16" s="1"/>
  <c r="V101" i="16" s="1"/>
  <c r="F101" i="16" s="1"/>
  <c r="G101" i="16" s="1"/>
  <c r="BY101" i="6" s="1"/>
  <c r="Q173" i="16"/>
  <c r="P173" i="16" s="1"/>
  <c r="V173" i="16" s="1"/>
  <c r="F173" i="16" s="1"/>
  <c r="G173" i="16" s="1"/>
  <c r="BY173" i="6" s="1"/>
  <c r="Q225" i="16"/>
  <c r="P225" i="16" s="1"/>
  <c r="V225" i="16" s="1"/>
  <c r="Q191" i="16"/>
  <c r="P191" i="16" s="1"/>
  <c r="V191" i="16" s="1"/>
  <c r="F191" i="16" s="1"/>
  <c r="G191" i="16" s="1"/>
  <c r="BY191" i="6" s="1"/>
  <c r="Q201" i="16"/>
  <c r="P201" i="16" s="1"/>
  <c r="V201" i="16" s="1"/>
  <c r="F201" i="16" s="1"/>
  <c r="Q317" i="16"/>
  <c r="P317" i="16" s="1"/>
  <c r="V317" i="16" s="1"/>
  <c r="F317" i="16" s="1"/>
  <c r="G317" i="16" s="1"/>
  <c r="BY317" i="6" s="1"/>
  <c r="Q162" i="16"/>
  <c r="P162" i="16" s="1"/>
  <c r="V162" i="16" s="1"/>
  <c r="F162" i="16" s="1"/>
  <c r="G162" i="16" s="1"/>
  <c r="BY162" i="6" s="1"/>
  <c r="Q327" i="16"/>
  <c r="P327" i="16" s="1"/>
  <c r="V327" i="16" s="1"/>
  <c r="F327" i="16" s="1"/>
  <c r="G327" i="16" s="1"/>
  <c r="BY327" i="6" s="1"/>
  <c r="Q337" i="16"/>
  <c r="P337" i="16" s="1"/>
  <c r="V337" i="16" s="1"/>
  <c r="F337" i="16" s="1"/>
  <c r="Q309" i="16"/>
  <c r="Q29" i="16"/>
  <c r="P29" i="16" s="1"/>
  <c r="Q39" i="16"/>
  <c r="P39" i="16" s="1"/>
  <c r="V39" i="16" s="1"/>
  <c r="F39" i="16" s="1"/>
  <c r="G39" i="16" s="1"/>
  <c r="BY39" i="6" s="1"/>
  <c r="Q63" i="16"/>
  <c r="P63" i="16" s="1"/>
  <c r="V63" i="16" s="1"/>
  <c r="F63" i="16" s="1"/>
  <c r="Q349" i="16"/>
  <c r="P349" i="16" s="1"/>
  <c r="V349" i="16" s="1"/>
  <c r="Q359" i="16"/>
  <c r="P359" i="16" s="1"/>
  <c r="V359" i="16" s="1"/>
  <c r="F359" i="16" s="1"/>
  <c r="Q16" i="16"/>
  <c r="Q72" i="16"/>
  <c r="P72" i="16" s="1"/>
  <c r="V72" i="16" s="1"/>
  <c r="F72" i="16" s="1"/>
  <c r="G72" i="16" s="1"/>
  <c r="BY72" i="6" s="1"/>
  <c r="Q176" i="16"/>
  <c r="P176" i="16" s="1"/>
  <c r="V176" i="16" s="1"/>
  <c r="F176" i="16" s="1"/>
  <c r="G176" i="16" s="1"/>
  <c r="BY176" i="6" s="1"/>
  <c r="Q145" i="16"/>
  <c r="P145" i="16" s="1"/>
  <c r="V145" i="16" s="1"/>
  <c r="F145" i="16" s="1"/>
  <c r="Q261" i="16"/>
  <c r="P261" i="16" s="1"/>
  <c r="V261" i="16" s="1"/>
  <c r="F261" i="16" s="1"/>
  <c r="G261" i="16" s="1"/>
  <c r="BY261" i="6" s="1"/>
  <c r="Q62" i="16"/>
  <c r="P62" i="16" s="1"/>
  <c r="V62" i="16" s="1"/>
  <c r="F62" i="16" s="1"/>
  <c r="G62" i="16" s="1"/>
  <c r="BY62" i="6" s="1"/>
  <c r="Q56" i="16"/>
  <c r="P56" i="16" s="1"/>
  <c r="V56" i="16" s="1"/>
  <c r="F56" i="16" s="1"/>
  <c r="G56" i="16" s="1"/>
  <c r="BY56" i="6" s="1"/>
  <c r="Q331" i="16"/>
  <c r="P331" i="16" s="1"/>
  <c r="V331" i="16" s="1"/>
  <c r="F331" i="16" s="1"/>
  <c r="G331" i="16" s="1"/>
  <c r="BY331" i="6" s="1"/>
  <c r="Q280" i="16"/>
  <c r="P280" i="16" s="1"/>
  <c r="V280" i="16" s="1"/>
  <c r="F280" i="16" s="1"/>
  <c r="Q205" i="16"/>
  <c r="P205" i="16" s="1"/>
  <c r="V205" i="16" s="1"/>
  <c r="F205" i="16" s="1"/>
  <c r="G205" i="16" s="1"/>
  <c r="BY205" i="6" s="1"/>
  <c r="Q91" i="16"/>
  <c r="P91" i="16" s="1"/>
  <c r="Q175" i="16"/>
  <c r="P175" i="16" s="1"/>
  <c r="V175" i="16" s="1"/>
  <c r="F175" i="16" s="1"/>
  <c r="Q241" i="16"/>
  <c r="P241" i="16" s="1"/>
  <c r="Q264" i="16"/>
  <c r="P264" i="16" s="1"/>
  <c r="V264" i="16" s="1"/>
  <c r="F264" i="16" s="1"/>
  <c r="G264" i="16" s="1"/>
  <c r="BY264" i="6" s="1"/>
  <c r="Q272" i="16"/>
  <c r="P272" i="16" s="1"/>
  <c r="V272" i="16" s="1"/>
  <c r="Q34" i="16"/>
  <c r="P34" i="16" s="1"/>
  <c r="V34" i="16" s="1"/>
  <c r="F34" i="16" s="1"/>
  <c r="G34" i="16" s="1"/>
  <c r="BY34" i="6" s="1"/>
  <c r="Q220" i="16"/>
  <c r="P220" i="16" s="1"/>
  <c r="V220" i="16" s="1"/>
  <c r="F220" i="16" s="1"/>
  <c r="G220" i="16" s="1"/>
  <c r="BY220" i="6" s="1"/>
  <c r="Q287" i="16"/>
  <c r="P287" i="16" s="1"/>
  <c r="V287" i="16" s="1"/>
  <c r="Q319" i="16"/>
  <c r="P319" i="16" s="1"/>
  <c r="V319" i="16" s="1"/>
  <c r="F319" i="16" s="1"/>
  <c r="G319" i="16" s="1"/>
  <c r="BY319" i="6" s="1"/>
  <c r="Q285" i="16"/>
  <c r="P285" i="16" s="1"/>
  <c r="V285" i="16" s="1"/>
  <c r="F285" i="16" s="1"/>
  <c r="G285" i="16" s="1"/>
  <c r="BY285" i="6" s="1"/>
  <c r="Q295" i="16"/>
  <c r="P295" i="16" s="1"/>
  <c r="V295" i="16" s="1"/>
  <c r="F295" i="16" s="1"/>
  <c r="G295" i="16" s="1"/>
  <c r="BY295" i="6" s="1"/>
  <c r="Q100" i="16"/>
  <c r="P100" i="16" s="1"/>
  <c r="V100" i="16" s="1"/>
  <c r="F100" i="16" s="1"/>
  <c r="G100" i="16" s="1"/>
  <c r="BY100" i="6" s="1"/>
  <c r="Q51" i="16"/>
  <c r="P51" i="16" s="1"/>
  <c r="V51" i="16" s="1"/>
  <c r="F51" i="16" s="1"/>
  <c r="Q318" i="16"/>
  <c r="P318" i="16" s="1"/>
  <c r="V318" i="16" s="1"/>
  <c r="F318" i="16" s="1"/>
  <c r="G318" i="16" s="1"/>
  <c r="BY318" i="6" s="1"/>
  <c r="Q292" i="16"/>
  <c r="P292" i="16" s="1"/>
  <c r="V292" i="16" s="1"/>
  <c r="Q25" i="16"/>
  <c r="P25" i="16" s="1"/>
  <c r="V25" i="16" s="1"/>
  <c r="F25" i="16" s="1"/>
  <c r="G25" i="16" s="1"/>
  <c r="BY25" i="6" s="1"/>
  <c r="Q136" i="16"/>
  <c r="P136" i="16" s="1"/>
  <c r="V136" i="16" s="1"/>
  <c r="F136" i="16" s="1"/>
  <c r="G136" i="16" s="1"/>
  <c r="BY136" i="6" s="1"/>
  <c r="Q47" i="16"/>
  <c r="P47" i="16" s="1"/>
  <c r="V47" i="16" s="1"/>
  <c r="F47" i="16" s="1"/>
  <c r="G47" i="16" s="1"/>
  <c r="BY47" i="6" s="1"/>
  <c r="Q322" i="16"/>
  <c r="P322" i="16" s="1"/>
  <c r="V322" i="16" s="1"/>
  <c r="F322" i="16" s="1"/>
  <c r="G322" i="16" s="1"/>
  <c r="BY322" i="6" s="1"/>
  <c r="Q210" i="16"/>
  <c r="P210" i="16" s="1"/>
  <c r="D50" i="7" s="1"/>
  <c r="Q186" i="16"/>
  <c r="P186" i="16" s="1"/>
  <c r="V186" i="16" s="1"/>
  <c r="F186" i="16" s="1"/>
  <c r="G186" i="16" s="1"/>
  <c r="BY186" i="6" s="1"/>
  <c r="Q200" i="16"/>
  <c r="P200" i="16" s="1"/>
  <c r="V200" i="16" s="1"/>
  <c r="F200" i="16" s="1"/>
  <c r="G200" i="16" s="1"/>
  <c r="BY200" i="6" s="1"/>
  <c r="Q296" i="16"/>
  <c r="P296" i="16" s="1"/>
  <c r="V296" i="16" s="1"/>
  <c r="F296" i="16" s="1"/>
  <c r="G296" i="16" s="1"/>
  <c r="BY296" i="6" s="1"/>
  <c r="Q339" i="16"/>
  <c r="P339" i="16" s="1"/>
  <c r="V339" i="16" s="1"/>
  <c r="Q366" i="16"/>
  <c r="P366" i="16" s="1"/>
  <c r="V366" i="16" s="1"/>
  <c r="F366" i="16" s="1"/>
  <c r="G366" i="16" s="1"/>
  <c r="BY366" i="6" s="1"/>
  <c r="Q141" i="16"/>
  <c r="P141" i="16" s="1"/>
  <c r="V141" i="16" s="1"/>
  <c r="F141" i="16" s="1"/>
  <c r="G141" i="16" s="1"/>
  <c r="BY141" i="6" s="1"/>
  <c r="Q324" i="16"/>
  <c r="P324" i="16" s="1"/>
  <c r="V324" i="16" s="1"/>
  <c r="F324" i="16" s="1"/>
  <c r="G324" i="16" s="1"/>
  <c r="BY324" i="6" s="1"/>
  <c r="Q126" i="16"/>
  <c r="P126" i="16" s="1"/>
  <c r="Q52" i="16"/>
  <c r="P52" i="16" s="1"/>
  <c r="V52" i="16" s="1"/>
  <c r="F52" i="16" s="1"/>
  <c r="G52" i="16" s="1"/>
  <c r="BY52" i="6" s="1"/>
  <c r="Q228" i="16"/>
  <c r="Q30" i="16"/>
  <c r="P30" i="16" s="1"/>
  <c r="V30" i="16" s="1"/>
  <c r="F30" i="16" s="1"/>
  <c r="G30" i="16" s="1"/>
  <c r="BY30" i="6" s="1"/>
  <c r="Q54" i="16"/>
  <c r="P54" i="16" s="1"/>
  <c r="V54" i="16" s="1"/>
  <c r="F54" i="16" s="1"/>
  <c r="G54" i="16" s="1"/>
  <c r="BY54" i="6" s="1"/>
  <c r="Q299" i="16"/>
  <c r="P299" i="16" s="1"/>
  <c r="V299" i="16" s="1"/>
  <c r="F299" i="16" s="1"/>
  <c r="G299" i="16" s="1"/>
  <c r="BY299" i="6" s="1"/>
  <c r="Q344" i="16"/>
  <c r="P344" i="16" s="1"/>
  <c r="V344" i="16" s="1"/>
  <c r="F344" i="16" s="1"/>
  <c r="Q55" i="16"/>
  <c r="P55" i="16" s="1"/>
  <c r="V55" i="16" s="1"/>
  <c r="F55" i="16" s="1"/>
  <c r="Q114" i="16"/>
  <c r="P114" i="16" s="1"/>
  <c r="V114" i="16" s="1"/>
  <c r="Q281" i="16"/>
  <c r="P281" i="16" s="1"/>
  <c r="V281" i="16" s="1"/>
  <c r="F281" i="16" s="1"/>
  <c r="Q334" i="16"/>
  <c r="P334" i="16" s="1"/>
  <c r="V334" i="16" s="1"/>
  <c r="F334" i="16" s="1"/>
  <c r="Q335" i="16"/>
  <c r="P335" i="16" s="1"/>
  <c r="V335" i="16" s="1"/>
  <c r="F335" i="16" s="1"/>
  <c r="G335" i="16" s="1"/>
  <c r="BY335" i="6" s="1"/>
  <c r="Q66" i="16"/>
  <c r="P66" i="16" s="1"/>
  <c r="V66" i="16" s="1"/>
  <c r="F66" i="16" s="1"/>
  <c r="G66" i="16" s="1"/>
  <c r="BY66" i="6" s="1"/>
  <c r="Q380" i="16"/>
  <c r="P380" i="16" s="1"/>
  <c r="V380" i="16" s="1"/>
  <c r="F380" i="16" s="1"/>
  <c r="G380" i="16" s="1"/>
  <c r="BY380" i="6" s="1"/>
  <c r="Q303" i="16"/>
  <c r="P303" i="16" s="1"/>
  <c r="V303" i="16" s="1"/>
  <c r="F303" i="16" s="1"/>
  <c r="G303" i="16" s="1"/>
  <c r="BY303" i="6" s="1"/>
  <c r="Q372" i="16"/>
  <c r="P372" i="16" s="1"/>
  <c r="V372" i="16" s="1"/>
  <c r="F372" i="16" s="1"/>
  <c r="G372" i="16" s="1"/>
  <c r="BY372" i="6" s="1"/>
  <c r="Q40" i="16"/>
  <c r="P40" i="16" s="1"/>
  <c r="V40" i="16" s="1"/>
  <c r="F40" i="16" s="1"/>
  <c r="G40" i="16" s="1"/>
  <c r="BY40" i="6" s="1"/>
  <c r="AH379" i="16"/>
  <c r="AI12" i="17"/>
  <c r="AK3" i="18"/>
  <c r="Q15" i="19" s="1"/>
  <c r="AX11" i="7"/>
  <c r="AR15" i="7"/>
  <c r="AS11" i="7"/>
  <c r="Q11" i="23" s="1"/>
  <c r="P11" i="23"/>
  <c r="L16" i="19"/>
  <c r="P10" i="20"/>
  <c r="Q332" i="16"/>
  <c r="Q15" i="7"/>
  <c r="AE370" i="16"/>
  <c r="AD370" i="16" s="1"/>
  <c r="AE68" i="16"/>
  <c r="AD68" i="16" s="1"/>
  <c r="AE153" i="16"/>
  <c r="AD153" i="16" s="1"/>
  <c r="AE250" i="16"/>
  <c r="AD250" i="16" s="1"/>
  <c r="AE311" i="16"/>
  <c r="AD311" i="16" s="1"/>
  <c r="AE376" i="16"/>
  <c r="AD376" i="16" s="1"/>
  <c r="AE66" i="16"/>
  <c r="AD66" i="16" s="1"/>
  <c r="AE127" i="16"/>
  <c r="AD127" i="16" s="1"/>
  <c r="AE208" i="16"/>
  <c r="AD208" i="16" s="1"/>
  <c r="AE341" i="16"/>
  <c r="AD341" i="16" s="1"/>
  <c r="AE39" i="16"/>
  <c r="AD39" i="16" s="1"/>
  <c r="AE104" i="16"/>
  <c r="AD104" i="16" s="1"/>
  <c r="AE47" i="16"/>
  <c r="AD47" i="16" s="1"/>
  <c r="AE229" i="16"/>
  <c r="AD229" i="16" s="1"/>
  <c r="AE363" i="16"/>
  <c r="AD363" i="16" s="1"/>
  <c r="AE118" i="16"/>
  <c r="AD118" i="16" s="1"/>
  <c r="AE316" i="16"/>
  <c r="AD316" i="16" s="1"/>
  <c r="AE91" i="16"/>
  <c r="AD91" i="16" s="1"/>
  <c r="AE292" i="16"/>
  <c r="AD292" i="16" s="1"/>
  <c r="AE377" i="16"/>
  <c r="AD377" i="16" s="1"/>
  <c r="AE83" i="16"/>
  <c r="AD83" i="16" s="1"/>
  <c r="AE172" i="16"/>
  <c r="AD172" i="16" s="1"/>
  <c r="AE225" i="16"/>
  <c r="AD225" i="16" s="1"/>
  <c r="AE290" i="16"/>
  <c r="AE351" i="16"/>
  <c r="AD351" i="16" s="1"/>
  <c r="AE73" i="16"/>
  <c r="AD73" i="16" s="1"/>
  <c r="AE138" i="16"/>
  <c r="AD138" i="16" s="1"/>
  <c r="AE199" i="16"/>
  <c r="AD199" i="16" s="1"/>
  <c r="AE264" i="16"/>
  <c r="AD264" i="16" s="1"/>
  <c r="AE166" i="16"/>
  <c r="AD166" i="16" s="1"/>
  <c r="AE107" i="16"/>
  <c r="AD107" i="16" s="1"/>
  <c r="AE60" i="16"/>
  <c r="AD60" i="16" s="1"/>
  <c r="AE271" i="16"/>
  <c r="AD271" i="16" s="1"/>
  <c r="AE90" i="16"/>
  <c r="AD90" i="16" s="1"/>
  <c r="AE216" i="16"/>
  <c r="AD216" i="16" s="1"/>
  <c r="AE342" i="16"/>
  <c r="AD342" i="16" s="1"/>
  <c r="AE117" i="16"/>
  <c r="AD117" i="16" s="1"/>
  <c r="AE251" i="16"/>
  <c r="AD251" i="16" s="1"/>
  <c r="AE122" i="16"/>
  <c r="AD122" i="16" s="1"/>
  <c r="AE374" i="16"/>
  <c r="AD374" i="16" s="1"/>
  <c r="AE347" i="16"/>
  <c r="AD347" i="16" s="1"/>
  <c r="AE197" i="16"/>
  <c r="AD197" i="16" s="1"/>
  <c r="AE86" i="16"/>
  <c r="AD86" i="16" s="1"/>
  <c r="AE249" i="16"/>
  <c r="AD249" i="16" s="1"/>
  <c r="AE162" i="16"/>
  <c r="AD162" i="16" s="1"/>
  <c r="AE71" i="16"/>
  <c r="AD71" i="16" s="1"/>
  <c r="AE328" i="16"/>
  <c r="AD328" i="16" s="1"/>
  <c r="AE263" i="16"/>
  <c r="AD263" i="16" s="1"/>
  <c r="AE202" i="16"/>
  <c r="AD202" i="16" s="1"/>
  <c r="AE137" i="16"/>
  <c r="AD137" i="16" s="1"/>
  <c r="AE52" i="16"/>
  <c r="AD52" i="16" s="1"/>
  <c r="AE354" i="16"/>
  <c r="AD354" i="16" s="1"/>
  <c r="AE289" i="16"/>
  <c r="AD289" i="16" s="1"/>
  <c r="AE236" i="16"/>
  <c r="AD236" i="16" s="1"/>
  <c r="AE147" i="16"/>
  <c r="AD147" i="16" s="1"/>
  <c r="AE70" i="16"/>
  <c r="AD70" i="16" s="1"/>
  <c r="AE356" i="16"/>
  <c r="AD356" i="16" s="1"/>
  <c r="AE283" i="16"/>
  <c r="AD283" i="16" s="1"/>
  <c r="AE206" i="16"/>
  <c r="AD206" i="16" s="1"/>
  <c r="AE149" i="16"/>
  <c r="AD149" i="16" s="1"/>
  <c r="AE19" i="16"/>
  <c r="AD19" i="16" s="1"/>
  <c r="AE310" i="16"/>
  <c r="AD310" i="16" s="1"/>
  <c r="AE237" i="16"/>
  <c r="AD237" i="16" s="1"/>
  <c r="AE184" i="16"/>
  <c r="AD184" i="16" s="1"/>
  <c r="AE119" i="16"/>
  <c r="AD119" i="16" s="1"/>
  <c r="AE58" i="16"/>
  <c r="AD58" i="16" s="1"/>
  <c r="AE320" i="16"/>
  <c r="AD320" i="16" s="1"/>
  <c r="AE239" i="16"/>
  <c r="AD239" i="16" s="1"/>
  <c r="AE178" i="16"/>
  <c r="AE200" i="16"/>
  <c r="AD200" i="16" s="1"/>
  <c r="AE135" i="16"/>
  <c r="AD135" i="16" s="1"/>
  <c r="AE74" i="16"/>
  <c r="AD74" i="16" s="1"/>
  <c r="AE368" i="16"/>
  <c r="AD368" i="16" s="1"/>
  <c r="AE287" i="16"/>
  <c r="AD287" i="16" s="1"/>
  <c r="AE226" i="16"/>
  <c r="AD226" i="16" s="1"/>
  <c r="AE161" i="16"/>
  <c r="AD161" i="16" s="1"/>
  <c r="AE108" i="16"/>
  <c r="AD108" i="16" s="1"/>
  <c r="AE16" i="16"/>
  <c r="AD16" i="16" s="1"/>
  <c r="AE313" i="16"/>
  <c r="AD313" i="16" s="1"/>
  <c r="AE228" i="16"/>
  <c r="AD228" i="16" s="1"/>
  <c r="AE155" i="16"/>
  <c r="AD155" i="16" s="1"/>
  <c r="AE78" i="16"/>
  <c r="AD78" i="16" s="1"/>
  <c r="AE21" i="16"/>
  <c r="AD21" i="16" s="1"/>
  <c r="AE259" i="16"/>
  <c r="AD259" i="16" s="1"/>
  <c r="AE182" i="16"/>
  <c r="AD182" i="16" s="1"/>
  <c r="AE109" i="16"/>
  <c r="AD109" i="16" s="1"/>
  <c r="AE56" i="16"/>
  <c r="AD56" i="16" s="1"/>
  <c r="AE350" i="16"/>
  <c r="AD350" i="16" s="1"/>
  <c r="AE293" i="16"/>
  <c r="AD293" i="16" s="1"/>
  <c r="AE192" i="16"/>
  <c r="AD192" i="16" s="1"/>
  <c r="AE111" i="16"/>
  <c r="AD111" i="16" s="1"/>
  <c r="AE50" i="16"/>
  <c r="AD50" i="16" s="1"/>
  <c r="AE324" i="16"/>
  <c r="AD324" i="16" s="1"/>
  <c r="AE38" i="16"/>
  <c r="AD38" i="16" s="1"/>
  <c r="AE115" i="16"/>
  <c r="AD115" i="16" s="1"/>
  <c r="AE204" i="16"/>
  <c r="AD204" i="16" s="1"/>
  <c r="AE257" i="16"/>
  <c r="AD257" i="16" s="1"/>
  <c r="AE322" i="16"/>
  <c r="AD322" i="16" s="1"/>
  <c r="AE20" i="16"/>
  <c r="AD20" i="16" s="1"/>
  <c r="AE105" i="16"/>
  <c r="AD105" i="16" s="1"/>
  <c r="AE234" i="16"/>
  <c r="AD234" i="16" s="1"/>
  <c r="AE295" i="16"/>
  <c r="AD295" i="16" s="1"/>
  <c r="AE360" i="16"/>
  <c r="AD360" i="16" s="1"/>
  <c r="AE196" i="16"/>
  <c r="AD196" i="16" s="1"/>
  <c r="AE378" i="16"/>
  <c r="AD378" i="16" s="1"/>
  <c r="AE129" i="16"/>
  <c r="AD129" i="16" s="1"/>
  <c r="AE255" i="16"/>
  <c r="AD255" i="16" s="1"/>
  <c r="AE106" i="16"/>
  <c r="AD106" i="16" s="1"/>
  <c r="AE232" i="16"/>
  <c r="AD232" i="16" s="1"/>
  <c r="AE189" i="16"/>
  <c r="AD189" i="16" s="1"/>
  <c r="AE262" i="16"/>
  <c r="AD262" i="16" s="1"/>
  <c r="AE339" i="16"/>
  <c r="AD339" i="16" s="1"/>
  <c r="AE69" i="16"/>
  <c r="AD69" i="16" s="1"/>
  <c r="AE126" i="16"/>
  <c r="AD126" i="16" s="1"/>
  <c r="AE203" i="16"/>
  <c r="AD203" i="16" s="1"/>
  <c r="AE244" i="16"/>
  <c r="AD244" i="16" s="1"/>
  <c r="AE329" i="16"/>
  <c r="AD329" i="16" s="1"/>
  <c r="AE35" i="16"/>
  <c r="AD35" i="16" s="1"/>
  <c r="AE92" i="16"/>
  <c r="AD92" i="16" s="1"/>
  <c r="AE145" i="16"/>
  <c r="AD145" i="16" s="1"/>
  <c r="AE93" i="16"/>
  <c r="AD93" i="16" s="1"/>
  <c r="AE30" i="16"/>
  <c r="AD30" i="16" s="1"/>
  <c r="AE362" i="16"/>
  <c r="AD362" i="16" s="1"/>
  <c r="AE61" i="16"/>
  <c r="AD61" i="16" s="1"/>
  <c r="AE211" i="16"/>
  <c r="AD211" i="16" s="1"/>
  <c r="AE353" i="16"/>
  <c r="AD353" i="16" s="1"/>
  <c r="AE116" i="16"/>
  <c r="AD116" i="16" s="1"/>
  <c r="AE266" i="16"/>
  <c r="AD266" i="16" s="1"/>
  <c r="AE15" i="16"/>
  <c r="AE25" i="16"/>
  <c r="AD25" i="16" s="1"/>
  <c r="AE301" i="16"/>
  <c r="AD301" i="16" s="1"/>
  <c r="AE270" i="16"/>
  <c r="AD270" i="16" s="1"/>
  <c r="AE96" i="16"/>
  <c r="AD96" i="16" s="1"/>
  <c r="AE372" i="16"/>
  <c r="AE273" i="16"/>
  <c r="AD273" i="16" s="1"/>
  <c r="AE346" i="16"/>
  <c r="AD346" i="16" s="1"/>
  <c r="AE223" i="16"/>
  <c r="AD223" i="16" s="1"/>
  <c r="AE136" i="16"/>
  <c r="AD136" i="16" s="1"/>
  <c r="AE209" i="16"/>
  <c r="AD209" i="16" s="1"/>
  <c r="AE156" i="16"/>
  <c r="AD156" i="16" s="1"/>
  <c r="AE99" i="16"/>
  <c r="AD99" i="16" s="1"/>
  <c r="AE22" i="16"/>
  <c r="AD22" i="16" s="1"/>
  <c r="AE308" i="16"/>
  <c r="AD308" i="16" s="1"/>
  <c r="AE267" i="16"/>
  <c r="AD267" i="16" s="1"/>
  <c r="AE190" i="16"/>
  <c r="AD190" i="16" s="1"/>
  <c r="AE133" i="16"/>
  <c r="AE32" i="16"/>
  <c r="AD32" i="16" s="1"/>
  <c r="AE326" i="16"/>
  <c r="AD326" i="16" s="1"/>
  <c r="AE253" i="16"/>
  <c r="AD253" i="16" s="1"/>
  <c r="AE168" i="16"/>
  <c r="AD168" i="16" s="1"/>
  <c r="AE103" i="16"/>
  <c r="AD103" i="16" s="1"/>
  <c r="AE42" i="16"/>
  <c r="AD42" i="16" s="1"/>
  <c r="AE272" i="16"/>
  <c r="AD272" i="16" s="1"/>
  <c r="AE191" i="16"/>
  <c r="AD191" i="16" s="1"/>
  <c r="AE130" i="16"/>
  <c r="AD130" i="16" s="1"/>
  <c r="AE65" i="16"/>
  <c r="AD65" i="16" s="1"/>
  <c r="AE375" i="16"/>
  <c r="AD375" i="16" s="1"/>
  <c r="AE314" i="16"/>
  <c r="AD314" i="16" s="1"/>
  <c r="AE217" i="16"/>
  <c r="AD217" i="16" s="1"/>
  <c r="AE132" i="16"/>
  <c r="AD132" i="16" s="1"/>
  <c r="AE306" i="16"/>
  <c r="AD306" i="16" s="1"/>
  <c r="AE81" i="16"/>
  <c r="AD81" i="16" s="1"/>
  <c r="AE28" i="16"/>
  <c r="AD28" i="16" s="1"/>
  <c r="AE330" i="16"/>
  <c r="AD330" i="16" s="1"/>
  <c r="AE265" i="16"/>
  <c r="AD265" i="16" s="1"/>
  <c r="AE180" i="16"/>
  <c r="AD180" i="16" s="1"/>
  <c r="AE139" i="16"/>
  <c r="AD139" i="16" s="1"/>
  <c r="AE62" i="16"/>
  <c r="AD62" i="16" s="1"/>
  <c r="AE364" i="16"/>
  <c r="AD364" i="16" s="1"/>
  <c r="AE275" i="16"/>
  <c r="AD275" i="16" s="1"/>
  <c r="AE198" i="16"/>
  <c r="AD198" i="16" s="1"/>
  <c r="AE125" i="16"/>
  <c r="AD125" i="16" s="1"/>
  <c r="AE40" i="16"/>
  <c r="AD40" i="16" s="1"/>
  <c r="AE334" i="16"/>
  <c r="AD334" i="16" s="1"/>
  <c r="AE277" i="16"/>
  <c r="AD277" i="16" s="1"/>
  <c r="AE144" i="16"/>
  <c r="AD144" i="16" s="1"/>
  <c r="AE63" i="16"/>
  <c r="AD63" i="16" s="1"/>
  <c r="AE365" i="16"/>
  <c r="AD365" i="16" s="1"/>
  <c r="AE312" i="16"/>
  <c r="AD312" i="16" s="1"/>
  <c r="AE247" i="16"/>
  <c r="AD247" i="16" s="1"/>
  <c r="AE186" i="16"/>
  <c r="AD186" i="16" s="1"/>
  <c r="AE89" i="16"/>
  <c r="AD89" i="16" s="1"/>
  <c r="AE367" i="16"/>
  <c r="AD367" i="16" s="1"/>
  <c r="AE221" i="16"/>
  <c r="AD221" i="16" s="1"/>
  <c r="AE294" i="16"/>
  <c r="AD294" i="16" s="1"/>
  <c r="AE371" i="16"/>
  <c r="AE101" i="16"/>
  <c r="AD101" i="16" s="1"/>
  <c r="AE158" i="16"/>
  <c r="AD158" i="16" s="1"/>
  <c r="AE235" i="16"/>
  <c r="AD235" i="16" s="1"/>
  <c r="AE276" i="16"/>
  <c r="AD276" i="16" s="1"/>
  <c r="AE361" i="16"/>
  <c r="AD361" i="16" s="1"/>
  <c r="AE67" i="16"/>
  <c r="AD67" i="16" s="1"/>
  <c r="AE188" i="16"/>
  <c r="AD188" i="16" s="1"/>
  <c r="AE241" i="16"/>
  <c r="AD241" i="16" s="1"/>
  <c r="AE349" i="16"/>
  <c r="AD349" i="16" s="1"/>
  <c r="AE128" i="16"/>
  <c r="AE286" i="16"/>
  <c r="AD286" i="16" s="1"/>
  <c r="AE45" i="16"/>
  <c r="AD45" i="16" s="1"/>
  <c r="AE195" i="16"/>
  <c r="AD195" i="16" s="1"/>
  <c r="AE369" i="16"/>
  <c r="AD369" i="16" s="1"/>
  <c r="AE82" i="16"/>
  <c r="AD82" i="16" s="1"/>
  <c r="AE143" i="16"/>
  <c r="AD143" i="16" s="1"/>
  <c r="AE224" i="16"/>
  <c r="AD224" i="16" s="1"/>
  <c r="AE325" i="16"/>
  <c r="AD325" i="16" s="1"/>
  <c r="AE23" i="16"/>
  <c r="AD23" i="16" s="1"/>
  <c r="AE88" i="16"/>
  <c r="AD88" i="16" s="1"/>
  <c r="AE141" i="16"/>
  <c r="AD141" i="16" s="1"/>
  <c r="AE214" i="16"/>
  <c r="AD214" i="16" s="1"/>
  <c r="AE291" i="16"/>
  <c r="AD291" i="16" s="1"/>
  <c r="AE348" i="16"/>
  <c r="AD348" i="16" s="1"/>
  <c r="AE46" i="16"/>
  <c r="AD46" i="16" s="1"/>
  <c r="AE123" i="16"/>
  <c r="AD123" i="16" s="1"/>
  <c r="AE332" i="16"/>
  <c r="AD332" i="16" s="1"/>
  <c r="AE233" i="16"/>
  <c r="AD233" i="16" s="1"/>
  <c r="AE210" i="16"/>
  <c r="AD210" i="16" s="1"/>
  <c r="AE352" i="16"/>
  <c r="AD352" i="16" s="1"/>
  <c r="AE151" i="16"/>
  <c r="AD151" i="16" s="1"/>
  <c r="AE269" i="16"/>
  <c r="AD269" i="16" s="1"/>
  <c r="AE48" i="16"/>
  <c r="AD48" i="16" s="1"/>
  <c r="AE174" i="16"/>
  <c r="AD174" i="16" s="1"/>
  <c r="AE303" i="16"/>
  <c r="AD303" i="16" s="1"/>
  <c r="AE248" i="16"/>
  <c r="AD248" i="16" s="1"/>
  <c r="AE213" i="16"/>
  <c r="AD213" i="16" s="1"/>
  <c r="AE18" i="16"/>
  <c r="AD18" i="16" s="1"/>
  <c r="AE331" i="16"/>
  <c r="AD331" i="16" s="1"/>
  <c r="AE220" i="16"/>
  <c r="AD220" i="16" s="1"/>
  <c r="AE44" i="16"/>
  <c r="AD44" i="16" s="1"/>
  <c r="AE304" i="16"/>
  <c r="AD304" i="16" s="1"/>
  <c r="AE187" i="16"/>
  <c r="AD187" i="16" s="1"/>
  <c r="AE110" i="16"/>
  <c r="AD110" i="16" s="1"/>
  <c r="AE53" i="16"/>
  <c r="AD53" i="16" s="1"/>
  <c r="AE355" i="16"/>
  <c r="AD355" i="16" s="1"/>
  <c r="AE278" i="16"/>
  <c r="AD278" i="16" s="1"/>
  <c r="AE205" i="16"/>
  <c r="AD205" i="16" s="1"/>
  <c r="AE152" i="16"/>
  <c r="AD152" i="16" s="1"/>
  <c r="AE87" i="16"/>
  <c r="AD87" i="16" s="1"/>
  <c r="AE26" i="16"/>
  <c r="AD26" i="16" s="1"/>
  <c r="AE288" i="16"/>
  <c r="AD288" i="16" s="1"/>
  <c r="AE207" i="16"/>
  <c r="AD207" i="16" s="1"/>
  <c r="AE146" i="16"/>
  <c r="AD146" i="16" s="1"/>
  <c r="AE49" i="16"/>
  <c r="AD49" i="16" s="1"/>
  <c r="AE359" i="16"/>
  <c r="AD359" i="16" s="1"/>
  <c r="AE298" i="16"/>
  <c r="AD298" i="16" s="1"/>
  <c r="AE169" i="16"/>
  <c r="AD169" i="16" s="1"/>
  <c r="AE84" i="16"/>
  <c r="AD84" i="16" s="1"/>
  <c r="AE43" i="16"/>
  <c r="AD43" i="16" s="1"/>
  <c r="AE321" i="16"/>
  <c r="AD321" i="16" s="1"/>
  <c r="AE268" i="16"/>
  <c r="AD268" i="16" s="1"/>
  <c r="AE179" i="16"/>
  <c r="AD179" i="16" s="1"/>
  <c r="AE102" i="16"/>
  <c r="AD102" i="16" s="1"/>
  <c r="AE29" i="16"/>
  <c r="AD29" i="16" s="1"/>
  <c r="AE59" i="16"/>
  <c r="AD59" i="16" s="1"/>
  <c r="AE337" i="16"/>
  <c r="AD337" i="16" s="1"/>
  <c r="AE284" i="16"/>
  <c r="AD284" i="16" s="1"/>
  <c r="AE227" i="16"/>
  <c r="AD227" i="16" s="1"/>
  <c r="AE150" i="16"/>
  <c r="AD150" i="16" s="1"/>
  <c r="AE77" i="16"/>
  <c r="AD77" i="16" s="1"/>
  <c r="AE24" i="16"/>
  <c r="AD24" i="16" s="1"/>
  <c r="AE318" i="16"/>
  <c r="AD318" i="16" s="1"/>
  <c r="AE261" i="16"/>
  <c r="AD261" i="16" s="1"/>
  <c r="AE160" i="16"/>
  <c r="AD160" i="16" s="1"/>
  <c r="AE79" i="16"/>
  <c r="AD79" i="16" s="1"/>
  <c r="AE17" i="16"/>
  <c r="AD17" i="16" s="1"/>
  <c r="AE296" i="16"/>
  <c r="AD296" i="16" s="1"/>
  <c r="AE231" i="16"/>
  <c r="AD231" i="16" s="1"/>
  <c r="AE170" i="16"/>
  <c r="AD170" i="16" s="1"/>
  <c r="AE41" i="16"/>
  <c r="AD41" i="16" s="1"/>
  <c r="AE319" i="16"/>
  <c r="AD319" i="16" s="1"/>
  <c r="AE258" i="16"/>
  <c r="AD258" i="16" s="1"/>
  <c r="AE193" i="16"/>
  <c r="AD193" i="16" s="1"/>
  <c r="AE140" i="16"/>
  <c r="AD140" i="16" s="1"/>
  <c r="AE51" i="16"/>
  <c r="AD51" i="16" s="1"/>
  <c r="AE345" i="16"/>
  <c r="AD345" i="16" s="1"/>
  <c r="AE260" i="16"/>
  <c r="AD260" i="16" s="1"/>
  <c r="AE114" i="16"/>
  <c r="AD114" i="16" s="1"/>
  <c r="AE175" i="16"/>
  <c r="AD175" i="16" s="1"/>
  <c r="AE256" i="16"/>
  <c r="AD256" i="16" s="1"/>
  <c r="AE357" i="16"/>
  <c r="AD357" i="16" s="1"/>
  <c r="AE55" i="16"/>
  <c r="AD55" i="16" s="1"/>
  <c r="AE120" i="16"/>
  <c r="AD120" i="16" s="1"/>
  <c r="AE173" i="16"/>
  <c r="AD173" i="16" s="1"/>
  <c r="AE246" i="16"/>
  <c r="AD246" i="16" s="1"/>
  <c r="AE323" i="16"/>
  <c r="AD323" i="16" s="1"/>
  <c r="AE85" i="16"/>
  <c r="AD85" i="16" s="1"/>
  <c r="AE142" i="16"/>
  <c r="AD142" i="16" s="1"/>
  <c r="AE219" i="16"/>
  <c r="AD219" i="16" s="1"/>
  <c r="AE281" i="16"/>
  <c r="AD281" i="16" s="1"/>
  <c r="AE76" i="16"/>
  <c r="AD76" i="16" s="1"/>
  <c r="AE194" i="16"/>
  <c r="AD194" i="16" s="1"/>
  <c r="AE336" i="16"/>
  <c r="AD336" i="16" s="1"/>
  <c r="AE167" i="16"/>
  <c r="AD167" i="16" s="1"/>
  <c r="AE338" i="16"/>
  <c r="AD338" i="16" s="1"/>
  <c r="AE36" i="16"/>
  <c r="AD36" i="16" s="1"/>
  <c r="AE121" i="16"/>
  <c r="AD121" i="16" s="1"/>
  <c r="AE218" i="16"/>
  <c r="AD218" i="16" s="1"/>
  <c r="AE279" i="16"/>
  <c r="AD279" i="16" s="1"/>
  <c r="AE344" i="16"/>
  <c r="AD344" i="16" s="1"/>
  <c r="AE34" i="16"/>
  <c r="AD34" i="16" s="1"/>
  <c r="AE95" i="16"/>
  <c r="AE176" i="16"/>
  <c r="AD176" i="16" s="1"/>
  <c r="AE245" i="16"/>
  <c r="AD245" i="16" s="1"/>
  <c r="AE302" i="16"/>
  <c r="AD302" i="16" s="1"/>
  <c r="AE380" i="16"/>
  <c r="AD380" i="16" s="1"/>
  <c r="AE243" i="16"/>
  <c r="AD243" i="16" s="1"/>
  <c r="AE148" i="16"/>
  <c r="AD148" i="16" s="1"/>
  <c r="AE113" i="16"/>
  <c r="AE134" i="16"/>
  <c r="AD134" i="16" s="1"/>
  <c r="AE300" i="16"/>
  <c r="AD300" i="16" s="1"/>
  <c r="AE75" i="16"/>
  <c r="AD75" i="16" s="1"/>
  <c r="AE201" i="16"/>
  <c r="AD201" i="16" s="1"/>
  <c r="AE327" i="16"/>
  <c r="AD327" i="16" s="1"/>
  <c r="AE242" i="16"/>
  <c r="AD242" i="16" s="1"/>
  <c r="AE183" i="16"/>
  <c r="AD183" i="16" s="1"/>
  <c r="AE80" i="16"/>
  <c r="AD80" i="16" s="1"/>
  <c r="AE317" i="16"/>
  <c r="AD317" i="16" s="1"/>
  <c r="AE254" i="16"/>
  <c r="AD254" i="16" s="1"/>
  <c r="AE163" i="16"/>
  <c r="AD163" i="16" s="1"/>
  <c r="AE164" i="16"/>
  <c r="AD164" i="16" s="1"/>
  <c r="AE97" i="16"/>
  <c r="AD97" i="16" s="1"/>
  <c r="AE373" i="16"/>
  <c r="AD373" i="16" s="1"/>
  <c r="AE72" i="16"/>
  <c r="AD72" i="16" s="1"/>
  <c r="AE366" i="16"/>
  <c r="AD366" i="16" s="1"/>
  <c r="AE309" i="16"/>
  <c r="AD309" i="16" s="1"/>
  <c r="AE240" i="16"/>
  <c r="AD240" i="16" s="1"/>
  <c r="AE159" i="16"/>
  <c r="AD159" i="16" s="1"/>
  <c r="AE98" i="16"/>
  <c r="AD98" i="16" s="1"/>
  <c r="AE33" i="16"/>
  <c r="AE343" i="16"/>
  <c r="AD343" i="16" s="1"/>
  <c r="AE282" i="16"/>
  <c r="AD282" i="16" s="1"/>
  <c r="AE185" i="16"/>
  <c r="AD185" i="16" s="1"/>
  <c r="AE100" i="16"/>
  <c r="AD100" i="16" s="1"/>
  <c r="AE27" i="16"/>
  <c r="AD27" i="16" s="1"/>
  <c r="AE305" i="16"/>
  <c r="AD305" i="16" s="1"/>
  <c r="AE252" i="16"/>
  <c r="AD252" i="16" s="1"/>
  <c r="AE131" i="16"/>
  <c r="AD131" i="16" s="1"/>
  <c r="AE54" i="16"/>
  <c r="AD54" i="16" s="1"/>
  <c r="AE340" i="16"/>
  <c r="AE299" i="16"/>
  <c r="AD299" i="16" s="1"/>
  <c r="AE222" i="16"/>
  <c r="AD222" i="16" s="1"/>
  <c r="AE165" i="16"/>
  <c r="AD165" i="16" s="1"/>
  <c r="AE64" i="16"/>
  <c r="AD64" i="16" s="1"/>
  <c r="AE358" i="16"/>
  <c r="AD358" i="16" s="1"/>
  <c r="AE285" i="16"/>
  <c r="AD285" i="16" s="1"/>
  <c r="AE315" i="16"/>
  <c r="AD315" i="16" s="1"/>
  <c r="AE238" i="16"/>
  <c r="AD238" i="16" s="1"/>
  <c r="AE181" i="16"/>
  <c r="AD181" i="16" s="1"/>
  <c r="AE112" i="16"/>
  <c r="AD112" i="16" s="1"/>
  <c r="AE31" i="16"/>
  <c r="AD31" i="16" s="1"/>
  <c r="AE333" i="16"/>
  <c r="AD333" i="16" s="1"/>
  <c r="AE280" i="16"/>
  <c r="AD280" i="16" s="1"/>
  <c r="AE215" i="16"/>
  <c r="AD215" i="16" s="1"/>
  <c r="AE154" i="16"/>
  <c r="AD154" i="16" s="1"/>
  <c r="AE57" i="16"/>
  <c r="AD57" i="16" s="1"/>
  <c r="AE335" i="16"/>
  <c r="AD335" i="16" s="1"/>
  <c r="AE274" i="16"/>
  <c r="AD274" i="16" s="1"/>
  <c r="AE177" i="16"/>
  <c r="AD177" i="16" s="1"/>
  <c r="AE124" i="16"/>
  <c r="AD124" i="16" s="1"/>
  <c r="AE379" i="16"/>
  <c r="AE12" i="17" s="1"/>
  <c r="AE297" i="16"/>
  <c r="AD297" i="16" s="1"/>
  <c r="AE212" i="16"/>
  <c r="AD212" i="16" s="1"/>
  <c r="AE171" i="16"/>
  <c r="AD171" i="16" s="1"/>
  <c r="AE94" i="16"/>
  <c r="AD94" i="16" s="1"/>
  <c r="AE37" i="16"/>
  <c r="AD37" i="16" s="1"/>
  <c r="AE307" i="16"/>
  <c r="AD307" i="16" s="1"/>
  <c r="AE230" i="16"/>
  <c r="AD230" i="16" s="1"/>
  <c r="AE157" i="16"/>
  <c r="AD178" i="16"/>
  <c r="AD157" i="16"/>
  <c r="AD340" i="16"/>
  <c r="AD372" i="16"/>
  <c r="AD33" i="16"/>
  <c r="AK19" i="22"/>
  <c r="AK31" i="22"/>
  <c r="AK30" i="22"/>
  <c r="AK52" i="22"/>
  <c r="AK69" i="22"/>
  <c r="AK86" i="22"/>
  <c r="AK53" i="22"/>
  <c r="AK80" i="22"/>
  <c r="AK98" i="22"/>
  <c r="AK115" i="22"/>
  <c r="AK129" i="22"/>
  <c r="AK143" i="22"/>
  <c r="AK158" i="22"/>
  <c r="AK174" i="22"/>
  <c r="AK34" i="22"/>
  <c r="AK104" i="22"/>
  <c r="AK134" i="22"/>
  <c r="AK173" i="22"/>
  <c r="AK189" i="22"/>
  <c r="AK210" i="22"/>
  <c r="AK228" i="22"/>
  <c r="AK244" i="22"/>
  <c r="AK269" i="22"/>
  <c r="AK284" i="22"/>
  <c r="AK302" i="22"/>
  <c r="AK317" i="22"/>
  <c r="AK335" i="22"/>
  <c r="AK349" i="22"/>
  <c r="AK94" i="22"/>
  <c r="AK67" i="22"/>
  <c r="AK140" i="22"/>
  <c r="AK194" i="22"/>
  <c r="AK154" i="22"/>
  <c r="AK209" i="22"/>
  <c r="AK235" i="22"/>
  <c r="AK259" i="22"/>
  <c r="AK290" i="22"/>
  <c r="AK321" i="22"/>
  <c r="AK227" i="22"/>
  <c r="AK257" i="22"/>
  <c r="AK285" i="22"/>
  <c r="AK315" i="22"/>
  <c r="AK338" i="22"/>
  <c r="AK364" i="22"/>
  <c r="AK373" i="22"/>
  <c r="AK376" i="22"/>
  <c r="AK15" i="22"/>
  <c r="AK29" i="22"/>
  <c r="AK24" i="22"/>
  <c r="AK51" i="22"/>
  <c r="AK68" i="22"/>
  <c r="AK85" i="22"/>
  <c r="AK50" i="22"/>
  <c r="AK77" i="22"/>
  <c r="AK96" i="22"/>
  <c r="AK112" i="22"/>
  <c r="AK128" i="22"/>
  <c r="AK141" i="22"/>
  <c r="AK157" i="22"/>
  <c r="AK171" i="22"/>
  <c r="AK17" i="22"/>
  <c r="AK103" i="22"/>
  <c r="AK127" i="22"/>
  <c r="AK169" i="22"/>
  <c r="AK188" i="22"/>
  <c r="AK208" i="22"/>
  <c r="AK225" i="22"/>
  <c r="AK242" i="22"/>
  <c r="AK265" i="22"/>
  <c r="AK278" i="22"/>
  <c r="AK301" i="22"/>
  <c r="AK314" i="22"/>
  <c r="AK328" i="22"/>
  <c r="AK347" i="22"/>
  <c r="AK55" i="22"/>
  <c r="AK62" i="22"/>
  <c r="AK138" i="22"/>
  <c r="AK193" i="22"/>
  <c r="AK146" i="22"/>
  <c r="AK203" i="22"/>
  <c r="AK233" i="22"/>
  <c r="AK258" i="22"/>
  <c r="AK289" i="22"/>
  <c r="AK319" i="22"/>
  <c r="AK224" i="22"/>
  <c r="AK255" i="22"/>
  <c r="AK283" i="22"/>
  <c r="AK313" i="22"/>
  <c r="AK336" i="22"/>
  <c r="AK363" i="22"/>
  <c r="AK372" i="22"/>
  <c r="AK375" i="22"/>
  <c r="F8" i="22"/>
  <c r="AK28" i="22"/>
  <c r="AK22" i="22"/>
  <c r="AK48" i="22"/>
  <c r="AK66" i="22"/>
  <c r="AK82" i="22"/>
  <c r="AK43" i="22"/>
  <c r="AK75" i="22"/>
  <c r="AK95" i="22"/>
  <c r="AK111" i="22"/>
  <c r="AK126" i="22"/>
  <c r="AK139" i="22"/>
  <c r="AK156" i="22"/>
  <c r="AK166" i="22"/>
  <c r="P12" i="22"/>
  <c r="AK97" i="22"/>
  <c r="AK122" i="22"/>
  <c r="AK168" i="22"/>
  <c r="AK187" i="22"/>
  <c r="AK206" i="22"/>
  <c r="AK220" i="22"/>
  <c r="AK239" i="22"/>
  <c r="AK261" i="22"/>
  <c r="AK277" i="22"/>
  <c r="AK300" i="22"/>
  <c r="AK312" i="22"/>
  <c r="AK326" i="22"/>
  <c r="AK344" i="22"/>
  <c r="AK361" i="22"/>
  <c r="AK58" i="22"/>
  <c r="AK130" i="22"/>
  <c r="AK191" i="22"/>
  <c r="AK144" i="22"/>
  <c r="AK202" i="22"/>
  <c r="AK230" i="22"/>
  <c r="AK256" i="22"/>
  <c r="AK279" i="22"/>
  <c r="AK316" i="22"/>
  <c r="AK222" i="22"/>
  <c r="AK247" i="22"/>
  <c r="AK282" i="22"/>
  <c r="AK310" i="22"/>
  <c r="AK334" i="22"/>
  <c r="AK359" i="22"/>
  <c r="AK370" i="22"/>
  <c r="AK374" i="22"/>
  <c r="AK16" i="22"/>
  <c r="AK27" i="22"/>
  <c r="AK18" i="22"/>
  <c r="AK45" i="22"/>
  <c r="AK60" i="22"/>
  <c r="AK81" i="22"/>
  <c r="AK41" i="22"/>
  <c r="AK73" i="22"/>
  <c r="AK93" i="22"/>
  <c r="AK110" i="22"/>
  <c r="AK124" i="22"/>
  <c r="AK137" i="22"/>
  <c r="AK153" i="22"/>
  <c r="AK164" i="22"/>
  <c r="AK182" i="22"/>
  <c r="AK91" i="22"/>
  <c r="AK121" i="22"/>
  <c r="AK167" i="22"/>
  <c r="AK185" i="22"/>
  <c r="AK204" i="22"/>
  <c r="AK219" i="22"/>
  <c r="AK237" i="22"/>
  <c r="AK260" i="22"/>
  <c r="AK276" i="22"/>
  <c r="AK294" i="22"/>
  <c r="AK311" i="22"/>
  <c r="AK325" i="22"/>
  <c r="AK343" i="22"/>
  <c r="AK358" i="22"/>
  <c r="AK46" i="22"/>
  <c r="AK125" i="22"/>
  <c r="AK180" i="22"/>
  <c r="AK135" i="22"/>
  <c r="AK199" i="22"/>
  <c r="AK226" i="22"/>
  <c r="AK253" i="22"/>
  <c r="AK275" i="22"/>
  <c r="AK309" i="22"/>
  <c r="AK218" i="22"/>
  <c r="AK243" i="22"/>
  <c r="AK281" i="22"/>
  <c r="AK299" i="22"/>
  <c r="AK333" i="22"/>
  <c r="AK351" i="22"/>
  <c r="AK369" i="22"/>
  <c r="AK371" i="22"/>
  <c r="AK25" i="22"/>
  <c r="AK42" i="22"/>
  <c r="AK44" i="22"/>
  <c r="AK59" i="22"/>
  <c r="AK76" i="22"/>
  <c r="AK39" i="22"/>
  <c r="AK71" i="22"/>
  <c r="AK92" i="22"/>
  <c r="AK109" i="22"/>
  <c r="AK120" i="22"/>
  <c r="AK136" i="22"/>
  <c r="AK151" i="22"/>
  <c r="AK163" i="22"/>
  <c r="AK181" i="22"/>
  <c r="AK84" i="22"/>
  <c r="AK117" i="22"/>
  <c r="AK165" i="22"/>
  <c r="AK184" i="22"/>
  <c r="AK200" i="22"/>
  <c r="AK215" i="22"/>
  <c r="AK236" i="22"/>
  <c r="AK254" i="22"/>
  <c r="AK274" i="22"/>
  <c r="AK291" i="22"/>
  <c r="AK308" i="22"/>
  <c r="AK324" i="22"/>
  <c r="AK341" i="22"/>
  <c r="AK356" i="22"/>
  <c r="AK36" i="22"/>
  <c r="AK106" i="22"/>
  <c r="AK170" i="22"/>
  <c r="AK207" i="22"/>
  <c r="AK195" i="22"/>
  <c r="AK223" i="22"/>
  <c r="AK252" i="22"/>
  <c r="AK268" i="22"/>
  <c r="AK307" i="22"/>
  <c r="AK216" i="22"/>
  <c r="AK241" i="22"/>
  <c r="AK280" i="22"/>
  <c r="AK297" i="22"/>
  <c r="AK331" i="22"/>
  <c r="AK350" i="22"/>
  <c r="AK368" i="22"/>
  <c r="AK362" i="22"/>
  <c r="AK380" i="22"/>
  <c r="AK23" i="22"/>
  <c r="AK38" i="22"/>
  <c r="AK40" i="22"/>
  <c r="AK57" i="22"/>
  <c r="AK74" i="22"/>
  <c r="AK26" i="22"/>
  <c r="AK65" i="22"/>
  <c r="AK90" i="22"/>
  <c r="AK105" i="22"/>
  <c r="AK119" i="22"/>
  <c r="AK133" i="22"/>
  <c r="AK148" i="22"/>
  <c r="AK162" i="22"/>
  <c r="AK178" i="22"/>
  <c r="AK63" i="22"/>
  <c r="AK113" i="22"/>
  <c r="AK152" i="22"/>
  <c r="AK183" i="22"/>
  <c r="AK197" i="22"/>
  <c r="AK213" i="22"/>
  <c r="AK234" i="22"/>
  <c r="AK249" i="22"/>
  <c r="AK272" i="22"/>
  <c r="AK288" i="22"/>
  <c r="AK306" i="22"/>
  <c r="AK323" i="22"/>
  <c r="AK340" i="22"/>
  <c r="AK355" i="22"/>
  <c r="AK123" i="22"/>
  <c r="AK100" i="22"/>
  <c r="AK159" i="22"/>
  <c r="AK205" i="22"/>
  <c r="AK190" i="22"/>
  <c r="AK221" i="22"/>
  <c r="AK251" i="22"/>
  <c r="AK267" i="22"/>
  <c r="AK305" i="22"/>
  <c r="AK342" i="22"/>
  <c r="AK240" i="22"/>
  <c r="AK273" i="22"/>
  <c r="AK296" i="22"/>
  <c r="AK330" i="22"/>
  <c r="AK348" i="22"/>
  <c r="AK367" i="22"/>
  <c r="AK360" i="22"/>
  <c r="AK378" i="22"/>
  <c r="AK21" i="22"/>
  <c r="AK35" i="22"/>
  <c r="AK37" i="22"/>
  <c r="AK56" i="22"/>
  <c r="AK72" i="22"/>
  <c r="AK89" i="22"/>
  <c r="AK64" i="22"/>
  <c r="AK87" i="22"/>
  <c r="AK101" i="22"/>
  <c r="AK118" i="22"/>
  <c r="AK132" i="22"/>
  <c r="AK147" i="22"/>
  <c r="AK161" i="22"/>
  <c r="AK177" i="22"/>
  <c r="AK49" i="22"/>
  <c r="AK108" i="22"/>
  <c r="AK150" i="22"/>
  <c r="AK179" i="22"/>
  <c r="AK196" i="22"/>
  <c r="AK212" i="22"/>
  <c r="AK231" i="22"/>
  <c r="AK248" i="22"/>
  <c r="AK271" i="22"/>
  <c r="AK287" i="22"/>
  <c r="AK304" i="22"/>
  <c r="AK322" i="22"/>
  <c r="AK339" i="22"/>
  <c r="AK354" i="22"/>
  <c r="AK114" i="22"/>
  <c r="AK79" i="22"/>
  <c r="AK155" i="22"/>
  <c r="AK201" i="22"/>
  <c r="AK186" i="22"/>
  <c r="AK217" i="22"/>
  <c r="AK250" i="22"/>
  <c r="AK266" i="22"/>
  <c r="AK298" i="22"/>
  <c r="AK332" i="22"/>
  <c r="AK238" i="22"/>
  <c r="AK264" i="22"/>
  <c r="AK295" i="22"/>
  <c r="AK327" i="22"/>
  <c r="AK346" i="22"/>
  <c r="AK366" i="22"/>
  <c r="AK357" i="22"/>
  <c r="AK379" i="22"/>
  <c r="AK20" i="22"/>
  <c r="AK33" i="22"/>
  <c r="AK32" i="22"/>
  <c r="AK54" i="22"/>
  <c r="AK70" i="22"/>
  <c r="AK88" i="22"/>
  <c r="AK61" i="22"/>
  <c r="AK83" i="22"/>
  <c r="AK99" i="22"/>
  <c r="AK116" i="22"/>
  <c r="AK131" i="22"/>
  <c r="AK145" i="22"/>
  <c r="AK160" i="22"/>
  <c r="AK176" i="22"/>
  <c r="AK47" i="22"/>
  <c r="AK107" i="22"/>
  <c r="AK149" i="22"/>
  <c r="AK175" i="22"/>
  <c r="AK192" i="22"/>
  <c r="AK211" i="22"/>
  <c r="AK229" i="22"/>
  <c r="AK245" i="22"/>
  <c r="AK270" i="22"/>
  <c r="AK286" i="22"/>
  <c r="AK303" i="22"/>
  <c r="AK320" i="22"/>
  <c r="AK337" i="22"/>
  <c r="AK352" i="22"/>
  <c r="AK102" i="22"/>
  <c r="AK78" i="22"/>
  <c r="AK142" i="22"/>
  <c r="AK198" i="22"/>
  <c r="AK172" i="22"/>
  <c r="AK214" i="22"/>
  <c r="AK246" i="22"/>
  <c r="AK262" i="22"/>
  <c r="AK293" i="22"/>
  <c r="AK329" i="22"/>
  <c r="AK232" i="22"/>
  <c r="AK263" i="22"/>
  <c r="AK292" i="22"/>
  <c r="AK318" i="22"/>
  <c r="AK345" i="22"/>
  <c r="AK365" i="22"/>
  <c r="AK353" i="22"/>
  <c r="AK377" i="22"/>
  <c r="AF17" i="15"/>
  <c r="AG381" i="15"/>
  <c r="AG383" i="15"/>
  <c r="AG382" i="15"/>
  <c r="P283" i="16"/>
  <c r="V283" i="16" s="1"/>
  <c r="F283" i="16" s="1"/>
  <c r="G283" i="16" s="1"/>
  <c r="BY283" i="6" s="1"/>
  <c r="H178" i="15"/>
  <c r="I178" i="15" s="1"/>
  <c r="G111" i="15"/>
  <c r="BX111" i="6" s="1"/>
  <c r="AD281" i="1"/>
  <c r="AA281" i="1" s="1"/>
  <c r="Z281" i="1" s="1"/>
  <c r="Y281" i="1" s="1"/>
  <c r="P205" i="15"/>
  <c r="V205" i="15" s="1"/>
  <c r="F205" i="15" s="1"/>
  <c r="H205" i="15" s="1"/>
  <c r="I205" i="15" s="1"/>
  <c r="P281" i="15"/>
  <c r="V281" i="15" s="1"/>
  <c r="F281" i="15" s="1"/>
  <c r="V194" i="16"/>
  <c r="F194" i="16" s="1"/>
  <c r="G194" i="16" s="1"/>
  <c r="BY194" i="6" s="1"/>
  <c r="H247" i="15"/>
  <c r="I247" i="15" s="1"/>
  <c r="V119" i="15"/>
  <c r="F119" i="15" s="1"/>
  <c r="G119" i="15" s="1"/>
  <c r="BX119" i="6" s="1"/>
  <c r="G240" i="15"/>
  <c r="BX240" i="6" s="1"/>
  <c r="AA20" i="1"/>
  <c r="Z20" i="1" s="1"/>
  <c r="Y20" i="1" s="1"/>
  <c r="AA184" i="15"/>
  <c r="Z184" i="15" s="1"/>
  <c r="Y184" i="15" s="1"/>
  <c r="H23" i="15"/>
  <c r="I23" i="15" s="1"/>
  <c r="AA111" i="1"/>
  <c r="Z111" i="1" s="1"/>
  <c r="Y111" i="1" s="1"/>
  <c r="AA260" i="1"/>
  <c r="Z260" i="1" s="1"/>
  <c r="Y260" i="1" s="1"/>
  <c r="V93" i="16"/>
  <c r="F93" i="16" s="1"/>
  <c r="G93" i="16" s="1"/>
  <c r="BY93" i="6" s="1"/>
  <c r="E379" i="16"/>
  <c r="C37" i="19"/>
  <c r="I320" i="1"/>
  <c r="G320" i="1"/>
  <c r="BW320" i="6" s="1"/>
  <c r="P115" i="15"/>
  <c r="V115" i="15" s="1"/>
  <c r="F115" i="15" s="1"/>
  <c r="AD295" i="1"/>
  <c r="P201" i="15"/>
  <c r="V201" i="15" s="1"/>
  <c r="F201" i="15" s="1"/>
  <c r="P308" i="15"/>
  <c r="V308" i="15" s="1"/>
  <c r="F308" i="15" s="1"/>
  <c r="P173" i="1"/>
  <c r="V173" i="1" s="1"/>
  <c r="P37" i="1"/>
  <c r="V37" i="1" s="1"/>
  <c r="AD37" i="15"/>
  <c r="AD218" i="1"/>
  <c r="P218" i="15"/>
  <c r="V218" i="15" s="1"/>
  <c r="F218" i="15" s="1"/>
  <c r="P218" i="1"/>
  <c r="V218" i="1" s="1"/>
  <c r="AD301" i="15"/>
  <c r="P142" i="1"/>
  <c r="V142" i="1" s="1"/>
  <c r="AA142" i="1" s="1"/>
  <c r="Z142" i="1" s="1"/>
  <c r="Y142" i="1" s="1"/>
  <c r="AD197" i="15"/>
  <c r="P197" i="15"/>
  <c r="V197" i="15" s="1"/>
  <c r="F197" i="15" s="1"/>
  <c r="G197" i="15" s="1"/>
  <c r="BX197" i="6" s="1"/>
  <c r="AD289" i="1"/>
  <c r="AD263" i="15"/>
  <c r="P63" i="15"/>
  <c r="V63" i="15" s="1"/>
  <c r="F63" i="15" s="1"/>
  <c r="AD63" i="1"/>
  <c r="P63" i="1"/>
  <c r="V63" i="1" s="1"/>
  <c r="P125" i="15"/>
  <c r="V125" i="15" s="1"/>
  <c r="F125" i="15" s="1"/>
  <c r="P125" i="1"/>
  <c r="V125" i="1" s="1"/>
  <c r="P248" i="15"/>
  <c r="V248" i="15" s="1"/>
  <c r="F248" i="15" s="1"/>
  <c r="AD268" i="1"/>
  <c r="AD290" i="16"/>
  <c r="AD128" i="16"/>
  <c r="AD314" i="15"/>
  <c r="AD162" i="15"/>
  <c r="AD165" i="15"/>
  <c r="P279" i="16"/>
  <c r="V279" i="16" s="1"/>
  <c r="F279" i="16" s="1"/>
  <c r="G279" i="16" s="1"/>
  <c r="BY279" i="6" s="1"/>
  <c r="AD237" i="15"/>
  <c r="AD177" i="15"/>
  <c r="AD368" i="15"/>
  <c r="AD175" i="15"/>
  <c r="AD41" i="15"/>
  <c r="AA41" i="15" s="1"/>
  <c r="Z41" i="15" s="1"/>
  <c r="Y41" i="15" s="1"/>
  <c r="P31" i="1"/>
  <c r="V31" i="1" s="1"/>
  <c r="AA31" i="1" s="1"/>
  <c r="Z31" i="1" s="1"/>
  <c r="Y31" i="1" s="1"/>
  <c r="P302" i="1"/>
  <c r="V302" i="1" s="1"/>
  <c r="F302" i="1" s="1"/>
  <c r="P369" i="1"/>
  <c r="V369" i="1" s="1"/>
  <c r="F369" i="1" s="1"/>
  <c r="G369" i="1" s="1"/>
  <c r="BW369" i="6" s="1"/>
  <c r="P75" i="1"/>
  <c r="V75" i="1" s="1"/>
  <c r="AD26" i="1"/>
  <c r="P208" i="1"/>
  <c r="V208" i="1" s="1"/>
  <c r="P47" i="1"/>
  <c r="V47" i="1" s="1"/>
  <c r="AD160" i="1"/>
  <c r="P160" i="1"/>
  <c r="V160" i="1" s="1"/>
  <c r="AD156" i="1"/>
  <c r="P302" i="15"/>
  <c r="D41" i="7" s="1"/>
  <c r="P31" i="15"/>
  <c r="V31" i="15" s="1"/>
  <c r="F31" i="15" s="1"/>
  <c r="G31" i="15" s="1"/>
  <c r="BX31" i="6" s="1"/>
  <c r="AD314" i="1"/>
  <c r="P237" i="15"/>
  <c r="V237" i="15" s="1"/>
  <c r="F237" i="15" s="1"/>
  <c r="G237" i="15" s="1"/>
  <c r="BX237" i="6" s="1"/>
  <c r="AD237" i="1"/>
  <c r="AA237" i="1" s="1"/>
  <c r="Z237" i="1" s="1"/>
  <c r="Y237" i="1" s="1"/>
  <c r="P271" i="15"/>
  <c r="V271" i="15" s="1"/>
  <c r="F271" i="15" s="1"/>
  <c r="P165" i="15"/>
  <c r="V165" i="15" s="1"/>
  <c r="F165" i="15" s="1"/>
  <c r="P290" i="16"/>
  <c r="V290" i="16" s="1"/>
  <c r="F290" i="16" s="1"/>
  <c r="G290" i="16" s="1"/>
  <c r="BY290" i="6" s="1"/>
  <c r="P290" i="15"/>
  <c r="V290" i="15" s="1"/>
  <c r="F290" i="15" s="1"/>
  <c r="AD83" i="15"/>
  <c r="P83" i="15"/>
  <c r="V83" i="15" s="1"/>
  <c r="F83" i="15" s="1"/>
  <c r="G83" i="15" s="1"/>
  <c r="BX83" i="6" s="1"/>
  <c r="P52" i="1"/>
  <c r="V52" i="1" s="1"/>
  <c r="AD52" i="1"/>
  <c r="P78" i="15"/>
  <c r="V78" i="15" s="1"/>
  <c r="F78" i="15" s="1"/>
  <c r="P72" i="1"/>
  <c r="V72" i="1" s="1"/>
  <c r="P345" i="15"/>
  <c r="V345" i="15" s="1"/>
  <c r="F345" i="15" s="1"/>
  <c r="P279" i="1"/>
  <c r="V279" i="1" s="1"/>
  <c r="AD75" i="1"/>
  <c r="P51" i="15"/>
  <c r="V51" i="15" s="1"/>
  <c r="F51" i="15" s="1"/>
  <c r="H51" i="15" s="1"/>
  <c r="P51" i="1"/>
  <c r="V51" i="1" s="1"/>
  <c r="AA51" i="1" s="1"/>
  <c r="Z51" i="1" s="1"/>
  <c r="Y51" i="1" s="1"/>
  <c r="P213" i="1"/>
  <c r="V213" i="1" s="1"/>
  <c r="AD213" i="1"/>
  <c r="AD41" i="1"/>
  <c r="P26" i="15"/>
  <c r="V26" i="15" s="1"/>
  <c r="F26" i="15" s="1"/>
  <c r="H26" i="15" s="1"/>
  <c r="P369" i="15"/>
  <c r="V369" i="15" s="1"/>
  <c r="F369" i="15" s="1"/>
  <c r="AD342" i="15"/>
  <c r="P342" i="15"/>
  <c r="V342" i="15" s="1"/>
  <c r="F342" i="15" s="1"/>
  <c r="G342" i="15" s="1"/>
  <c r="BX342" i="6" s="1"/>
  <c r="AD291" i="15"/>
  <c r="AD283" i="15"/>
  <c r="AD161" i="15"/>
  <c r="P153" i="16"/>
  <c r="V153" i="16" s="1"/>
  <c r="F153" i="16" s="1"/>
  <c r="G153" i="16" s="1"/>
  <c r="BY153" i="6" s="1"/>
  <c r="V70" i="16"/>
  <c r="F70" i="16" s="1"/>
  <c r="G70" i="16" s="1"/>
  <c r="BY70" i="6" s="1"/>
  <c r="AD320" i="15"/>
  <c r="P266" i="16"/>
  <c r="V266" i="16" s="1"/>
  <c r="F266" i="16" s="1"/>
  <c r="G266" i="16" s="1"/>
  <c r="BY266" i="6" s="1"/>
  <c r="AD142" i="15"/>
  <c r="P61" i="1"/>
  <c r="V61" i="1" s="1"/>
  <c r="AD61" i="1"/>
  <c r="P153" i="1"/>
  <c r="V153" i="1" s="1"/>
  <c r="AA153" i="1" s="1"/>
  <c r="Z153" i="1" s="1"/>
  <c r="Y153" i="1" s="1"/>
  <c r="P161" i="1"/>
  <c r="V161" i="1" s="1"/>
  <c r="P161" i="15"/>
  <c r="V161" i="15" s="1"/>
  <c r="F161" i="15" s="1"/>
  <c r="G161" i="15" s="1"/>
  <c r="BX161" i="6" s="1"/>
  <c r="AD73" i="1"/>
  <c r="AD320" i="1"/>
  <c r="AA320" i="1" s="1"/>
  <c r="Z320" i="1" s="1"/>
  <c r="Y320" i="1" s="1"/>
  <c r="P336" i="15"/>
  <c r="V336" i="15" s="1"/>
  <c r="F336" i="15" s="1"/>
  <c r="G336" i="15" s="1"/>
  <c r="BX336" i="6" s="1"/>
  <c r="P103" i="15"/>
  <c r="V103" i="15" s="1"/>
  <c r="F103" i="15" s="1"/>
  <c r="AD157" i="1"/>
  <c r="AD200" i="1"/>
  <c r="AA200" i="1" s="1"/>
  <c r="Z200" i="1" s="1"/>
  <c r="Y200" i="1" s="1"/>
  <c r="AD114" i="1"/>
  <c r="P114" i="1"/>
  <c r="V114" i="1" s="1"/>
  <c r="P319" i="1"/>
  <c r="V319" i="1" s="1"/>
  <c r="F319" i="1" s="1"/>
  <c r="P301" i="1"/>
  <c r="V301" i="1" s="1"/>
  <c r="F301" i="1" s="1"/>
  <c r="P67" i="1"/>
  <c r="V67" i="1" s="1"/>
  <c r="P84" i="1"/>
  <c r="V84" i="1" s="1"/>
  <c r="AA84" i="1" s="1"/>
  <c r="Z84" i="1" s="1"/>
  <c r="Y84" i="1" s="1"/>
  <c r="AD173" i="1"/>
  <c r="P142" i="15"/>
  <c r="V142" i="15" s="1"/>
  <c r="F142" i="15" s="1"/>
  <c r="H142" i="15" s="1"/>
  <c r="P375" i="1"/>
  <c r="V375" i="1" s="1"/>
  <c r="F375" i="1" s="1"/>
  <c r="AD147" i="15"/>
  <c r="AD147" i="1"/>
  <c r="AA147" i="1" s="1"/>
  <c r="Z147" i="1" s="1"/>
  <c r="Y147" i="1" s="1"/>
  <c r="P298" i="15"/>
  <c r="V298" i="15" s="1"/>
  <c r="F298" i="15" s="1"/>
  <c r="G298" i="15" s="1"/>
  <c r="BX298" i="6" s="1"/>
  <c r="P353" i="15"/>
  <c r="V353" i="15" s="1"/>
  <c r="F353" i="15" s="1"/>
  <c r="G353" i="15" s="1"/>
  <c r="BX353" i="6" s="1"/>
  <c r="P289" i="1"/>
  <c r="V289" i="1" s="1"/>
  <c r="F289" i="1" s="1"/>
  <c r="AD263" i="1"/>
  <c r="AA263" i="1" s="1"/>
  <c r="Z263" i="1" s="1"/>
  <c r="Y263" i="1" s="1"/>
  <c r="AD31" i="15"/>
  <c r="AD51" i="15"/>
  <c r="P356" i="15"/>
  <c r="V356" i="15" s="1"/>
  <c r="F356" i="15" s="1"/>
  <c r="G356" i="15" s="1"/>
  <c r="BX356" i="6" s="1"/>
  <c r="P228" i="15"/>
  <c r="V228" i="15" s="1"/>
  <c r="F228" i="15" s="1"/>
  <c r="H228" i="15" s="1"/>
  <c r="P101" i="1"/>
  <c r="V101" i="1" s="1"/>
  <c r="AD259" i="15"/>
  <c r="P307" i="1"/>
  <c r="V307" i="1" s="1"/>
  <c r="F307" i="1" s="1"/>
  <c r="P127" i="1"/>
  <c r="V127" i="1" s="1"/>
  <c r="AD206" i="1"/>
  <c r="AD183" i="1"/>
  <c r="P93" i="15"/>
  <c r="V93" i="15" s="1"/>
  <c r="F93" i="15" s="1"/>
  <c r="H93" i="15" s="1"/>
  <c r="I93" i="15" s="1"/>
  <c r="AD155" i="15"/>
  <c r="P262" i="15"/>
  <c r="V262" i="15" s="1"/>
  <c r="F262" i="15" s="1"/>
  <c r="AD125" i="1"/>
  <c r="AD23" i="1"/>
  <c r="AD43" i="15"/>
  <c r="P315" i="15"/>
  <c r="V315" i="15" s="1"/>
  <c r="F315" i="15" s="1"/>
  <c r="G315" i="15" s="1"/>
  <c r="BX315" i="6" s="1"/>
  <c r="AD315" i="15"/>
  <c r="P128" i="1"/>
  <c r="V128" i="1" s="1"/>
  <c r="AA128" i="1" s="1"/>
  <c r="Z128" i="1" s="1"/>
  <c r="Y128" i="1" s="1"/>
  <c r="P93" i="1"/>
  <c r="V93" i="1" s="1"/>
  <c r="P183" i="1"/>
  <c r="V183" i="1" s="1"/>
  <c r="P48" i="1"/>
  <c r="V48" i="1" s="1"/>
  <c r="P48" i="16"/>
  <c r="V48" i="16" s="1"/>
  <c r="F48" i="16" s="1"/>
  <c r="G48" i="16" s="1"/>
  <c r="BY48" i="6" s="1"/>
  <c r="P101" i="15"/>
  <c r="V101" i="15" s="1"/>
  <c r="F101" i="15" s="1"/>
  <c r="AD334" i="15"/>
  <c r="AD334" i="1"/>
  <c r="P322" i="1"/>
  <c r="V322" i="1" s="1"/>
  <c r="F322" i="1" s="1"/>
  <c r="AA322" i="1" s="1"/>
  <c r="Z322" i="1" s="1"/>
  <c r="Y322" i="1" s="1"/>
  <c r="AD188" i="1"/>
  <c r="P60" i="1"/>
  <c r="D21" i="7" s="1"/>
  <c r="P80" i="16"/>
  <c r="V80" i="16" s="1"/>
  <c r="F80" i="16" s="1"/>
  <c r="G80" i="16" s="1"/>
  <c r="BY80" i="6" s="1"/>
  <c r="P206" i="1"/>
  <c r="V206" i="1" s="1"/>
  <c r="AD206" i="15"/>
  <c r="AA206" i="15" s="1"/>
  <c r="Z206" i="15" s="1"/>
  <c r="Y206" i="15" s="1"/>
  <c r="P98" i="1"/>
  <c r="V98" i="1" s="1"/>
  <c r="AD117" i="15"/>
  <c r="P117" i="15"/>
  <c r="V117" i="15" s="1"/>
  <c r="F117" i="15" s="1"/>
  <c r="P358" i="1"/>
  <c r="V358" i="1" s="1"/>
  <c r="F358" i="1" s="1"/>
  <c r="AD307" i="15"/>
  <c r="P125" i="16"/>
  <c r="V125" i="16" s="1"/>
  <c r="F125" i="16" s="1"/>
  <c r="G125" i="16" s="1"/>
  <c r="BY125" i="6" s="1"/>
  <c r="AD215" i="1"/>
  <c r="P215" i="16"/>
  <c r="V215" i="16" s="1"/>
  <c r="F215" i="16" s="1"/>
  <c r="G215" i="16" s="1"/>
  <c r="BY215" i="6" s="1"/>
  <c r="AD68" i="15"/>
  <c r="AD68" i="1"/>
  <c r="AA68" i="1" s="1"/>
  <c r="Z68" i="1" s="1"/>
  <c r="Y68" i="1" s="1"/>
  <c r="AD262" i="1"/>
  <c r="AA262" i="1" s="1"/>
  <c r="Z262" i="1" s="1"/>
  <c r="Y262" i="1" s="1"/>
  <c r="P129" i="15"/>
  <c r="V129" i="15" s="1"/>
  <c r="F129" i="15" s="1"/>
  <c r="H129" i="15" s="1"/>
  <c r="I129" i="15" s="1"/>
  <c r="AD129" i="15"/>
  <c r="AD362" i="15"/>
  <c r="AA362" i="15" s="1"/>
  <c r="Z362" i="15" s="1"/>
  <c r="Y362" i="15" s="1"/>
  <c r="AD362" i="1"/>
  <c r="P228" i="16"/>
  <c r="V228" i="16" s="1"/>
  <c r="F228" i="16" s="1"/>
  <c r="G228" i="16" s="1"/>
  <c r="BY228" i="6" s="1"/>
  <c r="AD23" i="15"/>
  <c r="AA23" i="15" s="1"/>
  <c r="Z23" i="15" s="1"/>
  <c r="Y23" i="15" s="1"/>
  <c r="AD144" i="1"/>
  <c r="AD214" i="1"/>
  <c r="P259" i="15"/>
  <c r="V259" i="15" s="1"/>
  <c r="F259" i="15" s="1"/>
  <c r="P92" i="15"/>
  <c r="V92" i="15" s="1"/>
  <c r="F92" i="15" s="1"/>
  <c r="P162" i="15"/>
  <c r="V162" i="15" s="1"/>
  <c r="F162" i="15" s="1"/>
  <c r="AD72" i="1"/>
  <c r="P368" i="1"/>
  <c r="V368" i="1" s="1"/>
  <c r="F368" i="1" s="1"/>
  <c r="P297" i="15"/>
  <c r="V297" i="15" s="1"/>
  <c r="F297" i="15" s="1"/>
  <c r="AD297" i="1"/>
  <c r="AD345" i="15"/>
  <c r="P188" i="15"/>
  <c r="V188" i="15" s="1"/>
  <c r="F188" i="15" s="1"/>
  <c r="G188" i="15" s="1"/>
  <c r="BX188" i="6" s="1"/>
  <c r="P368" i="15"/>
  <c r="V368" i="15" s="1"/>
  <c r="F368" i="15" s="1"/>
  <c r="G368" i="15" s="1"/>
  <c r="BX368" i="6" s="1"/>
  <c r="AD268" i="15"/>
  <c r="AA268" i="15" s="1"/>
  <c r="Z268" i="15" s="1"/>
  <c r="Y268" i="15" s="1"/>
  <c r="P204" i="15"/>
  <c r="V204" i="15" s="1"/>
  <c r="F204" i="15" s="1"/>
  <c r="G204" i="15" s="1"/>
  <c r="BX204" i="6" s="1"/>
  <c r="P336" i="1"/>
  <c r="V336" i="1" s="1"/>
  <c r="F336" i="1" s="1"/>
  <c r="AD218" i="15"/>
  <c r="AD114" i="15"/>
  <c r="AA114" i="15" s="1"/>
  <c r="Z114" i="15" s="1"/>
  <c r="Y114" i="15" s="1"/>
  <c r="P325" i="15"/>
  <c r="V325" i="15" s="1"/>
  <c r="F325" i="15" s="1"/>
  <c r="G325" i="15" s="1"/>
  <c r="BX325" i="6" s="1"/>
  <c r="AD298" i="1"/>
  <c r="AD325" i="1"/>
  <c r="AA325" i="1" s="1"/>
  <c r="Z325" i="1" s="1"/>
  <c r="Y325" i="1" s="1"/>
  <c r="P37" i="15"/>
  <c r="V37" i="15" s="1"/>
  <c r="F37" i="15" s="1"/>
  <c r="G37" i="15" s="1"/>
  <c r="BX37" i="6" s="1"/>
  <c r="P167" i="15"/>
  <c r="V167" i="15" s="1"/>
  <c r="F167" i="15" s="1"/>
  <c r="H167" i="15" s="1"/>
  <c r="I167" i="15" s="1"/>
  <c r="AA240" i="15"/>
  <c r="Z240" i="15" s="1"/>
  <c r="Y240" i="15" s="1"/>
  <c r="P147" i="15"/>
  <c r="V147" i="15" s="1"/>
  <c r="F147" i="15" s="1"/>
  <c r="G147" i="15" s="1"/>
  <c r="BX147" i="6" s="1"/>
  <c r="AD266" i="15"/>
  <c r="AA266" i="15" s="1"/>
  <c r="Z266" i="15" s="1"/>
  <c r="Y266" i="15" s="1"/>
  <c r="P247" i="1"/>
  <c r="V247" i="1" s="1"/>
  <c r="P186" i="15"/>
  <c r="V186" i="15" s="1"/>
  <c r="F186" i="15" s="1"/>
  <c r="G186" i="15" s="1"/>
  <c r="BX186" i="6" s="1"/>
  <c r="AD289" i="15"/>
  <c r="AA289" i="15" s="1"/>
  <c r="Z289" i="15" s="1"/>
  <c r="Y289" i="15" s="1"/>
  <c r="AD248" i="15"/>
  <c r="AD197" i="1"/>
  <c r="AA197" i="1" s="1"/>
  <c r="Z197" i="1" s="1"/>
  <c r="Y197" i="1" s="1"/>
  <c r="AD186" i="15"/>
  <c r="AD247" i="15"/>
  <c r="AA247" i="15" s="1"/>
  <c r="Z247" i="15" s="1"/>
  <c r="Y247" i="15" s="1"/>
  <c r="P103" i="16"/>
  <c r="V103" i="16" s="1"/>
  <c r="F103" i="16" s="1"/>
  <c r="G103" i="16" s="1"/>
  <c r="BY103" i="6" s="1"/>
  <c r="AD90" i="15"/>
  <c r="P45" i="16"/>
  <c r="V45" i="16" s="1"/>
  <c r="F45" i="16" s="1"/>
  <c r="G45" i="16" s="1"/>
  <c r="BY45" i="6" s="1"/>
  <c r="AD45" i="15"/>
  <c r="AA45" i="15" s="1"/>
  <c r="Z45" i="15" s="1"/>
  <c r="Y45" i="15" s="1"/>
  <c r="AD376" i="15"/>
  <c r="AD376" i="1"/>
  <c r="AA376" i="1" s="1"/>
  <c r="Z376" i="1" s="1"/>
  <c r="Y376" i="1" s="1"/>
  <c r="P250" i="1"/>
  <c r="V250" i="1" s="1"/>
  <c r="AA250" i="1" s="1"/>
  <c r="Z250" i="1" s="1"/>
  <c r="Y250" i="1" s="1"/>
  <c r="AD250" i="15"/>
  <c r="AA250" i="15" s="1"/>
  <c r="Z250" i="15" s="1"/>
  <c r="Y250" i="15" s="1"/>
  <c r="P318" i="15"/>
  <c r="V318" i="15" s="1"/>
  <c r="F318" i="15" s="1"/>
  <c r="G318" i="15" s="1"/>
  <c r="BX318" i="6" s="1"/>
  <c r="P325" i="16"/>
  <c r="V325" i="16" s="1"/>
  <c r="F325" i="16" s="1"/>
  <c r="G325" i="16" s="1"/>
  <c r="BY325" i="6" s="1"/>
  <c r="AD77" i="1"/>
  <c r="P77" i="1"/>
  <c r="V77" i="1" s="1"/>
  <c r="AD37" i="1"/>
  <c r="P178" i="1"/>
  <c r="V178" i="1" s="1"/>
  <c r="P167" i="1"/>
  <c r="V167" i="1" s="1"/>
  <c r="AA167" i="1" s="1"/>
  <c r="Z167" i="1" s="1"/>
  <c r="Y167" i="1" s="1"/>
  <c r="P301" i="15"/>
  <c r="V301" i="15" s="1"/>
  <c r="F301" i="15" s="1"/>
  <c r="P268" i="1"/>
  <c r="V268" i="1" s="1"/>
  <c r="P201" i="1"/>
  <c r="V201" i="1" s="1"/>
  <c r="P90" i="15"/>
  <c r="V90" i="15" s="1"/>
  <c r="F90" i="15" s="1"/>
  <c r="V77" i="16"/>
  <c r="F77" i="16" s="1"/>
  <c r="G77" i="16" s="1"/>
  <c r="BY77" i="6" s="1"/>
  <c r="AA39" i="1"/>
  <c r="Z39" i="1" s="1"/>
  <c r="Y39" i="1" s="1"/>
  <c r="AD371" i="16"/>
  <c r="AD134" i="15"/>
  <c r="P134" i="16"/>
  <c r="V134" i="16" s="1"/>
  <c r="F134" i="16" s="1"/>
  <c r="G134" i="16" s="1"/>
  <c r="BY134" i="6" s="1"/>
  <c r="P131" i="15"/>
  <c r="V131" i="15" s="1"/>
  <c r="F131" i="15" s="1"/>
  <c r="AD131" i="15"/>
  <c r="AD378" i="1"/>
  <c r="AD378" i="15"/>
  <c r="AA378" i="15" s="1"/>
  <c r="Z378" i="15" s="1"/>
  <c r="Y378" i="15" s="1"/>
  <c r="AD366" i="15"/>
  <c r="AD137" i="15"/>
  <c r="AD92" i="1"/>
  <c r="P92" i="1"/>
  <c r="V92" i="1" s="1"/>
  <c r="AD73" i="15"/>
  <c r="AA73" i="15" s="1"/>
  <c r="Z73" i="15" s="1"/>
  <c r="Y73" i="15" s="1"/>
  <c r="P204" i="1"/>
  <c r="V204" i="1" s="1"/>
  <c r="AA204" i="1" s="1"/>
  <c r="Z204" i="1" s="1"/>
  <c r="Y204" i="1" s="1"/>
  <c r="AD346" i="15"/>
  <c r="P225" i="15"/>
  <c r="V225" i="15" s="1"/>
  <c r="F225" i="15" s="1"/>
  <c r="AD225" i="15"/>
  <c r="AD225" i="1"/>
  <c r="AA225" i="1" s="1"/>
  <c r="Z225" i="1" s="1"/>
  <c r="Y225" i="1" s="1"/>
  <c r="P39" i="15"/>
  <c r="V39" i="15" s="1"/>
  <c r="F39" i="15" s="1"/>
  <c r="V111" i="16"/>
  <c r="F111" i="16" s="1"/>
  <c r="G111" i="16" s="1"/>
  <c r="BY111" i="6" s="1"/>
  <c r="V129" i="16"/>
  <c r="F129" i="16" s="1"/>
  <c r="G129" i="16" s="1"/>
  <c r="BY129" i="6" s="1"/>
  <c r="V126" i="16"/>
  <c r="F126" i="16" s="1"/>
  <c r="AI383" i="16"/>
  <c r="AH15" i="16"/>
  <c r="AI382" i="16"/>
  <c r="AI381" i="16"/>
  <c r="AC12" i="25"/>
  <c r="AC9" i="25"/>
  <c r="F349" i="1"/>
  <c r="G349" i="1" s="1"/>
  <c r="BW349" i="6" s="1"/>
  <c r="V246" i="16"/>
  <c r="F246" i="16" s="1"/>
  <c r="G246" i="16" s="1"/>
  <c r="BY246" i="6" s="1"/>
  <c r="V84" i="16"/>
  <c r="F84" i="16" s="1"/>
  <c r="G84" i="16" s="1"/>
  <c r="BY84" i="6" s="1"/>
  <c r="V294" i="16"/>
  <c r="F294" i="16" s="1"/>
  <c r="G294" i="16" s="1"/>
  <c r="BY294" i="6" s="1"/>
  <c r="V139" i="16"/>
  <c r="F139" i="16" s="1"/>
  <c r="G139" i="16" s="1"/>
  <c r="BY139" i="6" s="1"/>
  <c r="AC381" i="16"/>
  <c r="AC383" i="16"/>
  <c r="AC382" i="16"/>
  <c r="BA13" i="7"/>
  <c r="O12" i="25"/>
  <c r="H168" i="15"/>
  <c r="J168" i="15" s="1"/>
  <c r="G236" i="15"/>
  <c r="BX236" i="6" s="1"/>
  <c r="H207" i="15"/>
  <c r="I207" i="15" s="1"/>
  <c r="G245" i="15"/>
  <c r="BX245" i="6" s="1"/>
  <c r="H261" i="15"/>
  <c r="I261" i="15" s="1"/>
  <c r="G30" i="15"/>
  <c r="BX30" i="6" s="1"/>
  <c r="H266" i="15"/>
  <c r="J266" i="15" s="1"/>
  <c r="F105" i="15"/>
  <c r="I335" i="1"/>
  <c r="H335" i="15" s="1"/>
  <c r="H250" i="15"/>
  <c r="I250" i="15" s="1"/>
  <c r="G185" i="15"/>
  <c r="BX185" i="6" s="1"/>
  <c r="AA285" i="15"/>
  <c r="Z285" i="15" s="1"/>
  <c r="Y285" i="15" s="1"/>
  <c r="D28" i="7"/>
  <c r="G377" i="1"/>
  <c r="BW377" i="6" s="1"/>
  <c r="AA118" i="1"/>
  <c r="Z118" i="1" s="1"/>
  <c r="Y118" i="1" s="1"/>
  <c r="AA53" i="1"/>
  <c r="Z53" i="1" s="1"/>
  <c r="Y53" i="1" s="1"/>
  <c r="I372" i="1"/>
  <c r="H372" i="15" s="1"/>
  <c r="J372" i="15" s="1"/>
  <c r="H224" i="15"/>
  <c r="I224" i="15" s="1"/>
  <c r="G28" i="15"/>
  <c r="BX28" i="6" s="1"/>
  <c r="AA211" i="15"/>
  <c r="Z211" i="15" s="1"/>
  <c r="Y211" i="15" s="1"/>
  <c r="AA146" i="1"/>
  <c r="Z146" i="1" s="1"/>
  <c r="Y146" i="1" s="1"/>
  <c r="AA49" i="15"/>
  <c r="Z49" i="15" s="1"/>
  <c r="Y49" i="15" s="1"/>
  <c r="G314" i="1"/>
  <c r="BW314" i="6" s="1"/>
  <c r="G49" i="15"/>
  <c r="BX49" i="6" s="1"/>
  <c r="AA326" i="15"/>
  <c r="Z326" i="15" s="1"/>
  <c r="Y326" i="15" s="1"/>
  <c r="H112" i="15"/>
  <c r="J112" i="15" s="1"/>
  <c r="G112" i="15"/>
  <c r="BX112" i="6" s="1"/>
  <c r="H77" i="15"/>
  <c r="J77" i="15" s="1"/>
  <c r="AA77" i="15"/>
  <c r="Z77" i="15" s="1"/>
  <c r="Y77" i="15" s="1"/>
  <c r="G141" i="15"/>
  <c r="BX141" i="6" s="1"/>
  <c r="AA141" i="15"/>
  <c r="Z141" i="15" s="1"/>
  <c r="Y141" i="15" s="1"/>
  <c r="H20" i="15"/>
  <c r="I20" i="15" s="1"/>
  <c r="AA20" i="15"/>
  <c r="Z20" i="15" s="1"/>
  <c r="Y20" i="15" s="1"/>
  <c r="G376" i="1"/>
  <c r="BW376" i="6" s="1"/>
  <c r="I376" i="1"/>
  <c r="G327" i="1"/>
  <c r="BW327" i="6" s="1"/>
  <c r="I327" i="1"/>
  <c r="I337" i="1"/>
  <c r="H337" i="15" s="1"/>
  <c r="J337" i="15" s="1"/>
  <c r="G353" i="1"/>
  <c r="BW353" i="6" s="1"/>
  <c r="G304" i="15"/>
  <c r="BX304" i="6" s="1"/>
  <c r="AA86" i="1"/>
  <c r="Z86" i="1" s="1"/>
  <c r="Y86" i="1" s="1"/>
  <c r="AA327" i="1"/>
  <c r="Z327" i="1" s="1"/>
  <c r="Y327" i="1" s="1"/>
  <c r="E328" i="16"/>
  <c r="E88" i="16"/>
  <c r="C46" i="7"/>
  <c r="E224" i="16"/>
  <c r="C48" i="7"/>
  <c r="E149" i="16"/>
  <c r="E28" i="16"/>
  <c r="V28" i="16"/>
  <c r="E339" i="16"/>
  <c r="E349" i="16"/>
  <c r="E137" i="16"/>
  <c r="AC10" i="18"/>
  <c r="AC284" i="18" s="1"/>
  <c r="AC154" i="17"/>
  <c r="AC176" i="17"/>
  <c r="AC265" i="17"/>
  <c r="AC361" i="17"/>
  <c r="AC192" i="17"/>
  <c r="AC293" i="17"/>
  <c r="AC267" i="17"/>
  <c r="AC367" i="17"/>
  <c r="AC162" i="17"/>
  <c r="AC212" i="17"/>
  <c r="AC273" i="17"/>
  <c r="AC322" i="17"/>
  <c r="AC173" i="17"/>
  <c r="AC246" i="17"/>
  <c r="AC284" i="17"/>
  <c r="AC356" i="17"/>
  <c r="AC153" i="17"/>
  <c r="AC172" i="17"/>
  <c r="AC264" i="17"/>
  <c r="AC357" i="17"/>
  <c r="AC206" i="17"/>
  <c r="AC299" i="17"/>
  <c r="AC270" i="17"/>
  <c r="AC372" i="17"/>
  <c r="AC164" i="17"/>
  <c r="AC228" i="17"/>
  <c r="AC294" i="17"/>
  <c r="AC338" i="17"/>
  <c r="AC210" i="17"/>
  <c r="AC261" i="17"/>
  <c r="AC297" i="17"/>
  <c r="AC378" i="17"/>
  <c r="AC38" i="18"/>
  <c r="AC120" i="18"/>
  <c r="AC49" i="18"/>
  <c r="AC65" i="18"/>
  <c r="AC28" i="18"/>
  <c r="AC112" i="18"/>
  <c r="AC23" i="18"/>
  <c r="AC54" i="18"/>
  <c r="AC57" i="18"/>
  <c r="AC186" i="18"/>
  <c r="AC124" i="17"/>
  <c r="AC161" i="17"/>
  <c r="AC185" i="17"/>
  <c r="AC274" i="17"/>
  <c r="AC126" i="17"/>
  <c r="AC211" i="17"/>
  <c r="AC304" i="17"/>
  <c r="AC275" i="17"/>
  <c r="AC377" i="17"/>
  <c r="AC165" i="17"/>
  <c r="AC223" i="17"/>
  <c r="AC282" i="17"/>
  <c r="AC333" i="17"/>
  <c r="AC202" i="17"/>
  <c r="AC260" i="17"/>
  <c r="AC291" i="17"/>
  <c r="AC375" i="17"/>
  <c r="AC159" i="17"/>
  <c r="AC184" i="17"/>
  <c r="AC266" i="17"/>
  <c r="AC133" i="17"/>
  <c r="AC214" i="17"/>
  <c r="AC307" i="17"/>
  <c r="AC277" i="17"/>
  <c r="AC346" i="17"/>
  <c r="AC168" i="17"/>
  <c r="AC232" i="17"/>
  <c r="AC301" i="17"/>
  <c r="AC340" i="17"/>
  <c r="AC216" i="17"/>
  <c r="AC272" i="17"/>
  <c r="AC324" i="17"/>
  <c r="AC129" i="17"/>
  <c r="AC170" i="17"/>
  <c r="AC191" i="17"/>
  <c r="AC278" i="17"/>
  <c r="AC135" i="17"/>
  <c r="AC220" i="17"/>
  <c r="AC308" i="17"/>
  <c r="AC280" i="17"/>
  <c r="AC351" i="17"/>
  <c r="AC178" i="17"/>
  <c r="AC229" i="17"/>
  <c r="AC295" i="17"/>
  <c r="AC339" i="17"/>
  <c r="AC213" i="17"/>
  <c r="AC269" i="17"/>
  <c r="AC300" i="17"/>
  <c r="AC125" i="17"/>
  <c r="AC167" i="17"/>
  <c r="AC190" i="17"/>
  <c r="AC276" i="17"/>
  <c r="AC158" i="17"/>
  <c r="AC224" i="17"/>
  <c r="AC310" i="17"/>
  <c r="AC285" i="17"/>
  <c r="AC358" i="17"/>
  <c r="AC187" i="17"/>
  <c r="AC235" i="17"/>
  <c r="AC303" i="17"/>
  <c r="AC343" i="17"/>
  <c r="AC166" i="17"/>
  <c r="AC318" i="17"/>
  <c r="AC332" i="17"/>
  <c r="AC27" i="18"/>
  <c r="AC56" i="18"/>
  <c r="AC60" i="18"/>
  <c r="AC153" i="18"/>
  <c r="AC35" i="18"/>
  <c r="AC63" i="18"/>
  <c r="AC19" i="18"/>
  <c r="AC70" i="18"/>
  <c r="AC152" i="17"/>
  <c r="AC163" i="17"/>
  <c r="AC258" i="17"/>
  <c r="AC348" i="17"/>
  <c r="AC177" i="17"/>
  <c r="AC288" i="17"/>
  <c r="AC256" i="17"/>
  <c r="AC353" i="17"/>
  <c r="AC140" i="17"/>
  <c r="AC204" i="17"/>
  <c r="AC259" i="17"/>
  <c r="AC319" i="17"/>
  <c r="AC160" i="17"/>
  <c r="AC227" i="17"/>
  <c r="AC268" i="17"/>
  <c r="AC345" i="17"/>
  <c r="AC147" i="17"/>
  <c r="AC151" i="17"/>
  <c r="AC250" i="17"/>
  <c r="AC347" i="17"/>
  <c r="AC189" i="17"/>
  <c r="AC290" i="17"/>
  <c r="AC263" i="17"/>
  <c r="AC355" i="17"/>
  <c r="AC156" i="17"/>
  <c r="AC217" i="17"/>
  <c r="AC279" i="17"/>
  <c r="AC323" i="17"/>
  <c r="AC196" i="17"/>
  <c r="AC249" i="17"/>
  <c r="AC289" i="17"/>
  <c r="AC360" i="17"/>
  <c r="AC45" i="18"/>
  <c r="AC39" i="18"/>
  <c r="AC22" i="18"/>
  <c r="AC25" i="18"/>
  <c r="AC51" i="18"/>
  <c r="AC46" i="18"/>
  <c r="AC52" i="18"/>
  <c r="AC71" i="18"/>
  <c r="AC47" i="18"/>
  <c r="AC330" i="18"/>
  <c r="AC20" i="18"/>
  <c r="AC53" i="18"/>
  <c r="AC59" i="18"/>
  <c r="AC193" i="18"/>
  <c r="AC55" i="18"/>
  <c r="AC77" i="18"/>
  <c r="AC64" i="18"/>
  <c r="AC255" i="18"/>
  <c r="AC29" i="18"/>
  <c r="AC58" i="18"/>
  <c r="AC66" i="18"/>
  <c r="AC332" i="18"/>
  <c r="AC139" i="17"/>
  <c r="AC181" i="17"/>
  <c r="AC203" i="17"/>
  <c r="AC306" i="17"/>
  <c r="AC215" i="17"/>
  <c r="AC239" i="17"/>
  <c r="AC331" i="17"/>
  <c r="AC315" i="17"/>
  <c r="AC370" i="17"/>
  <c r="AC150" i="17"/>
  <c r="AC237" i="17"/>
  <c r="AC305" i="17"/>
  <c r="AC354" i="17"/>
  <c r="AC175" i="17"/>
  <c r="AC320" i="17"/>
  <c r="AC344" i="17"/>
  <c r="AC138" i="17"/>
  <c r="AC180" i="17"/>
  <c r="AC201" i="17"/>
  <c r="AC128" i="17"/>
  <c r="AC221" i="17"/>
  <c r="AC371" i="17"/>
  <c r="AC252" i="17"/>
  <c r="AC365" i="17"/>
  <c r="AC242" i="17"/>
  <c r="AC40" i="18"/>
  <c r="AC15" i="18"/>
  <c r="AC142" i="17"/>
  <c r="AC219" i="17"/>
  <c r="AC131" i="17"/>
  <c r="AC234" i="17"/>
  <c r="AC373" i="17"/>
  <c r="AC247" i="17"/>
  <c r="AC363" i="17"/>
  <c r="AC225" i="17"/>
  <c r="AC141" i="17"/>
  <c r="AC218" i="17"/>
  <c r="AC145" i="17"/>
  <c r="AC238" i="17"/>
  <c r="AC376" i="17"/>
  <c r="AC254" i="17"/>
  <c r="AC143" i="17"/>
  <c r="AC257" i="17"/>
  <c r="AC146" i="17"/>
  <c r="AC248" i="17"/>
  <c r="AC148" i="17"/>
  <c r="AC240" i="17"/>
  <c r="AC379" i="17"/>
  <c r="AC253" i="17"/>
  <c r="AC134" i="17"/>
  <c r="AC255" i="17"/>
  <c r="AC144" i="17"/>
  <c r="AC222" i="17"/>
  <c r="AC157" i="17"/>
  <c r="AC245" i="17"/>
  <c r="AC127" i="17"/>
  <c r="AC262" i="17"/>
  <c r="AC169" i="17"/>
  <c r="AC283" i="17"/>
  <c r="AC30" i="18"/>
  <c r="AC21" i="18"/>
  <c r="AC44" i="18"/>
  <c r="AC179" i="17"/>
  <c r="AC287" i="17"/>
  <c r="AC230" i="17"/>
  <c r="AC292" i="17"/>
  <c r="AC188" i="17"/>
  <c r="AC302" i="17"/>
  <c r="AC155" i="17"/>
  <c r="AC330" i="17"/>
  <c r="AC171" i="17"/>
  <c r="AC286" i="17"/>
  <c r="AC236" i="17"/>
  <c r="AC296" i="17"/>
  <c r="AC174" i="17"/>
  <c r="AC311" i="17"/>
  <c r="AC182" i="17"/>
  <c r="AC350" i="17"/>
  <c r="AC61" i="18"/>
  <c r="AC41" i="18"/>
  <c r="AC73" i="18"/>
  <c r="AC37" i="18"/>
  <c r="AC69" i="18"/>
  <c r="AC33" i="18"/>
  <c r="AC16" i="18"/>
  <c r="AC17" i="18"/>
  <c r="AC31" i="18"/>
  <c r="AC298" i="17"/>
  <c r="AC241" i="17"/>
  <c r="AC326" i="17"/>
  <c r="AC195" i="17"/>
  <c r="AC313" i="17"/>
  <c r="AC205" i="17"/>
  <c r="AC366" i="17"/>
  <c r="AC68" i="18"/>
  <c r="AC24" i="18"/>
  <c r="AC43" i="18"/>
  <c r="AC130" i="17"/>
  <c r="AC327" i="17"/>
  <c r="AC243" i="17"/>
  <c r="AC329" i="17"/>
  <c r="AC194" i="17"/>
  <c r="AC312" i="17"/>
  <c r="AC198" i="17"/>
  <c r="AC359" i="17"/>
  <c r="AC183" i="17"/>
  <c r="AC325" i="17"/>
  <c r="AC251" i="17"/>
  <c r="AC337" i="17"/>
  <c r="AC200" i="17"/>
  <c r="AC317" i="17"/>
  <c r="AC226" i="17"/>
  <c r="AC374" i="17"/>
  <c r="AC149" i="17"/>
  <c r="AC336" i="17"/>
  <c r="AC271" i="17"/>
  <c r="AC342" i="17"/>
  <c r="AC199" i="17"/>
  <c r="AC316" i="17"/>
  <c r="AC207" i="17"/>
  <c r="AC368" i="17"/>
  <c r="AC132" i="17"/>
  <c r="AC334" i="17"/>
  <c r="AC281" i="17"/>
  <c r="AC352" i="17"/>
  <c r="AC209" i="17"/>
  <c r="AC321" i="17"/>
  <c r="AC231" i="17"/>
  <c r="AC349" i="17"/>
  <c r="AC18" i="18"/>
  <c r="AC48" i="18"/>
  <c r="AC62" i="18"/>
  <c r="AC26" i="18"/>
  <c r="AC137" i="17"/>
  <c r="AC197" i="17"/>
  <c r="AC186" i="17"/>
  <c r="AC314" i="17"/>
  <c r="AC364" i="17"/>
  <c r="AC233" i="17"/>
  <c r="AC341" i="17"/>
  <c r="AC309" i="17"/>
  <c r="AC136" i="17"/>
  <c r="AC193" i="17"/>
  <c r="AC208" i="17"/>
  <c r="AC328" i="17"/>
  <c r="AC369" i="17"/>
  <c r="AC244" i="17"/>
  <c r="AC362" i="17"/>
  <c r="AC335" i="17"/>
  <c r="AC32" i="18"/>
  <c r="AC67" i="18"/>
  <c r="AC72" i="18"/>
  <c r="AC36" i="18"/>
  <c r="AC42" i="18"/>
  <c r="AC34" i="18"/>
  <c r="E225" i="16"/>
  <c r="E108" i="16"/>
  <c r="V108" i="16"/>
  <c r="E109" i="16"/>
  <c r="V109" i="16"/>
  <c r="C55" i="7"/>
  <c r="E363" i="16"/>
  <c r="E59" i="16"/>
  <c r="E302" i="16"/>
  <c r="C53" i="7"/>
  <c r="E204" i="16"/>
  <c r="C50" i="7"/>
  <c r="E210" i="16"/>
  <c r="E161" i="16"/>
  <c r="C56" i="7"/>
  <c r="E29" i="17"/>
  <c r="V211" i="16"/>
  <c r="F211" i="16" s="1"/>
  <c r="G211" i="16" s="1"/>
  <c r="BY211" i="6" s="1"/>
  <c r="E354" i="16"/>
  <c r="C44" i="7"/>
  <c r="E29" i="16"/>
  <c r="E241" i="16"/>
  <c r="C51" i="7"/>
  <c r="C54" i="7"/>
  <c r="E333" i="16"/>
  <c r="C52" i="7"/>
  <c r="E272" i="16"/>
  <c r="E90" i="16"/>
  <c r="E88" i="17"/>
  <c r="C58" i="7"/>
  <c r="E15" i="17"/>
  <c r="O383" i="17"/>
  <c r="O382" i="17"/>
  <c r="O381" i="17"/>
  <c r="E346" i="16"/>
  <c r="C49" i="7"/>
  <c r="E180" i="16"/>
  <c r="C47" i="7"/>
  <c r="E119" i="16"/>
  <c r="E73" i="16"/>
  <c r="E343" i="16"/>
  <c r="E301" i="16"/>
  <c r="C45" i="7"/>
  <c r="E60" i="16"/>
  <c r="E352" i="16"/>
  <c r="E287" i="16"/>
  <c r="E114" i="16"/>
  <c r="E15" i="16"/>
  <c r="O383" i="16"/>
  <c r="O381" i="16"/>
  <c r="O382" i="16"/>
  <c r="C59" i="7"/>
  <c r="E119" i="17"/>
  <c r="C57" i="7"/>
  <c r="E60" i="17"/>
  <c r="V258" i="16"/>
  <c r="F258" i="16" s="1"/>
  <c r="G258" i="16" s="1"/>
  <c r="BY258" i="6" s="1"/>
  <c r="AA335" i="1"/>
  <c r="Z335" i="1" s="1"/>
  <c r="Y335" i="1" s="1"/>
  <c r="G128" i="15"/>
  <c r="BX128" i="6" s="1"/>
  <c r="H206" i="15"/>
  <c r="J206" i="15" s="1"/>
  <c r="AA90" i="1"/>
  <c r="Z90" i="1" s="1"/>
  <c r="Y90" i="1" s="1"/>
  <c r="G313" i="1"/>
  <c r="BW313" i="6" s="1"/>
  <c r="AA99" i="15"/>
  <c r="Z99" i="15" s="1"/>
  <c r="Y99" i="15" s="1"/>
  <c r="H99" i="15"/>
  <c r="J99" i="15" s="1"/>
  <c r="AA97" i="15"/>
  <c r="Z97" i="15" s="1"/>
  <c r="Y97" i="15" s="1"/>
  <c r="AA283" i="1"/>
  <c r="Z283" i="1" s="1"/>
  <c r="Y283" i="1" s="1"/>
  <c r="AA171" i="1"/>
  <c r="Z171" i="1" s="1"/>
  <c r="Y171" i="1" s="1"/>
  <c r="AA312" i="15"/>
  <c r="Z312" i="15" s="1"/>
  <c r="Y312" i="15" s="1"/>
  <c r="AA236" i="15"/>
  <c r="Z236" i="15" s="1"/>
  <c r="Y236" i="15" s="1"/>
  <c r="AZ13" i="7"/>
  <c r="O11" i="25"/>
  <c r="G17" i="15"/>
  <c r="BX17" i="6" s="1"/>
  <c r="H17" i="15"/>
  <c r="J17" i="15" s="1"/>
  <c r="P55" i="1"/>
  <c r="V55" i="1" s="1"/>
  <c r="AA245" i="1"/>
  <c r="Z245" i="1" s="1"/>
  <c r="Y245" i="1" s="1"/>
  <c r="P187" i="1"/>
  <c r="V187" i="1" s="1"/>
  <c r="AA187" i="1" s="1"/>
  <c r="Z187" i="1" s="1"/>
  <c r="Y187" i="1" s="1"/>
  <c r="AA248" i="1"/>
  <c r="Z248" i="1" s="1"/>
  <c r="Y248" i="1" s="1"/>
  <c r="I357" i="1"/>
  <c r="T383" i="16"/>
  <c r="S15" i="16"/>
  <c r="U16" i="7"/>
  <c r="G97" i="15"/>
  <c r="BX97" i="6" s="1"/>
  <c r="H97" i="15"/>
  <c r="AD190" i="1"/>
  <c r="AD190" i="15"/>
  <c r="AA190" i="15" s="1"/>
  <c r="Z190" i="15" s="1"/>
  <c r="Y190" i="15" s="1"/>
  <c r="P190" i="16"/>
  <c r="V190" i="16" s="1"/>
  <c r="F190" i="16" s="1"/>
  <c r="G190" i="16" s="1"/>
  <c r="BY190" i="6" s="1"/>
  <c r="G372" i="15"/>
  <c r="BX372" i="6" s="1"/>
  <c r="AD54" i="15"/>
  <c r="AD46" i="1"/>
  <c r="P46" i="15"/>
  <c r="P46" i="1"/>
  <c r="V46" i="1" s="1"/>
  <c r="P198" i="15"/>
  <c r="V198" i="15" s="1"/>
  <c r="F198" i="15" s="1"/>
  <c r="G198" i="15" s="1"/>
  <c r="BX198" i="6" s="1"/>
  <c r="AD198" i="1"/>
  <c r="P198" i="1"/>
  <c r="V198" i="1" s="1"/>
  <c r="AD27" i="15"/>
  <c r="AD107" i="1"/>
  <c r="AA107" i="1" s="1"/>
  <c r="Z107" i="1" s="1"/>
  <c r="Y107" i="1" s="1"/>
  <c r="P107" i="15"/>
  <c r="V107" i="15" s="1"/>
  <c r="F107" i="15" s="1"/>
  <c r="AD284" i="15"/>
  <c r="P177" i="15"/>
  <c r="V177" i="15" s="1"/>
  <c r="F177" i="15" s="1"/>
  <c r="AD241" i="15"/>
  <c r="AD370" i="15"/>
  <c r="P370" i="16"/>
  <c r="V370" i="16" s="1"/>
  <c r="F370" i="16" s="1"/>
  <c r="G370" i="16" s="1"/>
  <c r="BY370" i="6" s="1"/>
  <c r="P291" i="1"/>
  <c r="V291" i="1" s="1"/>
  <c r="F291" i="1" s="1"/>
  <c r="AD291" i="1"/>
  <c r="P195" i="16"/>
  <c r="V195" i="16" s="1"/>
  <c r="F195" i="16" s="1"/>
  <c r="G195" i="16" s="1"/>
  <c r="BY195" i="6" s="1"/>
  <c r="AD195" i="1"/>
  <c r="AA195" i="1" s="1"/>
  <c r="Z195" i="1" s="1"/>
  <c r="Y195" i="1" s="1"/>
  <c r="AD274" i="1"/>
  <c r="P274" i="15"/>
  <c r="AD293" i="15"/>
  <c r="P265" i="15"/>
  <c r="V265" i="15" s="1"/>
  <c r="F265" i="15" s="1"/>
  <c r="AD265" i="15"/>
  <c r="P322" i="15"/>
  <c r="AD208" i="1"/>
  <c r="AD54" i="1"/>
  <c r="AA54" i="1" s="1"/>
  <c r="Z54" i="1" s="1"/>
  <c r="Y54" i="1" s="1"/>
  <c r="AD303" i="1"/>
  <c r="I343" i="1"/>
  <c r="H343" i="15" s="1"/>
  <c r="G343" i="1"/>
  <c r="BW343" i="6" s="1"/>
  <c r="G231" i="15"/>
  <c r="BX231" i="6" s="1"/>
  <c r="H231" i="15"/>
  <c r="AA343" i="1"/>
  <c r="Z343" i="1" s="1"/>
  <c r="Y343" i="1" s="1"/>
  <c r="AD113" i="16"/>
  <c r="I370" i="1"/>
  <c r="AA353" i="1"/>
  <c r="Z353" i="1" s="1"/>
  <c r="Y353" i="1" s="1"/>
  <c r="P132" i="15"/>
  <c r="V132" i="15" s="1"/>
  <c r="F132" i="15" s="1"/>
  <c r="P132" i="1"/>
  <c r="V132" i="1" s="1"/>
  <c r="AA132" i="1" s="1"/>
  <c r="Z132" i="1" s="1"/>
  <c r="Y132" i="1" s="1"/>
  <c r="AD19" i="1"/>
  <c r="AA19" i="1" s="1"/>
  <c r="Z19" i="1" s="1"/>
  <c r="Y19" i="1" s="1"/>
  <c r="P19" i="15"/>
  <c r="V19" i="15" s="1"/>
  <c r="F19" i="15" s="1"/>
  <c r="AD40" i="15"/>
  <c r="AD34" i="15"/>
  <c r="AD34" i="1"/>
  <c r="AA34" i="1" s="1"/>
  <c r="Z34" i="1" s="1"/>
  <c r="Y34" i="1" s="1"/>
  <c r="AD124" i="15"/>
  <c r="P124" i="1"/>
  <c r="V124" i="1" s="1"/>
  <c r="AA124" i="1" s="1"/>
  <c r="Z124" i="1" s="1"/>
  <c r="Y124" i="1" s="1"/>
  <c r="P120" i="15"/>
  <c r="V120" i="15" s="1"/>
  <c r="F120" i="15" s="1"/>
  <c r="P120" i="1"/>
  <c r="V120" i="1" s="1"/>
  <c r="AA120" i="1" s="1"/>
  <c r="Z120" i="1" s="1"/>
  <c r="Y120" i="1" s="1"/>
  <c r="AD210" i="1"/>
  <c r="AD210" i="15"/>
  <c r="P210" i="1"/>
  <c r="P256" i="1"/>
  <c r="V256" i="1" s="1"/>
  <c r="AD256" i="1"/>
  <c r="AD238" i="15"/>
  <c r="AD196" i="1"/>
  <c r="P196" i="1"/>
  <c r="V196" i="1" s="1"/>
  <c r="P174" i="15"/>
  <c r="V174" i="15" s="1"/>
  <c r="F174" i="15" s="1"/>
  <c r="AD174" i="15"/>
  <c r="AD123" i="15"/>
  <c r="AA123" i="15" s="1"/>
  <c r="Z123" i="15" s="1"/>
  <c r="Y123" i="15" s="1"/>
  <c r="AD123" i="1"/>
  <c r="AA123" i="1" s="1"/>
  <c r="Z123" i="1" s="1"/>
  <c r="Y123" i="1" s="1"/>
  <c r="P282" i="1"/>
  <c r="V282" i="1" s="1"/>
  <c r="AA282" i="1" s="1"/>
  <c r="Z282" i="1" s="1"/>
  <c r="Y282" i="1" s="1"/>
  <c r="P282" i="15"/>
  <c r="V282" i="15" s="1"/>
  <c r="F282" i="15" s="1"/>
  <c r="P74" i="15"/>
  <c r="P74" i="1"/>
  <c r="V74" i="1" s="1"/>
  <c r="AA74" i="1" s="1"/>
  <c r="Z74" i="1" s="1"/>
  <c r="Y74" i="1" s="1"/>
  <c r="P21" i="15"/>
  <c r="V21" i="15" s="1"/>
  <c r="F21" i="15" s="1"/>
  <c r="P21" i="1"/>
  <c r="V21" i="1" s="1"/>
  <c r="AA21" i="1" s="1"/>
  <c r="Z21" i="1" s="1"/>
  <c r="Y21" i="1" s="1"/>
  <c r="P267" i="16"/>
  <c r="V267" i="16" s="1"/>
  <c r="F267" i="16" s="1"/>
  <c r="P267" i="15"/>
  <c r="V267" i="15" s="1"/>
  <c r="F267" i="15" s="1"/>
  <c r="V367" i="15"/>
  <c r="F367" i="15" s="1"/>
  <c r="G367" i="15" s="1"/>
  <c r="BX367" i="6" s="1"/>
  <c r="AD252" i="15"/>
  <c r="AA252" i="15" s="1"/>
  <c r="Z252" i="15" s="1"/>
  <c r="Y252" i="15" s="1"/>
  <c r="P252" i="1"/>
  <c r="V252" i="1" s="1"/>
  <c r="P17" i="16"/>
  <c r="V17" i="16" s="1"/>
  <c r="F17" i="16" s="1"/>
  <c r="G17" i="16" s="1"/>
  <c r="BY17" i="6" s="1"/>
  <c r="P17" i="1"/>
  <c r="V17" i="1" s="1"/>
  <c r="P330" i="16"/>
  <c r="V330" i="16" s="1"/>
  <c r="F330" i="16" s="1"/>
  <c r="G330" i="16" s="1"/>
  <c r="BY330" i="6" s="1"/>
  <c r="AD330" i="15"/>
  <c r="AA330" i="15" s="1"/>
  <c r="Z330" i="15" s="1"/>
  <c r="Y330" i="15" s="1"/>
  <c r="AD294" i="1"/>
  <c r="AA294" i="1" s="1"/>
  <c r="Z294" i="1" s="1"/>
  <c r="Y294" i="1" s="1"/>
  <c r="AD294" i="15"/>
  <c r="AD217" i="1"/>
  <c r="AD217" i="15"/>
  <c r="AA217" i="15" s="1"/>
  <c r="Z217" i="15" s="1"/>
  <c r="Y217" i="15" s="1"/>
  <c r="AD33" i="1"/>
  <c r="AA33" i="1" s="1"/>
  <c r="Z33" i="1" s="1"/>
  <c r="Y33" i="1" s="1"/>
  <c r="AD25" i="1"/>
  <c r="P25" i="1"/>
  <c r="V25" i="1" s="1"/>
  <c r="AD306" i="1"/>
  <c r="AA306" i="1" s="1"/>
  <c r="Z306" i="1" s="1"/>
  <c r="Y306" i="1" s="1"/>
  <c r="AD306" i="15"/>
  <c r="P256" i="15"/>
  <c r="V256" i="15" s="1"/>
  <c r="F256" i="15" s="1"/>
  <c r="P291" i="15"/>
  <c r="V291" i="15" s="1"/>
  <c r="F291" i="15" s="1"/>
  <c r="G291" i="15" s="1"/>
  <c r="BX291" i="6" s="1"/>
  <c r="AD342" i="1"/>
  <c r="AA342" i="1" s="1"/>
  <c r="Z342" i="1" s="1"/>
  <c r="Y342" i="1" s="1"/>
  <c r="G102" i="15"/>
  <c r="BX102" i="6" s="1"/>
  <c r="H102" i="15"/>
  <c r="V352" i="1"/>
  <c r="F352" i="1" s="1"/>
  <c r="AA343" i="15"/>
  <c r="Z343" i="15" s="1"/>
  <c r="Y343" i="15" s="1"/>
  <c r="G343" i="15"/>
  <c r="BX343" i="6" s="1"/>
  <c r="H84" i="15"/>
  <c r="G84" i="15"/>
  <c r="BX84" i="6" s="1"/>
  <c r="P70" i="27"/>
  <c r="G33" i="27" s="1"/>
  <c r="AE69" i="27"/>
  <c r="G73" i="15"/>
  <c r="BX73" i="6" s="1"/>
  <c r="H73" i="15"/>
  <c r="I323" i="1"/>
  <c r="AA323" i="1"/>
  <c r="Z323" i="1" s="1"/>
  <c r="Y323" i="1" s="1"/>
  <c r="G323" i="1"/>
  <c r="BW323" i="6" s="1"/>
  <c r="D38" i="7"/>
  <c r="V210" i="15"/>
  <c r="F210" i="15" s="1"/>
  <c r="AA102" i="1"/>
  <c r="Z102" i="1" s="1"/>
  <c r="Y102" i="1" s="1"/>
  <c r="AA108" i="1"/>
  <c r="Z108" i="1" s="1"/>
  <c r="Y108" i="1" s="1"/>
  <c r="AA191" i="1"/>
  <c r="Z191" i="1" s="1"/>
  <c r="Y191" i="1" s="1"/>
  <c r="AA192" i="1"/>
  <c r="Z192" i="1" s="1"/>
  <c r="Y192" i="1" s="1"/>
  <c r="G217" i="15"/>
  <c r="BX217" i="6" s="1"/>
  <c r="H217" i="15"/>
  <c r="H196" i="15"/>
  <c r="G196" i="15"/>
  <c r="BX196" i="6" s="1"/>
  <c r="AA196" i="15"/>
  <c r="Z196" i="15" s="1"/>
  <c r="Y196" i="15" s="1"/>
  <c r="AA191" i="15"/>
  <c r="Z191" i="15" s="1"/>
  <c r="Y191" i="15" s="1"/>
  <c r="V367" i="1"/>
  <c r="F367" i="1" s="1"/>
  <c r="I294" i="1"/>
  <c r="G294" i="1"/>
  <c r="BW294" i="6" s="1"/>
  <c r="G86" i="15"/>
  <c r="BX86" i="6" s="1"/>
  <c r="H86" i="15"/>
  <c r="AA86" i="15"/>
  <c r="Z86" i="15" s="1"/>
  <c r="Y86" i="15" s="1"/>
  <c r="G47" i="15"/>
  <c r="BX47" i="6" s="1"/>
  <c r="H47" i="15"/>
  <c r="G123" i="15"/>
  <c r="BX123" i="6" s="1"/>
  <c r="H123" i="15"/>
  <c r="V288" i="15"/>
  <c r="F288" i="15" s="1"/>
  <c r="D27" i="7"/>
  <c r="H252" i="15"/>
  <c r="G252" i="15"/>
  <c r="BX252" i="6" s="1"/>
  <c r="V227" i="15"/>
  <c r="F227" i="15" s="1"/>
  <c r="V371" i="15"/>
  <c r="F371" i="15" s="1"/>
  <c r="G342" i="1"/>
  <c r="BW342" i="6" s="1"/>
  <c r="I342" i="1"/>
  <c r="R381" i="15"/>
  <c r="R382" i="15"/>
  <c r="R383" i="15"/>
  <c r="P15" i="15"/>
  <c r="P365" i="1"/>
  <c r="AD365" i="15"/>
  <c r="AD365" i="1"/>
  <c r="AD331" i="1"/>
  <c r="P331" i="1"/>
  <c r="V331" i="1" s="1"/>
  <c r="F331" i="1" s="1"/>
  <c r="P331" i="15"/>
  <c r="AD331" i="15"/>
  <c r="AD133" i="15"/>
  <c r="P133" i="15"/>
  <c r="V133" i="15" s="1"/>
  <c r="F133" i="15" s="1"/>
  <c r="P133" i="1"/>
  <c r="V133" i="1" s="1"/>
  <c r="AD133" i="1"/>
  <c r="AD212" i="15"/>
  <c r="P212" i="16"/>
  <c r="V212" i="16" s="1"/>
  <c r="F212" i="16" s="1"/>
  <c r="G212" i="16" s="1"/>
  <c r="BY212" i="6" s="1"/>
  <c r="AD212" i="1"/>
  <c r="P212" i="15"/>
  <c r="V212" i="15" s="1"/>
  <c r="F212" i="15" s="1"/>
  <c r="P212" i="1"/>
  <c r="V212" i="1" s="1"/>
  <c r="AA212" i="1" s="1"/>
  <c r="Z212" i="1" s="1"/>
  <c r="Y212" i="1" s="1"/>
  <c r="AD273" i="15"/>
  <c r="P273" i="15"/>
  <c r="V273" i="15" s="1"/>
  <c r="F273" i="15" s="1"/>
  <c r="AD273" i="1"/>
  <c r="P273" i="1"/>
  <c r="V273" i="1" s="1"/>
  <c r="P145" i="1"/>
  <c r="V145" i="1" s="1"/>
  <c r="P145" i="15"/>
  <c r="V145" i="15" s="1"/>
  <c r="F145" i="15" s="1"/>
  <c r="AD145" i="15"/>
  <c r="P321" i="16"/>
  <c r="V321" i="16" s="1"/>
  <c r="P321" i="15"/>
  <c r="V321" i="15" s="1"/>
  <c r="F321" i="15" s="1"/>
  <c r="AD321" i="1"/>
  <c r="AD321" i="15"/>
  <c r="P321" i="1"/>
  <c r="P253" i="1"/>
  <c r="V253" i="1" s="1"/>
  <c r="AD253" i="15"/>
  <c r="AD253" i="1"/>
  <c r="AA253" i="1" s="1"/>
  <c r="Z253" i="1" s="1"/>
  <c r="Y253" i="1" s="1"/>
  <c r="P253" i="15"/>
  <c r="V253" i="15" s="1"/>
  <c r="F253" i="15" s="1"/>
  <c r="P76" i="1"/>
  <c r="V76" i="1" s="1"/>
  <c r="P76" i="15"/>
  <c r="AD76" i="1"/>
  <c r="AA76" i="1" s="1"/>
  <c r="Z76" i="1" s="1"/>
  <c r="Y76" i="1" s="1"/>
  <c r="AD76" i="15"/>
  <c r="AD29" i="15"/>
  <c r="P29" i="1"/>
  <c r="P29" i="15"/>
  <c r="AD29" i="1"/>
  <c r="P338" i="15"/>
  <c r="AD338" i="1"/>
  <c r="P338" i="16"/>
  <c r="V338" i="16" s="1"/>
  <c r="F338" i="16" s="1"/>
  <c r="G338" i="16" s="1"/>
  <c r="BY338" i="6" s="1"/>
  <c r="P338" i="1"/>
  <c r="V338" i="1" s="1"/>
  <c r="F338" i="1" s="1"/>
  <c r="AD338" i="15"/>
  <c r="P149" i="15"/>
  <c r="P149" i="1"/>
  <c r="AD149" i="1"/>
  <c r="AD149" i="15"/>
  <c r="P149" i="16"/>
  <c r="AD193" i="15"/>
  <c r="P193" i="1"/>
  <c r="V193" i="1" s="1"/>
  <c r="AD193" i="1"/>
  <c r="P193" i="15"/>
  <c r="V193" i="15" s="1"/>
  <c r="F193" i="15" s="1"/>
  <c r="AD277" i="1"/>
  <c r="P277" i="1"/>
  <c r="V277" i="1" s="1"/>
  <c r="AD277" i="15"/>
  <c r="AD254" i="15"/>
  <c r="AD254" i="1"/>
  <c r="P254" i="1"/>
  <c r="V254" i="1" s="1"/>
  <c r="P254" i="15"/>
  <c r="V254" i="15" s="1"/>
  <c r="F254" i="15" s="1"/>
  <c r="P333" i="15"/>
  <c r="AD333" i="1"/>
  <c r="AD333" i="15"/>
  <c r="AD164" i="15"/>
  <c r="P164" i="15"/>
  <c r="V164" i="15" s="1"/>
  <c r="F164" i="15" s="1"/>
  <c r="AD164" i="1"/>
  <c r="P164" i="1"/>
  <c r="V164" i="1" s="1"/>
  <c r="P257" i="16"/>
  <c r="V257" i="16" s="1"/>
  <c r="F257" i="16" s="1"/>
  <c r="G257" i="16" s="1"/>
  <c r="BY257" i="6" s="1"/>
  <c r="AD257" i="15"/>
  <c r="P257" i="1"/>
  <c r="V257" i="1" s="1"/>
  <c r="P257" i="15"/>
  <c r="V257" i="15" s="1"/>
  <c r="F257" i="15" s="1"/>
  <c r="AD257" i="1"/>
  <c r="AA257" i="1" s="1"/>
  <c r="Z257" i="1" s="1"/>
  <c r="Y257" i="1" s="1"/>
  <c r="AD242" i="1"/>
  <c r="P242" i="15"/>
  <c r="AD242" i="15"/>
  <c r="AD143" i="1"/>
  <c r="P143" i="1"/>
  <c r="V143" i="1" s="1"/>
  <c r="AD143" i="15"/>
  <c r="P95" i="15"/>
  <c r="V95" i="15" s="1"/>
  <c r="F95" i="15" s="1"/>
  <c r="AD95" i="1"/>
  <c r="P95" i="1"/>
  <c r="V95" i="1" s="1"/>
  <c r="AD95" i="15"/>
  <c r="P226" i="15"/>
  <c r="V226" i="15" s="1"/>
  <c r="F226" i="15" s="1"/>
  <c r="AD226" i="1"/>
  <c r="P226" i="1"/>
  <c r="V226" i="1" s="1"/>
  <c r="AD226" i="15"/>
  <c r="AD122" i="15"/>
  <c r="P122" i="15"/>
  <c r="V122" i="15" s="1"/>
  <c r="F122" i="15" s="1"/>
  <c r="AD122" i="1"/>
  <c r="P122" i="1"/>
  <c r="V122" i="1" s="1"/>
  <c r="AD203" i="1"/>
  <c r="AD203" i="15"/>
  <c r="P203" i="16"/>
  <c r="V203" i="16" s="1"/>
  <c r="F203" i="16" s="1"/>
  <c r="P203" i="15"/>
  <c r="V203" i="15" s="1"/>
  <c r="F203" i="15" s="1"/>
  <c r="H190" i="15"/>
  <c r="G190" i="15"/>
  <c r="BX190" i="6" s="1"/>
  <c r="J111" i="15"/>
  <c r="I111" i="15"/>
  <c r="V134" i="15"/>
  <c r="F134" i="15" s="1"/>
  <c r="G295" i="15"/>
  <c r="BX295" i="6" s="1"/>
  <c r="AA295" i="15"/>
  <c r="Z295" i="15" s="1"/>
  <c r="Y295" i="15" s="1"/>
  <c r="AA32" i="1"/>
  <c r="Z32" i="1" s="1"/>
  <c r="Y32" i="1" s="1"/>
  <c r="V346" i="1"/>
  <c r="F346" i="1" s="1"/>
  <c r="G268" i="15"/>
  <c r="BX268" i="6" s="1"/>
  <c r="H268" i="15"/>
  <c r="AA341" i="15"/>
  <c r="Z341" i="15" s="1"/>
  <c r="Y341" i="15" s="1"/>
  <c r="G341" i="15"/>
  <c r="BX341" i="6" s="1"/>
  <c r="J44" i="15"/>
  <c r="I44" i="15"/>
  <c r="V219" i="15"/>
  <c r="F219" i="15" s="1"/>
  <c r="V100" i="15"/>
  <c r="F100" i="15" s="1"/>
  <c r="V220" i="15"/>
  <c r="F220" i="15" s="1"/>
  <c r="I325" i="1"/>
  <c r="G325" i="1"/>
  <c r="BW325" i="6" s="1"/>
  <c r="H81" i="15"/>
  <c r="G81" i="15"/>
  <c r="BX81" i="6" s="1"/>
  <c r="G22" i="15"/>
  <c r="BX22" i="6" s="1"/>
  <c r="H22" i="15"/>
  <c r="G328" i="1"/>
  <c r="BW328" i="6" s="1"/>
  <c r="G45" i="15"/>
  <c r="BX45" i="6" s="1"/>
  <c r="H45" i="15"/>
  <c r="H211" i="15"/>
  <c r="G211" i="15"/>
  <c r="BX211" i="6" s="1"/>
  <c r="V376" i="15"/>
  <c r="F376" i="15" s="1"/>
  <c r="G350" i="15"/>
  <c r="BX350" i="6" s="1"/>
  <c r="AA350" i="15"/>
  <c r="Z350" i="15" s="1"/>
  <c r="Y350" i="15" s="1"/>
  <c r="G287" i="15"/>
  <c r="BX287" i="6" s="1"/>
  <c r="H287" i="15"/>
  <c r="V354" i="15"/>
  <c r="F354" i="15" s="1"/>
  <c r="G339" i="15"/>
  <c r="BX339" i="6" s="1"/>
  <c r="AA339" i="15"/>
  <c r="Z339" i="15" s="1"/>
  <c r="Y339" i="15" s="1"/>
  <c r="G270" i="15"/>
  <c r="BX270" i="6" s="1"/>
  <c r="H270" i="15"/>
  <c r="AA270" i="15"/>
  <c r="Z270" i="15" s="1"/>
  <c r="Y270" i="15" s="1"/>
  <c r="V373" i="1"/>
  <c r="F373" i="1" s="1"/>
  <c r="V140" i="15"/>
  <c r="F140" i="15" s="1"/>
  <c r="H139" i="15"/>
  <c r="AA139" i="15"/>
  <c r="Z139" i="15" s="1"/>
  <c r="Y139" i="15" s="1"/>
  <c r="G139" i="15"/>
  <c r="BX139" i="6" s="1"/>
  <c r="P203" i="1"/>
  <c r="V203" i="1" s="1"/>
  <c r="AD145" i="1"/>
  <c r="I28" i="15"/>
  <c r="J28" i="15"/>
  <c r="P365" i="15"/>
  <c r="V365" i="15" s="1"/>
  <c r="F365" i="15" s="1"/>
  <c r="G365" i="15" s="1"/>
  <c r="BX365" i="6" s="1"/>
  <c r="V232" i="15"/>
  <c r="F232" i="15" s="1"/>
  <c r="P242" i="1"/>
  <c r="V242" i="1" s="1"/>
  <c r="V87" i="15"/>
  <c r="F87" i="15" s="1"/>
  <c r="I49" i="15"/>
  <c r="J49" i="15"/>
  <c r="V135" i="15"/>
  <c r="F135" i="15" s="1"/>
  <c r="AA356" i="1"/>
  <c r="Z356" i="1" s="1"/>
  <c r="Y356" i="1" s="1"/>
  <c r="V280" i="15"/>
  <c r="F280" i="15" s="1"/>
  <c r="I351" i="1"/>
  <c r="G155" i="15"/>
  <c r="BX155" i="6" s="1"/>
  <c r="AA159" i="1"/>
  <c r="Z159" i="1" s="1"/>
  <c r="Y159" i="1" s="1"/>
  <c r="G360" i="1"/>
  <c r="BW360" i="6" s="1"/>
  <c r="I360" i="1"/>
  <c r="V91" i="16"/>
  <c r="F91" i="16" s="1"/>
  <c r="V361" i="1"/>
  <c r="F361" i="1" s="1"/>
  <c r="G355" i="15"/>
  <c r="BX355" i="6" s="1"/>
  <c r="AD95" i="16"/>
  <c r="AD133" i="16"/>
  <c r="G345" i="1"/>
  <c r="BW345" i="6" s="1"/>
  <c r="H116" i="15"/>
  <c r="J116" i="15" s="1"/>
  <c r="V271" i="16"/>
  <c r="F271" i="16" s="1"/>
  <c r="R383" i="1"/>
  <c r="P15" i="1"/>
  <c r="R382" i="1"/>
  <c r="R381" i="1"/>
  <c r="J185" i="15"/>
  <c r="I185" i="15"/>
  <c r="J30" i="15"/>
  <c r="I30" i="15"/>
  <c r="V54" i="15"/>
  <c r="F54" i="15" s="1"/>
  <c r="AA106" i="1"/>
  <c r="Z106" i="1" s="1"/>
  <c r="Y106" i="1" s="1"/>
  <c r="G285" i="15"/>
  <c r="BX285" i="6" s="1"/>
  <c r="H285" i="15"/>
  <c r="V290" i="1"/>
  <c r="F290" i="1" s="1"/>
  <c r="AA175" i="1"/>
  <c r="Z175" i="1" s="1"/>
  <c r="Y175" i="1" s="1"/>
  <c r="V55" i="15"/>
  <c r="F55" i="15" s="1"/>
  <c r="AA284" i="1"/>
  <c r="Z284" i="1" s="1"/>
  <c r="Y284" i="1" s="1"/>
  <c r="V363" i="15"/>
  <c r="AA177" i="1"/>
  <c r="Z177" i="1" s="1"/>
  <c r="Y177" i="1" s="1"/>
  <c r="AA233" i="1"/>
  <c r="Z233" i="1" s="1"/>
  <c r="Y233" i="1" s="1"/>
  <c r="H184" i="15"/>
  <c r="G184" i="15"/>
  <c r="BX184" i="6" s="1"/>
  <c r="G41" i="15"/>
  <c r="BX41" i="6" s="1"/>
  <c r="H41" i="15"/>
  <c r="V293" i="1"/>
  <c r="F293" i="1" s="1"/>
  <c r="AF381" i="1"/>
  <c r="AD15" i="1"/>
  <c r="AF383" i="1"/>
  <c r="AF382" i="1"/>
  <c r="P152" i="15"/>
  <c r="V152" i="15" s="1"/>
  <c r="F152" i="15" s="1"/>
  <c r="P152" i="1"/>
  <c r="V152" i="1" s="1"/>
  <c r="AA152" i="1" s="1"/>
  <c r="Z152" i="1" s="1"/>
  <c r="Y152" i="1" s="1"/>
  <c r="AD152" i="15"/>
  <c r="P348" i="15"/>
  <c r="V348" i="15" s="1"/>
  <c r="F348" i="15" s="1"/>
  <c r="P348" i="1"/>
  <c r="AD348" i="15"/>
  <c r="AD348" i="1"/>
  <c r="AD79" i="1"/>
  <c r="P79" i="15"/>
  <c r="AD79" i="15"/>
  <c r="AD180" i="15"/>
  <c r="AD180" i="1"/>
  <c r="P180" i="15"/>
  <c r="P180" i="1"/>
  <c r="AD166" i="15"/>
  <c r="P166" i="1"/>
  <c r="V166" i="1" s="1"/>
  <c r="AD166" i="1"/>
  <c r="P166" i="15"/>
  <c r="AD16" i="15"/>
  <c r="P16" i="16"/>
  <c r="V16" i="16" s="1"/>
  <c r="F16" i="16" s="1"/>
  <c r="G16" i="16" s="1"/>
  <c r="BY16" i="6" s="1"/>
  <c r="P16" i="15"/>
  <c r="V16" i="15" s="1"/>
  <c r="F16" i="15" s="1"/>
  <c r="P16" i="1"/>
  <c r="V16" i="1" s="1"/>
  <c r="AD16" i="1"/>
  <c r="AD332" i="1"/>
  <c r="P332" i="1"/>
  <c r="P332" i="15"/>
  <c r="V332" i="15" s="1"/>
  <c r="F332" i="15" s="1"/>
  <c r="AD332" i="15"/>
  <c r="P364" i="1"/>
  <c r="AD364" i="1"/>
  <c r="P364" i="15"/>
  <c r="AD364" i="15"/>
  <c r="P88" i="15"/>
  <c r="P88" i="1"/>
  <c r="AD88" i="1"/>
  <c r="AD88" i="15"/>
  <c r="P88" i="16"/>
  <c r="AD292" i="1"/>
  <c r="P292" i="15"/>
  <c r="V292" i="15" s="1"/>
  <c r="F292" i="15" s="1"/>
  <c r="G292" i="15" s="1"/>
  <c r="BX292" i="6" s="1"/>
  <c r="P292" i="1"/>
  <c r="AD292" i="15"/>
  <c r="AD87" i="1"/>
  <c r="P87" i="1"/>
  <c r="V87" i="1" s="1"/>
  <c r="AD87" i="15"/>
  <c r="AD150" i="1"/>
  <c r="P150" i="1"/>
  <c r="V150" i="1" s="1"/>
  <c r="P150" i="15"/>
  <c r="V150" i="15" s="1"/>
  <c r="F150" i="15" s="1"/>
  <c r="AD150" i="15"/>
  <c r="AD269" i="15"/>
  <c r="P269" i="15"/>
  <c r="V269" i="15" s="1"/>
  <c r="P269" i="1"/>
  <c r="V269" i="1" s="1"/>
  <c r="AD269" i="1"/>
  <c r="AD311" i="15"/>
  <c r="AD311" i="1"/>
  <c r="P311" i="1"/>
  <c r="V311" i="1" s="1"/>
  <c r="F311" i="1" s="1"/>
  <c r="P311" i="16"/>
  <c r="V311" i="16" s="1"/>
  <c r="F311" i="16" s="1"/>
  <c r="P311" i="15"/>
  <c r="V311" i="15" s="1"/>
  <c r="F311" i="15" s="1"/>
  <c r="P89" i="1"/>
  <c r="V89" i="1" s="1"/>
  <c r="P89" i="15"/>
  <c r="V89" i="15" s="1"/>
  <c r="F89" i="15" s="1"/>
  <c r="AD89" i="1"/>
  <c r="AD89" i="15"/>
  <c r="P296" i="1"/>
  <c r="P296" i="15"/>
  <c r="V296" i="15" s="1"/>
  <c r="F296" i="15" s="1"/>
  <c r="AD296" i="15"/>
  <c r="P69" i="15"/>
  <c r="V69" i="15" s="1"/>
  <c r="F69" i="15" s="1"/>
  <c r="AD69" i="1"/>
  <c r="P69" i="1"/>
  <c r="V69" i="1" s="1"/>
  <c r="AD69" i="15"/>
  <c r="P66" i="1"/>
  <c r="V66" i="1" s="1"/>
  <c r="P66" i="15"/>
  <c r="AD66" i="15"/>
  <c r="AD66" i="1"/>
  <c r="AD309" i="15"/>
  <c r="P309" i="15"/>
  <c r="V309" i="15" s="1"/>
  <c r="F309" i="15" s="1"/>
  <c r="P309" i="1"/>
  <c r="V309" i="1" s="1"/>
  <c r="P309" i="16"/>
  <c r="V309" i="16" s="1"/>
  <c r="F309" i="16" s="1"/>
  <c r="G309" i="16" s="1"/>
  <c r="BY309" i="6" s="1"/>
  <c r="AD309" i="1"/>
  <c r="P379" i="1"/>
  <c r="P379" i="15"/>
  <c r="D36" i="19" s="1"/>
  <c r="AD379" i="1"/>
  <c r="AD379" i="15"/>
  <c r="P310" i="1"/>
  <c r="V310" i="1" s="1"/>
  <c r="F310" i="1" s="1"/>
  <c r="AD310" i="1"/>
  <c r="AD310" i="15"/>
  <c r="P310" i="15"/>
  <c r="V310" i="15" s="1"/>
  <c r="F310" i="15" s="1"/>
  <c r="G310" i="15" s="1"/>
  <c r="BX310" i="6" s="1"/>
  <c r="AD113" i="1"/>
  <c r="P113" i="15"/>
  <c r="V113" i="15" s="1"/>
  <c r="F113" i="15" s="1"/>
  <c r="AD113" i="15"/>
  <c r="P113" i="16"/>
  <c r="V113" i="16" s="1"/>
  <c r="AD249" i="1"/>
  <c r="P249" i="15"/>
  <c r="V249" i="15" s="1"/>
  <c r="F249" i="15" s="1"/>
  <c r="AD249" i="15"/>
  <c r="P249" i="16"/>
  <c r="V249" i="16" s="1"/>
  <c r="F249" i="16" s="1"/>
  <c r="G249" i="16" s="1"/>
  <c r="BY249" i="6" s="1"/>
  <c r="V70" i="15"/>
  <c r="F70" i="15" s="1"/>
  <c r="AA223" i="1"/>
  <c r="Z223" i="1" s="1"/>
  <c r="Y223" i="1" s="1"/>
  <c r="H114" i="15"/>
  <c r="G114" i="15"/>
  <c r="BX114" i="6" s="1"/>
  <c r="V305" i="1"/>
  <c r="F305" i="1" s="1"/>
  <c r="V56" i="15"/>
  <c r="F56" i="15" s="1"/>
  <c r="V359" i="1"/>
  <c r="F359" i="1" s="1"/>
  <c r="G308" i="1"/>
  <c r="BW308" i="6" s="1"/>
  <c r="I308" i="1"/>
  <c r="G136" i="15"/>
  <c r="BX136" i="6" s="1"/>
  <c r="H136" i="15"/>
  <c r="G222" i="15"/>
  <c r="BX222" i="6" s="1"/>
  <c r="H222" i="15"/>
  <c r="V350" i="1"/>
  <c r="F350" i="1" s="1"/>
  <c r="V354" i="1"/>
  <c r="F354" i="1" s="1"/>
  <c r="AA337" i="15"/>
  <c r="Z337" i="15" s="1"/>
  <c r="Y337" i="15" s="1"/>
  <c r="AA270" i="1"/>
  <c r="Z270" i="1" s="1"/>
  <c r="Y270" i="1" s="1"/>
  <c r="AA139" i="1"/>
  <c r="Z139" i="1" s="1"/>
  <c r="Y139" i="1" s="1"/>
  <c r="AD296" i="1"/>
  <c r="P113" i="1"/>
  <c r="V113" i="1" s="1"/>
  <c r="P333" i="1"/>
  <c r="P79" i="1"/>
  <c r="V79" i="1" s="1"/>
  <c r="AA300" i="1"/>
  <c r="Z300" i="1" s="1"/>
  <c r="Y300" i="1" s="1"/>
  <c r="P277" i="15"/>
  <c r="P143" i="15"/>
  <c r="P249" i="1"/>
  <c r="V249" i="1" s="1"/>
  <c r="AA135" i="1"/>
  <c r="Z135" i="1" s="1"/>
  <c r="Y135" i="1" s="1"/>
  <c r="G315" i="1"/>
  <c r="BW315" i="6" s="1"/>
  <c r="I306" i="1"/>
  <c r="G306" i="1"/>
  <c r="BW306" i="6" s="1"/>
  <c r="V85" i="15"/>
  <c r="F85" i="15" s="1"/>
  <c r="V110" i="15"/>
  <c r="F110" i="15" s="1"/>
  <c r="H159" i="15"/>
  <c r="G159" i="15"/>
  <c r="BX159" i="6" s="1"/>
  <c r="G362" i="15"/>
  <c r="BX362" i="6" s="1"/>
  <c r="I240" i="15"/>
  <c r="J240" i="15"/>
  <c r="I318" i="1"/>
  <c r="AA318" i="1"/>
  <c r="Z318" i="1" s="1"/>
  <c r="Y318" i="1" s="1"/>
  <c r="G318" i="1"/>
  <c r="BW318" i="6" s="1"/>
  <c r="AA194" i="15"/>
  <c r="Z194" i="15" s="1"/>
  <c r="Y194" i="15" s="1"/>
  <c r="AA316" i="1"/>
  <c r="Z316" i="1" s="1"/>
  <c r="Y316" i="1" s="1"/>
  <c r="I316" i="1"/>
  <c r="G316" i="1"/>
  <c r="BW316" i="6" s="1"/>
  <c r="AA326" i="1"/>
  <c r="Z326" i="1" s="1"/>
  <c r="Y326" i="1" s="1"/>
  <c r="G326" i="1"/>
  <c r="BW326" i="6" s="1"/>
  <c r="I326" i="1"/>
  <c r="H326" i="15" s="1"/>
  <c r="AA324" i="1"/>
  <c r="Z324" i="1" s="1"/>
  <c r="Y324" i="1" s="1"/>
  <c r="F306" i="15"/>
  <c r="I128" i="15"/>
  <c r="J128" i="15"/>
  <c r="I141" i="15"/>
  <c r="J141" i="15"/>
  <c r="J169" i="15"/>
  <c r="I169" i="15"/>
  <c r="J18" i="15"/>
  <c r="J172" i="15"/>
  <c r="J245" i="15"/>
  <c r="I245" i="15"/>
  <c r="I236" i="15"/>
  <c r="J236" i="15"/>
  <c r="AL380" i="6"/>
  <c r="AL381" i="6" s="1"/>
  <c r="AZ13" i="6"/>
  <c r="I329" i="1" l="1"/>
  <c r="I324" i="1"/>
  <c r="H324" i="15" s="1"/>
  <c r="J324" i="15" s="1"/>
  <c r="F363" i="15"/>
  <c r="D31" i="7"/>
  <c r="AA351" i="1"/>
  <c r="Z351" i="1" s="1"/>
  <c r="Y351" i="1" s="1"/>
  <c r="H62" i="15"/>
  <c r="I62" i="15" s="1"/>
  <c r="H62" i="16" s="1"/>
  <c r="D40" i="7"/>
  <c r="T382" i="16"/>
  <c r="V119" i="16"/>
  <c r="AA172" i="15"/>
  <c r="Z172" i="15" s="1"/>
  <c r="Y172" i="15" s="1"/>
  <c r="AA280" i="1"/>
  <c r="Z280" i="1" s="1"/>
  <c r="Y280" i="1" s="1"/>
  <c r="AA179" i="1"/>
  <c r="Z179" i="1" s="1"/>
  <c r="Y179" i="1" s="1"/>
  <c r="H130" i="15"/>
  <c r="AA239" i="15"/>
  <c r="Z239" i="15" s="1"/>
  <c r="Y239" i="15" s="1"/>
  <c r="P379" i="16"/>
  <c r="G72" i="15"/>
  <c r="BX72" i="6" s="1"/>
  <c r="D52" i="7"/>
  <c r="T381" i="16"/>
  <c r="Q12" i="17"/>
  <c r="H38" i="15"/>
  <c r="J38" i="15" s="1"/>
  <c r="G106" i="15"/>
  <c r="BX106" i="6" s="1"/>
  <c r="G297" i="1"/>
  <c r="BW297" i="6" s="1"/>
  <c r="I297" i="1"/>
  <c r="AA329" i="1"/>
  <c r="Z329" i="1" s="1"/>
  <c r="Y329" i="1" s="1"/>
  <c r="AA317" i="1"/>
  <c r="Z317" i="1" s="1"/>
  <c r="Y317" i="1" s="1"/>
  <c r="AA41" i="1"/>
  <c r="Z41" i="1" s="1"/>
  <c r="Y41" i="1" s="1"/>
  <c r="AG379" i="16"/>
  <c r="AF379" i="16" s="1"/>
  <c r="AD379" i="16" s="1"/>
  <c r="D39" i="7"/>
  <c r="V241" i="15"/>
  <c r="F241" i="15" s="1"/>
  <c r="AA96" i="1"/>
  <c r="Z96" i="1" s="1"/>
  <c r="Y96" i="1" s="1"/>
  <c r="AA170" i="1"/>
  <c r="Z170" i="1" s="1"/>
  <c r="Y170" i="1" s="1"/>
  <c r="D55" i="7"/>
  <c r="V363" i="16"/>
  <c r="AA55" i="1"/>
  <c r="Z55" i="1" s="1"/>
  <c r="Y55" i="1" s="1"/>
  <c r="AA105" i="15"/>
  <c r="Z105" i="15" s="1"/>
  <c r="Y105" i="15" s="1"/>
  <c r="AA39" i="15"/>
  <c r="Z39" i="15" s="1"/>
  <c r="Y39" i="15" s="1"/>
  <c r="AA178" i="1"/>
  <c r="Z178" i="1" s="1"/>
  <c r="Y178" i="1" s="1"/>
  <c r="AA214" i="1"/>
  <c r="Z214" i="1" s="1"/>
  <c r="Y214" i="1" s="1"/>
  <c r="AA314" i="1"/>
  <c r="Z314" i="1" s="1"/>
  <c r="Y314" i="1" s="1"/>
  <c r="AA47" i="1"/>
  <c r="Z47" i="1" s="1"/>
  <c r="Y47" i="1" s="1"/>
  <c r="AA26" i="1"/>
  <c r="Z26" i="1" s="1"/>
  <c r="Y26" i="1" s="1"/>
  <c r="AA263" i="15"/>
  <c r="Z263" i="15" s="1"/>
  <c r="Y263" i="15" s="1"/>
  <c r="AA275" i="1"/>
  <c r="Z275" i="1" s="1"/>
  <c r="Y275" i="1" s="1"/>
  <c r="AA352" i="15"/>
  <c r="Z352" i="15" s="1"/>
  <c r="Y352" i="15" s="1"/>
  <c r="AA126" i="15"/>
  <c r="Z126" i="15" s="1"/>
  <c r="Y126" i="15" s="1"/>
  <c r="AA151" i="15"/>
  <c r="Z151" i="15" s="1"/>
  <c r="Y151" i="15" s="1"/>
  <c r="AA62" i="15"/>
  <c r="Z62" i="15" s="1"/>
  <c r="Y62" i="15" s="1"/>
  <c r="AA239" i="1"/>
  <c r="Z239" i="1" s="1"/>
  <c r="Y239" i="1" s="1"/>
  <c r="H351" i="15"/>
  <c r="I351" i="15" s="1"/>
  <c r="H351" i="16" s="1"/>
  <c r="H94" i="15"/>
  <c r="I94" i="15" s="1"/>
  <c r="H94" i="16" s="1"/>
  <c r="H200" i="15"/>
  <c r="J200" i="15" s="1"/>
  <c r="G233" i="15"/>
  <c r="BX233" i="6" s="1"/>
  <c r="I243" i="15"/>
  <c r="AA71" i="1"/>
  <c r="Z71" i="1" s="1"/>
  <c r="Y71" i="1" s="1"/>
  <c r="AA216" i="1"/>
  <c r="Z216" i="1" s="1"/>
  <c r="Y216" i="1" s="1"/>
  <c r="AA82" i="1"/>
  <c r="Z82" i="1" s="1"/>
  <c r="Y82" i="1" s="1"/>
  <c r="H223" i="15"/>
  <c r="I223" i="15" s="1"/>
  <c r="H223" i="16" s="1"/>
  <c r="I255" i="15"/>
  <c r="H255" i="16" s="1"/>
  <c r="I255" i="16" s="1"/>
  <c r="AA118" i="15"/>
  <c r="Z118" i="15" s="1"/>
  <c r="Y118" i="15" s="1"/>
  <c r="G187" i="15"/>
  <c r="BX187" i="6" s="1"/>
  <c r="G24" i="15"/>
  <c r="BX24" i="6" s="1"/>
  <c r="AA176" i="15"/>
  <c r="Z176" i="15" s="1"/>
  <c r="Y176" i="15" s="1"/>
  <c r="AA276" i="15"/>
  <c r="Z276" i="15" s="1"/>
  <c r="Y276" i="15" s="1"/>
  <c r="AA229" i="15"/>
  <c r="Z229" i="15" s="1"/>
  <c r="Y229" i="15" s="1"/>
  <c r="G340" i="15"/>
  <c r="BX340" i="6" s="1"/>
  <c r="G154" i="15"/>
  <c r="BX154" i="6" s="1"/>
  <c r="G230" i="15"/>
  <c r="BX230" i="6" s="1"/>
  <c r="AA155" i="15"/>
  <c r="Z155" i="15" s="1"/>
  <c r="Y155" i="15" s="1"/>
  <c r="AA80" i="1"/>
  <c r="Z80" i="1" s="1"/>
  <c r="Y80" i="1" s="1"/>
  <c r="AA230" i="15"/>
  <c r="Z230" i="15" s="1"/>
  <c r="Y230" i="15" s="1"/>
  <c r="AA81" i="1"/>
  <c r="Z81" i="1" s="1"/>
  <c r="Y81" i="1" s="1"/>
  <c r="AA371" i="1"/>
  <c r="Z371" i="1" s="1"/>
  <c r="Y371" i="1" s="1"/>
  <c r="I300" i="1"/>
  <c r="G340" i="1"/>
  <c r="BW340" i="6" s="1"/>
  <c r="I356" i="1"/>
  <c r="AA355" i="1"/>
  <c r="Z355" i="1" s="1"/>
  <c r="Y355" i="1" s="1"/>
  <c r="G234" i="15"/>
  <c r="BX234" i="6" s="1"/>
  <c r="V210" i="16"/>
  <c r="H63" i="19" s="1"/>
  <c r="G334" i="1"/>
  <c r="BW334" i="6" s="1"/>
  <c r="H183" i="15"/>
  <c r="I183" i="15" s="1"/>
  <c r="H183" i="16" s="1"/>
  <c r="I183" i="16" s="1"/>
  <c r="F298" i="1"/>
  <c r="I298" i="1" s="1"/>
  <c r="V119" i="1"/>
  <c r="AA119" i="1" s="1"/>
  <c r="Z119" i="1" s="1"/>
  <c r="Y119" i="1" s="1"/>
  <c r="AA127" i="1"/>
  <c r="Z127" i="1" s="1"/>
  <c r="Y127" i="1" s="1"/>
  <c r="AA279" i="1"/>
  <c r="Z279" i="1" s="1"/>
  <c r="Y279" i="1" s="1"/>
  <c r="AA64" i="1"/>
  <c r="Z64" i="1" s="1"/>
  <c r="Y64" i="1" s="1"/>
  <c r="AA148" i="1"/>
  <c r="Z148" i="1" s="1"/>
  <c r="Y148" i="1" s="1"/>
  <c r="AA91" i="15"/>
  <c r="Z91" i="15" s="1"/>
  <c r="Y91" i="15" s="1"/>
  <c r="AA360" i="15"/>
  <c r="Z360" i="15" s="1"/>
  <c r="Y360" i="15" s="1"/>
  <c r="G176" i="15"/>
  <c r="BX176" i="6" s="1"/>
  <c r="G276" i="15"/>
  <c r="BX276" i="6" s="1"/>
  <c r="G158" i="15"/>
  <c r="BX158" i="6" s="1"/>
  <c r="G244" i="15"/>
  <c r="BX244" i="6" s="1"/>
  <c r="H144" i="15"/>
  <c r="I144" i="15" s="1"/>
  <c r="H144" i="16" s="1"/>
  <c r="G67" i="15"/>
  <c r="BX67" i="6" s="1"/>
  <c r="H109" i="15"/>
  <c r="J109" i="15" s="1"/>
  <c r="AA182" i="15"/>
  <c r="Z182" i="15" s="1"/>
  <c r="Y182" i="15" s="1"/>
  <c r="AA158" i="15"/>
  <c r="Z158" i="15" s="1"/>
  <c r="Y158" i="15" s="1"/>
  <c r="H151" i="15"/>
  <c r="I151" i="15" s="1"/>
  <c r="H151" i="16" s="1"/>
  <c r="H251" i="15"/>
  <c r="I251" i="15" s="1"/>
  <c r="AA324" i="15"/>
  <c r="Z324" i="15" s="1"/>
  <c r="Y324" i="15" s="1"/>
  <c r="AA218" i="15"/>
  <c r="Z218" i="15" s="1"/>
  <c r="Y218" i="15" s="1"/>
  <c r="AA246" i="15"/>
  <c r="Z246" i="15" s="1"/>
  <c r="Y246" i="15" s="1"/>
  <c r="I48" i="15"/>
  <c r="H246" i="15"/>
  <c r="J246" i="15" s="1"/>
  <c r="H316" i="15"/>
  <c r="I316" i="15" s="1"/>
  <c r="H316" i="16" s="1"/>
  <c r="H194" i="15"/>
  <c r="I194" i="15" s="1"/>
  <c r="H194" i="16" s="1"/>
  <c r="G360" i="15"/>
  <c r="BX360" i="6" s="1"/>
  <c r="I58" i="15"/>
  <c r="H58" i="16" s="1"/>
  <c r="I58" i="16" s="1"/>
  <c r="H239" i="15"/>
  <c r="J239" i="15" s="1"/>
  <c r="H34" i="15"/>
  <c r="J34" i="15" s="1"/>
  <c r="AA53" i="15"/>
  <c r="Z53" i="15" s="1"/>
  <c r="Y53" i="15" s="1"/>
  <c r="H68" i="15"/>
  <c r="I68" i="15" s="1"/>
  <c r="H68" i="16" s="1"/>
  <c r="AA65" i="15"/>
  <c r="Z65" i="15" s="1"/>
  <c r="Y65" i="15" s="1"/>
  <c r="H65" i="15"/>
  <c r="J65" i="15" s="1"/>
  <c r="G50" i="15"/>
  <c r="BX50" i="6" s="1"/>
  <c r="G61" i="15"/>
  <c r="BX61" i="6" s="1"/>
  <c r="AA146" i="15"/>
  <c r="Z146" i="15" s="1"/>
  <c r="Y146" i="15" s="1"/>
  <c r="G191" i="15"/>
  <c r="BX191" i="6" s="1"/>
  <c r="G284" i="15"/>
  <c r="BX284" i="6" s="1"/>
  <c r="AA284" i="15"/>
  <c r="Z284" i="15" s="1"/>
  <c r="Y284" i="15" s="1"/>
  <c r="H357" i="15"/>
  <c r="J357" i="15" s="1"/>
  <c r="G18" i="15"/>
  <c r="BX18" i="6" s="1"/>
  <c r="AA96" i="15"/>
  <c r="Z96" i="15" s="1"/>
  <c r="Y96" i="15" s="1"/>
  <c r="G43" i="15"/>
  <c r="BX43" i="6" s="1"/>
  <c r="AA138" i="15"/>
  <c r="Z138" i="15" s="1"/>
  <c r="Y138" i="15" s="1"/>
  <c r="G181" i="15"/>
  <c r="BX181" i="6" s="1"/>
  <c r="AA323" i="15"/>
  <c r="Z323" i="15" s="1"/>
  <c r="Y323" i="15" s="1"/>
  <c r="I53" i="15"/>
  <c r="H53" i="16" s="1"/>
  <c r="I53" i="16" s="1"/>
  <c r="G148" i="15"/>
  <c r="BX148" i="6" s="1"/>
  <c r="AA50" i="15"/>
  <c r="Z50" i="15" s="1"/>
  <c r="Y50" i="15" s="1"/>
  <c r="G40" i="15"/>
  <c r="BX40" i="6" s="1"/>
  <c r="G98" i="15"/>
  <c r="BX98" i="6" s="1"/>
  <c r="H360" i="15"/>
  <c r="I360" i="15" s="1"/>
  <c r="H360" i="16" s="1"/>
  <c r="AA233" i="15"/>
  <c r="Z233" i="15" s="1"/>
  <c r="Y233" i="15" s="1"/>
  <c r="AA305" i="15"/>
  <c r="Z305" i="15" s="1"/>
  <c r="Y305" i="15" s="1"/>
  <c r="AA157" i="15"/>
  <c r="Z157" i="15" s="1"/>
  <c r="Y157" i="15" s="1"/>
  <c r="H52" i="15"/>
  <c r="J52" i="15" s="1"/>
  <c r="G278" i="15"/>
  <c r="BX278" i="6" s="1"/>
  <c r="H279" i="15"/>
  <c r="I279" i="15" s="1"/>
  <c r="H279" i="16" s="1"/>
  <c r="H323" i="15"/>
  <c r="J323" i="15" s="1"/>
  <c r="AA357" i="15"/>
  <c r="Z357" i="15" s="1"/>
  <c r="Y357" i="15" s="1"/>
  <c r="AA34" i="15"/>
  <c r="Z34" i="15" s="1"/>
  <c r="Y34" i="15" s="1"/>
  <c r="AA303" i="15"/>
  <c r="Z303" i="15" s="1"/>
  <c r="Y303" i="15" s="1"/>
  <c r="AA243" i="15"/>
  <c r="Z243" i="15" s="1"/>
  <c r="Y243" i="15" s="1"/>
  <c r="H175" i="15"/>
  <c r="J175" i="15" s="1"/>
  <c r="G243" i="15"/>
  <c r="BX243" i="6" s="1"/>
  <c r="G58" i="15"/>
  <c r="BX58" i="6" s="1"/>
  <c r="AA261" i="15"/>
  <c r="Z261" i="15" s="1"/>
  <c r="Y261" i="15" s="1"/>
  <c r="AA58" i="15"/>
  <c r="Z58" i="15" s="1"/>
  <c r="Y58" i="15" s="1"/>
  <c r="AA366" i="15"/>
  <c r="Z366" i="15" s="1"/>
  <c r="Y366" i="15" s="1"/>
  <c r="AA68" i="15"/>
  <c r="Z68" i="15" s="1"/>
  <c r="Y68" i="15" s="1"/>
  <c r="AA334" i="15"/>
  <c r="Z334" i="15" s="1"/>
  <c r="Y334" i="15" s="1"/>
  <c r="AA195" i="15"/>
  <c r="Z195" i="15" s="1"/>
  <c r="Y195" i="15" s="1"/>
  <c r="AA264" i="15"/>
  <c r="Z264" i="15" s="1"/>
  <c r="Y264" i="15" s="1"/>
  <c r="AA335" i="15"/>
  <c r="Z335" i="15" s="1"/>
  <c r="Y335" i="15" s="1"/>
  <c r="AA18" i="15"/>
  <c r="Z18" i="15" s="1"/>
  <c r="Y18" i="15" s="1"/>
  <c r="AA235" i="15"/>
  <c r="Z235" i="15" s="1"/>
  <c r="Y235" i="15" s="1"/>
  <c r="AA72" i="15"/>
  <c r="Z72" i="15" s="1"/>
  <c r="Y72" i="15" s="1"/>
  <c r="G235" i="15"/>
  <c r="BX235" i="6" s="1"/>
  <c r="AA64" i="15"/>
  <c r="Z64" i="15" s="1"/>
  <c r="Y64" i="15" s="1"/>
  <c r="G171" i="15"/>
  <c r="BX171" i="6" s="1"/>
  <c r="G104" i="15"/>
  <c r="BX104" i="6" s="1"/>
  <c r="H32" i="15"/>
  <c r="I32" i="15" s="1"/>
  <c r="H32" i="16" s="1"/>
  <c r="AA109" i="15"/>
  <c r="Z109" i="15" s="1"/>
  <c r="Y109" i="15" s="1"/>
  <c r="H64" i="15"/>
  <c r="J64" i="15" s="1"/>
  <c r="H286" i="15"/>
  <c r="I286" i="15" s="1"/>
  <c r="H286" i="16" s="1"/>
  <c r="H182" i="15"/>
  <c r="I182" i="15" s="1"/>
  <c r="H182" i="16" s="1"/>
  <c r="H216" i="15"/>
  <c r="J216" i="15" s="1"/>
  <c r="G57" i="15"/>
  <c r="BX57" i="6" s="1"/>
  <c r="AA173" i="15"/>
  <c r="Z173" i="15" s="1"/>
  <c r="Y173" i="15" s="1"/>
  <c r="AA170" i="15"/>
  <c r="Z170" i="15" s="1"/>
  <c r="Y170" i="15" s="1"/>
  <c r="G127" i="15"/>
  <c r="BX127" i="6" s="1"/>
  <c r="G229" i="15"/>
  <c r="BX229" i="6" s="1"/>
  <c r="AA377" i="15"/>
  <c r="Z377" i="15" s="1"/>
  <c r="Y377" i="15" s="1"/>
  <c r="AA35" i="15"/>
  <c r="Z35" i="15" s="1"/>
  <c r="Y35" i="15" s="1"/>
  <c r="G163" i="15"/>
  <c r="BX163" i="6" s="1"/>
  <c r="H121" i="15"/>
  <c r="J121" i="15" s="1"/>
  <c r="J229" i="15"/>
  <c r="H258" i="15"/>
  <c r="J258" i="15" s="1"/>
  <c r="AA163" i="15"/>
  <c r="Z163" i="15" s="1"/>
  <c r="Y163" i="15" s="1"/>
  <c r="AA223" i="15"/>
  <c r="Z223" i="15" s="1"/>
  <c r="Y223" i="15" s="1"/>
  <c r="I43" i="15"/>
  <c r="H43" i="16" s="1"/>
  <c r="J43" i="16" s="1"/>
  <c r="J170" i="15"/>
  <c r="G91" i="15"/>
  <c r="BX91" i="6" s="1"/>
  <c r="H235" i="15"/>
  <c r="I235" i="15" s="1"/>
  <c r="H235" i="16" s="1"/>
  <c r="H263" i="15"/>
  <c r="I263" i="15" s="1"/>
  <c r="H263" i="16" s="1"/>
  <c r="H173" i="15"/>
  <c r="I173" i="15" s="1"/>
  <c r="H173" i="16" s="1"/>
  <c r="H171" i="15"/>
  <c r="I171" i="15" s="1"/>
  <c r="H171" i="16" s="1"/>
  <c r="AA104" i="15"/>
  <c r="Z104" i="15" s="1"/>
  <c r="Y104" i="15" s="1"/>
  <c r="AA32" i="15"/>
  <c r="Z32" i="15" s="1"/>
  <c r="Y32" i="15" s="1"/>
  <c r="G195" i="15"/>
  <c r="BX195" i="6" s="1"/>
  <c r="G160" i="15"/>
  <c r="BX160" i="6" s="1"/>
  <c r="AA38" i="15"/>
  <c r="Z38" i="15" s="1"/>
  <c r="Y38" i="15" s="1"/>
  <c r="H314" i="15"/>
  <c r="J314" i="15" s="1"/>
  <c r="H71" i="15"/>
  <c r="I71" i="15" s="1"/>
  <c r="H71" i="16" s="1"/>
  <c r="AA300" i="15"/>
  <c r="Z300" i="15" s="1"/>
  <c r="Y300" i="15" s="1"/>
  <c r="AA144" i="15"/>
  <c r="Z144" i="15" s="1"/>
  <c r="Y144" i="15" s="1"/>
  <c r="G238" i="15"/>
  <c r="BX238" i="6" s="1"/>
  <c r="G157" i="15"/>
  <c r="BX157" i="6" s="1"/>
  <c r="G146" i="15"/>
  <c r="BX146" i="6" s="1"/>
  <c r="H82" i="15"/>
  <c r="J82" i="15" s="1"/>
  <c r="H124" i="15"/>
  <c r="I124" i="15" s="1"/>
  <c r="H124" i="16" s="1"/>
  <c r="AA282" i="15"/>
  <c r="Z282" i="15" s="1"/>
  <c r="Y282" i="15" s="1"/>
  <c r="AA124" i="15"/>
  <c r="Z124" i="15" s="1"/>
  <c r="Y124" i="15" s="1"/>
  <c r="G374" i="15"/>
  <c r="BX374" i="6" s="1"/>
  <c r="AA251" i="15"/>
  <c r="Z251" i="15" s="1"/>
  <c r="Y251" i="15" s="1"/>
  <c r="G215" i="15"/>
  <c r="BX215" i="6" s="1"/>
  <c r="AA59" i="15"/>
  <c r="Z59" i="15" s="1"/>
  <c r="Y59" i="15" s="1"/>
  <c r="AA262" i="15"/>
  <c r="Z262" i="15" s="1"/>
  <c r="Y262" i="15" s="1"/>
  <c r="AA127" i="15"/>
  <c r="Z127" i="15" s="1"/>
  <c r="Y127" i="15" s="1"/>
  <c r="AA42" i="15"/>
  <c r="Z42" i="15" s="1"/>
  <c r="Y42" i="15" s="1"/>
  <c r="AA200" i="15"/>
  <c r="Z200" i="15" s="1"/>
  <c r="Y200" i="15" s="1"/>
  <c r="AA24" i="1"/>
  <c r="Z24" i="1" s="1"/>
  <c r="Y24" i="1" s="1"/>
  <c r="AA313" i="15"/>
  <c r="Z313" i="15" s="1"/>
  <c r="Y313" i="15" s="1"/>
  <c r="AA110" i="1"/>
  <c r="Z110" i="1" s="1"/>
  <c r="Y110" i="1" s="1"/>
  <c r="H313" i="15"/>
  <c r="I313" i="15" s="1"/>
  <c r="H313" i="16" s="1"/>
  <c r="I313" i="16" s="1"/>
  <c r="AA236" i="1"/>
  <c r="Z236" i="1" s="1"/>
  <c r="Y236" i="1" s="1"/>
  <c r="AA97" i="1"/>
  <c r="Z97" i="1" s="1"/>
  <c r="Y97" i="1" s="1"/>
  <c r="AA224" i="1"/>
  <c r="Z224" i="1" s="1"/>
  <c r="Y224" i="1" s="1"/>
  <c r="G374" i="1"/>
  <c r="BW374" i="6" s="1"/>
  <c r="AA374" i="1"/>
  <c r="Z374" i="1" s="1"/>
  <c r="Y374" i="1" s="1"/>
  <c r="I374" i="1"/>
  <c r="H374" i="15" s="1"/>
  <c r="I374" i="15" s="1"/>
  <c r="H374" i="16" s="1"/>
  <c r="I374" i="16" s="1"/>
  <c r="AA125" i="1"/>
  <c r="Z125" i="1" s="1"/>
  <c r="Y125" i="1" s="1"/>
  <c r="H80" i="15"/>
  <c r="J80" i="15" s="1"/>
  <c r="AA80" i="15"/>
  <c r="Z80" i="15" s="1"/>
  <c r="Y80" i="15" s="1"/>
  <c r="G275" i="15"/>
  <c r="BX275" i="6" s="1"/>
  <c r="AA275" i="15"/>
  <c r="Z275" i="15" s="1"/>
  <c r="Y275" i="15" s="1"/>
  <c r="H199" i="15"/>
  <c r="I199" i="15" s="1"/>
  <c r="H199" i="16" s="1"/>
  <c r="AA199" i="15"/>
  <c r="Z199" i="15" s="1"/>
  <c r="Y199" i="15" s="1"/>
  <c r="H33" i="15"/>
  <c r="G33" i="15"/>
  <c r="BX33" i="6" s="1"/>
  <c r="AA148" i="15"/>
  <c r="Z148" i="15" s="1"/>
  <c r="Y148" i="15" s="1"/>
  <c r="AA126" i="1"/>
  <c r="Z126" i="1" s="1"/>
  <c r="Y126" i="1" s="1"/>
  <c r="H209" i="15"/>
  <c r="I209" i="15" s="1"/>
  <c r="H209" i="16" s="1"/>
  <c r="AA209" i="15"/>
  <c r="Z209" i="15" s="1"/>
  <c r="Y209" i="15" s="1"/>
  <c r="G264" i="15"/>
  <c r="BX264" i="6" s="1"/>
  <c r="H264" i="15"/>
  <c r="J264" i="15" s="1"/>
  <c r="H192" i="15"/>
  <c r="AA192" i="15"/>
  <c r="Z192" i="15" s="1"/>
  <c r="Y192" i="15" s="1"/>
  <c r="G192" i="15"/>
  <c r="BX192" i="6" s="1"/>
  <c r="I304" i="1"/>
  <c r="H304" i="15" s="1"/>
  <c r="I304" i="15" s="1"/>
  <c r="H304" i="16" s="1"/>
  <c r="AA304" i="1"/>
  <c r="Z304" i="1" s="1"/>
  <c r="Y304" i="1" s="1"/>
  <c r="G339" i="1"/>
  <c r="BW339" i="6" s="1"/>
  <c r="AA339" i="1"/>
  <c r="Z339" i="1" s="1"/>
  <c r="Y339" i="1" s="1"/>
  <c r="G179" i="15"/>
  <c r="BX179" i="6" s="1"/>
  <c r="AA179" i="15"/>
  <c r="Z179" i="15" s="1"/>
  <c r="Y179" i="15" s="1"/>
  <c r="I366" i="1"/>
  <c r="H366" i="15" s="1"/>
  <c r="AA366" i="1"/>
  <c r="Z366" i="1" s="1"/>
  <c r="Y366" i="1" s="1"/>
  <c r="I345" i="1"/>
  <c r="H345" i="15" s="1"/>
  <c r="AA345" i="1"/>
  <c r="Z345" i="1" s="1"/>
  <c r="Y345" i="1" s="1"/>
  <c r="AA368" i="1"/>
  <c r="Z368" i="1" s="1"/>
  <c r="Y368" i="1" s="1"/>
  <c r="AA98" i="1"/>
  <c r="Z98" i="1" s="1"/>
  <c r="Y98" i="1" s="1"/>
  <c r="AA101" i="15"/>
  <c r="Z101" i="15" s="1"/>
  <c r="Y101" i="15" s="1"/>
  <c r="AA48" i="1"/>
  <c r="Z48" i="1" s="1"/>
  <c r="Y48" i="1" s="1"/>
  <c r="AA307" i="1"/>
  <c r="Z307" i="1" s="1"/>
  <c r="Y307" i="1" s="1"/>
  <c r="AA157" i="1"/>
  <c r="Z157" i="1" s="1"/>
  <c r="Y157" i="1" s="1"/>
  <c r="AA161" i="1"/>
  <c r="Z161" i="1" s="1"/>
  <c r="Y161" i="1" s="1"/>
  <c r="AA290" i="15"/>
  <c r="Z290" i="15" s="1"/>
  <c r="Y290" i="15" s="1"/>
  <c r="H320" i="15"/>
  <c r="J320" i="15" s="1"/>
  <c r="AA61" i="15"/>
  <c r="Z61" i="15" s="1"/>
  <c r="Y61" i="15" s="1"/>
  <c r="AA155" i="1"/>
  <c r="Z155" i="1" s="1"/>
  <c r="Y155" i="1" s="1"/>
  <c r="AA315" i="1"/>
  <c r="Z315" i="1" s="1"/>
  <c r="Y315" i="1" s="1"/>
  <c r="AA208" i="15"/>
  <c r="Z208" i="15" s="1"/>
  <c r="Y208" i="15" s="1"/>
  <c r="AA160" i="15"/>
  <c r="Z160" i="15" s="1"/>
  <c r="Y160" i="15" s="1"/>
  <c r="AA134" i="1"/>
  <c r="Z134" i="1" s="1"/>
  <c r="Y134" i="1" s="1"/>
  <c r="AA117" i="1"/>
  <c r="Z117" i="1" s="1"/>
  <c r="Y117" i="1" s="1"/>
  <c r="AA57" i="15"/>
  <c r="Z57" i="15" s="1"/>
  <c r="Y57" i="15" s="1"/>
  <c r="AA67" i="15"/>
  <c r="Z67" i="15" s="1"/>
  <c r="Y67" i="15" s="1"/>
  <c r="AA240" i="1"/>
  <c r="Z240" i="1" s="1"/>
  <c r="Y240" i="1" s="1"/>
  <c r="AA357" i="1"/>
  <c r="Z357" i="1" s="1"/>
  <c r="Y357" i="1" s="1"/>
  <c r="AA35" i="1"/>
  <c r="Z35" i="1" s="1"/>
  <c r="Y35" i="1" s="1"/>
  <c r="AA199" i="1"/>
  <c r="Z199" i="1" s="1"/>
  <c r="Y199" i="1" s="1"/>
  <c r="H334" i="15"/>
  <c r="J334" i="15" s="1"/>
  <c r="AA265" i="1"/>
  <c r="Z265" i="1" s="1"/>
  <c r="Y265" i="1" s="1"/>
  <c r="H377" i="15"/>
  <c r="J377" i="15" s="1"/>
  <c r="AA234" i="15"/>
  <c r="Z234" i="15" s="1"/>
  <c r="Y234" i="15" s="1"/>
  <c r="AA151" i="1"/>
  <c r="Z151" i="1" s="1"/>
  <c r="Y151" i="1" s="1"/>
  <c r="AA328" i="15"/>
  <c r="Z328" i="15" s="1"/>
  <c r="Y328" i="15" s="1"/>
  <c r="H328" i="15"/>
  <c r="J328" i="15" s="1"/>
  <c r="AA70" i="1"/>
  <c r="Z70" i="1" s="1"/>
  <c r="Y70" i="1" s="1"/>
  <c r="H340" i="15"/>
  <c r="I340" i="15" s="1"/>
  <c r="H340" i="16" s="1"/>
  <c r="AA130" i="15"/>
  <c r="Z130" i="15" s="1"/>
  <c r="Y130" i="15" s="1"/>
  <c r="AA316" i="15"/>
  <c r="Z316" i="15" s="1"/>
  <c r="Y316" i="15" s="1"/>
  <c r="AA141" i="1"/>
  <c r="Z141" i="1" s="1"/>
  <c r="Y141" i="1" s="1"/>
  <c r="AA359" i="15"/>
  <c r="Z359" i="15" s="1"/>
  <c r="Y359" i="15" s="1"/>
  <c r="AA115" i="1"/>
  <c r="Z115" i="1" s="1"/>
  <c r="Y115" i="1" s="1"/>
  <c r="AA220" i="1"/>
  <c r="Z220" i="1" s="1"/>
  <c r="Y220" i="1" s="1"/>
  <c r="AA94" i="15"/>
  <c r="Z94" i="15" s="1"/>
  <c r="Y94" i="15" s="1"/>
  <c r="U67" i="17"/>
  <c r="T67" i="17" s="1"/>
  <c r="S67" i="17" s="1"/>
  <c r="R67" i="17" s="1"/>
  <c r="U101" i="17"/>
  <c r="T101" i="17" s="1"/>
  <c r="S101" i="17" s="1"/>
  <c r="R101" i="17" s="1"/>
  <c r="U260" i="17"/>
  <c r="T260" i="17" s="1"/>
  <c r="S260" i="17" s="1"/>
  <c r="R260" i="17" s="1"/>
  <c r="U24" i="17"/>
  <c r="T24" i="17" s="1"/>
  <c r="S24" i="17" s="1"/>
  <c r="R24" i="17" s="1"/>
  <c r="U321" i="17"/>
  <c r="T321" i="17" s="1"/>
  <c r="S321" i="17" s="1"/>
  <c r="R321" i="17" s="1"/>
  <c r="U316" i="17"/>
  <c r="T316" i="17" s="1"/>
  <c r="S316" i="17" s="1"/>
  <c r="R316" i="17" s="1"/>
  <c r="U32" i="17"/>
  <c r="T32" i="17" s="1"/>
  <c r="S32" i="17" s="1"/>
  <c r="R32" i="17" s="1"/>
  <c r="U317" i="17"/>
  <c r="T317" i="17" s="1"/>
  <c r="S317" i="17" s="1"/>
  <c r="R317" i="17" s="1"/>
  <c r="U231" i="17"/>
  <c r="T231" i="17" s="1"/>
  <c r="S231" i="17" s="1"/>
  <c r="R231" i="17" s="1"/>
  <c r="U81" i="17"/>
  <c r="T81" i="17" s="1"/>
  <c r="S81" i="17" s="1"/>
  <c r="R81" i="17" s="1"/>
  <c r="U28" i="17"/>
  <c r="T28" i="17" s="1"/>
  <c r="S28" i="17" s="1"/>
  <c r="R28" i="17" s="1"/>
  <c r="U174" i="17"/>
  <c r="T174" i="17" s="1"/>
  <c r="S174" i="17" s="1"/>
  <c r="R174" i="17" s="1"/>
  <c r="U333" i="17"/>
  <c r="T333" i="17" s="1"/>
  <c r="S333" i="17" s="1"/>
  <c r="R333" i="17" s="1"/>
  <c r="U343" i="17"/>
  <c r="T343" i="17" s="1"/>
  <c r="S343" i="17" s="1"/>
  <c r="R343" i="17" s="1"/>
  <c r="U225" i="17"/>
  <c r="T225" i="17" s="1"/>
  <c r="S225" i="17" s="1"/>
  <c r="R225" i="17" s="1"/>
  <c r="U17" i="17"/>
  <c r="T17" i="17" s="1"/>
  <c r="S17" i="17" s="1"/>
  <c r="R17" i="17" s="1"/>
  <c r="U96" i="17"/>
  <c r="T96" i="17" s="1"/>
  <c r="S96" i="17" s="1"/>
  <c r="R96" i="17" s="1"/>
  <c r="U221" i="17"/>
  <c r="T221" i="17" s="1"/>
  <c r="S221" i="17" s="1"/>
  <c r="R221" i="17" s="1"/>
  <c r="U372" i="17"/>
  <c r="T372" i="17" s="1"/>
  <c r="S372" i="17" s="1"/>
  <c r="R372" i="17" s="1"/>
  <c r="U72" i="17"/>
  <c r="T72" i="17" s="1"/>
  <c r="S72" i="17" s="1"/>
  <c r="R72" i="17" s="1"/>
  <c r="U202" i="17"/>
  <c r="T202" i="17" s="1"/>
  <c r="S202" i="17" s="1"/>
  <c r="R202" i="17" s="1"/>
  <c r="U235" i="17"/>
  <c r="T235" i="17" s="1"/>
  <c r="S235" i="17" s="1"/>
  <c r="R235" i="17" s="1"/>
  <c r="U54" i="17"/>
  <c r="T54" i="17" s="1"/>
  <c r="S54" i="17" s="1"/>
  <c r="R54" i="17" s="1"/>
  <c r="U290" i="17"/>
  <c r="T290" i="17" s="1"/>
  <c r="S290" i="17" s="1"/>
  <c r="R290" i="17" s="1"/>
  <c r="U367" i="17"/>
  <c r="T367" i="17" s="1"/>
  <c r="S367" i="17" s="1"/>
  <c r="R367" i="17" s="1"/>
  <c r="U377" i="17"/>
  <c r="T377" i="17" s="1"/>
  <c r="S377" i="17" s="1"/>
  <c r="R377" i="17" s="1"/>
  <c r="U267" i="17"/>
  <c r="T267" i="17" s="1"/>
  <c r="S267" i="17" s="1"/>
  <c r="R267" i="17" s="1"/>
  <c r="U141" i="17"/>
  <c r="T141" i="17" s="1"/>
  <c r="S141" i="17" s="1"/>
  <c r="R141" i="17" s="1"/>
  <c r="U148" i="17"/>
  <c r="T148" i="17" s="1"/>
  <c r="S148" i="17" s="1"/>
  <c r="R148" i="17" s="1"/>
  <c r="U255" i="17"/>
  <c r="T255" i="17" s="1"/>
  <c r="S255" i="17" s="1"/>
  <c r="R255" i="17" s="1"/>
  <c r="U41" i="17"/>
  <c r="T41" i="17" s="1"/>
  <c r="S41" i="17" s="1"/>
  <c r="R41" i="17" s="1"/>
  <c r="U140" i="17"/>
  <c r="T140" i="17" s="1"/>
  <c r="S140" i="17" s="1"/>
  <c r="R140" i="17" s="1"/>
  <c r="U286" i="17"/>
  <c r="T286" i="17" s="1"/>
  <c r="S286" i="17" s="1"/>
  <c r="R286" i="17" s="1"/>
  <c r="U293" i="17"/>
  <c r="T293" i="17" s="1"/>
  <c r="S293" i="17" s="1"/>
  <c r="R293" i="17" s="1"/>
  <c r="U143" i="17"/>
  <c r="T143" i="17" s="1"/>
  <c r="S143" i="17" s="1"/>
  <c r="R143" i="17" s="1"/>
  <c r="U25" i="17"/>
  <c r="T25" i="17" s="1"/>
  <c r="S25" i="17" s="1"/>
  <c r="R25" i="17" s="1"/>
  <c r="U43" i="17"/>
  <c r="T43" i="17" s="1"/>
  <c r="S43" i="17" s="1"/>
  <c r="R43" i="17" s="1"/>
  <c r="U272" i="17"/>
  <c r="T272" i="17" s="1"/>
  <c r="S272" i="17" s="1"/>
  <c r="R272" i="17" s="1"/>
  <c r="U322" i="17"/>
  <c r="T322" i="17" s="1"/>
  <c r="S322" i="17" s="1"/>
  <c r="R322" i="17" s="1"/>
  <c r="U287" i="17"/>
  <c r="T287" i="17" s="1"/>
  <c r="S287" i="17" s="1"/>
  <c r="R287" i="17" s="1"/>
  <c r="U248" i="17"/>
  <c r="T248" i="17" s="1"/>
  <c r="S248" i="17" s="1"/>
  <c r="R248" i="17" s="1"/>
  <c r="U314" i="17"/>
  <c r="T314" i="17" s="1"/>
  <c r="S314" i="17" s="1"/>
  <c r="R314" i="17" s="1"/>
  <c r="U291" i="17"/>
  <c r="T291" i="17" s="1"/>
  <c r="S291" i="17" s="1"/>
  <c r="R291" i="17" s="1"/>
  <c r="U197" i="17"/>
  <c r="T197" i="17" s="1"/>
  <c r="S197" i="17" s="1"/>
  <c r="R197" i="17" s="1"/>
  <c r="U47" i="17"/>
  <c r="T47" i="17" s="1"/>
  <c r="S47" i="17" s="1"/>
  <c r="R47" i="17" s="1"/>
  <c r="U326" i="17"/>
  <c r="T326" i="17" s="1"/>
  <c r="S326" i="17" s="1"/>
  <c r="R326" i="17" s="1"/>
  <c r="G189" i="15"/>
  <c r="BX189" i="6" s="1"/>
  <c r="H189" i="15"/>
  <c r="AA189" i="15"/>
  <c r="Z189" i="15" s="1"/>
  <c r="Y189" i="15" s="1"/>
  <c r="H329" i="15"/>
  <c r="J329" i="15" s="1"/>
  <c r="I315" i="1"/>
  <c r="H315" i="15" s="1"/>
  <c r="I315" i="15" s="1"/>
  <c r="H315" i="16" s="1"/>
  <c r="G213" i="15"/>
  <c r="BX213" i="6" s="1"/>
  <c r="H30" i="16"/>
  <c r="I30" i="16" s="1"/>
  <c r="AA183" i="15"/>
  <c r="Z183" i="15" s="1"/>
  <c r="Y183" i="15" s="1"/>
  <c r="AA121" i="15"/>
  <c r="Z121" i="15" s="1"/>
  <c r="Y121" i="15" s="1"/>
  <c r="AA215" i="15"/>
  <c r="Z215" i="15" s="1"/>
  <c r="Y215" i="15" s="1"/>
  <c r="AA340" i="1"/>
  <c r="Z340" i="1" s="1"/>
  <c r="Y340" i="1" s="1"/>
  <c r="AA361" i="15"/>
  <c r="Z361" i="15" s="1"/>
  <c r="Y361" i="15" s="1"/>
  <c r="I317" i="1"/>
  <c r="H317" i="15" s="1"/>
  <c r="I317" i="15" s="1"/>
  <c r="H317" i="16" s="1"/>
  <c r="AA216" i="15"/>
  <c r="Z216" i="15" s="1"/>
  <c r="Y216" i="15" s="1"/>
  <c r="G355" i="1"/>
  <c r="BW355" i="6" s="1"/>
  <c r="AA187" i="15"/>
  <c r="Z187" i="15" s="1"/>
  <c r="Y187" i="15" s="1"/>
  <c r="AA327" i="15"/>
  <c r="Z327" i="15" s="1"/>
  <c r="Y327" i="15" s="1"/>
  <c r="AA17" i="1"/>
  <c r="Z17" i="1" s="1"/>
  <c r="Y17" i="1" s="1"/>
  <c r="AA252" i="1"/>
  <c r="Z252" i="1" s="1"/>
  <c r="Y252" i="1" s="1"/>
  <c r="I339" i="1"/>
  <c r="H339" i="15" s="1"/>
  <c r="I339" i="15" s="1"/>
  <c r="G357" i="1"/>
  <c r="BW357" i="6" s="1"/>
  <c r="AA372" i="1"/>
  <c r="Z372" i="1" s="1"/>
  <c r="Y372" i="1" s="1"/>
  <c r="G170" i="15"/>
  <c r="BX170" i="6" s="1"/>
  <c r="AA313" i="1"/>
  <c r="Z313" i="1" s="1"/>
  <c r="Y313" i="1" s="1"/>
  <c r="G151" i="15"/>
  <c r="BX151" i="6" s="1"/>
  <c r="G35" i="15"/>
  <c r="BX35" i="6" s="1"/>
  <c r="G53" i="15"/>
  <c r="BX53" i="6" s="1"/>
  <c r="H138" i="15"/>
  <c r="I138" i="15" s="1"/>
  <c r="H138" i="16" s="1"/>
  <c r="I138" i="16" s="1"/>
  <c r="H327" i="15"/>
  <c r="I327" i="15" s="1"/>
  <c r="H327" i="16" s="1"/>
  <c r="H59" i="15"/>
  <c r="J59" i="15" s="1"/>
  <c r="H179" i="15"/>
  <c r="I179" i="15" s="1"/>
  <c r="H179" i="16" s="1"/>
  <c r="I179" i="16" s="1"/>
  <c r="V60" i="15"/>
  <c r="F60" i="15" s="1"/>
  <c r="G60" i="15" s="1"/>
  <c r="BX60" i="6" s="1"/>
  <c r="AA370" i="1"/>
  <c r="Z370" i="1" s="1"/>
  <c r="Y370" i="1" s="1"/>
  <c r="H221" i="15"/>
  <c r="I221" i="15" s="1"/>
  <c r="H221" i="16" s="1"/>
  <c r="I221" i="16" s="1"/>
  <c r="AA221" i="15"/>
  <c r="Z221" i="15" s="1"/>
  <c r="Y221" i="15" s="1"/>
  <c r="AA377" i="1"/>
  <c r="Z377" i="1" s="1"/>
  <c r="Y377" i="1" s="1"/>
  <c r="AA258" i="15"/>
  <c r="Z258" i="15" s="1"/>
  <c r="Y258" i="15" s="1"/>
  <c r="AA346" i="15"/>
  <c r="Z346" i="15" s="1"/>
  <c r="Y346" i="15" s="1"/>
  <c r="AA201" i="1"/>
  <c r="Z201" i="1" s="1"/>
  <c r="Y201" i="1" s="1"/>
  <c r="AA247" i="1"/>
  <c r="Z247" i="1" s="1"/>
  <c r="Y247" i="1" s="1"/>
  <c r="AA297" i="1"/>
  <c r="Z297" i="1" s="1"/>
  <c r="Y297" i="1" s="1"/>
  <c r="AA215" i="1"/>
  <c r="Z215" i="1" s="1"/>
  <c r="Y215" i="1" s="1"/>
  <c r="AA334" i="1"/>
  <c r="Z334" i="1" s="1"/>
  <c r="Y334" i="1" s="1"/>
  <c r="AA93" i="1"/>
  <c r="Z93" i="1" s="1"/>
  <c r="Y93" i="1" s="1"/>
  <c r="AA23" i="1"/>
  <c r="Z23" i="1" s="1"/>
  <c r="Y23" i="1" s="1"/>
  <c r="AA101" i="1"/>
  <c r="Z101" i="1" s="1"/>
  <c r="Y101" i="1" s="1"/>
  <c r="AA67" i="1"/>
  <c r="Z67" i="1" s="1"/>
  <c r="Y67" i="1" s="1"/>
  <c r="AA73" i="1"/>
  <c r="Z73" i="1" s="1"/>
  <c r="Y73" i="1" s="1"/>
  <c r="AA78" i="15"/>
  <c r="Z78" i="15" s="1"/>
  <c r="Y78" i="15" s="1"/>
  <c r="AA271" i="15"/>
  <c r="Z271" i="15" s="1"/>
  <c r="Y271" i="15" s="1"/>
  <c r="AA156" i="1"/>
  <c r="Z156" i="1" s="1"/>
  <c r="Y156" i="1" s="1"/>
  <c r="G304" i="1"/>
  <c r="BW304" i="6" s="1"/>
  <c r="AA98" i="15"/>
  <c r="Z98" i="15" s="1"/>
  <c r="Y98" i="15" s="1"/>
  <c r="AA75" i="15"/>
  <c r="Z75" i="15" s="1"/>
  <c r="Y75" i="15" s="1"/>
  <c r="AA153" i="15"/>
  <c r="Z153" i="15" s="1"/>
  <c r="Y153" i="15" s="1"/>
  <c r="AA271" i="1"/>
  <c r="Z271" i="1" s="1"/>
  <c r="Y271" i="1" s="1"/>
  <c r="AA57" i="1"/>
  <c r="Z57" i="1" s="1"/>
  <c r="Y57" i="1" s="1"/>
  <c r="AA266" i="1"/>
  <c r="Z266" i="1" s="1"/>
  <c r="Y266" i="1" s="1"/>
  <c r="AA24" i="15"/>
  <c r="Z24" i="15" s="1"/>
  <c r="Y24" i="15" s="1"/>
  <c r="AA286" i="15"/>
  <c r="Z286" i="15" s="1"/>
  <c r="Y286" i="15" s="1"/>
  <c r="AA285" i="1"/>
  <c r="Z285" i="1" s="1"/>
  <c r="Y285" i="1" s="1"/>
  <c r="AA230" i="1"/>
  <c r="Z230" i="1" s="1"/>
  <c r="Y230" i="1" s="1"/>
  <c r="H42" i="15"/>
  <c r="G42" i="15"/>
  <c r="BX42" i="6" s="1"/>
  <c r="H126" i="15"/>
  <c r="G126" i="15"/>
  <c r="BX126" i="6" s="1"/>
  <c r="H36" i="15"/>
  <c r="G36" i="15"/>
  <c r="BX36" i="6" s="1"/>
  <c r="AA373" i="15"/>
  <c r="Z373" i="15" s="1"/>
  <c r="Y373" i="15" s="1"/>
  <c r="AA106" i="15"/>
  <c r="Z106" i="15" s="1"/>
  <c r="Y106" i="15" s="1"/>
  <c r="AA329" i="15"/>
  <c r="Z329" i="15" s="1"/>
  <c r="Y329" i="15" s="1"/>
  <c r="O110" i="22"/>
  <c r="O83" i="22"/>
  <c r="O40" i="22"/>
  <c r="O76" i="22"/>
  <c r="O32" i="22"/>
  <c r="O122" i="22"/>
  <c r="O68" i="22"/>
  <c r="O63" i="22"/>
  <c r="O65" i="22"/>
  <c r="O109" i="22"/>
  <c r="O19" i="22"/>
  <c r="O106" i="22"/>
  <c r="O100" i="22"/>
  <c r="O120" i="22"/>
  <c r="O84" i="22"/>
  <c r="O97" i="22"/>
  <c r="O59" i="22"/>
  <c r="O45" i="22"/>
  <c r="O112" i="22"/>
  <c r="O41" i="22"/>
  <c r="O54" i="22"/>
  <c r="O95" i="22"/>
  <c r="O48" i="22"/>
  <c r="O77" i="22"/>
  <c r="O28" i="22"/>
  <c r="O56" i="22"/>
  <c r="O119" i="22"/>
  <c r="AG35" i="7" s="1"/>
  <c r="O134" i="22"/>
  <c r="O39" i="22"/>
  <c r="O69" i="22"/>
  <c r="O46" i="22"/>
  <c r="O66" i="22"/>
  <c r="O67" i="22"/>
  <c r="O55" i="22"/>
  <c r="O96" i="22"/>
  <c r="O43" i="22"/>
  <c r="O91" i="22"/>
  <c r="O92" i="22"/>
  <c r="O133" i="22"/>
  <c r="O49" i="22"/>
  <c r="O82" i="22"/>
  <c r="O115" i="22"/>
  <c r="O131" i="22"/>
  <c r="O42" i="22"/>
  <c r="O127" i="22"/>
  <c r="O33" i="22"/>
  <c r="O102" i="22"/>
  <c r="O93" i="22"/>
  <c r="O34" i="22"/>
  <c r="O125" i="22"/>
  <c r="O38" i="22"/>
  <c r="O44" i="22"/>
  <c r="O98" i="22"/>
  <c r="O64" i="22"/>
  <c r="O121" i="22"/>
  <c r="O35" i="22"/>
  <c r="O130" i="22"/>
  <c r="O72" i="22"/>
  <c r="O88" i="22"/>
  <c r="AG34" i="7" s="1"/>
  <c r="O31" i="22"/>
  <c r="O126" i="22"/>
  <c r="O113" i="22"/>
  <c r="O101" i="22"/>
  <c r="O85" i="22"/>
  <c r="O75" i="22"/>
  <c r="O36" i="22"/>
  <c r="O129" i="22"/>
  <c r="O29" i="22"/>
  <c r="AG32" i="7" s="1"/>
  <c r="O74" i="22"/>
  <c r="O62" i="22"/>
  <c r="O123" i="22"/>
  <c r="O23" i="22"/>
  <c r="O80" i="22"/>
  <c r="O24" i="22"/>
  <c r="O47" i="22"/>
  <c r="O124" i="22"/>
  <c r="O114" i="22"/>
  <c r="O15" i="22"/>
  <c r="O61" i="22"/>
  <c r="O89" i="22"/>
  <c r="O18" i="22"/>
  <c r="O86" i="22"/>
  <c r="O81" i="22"/>
  <c r="O103" i="22"/>
  <c r="O70" i="22"/>
  <c r="O26" i="22"/>
  <c r="O52" i="22"/>
  <c r="O107" i="22"/>
  <c r="O20" i="22"/>
  <c r="O27" i="22"/>
  <c r="O117" i="22"/>
  <c r="O105" i="22"/>
  <c r="O16" i="22"/>
  <c r="O22" i="22"/>
  <c r="O116" i="22"/>
  <c r="O51" i="22"/>
  <c r="O128" i="22"/>
  <c r="O57" i="22"/>
  <c r="O94" i="22"/>
  <c r="O58" i="22"/>
  <c r="O50" i="22"/>
  <c r="O90" i="22"/>
  <c r="O78" i="22"/>
  <c r="O118" i="22"/>
  <c r="O111" i="22"/>
  <c r="O53" i="22"/>
  <c r="O30" i="22"/>
  <c r="O73" i="22"/>
  <c r="O60" i="22"/>
  <c r="AG33" i="7" s="1"/>
  <c r="O104" i="22"/>
  <c r="O99" i="22"/>
  <c r="O25" i="22"/>
  <c r="O79" i="22"/>
  <c r="O87" i="22"/>
  <c r="O132" i="22"/>
  <c r="O17" i="22"/>
  <c r="O108" i="22"/>
  <c r="O37" i="22"/>
  <c r="O71" i="22"/>
  <c r="L40" i="19"/>
  <c r="O21" i="22"/>
  <c r="O299" i="22"/>
  <c r="O353" i="22"/>
  <c r="O356" i="22"/>
  <c r="O166" i="22"/>
  <c r="O151" i="22"/>
  <c r="O351" i="22"/>
  <c r="O346" i="22"/>
  <c r="O186" i="22"/>
  <c r="O285" i="22"/>
  <c r="O274" i="22"/>
  <c r="O313" i="22"/>
  <c r="O191" i="22"/>
  <c r="O227" i="22"/>
  <c r="O372" i="22"/>
  <c r="O307" i="22"/>
  <c r="O153" i="22"/>
  <c r="O317" i="22"/>
  <c r="O219" i="22"/>
  <c r="O379" i="22"/>
  <c r="C41" i="19" s="1"/>
  <c r="O139" i="22"/>
  <c r="O211" i="22"/>
  <c r="O254" i="22"/>
  <c r="O282" i="22"/>
  <c r="O187" i="22"/>
  <c r="O359" i="22"/>
  <c r="O284" i="22"/>
  <c r="O272" i="22"/>
  <c r="AG40" i="7" s="1"/>
  <c r="O136" i="22"/>
  <c r="O328" i="22"/>
  <c r="O148" i="22"/>
  <c r="O224" i="22"/>
  <c r="O344" i="22"/>
  <c r="O205" i="22"/>
  <c r="O209" i="22"/>
  <c r="O355" i="22"/>
  <c r="O287" i="22"/>
  <c r="O357" i="22"/>
  <c r="O200" i="22"/>
  <c r="O335" i="22"/>
  <c r="O306" i="22"/>
  <c r="O334" i="22"/>
  <c r="O165" i="22"/>
  <c r="O320" i="22"/>
  <c r="O249" i="22"/>
  <c r="O273" i="22"/>
  <c r="O332" i="22"/>
  <c r="O218" i="22"/>
  <c r="O202" i="22"/>
  <c r="O198" i="22"/>
  <c r="O173" i="22"/>
  <c r="AM13" i="7"/>
  <c r="AS10" i="7" s="1"/>
  <c r="O160" i="22"/>
  <c r="O216" i="22"/>
  <c r="O271" i="22"/>
  <c r="O150" i="22"/>
  <c r="O217" i="22"/>
  <c r="O358" i="22"/>
  <c r="O182" i="22"/>
  <c r="O236" i="22"/>
  <c r="O298" i="22"/>
  <c r="O343" i="22"/>
  <c r="O184" i="22"/>
  <c r="O262" i="22"/>
  <c r="O149" i="22"/>
  <c r="AG36" i="7" s="1"/>
  <c r="O193" i="22"/>
  <c r="O314" i="22"/>
  <c r="O228" i="22"/>
  <c r="O362" i="22"/>
  <c r="O140" i="22"/>
  <c r="O258" i="22"/>
  <c r="O293" i="22"/>
  <c r="O330" i="22"/>
  <c r="O369" i="22"/>
  <c r="O256" i="22"/>
  <c r="O158" i="22"/>
  <c r="O290" i="22"/>
  <c r="O168" i="22"/>
  <c r="O221" i="22"/>
  <c r="O331" i="22"/>
  <c r="O197" i="22"/>
  <c r="O225" i="22"/>
  <c r="O364" i="22"/>
  <c r="O177" i="22"/>
  <c r="O159" i="22"/>
  <c r="O235" i="22"/>
  <c r="O312" i="22"/>
  <c r="O239" i="22"/>
  <c r="O279" i="22"/>
  <c r="O370" i="22"/>
  <c r="O144" i="22"/>
  <c r="O203" i="22"/>
  <c r="O257" i="22"/>
  <c r="O319" i="22"/>
  <c r="O291" i="22"/>
  <c r="O181" i="22"/>
  <c r="O234" i="22"/>
  <c r="O230" i="22"/>
  <c r="O138" i="22"/>
  <c r="O201" i="22"/>
  <c r="O305" i="22"/>
  <c r="O192" i="22"/>
  <c r="O223" i="22"/>
  <c r="O365" i="22"/>
  <c r="O378" i="22"/>
  <c r="O265" i="22"/>
  <c r="O204" i="22"/>
  <c r="O321" i="22"/>
  <c r="O366" i="22"/>
  <c r="O250" i="22"/>
  <c r="O243" i="22"/>
  <c r="O339" i="22"/>
  <c r="O233" i="22"/>
  <c r="O183" i="22"/>
  <c r="O176" i="22"/>
  <c r="O374" i="22"/>
  <c r="O324" i="22"/>
  <c r="O275" i="22"/>
  <c r="O248" i="22"/>
  <c r="O210" i="22"/>
  <c r="AG38" i="7" s="1"/>
  <c r="O190" i="22"/>
  <c r="O304" i="22"/>
  <c r="O188" i="22"/>
  <c r="O259" i="22"/>
  <c r="O220" i="22"/>
  <c r="O164" i="22"/>
  <c r="O337" i="22"/>
  <c r="O185" i="22"/>
  <c r="O196" i="22"/>
  <c r="O162" i="22"/>
  <c r="O352" i="22"/>
  <c r="O252" i="22"/>
  <c r="O241" i="22"/>
  <c r="AG39" i="7" s="1"/>
  <c r="O276" i="22"/>
  <c r="O161" i="22"/>
  <c r="O295" i="22"/>
  <c r="O340" i="22"/>
  <c r="O195" i="22"/>
  <c r="O143" i="22"/>
  <c r="O345" i="22"/>
  <c r="O286" i="22"/>
  <c r="O255" i="22"/>
  <c r="O145" i="22"/>
  <c r="O267" i="22"/>
  <c r="O171" i="22"/>
  <c r="O261" i="22"/>
  <c r="O212" i="22"/>
  <c r="O215" i="22"/>
  <c r="O194" i="22"/>
  <c r="O371" i="22"/>
  <c r="O244" i="22"/>
  <c r="O147" i="22"/>
  <c r="O377" i="22"/>
  <c r="O289" i="22"/>
  <c r="O297" i="22"/>
  <c r="O310" i="22"/>
  <c r="O137" i="22"/>
  <c r="O268" i="22"/>
  <c r="O232" i="22"/>
  <c r="O180" i="22"/>
  <c r="AG37" i="7" s="1"/>
  <c r="O238" i="22"/>
  <c r="O316" i="22"/>
  <c r="O175" i="22"/>
  <c r="O245" i="22"/>
  <c r="O303" i="22"/>
  <c r="O155" i="22"/>
  <c r="O207" i="22"/>
  <c r="O263" i="22"/>
  <c r="O329" i="22"/>
  <c r="O146" i="22"/>
  <c r="O296" i="22"/>
  <c r="O246" i="22"/>
  <c r="O270" i="22"/>
  <c r="O163" i="22"/>
  <c r="O214" i="22"/>
  <c r="O326" i="22"/>
  <c r="O141" i="22"/>
  <c r="O229" i="22"/>
  <c r="O367" i="22"/>
  <c r="O142" i="22"/>
  <c r="O199" i="22"/>
  <c r="O327" i="22"/>
  <c r="O240" i="22"/>
  <c r="O380" i="22"/>
  <c r="O156" i="22"/>
  <c r="O269" i="22"/>
  <c r="O309" i="22"/>
  <c r="O308" i="22"/>
  <c r="O354" i="22"/>
  <c r="O154" i="22"/>
  <c r="O206" i="22"/>
  <c r="O264" i="22"/>
  <c r="O361" i="22"/>
  <c r="O301" i="22"/>
  <c r="O348" i="22"/>
  <c r="O172" i="22"/>
  <c r="O169" i="22"/>
  <c r="O231" i="22"/>
  <c r="O288" i="22"/>
  <c r="O341" i="22"/>
  <c r="O247" i="22"/>
  <c r="O174" i="22"/>
  <c r="O302" i="22"/>
  <c r="AG41" i="7" s="1"/>
  <c r="O179" i="22"/>
  <c r="O368" i="22"/>
  <c r="O253" i="22"/>
  <c r="O350" i="22"/>
  <c r="O281" i="22"/>
  <c r="O315" i="22"/>
  <c r="O363" i="22"/>
  <c r="AG43" i="7" s="1"/>
  <c r="O152" i="22"/>
  <c r="O213" i="22"/>
  <c r="O360" i="22"/>
  <c r="O294" i="22"/>
  <c r="O373" i="22"/>
  <c r="O318" i="22"/>
  <c r="O325" i="22"/>
  <c r="O277" i="22"/>
  <c r="O178" i="22"/>
  <c r="O266" i="22"/>
  <c r="O237" i="22"/>
  <c r="O347" i="22"/>
  <c r="O167" i="22"/>
  <c r="O338" i="22"/>
  <c r="O157" i="22"/>
  <c r="O278" i="22"/>
  <c r="O349" i="22"/>
  <c r="O251" i="22"/>
  <c r="O375" i="22"/>
  <c r="O189" i="22"/>
  <c r="O283" i="22"/>
  <c r="O376" i="22"/>
  <c r="O333" i="22"/>
  <c r="AG42" i="7" s="1"/>
  <c r="O300" i="22"/>
  <c r="O135" i="22"/>
  <c r="O311" i="22"/>
  <c r="O222" i="22"/>
  <c r="O292" i="22"/>
  <c r="O342" i="22"/>
  <c r="O323" i="22"/>
  <c r="O280" i="22"/>
  <c r="O242" i="22"/>
  <c r="O336" i="22"/>
  <c r="O226" i="22"/>
  <c r="O170" i="22"/>
  <c r="O322" i="22"/>
  <c r="O208" i="22"/>
  <c r="O260" i="22"/>
  <c r="BG13" i="7"/>
  <c r="AA307" i="15"/>
  <c r="Z307" i="15" s="1"/>
  <c r="Y307" i="15" s="1"/>
  <c r="AA175" i="15"/>
  <c r="Z175" i="15" s="1"/>
  <c r="Y175" i="15" s="1"/>
  <c r="AA358" i="15"/>
  <c r="Z358" i="15" s="1"/>
  <c r="Y358" i="15" s="1"/>
  <c r="AA30" i="16"/>
  <c r="Z30" i="16" s="1"/>
  <c r="Y30" i="16" s="1"/>
  <c r="AA206" i="16"/>
  <c r="Z206" i="16" s="1"/>
  <c r="Y206" i="16" s="1"/>
  <c r="AA154" i="15"/>
  <c r="Z154" i="15" s="1"/>
  <c r="Y154" i="15" s="1"/>
  <c r="AA82" i="15"/>
  <c r="Z82" i="15" s="1"/>
  <c r="Y82" i="15" s="1"/>
  <c r="H91" i="15"/>
  <c r="I91" i="15" s="1"/>
  <c r="H91" i="16" s="1"/>
  <c r="AA375" i="15"/>
  <c r="Z375" i="15" s="1"/>
  <c r="Y375" i="15" s="1"/>
  <c r="AA213" i="15"/>
  <c r="Z213" i="15" s="1"/>
  <c r="Y213" i="15" s="1"/>
  <c r="G75" i="15"/>
  <c r="BX75" i="6" s="1"/>
  <c r="H300" i="15"/>
  <c r="I300" i="15" s="1"/>
  <c r="H300" i="16" s="1"/>
  <c r="AA52" i="15"/>
  <c r="Z52" i="15" s="1"/>
  <c r="Y52" i="15" s="1"/>
  <c r="AA278" i="15"/>
  <c r="Z278" i="15" s="1"/>
  <c r="Y278" i="15" s="1"/>
  <c r="AA244" i="15"/>
  <c r="Z244" i="15" s="1"/>
  <c r="Y244" i="15" s="1"/>
  <c r="H118" i="15"/>
  <c r="J118" i="15" s="1"/>
  <c r="AA71" i="15"/>
  <c r="Z71" i="15" s="1"/>
  <c r="Y71" i="15" s="1"/>
  <c r="H153" i="15"/>
  <c r="I153" i="15" s="1"/>
  <c r="H153" i="16" s="1"/>
  <c r="I371" i="1"/>
  <c r="H371" i="15" s="1"/>
  <c r="AA279" i="15"/>
  <c r="Z279" i="15" s="1"/>
  <c r="Y279" i="15" s="1"/>
  <c r="AA33" i="15"/>
  <c r="Z33" i="15" s="1"/>
  <c r="Y33" i="15" s="1"/>
  <c r="AA217" i="1"/>
  <c r="Z217" i="1" s="1"/>
  <c r="Y217" i="1" s="1"/>
  <c r="AA238" i="15"/>
  <c r="Z238" i="15" s="1"/>
  <c r="Y238" i="15" s="1"/>
  <c r="AA40" i="15"/>
  <c r="Z40" i="15" s="1"/>
  <c r="Y40" i="15" s="1"/>
  <c r="H370" i="15"/>
  <c r="I370" i="15" s="1"/>
  <c r="H370" i="16" s="1"/>
  <c r="J370" i="16" s="1"/>
  <c r="AA303" i="1"/>
  <c r="Z303" i="1" s="1"/>
  <c r="Y303" i="1" s="1"/>
  <c r="AA274" i="1"/>
  <c r="Z274" i="1" s="1"/>
  <c r="Y274" i="1" s="1"/>
  <c r="AA370" i="15"/>
  <c r="Z370" i="15" s="1"/>
  <c r="Y370" i="15" s="1"/>
  <c r="AA190" i="1"/>
  <c r="Z190" i="1" s="1"/>
  <c r="Y190" i="1" s="1"/>
  <c r="H96" i="15"/>
  <c r="I96" i="15" s="1"/>
  <c r="H96" i="16" s="1"/>
  <c r="J96" i="16" s="1"/>
  <c r="I303" i="1"/>
  <c r="H303" i="15" s="1"/>
  <c r="J303" i="15" s="1"/>
  <c r="H208" i="15"/>
  <c r="I208" i="15" s="1"/>
  <c r="H208" i="16" s="1"/>
  <c r="I208" i="16" s="1"/>
  <c r="H275" i="15"/>
  <c r="I275" i="15" s="1"/>
  <c r="H275" i="16" s="1"/>
  <c r="J275" i="16" s="1"/>
  <c r="G48" i="15"/>
  <c r="BX48" i="6" s="1"/>
  <c r="AA48" i="15"/>
  <c r="Z48" i="15" s="1"/>
  <c r="Y48" i="15" s="1"/>
  <c r="AA23" i="16"/>
  <c r="Z23" i="16" s="1"/>
  <c r="Y23" i="16" s="1"/>
  <c r="AA144" i="1"/>
  <c r="Z144" i="1" s="1"/>
  <c r="Y144" i="1" s="1"/>
  <c r="AA188" i="1"/>
  <c r="Z188" i="1" s="1"/>
  <c r="Y188" i="1" s="1"/>
  <c r="AA43" i="15"/>
  <c r="Z43" i="15" s="1"/>
  <c r="Y43" i="15" s="1"/>
  <c r="AA320" i="15"/>
  <c r="Z320" i="15" s="1"/>
  <c r="Y320" i="15" s="1"/>
  <c r="AA314" i="15"/>
  <c r="Z314" i="15" s="1"/>
  <c r="Y314" i="15" s="1"/>
  <c r="G108" i="15"/>
  <c r="BX108" i="6" s="1"/>
  <c r="AA108" i="15"/>
  <c r="Z108" i="15" s="1"/>
  <c r="Y108" i="15" s="1"/>
  <c r="H108" i="15"/>
  <c r="AA207" i="1"/>
  <c r="Z207" i="1" s="1"/>
  <c r="Y207" i="1" s="1"/>
  <c r="V302" i="16"/>
  <c r="F302" i="16" s="1"/>
  <c r="G302" i="16" s="1"/>
  <c r="BY302" i="6" s="1"/>
  <c r="D53" i="7"/>
  <c r="G202" i="15"/>
  <c r="BX202" i="6" s="1"/>
  <c r="H202" i="15"/>
  <c r="AA168" i="1"/>
  <c r="Z168" i="1" s="1"/>
  <c r="Y168" i="1" s="1"/>
  <c r="AA202" i="15"/>
  <c r="Z202" i="15" s="1"/>
  <c r="Y202" i="15" s="1"/>
  <c r="AA262" i="16"/>
  <c r="Z262" i="16" s="1"/>
  <c r="Y262" i="16" s="1"/>
  <c r="G260" i="15"/>
  <c r="BX260" i="6" s="1"/>
  <c r="AA260" i="15"/>
  <c r="Z260" i="15" s="1"/>
  <c r="Y260" i="15" s="1"/>
  <c r="H260" i="15"/>
  <c r="AA66" i="1"/>
  <c r="Z66" i="1" s="1"/>
  <c r="Y66" i="1" s="1"/>
  <c r="Q383" i="16"/>
  <c r="Q382" i="16"/>
  <c r="P332" i="16"/>
  <c r="V332" i="16" s="1"/>
  <c r="F332" i="16" s="1"/>
  <c r="G332" i="16" s="1"/>
  <c r="BY332" i="6" s="1"/>
  <c r="F123" i="16"/>
  <c r="G123" i="16" s="1"/>
  <c r="BY123" i="6" s="1"/>
  <c r="F112" i="16"/>
  <c r="G112" i="16" s="1"/>
  <c r="BY112" i="6" s="1"/>
  <c r="Q381" i="16"/>
  <c r="AA194" i="16"/>
  <c r="Z194" i="16" s="1"/>
  <c r="Y194" i="16" s="1"/>
  <c r="AA183" i="16"/>
  <c r="Z183" i="16" s="1"/>
  <c r="Y183" i="16" s="1"/>
  <c r="H23" i="16"/>
  <c r="J23" i="16" s="1"/>
  <c r="BD11" i="7"/>
  <c r="AY11" i="7"/>
  <c r="Q11" i="24" s="1"/>
  <c r="AX15" i="7"/>
  <c r="P11" i="24"/>
  <c r="AA267" i="16"/>
  <c r="Z267" i="16" s="1"/>
  <c r="Y267" i="16" s="1"/>
  <c r="AA231" i="16"/>
  <c r="Z231" i="16" s="1"/>
  <c r="Y231" i="16" s="1"/>
  <c r="AA335" i="16"/>
  <c r="Z335" i="16" s="1"/>
  <c r="Y335" i="16" s="1"/>
  <c r="AA240" i="16"/>
  <c r="Z240" i="16" s="1"/>
  <c r="Y240" i="16" s="1"/>
  <c r="AF383" i="15"/>
  <c r="AF381" i="15"/>
  <c r="AD17" i="15"/>
  <c r="AA17" i="15" s="1"/>
  <c r="Z17" i="15" s="1"/>
  <c r="Y17" i="15" s="1"/>
  <c r="AF382" i="15"/>
  <c r="P10" i="22"/>
  <c r="L17" i="19"/>
  <c r="AE11" i="22"/>
  <c r="AI11" i="22"/>
  <c r="AK7" i="22"/>
  <c r="AK11" i="22" s="1"/>
  <c r="AM7" i="22"/>
  <c r="AM11" i="22" s="1"/>
  <c r="AM9" i="22"/>
  <c r="AK9" i="22"/>
  <c r="AM5" i="22"/>
  <c r="AK5" i="22"/>
  <c r="AE383" i="16"/>
  <c r="AE382" i="16"/>
  <c r="AE381" i="16"/>
  <c r="AK26" i="23"/>
  <c r="AK15" i="23"/>
  <c r="AK53" i="23"/>
  <c r="AK66" i="23"/>
  <c r="AK84" i="23"/>
  <c r="AK64" i="23"/>
  <c r="AK91" i="23"/>
  <c r="AK110" i="23"/>
  <c r="AK129" i="23"/>
  <c r="AK143" i="23"/>
  <c r="AK156" i="23"/>
  <c r="AK175" i="23"/>
  <c r="AK46" i="23"/>
  <c r="AK79" i="23"/>
  <c r="AK118" i="23"/>
  <c r="AK140" i="23"/>
  <c r="AK172" i="23"/>
  <c r="AK194" i="23"/>
  <c r="AK206" i="23"/>
  <c r="AK229" i="23"/>
  <c r="AK240" i="23"/>
  <c r="AK257" i="23"/>
  <c r="AK278" i="23"/>
  <c r="AK291" i="23"/>
  <c r="AK315" i="23"/>
  <c r="AK330" i="23"/>
  <c r="AK345" i="23"/>
  <c r="AK354" i="23"/>
  <c r="AK88" i="23"/>
  <c r="AK63" i="23"/>
  <c r="AK130" i="23"/>
  <c r="AK208" i="23"/>
  <c r="AK148" i="23"/>
  <c r="AK192" i="23"/>
  <c r="AK224" i="23"/>
  <c r="AK250" i="23"/>
  <c r="AK282" i="23"/>
  <c r="AK306" i="23"/>
  <c r="AK340" i="23"/>
  <c r="AK255" i="23"/>
  <c r="AK279" i="23"/>
  <c r="AK310" i="23"/>
  <c r="AK350" i="23"/>
  <c r="AK343" i="23"/>
  <c r="AK366" i="23"/>
  <c r="AK379" i="23"/>
  <c r="AK24" i="23"/>
  <c r="AK35" i="23"/>
  <c r="AK51" i="23"/>
  <c r="AK65" i="23"/>
  <c r="AK82" i="23"/>
  <c r="AK56" i="23"/>
  <c r="AK89" i="23"/>
  <c r="AK103" i="23"/>
  <c r="AK128" i="23"/>
  <c r="AK142" i="23"/>
  <c r="AK154" i="23"/>
  <c r="AK173" i="23"/>
  <c r="AK40" i="23"/>
  <c r="AK75" i="23"/>
  <c r="AK114" i="23"/>
  <c r="AK135" i="23"/>
  <c r="AK169" i="23"/>
  <c r="AK193" i="23"/>
  <c r="AK205" i="23"/>
  <c r="AK227" i="23"/>
  <c r="AK239" i="23"/>
  <c r="AK254" i="23"/>
  <c r="AK277" i="23"/>
  <c r="AK290" i="23"/>
  <c r="AK312" i="23"/>
  <c r="AK329" i="23"/>
  <c r="AK344" i="23"/>
  <c r="AK353" i="23"/>
  <c r="AK74" i="23"/>
  <c r="AK52" i="23"/>
  <c r="AK121" i="23"/>
  <c r="AK196" i="23"/>
  <c r="AK146" i="23"/>
  <c r="AK181" i="23"/>
  <c r="AK222" i="23"/>
  <c r="AK248" i="23"/>
  <c r="AK272" i="23"/>
  <c r="AK299" i="23"/>
  <c r="AK339" i="23"/>
  <c r="AK253" i="23"/>
  <c r="AK275" i="23"/>
  <c r="AK308" i="23"/>
  <c r="AK336" i="23"/>
  <c r="AK342" i="23"/>
  <c r="AK365" i="23"/>
  <c r="AK378" i="23"/>
  <c r="AK29" i="23"/>
  <c r="AK58" i="23"/>
  <c r="AK23" i="23"/>
  <c r="AK94" i="23"/>
  <c r="AK136" i="23"/>
  <c r="AK164" i="23"/>
  <c r="AK48" i="23"/>
  <c r="AK120" i="23"/>
  <c r="AK183" i="23"/>
  <c r="AK215" i="23"/>
  <c r="AK244" i="23"/>
  <c r="AK281" i="23"/>
  <c r="AK320" i="23"/>
  <c r="AK347" i="23"/>
  <c r="AK106" i="23"/>
  <c r="AK174" i="23"/>
  <c r="AK158" i="23"/>
  <c r="AK228" i="23"/>
  <c r="AK292" i="23"/>
  <c r="AK219" i="23"/>
  <c r="AK287" i="23"/>
  <c r="AK367" i="23"/>
  <c r="AK369" i="23"/>
  <c r="AK28" i="23"/>
  <c r="AK55" i="23"/>
  <c r="AK85" i="23"/>
  <c r="AK92" i="23"/>
  <c r="AK134" i="23"/>
  <c r="AK160" i="23"/>
  <c r="AK47" i="23"/>
  <c r="AK119" i="23"/>
  <c r="AK179" i="23"/>
  <c r="AK212" i="23"/>
  <c r="AK241" i="23"/>
  <c r="AK280" i="23"/>
  <c r="AK317" i="23"/>
  <c r="AK346" i="23"/>
  <c r="AK100" i="23"/>
  <c r="AK132" i="23"/>
  <c r="AK153" i="23"/>
  <c r="AK225" i="23"/>
  <c r="AK289" i="23"/>
  <c r="AK218" i="23"/>
  <c r="AK284" i="23"/>
  <c r="AK356" i="23"/>
  <c r="AK368" i="23"/>
  <c r="AK34" i="23"/>
  <c r="AK62" i="23"/>
  <c r="AK45" i="23"/>
  <c r="AK99" i="23"/>
  <c r="AK141" i="23"/>
  <c r="AK171" i="23"/>
  <c r="AK73" i="23"/>
  <c r="AK133" i="23"/>
  <c r="AK190" i="23"/>
  <c r="AK223" i="23"/>
  <c r="AK252" i="23"/>
  <c r="AK288" i="23"/>
  <c r="AK326" i="23"/>
  <c r="AK352" i="23"/>
  <c r="AK42" i="23"/>
  <c r="AK191" i="23"/>
  <c r="AK176" i="23"/>
  <c r="AK243" i="23"/>
  <c r="AK298" i="23"/>
  <c r="AK247" i="23"/>
  <c r="AK304" i="23"/>
  <c r="AK375" i="23"/>
  <c r="AK377" i="23"/>
  <c r="AK33" i="23"/>
  <c r="AK61" i="23"/>
  <c r="AK44" i="23"/>
  <c r="AK98" i="23"/>
  <c r="AK139" i="23"/>
  <c r="AK168" i="23"/>
  <c r="AK70" i="23"/>
  <c r="AK131" i="23"/>
  <c r="AK189" i="23"/>
  <c r="AK221" i="23"/>
  <c r="AK251" i="23"/>
  <c r="AK286" i="23"/>
  <c r="AK325" i="23"/>
  <c r="AK351" i="23"/>
  <c r="AK21" i="23"/>
  <c r="AK188" i="23"/>
  <c r="AK170" i="23"/>
  <c r="AK242" i="23"/>
  <c r="AK297" i="23"/>
  <c r="AK246" i="23"/>
  <c r="AK303" i="23"/>
  <c r="AK374" i="23"/>
  <c r="AK376" i="23"/>
  <c r="AK16" i="23"/>
  <c r="AK31" i="23"/>
  <c r="AK38" i="23"/>
  <c r="AK60" i="23"/>
  <c r="AK76" i="23"/>
  <c r="AK39" i="23"/>
  <c r="AK83" i="23"/>
  <c r="AK96" i="23"/>
  <c r="AK117" i="23"/>
  <c r="AK138" i="23"/>
  <c r="AK149" i="23"/>
  <c r="AK167" i="23"/>
  <c r="AK182" i="23"/>
  <c r="AK57" i="23"/>
  <c r="AK108" i="23"/>
  <c r="AK123" i="23"/>
  <c r="AK161" i="23"/>
  <c r="AK187" i="23"/>
  <c r="AK199" i="23"/>
  <c r="AK220" i="23"/>
  <c r="AK234" i="23"/>
  <c r="AK249" i="23"/>
  <c r="AK273" i="23"/>
  <c r="AK285" i="23"/>
  <c r="AK305" i="23"/>
  <c r="AK322" i="23"/>
  <c r="AK337" i="23"/>
  <c r="AK349" i="23"/>
  <c r="AK36" i="23"/>
  <c r="AK19" i="23"/>
  <c r="AK97" i="23"/>
  <c r="AK186" i="23"/>
  <c r="AK214" i="23"/>
  <c r="AK165" i="23"/>
  <c r="AK207" i="23"/>
  <c r="AK235" i="23"/>
  <c r="AK265" i="23"/>
  <c r="AK295" i="23"/>
  <c r="AK323" i="23"/>
  <c r="AK237" i="23"/>
  <c r="AK264" i="23"/>
  <c r="AK296" i="23"/>
  <c r="AK324" i="23"/>
  <c r="AK373" i="23"/>
  <c r="AK362" i="23"/>
  <c r="AK371" i="23"/>
  <c r="AK380" i="23"/>
  <c r="AK30" i="23"/>
  <c r="AK37" i="23"/>
  <c r="AK59" i="23"/>
  <c r="AK71" i="23"/>
  <c r="AK27" i="23"/>
  <c r="AK81" i="23"/>
  <c r="AK95" i="23"/>
  <c r="AK116" i="23"/>
  <c r="AK137" i="23"/>
  <c r="AK147" i="23"/>
  <c r="AK166" i="23"/>
  <c r="AK180" i="23"/>
  <c r="AK54" i="23"/>
  <c r="AK107" i="23"/>
  <c r="AK122" i="23"/>
  <c r="AK157" i="23"/>
  <c r="AK184" i="23"/>
  <c r="AK198" i="23"/>
  <c r="AK216" i="23"/>
  <c r="AK233" i="23"/>
  <c r="AK245" i="23"/>
  <c r="AK270" i="23"/>
  <c r="AK283" i="23"/>
  <c r="AK302" i="23"/>
  <c r="AK321" i="23"/>
  <c r="AK335" i="23"/>
  <c r="AK348" i="23"/>
  <c r="AK360" i="23"/>
  <c r="AK111" i="23"/>
  <c r="AK93" i="23"/>
  <c r="AK185" i="23"/>
  <c r="AK213" i="23"/>
  <c r="AK159" i="23"/>
  <c r="AK204" i="23"/>
  <c r="AK230" i="23"/>
  <c r="AK262" i="23"/>
  <c r="AK293" i="23"/>
  <c r="AK316" i="23"/>
  <c r="AK226" i="23"/>
  <c r="AK263" i="23"/>
  <c r="AK294" i="23"/>
  <c r="AK319" i="23"/>
  <c r="AK372" i="23"/>
  <c r="AK361" i="23"/>
  <c r="AK370" i="23"/>
  <c r="F8" i="23"/>
  <c r="AK32" i="23"/>
  <c r="AK68" i="23"/>
  <c r="AK78" i="23"/>
  <c r="AK115" i="23"/>
  <c r="AK145" i="23"/>
  <c r="AK178" i="23"/>
  <c r="AK104" i="23"/>
  <c r="AK155" i="23"/>
  <c r="AK197" i="23"/>
  <c r="AK232" i="23"/>
  <c r="AK266" i="23"/>
  <c r="AK301" i="23"/>
  <c r="AK334" i="23"/>
  <c r="AK357" i="23"/>
  <c r="AK90" i="23"/>
  <c r="AK210" i="23"/>
  <c r="AK202" i="23"/>
  <c r="AK258" i="23"/>
  <c r="AK313" i="23"/>
  <c r="AK261" i="23"/>
  <c r="AK318" i="23"/>
  <c r="AK359" i="23"/>
  <c r="AK17" i="23"/>
  <c r="AK25" i="23"/>
  <c r="AK67" i="23"/>
  <c r="AK72" i="23"/>
  <c r="AK112" i="23"/>
  <c r="AK144" i="23"/>
  <c r="AK177" i="23"/>
  <c r="AK102" i="23"/>
  <c r="AK150" i="23"/>
  <c r="AK195" i="23"/>
  <c r="AK231" i="23"/>
  <c r="AK259" i="23"/>
  <c r="AK300" i="23"/>
  <c r="AK331" i="23"/>
  <c r="AK355" i="23"/>
  <c r="AK69" i="23"/>
  <c r="AK209" i="23"/>
  <c r="AK201" i="23"/>
  <c r="AK256" i="23"/>
  <c r="AK307" i="23"/>
  <c r="AK260" i="23"/>
  <c r="AK314" i="23"/>
  <c r="AK358" i="23"/>
  <c r="AK22" i="23"/>
  <c r="AK49" i="23"/>
  <c r="AK80" i="23"/>
  <c r="AK87" i="23"/>
  <c r="AK125" i="23"/>
  <c r="AK152" i="23"/>
  <c r="AK18" i="23"/>
  <c r="AK113" i="23"/>
  <c r="AK163" i="23"/>
  <c r="AK203" i="23"/>
  <c r="AK238" i="23"/>
  <c r="AK276" i="23"/>
  <c r="AK311" i="23"/>
  <c r="AK341" i="23"/>
  <c r="AK50" i="23"/>
  <c r="AK105" i="23"/>
  <c r="AK127" i="23"/>
  <c r="AK217" i="23"/>
  <c r="AK268" i="23"/>
  <c r="AK333" i="23"/>
  <c r="AK271" i="23"/>
  <c r="AK332" i="23"/>
  <c r="AK364" i="23"/>
  <c r="AK20" i="23"/>
  <c r="AK41" i="23"/>
  <c r="AK77" i="23"/>
  <c r="AK86" i="23"/>
  <c r="AK124" i="23"/>
  <c r="AK151" i="23"/>
  <c r="P12" i="23"/>
  <c r="AK109" i="23"/>
  <c r="AK162" i="23"/>
  <c r="AK200" i="23"/>
  <c r="AK236" i="23"/>
  <c r="AK274" i="23"/>
  <c r="AK309" i="23"/>
  <c r="AK338" i="23"/>
  <c r="AK43" i="23"/>
  <c r="AK101" i="23"/>
  <c r="AK126" i="23"/>
  <c r="AK211" i="23"/>
  <c r="AK267" i="23"/>
  <c r="AK328" i="23"/>
  <c r="AK269" i="23"/>
  <c r="AK327" i="23"/>
  <c r="AK363" i="23"/>
  <c r="U15" i="7"/>
  <c r="Q10" i="17"/>
  <c r="W15" i="7" s="1"/>
  <c r="Q297" i="17"/>
  <c r="Q107" i="17"/>
  <c r="Q270" i="17"/>
  <c r="Q301" i="17"/>
  <c r="Q179" i="17"/>
  <c r="Q144" i="17"/>
  <c r="Q27" i="17"/>
  <c r="Q199" i="17"/>
  <c r="Q146" i="17"/>
  <c r="Q70" i="17"/>
  <c r="Q61" i="17"/>
  <c r="Q303" i="17"/>
  <c r="Q222" i="17"/>
  <c r="Q41" i="17"/>
  <c r="P41" i="17" s="1"/>
  <c r="V41" i="17" s="1"/>
  <c r="F41" i="17" s="1"/>
  <c r="Q339" i="17"/>
  <c r="Q224" i="17"/>
  <c r="Q225" i="17"/>
  <c r="P225" i="17" s="1"/>
  <c r="V225" i="17" s="1"/>
  <c r="F225" i="17" s="1"/>
  <c r="Q74" i="17"/>
  <c r="Q226" i="17"/>
  <c r="Q206" i="17"/>
  <c r="Q173" i="17"/>
  <c r="Q261" i="17"/>
  <c r="Q50" i="17"/>
  <c r="H240" i="16"/>
  <c r="I240" i="16" s="1"/>
  <c r="AA135" i="16"/>
  <c r="Z135" i="16" s="1"/>
  <c r="Y135" i="16" s="1"/>
  <c r="AA102" i="16"/>
  <c r="Z102" i="16" s="1"/>
  <c r="Y102" i="16" s="1"/>
  <c r="AA110" i="16"/>
  <c r="Z110" i="16" s="1"/>
  <c r="Y110" i="16" s="1"/>
  <c r="AA315" i="16"/>
  <c r="Z315" i="16" s="1"/>
  <c r="Y315" i="16" s="1"/>
  <c r="AA374" i="16"/>
  <c r="Z374" i="16" s="1"/>
  <c r="Y374" i="16" s="1"/>
  <c r="AA214" i="16"/>
  <c r="Z214" i="16" s="1"/>
  <c r="Y214" i="16" s="1"/>
  <c r="AA43" i="16"/>
  <c r="Z43" i="16" s="1"/>
  <c r="Y43" i="16" s="1"/>
  <c r="AA356" i="16"/>
  <c r="Z356" i="16" s="1"/>
  <c r="Y356" i="16" s="1"/>
  <c r="J93" i="15"/>
  <c r="AA208" i="1"/>
  <c r="Z208" i="1" s="1"/>
  <c r="Y208" i="1" s="1"/>
  <c r="J129" i="15"/>
  <c r="J247" i="15"/>
  <c r="H271" i="15"/>
  <c r="I271" i="15" s="1"/>
  <c r="H271" i="16" s="1"/>
  <c r="J205" i="15"/>
  <c r="AC144" i="18"/>
  <c r="AC361" i="18"/>
  <c r="AC275" i="18"/>
  <c r="AC300" i="18"/>
  <c r="AC213" i="18"/>
  <c r="AC84" i="18"/>
  <c r="AC217" i="18"/>
  <c r="AC141" i="18"/>
  <c r="AC171" i="18"/>
  <c r="AC363" i="18"/>
  <c r="AA276" i="16"/>
  <c r="Z276" i="16" s="1"/>
  <c r="Y276" i="16" s="1"/>
  <c r="AA138" i="16"/>
  <c r="Z138" i="16" s="1"/>
  <c r="Y138" i="16" s="1"/>
  <c r="AA177" i="15"/>
  <c r="Z177" i="15" s="1"/>
  <c r="Y177" i="15" s="1"/>
  <c r="G129" i="15"/>
  <c r="BX129" i="6" s="1"/>
  <c r="AA205" i="15"/>
  <c r="Z205" i="15" s="1"/>
  <c r="Y205" i="15" s="1"/>
  <c r="AA256" i="16"/>
  <c r="Z256" i="16" s="1"/>
  <c r="Y256" i="16" s="1"/>
  <c r="AA72" i="1"/>
  <c r="Z72" i="1" s="1"/>
  <c r="Y72" i="1" s="1"/>
  <c r="AA232" i="16"/>
  <c r="Z232" i="16" s="1"/>
  <c r="Y232" i="16" s="1"/>
  <c r="J178" i="15"/>
  <c r="AA203" i="16"/>
  <c r="Z203" i="16" s="1"/>
  <c r="Y203" i="16" s="1"/>
  <c r="H119" i="15"/>
  <c r="I119" i="15" s="1"/>
  <c r="AA174" i="16"/>
  <c r="Z174" i="16" s="1"/>
  <c r="Y174" i="16" s="1"/>
  <c r="V60" i="16"/>
  <c r="F60" i="16" s="1"/>
  <c r="G60" i="16" s="1"/>
  <c r="BY60" i="6" s="1"/>
  <c r="J167" i="15"/>
  <c r="G307" i="1"/>
  <c r="BW307" i="6" s="1"/>
  <c r="H83" i="15"/>
  <c r="I83" i="15" s="1"/>
  <c r="H83" i="16" s="1"/>
  <c r="H262" i="15"/>
  <c r="I262" i="15" s="1"/>
  <c r="H262" i="16" s="1"/>
  <c r="AA300" i="16"/>
  <c r="Z300" i="16" s="1"/>
  <c r="Y300" i="16" s="1"/>
  <c r="AA53" i="16"/>
  <c r="Z53" i="16" s="1"/>
  <c r="Y53" i="16" s="1"/>
  <c r="G205" i="15"/>
  <c r="BX205" i="6" s="1"/>
  <c r="AA372" i="16"/>
  <c r="Z372" i="16" s="1"/>
  <c r="Y372" i="16" s="1"/>
  <c r="AC254" i="18"/>
  <c r="V302" i="15"/>
  <c r="F302" i="15" s="1"/>
  <c r="H251" i="16"/>
  <c r="I251" i="16" s="1"/>
  <c r="AA251" i="16"/>
  <c r="Z251" i="16" s="1"/>
  <c r="Y251" i="16" s="1"/>
  <c r="AA119" i="15"/>
  <c r="Z119" i="15" s="1"/>
  <c r="Y119" i="15" s="1"/>
  <c r="G322" i="1"/>
  <c r="BW322" i="6" s="1"/>
  <c r="G345" i="15"/>
  <c r="BX345" i="6" s="1"/>
  <c r="H78" i="15"/>
  <c r="J78" i="15" s="1"/>
  <c r="H161" i="15"/>
  <c r="J161" i="15" s="1"/>
  <c r="AA118" i="16"/>
  <c r="Z118" i="16" s="1"/>
  <c r="Y118" i="16" s="1"/>
  <c r="AA94" i="16"/>
  <c r="Z94" i="16" s="1"/>
  <c r="Y94" i="16" s="1"/>
  <c r="AA351" i="16"/>
  <c r="Z351" i="16" s="1"/>
  <c r="Y351" i="16" s="1"/>
  <c r="AA217" i="16"/>
  <c r="Z217" i="16" s="1"/>
  <c r="Y217" i="16" s="1"/>
  <c r="AA192" i="16"/>
  <c r="Z192" i="16" s="1"/>
  <c r="Y192" i="16" s="1"/>
  <c r="AA97" i="16"/>
  <c r="Z97" i="16" s="1"/>
  <c r="Y97" i="16" s="1"/>
  <c r="H245" i="16"/>
  <c r="J245" i="16" s="1"/>
  <c r="H172" i="16"/>
  <c r="I172" i="16" s="1"/>
  <c r="AA367" i="16"/>
  <c r="Z367" i="16" s="1"/>
  <c r="Y367" i="16" s="1"/>
  <c r="AA68" i="16"/>
  <c r="Z68" i="16" s="1"/>
  <c r="Y68" i="16" s="1"/>
  <c r="AA184" i="16"/>
  <c r="Z184" i="16" s="1"/>
  <c r="Y184" i="16" s="1"/>
  <c r="G228" i="15"/>
  <c r="BX228" i="6" s="1"/>
  <c r="AA191" i="16"/>
  <c r="Z191" i="16" s="1"/>
  <c r="Y191" i="16" s="1"/>
  <c r="AA312" i="16"/>
  <c r="Z312" i="16" s="1"/>
  <c r="Y312" i="16" s="1"/>
  <c r="H188" i="15"/>
  <c r="AA325" i="15"/>
  <c r="Z325" i="15" s="1"/>
  <c r="Y325" i="15" s="1"/>
  <c r="AA75" i="1"/>
  <c r="Z75" i="1" s="1"/>
  <c r="Y75" i="1" s="1"/>
  <c r="H31" i="15"/>
  <c r="I31" i="15" s="1"/>
  <c r="H31" i="16" s="1"/>
  <c r="G51" i="15"/>
  <c r="BX51" i="6" s="1"/>
  <c r="AA279" i="16"/>
  <c r="Z279" i="16" s="1"/>
  <c r="Y279" i="16" s="1"/>
  <c r="L37" i="19"/>
  <c r="AC107" i="18"/>
  <c r="AC343" i="18"/>
  <c r="AC285" i="18"/>
  <c r="AC154" i="18"/>
  <c r="AC241" i="18"/>
  <c r="AC125" i="18"/>
  <c r="AC149" i="18"/>
  <c r="AC348" i="18"/>
  <c r="AC90" i="18"/>
  <c r="AC244" i="18"/>
  <c r="AC367" i="18"/>
  <c r="AC245" i="18"/>
  <c r="AC339" i="18"/>
  <c r="AC211" i="18"/>
  <c r="J23" i="15"/>
  <c r="AA121" i="16"/>
  <c r="Z121" i="16" s="1"/>
  <c r="Y121" i="16" s="1"/>
  <c r="AA233" i="16"/>
  <c r="Z233" i="16" s="1"/>
  <c r="Y233" i="16" s="1"/>
  <c r="AC131" i="18"/>
  <c r="AC169" i="18"/>
  <c r="AC224" i="18"/>
  <c r="AC208" i="18"/>
  <c r="AC336" i="18"/>
  <c r="AC116" i="18"/>
  <c r="AC256" i="18"/>
  <c r="AC358" i="18"/>
  <c r="AC282" i="18"/>
  <c r="AC265" i="18"/>
  <c r="AC263" i="18"/>
  <c r="AC267" i="18"/>
  <c r="AC97" i="18"/>
  <c r="AC322" i="18"/>
  <c r="AC274" i="18"/>
  <c r="AC139" i="18"/>
  <c r="AC81" i="18"/>
  <c r="AC172" i="18"/>
  <c r="AC289" i="18"/>
  <c r="AC207" i="18"/>
  <c r="AC95" i="18"/>
  <c r="AC310" i="18"/>
  <c r="AC239" i="18"/>
  <c r="AC190" i="18"/>
  <c r="AC165" i="18"/>
  <c r="AC134" i="18"/>
  <c r="AC295" i="18"/>
  <c r="AC306" i="18"/>
  <c r="AC331" i="18"/>
  <c r="G63" i="16"/>
  <c r="BY63" i="6" s="1"/>
  <c r="AA63" i="16"/>
  <c r="Z63" i="16" s="1"/>
  <c r="Y63" i="16" s="1"/>
  <c r="H318" i="15"/>
  <c r="J318" i="15" s="1"/>
  <c r="H101" i="15"/>
  <c r="I101" i="15" s="1"/>
  <c r="H101" i="16" s="1"/>
  <c r="I307" i="1"/>
  <c r="H307" i="15" s="1"/>
  <c r="I307" i="15" s="1"/>
  <c r="H307" i="16" s="1"/>
  <c r="H308" i="15"/>
  <c r="I308" i="15" s="1"/>
  <c r="H308" i="16" s="1"/>
  <c r="D29" i="7"/>
  <c r="AA336" i="15"/>
  <c r="Z336" i="15" s="1"/>
  <c r="Y336" i="15" s="1"/>
  <c r="G262" i="15"/>
  <c r="BX262" i="6" s="1"/>
  <c r="H44" i="16"/>
  <c r="J44" i="16" s="1"/>
  <c r="G26" i="15"/>
  <c r="BX26" i="6" s="1"/>
  <c r="I368" i="1"/>
  <c r="H368" i="15" s="1"/>
  <c r="I368" i="15" s="1"/>
  <c r="H368" i="16" s="1"/>
  <c r="AA208" i="16"/>
  <c r="Z208" i="16" s="1"/>
  <c r="Y208" i="16" s="1"/>
  <c r="AA47" i="16"/>
  <c r="Z47" i="16" s="1"/>
  <c r="Y47" i="16" s="1"/>
  <c r="AA37" i="15"/>
  <c r="Z37" i="15" s="1"/>
  <c r="Y37" i="15" s="1"/>
  <c r="AA77" i="16"/>
  <c r="Z77" i="16" s="1"/>
  <c r="Y77" i="16" s="1"/>
  <c r="H20" i="16"/>
  <c r="I20" i="16" s="1"/>
  <c r="AA61" i="16"/>
  <c r="Z61" i="16" s="1"/>
  <c r="Y61" i="16" s="1"/>
  <c r="AA163" i="16"/>
  <c r="Z163" i="16" s="1"/>
  <c r="Y163" i="16" s="1"/>
  <c r="AA291" i="16"/>
  <c r="Z291" i="16" s="1"/>
  <c r="Y291" i="16" s="1"/>
  <c r="AA157" i="16"/>
  <c r="Z157" i="16" s="1"/>
  <c r="Y157" i="16" s="1"/>
  <c r="AA162" i="15"/>
  <c r="Z162" i="15" s="1"/>
  <c r="Y162" i="15" s="1"/>
  <c r="AA315" i="15"/>
  <c r="Z315" i="15" s="1"/>
  <c r="Y315" i="15" s="1"/>
  <c r="AA31" i="15"/>
  <c r="Z31" i="15" s="1"/>
  <c r="Y31" i="15" s="1"/>
  <c r="AA52" i="1"/>
  <c r="Z52" i="1" s="1"/>
  <c r="Y52" i="1" s="1"/>
  <c r="AA83" i="15"/>
  <c r="Z83" i="15" s="1"/>
  <c r="Y83" i="15" s="1"/>
  <c r="AA160" i="1"/>
  <c r="Z160" i="1" s="1"/>
  <c r="Y160" i="1" s="1"/>
  <c r="AA368" i="15"/>
  <c r="Z368" i="15" s="1"/>
  <c r="Y368" i="15" s="1"/>
  <c r="AA52" i="16"/>
  <c r="Z52" i="16" s="1"/>
  <c r="Y52" i="16" s="1"/>
  <c r="AA183" i="1"/>
  <c r="Z183" i="1" s="1"/>
  <c r="Y183" i="1" s="1"/>
  <c r="I322" i="1"/>
  <c r="I369" i="1"/>
  <c r="H369" i="15" s="1"/>
  <c r="G142" i="15"/>
  <c r="BX142" i="6" s="1"/>
  <c r="H178" i="16"/>
  <c r="I178" i="16" s="1"/>
  <c r="G290" i="15"/>
  <c r="BX290" i="6" s="1"/>
  <c r="G162" i="15"/>
  <c r="BX162" i="6" s="1"/>
  <c r="AA299" i="16"/>
  <c r="Z299" i="16" s="1"/>
  <c r="Y299" i="16" s="1"/>
  <c r="AA178" i="16"/>
  <c r="Z178" i="16" s="1"/>
  <c r="Y178" i="16" s="1"/>
  <c r="AA98" i="16"/>
  <c r="Z98" i="16" s="1"/>
  <c r="Y98" i="16" s="1"/>
  <c r="AA101" i="16"/>
  <c r="Z101" i="16" s="1"/>
  <c r="Y101" i="16" s="1"/>
  <c r="H215" i="16"/>
  <c r="J215" i="16" s="1"/>
  <c r="AA307" i="16"/>
  <c r="Z307" i="16" s="1"/>
  <c r="Y307" i="16" s="1"/>
  <c r="AA129" i="16"/>
  <c r="Z129" i="16" s="1"/>
  <c r="Y129" i="16" s="1"/>
  <c r="AA172" i="16"/>
  <c r="Z172" i="16" s="1"/>
  <c r="Y172" i="16" s="1"/>
  <c r="H147" i="15"/>
  <c r="J147" i="15" s="1"/>
  <c r="V379" i="1"/>
  <c r="F379" i="1" s="1"/>
  <c r="G379" i="1" s="1"/>
  <c r="BW379" i="6" s="1"/>
  <c r="D35" i="19"/>
  <c r="AA228" i="15"/>
  <c r="Z228" i="15" s="1"/>
  <c r="Y228" i="15" s="1"/>
  <c r="AA298" i="15"/>
  <c r="Z298" i="15" s="1"/>
  <c r="Y298" i="15" s="1"/>
  <c r="V379" i="16"/>
  <c r="F379" i="16" s="1"/>
  <c r="G379" i="16" s="1"/>
  <c r="BY379" i="6" s="1"/>
  <c r="D37" i="19"/>
  <c r="G78" i="15"/>
  <c r="BX78" i="6" s="1"/>
  <c r="AA369" i="1"/>
  <c r="Z369" i="1" s="1"/>
  <c r="Y369" i="1" s="1"/>
  <c r="AA303" i="16"/>
  <c r="Z303" i="16" s="1"/>
  <c r="Y303" i="16" s="1"/>
  <c r="AA125" i="16"/>
  <c r="Z125" i="16" s="1"/>
  <c r="Y125" i="16" s="1"/>
  <c r="AA142" i="15"/>
  <c r="Z142" i="15" s="1"/>
  <c r="Y142" i="15" s="1"/>
  <c r="H325" i="15"/>
  <c r="J325" i="15" s="1"/>
  <c r="H111" i="16"/>
  <c r="I111" i="16" s="1"/>
  <c r="H342" i="15"/>
  <c r="I342" i="15" s="1"/>
  <c r="H342" i="16" s="1"/>
  <c r="H162" i="15"/>
  <c r="I162" i="15" s="1"/>
  <c r="H162" i="16" s="1"/>
  <c r="AA171" i="16"/>
  <c r="Z171" i="16" s="1"/>
  <c r="Y171" i="16" s="1"/>
  <c r="AA37" i="16"/>
  <c r="Z37" i="16" s="1"/>
  <c r="Y37" i="16" s="1"/>
  <c r="AA162" i="16"/>
  <c r="Z162" i="16" s="1"/>
  <c r="Y162" i="16" s="1"/>
  <c r="AA153" i="16"/>
  <c r="Z153" i="16" s="1"/>
  <c r="Y153" i="16" s="1"/>
  <c r="AA215" i="16"/>
  <c r="Z215" i="16" s="1"/>
  <c r="Y215" i="16" s="1"/>
  <c r="AA306" i="16"/>
  <c r="Z306" i="16" s="1"/>
  <c r="Y306" i="16" s="1"/>
  <c r="AA93" i="16"/>
  <c r="Z93" i="16" s="1"/>
  <c r="Y93" i="16" s="1"/>
  <c r="AA188" i="15"/>
  <c r="Z188" i="15" s="1"/>
  <c r="Y188" i="15" s="1"/>
  <c r="AA167" i="15"/>
  <c r="Z167" i="15" s="1"/>
  <c r="Y167" i="15" s="1"/>
  <c r="H298" i="15"/>
  <c r="J298" i="15" s="1"/>
  <c r="AA24" i="16"/>
  <c r="Z24" i="16" s="1"/>
  <c r="Y24" i="16" s="1"/>
  <c r="AA266" i="16"/>
  <c r="Z266" i="16" s="1"/>
  <c r="Y266" i="16" s="1"/>
  <c r="AA380" i="16"/>
  <c r="Z380" i="16" s="1"/>
  <c r="Y380" i="16" s="1"/>
  <c r="AA115" i="16"/>
  <c r="Z115" i="16" s="1"/>
  <c r="Y115" i="16" s="1"/>
  <c r="H186" i="15"/>
  <c r="I186" i="15" s="1"/>
  <c r="H186" i="16" s="1"/>
  <c r="J186" i="16" s="1"/>
  <c r="AA186" i="15"/>
  <c r="Z186" i="15" s="1"/>
  <c r="Y186" i="15" s="1"/>
  <c r="AA103" i="16"/>
  <c r="Z103" i="16" s="1"/>
  <c r="Y103" i="16" s="1"/>
  <c r="AA147" i="15"/>
  <c r="Z147" i="15" s="1"/>
  <c r="Y147" i="15" s="1"/>
  <c r="G167" i="15"/>
  <c r="BX167" i="6" s="1"/>
  <c r="AA188" i="16"/>
  <c r="Z188" i="16" s="1"/>
  <c r="Y188" i="16" s="1"/>
  <c r="AA70" i="16"/>
  <c r="Z70" i="16" s="1"/>
  <c r="Y70" i="16" s="1"/>
  <c r="AA37" i="1"/>
  <c r="Z37" i="1" s="1"/>
  <c r="Y37" i="1" s="1"/>
  <c r="AA318" i="15"/>
  <c r="Z318" i="15" s="1"/>
  <c r="Y318" i="15" s="1"/>
  <c r="AA345" i="15"/>
  <c r="Z345" i="15" s="1"/>
  <c r="Y345" i="15" s="1"/>
  <c r="H93" i="16"/>
  <c r="I93" i="16" s="1"/>
  <c r="AA173" i="1"/>
  <c r="Z173" i="1" s="1"/>
  <c r="Y173" i="1" s="1"/>
  <c r="AA213" i="1"/>
  <c r="Z213" i="1" s="1"/>
  <c r="Y213" i="1" s="1"/>
  <c r="AA197" i="15"/>
  <c r="Z197" i="15" s="1"/>
  <c r="Y197" i="15" s="1"/>
  <c r="AA206" i="1"/>
  <c r="Z206" i="1" s="1"/>
  <c r="Y206" i="1" s="1"/>
  <c r="AA114" i="1"/>
  <c r="Z114" i="1" s="1"/>
  <c r="Y114" i="1" s="1"/>
  <c r="AA161" i="15"/>
  <c r="Z161" i="15" s="1"/>
  <c r="Y161" i="15" s="1"/>
  <c r="AA342" i="15"/>
  <c r="Z342" i="15" s="1"/>
  <c r="Y342" i="15" s="1"/>
  <c r="AA63" i="1"/>
  <c r="Z63" i="1" s="1"/>
  <c r="Y63" i="1" s="1"/>
  <c r="L38" i="19"/>
  <c r="AA54" i="16"/>
  <c r="Z54" i="16" s="1"/>
  <c r="Y54" i="16" s="1"/>
  <c r="AA370" i="16"/>
  <c r="Z370" i="16" s="1"/>
  <c r="Y370" i="16" s="1"/>
  <c r="G51" i="16"/>
  <c r="BY51" i="6" s="1"/>
  <c r="AA51" i="16"/>
  <c r="Z51" i="16" s="1"/>
  <c r="Y51" i="16" s="1"/>
  <c r="U60" i="17"/>
  <c r="T60" i="17" s="1"/>
  <c r="S60" i="17" s="1"/>
  <c r="R60" i="17" s="1"/>
  <c r="U73" i="17"/>
  <c r="T73" i="17" s="1"/>
  <c r="S73" i="17" s="1"/>
  <c r="R73" i="17" s="1"/>
  <c r="U203" i="17"/>
  <c r="T203" i="17" s="1"/>
  <c r="S203" i="17" s="1"/>
  <c r="R203" i="17" s="1"/>
  <c r="U349" i="17"/>
  <c r="T349" i="17" s="1"/>
  <c r="S349" i="17" s="1"/>
  <c r="R349" i="17" s="1"/>
  <c r="U262" i="17"/>
  <c r="T262" i="17" s="1"/>
  <c r="S262" i="17" s="1"/>
  <c r="R262" i="17" s="1"/>
  <c r="U204" i="17"/>
  <c r="T204" i="17" s="1"/>
  <c r="S204" i="17" s="1"/>
  <c r="R204" i="17" s="1"/>
  <c r="U77" i="17"/>
  <c r="T77" i="17" s="1"/>
  <c r="S77" i="17" s="1"/>
  <c r="R77" i="17" s="1"/>
  <c r="U38" i="17"/>
  <c r="T38" i="17" s="1"/>
  <c r="S38" i="17" s="1"/>
  <c r="R38" i="17" s="1"/>
  <c r="U282" i="17"/>
  <c r="T282" i="17" s="1"/>
  <c r="S282" i="17" s="1"/>
  <c r="R282" i="17" s="1"/>
  <c r="U240" i="17"/>
  <c r="T240" i="17" s="1"/>
  <c r="S240" i="17" s="1"/>
  <c r="R240" i="17" s="1"/>
  <c r="U87" i="17"/>
  <c r="T87" i="17" s="1"/>
  <c r="S87" i="17" s="1"/>
  <c r="R87" i="17" s="1"/>
  <c r="U241" i="17"/>
  <c r="T241" i="17" s="1"/>
  <c r="S241" i="17" s="1"/>
  <c r="R241" i="17" s="1"/>
  <c r="U126" i="17"/>
  <c r="T126" i="17" s="1"/>
  <c r="S126" i="17" s="1"/>
  <c r="R126" i="17" s="1"/>
  <c r="U52" i="17"/>
  <c r="T52" i="17" s="1"/>
  <c r="S52" i="17" s="1"/>
  <c r="R52" i="17" s="1"/>
  <c r="U296" i="17"/>
  <c r="T296" i="17" s="1"/>
  <c r="S296" i="17" s="1"/>
  <c r="R296" i="17" s="1"/>
  <c r="U131" i="17"/>
  <c r="T131" i="17" s="1"/>
  <c r="S131" i="17" s="1"/>
  <c r="R131" i="17" s="1"/>
  <c r="U277" i="17"/>
  <c r="T277" i="17" s="1"/>
  <c r="S277" i="17" s="1"/>
  <c r="R277" i="17" s="1"/>
  <c r="U118" i="17"/>
  <c r="T118" i="17" s="1"/>
  <c r="S118" i="17" s="1"/>
  <c r="R118" i="17" s="1"/>
  <c r="U234" i="17"/>
  <c r="T234" i="17" s="1"/>
  <c r="S234" i="17" s="1"/>
  <c r="R234" i="17" s="1"/>
  <c r="U128" i="17"/>
  <c r="T128" i="17" s="1"/>
  <c r="S128" i="17" s="1"/>
  <c r="R128" i="17" s="1"/>
  <c r="U31" i="17"/>
  <c r="T31" i="17" s="1"/>
  <c r="S31" i="17" s="1"/>
  <c r="R31" i="17" s="1"/>
  <c r="U185" i="17"/>
  <c r="T185" i="17" s="1"/>
  <c r="S185" i="17" s="1"/>
  <c r="R185" i="17" s="1"/>
  <c r="U347" i="17"/>
  <c r="T347" i="17" s="1"/>
  <c r="S347" i="17" s="1"/>
  <c r="R347" i="17" s="1"/>
  <c r="U242" i="17"/>
  <c r="T242" i="17" s="1"/>
  <c r="S242" i="17" s="1"/>
  <c r="R242" i="17" s="1"/>
  <c r="U102" i="17"/>
  <c r="T102" i="17" s="1"/>
  <c r="S102" i="17" s="1"/>
  <c r="R102" i="17" s="1"/>
  <c r="U346" i="17"/>
  <c r="T346" i="17" s="1"/>
  <c r="S346" i="17" s="1"/>
  <c r="R346" i="17" s="1"/>
  <c r="U304" i="17"/>
  <c r="T304" i="17" s="1"/>
  <c r="S304" i="17" s="1"/>
  <c r="R304" i="17" s="1"/>
  <c r="U119" i="17"/>
  <c r="T119" i="17" s="1"/>
  <c r="S119" i="17" s="1"/>
  <c r="R119" i="17" s="1"/>
  <c r="U273" i="17"/>
  <c r="T273" i="17" s="1"/>
  <c r="S273" i="17" s="1"/>
  <c r="R273" i="17" s="1"/>
  <c r="U339" i="17"/>
  <c r="T339" i="17" s="1"/>
  <c r="S339" i="17" s="1"/>
  <c r="R339" i="17" s="1"/>
  <c r="U226" i="17"/>
  <c r="T226" i="17" s="1"/>
  <c r="S226" i="17" s="1"/>
  <c r="R226" i="17" s="1"/>
  <c r="U104" i="17"/>
  <c r="T104" i="17" s="1"/>
  <c r="S104" i="17" s="1"/>
  <c r="R104" i="17" s="1"/>
  <c r="U35" i="17"/>
  <c r="T35" i="17" s="1"/>
  <c r="S35" i="17" s="1"/>
  <c r="R35" i="17" s="1"/>
  <c r="U181" i="17"/>
  <c r="T181" i="17" s="1"/>
  <c r="S181" i="17" s="1"/>
  <c r="R181" i="17" s="1"/>
  <c r="U335" i="17"/>
  <c r="T335" i="17" s="1"/>
  <c r="S335" i="17" s="1"/>
  <c r="R335" i="17" s="1"/>
  <c r="U298" i="17"/>
  <c r="T298" i="17" s="1"/>
  <c r="S298" i="17" s="1"/>
  <c r="R298" i="17" s="1"/>
  <c r="U192" i="17"/>
  <c r="T192" i="17" s="1"/>
  <c r="S192" i="17" s="1"/>
  <c r="R192" i="17" s="1"/>
  <c r="U63" i="17"/>
  <c r="T63" i="17" s="1"/>
  <c r="S63" i="17" s="1"/>
  <c r="R63" i="17" s="1"/>
  <c r="U217" i="17"/>
  <c r="T217" i="17" s="1"/>
  <c r="S217" i="17" s="1"/>
  <c r="R217" i="17" s="1"/>
  <c r="U379" i="17"/>
  <c r="V16" i="7" s="1"/>
  <c r="U306" i="17"/>
  <c r="T306" i="17" s="1"/>
  <c r="S306" i="17" s="1"/>
  <c r="R306" i="17" s="1"/>
  <c r="U56" i="17"/>
  <c r="T56" i="17" s="1"/>
  <c r="S56" i="17" s="1"/>
  <c r="R56" i="17" s="1"/>
  <c r="U300" i="17"/>
  <c r="T300" i="17" s="1"/>
  <c r="S300" i="17" s="1"/>
  <c r="R300" i="17" s="1"/>
  <c r="U125" i="17"/>
  <c r="T125" i="17" s="1"/>
  <c r="S125" i="17" s="1"/>
  <c r="R125" i="17" s="1"/>
  <c r="U279" i="17"/>
  <c r="T279" i="17" s="1"/>
  <c r="S279" i="17" s="1"/>
  <c r="R279" i="17" s="1"/>
  <c r="U122" i="17"/>
  <c r="T122" i="17" s="1"/>
  <c r="S122" i="17" s="1"/>
  <c r="R122" i="17" s="1"/>
  <c r="U144" i="17"/>
  <c r="T144" i="17" s="1"/>
  <c r="S144" i="17" s="1"/>
  <c r="R144" i="17" s="1"/>
  <c r="U39" i="17"/>
  <c r="T39" i="17" s="1"/>
  <c r="S39" i="17" s="1"/>
  <c r="R39" i="17" s="1"/>
  <c r="U161" i="17"/>
  <c r="T161" i="17" s="1"/>
  <c r="S161" i="17" s="1"/>
  <c r="R161" i="17" s="1"/>
  <c r="U323" i="17"/>
  <c r="T323" i="17" s="1"/>
  <c r="S323" i="17" s="1"/>
  <c r="R323" i="17" s="1"/>
  <c r="U194" i="17"/>
  <c r="T194" i="17" s="1"/>
  <c r="S194" i="17" s="1"/>
  <c r="R194" i="17" s="1"/>
  <c r="U136" i="17"/>
  <c r="T136" i="17" s="1"/>
  <c r="S136" i="17" s="1"/>
  <c r="R136" i="17" s="1"/>
  <c r="U211" i="17"/>
  <c r="T211" i="17" s="1"/>
  <c r="S211" i="17" s="1"/>
  <c r="R211" i="17" s="1"/>
  <c r="U357" i="17"/>
  <c r="T357" i="17" s="1"/>
  <c r="S357" i="17" s="1"/>
  <c r="R357" i="17" s="1"/>
  <c r="U214" i="17"/>
  <c r="T214" i="17" s="1"/>
  <c r="S214" i="17" s="1"/>
  <c r="R214" i="17" s="1"/>
  <c r="U156" i="17"/>
  <c r="T156" i="17" s="1"/>
  <c r="S156" i="17" s="1"/>
  <c r="R156" i="17" s="1"/>
  <c r="U53" i="17"/>
  <c r="T53" i="17" s="1"/>
  <c r="S53" i="17" s="1"/>
  <c r="R53" i="17" s="1"/>
  <c r="U207" i="17"/>
  <c r="T207" i="17" s="1"/>
  <c r="S207" i="17" s="1"/>
  <c r="R207" i="17" s="1"/>
  <c r="U42" i="17"/>
  <c r="T42" i="17" s="1"/>
  <c r="S42" i="17" s="1"/>
  <c r="R42" i="17" s="1"/>
  <c r="U302" i="17"/>
  <c r="T302" i="17" s="1"/>
  <c r="S302" i="17" s="1"/>
  <c r="R302" i="17" s="1"/>
  <c r="U228" i="17"/>
  <c r="T228" i="17" s="1"/>
  <c r="S228" i="17" s="1"/>
  <c r="R228" i="17" s="1"/>
  <c r="U89" i="17"/>
  <c r="T89" i="17" s="1"/>
  <c r="S89" i="17" s="1"/>
  <c r="R89" i="17" s="1"/>
  <c r="U251" i="17"/>
  <c r="T251" i="17" s="1"/>
  <c r="S251" i="17" s="1"/>
  <c r="R251" i="17" s="1"/>
  <c r="U50" i="17"/>
  <c r="T50" i="17" s="1"/>
  <c r="S50" i="17" s="1"/>
  <c r="R50" i="17" s="1"/>
  <c r="U166" i="17"/>
  <c r="T166" i="17" s="1"/>
  <c r="S166" i="17" s="1"/>
  <c r="R166" i="17" s="1"/>
  <c r="U44" i="17"/>
  <c r="T44" i="17" s="1"/>
  <c r="S44" i="17" s="1"/>
  <c r="R44" i="17" s="1"/>
  <c r="U368" i="17"/>
  <c r="T368" i="17" s="1"/>
  <c r="S368" i="17" s="1"/>
  <c r="R368" i="17" s="1"/>
  <c r="U151" i="17"/>
  <c r="T151" i="17" s="1"/>
  <c r="S151" i="17" s="1"/>
  <c r="R151" i="17" s="1"/>
  <c r="U305" i="17"/>
  <c r="T305" i="17" s="1"/>
  <c r="S305" i="17" s="1"/>
  <c r="R305" i="17" s="1"/>
  <c r="U243" i="17"/>
  <c r="T243" i="17" s="1"/>
  <c r="S243" i="17" s="1"/>
  <c r="R243" i="17" s="1"/>
  <c r="U34" i="17"/>
  <c r="T34" i="17" s="1"/>
  <c r="S34" i="17" s="1"/>
  <c r="R34" i="17" s="1"/>
  <c r="U278" i="17"/>
  <c r="T278" i="17" s="1"/>
  <c r="S278" i="17" s="1"/>
  <c r="R278" i="17" s="1"/>
  <c r="U220" i="17"/>
  <c r="T220" i="17" s="1"/>
  <c r="S220" i="17" s="1"/>
  <c r="R220" i="17" s="1"/>
  <c r="U85" i="17"/>
  <c r="T85" i="17" s="1"/>
  <c r="S85" i="17" s="1"/>
  <c r="R85" i="17" s="1"/>
  <c r="U239" i="17"/>
  <c r="T239" i="17" s="1"/>
  <c r="S239" i="17" s="1"/>
  <c r="R239" i="17" s="1"/>
  <c r="U297" i="17"/>
  <c r="T297" i="17" s="1"/>
  <c r="S297" i="17" s="1"/>
  <c r="R297" i="17" s="1"/>
  <c r="U110" i="17"/>
  <c r="T110" i="17" s="1"/>
  <c r="S110" i="17" s="1"/>
  <c r="R110" i="17" s="1"/>
  <c r="U36" i="17"/>
  <c r="T36" i="17" s="1"/>
  <c r="S36" i="17" s="1"/>
  <c r="R36" i="17" s="1"/>
  <c r="U344" i="17"/>
  <c r="T344" i="17" s="1"/>
  <c r="S344" i="17" s="1"/>
  <c r="R344" i="17" s="1"/>
  <c r="U155" i="17"/>
  <c r="T155" i="17" s="1"/>
  <c r="S155" i="17" s="1"/>
  <c r="R155" i="17" s="1"/>
  <c r="U301" i="17"/>
  <c r="T301" i="17" s="1"/>
  <c r="S301" i="17" s="1"/>
  <c r="R301" i="17" s="1"/>
  <c r="U230" i="17"/>
  <c r="T230" i="17" s="1"/>
  <c r="S230" i="17" s="1"/>
  <c r="R230" i="17" s="1"/>
  <c r="U108" i="17"/>
  <c r="T108" i="17" s="1"/>
  <c r="S108" i="17" s="1"/>
  <c r="R108" i="17" s="1"/>
  <c r="U29" i="17"/>
  <c r="T29" i="17" s="1"/>
  <c r="S29" i="17" s="1"/>
  <c r="R29" i="17" s="1"/>
  <c r="U183" i="17"/>
  <c r="T183" i="17" s="1"/>
  <c r="S183" i="17" s="1"/>
  <c r="R183" i="17" s="1"/>
  <c r="U337" i="17"/>
  <c r="T337" i="17" s="1"/>
  <c r="S337" i="17" s="1"/>
  <c r="R337" i="17" s="1"/>
  <c r="U62" i="17"/>
  <c r="T62" i="17" s="1"/>
  <c r="S62" i="17" s="1"/>
  <c r="R62" i="17" s="1"/>
  <c r="U354" i="17"/>
  <c r="T354" i="17" s="1"/>
  <c r="S354" i="17" s="1"/>
  <c r="R354" i="17" s="1"/>
  <c r="U232" i="17"/>
  <c r="T232" i="17" s="1"/>
  <c r="S232" i="17" s="1"/>
  <c r="R232" i="17" s="1"/>
  <c r="U99" i="17"/>
  <c r="T99" i="17" s="1"/>
  <c r="S99" i="17" s="1"/>
  <c r="R99" i="17" s="1"/>
  <c r="U245" i="17"/>
  <c r="T245" i="17" s="1"/>
  <c r="S245" i="17" s="1"/>
  <c r="R245" i="17" s="1"/>
  <c r="G230" i="16"/>
  <c r="BY230" i="6" s="1"/>
  <c r="AA230" i="16"/>
  <c r="Z230" i="16" s="1"/>
  <c r="Y230" i="16" s="1"/>
  <c r="U109" i="17"/>
  <c r="T109" i="17" s="1"/>
  <c r="S109" i="17" s="1"/>
  <c r="R109" i="17" s="1"/>
  <c r="U268" i="17"/>
  <c r="T268" i="17" s="1"/>
  <c r="S268" i="17" s="1"/>
  <c r="R268" i="17" s="1"/>
  <c r="U18" i="17"/>
  <c r="T18" i="17" s="1"/>
  <c r="S18" i="17" s="1"/>
  <c r="R18" i="17" s="1"/>
  <c r="U105" i="17"/>
  <c r="T105" i="17" s="1"/>
  <c r="S105" i="17" s="1"/>
  <c r="R105" i="17" s="1"/>
  <c r="U160" i="17"/>
  <c r="T160" i="17" s="1"/>
  <c r="S160" i="17" s="1"/>
  <c r="R160" i="17" s="1"/>
  <c r="U319" i="17"/>
  <c r="T319" i="17" s="1"/>
  <c r="S319" i="17" s="1"/>
  <c r="R319" i="17" s="1"/>
  <c r="U51" i="17"/>
  <c r="T51" i="17" s="1"/>
  <c r="S51" i="17" s="1"/>
  <c r="R51" i="17" s="1"/>
  <c r="U130" i="17"/>
  <c r="T130" i="17" s="1"/>
  <c r="S130" i="17" s="1"/>
  <c r="R130" i="17" s="1"/>
  <c r="U129" i="17"/>
  <c r="T129" i="17" s="1"/>
  <c r="S129" i="17" s="1"/>
  <c r="R129" i="17" s="1"/>
  <c r="U80" i="17"/>
  <c r="T80" i="17" s="1"/>
  <c r="S80" i="17" s="1"/>
  <c r="R80" i="17" s="1"/>
  <c r="U375" i="17"/>
  <c r="T375" i="17" s="1"/>
  <c r="S375" i="17" s="1"/>
  <c r="R375" i="17" s="1"/>
  <c r="U75" i="17"/>
  <c r="T75" i="17" s="1"/>
  <c r="S75" i="17" s="1"/>
  <c r="R75" i="17" s="1"/>
  <c r="U15" i="17"/>
  <c r="T15" i="17" s="1"/>
  <c r="U138" i="17"/>
  <c r="T138" i="17" s="1"/>
  <c r="S138" i="17" s="1"/>
  <c r="R138" i="17" s="1"/>
  <c r="U165" i="17"/>
  <c r="T165" i="17" s="1"/>
  <c r="S165" i="17" s="1"/>
  <c r="R165" i="17" s="1"/>
  <c r="U264" i="17"/>
  <c r="T264" i="17" s="1"/>
  <c r="S264" i="17" s="1"/>
  <c r="R264" i="17" s="1"/>
  <c r="U30" i="17"/>
  <c r="T30" i="17" s="1"/>
  <c r="S30" i="17" s="1"/>
  <c r="R30" i="17" s="1"/>
  <c r="U103" i="17"/>
  <c r="T103" i="17" s="1"/>
  <c r="S103" i="17" s="1"/>
  <c r="R103" i="17" s="1"/>
  <c r="U250" i="17"/>
  <c r="T250" i="17" s="1"/>
  <c r="S250" i="17" s="1"/>
  <c r="R250" i="17" s="1"/>
  <c r="U189" i="17"/>
  <c r="T189" i="17" s="1"/>
  <c r="S189" i="17" s="1"/>
  <c r="R189" i="17" s="1"/>
  <c r="U184" i="17"/>
  <c r="T184" i="17" s="1"/>
  <c r="S184" i="17" s="1"/>
  <c r="R184" i="17" s="1"/>
  <c r="U187" i="17"/>
  <c r="T187" i="17" s="1"/>
  <c r="S187" i="17" s="1"/>
  <c r="R187" i="17" s="1"/>
  <c r="U100" i="17"/>
  <c r="T100" i="17" s="1"/>
  <c r="S100" i="17" s="1"/>
  <c r="R100" i="17" s="1"/>
  <c r="U329" i="17"/>
  <c r="T329" i="17" s="1"/>
  <c r="S329" i="17" s="1"/>
  <c r="R329" i="17" s="1"/>
  <c r="U352" i="17"/>
  <c r="T352" i="17" s="1"/>
  <c r="S352" i="17" s="1"/>
  <c r="R352" i="17" s="1"/>
  <c r="U86" i="17"/>
  <c r="T86" i="17" s="1"/>
  <c r="S86" i="17" s="1"/>
  <c r="R86" i="17" s="1"/>
  <c r="U147" i="17"/>
  <c r="T147" i="17" s="1"/>
  <c r="S147" i="17" s="1"/>
  <c r="R147" i="17" s="1"/>
  <c r="U212" i="17"/>
  <c r="T212" i="17" s="1"/>
  <c r="S212" i="17" s="1"/>
  <c r="R212" i="17" s="1"/>
  <c r="U353" i="17"/>
  <c r="T353" i="17" s="1"/>
  <c r="S353" i="17" s="1"/>
  <c r="R353" i="17" s="1"/>
  <c r="U45" i="17"/>
  <c r="T45" i="17" s="1"/>
  <c r="S45" i="17" s="1"/>
  <c r="R45" i="17" s="1"/>
  <c r="U198" i="17"/>
  <c r="T198" i="17" s="1"/>
  <c r="S198" i="17" s="1"/>
  <c r="R198" i="17" s="1"/>
  <c r="U171" i="17"/>
  <c r="T171" i="17" s="1"/>
  <c r="S171" i="17" s="1"/>
  <c r="R171" i="17" s="1"/>
  <c r="U324" i="17"/>
  <c r="T324" i="17" s="1"/>
  <c r="S324" i="17" s="1"/>
  <c r="R324" i="17" s="1"/>
  <c r="U74" i="17"/>
  <c r="T74" i="17" s="1"/>
  <c r="S74" i="17" s="1"/>
  <c r="R74" i="17" s="1"/>
  <c r="U133" i="17"/>
  <c r="T133" i="17" s="1"/>
  <c r="S133" i="17" s="1"/>
  <c r="R133" i="17" s="1"/>
  <c r="U49" i="17"/>
  <c r="T49" i="17" s="1"/>
  <c r="S49" i="17" s="1"/>
  <c r="R49" i="17" s="1"/>
  <c r="U222" i="17"/>
  <c r="T222" i="17" s="1"/>
  <c r="S222" i="17" s="1"/>
  <c r="R222" i="17" s="1"/>
  <c r="U199" i="17"/>
  <c r="T199" i="17" s="1"/>
  <c r="S199" i="17" s="1"/>
  <c r="R199" i="17" s="1"/>
  <c r="U332" i="17"/>
  <c r="T332" i="17" s="1"/>
  <c r="S332" i="17" s="1"/>
  <c r="R332" i="17" s="1"/>
  <c r="U82" i="17"/>
  <c r="T82" i="17" s="1"/>
  <c r="S82" i="17" s="1"/>
  <c r="R82" i="17" s="1"/>
  <c r="U137" i="17"/>
  <c r="T137" i="17" s="1"/>
  <c r="S137" i="17" s="1"/>
  <c r="R137" i="17" s="1"/>
  <c r="U334" i="17"/>
  <c r="T334" i="17" s="1"/>
  <c r="S334" i="17" s="1"/>
  <c r="R334" i="17" s="1"/>
  <c r="U223" i="17"/>
  <c r="T223" i="17" s="1"/>
  <c r="S223" i="17" s="1"/>
  <c r="R223" i="17" s="1"/>
  <c r="U252" i="17"/>
  <c r="T252" i="17" s="1"/>
  <c r="S252" i="17" s="1"/>
  <c r="R252" i="17" s="1"/>
  <c r="U213" i="17"/>
  <c r="T213" i="17" s="1"/>
  <c r="S213" i="17" s="1"/>
  <c r="R213" i="17" s="1"/>
  <c r="U168" i="17"/>
  <c r="T168" i="17" s="1"/>
  <c r="S168" i="17" s="1"/>
  <c r="R168" i="17" s="1"/>
  <c r="U371" i="17"/>
  <c r="T371" i="17" s="1"/>
  <c r="S371" i="17" s="1"/>
  <c r="R371" i="17" s="1"/>
  <c r="AC189" i="18"/>
  <c r="AC366" i="18"/>
  <c r="AC180" i="18"/>
  <c r="AC157" i="18"/>
  <c r="AC347" i="18"/>
  <c r="AC132" i="18"/>
  <c r="AC79" i="18"/>
  <c r="AC210" i="18"/>
  <c r="AC110" i="18"/>
  <c r="AC251" i="18"/>
  <c r="AC376" i="18"/>
  <c r="AC91" i="18"/>
  <c r="AC194" i="18"/>
  <c r="AC293" i="18"/>
  <c r="AC307" i="18"/>
  <c r="AC316" i="18"/>
  <c r="AC122" i="18"/>
  <c r="AC102" i="18"/>
  <c r="AC374" i="18"/>
  <c r="AC290" i="18"/>
  <c r="AC93" i="18"/>
  <c r="AC159" i="18"/>
  <c r="AC335" i="18"/>
  <c r="AC359" i="18"/>
  <c r="AC191" i="18"/>
  <c r="AC126" i="18"/>
  <c r="AC351" i="18"/>
  <c r="AC221" i="18"/>
  <c r="AC145" i="18"/>
  <c r="AC246" i="18"/>
  <c r="AC109" i="18"/>
  <c r="AC228" i="18"/>
  <c r="AC303" i="18"/>
  <c r="AC318" i="18"/>
  <c r="AC133" i="18"/>
  <c r="AC205" i="18"/>
  <c r="AC199" i="18"/>
  <c r="AC320" i="18"/>
  <c r="AC103" i="18"/>
  <c r="AC218" i="18"/>
  <c r="AC299" i="18"/>
  <c r="AC292" i="18"/>
  <c r="AC155" i="18"/>
  <c r="AC378" i="18"/>
  <c r="AC140" i="18"/>
  <c r="AC119" i="18"/>
  <c r="AC250" i="18"/>
  <c r="AC183" i="18"/>
  <c r="AC370" i="18"/>
  <c r="AC86" i="18"/>
  <c r="AC146" i="18"/>
  <c r="AC248" i="18"/>
  <c r="AC236" i="18"/>
  <c r="AC314" i="18"/>
  <c r="AC100" i="18"/>
  <c r="AC164" i="18"/>
  <c r="AC360" i="18"/>
  <c r="AC129" i="18"/>
  <c r="AC232" i="18"/>
  <c r="AC85" i="18"/>
  <c r="AC269" i="18"/>
  <c r="AC350" i="18"/>
  <c r="AC313" i="18"/>
  <c r="AC195" i="18"/>
  <c r="G337" i="16"/>
  <c r="BY337" i="6" s="1"/>
  <c r="AA337" i="16"/>
  <c r="Z337" i="16" s="1"/>
  <c r="Y337" i="16" s="1"/>
  <c r="H204" i="15"/>
  <c r="AA204" i="15"/>
  <c r="Z204" i="15" s="1"/>
  <c r="Y204" i="15" s="1"/>
  <c r="H259" i="15"/>
  <c r="G259" i="15"/>
  <c r="BX259" i="6" s="1"/>
  <c r="G74" i="16"/>
  <c r="BY74" i="6" s="1"/>
  <c r="AA74" i="16"/>
  <c r="Z74" i="16" s="1"/>
  <c r="Y74" i="16" s="1"/>
  <c r="G216" i="16"/>
  <c r="BY216" i="6" s="1"/>
  <c r="AA216" i="16"/>
  <c r="Z216" i="16" s="1"/>
  <c r="Y216" i="16" s="1"/>
  <c r="G185" i="16"/>
  <c r="BY185" i="6" s="1"/>
  <c r="AA185" i="16"/>
  <c r="Z185" i="16" s="1"/>
  <c r="Y185" i="16" s="1"/>
  <c r="G175" i="16"/>
  <c r="BY175" i="6" s="1"/>
  <c r="AA175" i="16"/>
  <c r="Z175" i="16" s="1"/>
  <c r="Y175" i="16" s="1"/>
  <c r="H237" i="15"/>
  <c r="J237" i="15" s="1"/>
  <c r="AA237" i="15"/>
  <c r="Z237" i="15" s="1"/>
  <c r="Y237" i="15" s="1"/>
  <c r="AA322" i="16"/>
  <c r="Z322" i="16" s="1"/>
  <c r="Y322" i="16" s="1"/>
  <c r="G263" i="16"/>
  <c r="BY263" i="6" s="1"/>
  <c r="AA263" i="16"/>
  <c r="Z263" i="16" s="1"/>
  <c r="Y263" i="16" s="1"/>
  <c r="G316" i="16"/>
  <c r="BY316" i="6" s="1"/>
  <c r="AA316" i="16"/>
  <c r="Z316" i="16" s="1"/>
  <c r="Y316" i="16" s="1"/>
  <c r="G280" i="16"/>
  <c r="BY280" i="6" s="1"/>
  <c r="AA280" i="16"/>
  <c r="Z280" i="16" s="1"/>
  <c r="Y280" i="16" s="1"/>
  <c r="G90" i="15"/>
  <c r="BX90" i="6" s="1"/>
  <c r="AA90" i="15"/>
  <c r="Z90" i="15" s="1"/>
  <c r="Y90" i="15" s="1"/>
  <c r="H90" i="15"/>
  <c r="G248" i="15"/>
  <c r="BX248" i="6" s="1"/>
  <c r="H248" i="15"/>
  <c r="G125" i="15"/>
  <c r="BX125" i="6" s="1"/>
  <c r="H125" i="15"/>
  <c r="H218" i="15"/>
  <c r="G218" i="15"/>
  <c r="BX218" i="6" s="1"/>
  <c r="AA125" i="15"/>
  <c r="Z125" i="15" s="1"/>
  <c r="Y125" i="15" s="1"/>
  <c r="G201" i="15"/>
  <c r="BX201" i="6" s="1"/>
  <c r="H201" i="15"/>
  <c r="H115" i="15"/>
  <c r="G115" i="15"/>
  <c r="BX115" i="6" s="1"/>
  <c r="H197" i="15"/>
  <c r="J197" i="15" s="1"/>
  <c r="G101" i="15"/>
  <c r="BX101" i="6" s="1"/>
  <c r="AA356" i="15"/>
  <c r="Z356" i="15" s="1"/>
  <c r="Y356" i="15" s="1"/>
  <c r="AA51" i="15"/>
  <c r="Z51" i="15" s="1"/>
  <c r="Y51" i="15" s="1"/>
  <c r="AA26" i="15"/>
  <c r="Z26" i="15" s="1"/>
  <c r="Y26" i="15" s="1"/>
  <c r="G271" i="15"/>
  <c r="BX271" i="6" s="1"/>
  <c r="H185" i="16"/>
  <c r="I185" i="16" s="1"/>
  <c r="G93" i="15"/>
  <c r="BX93" i="6" s="1"/>
  <c r="AA259" i="15"/>
  <c r="Z259" i="15" s="1"/>
  <c r="Y259" i="15" s="1"/>
  <c r="F106" i="16"/>
  <c r="G106" i="16" s="1"/>
  <c r="BY106" i="6" s="1"/>
  <c r="AA290" i="16"/>
  <c r="Z290" i="16" s="1"/>
  <c r="Y290" i="16" s="1"/>
  <c r="H356" i="15"/>
  <c r="J356" i="15" s="1"/>
  <c r="AA353" i="15"/>
  <c r="Z353" i="15" s="1"/>
  <c r="Y353" i="15" s="1"/>
  <c r="G39" i="15"/>
  <c r="BX39" i="6" s="1"/>
  <c r="G368" i="1"/>
  <c r="BW368" i="6" s="1"/>
  <c r="AA107" i="16"/>
  <c r="Z107" i="16" s="1"/>
  <c r="Y107" i="16" s="1"/>
  <c r="F167" i="16"/>
  <c r="AA167" i="16" s="1"/>
  <c r="Z167" i="16" s="1"/>
  <c r="Y167" i="16" s="1"/>
  <c r="H37" i="15"/>
  <c r="I37" i="15" s="1"/>
  <c r="H37" i="16" s="1"/>
  <c r="U132" i="17"/>
  <c r="T132" i="17" s="1"/>
  <c r="S132" i="17" s="1"/>
  <c r="R132" i="17" s="1"/>
  <c r="U177" i="17"/>
  <c r="T177" i="17" s="1"/>
  <c r="S177" i="17" s="1"/>
  <c r="R177" i="17" s="1"/>
  <c r="U206" i="17"/>
  <c r="T206" i="17" s="1"/>
  <c r="S206" i="17" s="1"/>
  <c r="R206" i="17" s="1"/>
  <c r="U23" i="17"/>
  <c r="T23" i="17" s="1"/>
  <c r="S23" i="17" s="1"/>
  <c r="R23" i="17" s="1"/>
  <c r="U313" i="17"/>
  <c r="T313" i="17" s="1"/>
  <c r="S313" i="17" s="1"/>
  <c r="R313" i="17" s="1"/>
  <c r="U112" i="17"/>
  <c r="T112" i="17" s="1"/>
  <c r="S112" i="17" s="1"/>
  <c r="R112" i="17" s="1"/>
  <c r="U159" i="17"/>
  <c r="T159" i="17" s="1"/>
  <c r="S159" i="17" s="1"/>
  <c r="R159" i="17" s="1"/>
  <c r="U154" i="17"/>
  <c r="T154" i="17" s="1"/>
  <c r="S154" i="17" s="1"/>
  <c r="R154" i="17" s="1"/>
  <c r="U37" i="17"/>
  <c r="T37" i="17" s="1"/>
  <c r="S37" i="17" s="1"/>
  <c r="R37" i="17" s="1"/>
  <c r="U327" i="17"/>
  <c r="T327" i="17" s="1"/>
  <c r="S327" i="17" s="1"/>
  <c r="R327" i="17" s="1"/>
  <c r="U124" i="17"/>
  <c r="T124" i="17" s="1"/>
  <c r="S124" i="17" s="1"/>
  <c r="R124" i="17" s="1"/>
  <c r="U269" i="17"/>
  <c r="T269" i="17" s="1"/>
  <c r="S269" i="17" s="1"/>
  <c r="R269" i="17" s="1"/>
  <c r="U374" i="17"/>
  <c r="T374" i="17" s="1"/>
  <c r="S374" i="17" s="1"/>
  <c r="R374" i="17" s="1"/>
  <c r="U123" i="17"/>
  <c r="T123" i="17" s="1"/>
  <c r="S123" i="17" s="1"/>
  <c r="R123" i="17" s="1"/>
  <c r="U66" i="17"/>
  <c r="T66" i="17" s="1"/>
  <c r="S66" i="17" s="1"/>
  <c r="R66" i="17" s="1"/>
  <c r="U280" i="17"/>
  <c r="T280" i="17" s="1"/>
  <c r="S280" i="17" s="1"/>
  <c r="R280" i="17" s="1"/>
  <c r="U259" i="17"/>
  <c r="T259" i="17" s="1"/>
  <c r="S259" i="17" s="1"/>
  <c r="R259" i="17" s="1"/>
  <c r="U338" i="17"/>
  <c r="T338" i="17" s="1"/>
  <c r="S338" i="17" s="1"/>
  <c r="R338" i="17" s="1"/>
  <c r="U97" i="17"/>
  <c r="T97" i="17" s="1"/>
  <c r="S97" i="17" s="1"/>
  <c r="R97" i="17" s="1"/>
  <c r="U46" i="17"/>
  <c r="T46" i="17" s="1"/>
  <c r="S46" i="17" s="1"/>
  <c r="R46" i="17" s="1"/>
  <c r="U308" i="17"/>
  <c r="T308" i="17" s="1"/>
  <c r="S308" i="17" s="1"/>
  <c r="R308" i="17" s="1"/>
  <c r="U265" i="17"/>
  <c r="T265" i="17" s="1"/>
  <c r="S265" i="17" s="1"/>
  <c r="R265" i="17" s="1"/>
  <c r="U16" i="17"/>
  <c r="T16" i="17" s="1"/>
  <c r="S16" i="17" s="1"/>
  <c r="R16" i="17" s="1"/>
  <c r="U79" i="17"/>
  <c r="T79" i="17" s="1"/>
  <c r="S79" i="17" s="1"/>
  <c r="R79" i="17" s="1"/>
  <c r="U369" i="17"/>
  <c r="T369" i="17" s="1"/>
  <c r="S369" i="17" s="1"/>
  <c r="R369" i="17" s="1"/>
  <c r="U224" i="17"/>
  <c r="T224" i="17" s="1"/>
  <c r="S224" i="17" s="1"/>
  <c r="R224" i="17" s="1"/>
  <c r="U215" i="17"/>
  <c r="T215" i="17" s="1"/>
  <c r="S215" i="17" s="1"/>
  <c r="R215" i="17" s="1"/>
  <c r="U266" i="17"/>
  <c r="T266" i="17" s="1"/>
  <c r="S266" i="17" s="1"/>
  <c r="R266" i="17" s="1"/>
  <c r="U61" i="17"/>
  <c r="T61" i="17" s="1"/>
  <c r="S61" i="17" s="1"/>
  <c r="R61" i="17" s="1"/>
  <c r="U351" i="17"/>
  <c r="T351" i="17" s="1"/>
  <c r="S351" i="17" s="1"/>
  <c r="R351" i="17" s="1"/>
  <c r="U172" i="17"/>
  <c r="T172" i="17" s="1"/>
  <c r="S172" i="17" s="1"/>
  <c r="R172" i="17" s="1"/>
  <c r="U229" i="17"/>
  <c r="T229" i="17" s="1"/>
  <c r="S229" i="17" s="1"/>
  <c r="R229" i="17" s="1"/>
  <c r="U294" i="17"/>
  <c r="T294" i="17" s="1"/>
  <c r="S294" i="17" s="1"/>
  <c r="R294" i="17" s="1"/>
  <c r="U83" i="17"/>
  <c r="T83" i="17" s="1"/>
  <c r="S83" i="17" s="1"/>
  <c r="R83" i="17" s="1"/>
  <c r="U178" i="17"/>
  <c r="T178" i="17" s="1"/>
  <c r="S178" i="17" s="1"/>
  <c r="R178" i="17" s="1"/>
  <c r="U19" i="17"/>
  <c r="T19" i="17" s="1"/>
  <c r="S19" i="17" s="1"/>
  <c r="R19" i="17" s="1"/>
  <c r="U315" i="17"/>
  <c r="T315" i="17" s="1"/>
  <c r="S315" i="17" s="1"/>
  <c r="R315" i="17" s="1"/>
  <c r="U84" i="17"/>
  <c r="T84" i="17" s="1"/>
  <c r="S84" i="17" s="1"/>
  <c r="R84" i="17" s="1"/>
  <c r="U153" i="17"/>
  <c r="T153" i="17" s="1"/>
  <c r="S153" i="17" s="1"/>
  <c r="R153" i="17" s="1"/>
  <c r="U158" i="17"/>
  <c r="T158" i="17" s="1"/>
  <c r="S158" i="17" s="1"/>
  <c r="R158" i="17" s="1"/>
  <c r="U356" i="17"/>
  <c r="T356" i="17" s="1"/>
  <c r="S356" i="17" s="1"/>
  <c r="R356" i="17" s="1"/>
  <c r="U289" i="17"/>
  <c r="T289" i="17" s="1"/>
  <c r="S289" i="17" s="1"/>
  <c r="R289" i="17" s="1"/>
  <c r="U64" i="17"/>
  <c r="T64" i="17" s="1"/>
  <c r="S64" i="17" s="1"/>
  <c r="R64" i="17" s="1"/>
  <c r="U167" i="17"/>
  <c r="T167" i="17" s="1"/>
  <c r="S167" i="17" s="1"/>
  <c r="R167" i="17" s="1"/>
  <c r="U170" i="17"/>
  <c r="T170" i="17" s="1"/>
  <c r="S170" i="17" s="1"/>
  <c r="R170" i="17" s="1"/>
  <c r="U237" i="17"/>
  <c r="T237" i="17" s="1"/>
  <c r="S237" i="17" s="1"/>
  <c r="R237" i="17" s="1"/>
  <c r="U310" i="17"/>
  <c r="T310" i="17" s="1"/>
  <c r="S310" i="17" s="1"/>
  <c r="R310" i="17" s="1"/>
  <c r="U91" i="17"/>
  <c r="T91" i="17" s="1"/>
  <c r="S91" i="17" s="1"/>
  <c r="R91" i="17" s="1"/>
  <c r="U373" i="17"/>
  <c r="T373" i="17" s="1"/>
  <c r="S373" i="17" s="1"/>
  <c r="R373" i="17" s="1"/>
  <c r="U216" i="17"/>
  <c r="T216" i="17" s="1"/>
  <c r="S216" i="17" s="1"/>
  <c r="R216" i="17" s="1"/>
  <c r="U227" i="17"/>
  <c r="T227" i="17" s="1"/>
  <c r="S227" i="17" s="1"/>
  <c r="R227" i="17" s="1"/>
  <c r="U274" i="17"/>
  <c r="T274" i="17" s="1"/>
  <c r="S274" i="17" s="1"/>
  <c r="R274" i="17" s="1"/>
  <c r="U65" i="17"/>
  <c r="T65" i="17" s="1"/>
  <c r="S65" i="17" s="1"/>
  <c r="R65" i="17" s="1"/>
  <c r="U363" i="17"/>
  <c r="T363" i="17" s="1"/>
  <c r="S363" i="17" s="1"/>
  <c r="R363" i="17" s="1"/>
  <c r="U244" i="17"/>
  <c r="T244" i="17" s="1"/>
  <c r="S244" i="17" s="1"/>
  <c r="R244" i="17" s="1"/>
  <c r="U233" i="17"/>
  <c r="T233" i="17" s="1"/>
  <c r="S233" i="17" s="1"/>
  <c r="R233" i="17" s="1"/>
  <c r="U318" i="17"/>
  <c r="T318" i="17" s="1"/>
  <c r="S318" i="17" s="1"/>
  <c r="R318" i="17" s="1"/>
  <c r="U175" i="17"/>
  <c r="T175" i="17" s="1"/>
  <c r="S175" i="17" s="1"/>
  <c r="R175" i="17" s="1"/>
  <c r="U186" i="17"/>
  <c r="T186" i="17" s="1"/>
  <c r="S186" i="17" s="1"/>
  <c r="R186" i="17" s="1"/>
  <c r="U21" i="17"/>
  <c r="T21" i="17" s="1"/>
  <c r="S21" i="17" s="1"/>
  <c r="R21" i="17" s="1"/>
  <c r="U311" i="17"/>
  <c r="T311" i="17" s="1"/>
  <c r="S311" i="17" s="1"/>
  <c r="R311" i="17" s="1"/>
  <c r="U92" i="17"/>
  <c r="T92" i="17" s="1"/>
  <c r="S92" i="17" s="1"/>
  <c r="R92" i="17" s="1"/>
  <c r="U157" i="17"/>
  <c r="T157" i="17" s="1"/>
  <c r="S157" i="17" s="1"/>
  <c r="R157" i="17" s="1"/>
  <c r="U150" i="17"/>
  <c r="T150" i="17" s="1"/>
  <c r="S150" i="17" s="1"/>
  <c r="R150" i="17" s="1"/>
  <c r="U364" i="17"/>
  <c r="T364" i="17" s="1"/>
  <c r="S364" i="17" s="1"/>
  <c r="R364" i="17" s="1"/>
  <c r="U325" i="17"/>
  <c r="T325" i="17" s="1"/>
  <c r="S325" i="17" s="1"/>
  <c r="R325" i="17" s="1"/>
  <c r="U120" i="17"/>
  <c r="T120" i="17" s="1"/>
  <c r="S120" i="17" s="1"/>
  <c r="R120" i="17" s="1"/>
  <c r="U179" i="17"/>
  <c r="T179" i="17" s="1"/>
  <c r="S179" i="17" s="1"/>
  <c r="R179" i="17" s="1"/>
  <c r="U114" i="17"/>
  <c r="T114" i="17" s="1"/>
  <c r="S114" i="17" s="1"/>
  <c r="R114" i="17" s="1"/>
  <c r="U328" i="17"/>
  <c r="T328" i="17" s="1"/>
  <c r="S328" i="17" s="1"/>
  <c r="R328" i="17" s="1"/>
  <c r="U283" i="17"/>
  <c r="T283" i="17" s="1"/>
  <c r="S283" i="17" s="1"/>
  <c r="R283" i="17" s="1"/>
  <c r="U20" i="17"/>
  <c r="T20" i="17" s="1"/>
  <c r="S20" i="17" s="1"/>
  <c r="R20" i="17" s="1"/>
  <c r="U121" i="17"/>
  <c r="T121" i="17" s="1"/>
  <c r="S121" i="17" s="1"/>
  <c r="R121" i="17" s="1"/>
  <c r="U94" i="17"/>
  <c r="T94" i="17" s="1"/>
  <c r="S94" i="17" s="1"/>
  <c r="R94" i="17" s="1"/>
  <c r="U292" i="17"/>
  <c r="T292" i="17" s="1"/>
  <c r="S292" i="17" s="1"/>
  <c r="R292" i="17" s="1"/>
  <c r="U257" i="17"/>
  <c r="T257" i="17" s="1"/>
  <c r="S257" i="17" s="1"/>
  <c r="R257" i="17" s="1"/>
  <c r="U366" i="17"/>
  <c r="T366" i="17" s="1"/>
  <c r="S366" i="17" s="1"/>
  <c r="R366" i="17" s="1"/>
  <c r="U135" i="17"/>
  <c r="T135" i="17" s="1"/>
  <c r="S135" i="17" s="1"/>
  <c r="R135" i="17" s="1"/>
  <c r="U106" i="17"/>
  <c r="T106" i="17" s="1"/>
  <c r="S106" i="17" s="1"/>
  <c r="R106" i="17" s="1"/>
  <c r="U336" i="17"/>
  <c r="T336" i="17" s="1"/>
  <c r="S336" i="17" s="1"/>
  <c r="R336" i="17" s="1"/>
  <c r="U111" i="17"/>
  <c r="T111" i="17" s="1"/>
  <c r="S111" i="17" s="1"/>
  <c r="R111" i="17" s="1"/>
  <c r="U58" i="17"/>
  <c r="T58" i="17" s="1"/>
  <c r="S58" i="17" s="1"/>
  <c r="R58" i="17" s="1"/>
  <c r="U288" i="17"/>
  <c r="T288" i="17" s="1"/>
  <c r="S288" i="17" s="1"/>
  <c r="R288" i="17" s="1"/>
  <c r="U247" i="17"/>
  <c r="T247" i="17" s="1"/>
  <c r="S247" i="17" s="1"/>
  <c r="R247" i="17" s="1"/>
  <c r="U330" i="17"/>
  <c r="T330" i="17" s="1"/>
  <c r="S330" i="17" s="1"/>
  <c r="R330" i="17" s="1"/>
  <c r="U93" i="17"/>
  <c r="T93" i="17" s="1"/>
  <c r="S93" i="17" s="1"/>
  <c r="R93" i="17" s="1"/>
  <c r="U22" i="17"/>
  <c r="T22" i="17" s="1"/>
  <c r="S22" i="17" s="1"/>
  <c r="R22" i="17" s="1"/>
  <c r="U236" i="17"/>
  <c r="T236" i="17" s="1"/>
  <c r="S236" i="17" s="1"/>
  <c r="R236" i="17" s="1"/>
  <c r="U261" i="17"/>
  <c r="T261" i="17" s="1"/>
  <c r="S261" i="17" s="1"/>
  <c r="R261" i="17" s="1"/>
  <c r="U358" i="17"/>
  <c r="T358" i="17" s="1"/>
  <c r="S358" i="17" s="1"/>
  <c r="R358" i="17" s="1"/>
  <c r="U115" i="17"/>
  <c r="T115" i="17" s="1"/>
  <c r="S115" i="17" s="1"/>
  <c r="R115" i="17" s="1"/>
  <c r="U365" i="17"/>
  <c r="T365" i="17" s="1"/>
  <c r="S365" i="17" s="1"/>
  <c r="R365" i="17" s="1"/>
  <c r="U200" i="17"/>
  <c r="T200" i="17" s="1"/>
  <c r="S200" i="17" s="1"/>
  <c r="R200" i="17" s="1"/>
  <c r="U219" i="17"/>
  <c r="T219" i="17" s="1"/>
  <c r="S219" i="17" s="1"/>
  <c r="R219" i="17" s="1"/>
  <c r="U258" i="17"/>
  <c r="T258" i="17" s="1"/>
  <c r="S258" i="17" s="1"/>
  <c r="R258" i="17" s="1"/>
  <c r="U57" i="17"/>
  <c r="T57" i="17" s="1"/>
  <c r="S57" i="17" s="1"/>
  <c r="R57" i="17" s="1"/>
  <c r="U355" i="17"/>
  <c r="T355" i="17" s="1"/>
  <c r="S355" i="17" s="1"/>
  <c r="R355" i="17" s="1"/>
  <c r="U164" i="17"/>
  <c r="T164" i="17" s="1"/>
  <c r="S164" i="17" s="1"/>
  <c r="R164" i="17" s="1"/>
  <c r="U193" i="17"/>
  <c r="T193" i="17" s="1"/>
  <c r="S193" i="17" s="1"/>
  <c r="R193" i="17" s="1"/>
  <c r="U238" i="17"/>
  <c r="T238" i="17" s="1"/>
  <c r="S238" i="17" s="1"/>
  <c r="R238" i="17" s="1"/>
  <c r="U71" i="17"/>
  <c r="T71" i="17" s="1"/>
  <c r="S71" i="17" s="1"/>
  <c r="R71" i="17" s="1"/>
  <c r="U361" i="17"/>
  <c r="T361" i="17" s="1"/>
  <c r="S361" i="17" s="1"/>
  <c r="R361" i="17" s="1"/>
  <c r="U208" i="17"/>
  <c r="T208" i="17" s="1"/>
  <c r="S208" i="17" s="1"/>
  <c r="R208" i="17" s="1"/>
  <c r="U303" i="17"/>
  <c r="T303" i="17" s="1"/>
  <c r="S303" i="17" s="1"/>
  <c r="R303" i="17" s="1"/>
  <c r="U76" i="17"/>
  <c r="T76" i="17" s="1"/>
  <c r="S76" i="17" s="1"/>
  <c r="R76" i="17" s="1"/>
  <c r="U149" i="17"/>
  <c r="T149" i="17" s="1"/>
  <c r="S149" i="17" s="1"/>
  <c r="R149" i="17" s="1"/>
  <c r="U134" i="17"/>
  <c r="T134" i="17" s="1"/>
  <c r="S134" i="17" s="1"/>
  <c r="R134" i="17" s="1"/>
  <c r="U348" i="17"/>
  <c r="T348" i="17" s="1"/>
  <c r="S348" i="17" s="1"/>
  <c r="R348" i="17" s="1"/>
  <c r="U285" i="17"/>
  <c r="T285" i="17" s="1"/>
  <c r="S285" i="17" s="1"/>
  <c r="R285" i="17" s="1"/>
  <c r="U40" i="17"/>
  <c r="T40" i="17" s="1"/>
  <c r="S40" i="17" s="1"/>
  <c r="R40" i="17" s="1"/>
  <c r="U139" i="17"/>
  <c r="T139" i="17" s="1"/>
  <c r="S139" i="17" s="1"/>
  <c r="R139" i="17" s="1"/>
  <c r="U162" i="17"/>
  <c r="T162" i="17" s="1"/>
  <c r="S162" i="17" s="1"/>
  <c r="R162" i="17" s="1"/>
  <c r="U376" i="17"/>
  <c r="T376" i="17" s="1"/>
  <c r="S376" i="17" s="1"/>
  <c r="R376" i="17" s="1"/>
  <c r="U307" i="17"/>
  <c r="T307" i="17" s="1"/>
  <c r="S307" i="17" s="1"/>
  <c r="R307" i="17" s="1"/>
  <c r="U370" i="17"/>
  <c r="T370" i="17" s="1"/>
  <c r="S370" i="17" s="1"/>
  <c r="R370" i="17" s="1"/>
  <c r="U113" i="17"/>
  <c r="T113" i="17" s="1"/>
  <c r="S113" i="17" s="1"/>
  <c r="R113" i="17" s="1"/>
  <c r="U78" i="17"/>
  <c r="T78" i="17" s="1"/>
  <c r="S78" i="17" s="1"/>
  <c r="R78" i="17" s="1"/>
  <c r="U276" i="17"/>
  <c r="T276" i="17" s="1"/>
  <c r="S276" i="17" s="1"/>
  <c r="R276" i="17" s="1"/>
  <c r="U249" i="17"/>
  <c r="T249" i="17" s="1"/>
  <c r="S249" i="17" s="1"/>
  <c r="R249" i="17" s="1"/>
  <c r="U350" i="17"/>
  <c r="T350" i="17" s="1"/>
  <c r="S350" i="17" s="1"/>
  <c r="R350" i="17" s="1"/>
  <c r="U95" i="17"/>
  <c r="T95" i="17" s="1"/>
  <c r="S95" i="17" s="1"/>
  <c r="R95" i="17" s="1"/>
  <c r="U26" i="17"/>
  <c r="T26" i="17" s="1"/>
  <c r="S26" i="17" s="1"/>
  <c r="R26" i="17" s="1"/>
  <c r="U256" i="17"/>
  <c r="T256" i="17" s="1"/>
  <c r="S256" i="17" s="1"/>
  <c r="R256" i="17" s="1"/>
  <c r="U263" i="17"/>
  <c r="T263" i="17" s="1"/>
  <c r="S263" i="17" s="1"/>
  <c r="R263" i="17" s="1"/>
  <c r="U362" i="17"/>
  <c r="T362" i="17" s="1"/>
  <c r="S362" i="17" s="1"/>
  <c r="R362" i="17" s="1"/>
  <c r="U205" i="17"/>
  <c r="T205" i="17" s="1"/>
  <c r="S205" i="17" s="1"/>
  <c r="R205" i="17" s="1"/>
  <c r="U246" i="17"/>
  <c r="T246" i="17" s="1"/>
  <c r="S246" i="17" s="1"/>
  <c r="R246" i="17" s="1"/>
  <c r="U59" i="17"/>
  <c r="T59" i="17" s="1"/>
  <c r="S59" i="17" s="1"/>
  <c r="R59" i="17" s="1"/>
  <c r="U341" i="17"/>
  <c r="T341" i="17" s="1"/>
  <c r="S341" i="17" s="1"/>
  <c r="R341" i="17" s="1"/>
  <c r="U152" i="17"/>
  <c r="T152" i="17" s="1"/>
  <c r="S152" i="17" s="1"/>
  <c r="R152" i="17" s="1"/>
  <c r="U195" i="17"/>
  <c r="T195" i="17" s="1"/>
  <c r="S195" i="17" s="1"/>
  <c r="R195" i="17" s="1"/>
  <c r="U210" i="17"/>
  <c r="T210" i="17" s="1"/>
  <c r="S210" i="17" s="1"/>
  <c r="R210" i="17" s="1"/>
  <c r="U33" i="17"/>
  <c r="T33" i="17" s="1"/>
  <c r="S33" i="17" s="1"/>
  <c r="R33" i="17" s="1"/>
  <c r="U331" i="17"/>
  <c r="T331" i="17" s="1"/>
  <c r="S331" i="17" s="1"/>
  <c r="R331" i="17" s="1"/>
  <c r="U180" i="17"/>
  <c r="T180" i="17" s="1"/>
  <c r="S180" i="17" s="1"/>
  <c r="R180" i="17" s="1"/>
  <c r="U201" i="17"/>
  <c r="T201" i="17" s="1"/>
  <c r="S201" i="17" s="1"/>
  <c r="R201" i="17" s="1"/>
  <c r="U254" i="17"/>
  <c r="T254" i="17" s="1"/>
  <c r="S254" i="17" s="1"/>
  <c r="R254" i="17" s="1"/>
  <c r="U271" i="17"/>
  <c r="T271" i="17" s="1"/>
  <c r="S271" i="17" s="1"/>
  <c r="R271" i="17" s="1"/>
  <c r="U378" i="17"/>
  <c r="T378" i="17" s="1"/>
  <c r="S378" i="17" s="1"/>
  <c r="R378" i="17" s="1"/>
  <c r="U117" i="17"/>
  <c r="T117" i="17" s="1"/>
  <c r="S117" i="17" s="1"/>
  <c r="R117" i="17" s="1"/>
  <c r="U70" i="17"/>
  <c r="T70" i="17" s="1"/>
  <c r="S70" i="17" s="1"/>
  <c r="R70" i="17" s="1"/>
  <c r="U284" i="17"/>
  <c r="T284" i="17" s="1"/>
  <c r="S284" i="17" s="1"/>
  <c r="R284" i="17" s="1"/>
  <c r="U253" i="17"/>
  <c r="T253" i="17" s="1"/>
  <c r="S253" i="17" s="1"/>
  <c r="R253" i="17" s="1"/>
  <c r="U342" i="17"/>
  <c r="T342" i="17" s="1"/>
  <c r="S342" i="17" s="1"/>
  <c r="R342" i="17" s="1"/>
  <c r="U107" i="17"/>
  <c r="T107" i="17" s="1"/>
  <c r="S107" i="17" s="1"/>
  <c r="R107" i="17" s="1"/>
  <c r="U98" i="17"/>
  <c r="T98" i="17" s="1"/>
  <c r="S98" i="17" s="1"/>
  <c r="R98" i="17" s="1"/>
  <c r="U312" i="17"/>
  <c r="T312" i="17" s="1"/>
  <c r="S312" i="17" s="1"/>
  <c r="R312" i="17" s="1"/>
  <c r="U275" i="17"/>
  <c r="T275" i="17" s="1"/>
  <c r="S275" i="17" s="1"/>
  <c r="R275" i="17" s="1"/>
  <c r="U196" i="17"/>
  <c r="T196" i="17" s="1"/>
  <c r="S196" i="17" s="1"/>
  <c r="R196" i="17" s="1"/>
  <c r="U209" i="17"/>
  <c r="T209" i="17" s="1"/>
  <c r="S209" i="17" s="1"/>
  <c r="R209" i="17" s="1"/>
  <c r="U270" i="17"/>
  <c r="T270" i="17" s="1"/>
  <c r="S270" i="17" s="1"/>
  <c r="R270" i="17" s="1"/>
  <c r="U55" i="17"/>
  <c r="T55" i="17" s="1"/>
  <c r="S55" i="17" s="1"/>
  <c r="R55" i="17" s="1"/>
  <c r="U345" i="17"/>
  <c r="T345" i="17" s="1"/>
  <c r="S345" i="17" s="1"/>
  <c r="R345" i="17" s="1"/>
  <c r="U176" i="17"/>
  <c r="T176" i="17" s="1"/>
  <c r="S176" i="17" s="1"/>
  <c r="R176" i="17" s="1"/>
  <c r="U191" i="17"/>
  <c r="T191" i="17" s="1"/>
  <c r="S191" i="17" s="1"/>
  <c r="R191" i="17" s="1"/>
  <c r="U218" i="17"/>
  <c r="T218" i="17" s="1"/>
  <c r="S218" i="17" s="1"/>
  <c r="R218" i="17" s="1"/>
  <c r="U69" i="17"/>
  <c r="T69" i="17" s="1"/>
  <c r="S69" i="17" s="1"/>
  <c r="R69" i="17" s="1"/>
  <c r="U359" i="17"/>
  <c r="T359" i="17" s="1"/>
  <c r="S359" i="17" s="1"/>
  <c r="R359" i="17" s="1"/>
  <c r="U188" i="17"/>
  <c r="T188" i="17" s="1"/>
  <c r="S188" i="17" s="1"/>
  <c r="R188" i="17" s="1"/>
  <c r="U173" i="17"/>
  <c r="T173" i="17" s="1"/>
  <c r="S173" i="17" s="1"/>
  <c r="R173" i="17" s="1"/>
  <c r="U182" i="17"/>
  <c r="T182" i="17" s="1"/>
  <c r="S182" i="17" s="1"/>
  <c r="R182" i="17" s="1"/>
  <c r="U27" i="17"/>
  <c r="T27" i="17" s="1"/>
  <c r="S27" i="17" s="1"/>
  <c r="R27" i="17" s="1"/>
  <c r="U309" i="17"/>
  <c r="T309" i="17" s="1"/>
  <c r="S309" i="17" s="1"/>
  <c r="R309" i="17" s="1"/>
  <c r="U88" i="17"/>
  <c r="T88" i="17" s="1"/>
  <c r="S88" i="17" s="1"/>
  <c r="R88" i="17" s="1"/>
  <c r="U163" i="17"/>
  <c r="T163" i="17" s="1"/>
  <c r="S163" i="17" s="1"/>
  <c r="R163" i="17" s="1"/>
  <c r="U146" i="17"/>
  <c r="T146" i="17" s="1"/>
  <c r="S146" i="17" s="1"/>
  <c r="R146" i="17" s="1"/>
  <c r="U360" i="17"/>
  <c r="T360" i="17" s="1"/>
  <c r="S360" i="17" s="1"/>
  <c r="R360" i="17" s="1"/>
  <c r="U299" i="17"/>
  <c r="T299" i="17" s="1"/>
  <c r="S299" i="17" s="1"/>
  <c r="R299" i="17" s="1"/>
  <c r="U116" i="17"/>
  <c r="T116" i="17" s="1"/>
  <c r="S116" i="17" s="1"/>
  <c r="R116" i="17" s="1"/>
  <c r="U169" i="17"/>
  <c r="T169" i="17" s="1"/>
  <c r="S169" i="17" s="1"/>
  <c r="R169" i="17" s="1"/>
  <c r="U190" i="17"/>
  <c r="T190" i="17" s="1"/>
  <c r="S190" i="17" s="1"/>
  <c r="R190" i="17" s="1"/>
  <c r="U68" i="17"/>
  <c r="T68" i="17" s="1"/>
  <c r="S68" i="17" s="1"/>
  <c r="R68" i="17" s="1"/>
  <c r="U145" i="17"/>
  <c r="T145" i="17" s="1"/>
  <c r="S145" i="17" s="1"/>
  <c r="R145" i="17" s="1"/>
  <c r="U142" i="17"/>
  <c r="T142" i="17" s="1"/>
  <c r="S142" i="17" s="1"/>
  <c r="R142" i="17" s="1"/>
  <c r="U340" i="17"/>
  <c r="T340" i="17" s="1"/>
  <c r="S340" i="17" s="1"/>
  <c r="R340" i="17" s="1"/>
  <c r="U281" i="17"/>
  <c r="T281" i="17" s="1"/>
  <c r="S281" i="17" s="1"/>
  <c r="R281" i="17" s="1"/>
  <c r="U48" i="17"/>
  <c r="T48" i="17" s="1"/>
  <c r="S48" i="17" s="1"/>
  <c r="R48" i="17" s="1"/>
  <c r="U127" i="17"/>
  <c r="T127" i="17" s="1"/>
  <c r="S127" i="17" s="1"/>
  <c r="R127" i="17" s="1"/>
  <c r="U90" i="17"/>
  <c r="T90" i="17" s="1"/>
  <c r="S90" i="17" s="1"/>
  <c r="R90" i="17" s="1"/>
  <c r="U320" i="17"/>
  <c r="T320" i="17" s="1"/>
  <c r="S320" i="17" s="1"/>
  <c r="R320" i="17" s="1"/>
  <c r="U295" i="17"/>
  <c r="T295" i="17" s="1"/>
  <c r="S295" i="17" s="1"/>
  <c r="R295" i="17" s="1"/>
  <c r="AA93" i="15"/>
  <c r="Z93" i="15" s="1"/>
  <c r="Y93" i="15" s="1"/>
  <c r="AA20" i="16"/>
  <c r="Z20" i="16" s="1"/>
  <c r="Y20" i="16" s="1"/>
  <c r="AA314" i="16"/>
  <c r="Z314" i="16" s="1"/>
  <c r="Y314" i="16" s="1"/>
  <c r="AA289" i="16"/>
  <c r="Z289" i="16" s="1"/>
  <c r="Y289" i="16" s="1"/>
  <c r="AC261" i="18"/>
  <c r="AC253" i="18"/>
  <c r="AC187" i="18"/>
  <c r="AC162" i="18"/>
  <c r="AC87" i="18"/>
  <c r="AC235" i="18"/>
  <c r="AC369" i="18"/>
  <c r="AC356" i="18"/>
  <c r="AC182" i="18"/>
  <c r="AC142" i="18"/>
  <c r="AC365" i="18"/>
  <c r="AC262" i="18"/>
  <c r="AC291" i="18"/>
  <c r="AC124" i="18"/>
  <c r="AC147" i="18"/>
  <c r="AC342" i="18"/>
  <c r="AC294" i="18"/>
  <c r="AC247" i="18"/>
  <c r="AC209" i="18"/>
  <c r="AC96" i="18"/>
  <c r="AC279" i="18"/>
  <c r="AC349" i="18"/>
  <c r="AC92" i="18"/>
  <c r="AC166" i="18"/>
  <c r="AC106" i="18"/>
  <c r="AC272" i="18"/>
  <c r="AC312" i="18"/>
  <c r="AC130" i="18"/>
  <c r="AC161" i="18"/>
  <c r="AC355" i="18"/>
  <c r="AC301" i="18"/>
  <c r="AC271" i="18"/>
  <c r="AC225" i="18"/>
  <c r="AC89" i="18"/>
  <c r="AC108" i="18"/>
  <c r="AC341" i="18"/>
  <c r="AC229" i="18"/>
  <c r="AC206" i="18"/>
  <c r="AC117" i="18"/>
  <c r="AC372" i="18"/>
  <c r="AC305" i="18"/>
  <c r="AC276" i="18"/>
  <c r="AC231" i="18"/>
  <c r="AC111" i="18"/>
  <c r="AC222" i="18"/>
  <c r="AC242" i="18"/>
  <c r="AC215" i="18"/>
  <c r="AC137" i="18"/>
  <c r="AC227" i="18"/>
  <c r="AC368" i="18"/>
  <c r="AC352" i="18"/>
  <c r="AC178" i="18"/>
  <c r="AC128" i="18"/>
  <c r="AC353" i="18"/>
  <c r="AC238" i="18"/>
  <c r="AC278" i="18"/>
  <c r="AC113" i="18"/>
  <c r="AC136" i="18"/>
  <c r="AC296" i="18"/>
  <c r="AC260" i="18"/>
  <c r="AC198" i="18"/>
  <c r="AC168" i="18"/>
  <c r="AC258" i="18"/>
  <c r="AC373" i="18"/>
  <c r="AC364" i="18"/>
  <c r="AC185" i="18"/>
  <c r="AC148" i="18"/>
  <c r="AC88" i="18"/>
  <c r="AC266" i="18"/>
  <c r="AC304" i="18"/>
  <c r="AC127" i="18"/>
  <c r="AC156" i="18"/>
  <c r="AC377" i="18"/>
  <c r="AC297" i="18"/>
  <c r="AC252" i="18"/>
  <c r="AC212" i="18"/>
  <c r="AC82" i="18"/>
  <c r="AC101" i="18"/>
  <c r="AC311" i="18"/>
  <c r="AC345" i="18"/>
  <c r="AC214" i="18"/>
  <c r="AC226" i="18"/>
  <c r="AC177" i="18"/>
  <c r="AC273" i="18"/>
  <c r="AC94" i="18"/>
  <c r="AC105" i="18"/>
  <c r="AC204" i="18"/>
  <c r="AC135" i="18"/>
  <c r="AC321" i="18"/>
  <c r="AC179" i="18"/>
  <c r="AC280" i="18"/>
  <c r="AC338" i="18"/>
  <c r="AC233" i="18"/>
  <c r="AC329" i="18"/>
  <c r="AC192" i="18"/>
  <c r="AC152" i="18"/>
  <c r="AC176" i="18"/>
  <c r="AC287" i="18"/>
  <c r="AC371" i="18"/>
  <c r="AC78" i="18"/>
  <c r="AC121" i="18"/>
  <c r="AC216" i="18"/>
  <c r="AC308" i="18"/>
  <c r="AC317" i="18"/>
  <c r="AC170" i="18"/>
  <c r="AC220" i="18"/>
  <c r="AC362" i="18"/>
  <c r="AC337" i="18"/>
  <c r="AC167" i="18"/>
  <c r="AC99" i="18"/>
  <c r="AC344" i="18"/>
  <c r="AC223" i="18"/>
  <c r="AC259" i="18"/>
  <c r="AC104" i="18"/>
  <c r="AC202" i="18"/>
  <c r="AC323" i="18"/>
  <c r="AC283" i="18"/>
  <c r="AC240" i="18"/>
  <c r="AC196" i="18"/>
  <c r="AC75" i="18"/>
  <c r="AC315" i="18"/>
  <c r="AC288" i="18"/>
  <c r="AC237" i="18"/>
  <c r="AA80" i="16"/>
  <c r="Z80" i="16" s="1"/>
  <c r="Y80" i="16" s="1"/>
  <c r="H353" i="15"/>
  <c r="I353" i="15" s="1"/>
  <c r="H353" i="16" s="1"/>
  <c r="I353" i="16" s="1"/>
  <c r="AA42" i="16"/>
  <c r="Z42" i="16" s="1"/>
  <c r="Y42" i="16" s="1"/>
  <c r="AA41" i="16"/>
  <c r="Z41" i="16" s="1"/>
  <c r="Y41" i="16" s="1"/>
  <c r="AA295" i="16"/>
  <c r="Z295" i="16" s="1"/>
  <c r="Y295" i="16" s="1"/>
  <c r="AA375" i="16"/>
  <c r="Z375" i="16" s="1"/>
  <c r="Y375" i="16" s="1"/>
  <c r="AA318" i="16"/>
  <c r="Z318" i="16" s="1"/>
  <c r="Y318" i="16" s="1"/>
  <c r="AA129" i="15"/>
  <c r="Z129" i="15" s="1"/>
  <c r="Y129" i="15" s="1"/>
  <c r="AA104" i="16"/>
  <c r="Z104" i="16" s="1"/>
  <c r="Y104" i="16" s="1"/>
  <c r="AA319" i="16"/>
  <c r="Z319" i="16" s="1"/>
  <c r="Y319" i="16" s="1"/>
  <c r="AA325" i="16"/>
  <c r="Z325" i="16" s="1"/>
  <c r="Y325" i="16" s="1"/>
  <c r="V60" i="1"/>
  <c r="AA60" i="1" s="1"/>
  <c r="Z60" i="1" s="1"/>
  <c r="Y60" i="1" s="1"/>
  <c r="G301" i="15"/>
  <c r="BX301" i="6" s="1"/>
  <c r="AA301" i="15"/>
  <c r="Z301" i="15" s="1"/>
  <c r="Y301" i="15" s="1"/>
  <c r="AA77" i="1"/>
  <c r="Z77" i="1" s="1"/>
  <c r="Y77" i="1" s="1"/>
  <c r="AA248" i="15"/>
  <c r="Z248" i="15" s="1"/>
  <c r="Y248" i="15" s="1"/>
  <c r="AA61" i="1"/>
  <c r="Z61" i="1" s="1"/>
  <c r="Y61" i="1" s="1"/>
  <c r="AA268" i="1"/>
  <c r="Z268" i="1" s="1"/>
  <c r="Y268" i="1" s="1"/>
  <c r="G63" i="15"/>
  <c r="BX63" i="6" s="1"/>
  <c r="H63" i="15"/>
  <c r="AA218" i="1"/>
  <c r="Z218" i="1" s="1"/>
  <c r="Y218" i="1" s="1"/>
  <c r="AA63" i="15"/>
  <c r="Z63" i="15" s="1"/>
  <c r="Y63" i="15" s="1"/>
  <c r="AA201" i="15"/>
  <c r="Z201" i="15" s="1"/>
  <c r="Y201" i="15" s="1"/>
  <c r="G308" i="15"/>
  <c r="BX308" i="6" s="1"/>
  <c r="AA308" i="15"/>
  <c r="Z308" i="15" s="1"/>
  <c r="Y308" i="15" s="1"/>
  <c r="AA115" i="15"/>
  <c r="Z115" i="15" s="1"/>
  <c r="Y115" i="15" s="1"/>
  <c r="G334" i="16"/>
  <c r="BY334" i="6" s="1"/>
  <c r="AA334" i="16"/>
  <c r="Z334" i="16" s="1"/>
  <c r="Y334" i="16" s="1"/>
  <c r="G165" i="16"/>
  <c r="BY165" i="6" s="1"/>
  <c r="AA165" i="16"/>
  <c r="Z165" i="16" s="1"/>
  <c r="Y165" i="16" s="1"/>
  <c r="AA117" i="16"/>
  <c r="Z117" i="16" s="1"/>
  <c r="Y117" i="16" s="1"/>
  <c r="H39" i="15"/>
  <c r="J39" i="15" s="1"/>
  <c r="AA245" i="16"/>
  <c r="Z245" i="16" s="1"/>
  <c r="Y245" i="16" s="1"/>
  <c r="H380" i="16"/>
  <c r="I380" i="16" s="1"/>
  <c r="H380" i="17" s="1"/>
  <c r="I380" i="17" s="1"/>
  <c r="H380" i="18" s="1"/>
  <c r="AA78" i="16"/>
  <c r="Z78" i="16" s="1"/>
  <c r="Y78" i="16" s="1"/>
  <c r="AA81" i="16"/>
  <c r="Z81" i="16" s="1"/>
  <c r="Y81" i="16" s="1"/>
  <c r="AA308" i="16"/>
  <c r="Z308" i="16" s="1"/>
  <c r="Y308" i="16" s="1"/>
  <c r="AA221" i="16"/>
  <c r="Z221" i="16" s="1"/>
  <c r="Y221" i="16" s="1"/>
  <c r="AA26" i="16"/>
  <c r="Z26" i="16" s="1"/>
  <c r="Y26" i="16" s="1"/>
  <c r="AA313" i="16"/>
  <c r="Z313" i="16" s="1"/>
  <c r="Y313" i="16" s="1"/>
  <c r="AA148" i="16"/>
  <c r="Z148" i="16" s="1"/>
  <c r="Y148" i="16" s="1"/>
  <c r="AA261" i="16"/>
  <c r="Z261" i="16" s="1"/>
  <c r="Y261" i="16" s="1"/>
  <c r="AC50" i="18"/>
  <c r="AC173" i="18"/>
  <c r="AC143" i="18"/>
  <c r="AC174" i="18"/>
  <c r="AC319" i="18"/>
  <c r="AC201" i="18"/>
  <c r="AC328" i="18"/>
  <c r="AC264" i="18"/>
  <c r="AC150" i="18"/>
  <c r="AC302" i="18"/>
  <c r="AC123" i="18"/>
  <c r="AC200" i="18"/>
  <c r="AC83" i="18"/>
  <c r="AC74" i="18"/>
  <c r="AC257" i="18"/>
  <c r="AC115" i="18"/>
  <c r="AC325" i="18"/>
  <c r="AC375" i="18"/>
  <c r="AC340" i="18"/>
  <c r="AC298" i="18"/>
  <c r="AC80" i="18"/>
  <c r="AC184" i="18"/>
  <c r="AC158" i="18"/>
  <c r="AC197" i="18"/>
  <c r="AC333" i="18"/>
  <c r="AC243" i="18"/>
  <c r="AC357" i="18"/>
  <c r="AC286" i="18"/>
  <c r="AC188" i="18"/>
  <c r="AC326" i="18"/>
  <c r="AC138" i="18"/>
  <c r="AC118" i="18"/>
  <c r="AC98" i="18"/>
  <c r="AC281" i="18"/>
  <c r="AC203" i="18"/>
  <c r="AC249" i="18"/>
  <c r="AC219" i="18"/>
  <c r="AC354" i="18"/>
  <c r="AC327" i="18"/>
  <c r="AC114" i="18"/>
  <c r="AC163" i="18"/>
  <c r="AC234" i="18"/>
  <c r="AC76" i="18"/>
  <c r="AC277" i="18"/>
  <c r="AC346" i="18"/>
  <c r="AC309" i="18"/>
  <c r="AC268" i="18"/>
  <c r="AC379" i="18"/>
  <c r="AC175" i="18"/>
  <c r="AC151" i="18"/>
  <c r="AC181" i="18"/>
  <c r="AC324" i="18"/>
  <c r="AC230" i="18"/>
  <c r="AC334" i="18"/>
  <c r="AC270" i="18"/>
  <c r="AC160" i="18"/>
  <c r="AA58" i="16"/>
  <c r="Z58" i="16" s="1"/>
  <c r="Y58" i="16" s="1"/>
  <c r="G299" i="1"/>
  <c r="BW299" i="6" s="1"/>
  <c r="AA299" i="1"/>
  <c r="Z299" i="1" s="1"/>
  <c r="Y299" i="1" s="1"/>
  <c r="G235" i="16"/>
  <c r="BY235" i="6" s="1"/>
  <c r="AA235" i="16"/>
  <c r="Z235" i="16" s="1"/>
  <c r="Y235" i="16" s="1"/>
  <c r="G360" i="16"/>
  <c r="BY360" i="6" s="1"/>
  <c r="AA360" i="16"/>
  <c r="Z360" i="16" s="1"/>
  <c r="Y360" i="16" s="1"/>
  <c r="G344" i="16"/>
  <c r="BY344" i="6" s="1"/>
  <c r="AA344" i="16"/>
  <c r="Z344" i="16" s="1"/>
  <c r="Y344" i="16" s="1"/>
  <c r="G345" i="16"/>
  <c r="BY345" i="6" s="1"/>
  <c r="AA345" i="16"/>
  <c r="Z345" i="16" s="1"/>
  <c r="Y345" i="16" s="1"/>
  <c r="G270" i="16"/>
  <c r="BY270" i="6" s="1"/>
  <c r="AA270" i="16"/>
  <c r="Z270" i="16" s="1"/>
  <c r="Y270" i="16" s="1"/>
  <c r="G22" i="16"/>
  <c r="BY22" i="6" s="1"/>
  <c r="AA22" i="16"/>
  <c r="Z22" i="16" s="1"/>
  <c r="Y22" i="16" s="1"/>
  <c r="G55" i="16"/>
  <c r="BY55" i="6" s="1"/>
  <c r="AA55" i="16"/>
  <c r="Z55" i="16" s="1"/>
  <c r="Y55" i="16" s="1"/>
  <c r="G159" i="16"/>
  <c r="BY159" i="6" s="1"/>
  <c r="AA159" i="16"/>
  <c r="Z159" i="16" s="1"/>
  <c r="Y159" i="16" s="1"/>
  <c r="G128" i="16"/>
  <c r="BY128" i="6" s="1"/>
  <c r="AA128" i="16"/>
  <c r="Z128" i="16" s="1"/>
  <c r="Y128" i="16" s="1"/>
  <c r="G156" i="16"/>
  <c r="BY156" i="6" s="1"/>
  <c r="AA156" i="16"/>
  <c r="Z156" i="16" s="1"/>
  <c r="Y156" i="16" s="1"/>
  <c r="G282" i="16"/>
  <c r="BY282" i="6" s="1"/>
  <c r="AA282" i="16"/>
  <c r="Z282" i="16" s="1"/>
  <c r="Y282" i="16" s="1"/>
  <c r="G223" i="16"/>
  <c r="BY223" i="6" s="1"/>
  <c r="AA223" i="16"/>
  <c r="Z223" i="16" s="1"/>
  <c r="Y223" i="16" s="1"/>
  <c r="G369" i="16"/>
  <c r="BY369" i="6" s="1"/>
  <c r="AA369" i="16"/>
  <c r="Z369" i="16" s="1"/>
  <c r="Y369" i="16" s="1"/>
  <c r="G44" i="16"/>
  <c r="BY44" i="6" s="1"/>
  <c r="AA44" i="16"/>
  <c r="Z44" i="16" s="1"/>
  <c r="Y44" i="16" s="1"/>
  <c r="AA92" i="1"/>
  <c r="Z92" i="1" s="1"/>
  <c r="Y92" i="1" s="1"/>
  <c r="G131" i="15"/>
  <c r="BX131" i="6" s="1"/>
  <c r="AA131" i="15"/>
  <c r="Z131" i="15" s="1"/>
  <c r="Y131" i="15" s="1"/>
  <c r="H131" i="15"/>
  <c r="H225" i="15"/>
  <c r="G225" i="15"/>
  <c r="BX225" i="6" s="1"/>
  <c r="AA225" i="15"/>
  <c r="Z225" i="15" s="1"/>
  <c r="Y225" i="15" s="1"/>
  <c r="G247" i="16"/>
  <c r="BY247" i="6" s="1"/>
  <c r="AA247" i="16"/>
  <c r="Z247" i="16" s="1"/>
  <c r="Y247" i="16" s="1"/>
  <c r="G67" i="16"/>
  <c r="BY67" i="6" s="1"/>
  <c r="AA67" i="16"/>
  <c r="Z67" i="16" s="1"/>
  <c r="Y67" i="16" s="1"/>
  <c r="G126" i="16"/>
  <c r="BY126" i="6" s="1"/>
  <c r="AA126" i="16"/>
  <c r="Z126" i="16" s="1"/>
  <c r="Y126" i="16" s="1"/>
  <c r="G227" i="16"/>
  <c r="BY227" i="6" s="1"/>
  <c r="AA227" i="16"/>
  <c r="Z227" i="16" s="1"/>
  <c r="Y227" i="16" s="1"/>
  <c r="G196" i="16"/>
  <c r="BY196" i="6" s="1"/>
  <c r="AA196" i="16"/>
  <c r="Z196" i="16" s="1"/>
  <c r="Y196" i="16" s="1"/>
  <c r="G281" i="16"/>
  <c r="BY281" i="6" s="1"/>
  <c r="AA281" i="16"/>
  <c r="Z281" i="16" s="1"/>
  <c r="Y281" i="16" s="1"/>
  <c r="H18" i="16"/>
  <c r="I18" i="16" s="1"/>
  <c r="H169" i="16"/>
  <c r="I169" i="16" s="1"/>
  <c r="H128" i="16"/>
  <c r="I128" i="16" s="1"/>
  <c r="H129" i="16"/>
  <c r="I129" i="16" s="1"/>
  <c r="AA336" i="16"/>
  <c r="Z336" i="16" s="1"/>
  <c r="Y336" i="16" s="1"/>
  <c r="AA111" i="16"/>
  <c r="Z111" i="16" s="1"/>
  <c r="Y111" i="16" s="1"/>
  <c r="AA368" i="16"/>
  <c r="Z368" i="16" s="1"/>
  <c r="Y368" i="16" s="1"/>
  <c r="AA371" i="16"/>
  <c r="Z371" i="16" s="1"/>
  <c r="Y371" i="16" s="1"/>
  <c r="AA19" i="16"/>
  <c r="Z19" i="16" s="1"/>
  <c r="Y19" i="16" s="1"/>
  <c r="AA173" i="16"/>
  <c r="Z173" i="16" s="1"/>
  <c r="Y173" i="16" s="1"/>
  <c r="AA72" i="16"/>
  <c r="Z72" i="16" s="1"/>
  <c r="Y72" i="16" s="1"/>
  <c r="AA264" i="16"/>
  <c r="Z264" i="16" s="1"/>
  <c r="Y264" i="16" s="1"/>
  <c r="AA18" i="16"/>
  <c r="Z18" i="16" s="1"/>
  <c r="Y18" i="16" s="1"/>
  <c r="AA169" i="16"/>
  <c r="Z169" i="16" s="1"/>
  <c r="Y169" i="16" s="1"/>
  <c r="AA205" i="16"/>
  <c r="Z205" i="16" s="1"/>
  <c r="Y205" i="16" s="1"/>
  <c r="AA202" i="16"/>
  <c r="Z202" i="16" s="1"/>
  <c r="Y202" i="16" s="1"/>
  <c r="AA220" i="16"/>
  <c r="Z220" i="16" s="1"/>
  <c r="Y220" i="16" s="1"/>
  <c r="AA64" i="16"/>
  <c r="Z64" i="16" s="1"/>
  <c r="Y64" i="16" s="1"/>
  <c r="AH381" i="16"/>
  <c r="AG15" i="16"/>
  <c r="AH383" i="16"/>
  <c r="AH382" i="16"/>
  <c r="H170" i="16"/>
  <c r="J170" i="16" s="1"/>
  <c r="H247" i="16"/>
  <c r="J247" i="16" s="1"/>
  <c r="AA275" i="16"/>
  <c r="Z275" i="16" s="1"/>
  <c r="Y275" i="16" s="1"/>
  <c r="AA285" i="16"/>
  <c r="Z285" i="16" s="1"/>
  <c r="Y285" i="16" s="1"/>
  <c r="AA362" i="16"/>
  <c r="Z362" i="16" s="1"/>
  <c r="Y362" i="16" s="1"/>
  <c r="AA35" i="16"/>
  <c r="Z35" i="16" s="1"/>
  <c r="Y35" i="16" s="1"/>
  <c r="AA353" i="16"/>
  <c r="Z353" i="16" s="1"/>
  <c r="Y353" i="16" s="1"/>
  <c r="AA170" i="16"/>
  <c r="Z170" i="16" s="1"/>
  <c r="Y170" i="16" s="1"/>
  <c r="AA278" i="16"/>
  <c r="Z278" i="16" s="1"/>
  <c r="Y278" i="16" s="1"/>
  <c r="AA373" i="16"/>
  <c r="Z373" i="16" s="1"/>
  <c r="Y373" i="16" s="1"/>
  <c r="AA105" i="16"/>
  <c r="Z105" i="16" s="1"/>
  <c r="Y105" i="16" s="1"/>
  <c r="AA326" i="16"/>
  <c r="Z326" i="16" s="1"/>
  <c r="Y326" i="16" s="1"/>
  <c r="AA57" i="16"/>
  <c r="Z57" i="16" s="1"/>
  <c r="Y57" i="16" s="1"/>
  <c r="AA154" i="16"/>
  <c r="Z154" i="16" s="1"/>
  <c r="Y154" i="16" s="1"/>
  <c r="W16" i="7"/>
  <c r="AI253" i="17"/>
  <c r="AH253" i="17" s="1"/>
  <c r="AG253" i="17" s="1"/>
  <c r="AF253" i="17" s="1"/>
  <c r="AI188" i="17"/>
  <c r="AH188" i="17" s="1"/>
  <c r="AG188" i="17" s="1"/>
  <c r="AF188" i="17" s="1"/>
  <c r="AI254" i="17"/>
  <c r="AH254" i="17" s="1"/>
  <c r="AG254" i="17" s="1"/>
  <c r="AF254" i="17" s="1"/>
  <c r="AI169" i="17"/>
  <c r="AH169" i="17" s="1"/>
  <c r="AG169" i="17" s="1"/>
  <c r="AF169" i="17" s="1"/>
  <c r="AI36" i="17"/>
  <c r="AH36" i="17" s="1"/>
  <c r="AG36" i="17" s="1"/>
  <c r="AF36" i="17" s="1"/>
  <c r="AI86" i="17"/>
  <c r="AH86" i="17" s="1"/>
  <c r="AG86" i="17" s="1"/>
  <c r="AF86" i="17" s="1"/>
  <c r="AI85" i="17"/>
  <c r="AH85" i="17" s="1"/>
  <c r="AG85" i="17" s="1"/>
  <c r="AF85" i="17" s="1"/>
  <c r="AI299" i="17"/>
  <c r="AH299" i="17" s="1"/>
  <c r="AG299" i="17" s="1"/>
  <c r="AF299" i="17" s="1"/>
  <c r="AI280" i="17"/>
  <c r="AH280" i="17" s="1"/>
  <c r="AG280" i="17" s="1"/>
  <c r="AF280" i="17" s="1"/>
  <c r="AI362" i="17"/>
  <c r="AH362" i="17" s="1"/>
  <c r="AG362" i="17" s="1"/>
  <c r="AF362" i="17" s="1"/>
  <c r="AI223" i="17"/>
  <c r="AH223" i="17" s="1"/>
  <c r="AG223" i="17" s="1"/>
  <c r="AF223" i="17" s="1"/>
  <c r="AI112" i="17"/>
  <c r="AH112" i="17" s="1"/>
  <c r="AG112" i="17" s="1"/>
  <c r="AF112" i="17" s="1"/>
  <c r="AI178" i="17"/>
  <c r="AH178" i="17" s="1"/>
  <c r="AG178" i="17" s="1"/>
  <c r="AF178" i="17" s="1"/>
  <c r="AI131" i="17"/>
  <c r="AH131" i="17" s="1"/>
  <c r="AG131" i="17" s="1"/>
  <c r="AF131" i="17" s="1"/>
  <c r="AI345" i="17"/>
  <c r="AH345" i="17" s="1"/>
  <c r="AG345" i="17" s="1"/>
  <c r="AF345" i="17" s="1"/>
  <c r="AI26" i="17"/>
  <c r="AH26" i="17" s="1"/>
  <c r="AG26" i="17" s="1"/>
  <c r="AF26" i="17" s="1"/>
  <c r="AI55" i="17"/>
  <c r="AH55" i="17" s="1"/>
  <c r="AG55" i="17" s="1"/>
  <c r="AF55" i="17" s="1"/>
  <c r="AI293" i="17"/>
  <c r="AH293" i="17" s="1"/>
  <c r="AG293" i="17" s="1"/>
  <c r="AF293" i="17" s="1"/>
  <c r="AI268" i="17"/>
  <c r="AH268" i="17" s="1"/>
  <c r="AG268" i="17" s="1"/>
  <c r="AF268" i="17" s="1"/>
  <c r="AI334" i="17"/>
  <c r="AH334" i="17" s="1"/>
  <c r="AG334" i="17" s="1"/>
  <c r="AF334" i="17" s="1"/>
  <c r="AI209" i="17"/>
  <c r="AH209" i="17" s="1"/>
  <c r="AG209" i="17" s="1"/>
  <c r="AF209" i="17" s="1"/>
  <c r="AI116" i="17"/>
  <c r="AH116" i="17" s="1"/>
  <c r="AG116" i="17" s="1"/>
  <c r="AF116" i="17" s="1"/>
  <c r="AI336" i="17"/>
  <c r="AH336" i="17" s="1"/>
  <c r="AG336" i="17" s="1"/>
  <c r="AF336" i="17" s="1"/>
  <c r="AI29" i="17"/>
  <c r="AH29" i="17" s="1"/>
  <c r="AG29" i="17" s="1"/>
  <c r="AF29" i="17" s="1"/>
  <c r="AI243" i="17"/>
  <c r="AH243" i="17" s="1"/>
  <c r="AG243" i="17" s="1"/>
  <c r="AF243" i="17" s="1"/>
  <c r="AI168" i="17"/>
  <c r="AH168" i="17" s="1"/>
  <c r="AG168" i="17" s="1"/>
  <c r="AF168" i="17" s="1"/>
  <c r="AI250" i="17"/>
  <c r="AH250" i="17" s="1"/>
  <c r="AG250" i="17" s="1"/>
  <c r="AF250" i="17" s="1"/>
  <c r="AI167" i="17"/>
  <c r="AH167" i="17" s="1"/>
  <c r="AG167" i="17" s="1"/>
  <c r="AF167" i="17" s="1"/>
  <c r="AI373" i="17"/>
  <c r="AH373" i="17" s="1"/>
  <c r="AG373" i="17" s="1"/>
  <c r="AF373" i="17" s="1"/>
  <c r="AI66" i="17"/>
  <c r="AH66" i="17" s="1"/>
  <c r="AG66" i="17" s="1"/>
  <c r="AF66" i="17" s="1"/>
  <c r="AI75" i="17"/>
  <c r="AH75" i="17" s="1"/>
  <c r="AG75" i="17" s="1"/>
  <c r="AF75" i="17" s="1"/>
  <c r="AI289" i="17"/>
  <c r="AH289" i="17" s="1"/>
  <c r="AG289" i="17" s="1"/>
  <c r="AF289" i="17" s="1"/>
  <c r="AI276" i="17"/>
  <c r="AH276" i="17" s="1"/>
  <c r="AG276" i="17" s="1"/>
  <c r="AF276" i="17" s="1"/>
  <c r="AI326" i="17"/>
  <c r="AH326" i="17" s="1"/>
  <c r="AG326" i="17" s="1"/>
  <c r="AF326" i="17" s="1"/>
  <c r="AI205" i="17"/>
  <c r="AH205" i="17" s="1"/>
  <c r="AG205" i="17" s="1"/>
  <c r="AF205" i="17" s="1"/>
  <c r="AI92" i="17"/>
  <c r="AH92" i="17" s="1"/>
  <c r="AG92" i="17" s="1"/>
  <c r="AF92" i="17" s="1"/>
  <c r="AI158" i="17"/>
  <c r="AH158" i="17" s="1"/>
  <c r="AG158" i="17" s="1"/>
  <c r="AF158" i="17" s="1"/>
  <c r="AI121" i="17"/>
  <c r="AH121" i="17" s="1"/>
  <c r="AG121" i="17" s="1"/>
  <c r="AF121" i="17" s="1"/>
  <c r="AI343" i="17"/>
  <c r="AH343" i="17" s="1"/>
  <c r="AG343" i="17" s="1"/>
  <c r="AF343" i="17" s="1"/>
  <c r="AI54" i="17"/>
  <c r="AH54" i="17" s="1"/>
  <c r="AG54" i="17" s="1"/>
  <c r="AF54" i="17" s="1"/>
  <c r="AI69" i="17"/>
  <c r="AH69" i="17" s="1"/>
  <c r="AG69" i="17" s="1"/>
  <c r="AF69" i="17" s="1"/>
  <c r="AI283" i="17"/>
  <c r="AH283" i="17" s="1"/>
  <c r="AG283" i="17" s="1"/>
  <c r="AF283" i="17" s="1"/>
  <c r="AI248" i="17"/>
  <c r="AH248" i="17" s="1"/>
  <c r="AG248" i="17" s="1"/>
  <c r="AF248" i="17" s="1"/>
  <c r="AI330" i="17"/>
  <c r="AH330" i="17" s="1"/>
  <c r="AG330" i="17" s="1"/>
  <c r="AF330" i="17" s="1"/>
  <c r="AI207" i="17"/>
  <c r="AH207" i="17" s="1"/>
  <c r="AG207" i="17" s="1"/>
  <c r="AF207" i="17" s="1"/>
  <c r="AI317" i="17"/>
  <c r="AH317" i="17" s="1"/>
  <c r="AG317" i="17" s="1"/>
  <c r="AF317" i="17" s="1"/>
  <c r="AI316" i="17"/>
  <c r="AH316" i="17" s="1"/>
  <c r="AG316" i="17" s="1"/>
  <c r="AF316" i="17" s="1"/>
  <c r="AI19" i="17"/>
  <c r="AH19" i="17" s="1"/>
  <c r="AG19" i="17" s="1"/>
  <c r="AF19" i="17" s="1"/>
  <c r="AI233" i="17"/>
  <c r="AH233" i="17" s="1"/>
  <c r="AG233" i="17" s="1"/>
  <c r="AF233" i="17" s="1"/>
  <c r="AI164" i="17"/>
  <c r="AH164" i="17" s="1"/>
  <c r="AG164" i="17" s="1"/>
  <c r="AF164" i="17" s="1"/>
  <c r="AI214" i="17"/>
  <c r="AH214" i="17" s="1"/>
  <c r="AG214" i="17" s="1"/>
  <c r="AF214" i="17" s="1"/>
  <c r="AI149" i="17"/>
  <c r="AH149" i="17" s="1"/>
  <c r="AG149" i="17" s="1"/>
  <c r="AF149" i="17" s="1"/>
  <c r="AI363" i="17"/>
  <c r="AH363" i="17" s="1"/>
  <c r="AG363" i="17" s="1"/>
  <c r="AF363" i="17" s="1"/>
  <c r="AI46" i="17"/>
  <c r="AH46" i="17" s="1"/>
  <c r="AG46" i="17" s="1"/>
  <c r="AF46" i="17" s="1"/>
  <c r="AI65" i="17"/>
  <c r="AH65" i="17" s="1"/>
  <c r="AG65" i="17" s="1"/>
  <c r="AF65" i="17" s="1"/>
  <c r="AI287" i="17"/>
  <c r="AH287" i="17" s="1"/>
  <c r="AG287" i="17" s="1"/>
  <c r="AF287" i="17" s="1"/>
  <c r="AI240" i="17"/>
  <c r="AH240" i="17" s="1"/>
  <c r="AG240" i="17" s="1"/>
  <c r="AF240" i="17" s="1"/>
  <c r="AI306" i="17"/>
  <c r="AH306" i="17" s="1"/>
  <c r="AG306" i="17" s="1"/>
  <c r="AF306" i="17" s="1"/>
  <c r="AI195" i="17"/>
  <c r="AH195" i="17" s="1"/>
  <c r="AG195" i="17" s="1"/>
  <c r="AF195" i="17" s="1"/>
  <c r="AI72" i="17"/>
  <c r="AH72" i="17" s="1"/>
  <c r="AG72" i="17" s="1"/>
  <c r="AF72" i="17" s="1"/>
  <c r="AI154" i="17"/>
  <c r="AH154" i="17" s="1"/>
  <c r="AG154" i="17" s="1"/>
  <c r="AF154" i="17" s="1"/>
  <c r="AI119" i="17"/>
  <c r="AH119" i="17" s="1"/>
  <c r="AG119" i="17" s="1"/>
  <c r="AF119" i="17" s="1"/>
  <c r="AI357" i="17"/>
  <c r="AH357" i="17" s="1"/>
  <c r="AG357" i="17" s="1"/>
  <c r="AF357" i="17" s="1"/>
  <c r="AI34" i="17"/>
  <c r="AH34" i="17" s="1"/>
  <c r="AG34" i="17" s="1"/>
  <c r="AF34" i="17" s="1"/>
  <c r="AI59" i="17"/>
  <c r="AH59" i="17" s="1"/>
  <c r="AG59" i="17" s="1"/>
  <c r="AF59" i="17" s="1"/>
  <c r="AI273" i="17"/>
  <c r="AH273" i="17" s="1"/>
  <c r="AG273" i="17" s="1"/>
  <c r="AF273" i="17" s="1"/>
  <c r="AI244" i="17"/>
  <c r="AH244" i="17" s="1"/>
  <c r="AG244" i="17" s="1"/>
  <c r="AF244" i="17" s="1"/>
  <c r="AI102" i="17"/>
  <c r="AH102" i="17" s="1"/>
  <c r="AG102" i="17" s="1"/>
  <c r="AF102" i="17" s="1"/>
  <c r="AI93" i="17"/>
  <c r="AH93" i="17" s="1"/>
  <c r="AG93" i="17" s="1"/>
  <c r="AF93" i="17" s="1"/>
  <c r="AI307" i="17"/>
  <c r="AH307" i="17" s="1"/>
  <c r="AG307" i="17" s="1"/>
  <c r="AF307" i="17" s="1"/>
  <c r="AI296" i="17"/>
  <c r="AH296" i="17" s="1"/>
  <c r="AG296" i="17" s="1"/>
  <c r="AF296" i="17" s="1"/>
  <c r="AI378" i="17"/>
  <c r="AH378" i="17" s="1"/>
  <c r="AG378" i="17" s="1"/>
  <c r="AF378" i="17" s="1"/>
  <c r="AI231" i="17"/>
  <c r="AH231" i="17" s="1"/>
  <c r="AG231" i="17" s="1"/>
  <c r="AF231" i="17" s="1"/>
  <c r="AI128" i="17"/>
  <c r="AH128" i="17" s="1"/>
  <c r="AG128" i="17" s="1"/>
  <c r="AF128" i="17" s="1"/>
  <c r="AI194" i="17"/>
  <c r="AH194" i="17" s="1"/>
  <c r="AG194" i="17" s="1"/>
  <c r="AF194" i="17" s="1"/>
  <c r="AI139" i="17"/>
  <c r="AH139" i="17" s="1"/>
  <c r="AG139" i="17" s="1"/>
  <c r="AF139" i="17" s="1"/>
  <c r="AI353" i="17"/>
  <c r="AH353" i="17" s="1"/>
  <c r="AG353" i="17" s="1"/>
  <c r="AF353" i="17" s="1"/>
  <c r="AI42" i="17"/>
  <c r="AH42" i="17" s="1"/>
  <c r="AG42" i="17" s="1"/>
  <c r="AF42" i="17" s="1"/>
  <c r="AI63" i="17"/>
  <c r="AH63" i="17" s="1"/>
  <c r="AG63" i="17" s="1"/>
  <c r="AF63" i="17" s="1"/>
  <c r="AI269" i="17"/>
  <c r="AH269" i="17" s="1"/>
  <c r="AG269" i="17" s="1"/>
  <c r="AF269" i="17" s="1"/>
  <c r="AI220" i="17"/>
  <c r="AH220" i="17" s="1"/>
  <c r="AG220" i="17" s="1"/>
  <c r="AF220" i="17" s="1"/>
  <c r="AI286" i="17"/>
  <c r="AH286" i="17" s="1"/>
  <c r="AI185" i="17"/>
  <c r="AH185" i="17" s="1"/>
  <c r="AG185" i="17" s="1"/>
  <c r="AF185" i="17" s="1"/>
  <c r="AI68" i="17"/>
  <c r="AH68" i="17" s="1"/>
  <c r="AG68" i="17" s="1"/>
  <c r="AF68" i="17" s="1"/>
  <c r="AI182" i="17"/>
  <c r="AH182" i="17" s="1"/>
  <c r="AG182" i="17" s="1"/>
  <c r="AF182" i="17" s="1"/>
  <c r="AI272" i="17"/>
  <c r="AH272" i="17" s="1"/>
  <c r="AG272" i="17" s="1"/>
  <c r="AF272" i="17" s="1"/>
  <c r="AI211" i="17"/>
  <c r="AH211" i="17" s="1"/>
  <c r="AG211" i="17" s="1"/>
  <c r="AF211" i="17" s="1"/>
  <c r="AI186" i="17"/>
  <c r="AH186" i="17" s="1"/>
  <c r="AG186" i="17" s="1"/>
  <c r="AF186" i="17" s="1"/>
  <c r="AI341" i="17"/>
  <c r="AH341" i="17" s="1"/>
  <c r="AG341" i="17" s="1"/>
  <c r="AF341" i="17" s="1"/>
  <c r="AI43" i="17"/>
  <c r="AH43" i="17" s="1"/>
  <c r="AG43" i="17" s="1"/>
  <c r="AF43" i="17" s="1"/>
  <c r="AI212" i="17"/>
  <c r="AH212" i="17" s="1"/>
  <c r="AG212" i="17" s="1"/>
  <c r="AF212" i="17" s="1"/>
  <c r="AI173" i="17"/>
  <c r="AH173" i="17" s="1"/>
  <c r="AG173" i="17" s="1"/>
  <c r="AF173" i="17" s="1"/>
  <c r="AI94" i="17"/>
  <c r="AH94" i="17" s="1"/>
  <c r="AG94" i="17" s="1"/>
  <c r="AF94" i="17" s="1"/>
  <c r="AI311" i="17"/>
  <c r="AH311" i="17" s="1"/>
  <c r="AG311" i="17" s="1"/>
  <c r="AF311" i="17" s="1"/>
  <c r="AI37" i="17"/>
  <c r="AH37" i="17" s="1"/>
  <c r="AG37" i="17" s="1"/>
  <c r="AF37" i="17" s="1"/>
  <c r="AI184" i="17"/>
  <c r="AH184" i="17" s="1"/>
  <c r="AG184" i="17" s="1"/>
  <c r="AF184" i="17" s="1"/>
  <c r="AI175" i="17"/>
  <c r="AH175" i="17" s="1"/>
  <c r="AG175" i="17" s="1"/>
  <c r="AF175" i="17" s="1"/>
  <c r="AI252" i="17"/>
  <c r="AH252" i="17" s="1"/>
  <c r="AG252" i="17" s="1"/>
  <c r="AF252" i="17" s="1"/>
  <c r="AI201" i="17"/>
  <c r="AH201" i="17" s="1"/>
  <c r="AG201" i="17" s="1"/>
  <c r="AF201" i="17" s="1"/>
  <c r="AI150" i="17"/>
  <c r="AH150" i="17" s="1"/>
  <c r="AG150" i="17" s="1"/>
  <c r="AF150" i="17" s="1"/>
  <c r="AI331" i="17"/>
  <c r="AH331" i="17" s="1"/>
  <c r="AG331" i="17" s="1"/>
  <c r="AF331" i="17" s="1"/>
  <c r="AI33" i="17"/>
  <c r="AH33" i="17" s="1"/>
  <c r="AG33" i="17" s="1"/>
  <c r="AF33" i="17" s="1"/>
  <c r="AI176" i="17"/>
  <c r="AH176" i="17" s="1"/>
  <c r="AG176" i="17" s="1"/>
  <c r="AF176" i="17" s="1"/>
  <c r="AI163" i="17"/>
  <c r="AH163" i="17" s="1"/>
  <c r="AG163" i="17" s="1"/>
  <c r="AF163" i="17" s="1"/>
  <c r="AI90" i="17"/>
  <c r="AH90" i="17" s="1"/>
  <c r="AG90" i="17" s="1"/>
  <c r="AF90" i="17" s="1"/>
  <c r="AI325" i="17"/>
  <c r="AH325" i="17" s="1"/>
  <c r="AG325" i="17" s="1"/>
  <c r="AF325" i="17" s="1"/>
  <c r="AI27" i="17"/>
  <c r="AH27" i="17" s="1"/>
  <c r="AG27" i="17" s="1"/>
  <c r="AF27" i="17" s="1"/>
  <c r="AI180" i="17"/>
  <c r="AH180" i="17" s="1"/>
  <c r="AG180" i="17" s="1"/>
  <c r="AF180" i="17" s="1"/>
  <c r="AI61" i="17"/>
  <c r="AH61" i="17" s="1"/>
  <c r="AG61" i="17" s="1"/>
  <c r="AF61" i="17" s="1"/>
  <c r="AI232" i="17"/>
  <c r="AH232" i="17" s="1"/>
  <c r="AG232" i="17" s="1"/>
  <c r="AF232" i="17" s="1"/>
  <c r="AI199" i="17"/>
  <c r="AH199" i="17" s="1"/>
  <c r="AG199" i="17" s="1"/>
  <c r="AF199" i="17" s="1"/>
  <c r="AI130" i="17"/>
  <c r="AH130" i="17" s="1"/>
  <c r="AG130" i="17" s="1"/>
  <c r="AF130" i="17" s="1"/>
  <c r="AI321" i="17"/>
  <c r="AH321" i="17" s="1"/>
  <c r="AG321" i="17" s="1"/>
  <c r="AF321" i="17" s="1"/>
  <c r="AI31" i="17"/>
  <c r="AH31" i="17" s="1"/>
  <c r="AG31" i="17" s="1"/>
  <c r="AF31" i="17" s="1"/>
  <c r="AI156" i="17"/>
  <c r="AH156" i="17" s="1"/>
  <c r="AG156" i="17" s="1"/>
  <c r="AF156" i="17" s="1"/>
  <c r="AI153" i="17"/>
  <c r="AH153" i="17" s="1"/>
  <c r="AG153" i="17" s="1"/>
  <c r="AF153" i="17" s="1"/>
  <c r="AI118" i="17"/>
  <c r="AH118" i="17" s="1"/>
  <c r="AG118" i="17" s="1"/>
  <c r="AF118" i="17" s="1"/>
  <c r="AI315" i="17"/>
  <c r="AH315" i="17" s="1"/>
  <c r="AG315" i="17" s="1"/>
  <c r="AF315" i="17" s="1"/>
  <c r="AI17" i="17"/>
  <c r="AH17" i="17" s="1"/>
  <c r="AG17" i="17" s="1"/>
  <c r="AF17" i="17" s="1"/>
  <c r="AI349" i="17"/>
  <c r="AH349" i="17" s="1"/>
  <c r="AG349" i="17" s="1"/>
  <c r="AF349" i="17" s="1"/>
  <c r="AI51" i="17"/>
  <c r="AH51" i="17" s="1"/>
  <c r="AG51" i="17" s="1"/>
  <c r="AF51" i="17" s="1"/>
  <c r="AI228" i="17"/>
  <c r="AH228" i="17" s="1"/>
  <c r="AG228" i="17" s="1"/>
  <c r="AF228" i="17" s="1"/>
  <c r="AI181" i="17"/>
  <c r="AH181" i="17" s="1"/>
  <c r="AG181" i="17" s="1"/>
  <c r="AF181" i="17" s="1"/>
  <c r="AI110" i="17"/>
  <c r="AH110" i="17" s="1"/>
  <c r="AG110" i="17" s="1"/>
  <c r="AF110" i="17" s="1"/>
  <c r="AI319" i="17"/>
  <c r="AH319" i="17" s="1"/>
  <c r="AG319" i="17" s="1"/>
  <c r="AF319" i="17" s="1"/>
  <c r="AI370" i="17"/>
  <c r="AH370" i="17" s="1"/>
  <c r="AI136" i="17"/>
  <c r="AH136" i="17" s="1"/>
  <c r="AG136" i="17" s="1"/>
  <c r="AF136" i="17" s="1"/>
  <c r="AI151" i="17"/>
  <c r="AH151" i="17" s="1"/>
  <c r="AG151" i="17" s="1"/>
  <c r="AF151" i="17" s="1"/>
  <c r="AI133" i="17"/>
  <c r="AH133" i="17" s="1"/>
  <c r="AG133" i="17" s="1"/>
  <c r="AF133" i="17" s="1"/>
  <c r="AI347" i="17"/>
  <c r="AH347" i="17" s="1"/>
  <c r="AG347" i="17" s="1"/>
  <c r="AF347" i="17" s="1"/>
  <c r="AI376" i="17"/>
  <c r="AH376" i="17" s="1"/>
  <c r="AG376" i="17" s="1"/>
  <c r="AF376" i="17" s="1"/>
  <c r="AI49" i="17"/>
  <c r="AH49" i="17" s="1"/>
  <c r="AG49" i="17" s="1"/>
  <c r="AF49" i="17" s="1"/>
  <c r="AI271" i="17"/>
  <c r="AH271" i="17" s="1"/>
  <c r="AG271" i="17" s="1"/>
  <c r="AF271" i="17" s="1"/>
  <c r="AI166" i="17"/>
  <c r="AH166" i="17" s="1"/>
  <c r="AG166" i="17" s="1"/>
  <c r="AF166" i="17" s="1"/>
  <c r="AI125" i="17"/>
  <c r="AH125" i="17" s="1"/>
  <c r="AG125" i="17" s="1"/>
  <c r="AF125" i="17" s="1"/>
  <c r="AI339" i="17"/>
  <c r="AH339" i="17" s="1"/>
  <c r="AG339" i="17" s="1"/>
  <c r="AF339" i="17" s="1"/>
  <c r="AI360" i="17"/>
  <c r="AH360" i="17" s="1"/>
  <c r="AG360" i="17" s="1"/>
  <c r="AF360" i="17" s="1"/>
  <c r="AI41" i="17"/>
  <c r="AH41" i="17" s="1"/>
  <c r="AG41" i="17" s="1"/>
  <c r="AF41" i="17" s="1"/>
  <c r="AI263" i="17"/>
  <c r="AH263" i="17" s="1"/>
  <c r="AG263" i="17" s="1"/>
  <c r="AF263" i="17" s="1"/>
  <c r="AI192" i="17"/>
  <c r="AH192" i="17" s="1"/>
  <c r="AG192" i="17" s="1"/>
  <c r="AF192" i="17" s="1"/>
  <c r="AI258" i="17"/>
  <c r="AH258" i="17" s="1"/>
  <c r="AG258" i="17" s="1"/>
  <c r="AF258" i="17" s="1"/>
  <c r="AI171" i="17"/>
  <c r="AH171" i="17" s="1"/>
  <c r="AG171" i="17" s="1"/>
  <c r="AF171" i="17" s="1"/>
  <c r="AI24" i="17"/>
  <c r="AH24" i="17" s="1"/>
  <c r="AG24" i="17" s="1"/>
  <c r="AF24" i="17" s="1"/>
  <c r="AI106" i="17"/>
  <c r="AH106" i="17" s="1"/>
  <c r="AG106" i="17" s="1"/>
  <c r="AF106" i="17" s="1"/>
  <c r="AI95" i="17"/>
  <c r="AH95" i="17" s="1"/>
  <c r="AG95" i="17" s="1"/>
  <c r="AF95" i="17" s="1"/>
  <c r="AI301" i="17"/>
  <c r="AH301" i="17" s="1"/>
  <c r="AG301" i="17" s="1"/>
  <c r="AF301" i="17" s="1"/>
  <c r="AI284" i="17"/>
  <c r="AH284" i="17" s="1"/>
  <c r="AG284" i="17" s="1"/>
  <c r="AF284" i="17" s="1"/>
  <c r="AI350" i="17"/>
  <c r="AH350" i="17" s="1"/>
  <c r="AG350" i="17" s="1"/>
  <c r="AF350" i="17" s="1"/>
  <c r="AI217" i="17"/>
  <c r="AH217" i="17" s="1"/>
  <c r="AG217" i="17" s="1"/>
  <c r="AF217" i="17" s="1"/>
  <c r="AI132" i="17"/>
  <c r="AH132" i="17" s="1"/>
  <c r="AG132" i="17" s="1"/>
  <c r="AF132" i="17" s="1"/>
  <c r="AI246" i="17"/>
  <c r="AH246" i="17" s="1"/>
  <c r="AG246" i="17" s="1"/>
  <c r="AF246" i="17" s="1"/>
  <c r="AI165" i="17"/>
  <c r="AH165" i="17" s="1"/>
  <c r="AG165" i="17" s="1"/>
  <c r="AF165" i="17" s="1"/>
  <c r="AI379" i="17"/>
  <c r="AI78" i="17"/>
  <c r="AH78" i="17" s="1"/>
  <c r="AG78" i="17" s="1"/>
  <c r="AF78" i="17" s="1"/>
  <c r="AI81" i="17"/>
  <c r="AH81" i="17" s="1"/>
  <c r="AG81" i="17" s="1"/>
  <c r="AF81" i="17" s="1"/>
  <c r="AI303" i="17"/>
  <c r="AH303" i="17" s="1"/>
  <c r="AG303" i="17" s="1"/>
  <c r="AF303" i="17" s="1"/>
  <c r="AI230" i="17"/>
  <c r="AH230" i="17" s="1"/>
  <c r="AG230" i="17" s="1"/>
  <c r="AF230" i="17" s="1"/>
  <c r="AI157" i="17"/>
  <c r="AH157" i="17" s="1"/>
  <c r="AG157" i="17" s="1"/>
  <c r="AF157" i="17" s="1"/>
  <c r="AI371" i="17"/>
  <c r="AH371" i="17" s="1"/>
  <c r="AG371" i="17" s="1"/>
  <c r="AF371" i="17" s="1"/>
  <c r="AI62" i="17"/>
  <c r="AH62" i="17" s="1"/>
  <c r="AG62" i="17" s="1"/>
  <c r="AF62" i="17" s="1"/>
  <c r="AI73" i="17"/>
  <c r="AH73" i="17" s="1"/>
  <c r="AG73" i="17" s="1"/>
  <c r="AF73" i="17" s="1"/>
  <c r="AI295" i="17"/>
  <c r="AH295" i="17" s="1"/>
  <c r="AG295" i="17" s="1"/>
  <c r="AF295" i="17" s="1"/>
  <c r="AI256" i="17"/>
  <c r="AH256" i="17" s="1"/>
  <c r="AG256" i="17" s="1"/>
  <c r="AF256" i="17" s="1"/>
  <c r="AI322" i="17"/>
  <c r="AH322" i="17" s="1"/>
  <c r="AG322" i="17" s="1"/>
  <c r="AF322" i="17" s="1"/>
  <c r="AI203" i="17"/>
  <c r="AH203" i="17" s="1"/>
  <c r="AG203" i="17" s="1"/>
  <c r="AF203" i="17" s="1"/>
  <c r="AI88" i="17"/>
  <c r="AH88" i="17" s="1"/>
  <c r="AG88" i="17" s="1"/>
  <c r="AF88" i="17" s="1"/>
  <c r="AI170" i="17"/>
  <c r="AH170" i="17" s="1"/>
  <c r="AG170" i="17" s="1"/>
  <c r="AF170" i="17" s="1"/>
  <c r="AI127" i="17"/>
  <c r="AH127" i="17" s="1"/>
  <c r="AG127" i="17" s="1"/>
  <c r="AF127" i="17" s="1"/>
  <c r="AI333" i="17"/>
  <c r="AH333" i="17" s="1"/>
  <c r="AG333" i="17" s="1"/>
  <c r="AF333" i="17" s="1"/>
  <c r="AI348" i="17"/>
  <c r="AH348" i="17" s="1"/>
  <c r="AG348" i="17" s="1"/>
  <c r="AF348" i="17" s="1"/>
  <c r="AI104" i="17"/>
  <c r="AH104" i="17" s="1"/>
  <c r="AG104" i="17" s="1"/>
  <c r="AF104" i="17" s="1"/>
  <c r="AI364" i="17"/>
  <c r="AH364" i="17" s="1"/>
  <c r="AG364" i="17" s="1"/>
  <c r="AF364" i="17" s="1"/>
  <c r="AI262" i="17"/>
  <c r="AH262" i="17" s="1"/>
  <c r="AG262" i="17" s="1"/>
  <c r="AF262" i="17" s="1"/>
  <c r="AI89" i="17"/>
  <c r="AH89" i="17" s="1"/>
  <c r="AG89" i="17" s="1"/>
  <c r="AF89" i="17" s="1"/>
  <c r="AI251" i="17"/>
  <c r="AH251" i="17" s="1"/>
  <c r="AG251" i="17" s="1"/>
  <c r="AF251" i="17" s="1"/>
  <c r="AI285" i="17"/>
  <c r="AH285" i="17" s="1"/>
  <c r="AG285" i="17" s="1"/>
  <c r="AF285" i="17" s="1"/>
  <c r="AI100" i="17"/>
  <c r="AH100" i="17" s="1"/>
  <c r="AG100" i="17" s="1"/>
  <c r="AF100" i="17" s="1"/>
  <c r="AI344" i="17"/>
  <c r="AH344" i="17" s="1"/>
  <c r="AG344" i="17" s="1"/>
  <c r="AF344" i="17" s="1"/>
  <c r="AI242" i="17"/>
  <c r="AH242" i="17" s="1"/>
  <c r="AG242" i="17" s="1"/>
  <c r="AF242" i="17" s="1"/>
  <c r="AI87" i="17"/>
  <c r="AH87" i="17" s="1"/>
  <c r="AI241" i="17"/>
  <c r="AH241" i="17" s="1"/>
  <c r="AG241" i="17" s="1"/>
  <c r="AF241" i="17" s="1"/>
  <c r="AI275" i="17"/>
  <c r="AH275" i="17" s="1"/>
  <c r="AG275" i="17" s="1"/>
  <c r="AF275" i="17" s="1"/>
  <c r="AI64" i="17"/>
  <c r="AH64" i="17" s="1"/>
  <c r="AG64" i="17" s="1"/>
  <c r="AF64" i="17" s="1"/>
  <c r="AI340" i="17"/>
  <c r="AH340" i="17" s="1"/>
  <c r="AG340" i="17" s="1"/>
  <c r="AF340" i="17" s="1"/>
  <c r="AI222" i="17"/>
  <c r="AH222" i="17" s="1"/>
  <c r="AG222" i="17" s="1"/>
  <c r="AF222" i="17" s="1"/>
  <c r="AI101" i="17"/>
  <c r="AH101" i="17" s="1"/>
  <c r="AG101" i="17" s="1"/>
  <c r="AF101" i="17" s="1"/>
  <c r="AI239" i="17"/>
  <c r="AH239" i="17" s="1"/>
  <c r="AG239" i="17" s="1"/>
  <c r="AF239" i="17" s="1"/>
  <c r="AI265" i="17"/>
  <c r="AH265" i="17" s="1"/>
  <c r="AG265" i="17" s="1"/>
  <c r="AF265" i="17" s="1"/>
  <c r="AI44" i="17"/>
  <c r="AH44" i="17" s="1"/>
  <c r="AG44" i="17" s="1"/>
  <c r="AF44" i="17" s="1"/>
  <c r="AI304" i="17"/>
  <c r="AH304" i="17" s="1"/>
  <c r="AG304" i="17" s="1"/>
  <c r="AF304" i="17" s="1"/>
  <c r="AI218" i="17"/>
  <c r="AH218" i="17" s="1"/>
  <c r="AG218" i="17" s="1"/>
  <c r="AF218" i="17" s="1"/>
  <c r="AI98" i="17"/>
  <c r="AH98" i="17" s="1"/>
  <c r="AG98" i="17" s="1"/>
  <c r="AF98" i="17" s="1"/>
  <c r="AI305" i="17"/>
  <c r="AH305" i="17" s="1"/>
  <c r="AG305" i="17" s="1"/>
  <c r="AF305" i="17" s="1"/>
  <c r="AI16" i="17"/>
  <c r="AH16" i="17" s="1"/>
  <c r="AG16" i="17" s="1"/>
  <c r="AF16" i="17" s="1"/>
  <c r="AI82" i="17"/>
  <c r="AH82" i="17" s="1"/>
  <c r="AG82" i="17" s="1"/>
  <c r="AF82" i="17" s="1"/>
  <c r="AI297" i="17"/>
  <c r="AH297" i="17" s="1"/>
  <c r="AG297" i="17" s="1"/>
  <c r="AF297" i="17" s="1"/>
  <c r="AI342" i="17"/>
  <c r="AH342" i="17" s="1"/>
  <c r="AG342" i="17" s="1"/>
  <c r="AF342" i="17" s="1"/>
  <c r="AI108" i="17"/>
  <c r="AH108" i="17" s="1"/>
  <c r="AG108" i="17" s="1"/>
  <c r="AF108" i="17" s="1"/>
  <c r="AI129" i="17"/>
  <c r="AH129" i="17" s="1"/>
  <c r="AG129" i="17" s="1"/>
  <c r="AF129" i="17" s="1"/>
  <c r="AI368" i="17"/>
  <c r="AH368" i="17" s="1"/>
  <c r="AG368" i="17" s="1"/>
  <c r="AF368" i="17" s="1"/>
  <c r="AI259" i="17"/>
  <c r="AH259" i="17" s="1"/>
  <c r="AG259" i="17" s="1"/>
  <c r="AF259" i="17" s="1"/>
  <c r="AI282" i="17"/>
  <c r="AH282" i="17" s="1"/>
  <c r="AG282" i="17" s="1"/>
  <c r="AF282" i="17" s="1"/>
  <c r="AI96" i="17"/>
  <c r="AH96" i="17" s="1"/>
  <c r="AG96" i="17" s="1"/>
  <c r="AF96" i="17" s="1"/>
  <c r="AI123" i="17"/>
  <c r="AH123" i="17" s="1"/>
  <c r="AG123" i="17" s="1"/>
  <c r="AF123" i="17" s="1"/>
  <c r="AI372" i="17"/>
  <c r="AH372" i="17" s="1"/>
  <c r="AG372" i="17" s="1"/>
  <c r="AF372" i="17" s="1"/>
  <c r="AI80" i="17"/>
  <c r="AH80" i="17" s="1"/>
  <c r="AG80" i="17" s="1"/>
  <c r="AF80" i="17" s="1"/>
  <c r="AI115" i="17"/>
  <c r="AH115" i="17" s="1"/>
  <c r="AG115" i="17" s="1"/>
  <c r="AF115" i="17" s="1"/>
  <c r="AI356" i="17"/>
  <c r="AH356" i="17" s="1"/>
  <c r="AG356" i="17" s="1"/>
  <c r="AF356" i="17" s="1"/>
  <c r="AI245" i="17"/>
  <c r="AH245" i="17" s="1"/>
  <c r="AG245" i="17" s="1"/>
  <c r="AF245" i="17" s="1"/>
  <c r="AI238" i="17"/>
  <c r="AH238" i="17" s="1"/>
  <c r="AG238" i="17" s="1"/>
  <c r="AF238" i="17" s="1"/>
  <c r="AI20" i="17"/>
  <c r="AH20" i="17" s="1"/>
  <c r="AG20" i="17" s="1"/>
  <c r="AF20" i="17" s="1"/>
  <c r="AI77" i="17"/>
  <c r="AH77" i="17" s="1"/>
  <c r="AG77" i="17" s="1"/>
  <c r="AF77" i="17" s="1"/>
  <c r="AI35" i="17"/>
  <c r="AH35" i="17" s="1"/>
  <c r="AG35" i="17" s="1"/>
  <c r="AF35" i="17" s="1"/>
  <c r="AI249" i="17"/>
  <c r="AH249" i="17" s="1"/>
  <c r="AG249" i="17" s="1"/>
  <c r="AF249" i="17" s="1"/>
  <c r="AI196" i="17"/>
  <c r="AH196" i="17" s="1"/>
  <c r="AG196" i="17" s="1"/>
  <c r="AF196" i="17" s="1"/>
  <c r="AI310" i="17"/>
  <c r="AH310" i="17" s="1"/>
  <c r="AG310" i="17" s="1"/>
  <c r="AF310" i="17" s="1"/>
  <c r="AI197" i="17"/>
  <c r="AH197" i="17" s="1"/>
  <c r="AG197" i="17" s="1"/>
  <c r="AF197" i="17" s="1"/>
  <c r="AI76" i="17"/>
  <c r="AH76" i="17" s="1"/>
  <c r="AG76" i="17" s="1"/>
  <c r="AF76" i="17" s="1"/>
  <c r="AI142" i="17"/>
  <c r="AH142" i="17" s="1"/>
  <c r="AG142" i="17" s="1"/>
  <c r="AF142" i="17" s="1"/>
  <c r="AI113" i="17"/>
  <c r="AH113" i="17" s="1"/>
  <c r="AG113" i="17" s="1"/>
  <c r="AF113" i="17" s="1"/>
  <c r="AI335" i="17"/>
  <c r="AH335" i="17" s="1"/>
  <c r="AG335" i="17" s="1"/>
  <c r="AF335" i="17" s="1"/>
  <c r="AI294" i="17"/>
  <c r="AH294" i="17" s="1"/>
  <c r="AG294" i="17" s="1"/>
  <c r="AF294" i="17" s="1"/>
  <c r="AI189" i="17"/>
  <c r="AH189" i="17" s="1"/>
  <c r="AG189" i="17" s="1"/>
  <c r="AF189" i="17" s="1"/>
  <c r="AI60" i="17"/>
  <c r="AH60" i="17" s="1"/>
  <c r="AG60" i="17" s="1"/>
  <c r="AF60" i="17" s="1"/>
  <c r="AI126" i="17"/>
  <c r="AH126" i="17" s="1"/>
  <c r="AG126" i="17" s="1"/>
  <c r="AF126" i="17" s="1"/>
  <c r="AI105" i="17"/>
  <c r="AH105" i="17" s="1"/>
  <c r="AG105" i="17" s="1"/>
  <c r="AF105" i="17" s="1"/>
  <c r="AI327" i="17"/>
  <c r="AH327" i="17" s="1"/>
  <c r="AG327" i="17" s="1"/>
  <c r="AF327" i="17" s="1"/>
  <c r="AI320" i="17"/>
  <c r="AH320" i="17" s="1"/>
  <c r="AG320" i="17" s="1"/>
  <c r="AF320" i="17" s="1"/>
  <c r="AI21" i="17"/>
  <c r="AH21" i="17" s="1"/>
  <c r="AG21" i="17" s="1"/>
  <c r="AF21" i="17" s="1"/>
  <c r="AI235" i="17"/>
  <c r="AH235" i="17" s="1"/>
  <c r="AG235" i="17" s="1"/>
  <c r="AF235" i="17" s="1"/>
  <c r="AI152" i="17"/>
  <c r="AH152" i="17" s="1"/>
  <c r="AG152" i="17" s="1"/>
  <c r="AF152" i="17" s="1"/>
  <c r="AI234" i="17"/>
  <c r="AH234" i="17" s="1"/>
  <c r="AG234" i="17" s="1"/>
  <c r="AF234" i="17" s="1"/>
  <c r="AI159" i="17"/>
  <c r="AH159" i="17" s="1"/>
  <c r="AG159" i="17" s="1"/>
  <c r="AF159" i="17" s="1"/>
  <c r="AI365" i="17"/>
  <c r="AH365" i="17" s="1"/>
  <c r="AG365" i="17" s="1"/>
  <c r="AF365" i="17" s="1"/>
  <c r="AI50" i="17"/>
  <c r="AH50" i="17" s="1"/>
  <c r="AG50" i="17" s="1"/>
  <c r="AF50" i="17" s="1"/>
  <c r="AI67" i="17"/>
  <c r="AH67" i="17" s="1"/>
  <c r="AG67" i="17" s="1"/>
  <c r="AF67" i="17" s="1"/>
  <c r="AI281" i="17"/>
  <c r="AH281" i="17" s="1"/>
  <c r="AG281" i="17" s="1"/>
  <c r="AF281" i="17" s="1"/>
  <c r="AI260" i="17"/>
  <c r="AH260" i="17" s="1"/>
  <c r="AG260" i="17" s="1"/>
  <c r="AF260" i="17" s="1"/>
  <c r="AI374" i="17"/>
  <c r="AH374" i="17" s="1"/>
  <c r="AG374" i="17" s="1"/>
  <c r="AF374" i="17" s="1"/>
  <c r="AI229" i="17"/>
  <c r="AH229" i="17" s="1"/>
  <c r="AG229" i="17" s="1"/>
  <c r="AF229" i="17" s="1"/>
  <c r="AI140" i="17"/>
  <c r="AH140" i="17" s="1"/>
  <c r="AG140" i="17" s="1"/>
  <c r="AF140" i="17" s="1"/>
  <c r="AI206" i="17"/>
  <c r="AH206" i="17" s="1"/>
  <c r="AG206" i="17" s="1"/>
  <c r="AF206" i="17" s="1"/>
  <c r="AI145" i="17"/>
  <c r="AH145" i="17" s="1"/>
  <c r="AG145" i="17" s="1"/>
  <c r="AF145" i="17" s="1"/>
  <c r="AI367" i="17"/>
  <c r="AH367" i="17" s="1"/>
  <c r="AG367" i="17" s="1"/>
  <c r="AF367" i="17" s="1"/>
  <c r="AI358" i="17"/>
  <c r="AH358" i="17" s="1"/>
  <c r="AG358" i="17" s="1"/>
  <c r="AF358" i="17" s="1"/>
  <c r="AI221" i="17"/>
  <c r="AH221" i="17" s="1"/>
  <c r="AG221" i="17" s="1"/>
  <c r="AF221" i="17" s="1"/>
  <c r="AI124" i="17"/>
  <c r="AH124" i="17" s="1"/>
  <c r="AG124" i="17" s="1"/>
  <c r="AF124" i="17" s="1"/>
  <c r="AI190" i="17"/>
  <c r="AH190" i="17" s="1"/>
  <c r="AG190" i="17" s="1"/>
  <c r="AF190" i="17" s="1"/>
  <c r="AI137" i="17"/>
  <c r="AH137" i="17" s="1"/>
  <c r="AG137" i="17" s="1"/>
  <c r="AF137" i="17" s="1"/>
  <c r="AI359" i="17"/>
  <c r="AH359" i="17" s="1"/>
  <c r="AG359" i="17" s="1"/>
  <c r="AF359" i="17" s="1"/>
  <c r="AI22" i="17"/>
  <c r="AH22" i="17" s="1"/>
  <c r="AG22" i="17" s="1"/>
  <c r="AF22" i="17" s="1"/>
  <c r="AI53" i="17"/>
  <c r="AH53" i="17" s="1"/>
  <c r="AG53" i="17" s="1"/>
  <c r="AF53" i="17" s="1"/>
  <c r="AI267" i="17"/>
  <c r="AH267" i="17" s="1"/>
  <c r="AG267" i="17" s="1"/>
  <c r="AF267" i="17" s="1"/>
  <c r="AI216" i="17"/>
  <c r="AH216" i="17" s="1"/>
  <c r="AG216" i="17" s="1"/>
  <c r="AF216" i="17" s="1"/>
  <c r="AI298" i="17"/>
  <c r="AH298" i="17" s="1"/>
  <c r="AG298" i="17" s="1"/>
  <c r="AF298" i="17" s="1"/>
  <c r="AI191" i="17"/>
  <c r="AH191" i="17" s="1"/>
  <c r="AG191" i="17" s="1"/>
  <c r="AF191" i="17" s="1"/>
  <c r="AI48" i="17"/>
  <c r="AH48" i="17" s="1"/>
  <c r="AG48" i="17" s="1"/>
  <c r="AF48" i="17" s="1"/>
  <c r="AI114" i="17"/>
  <c r="AH114" i="17" s="1"/>
  <c r="AG114" i="17" s="1"/>
  <c r="AF114" i="17" s="1"/>
  <c r="AI99" i="17"/>
  <c r="AH99" i="17" s="1"/>
  <c r="AG99" i="17" s="1"/>
  <c r="AF99" i="17" s="1"/>
  <c r="AI313" i="17"/>
  <c r="AH313" i="17" s="1"/>
  <c r="AG313" i="17" s="1"/>
  <c r="AF313" i="17" s="1"/>
  <c r="AI324" i="17"/>
  <c r="AH324" i="17" s="1"/>
  <c r="AG324" i="17" s="1"/>
  <c r="AF324" i="17" s="1"/>
  <c r="AI23" i="17"/>
  <c r="AH23" i="17" s="1"/>
  <c r="AG23" i="17" s="1"/>
  <c r="AF23" i="17" s="1"/>
  <c r="AI261" i="17"/>
  <c r="AH261" i="17" s="1"/>
  <c r="AG261" i="17" s="1"/>
  <c r="AF261" i="17" s="1"/>
  <c r="AI204" i="17"/>
  <c r="AH204" i="17" s="1"/>
  <c r="AG204" i="17" s="1"/>
  <c r="AF204" i="17" s="1"/>
  <c r="AI270" i="17"/>
  <c r="AH270" i="17" s="1"/>
  <c r="AG270" i="17" s="1"/>
  <c r="AF270" i="17" s="1"/>
  <c r="AI177" i="17"/>
  <c r="AH177" i="17" s="1"/>
  <c r="AG177" i="17" s="1"/>
  <c r="AF177" i="17" s="1"/>
  <c r="AI52" i="17"/>
  <c r="AH52" i="17" s="1"/>
  <c r="AG52" i="17" s="1"/>
  <c r="AF52" i="17" s="1"/>
  <c r="AI338" i="17"/>
  <c r="AH338" i="17" s="1"/>
  <c r="AG338" i="17" s="1"/>
  <c r="AF338" i="17" s="1"/>
  <c r="AI135" i="17"/>
  <c r="AH135" i="17" s="1"/>
  <c r="AG135" i="17" s="1"/>
  <c r="AF135" i="17" s="1"/>
  <c r="AI257" i="17"/>
  <c r="AH257" i="17" s="1"/>
  <c r="AG257" i="17" s="1"/>
  <c r="AF257" i="17" s="1"/>
  <c r="AI28" i="17"/>
  <c r="AH28" i="17" s="1"/>
  <c r="AG28" i="17" s="1"/>
  <c r="AF28" i="17" s="1"/>
  <c r="AI352" i="17"/>
  <c r="AH352" i="17" s="1"/>
  <c r="AG352" i="17" s="1"/>
  <c r="AF352" i="17" s="1"/>
  <c r="AI266" i="17"/>
  <c r="AH266" i="17" s="1"/>
  <c r="AG266" i="17" s="1"/>
  <c r="AF266" i="17" s="1"/>
  <c r="AI318" i="17"/>
  <c r="AH318" i="17" s="1"/>
  <c r="AG318" i="17" s="1"/>
  <c r="AF318" i="17" s="1"/>
  <c r="AI117" i="17"/>
  <c r="AH117" i="17" s="1"/>
  <c r="AG117" i="17" s="1"/>
  <c r="AF117" i="17" s="1"/>
  <c r="AI255" i="17"/>
  <c r="AH255" i="17" s="1"/>
  <c r="AG255" i="17" s="1"/>
  <c r="AF255" i="17" s="1"/>
  <c r="AI377" i="17"/>
  <c r="AH377" i="17" s="1"/>
  <c r="AG377" i="17" s="1"/>
  <c r="AF377" i="17" s="1"/>
  <c r="AI332" i="17"/>
  <c r="AH332" i="17" s="1"/>
  <c r="AG332" i="17" s="1"/>
  <c r="AF332" i="17" s="1"/>
  <c r="AI38" i="17"/>
  <c r="AH38" i="17" s="1"/>
  <c r="AG38" i="17" s="1"/>
  <c r="AF38" i="17" s="1"/>
  <c r="AI314" i="17"/>
  <c r="AH314" i="17" s="1"/>
  <c r="AG314" i="17" s="1"/>
  <c r="AF314" i="17" s="1"/>
  <c r="AI107" i="17"/>
  <c r="AH107" i="17" s="1"/>
  <c r="AG107" i="17" s="1"/>
  <c r="AF107" i="17" s="1"/>
  <c r="AI237" i="17"/>
  <c r="AH237" i="17" s="1"/>
  <c r="AG237" i="17" s="1"/>
  <c r="AF237" i="17" s="1"/>
  <c r="AI375" i="17"/>
  <c r="AH375" i="17" s="1"/>
  <c r="AG375" i="17" s="1"/>
  <c r="AF375" i="17" s="1"/>
  <c r="AI312" i="17"/>
  <c r="AH312" i="17" s="1"/>
  <c r="AG312" i="17" s="1"/>
  <c r="AF312" i="17" s="1"/>
  <c r="AI18" i="17"/>
  <c r="AH18" i="17" s="1"/>
  <c r="AG18" i="17" s="1"/>
  <c r="AF18" i="17" s="1"/>
  <c r="AI278" i="17"/>
  <c r="AH278" i="17" s="1"/>
  <c r="AG278" i="17" s="1"/>
  <c r="AF278" i="17" s="1"/>
  <c r="AI97" i="17"/>
  <c r="AH97" i="17" s="1"/>
  <c r="AG97" i="17" s="1"/>
  <c r="AF97" i="17" s="1"/>
  <c r="AI227" i="17"/>
  <c r="AH227" i="17" s="1"/>
  <c r="AG227" i="17" s="1"/>
  <c r="AF227" i="17" s="1"/>
  <c r="AI32" i="17"/>
  <c r="AH32" i="17" s="1"/>
  <c r="AG32" i="17" s="1"/>
  <c r="AF32" i="17" s="1"/>
  <c r="AI91" i="17"/>
  <c r="AH91" i="17" s="1"/>
  <c r="AG91" i="17" s="1"/>
  <c r="AF91" i="17" s="1"/>
  <c r="AI308" i="17"/>
  <c r="AH308" i="17" s="1"/>
  <c r="AG308" i="17" s="1"/>
  <c r="AF308" i="17" s="1"/>
  <c r="AI15" i="17"/>
  <c r="AI83" i="17"/>
  <c r="AH83" i="17" s="1"/>
  <c r="AG83" i="17" s="1"/>
  <c r="AF83" i="17" s="1"/>
  <c r="AI292" i="17"/>
  <c r="AH292" i="17" s="1"/>
  <c r="AG292" i="17" s="1"/>
  <c r="AF292" i="17" s="1"/>
  <c r="AI213" i="17"/>
  <c r="AH213" i="17" s="1"/>
  <c r="AG213" i="17" s="1"/>
  <c r="AF213" i="17" s="1"/>
  <c r="AI174" i="17"/>
  <c r="AH174" i="17" s="1"/>
  <c r="AG174" i="17" s="1"/>
  <c r="AF174" i="17" s="1"/>
  <c r="AI351" i="17"/>
  <c r="AH351" i="17" s="1"/>
  <c r="AG351" i="17" s="1"/>
  <c r="AF351" i="17" s="1"/>
  <c r="AI45" i="17"/>
  <c r="AH45" i="17" s="1"/>
  <c r="AG45" i="17" s="1"/>
  <c r="AF45" i="17" s="1"/>
  <c r="AI200" i="17"/>
  <c r="AH200" i="17" s="1"/>
  <c r="AG200" i="17" s="1"/>
  <c r="AF200" i="17" s="1"/>
  <c r="AI183" i="17"/>
  <c r="AH183" i="17" s="1"/>
  <c r="AG183" i="17" s="1"/>
  <c r="AF183" i="17" s="1"/>
  <c r="AI162" i="17"/>
  <c r="AH162" i="17" s="1"/>
  <c r="AG162" i="17" s="1"/>
  <c r="AF162" i="17" s="1"/>
  <c r="AI337" i="17"/>
  <c r="AH337" i="17" s="1"/>
  <c r="AG337" i="17" s="1"/>
  <c r="AF337" i="17" s="1"/>
  <c r="AI47" i="17"/>
  <c r="AH47" i="17" s="1"/>
  <c r="AG47" i="17" s="1"/>
  <c r="AF47" i="17" s="1"/>
  <c r="AI146" i="17"/>
  <c r="AH146" i="17" s="1"/>
  <c r="AG146" i="17" s="1"/>
  <c r="AF146" i="17" s="1"/>
  <c r="AI329" i="17"/>
  <c r="AH329" i="17" s="1"/>
  <c r="AG329" i="17" s="1"/>
  <c r="AF329" i="17" s="1"/>
  <c r="AI39" i="17"/>
  <c r="AH39" i="17" s="1"/>
  <c r="AG39" i="17" s="1"/>
  <c r="AF39" i="17" s="1"/>
  <c r="AI172" i="17"/>
  <c r="AH172" i="17" s="1"/>
  <c r="AG172" i="17" s="1"/>
  <c r="AF172" i="17" s="1"/>
  <c r="AI161" i="17"/>
  <c r="AH161" i="17" s="1"/>
  <c r="AG161" i="17" s="1"/>
  <c r="AF161" i="17" s="1"/>
  <c r="AI70" i="17"/>
  <c r="AH70" i="17" s="1"/>
  <c r="AG70" i="17" s="1"/>
  <c r="AF70" i="17" s="1"/>
  <c r="AI291" i="17"/>
  <c r="AH291" i="17" s="1"/>
  <c r="AG291" i="17" s="1"/>
  <c r="AF291" i="17" s="1"/>
  <c r="AI264" i="17"/>
  <c r="AH264" i="17" s="1"/>
  <c r="AG264" i="17" s="1"/>
  <c r="AF264" i="17" s="1"/>
  <c r="AI346" i="17"/>
  <c r="AH346" i="17" s="1"/>
  <c r="AG346" i="17" s="1"/>
  <c r="AF346" i="17" s="1"/>
  <c r="AI215" i="17"/>
  <c r="AH215" i="17" s="1"/>
  <c r="AG215" i="17" s="1"/>
  <c r="AF215" i="17" s="1"/>
  <c r="AI160" i="17"/>
  <c r="AH160" i="17" s="1"/>
  <c r="AG160" i="17" s="1"/>
  <c r="AF160" i="17" s="1"/>
  <c r="AI226" i="17"/>
  <c r="AH226" i="17" s="1"/>
  <c r="AG226" i="17" s="1"/>
  <c r="AF226" i="17" s="1"/>
  <c r="AI155" i="17"/>
  <c r="AH155" i="17" s="1"/>
  <c r="AG155" i="17" s="1"/>
  <c r="AF155" i="17" s="1"/>
  <c r="AI369" i="17"/>
  <c r="AH369" i="17" s="1"/>
  <c r="AG369" i="17" s="1"/>
  <c r="AF369" i="17" s="1"/>
  <c r="AI74" i="17"/>
  <c r="AH74" i="17" s="1"/>
  <c r="AG74" i="17" s="1"/>
  <c r="AF74" i="17" s="1"/>
  <c r="AI79" i="17"/>
  <c r="AH79" i="17" s="1"/>
  <c r="AG79" i="17" s="1"/>
  <c r="AF79" i="17" s="1"/>
  <c r="AI144" i="17"/>
  <c r="AH144" i="17" s="1"/>
  <c r="AG144" i="17" s="1"/>
  <c r="AF144" i="17" s="1"/>
  <c r="AI210" i="17"/>
  <c r="AH210" i="17" s="1"/>
  <c r="AG210" i="17" s="1"/>
  <c r="AF210" i="17" s="1"/>
  <c r="AI147" i="17"/>
  <c r="AH147" i="17" s="1"/>
  <c r="AG147" i="17" s="1"/>
  <c r="AF147" i="17" s="1"/>
  <c r="AI361" i="17"/>
  <c r="AH361" i="17" s="1"/>
  <c r="AG361" i="17" s="1"/>
  <c r="AF361" i="17" s="1"/>
  <c r="AI58" i="17"/>
  <c r="AH58" i="17" s="1"/>
  <c r="AG58" i="17" s="1"/>
  <c r="AF58" i="17" s="1"/>
  <c r="AI71" i="17"/>
  <c r="AH71" i="17" s="1"/>
  <c r="AG71" i="17" s="1"/>
  <c r="AF71" i="17" s="1"/>
  <c r="AI277" i="17"/>
  <c r="AH277" i="17" s="1"/>
  <c r="AG277" i="17" s="1"/>
  <c r="AF277" i="17" s="1"/>
  <c r="AI236" i="17"/>
  <c r="AH236" i="17" s="1"/>
  <c r="AG236" i="17" s="1"/>
  <c r="AF236" i="17" s="1"/>
  <c r="AI302" i="17"/>
  <c r="AH302" i="17" s="1"/>
  <c r="AG302" i="17" s="1"/>
  <c r="AF302" i="17" s="1"/>
  <c r="AI193" i="17"/>
  <c r="AH193" i="17" s="1"/>
  <c r="AG193" i="17" s="1"/>
  <c r="AF193" i="17" s="1"/>
  <c r="AI84" i="17"/>
  <c r="AH84" i="17" s="1"/>
  <c r="AG84" i="17" s="1"/>
  <c r="AF84" i="17" s="1"/>
  <c r="AI134" i="17"/>
  <c r="AH134" i="17" s="1"/>
  <c r="AG134" i="17" s="1"/>
  <c r="AF134" i="17" s="1"/>
  <c r="AI109" i="17"/>
  <c r="AH109" i="17" s="1"/>
  <c r="AG109" i="17" s="1"/>
  <c r="AF109" i="17" s="1"/>
  <c r="AI323" i="17"/>
  <c r="AH323" i="17" s="1"/>
  <c r="AG323" i="17" s="1"/>
  <c r="AF323" i="17" s="1"/>
  <c r="AI328" i="17"/>
  <c r="AH328" i="17" s="1"/>
  <c r="AG328" i="17" s="1"/>
  <c r="AF328" i="17" s="1"/>
  <c r="AI25" i="17"/>
  <c r="AH25" i="17" s="1"/>
  <c r="AG25" i="17" s="1"/>
  <c r="AF25" i="17" s="1"/>
  <c r="AI247" i="17"/>
  <c r="AH247" i="17" s="1"/>
  <c r="AG247" i="17" s="1"/>
  <c r="AF247" i="17" s="1"/>
  <c r="AI224" i="17"/>
  <c r="AH224" i="17" s="1"/>
  <c r="AG224" i="17" s="1"/>
  <c r="AF224" i="17" s="1"/>
  <c r="AI290" i="17"/>
  <c r="AH290" i="17" s="1"/>
  <c r="AG290" i="17" s="1"/>
  <c r="AF290" i="17" s="1"/>
  <c r="AI187" i="17"/>
  <c r="AH187" i="17" s="1"/>
  <c r="AG187" i="17" s="1"/>
  <c r="AF187" i="17" s="1"/>
  <c r="AI56" i="17"/>
  <c r="AH56" i="17" s="1"/>
  <c r="AG56" i="17" s="1"/>
  <c r="AF56" i="17" s="1"/>
  <c r="AI111" i="17"/>
  <c r="AH111" i="17" s="1"/>
  <c r="AG111" i="17" s="1"/>
  <c r="AF111" i="17" s="1"/>
  <c r="AI274" i="17"/>
  <c r="AH274" i="17" s="1"/>
  <c r="AG274" i="17" s="1"/>
  <c r="AF274" i="17" s="1"/>
  <c r="AI40" i="17"/>
  <c r="AH40" i="17" s="1"/>
  <c r="AG40" i="17" s="1"/>
  <c r="AF40" i="17" s="1"/>
  <c r="AI103" i="17"/>
  <c r="AH103" i="17" s="1"/>
  <c r="AG103" i="17" s="1"/>
  <c r="AF103" i="17" s="1"/>
  <c r="AI300" i="17"/>
  <c r="AH300" i="17" s="1"/>
  <c r="AG300" i="17" s="1"/>
  <c r="AF300" i="17" s="1"/>
  <c r="AI225" i="17"/>
  <c r="AH225" i="17" s="1"/>
  <c r="AG225" i="17" s="1"/>
  <c r="AF225" i="17" s="1"/>
  <c r="AI198" i="17"/>
  <c r="AH198" i="17" s="1"/>
  <c r="AG198" i="17" s="1"/>
  <c r="AF198" i="17" s="1"/>
  <c r="AI355" i="17"/>
  <c r="AH355" i="17" s="1"/>
  <c r="AG355" i="17" s="1"/>
  <c r="AF355" i="17" s="1"/>
  <c r="AI57" i="17"/>
  <c r="AH57" i="17" s="1"/>
  <c r="AG57" i="17" s="1"/>
  <c r="AF57" i="17" s="1"/>
  <c r="AI288" i="17"/>
  <c r="AH288" i="17" s="1"/>
  <c r="AG288" i="17" s="1"/>
  <c r="AF288" i="17" s="1"/>
  <c r="AI219" i="17"/>
  <c r="AH219" i="17" s="1"/>
  <c r="AG219" i="17" s="1"/>
  <c r="AF219" i="17" s="1"/>
  <c r="AI202" i="17"/>
  <c r="AH202" i="17" s="1"/>
  <c r="AG202" i="17" s="1"/>
  <c r="AF202" i="17" s="1"/>
  <c r="AI138" i="17"/>
  <c r="AH138" i="17" s="1"/>
  <c r="AG138" i="17" s="1"/>
  <c r="AF138" i="17" s="1"/>
  <c r="AI208" i="17"/>
  <c r="AH208" i="17" s="1"/>
  <c r="AG208" i="17" s="1"/>
  <c r="AF208" i="17" s="1"/>
  <c r="AI179" i="17"/>
  <c r="AH179" i="17" s="1"/>
  <c r="AG179" i="17" s="1"/>
  <c r="AF179" i="17" s="1"/>
  <c r="AI122" i="17"/>
  <c r="AH122" i="17" s="1"/>
  <c r="AG122" i="17" s="1"/>
  <c r="AF122" i="17" s="1"/>
  <c r="AI309" i="17"/>
  <c r="AH309" i="17" s="1"/>
  <c r="AG309" i="17" s="1"/>
  <c r="AF309" i="17" s="1"/>
  <c r="AI366" i="17"/>
  <c r="AH366" i="17" s="1"/>
  <c r="AG366" i="17" s="1"/>
  <c r="AF366" i="17" s="1"/>
  <c r="AI148" i="17"/>
  <c r="AH148" i="17" s="1"/>
  <c r="AG148" i="17" s="1"/>
  <c r="AF148" i="17" s="1"/>
  <c r="AI141" i="17"/>
  <c r="AH141" i="17" s="1"/>
  <c r="AG141" i="17" s="1"/>
  <c r="AF141" i="17" s="1"/>
  <c r="AI30" i="17"/>
  <c r="AH30" i="17" s="1"/>
  <c r="AG30" i="17" s="1"/>
  <c r="AF30" i="17" s="1"/>
  <c r="AI279" i="17"/>
  <c r="AH279" i="17" s="1"/>
  <c r="AG279" i="17" s="1"/>
  <c r="AF279" i="17" s="1"/>
  <c r="AI354" i="17"/>
  <c r="AH354" i="17" s="1"/>
  <c r="AG354" i="17" s="1"/>
  <c r="AF354" i="17" s="1"/>
  <c r="AI120" i="17"/>
  <c r="AH120" i="17" s="1"/>
  <c r="AG120" i="17" s="1"/>
  <c r="AF120" i="17" s="1"/>
  <c r="AI143" i="17"/>
  <c r="AH143" i="17" s="1"/>
  <c r="AG143" i="17" s="1"/>
  <c r="AF143" i="17" s="1"/>
  <c r="AA155" i="16"/>
  <c r="Z155" i="16" s="1"/>
  <c r="Y155" i="16" s="1"/>
  <c r="AA209" i="16"/>
  <c r="Z209" i="16" s="1"/>
  <c r="Y209" i="16" s="1"/>
  <c r="AA48" i="16"/>
  <c r="Z48" i="16" s="1"/>
  <c r="Y48" i="16" s="1"/>
  <c r="AA38" i="16"/>
  <c r="Z38" i="16" s="1"/>
  <c r="Y38" i="16" s="1"/>
  <c r="H236" i="16"/>
  <c r="I236" i="16" s="1"/>
  <c r="AA361" i="16"/>
  <c r="Z361" i="16" s="1"/>
  <c r="Y361" i="16" s="1"/>
  <c r="AA265" i="16"/>
  <c r="Z265" i="16" s="1"/>
  <c r="Y265" i="16" s="1"/>
  <c r="AA305" i="16"/>
  <c r="Z305" i="16" s="1"/>
  <c r="Y305" i="16" s="1"/>
  <c r="AA248" i="16"/>
  <c r="Z248" i="16" s="1"/>
  <c r="Y248" i="16" s="1"/>
  <c r="AA378" i="16"/>
  <c r="Z378" i="16" s="1"/>
  <c r="Y378" i="16" s="1"/>
  <c r="AA327" i="16"/>
  <c r="Z327" i="16" s="1"/>
  <c r="Y327" i="16" s="1"/>
  <c r="H49" i="16"/>
  <c r="I49" i="16" s="1"/>
  <c r="AA340" i="16"/>
  <c r="Z340" i="16" s="1"/>
  <c r="Y340" i="16" s="1"/>
  <c r="AA199" i="16"/>
  <c r="Z199" i="16" s="1"/>
  <c r="Y199" i="16" s="1"/>
  <c r="AA198" i="16"/>
  <c r="Z198" i="16" s="1"/>
  <c r="Y198" i="16" s="1"/>
  <c r="AA239" i="16"/>
  <c r="Z239" i="16" s="1"/>
  <c r="Y239" i="16" s="1"/>
  <c r="AA347" i="16"/>
  <c r="Z347" i="16" s="1"/>
  <c r="Y347" i="16" s="1"/>
  <c r="AA357" i="16"/>
  <c r="Z357" i="16" s="1"/>
  <c r="Y357" i="16" s="1"/>
  <c r="AA86" i="16"/>
  <c r="Z86" i="16" s="1"/>
  <c r="Y86" i="16" s="1"/>
  <c r="AA131" i="16"/>
  <c r="Z131" i="16" s="1"/>
  <c r="Y131" i="16" s="1"/>
  <c r="AA323" i="16"/>
  <c r="Z323" i="16" s="1"/>
  <c r="Y323" i="16" s="1"/>
  <c r="H243" i="16"/>
  <c r="I243" i="16" s="1"/>
  <c r="AA349" i="1"/>
  <c r="Z349" i="1" s="1"/>
  <c r="Y349" i="1" s="1"/>
  <c r="AA82" i="16"/>
  <c r="Z82" i="16" s="1"/>
  <c r="Y82" i="16" s="1"/>
  <c r="AA181" i="16"/>
  <c r="Z181" i="16" s="1"/>
  <c r="Y181" i="16" s="1"/>
  <c r="I349" i="1"/>
  <c r="H349" i="15" s="1"/>
  <c r="H141" i="16"/>
  <c r="I141" i="16" s="1"/>
  <c r="AA286" i="16"/>
  <c r="Z286" i="16" s="1"/>
  <c r="Y286" i="16" s="1"/>
  <c r="AA355" i="16"/>
  <c r="Z355" i="16" s="1"/>
  <c r="Y355" i="16" s="1"/>
  <c r="H48" i="16"/>
  <c r="I48" i="16" s="1"/>
  <c r="AA268" i="16"/>
  <c r="Z268" i="16" s="1"/>
  <c r="Y268" i="16" s="1"/>
  <c r="AA252" i="16"/>
  <c r="Z252" i="16" s="1"/>
  <c r="Y252" i="16" s="1"/>
  <c r="AA243" i="16"/>
  <c r="Z243" i="16" s="1"/>
  <c r="Y243" i="16" s="1"/>
  <c r="H163" i="16"/>
  <c r="I163" i="16" s="1"/>
  <c r="AA100" i="16"/>
  <c r="Z100" i="16" s="1"/>
  <c r="Y100" i="16" s="1"/>
  <c r="AA179" i="16"/>
  <c r="Z179" i="16" s="1"/>
  <c r="Y179" i="16" s="1"/>
  <c r="AA127" i="16"/>
  <c r="Z127" i="16" s="1"/>
  <c r="Y127" i="16" s="1"/>
  <c r="AA85" i="16"/>
  <c r="Z85" i="16" s="1"/>
  <c r="Y85" i="16" s="1"/>
  <c r="F272" i="16"/>
  <c r="G272" i="16" s="1"/>
  <c r="BY272" i="6" s="1"/>
  <c r="AA219" i="16"/>
  <c r="Z219" i="16" s="1"/>
  <c r="Y219" i="16" s="1"/>
  <c r="AA141" i="16"/>
  <c r="Z141" i="16" s="1"/>
  <c r="Y141" i="16" s="1"/>
  <c r="G243" i="16"/>
  <c r="BY243" i="6" s="1"/>
  <c r="AA146" i="16"/>
  <c r="Z146" i="16" s="1"/>
  <c r="Y146" i="16" s="1"/>
  <c r="AA250" i="16"/>
  <c r="Z250" i="16" s="1"/>
  <c r="Y250" i="16" s="1"/>
  <c r="AA96" i="16"/>
  <c r="Z96" i="16" s="1"/>
  <c r="Y96" i="16" s="1"/>
  <c r="AA84" i="16"/>
  <c r="Z84" i="16" s="1"/>
  <c r="Y84" i="16" s="1"/>
  <c r="AA294" i="16"/>
  <c r="Z294" i="16" s="1"/>
  <c r="Y294" i="16" s="1"/>
  <c r="AA342" i="16"/>
  <c r="Z342" i="16" s="1"/>
  <c r="Y342" i="16" s="1"/>
  <c r="AA83" i="16"/>
  <c r="Z83" i="16" s="1"/>
  <c r="Y83" i="16" s="1"/>
  <c r="AA317" i="16"/>
  <c r="Z317" i="16" s="1"/>
  <c r="Y317" i="16" s="1"/>
  <c r="H250" i="16"/>
  <c r="I250" i="16" s="1"/>
  <c r="AA120" i="16"/>
  <c r="Z120" i="16" s="1"/>
  <c r="Y120" i="16" s="1"/>
  <c r="AA255" i="16"/>
  <c r="Z255" i="16" s="1"/>
  <c r="Y255" i="16" s="1"/>
  <c r="AA39" i="16"/>
  <c r="Z39" i="16" s="1"/>
  <c r="Y39" i="16" s="1"/>
  <c r="AA139" i="16"/>
  <c r="Z139" i="16" s="1"/>
  <c r="Y139" i="16" s="1"/>
  <c r="H261" i="16"/>
  <c r="I261" i="16" s="1"/>
  <c r="AA34" i="16"/>
  <c r="Z34" i="16" s="1"/>
  <c r="Y34" i="16" s="1"/>
  <c r="AA324" i="16"/>
  <c r="Z324" i="16" s="1"/>
  <c r="Y324" i="16" s="1"/>
  <c r="AA187" i="16"/>
  <c r="Z187" i="16" s="1"/>
  <c r="Y187" i="16" s="1"/>
  <c r="AA189" i="16"/>
  <c r="Z189" i="16" s="1"/>
  <c r="Y189" i="16" s="1"/>
  <c r="AA124" i="16"/>
  <c r="Z124" i="16" s="1"/>
  <c r="Y124" i="16" s="1"/>
  <c r="H205" i="16"/>
  <c r="I205" i="16" s="1"/>
  <c r="AA234" i="16"/>
  <c r="Z234" i="16" s="1"/>
  <c r="Y234" i="16" s="1"/>
  <c r="AA151" i="16"/>
  <c r="Z151" i="16" s="1"/>
  <c r="Y151" i="16" s="1"/>
  <c r="AA56" i="16"/>
  <c r="Z56" i="16" s="1"/>
  <c r="Y56" i="16" s="1"/>
  <c r="AA62" i="16"/>
  <c r="Z62" i="16" s="1"/>
  <c r="Y62" i="16" s="1"/>
  <c r="AA358" i="16"/>
  <c r="Z358" i="16" s="1"/>
  <c r="Y358" i="16" s="1"/>
  <c r="AA99" i="16"/>
  <c r="Z99" i="16" s="1"/>
  <c r="Y99" i="16" s="1"/>
  <c r="AA246" i="16"/>
  <c r="Z246" i="16" s="1"/>
  <c r="Y246" i="16" s="1"/>
  <c r="AA236" i="16"/>
  <c r="Z236" i="16" s="1"/>
  <c r="Y236" i="16" s="1"/>
  <c r="AA71" i="16"/>
  <c r="Z71" i="16" s="1"/>
  <c r="Y71" i="16" s="1"/>
  <c r="AA49" i="16"/>
  <c r="Z49" i="16" s="1"/>
  <c r="Y49" i="16" s="1"/>
  <c r="AA168" i="16"/>
  <c r="Z168" i="16" s="1"/>
  <c r="Y168" i="16" s="1"/>
  <c r="AA260" i="16"/>
  <c r="Z260" i="16" s="1"/>
  <c r="Y260" i="16" s="1"/>
  <c r="AA283" i="16"/>
  <c r="Z283" i="16" s="1"/>
  <c r="Y283" i="16" s="1"/>
  <c r="AA50" i="16"/>
  <c r="Z50" i="16" s="1"/>
  <c r="Y50" i="16" s="1"/>
  <c r="AA186" i="16"/>
  <c r="Z186" i="16" s="1"/>
  <c r="Y186" i="16" s="1"/>
  <c r="AA36" i="16"/>
  <c r="Z36" i="16" s="1"/>
  <c r="Y36" i="16" s="1"/>
  <c r="G359" i="16"/>
  <c r="BY359" i="6" s="1"/>
  <c r="AA359" i="16"/>
  <c r="Z359" i="16" s="1"/>
  <c r="Y359" i="16" s="1"/>
  <c r="AC381" i="17"/>
  <c r="AC382" i="17"/>
  <c r="AJ9" i="16"/>
  <c r="AJ11" i="16" s="1"/>
  <c r="F346" i="16"/>
  <c r="G346" i="16" s="1"/>
  <c r="BY346" i="6" s="1"/>
  <c r="F90" i="16"/>
  <c r="G90" i="16" s="1"/>
  <c r="BY90" i="6" s="1"/>
  <c r="F354" i="16"/>
  <c r="G354" i="16" s="1"/>
  <c r="BY354" i="6" s="1"/>
  <c r="F161" i="16"/>
  <c r="G161" i="16" s="1"/>
  <c r="BY161" i="6" s="1"/>
  <c r="F204" i="16"/>
  <c r="G204" i="16" s="1"/>
  <c r="BY204" i="6" s="1"/>
  <c r="F59" i="16"/>
  <c r="G59" i="16" s="1"/>
  <c r="BY59" i="6" s="1"/>
  <c r="F109" i="16"/>
  <c r="F108" i="16"/>
  <c r="G108" i="16" s="1"/>
  <c r="BY108" i="6" s="1"/>
  <c r="F225" i="16"/>
  <c r="G225" i="16" s="1"/>
  <c r="BY225" i="6" s="1"/>
  <c r="AC383" i="17"/>
  <c r="F137" i="16"/>
  <c r="G137" i="16" s="1"/>
  <c r="BY137" i="6" s="1"/>
  <c r="F349" i="16"/>
  <c r="G349" i="16" s="1"/>
  <c r="BY349" i="6" s="1"/>
  <c r="F339" i="16"/>
  <c r="G339" i="16" s="1"/>
  <c r="BY339" i="6" s="1"/>
  <c r="F28" i="16"/>
  <c r="G28" i="16" s="1"/>
  <c r="BY28" i="6" s="1"/>
  <c r="F224" i="16"/>
  <c r="G224" i="16" s="1"/>
  <c r="BY224" i="6" s="1"/>
  <c r="F328" i="16"/>
  <c r="G328" i="16" s="1"/>
  <c r="BY328" i="6" s="1"/>
  <c r="AA292" i="15"/>
  <c r="Z292" i="15" s="1"/>
  <c r="Y292" i="15" s="1"/>
  <c r="AA229" i="16"/>
  <c r="Z229" i="16" s="1"/>
  <c r="Y229" i="16" s="1"/>
  <c r="I168" i="15"/>
  <c r="H168" i="16" s="1"/>
  <c r="I168" i="16" s="1"/>
  <c r="AA350" i="16"/>
  <c r="Z350" i="16" s="1"/>
  <c r="Y350" i="16" s="1"/>
  <c r="J20" i="15"/>
  <c r="J163" i="15"/>
  <c r="J250" i="15"/>
  <c r="AA228" i="16"/>
  <c r="Z228" i="16" s="1"/>
  <c r="Y228" i="16" s="1"/>
  <c r="J224" i="15"/>
  <c r="J261" i="15"/>
  <c r="J207" i="15"/>
  <c r="I17" i="15"/>
  <c r="I266" i="15"/>
  <c r="H266" i="16" s="1"/>
  <c r="I266" i="16" s="1"/>
  <c r="H17" i="16"/>
  <c r="I17" i="16" s="1"/>
  <c r="J215" i="15"/>
  <c r="I299" i="1"/>
  <c r="H299" i="15" s="1"/>
  <c r="J299" i="15" s="1"/>
  <c r="I112" i="15"/>
  <c r="J284" i="15"/>
  <c r="AA136" i="16"/>
  <c r="Z136" i="16" s="1"/>
  <c r="Y136" i="16" s="1"/>
  <c r="I77" i="15"/>
  <c r="H77" i="16" s="1"/>
  <c r="I77" i="16" s="1"/>
  <c r="AA75" i="16"/>
  <c r="Z75" i="16" s="1"/>
  <c r="Y75" i="16" s="1"/>
  <c r="I206" i="15"/>
  <c r="H206" i="16" s="1"/>
  <c r="I206" i="16" s="1"/>
  <c r="H25" i="15"/>
  <c r="J25" i="15" s="1"/>
  <c r="I99" i="15"/>
  <c r="H99" i="16" s="1"/>
  <c r="I99" i="16" s="1"/>
  <c r="H105" i="15"/>
  <c r="G105" i="15"/>
  <c r="BX105" i="6" s="1"/>
  <c r="I335" i="15"/>
  <c r="H335" i="16" s="1"/>
  <c r="I335" i="16" s="1"/>
  <c r="J335" i="15"/>
  <c r="G289" i="16"/>
  <c r="BY289" i="6" s="1"/>
  <c r="AA320" i="16"/>
  <c r="Z320" i="16" s="1"/>
  <c r="Y320" i="16" s="1"/>
  <c r="I181" i="15"/>
  <c r="H181" i="16" s="1"/>
  <c r="I181" i="16" s="1"/>
  <c r="AA288" i="16"/>
  <c r="Z288" i="16" s="1"/>
  <c r="Y288" i="16" s="1"/>
  <c r="I372" i="15"/>
  <c r="H372" i="16" s="1"/>
  <c r="I372" i="16" s="1"/>
  <c r="I35" i="15"/>
  <c r="H35" i="16" s="1"/>
  <c r="I35" i="16" s="1"/>
  <c r="AA310" i="15"/>
  <c r="Z310" i="15" s="1"/>
  <c r="Y310" i="15" s="1"/>
  <c r="AA95" i="16"/>
  <c r="Z95" i="16" s="1"/>
  <c r="Y95" i="16" s="1"/>
  <c r="AA284" i="16"/>
  <c r="Z284" i="16" s="1"/>
  <c r="Y284" i="16" s="1"/>
  <c r="G298" i="1"/>
  <c r="BW298" i="6" s="1"/>
  <c r="AA298" i="1"/>
  <c r="Z298" i="1" s="1"/>
  <c r="Y298" i="1" s="1"/>
  <c r="AA197" i="16"/>
  <c r="Z197" i="16" s="1"/>
  <c r="Y197" i="16" s="1"/>
  <c r="I337" i="15"/>
  <c r="H337" i="16" s="1"/>
  <c r="I116" i="15"/>
  <c r="H116" i="16" s="1"/>
  <c r="H207" i="16"/>
  <c r="I207" i="16" s="1"/>
  <c r="G259" i="16"/>
  <c r="BY259" i="6" s="1"/>
  <c r="AA259" i="16"/>
  <c r="Z259" i="16" s="1"/>
  <c r="Y259" i="16" s="1"/>
  <c r="AA133" i="16"/>
  <c r="Z133" i="16" s="1"/>
  <c r="Y133" i="16" s="1"/>
  <c r="F309" i="1"/>
  <c r="AA309" i="1" s="1"/>
  <c r="AA298" i="16"/>
  <c r="Z298" i="16" s="1"/>
  <c r="Y298" i="16" s="1"/>
  <c r="AA366" i="16"/>
  <c r="Z366" i="16" s="1"/>
  <c r="Y366" i="16" s="1"/>
  <c r="AA218" i="16"/>
  <c r="Z218" i="16" s="1"/>
  <c r="Y218" i="16" s="1"/>
  <c r="G281" i="15"/>
  <c r="BX281" i="6" s="1"/>
  <c r="AA281" i="15"/>
  <c r="Z281" i="15" s="1"/>
  <c r="Y281" i="15" s="1"/>
  <c r="H281" i="15"/>
  <c r="I281" i="15" s="1"/>
  <c r="H281" i="16" s="1"/>
  <c r="J281" i="16" s="1"/>
  <c r="AA140" i="16"/>
  <c r="Z140" i="16" s="1"/>
  <c r="Y140" i="16" s="1"/>
  <c r="AA195" i="16"/>
  <c r="Z195" i="16" s="1"/>
  <c r="Y195" i="16" s="1"/>
  <c r="AA142" i="16"/>
  <c r="Z142" i="16" s="1"/>
  <c r="Y142" i="16" s="1"/>
  <c r="AA237" i="16"/>
  <c r="Z237" i="16" s="1"/>
  <c r="Y237" i="16" s="1"/>
  <c r="I334" i="15"/>
  <c r="H334" i="16" s="1"/>
  <c r="I334" i="16" s="1"/>
  <c r="F114" i="16"/>
  <c r="F287" i="16"/>
  <c r="F352" i="16"/>
  <c r="F301" i="16"/>
  <c r="F343" i="16"/>
  <c r="F73" i="16"/>
  <c r="F119" i="16"/>
  <c r="AJ9" i="17"/>
  <c r="AJ11" i="17" s="1"/>
  <c r="AJ13" i="17" s="1"/>
  <c r="E381" i="17"/>
  <c r="E383" i="17"/>
  <c r="E382" i="17"/>
  <c r="E9" i="17"/>
  <c r="E11" i="17" s="1"/>
  <c r="AK8" i="17"/>
  <c r="AA377" i="16"/>
  <c r="Z377" i="16" s="1"/>
  <c r="Y377" i="16" s="1"/>
  <c r="AA147" i="16"/>
  <c r="Z147" i="16" s="1"/>
  <c r="Y147" i="16" s="1"/>
  <c r="AC10" i="20"/>
  <c r="AC349" i="20" s="1"/>
  <c r="AC39" i="20"/>
  <c r="AC37" i="20"/>
  <c r="AC126" i="20"/>
  <c r="AC53" i="20"/>
  <c r="AC55" i="20"/>
  <c r="AC47" i="20"/>
  <c r="AC123" i="20"/>
  <c r="AC273" i="20"/>
  <c r="AC117" i="20"/>
  <c r="AC264" i="20"/>
  <c r="AC45" i="20"/>
  <c r="AC77" i="20"/>
  <c r="AC74" i="20"/>
  <c r="AC319" i="20"/>
  <c r="AC20" i="20"/>
  <c r="AC61" i="20"/>
  <c r="AC94" i="20"/>
  <c r="AC335" i="20"/>
  <c r="AC56" i="20"/>
  <c r="AC98" i="20"/>
  <c r="AC105" i="20"/>
  <c r="AC113" i="20"/>
  <c r="AC36" i="20"/>
  <c r="AC67" i="20"/>
  <c r="AC108" i="20"/>
  <c r="AC189" i="20"/>
  <c r="AC22" i="20"/>
  <c r="AC72" i="20"/>
  <c r="AC106" i="20"/>
  <c r="AC232" i="20"/>
  <c r="AC93" i="20"/>
  <c r="AC367" i="20"/>
  <c r="AC23" i="20"/>
  <c r="AC76" i="20"/>
  <c r="AC79" i="20"/>
  <c r="AC255" i="20"/>
  <c r="AC48" i="20"/>
  <c r="AC329" i="20"/>
  <c r="AC30" i="20"/>
  <c r="AC86" i="20"/>
  <c r="AC121" i="20"/>
  <c r="AC187" i="20"/>
  <c r="AC129" i="20"/>
  <c r="AC44" i="20"/>
  <c r="AC87" i="20"/>
  <c r="AC144" i="20"/>
  <c r="AC101" i="20"/>
  <c r="AC213" i="20"/>
  <c r="AC82" i="20"/>
  <c r="AC365" i="20"/>
  <c r="AC35" i="20"/>
  <c r="AC26" i="20"/>
  <c r="AC125" i="20"/>
  <c r="AC18" i="20"/>
  <c r="AC52" i="20"/>
  <c r="AC21" i="20"/>
  <c r="AC118" i="20"/>
  <c r="AC103" i="20"/>
  <c r="AC34" i="20"/>
  <c r="AC68" i="20"/>
  <c r="AC69" i="20"/>
  <c r="AC60" i="20"/>
  <c r="AC65" i="20"/>
  <c r="AC130" i="20"/>
  <c r="AC51" i="20"/>
  <c r="AC96" i="20"/>
  <c r="AC100" i="20"/>
  <c r="AC97" i="20"/>
  <c r="AC33" i="20"/>
  <c r="AC63" i="20"/>
  <c r="AC107" i="20"/>
  <c r="AC66" i="20"/>
  <c r="AC104" i="20"/>
  <c r="AC170" i="20"/>
  <c r="AC133" i="20"/>
  <c r="AC227" i="20"/>
  <c r="AC91" i="20"/>
  <c r="AC131" i="20"/>
  <c r="AC43" i="20"/>
  <c r="AC71" i="20"/>
  <c r="AC132" i="20"/>
  <c r="AC75" i="20"/>
  <c r="AC28" i="20"/>
  <c r="AC78" i="20"/>
  <c r="AC119" i="20"/>
  <c r="AC116" i="20"/>
  <c r="AC41" i="20"/>
  <c r="AC81" i="20"/>
  <c r="AC99" i="20"/>
  <c r="AC54" i="20"/>
  <c r="AC32" i="20"/>
  <c r="AC15" i="20"/>
  <c r="AC124" i="20"/>
  <c r="AC49" i="20"/>
  <c r="AC19" i="20"/>
  <c r="AC115" i="20"/>
  <c r="AC92" i="20"/>
  <c r="AC344" i="20"/>
  <c r="AC16" i="20"/>
  <c r="AC42" i="20"/>
  <c r="AC128" i="20"/>
  <c r="AC59" i="20"/>
  <c r="AC58" i="20"/>
  <c r="AC57" i="20"/>
  <c r="AC127" i="20"/>
  <c r="AC50" i="20"/>
  <c r="AC85" i="20"/>
  <c r="AC83" i="20"/>
  <c r="AC17" i="20"/>
  <c r="AC24" i="20"/>
  <c r="AC62" i="20"/>
  <c r="AC95" i="20"/>
  <c r="AC64" i="20"/>
  <c r="AC102" i="20"/>
  <c r="AC110" i="20"/>
  <c r="AC29" i="20"/>
  <c r="AC40" i="20"/>
  <c r="AC70" i="20"/>
  <c r="AC112" i="20"/>
  <c r="AC38" i="20"/>
  <c r="AC27" i="20"/>
  <c r="AC73" i="20"/>
  <c r="AC111" i="20"/>
  <c r="AC114" i="20"/>
  <c r="AC25" i="20"/>
  <c r="AC80" i="20"/>
  <c r="AC84" i="20"/>
  <c r="AC120" i="20"/>
  <c r="AC31" i="20"/>
  <c r="AC89" i="20"/>
  <c r="AC122" i="20"/>
  <c r="AC46" i="20"/>
  <c r="AC90" i="20"/>
  <c r="AC109" i="20"/>
  <c r="AC88" i="20"/>
  <c r="AA65" i="16"/>
  <c r="Z65" i="16" s="1"/>
  <c r="Y65" i="16" s="1"/>
  <c r="AA200" i="16"/>
  <c r="Z200" i="16" s="1"/>
  <c r="Y200" i="16" s="1"/>
  <c r="AA176" i="16"/>
  <c r="Z176" i="16" s="1"/>
  <c r="Y176" i="16" s="1"/>
  <c r="AA207" i="16"/>
  <c r="Z207" i="16" s="1"/>
  <c r="Y207" i="16" s="1"/>
  <c r="AA182" i="16"/>
  <c r="Z182" i="16" s="1"/>
  <c r="Y182" i="16" s="1"/>
  <c r="AA258" i="16"/>
  <c r="Z258" i="16" s="1"/>
  <c r="Y258" i="16" s="1"/>
  <c r="AA257" i="16"/>
  <c r="Z257" i="16" s="1"/>
  <c r="Y257" i="16" s="1"/>
  <c r="H198" i="15"/>
  <c r="J198" i="15" s="1"/>
  <c r="AJ10" i="16"/>
  <c r="AJ12" i="16" s="1"/>
  <c r="E383" i="16"/>
  <c r="AK8" i="16"/>
  <c r="E382" i="16"/>
  <c r="E9" i="16"/>
  <c r="E11" i="16" s="1"/>
  <c r="E381" i="16"/>
  <c r="AA222" i="16"/>
  <c r="Z222" i="16" s="1"/>
  <c r="Y222" i="16" s="1"/>
  <c r="AA134" i="16"/>
  <c r="Z134" i="16" s="1"/>
  <c r="Y134" i="16" s="1"/>
  <c r="AA45" i="16"/>
  <c r="Z45" i="16" s="1"/>
  <c r="Y45" i="16" s="1"/>
  <c r="H229" i="16"/>
  <c r="AA376" i="16"/>
  <c r="Z376" i="16" s="1"/>
  <c r="Y376" i="16" s="1"/>
  <c r="AA297" i="16"/>
  <c r="Z297" i="16" s="1"/>
  <c r="Y297" i="16" s="1"/>
  <c r="AA144" i="16"/>
  <c r="Z144" i="16" s="1"/>
  <c r="Y144" i="16" s="1"/>
  <c r="AA211" i="16"/>
  <c r="Z211" i="16" s="1"/>
  <c r="Y211" i="16" s="1"/>
  <c r="I127" i="15"/>
  <c r="H127" i="16" s="1"/>
  <c r="J127" i="15"/>
  <c r="E62" i="19"/>
  <c r="AA25" i="15"/>
  <c r="Z25" i="15" s="1"/>
  <c r="Y25" i="15" s="1"/>
  <c r="H62" i="19"/>
  <c r="J61" i="19"/>
  <c r="H284" i="16"/>
  <c r="AA198" i="15"/>
  <c r="Z198" i="15" s="1"/>
  <c r="Y198" i="15" s="1"/>
  <c r="AA27" i="16"/>
  <c r="Z27" i="16" s="1"/>
  <c r="Y27" i="16" s="1"/>
  <c r="BF13" i="7"/>
  <c r="AA269" i="1"/>
  <c r="Z269" i="1" s="1"/>
  <c r="Y269" i="1" s="1"/>
  <c r="AA196" i="1"/>
  <c r="Z196" i="1" s="1"/>
  <c r="Y196" i="1" s="1"/>
  <c r="I97" i="15"/>
  <c r="H97" i="16" s="1"/>
  <c r="J97" i="15"/>
  <c r="U12" i="18"/>
  <c r="AA16" i="7" s="1"/>
  <c r="S382" i="16"/>
  <c r="S383" i="16"/>
  <c r="S381" i="16"/>
  <c r="R15" i="16"/>
  <c r="AA190" i="16"/>
  <c r="Z190" i="16" s="1"/>
  <c r="Y190" i="16" s="1"/>
  <c r="I352" i="1"/>
  <c r="H352" i="15" s="1"/>
  <c r="G352" i="1"/>
  <c r="BW352" i="6" s="1"/>
  <c r="AA352" i="1"/>
  <c r="Z352" i="1" s="1"/>
  <c r="Y352" i="1" s="1"/>
  <c r="G31" i="16"/>
  <c r="BY31" i="6" s="1"/>
  <c r="AA31" i="16"/>
  <c r="Z31" i="16" s="1"/>
  <c r="Y31" i="16" s="1"/>
  <c r="I336" i="1"/>
  <c r="H336" i="15" s="1"/>
  <c r="AA336" i="1"/>
  <c r="Z336" i="1" s="1"/>
  <c r="Y336" i="1" s="1"/>
  <c r="G336" i="1"/>
  <c r="BW336" i="6" s="1"/>
  <c r="AA122" i="1"/>
  <c r="Z122" i="1" s="1"/>
  <c r="Y122" i="1" s="1"/>
  <c r="AA226" i="1"/>
  <c r="Z226" i="1" s="1"/>
  <c r="Y226" i="1" s="1"/>
  <c r="J84" i="15"/>
  <c r="I84" i="15"/>
  <c r="H84" i="16" s="1"/>
  <c r="J102" i="15"/>
  <c r="I102" i="15"/>
  <c r="H102" i="16" s="1"/>
  <c r="G256" i="15"/>
  <c r="BX256" i="6" s="1"/>
  <c r="H256" i="15"/>
  <c r="H267" i="15"/>
  <c r="G267" i="15"/>
  <c r="BX267" i="6" s="1"/>
  <c r="G21" i="15"/>
  <c r="BX21" i="6" s="1"/>
  <c r="H21" i="15"/>
  <c r="V74" i="15"/>
  <c r="F74" i="15" s="1"/>
  <c r="G174" i="15"/>
  <c r="BX174" i="6" s="1"/>
  <c r="H174" i="15"/>
  <c r="G19" i="15"/>
  <c r="BX19" i="6" s="1"/>
  <c r="H19" i="15"/>
  <c r="G132" i="15"/>
  <c r="BX132" i="6" s="1"/>
  <c r="H132" i="15"/>
  <c r="AA267" i="15"/>
  <c r="Z267" i="15" s="1"/>
  <c r="Y267" i="15" s="1"/>
  <c r="AA21" i="15"/>
  <c r="Z21" i="15" s="1"/>
  <c r="Y21" i="15" s="1"/>
  <c r="AA256" i="15"/>
  <c r="Z256" i="15" s="1"/>
  <c r="Y256" i="15" s="1"/>
  <c r="AA40" i="16"/>
  <c r="Z40" i="16" s="1"/>
  <c r="Y40" i="16" s="1"/>
  <c r="AA33" i="16"/>
  <c r="Z33" i="16" s="1"/>
  <c r="Y33" i="16" s="1"/>
  <c r="AA238" i="16"/>
  <c r="Z238" i="16" s="1"/>
  <c r="Y238" i="16" s="1"/>
  <c r="AA25" i="16"/>
  <c r="Z25" i="16" s="1"/>
  <c r="Y25" i="16" s="1"/>
  <c r="G231" i="16"/>
  <c r="BY231" i="6" s="1"/>
  <c r="I343" i="15"/>
  <c r="J343" i="15"/>
  <c r="AA272" i="15"/>
  <c r="Z272" i="15" s="1"/>
  <c r="Y272" i="15" s="1"/>
  <c r="H272" i="15"/>
  <c r="G272" i="15"/>
  <c r="BX272" i="6" s="1"/>
  <c r="V274" i="15"/>
  <c r="F274" i="15" s="1"/>
  <c r="I291" i="1"/>
  <c r="H291" i="15" s="1"/>
  <c r="G291" i="1"/>
  <c r="BW291" i="6" s="1"/>
  <c r="AA291" i="1"/>
  <c r="Z291" i="1" s="1"/>
  <c r="Y291" i="1" s="1"/>
  <c r="V177" i="16"/>
  <c r="F177" i="16" s="1"/>
  <c r="AA46" i="1"/>
  <c r="Z46" i="1" s="1"/>
  <c r="Y46" i="1" s="1"/>
  <c r="AA132" i="15"/>
  <c r="Z132" i="15" s="1"/>
  <c r="Y132" i="15" s="1"/>
  <c r="AA291" i="15"/>
  <c r="Z291" i="15" s="1"/>
  <c r="Y291" i="15" s="1"/>
  <c r="AA274" i="16"/>
  <c r="Z274" i="16" s="1"/>
  <c r="Y274" i="16" s="1"/>
  <c r="AA329" i="16"/>
  <c r="Z329" i="16" s="1"/>
  <c r="Y329" i="16" s="1"/>
  <c r="J223" i="15"/>
  <c r="AA25" i="1"/>
  <c r="Z25" i="1" s="1"/>
  <c r="Y25" i="1" s="1"/>
  <c r="G267" i="16"/>
  <c r="BY267" i="6" s="1"/>
  <c r="G282" i="15"/>
  <c r="BX282" i="6" s="1"/>
  <c r="H282" i="15"/>
  <c r="AA174" i="15"/>
  <c r="Z174" i="15" s="1"/>
  <c r="Y174" i="15" s="1"/>
  <c r="AA256" i="1"/>
  <c r="Z256" i="1" s="1"/>
  <c r="Y256" i="1" s="1"/>
  <c r="D26" i="7"/>
  <c r="V210" i="1"/>
  <c r="AA210" i="1" s="1"/>
  <c r="Z210" i="1" s="1"/>
  <c r="Y210" i="1" s="1"/>
  <c r="G120" i="15"/>
  <c r="BX120" i="6" s="1"/>
  <c r="H120" i="15"/>
  <c r="AA120" i="15"/>
  <c r="Z120" i="15" s="1"/>
  <c r="Y120" i="15" s="1"/>
  <c r="AA367" i="15"/>
  <c r="Z367" i="15" s="1"/>
  <c r="Y367" i="15" s="1"/>
  <c r="AA19" i="15"/>
  <c r="Z19" i="15" s="1"/>
  <c r="Y19" i="15" s="1"/>
  <c r="AA21" i="16"/>
  <c r="Z21" i="16" s="1"/>
  <c r="Y21" i="16" s="1"/>
  <c r="AA132" i="16"/>
  <c r="Z132" i="16" s="1"/>
  <c r="Y132" i="16" s="1"/>
  <c r="AA17" i="16"/>
  <c r="Z17" i="16" s="1"/>
  <c r="Y17" i="16" s="1"/>
  <c r="J231" i="15"/>
  <c r="I231" i="15"/>
  <c r="H231" i="16" s="1"/>
  <c r="V322" i="15"/>
  <c r="F322" i="15" s="1"/>
  <c r="H265" i="15"/>
  <c r="G265" i="15"/>
  <c r="BX265" i="6" s="1"/>
  <c r="AA265" i="15"/>
  <c r="Z265" i="15" s="1"/>
  <c r="Y265" i="15" s="1"/>
  <c r="V241" i="16"/>
  <c r="F241" i="16" s="1"/>
  <c r="D51" i="7"/>
  <c r="G177" i="15"/>
  <c r="BX177" i="6" s="1"/>
  <c r="H177" i="15"/>
  <c r="G107" i="15"/>
  <c r="BX107" i="6" s="1"/>
  <c r="H107" i="15"/>
  <c r="AA198" i="1"/>
  <c r="Z198" i="1" s="1"/>
  <c r="Y198" i="1" s="1"/>
  <c r="V46" i="15"/>
  <c r="F46" i="15" s="1"/>
  <c r="AA107" i="15"/>
  <c r="Z107" i="15" s="1"/>
  <c r="Y107" i="15" s="1"/>
  <c r="AA293" i="16"/>
  <c r="Z293" i="16" s="1"/>
  <c r="Y293" i="16" s="1"/>
  <c r="AA330" i="16"/>
  <c r="Z330" i="16" s="1"/>
  <c r="Y330" i="16" s="1"/>
  <c r="P71" i="27"/>
  <c r="G34" i="27" s="1"/>
  <c r="AE70" i="27"/>
  <c r="G92" i="15"/>
  <c r="BX92" i="6" s="1"/>
  <c r="H92" i="15"/>
  <c r="AA92" i="15"/>
  <c r="Z92" i="15" s="1"/>
  <c r="Y92" i="15" s="1"/>
  <c r="F214" i="15"/>
  <c r="G214" i="15" s="1"/>
  <c r="BX214" i="6" s="1"/>
  <c r="AA113" i="15"/>
  <c r="Z113" i="15" s="1"/>
  <c r="Y113" i="15" s="1"/>
  <c r="AA69" i="1"/>
  <c r="Z69" i="1" s="1"/>
  <c r="Y69" i="1" s="1"/>
  <c r="F269" i="15"/>
  <c r="H269" i="15" s="1"/>
  <c r="F269" i="16"/>
  <c r="G269" i="16" s="1"/>
  <c r="BY269" i="6" s="1"/>
  <c r="J63" i="19"/>
  <c r="F292" i="16"/>
  <c r="G292" i="16" s="1"/>
  <c r="BY292" i="6" s="1"/>
  <c r="AA16" i="1"/>
  <c r="Z16" i="1" s="1"/>
  <c r="Y16" i="1" s="1"/>
  <c r="AA166" i="1"/>
  <c r="Z166" i="1" s="1"/>
  <c r="Y166" i="1" s="1"/>
  <c r="AA203" i="1"/>
  <c r="Z203" i="1" s="1"/>
  <c r="Y203" i="1" s="1"/>
  <c r="F363" i="16"/>
  <c r="G363" i="16" s="1"/>
  <c r="BY363" i="6" s="1"/>
  <c r="F76" i="16"/>
  <c r="G76" i="16" s="1"/>
  <c r="BY76" i="6" s="1"/>
  <c r="F321" i="16"/>
  <c r="G321" i="16" s="1"/>
  <c r="BY321" i="6" s="1"/>
  <c r="AA365" i="15"/>
  <c r="Z365" i="15" s="1"/>
  <c r="Y365" i="15" s="1"/>
  <c r="AA16" i="16"/>
  <c r="Z16" i="16" s="1"/>
  <c r="Y16" i="16" s="1"/>
  <c r="AA212" i="16"/>
  <c r="Z212" i="16" s="1"/>
  <c r="Y212" i="16" s="1"/>
  <c r="G297" i="15"/>
  <c r="BX297" i="6" s="1"/>
  <c r="AA297" i="15"/>
  <c r="Z297" i="15" s="1"/>
  <c r="Y297" i="15" s="1"/>
  <c r="J217" i="15"/>
  <c r="I217" i="15"/>
  <c r="H217" i="16" s="1"/>
  <c r="J279" i="15"/>
  <c r="I24" i="15"/>
  <c r="H24" i="16" s="1"/>
  <c r="J24" i="15"/>
  <c r="G319" i="15"/>
  <c r="BX319" i="6" s="1"/>
  <c r="AA319" i="15"/>
  <c r="Z319" i="15" s="1"/>
  <c r="Y319" i="15" s="1"/>
  <c r="J73" i="15"/>
  <c r="I73" i="15"/>
  <c r="F113" i="16"/>
  <c r="G113" i="16" s="1"/>
  <c r="BY113" i="6" s="1"/>
  <c r="E63" i="19"/>
  <c r="AA66" i="16"/>
  <c r="Z66" i="16" s="1"/>
  <c r="Y66" i="16" s="1"/>
  <c r="F242" i="16"/>
  <c r="G242" i="16" s="1"/>
  <c r="BY242" i="6" s="1"/>
  <c r="AA241" i="1"/>
  <c r="Z241" i="1" s="1"/>
  <c r="Y241" i="1" s="1"/>
  <c r="I61" i="19"/>
  <c r="AA193" i="16"/>
  <c r="Z193" i="16" s="1"/>
  <c r="Y193" i="16" s="1"/>
  <c r="AA253" i="16"/>
  <c r="Z253" i="16" s="1"/>
  <c r="Y253" i="16" s="1"/>
  <c r="H210" i="15"/>
  <c r="G210" i="15"/>
  <c r="BX210" i="6" s="1"/>
  <c r="AA210" i="15"/>
  <c r="Z210" i="15" s="1"/>
  <c r="Y210" i="15" s="1"/>
  <c r="H297" i="15"/>
  <c r="G304" i="16"/>
  <c r="BY304" i="6" s="1"/>
  <c r="AA304" i="16"/>
  <c r="Z304" i="16" s="1"/>
  <c r="Y304" i="16" s="1"/>
  <c r="I359" i="1"/>
  <c r="H359" i="15" s="1"/>
  <c r="G359" i="1"/>
  <c r="BW359" i="6" s="1"/>
  <c r="AA359" i="1"/>
  <c r="Z359" i="1" s="1"/>
  <c r="Y359" i="1" s="1"/>
  <c r="G341" i="16"/>
  <c r="BY341" i="6" s="1"/>
  <c r="AA341" i="16"/>
  <c r="Z341" i="16" s="1"/>
  <c r="Y341" i="16" s="1"/>
  <c r="H55" i="15"/>
  <c r="G55" i="15"/>
  <c r="BX55" i="6" s="1"/>
  <c r="AA55" i="15"/>
  <c r="Z55" i="15" s="1"/>
  <c r="Y55" i="15" s="1"/>
  <c r="AA165" i="15"/>
  <c r="Z165" i="15" s="1"/>
  <c r="Y165" i="15" s="1"/>
  <c r="H165" i="15"/>
  <c r="G165" i="15"/>
  <c r="BX165" i="6" s="1"/>
  <c r="G213" i="16"/>
  <c r="BY213" i="6" s="1"/>
  <c r="AA213" i="16"/>
  <c r="Z213" i="16" s="1"/>
  <c r="Y213" i="16" s="1"/>
  <c r="G130" i="16"/>
  <c r="BY130" i="6" s="1"/>
  <c r="AA130" i="16"/>
  <c r="Z130" i="16" s="1"/>
  <c r="Y130" i="16" s="1"/>
  <c r="G91" i="16"/>
  <c r="BY91" i="6" s="1"/>
  <c r="AA91" i="16"/>
  <c r="Z91" i="16" s="1"/>
  <c r="Y91" i="16" s="1"/>
  <c r="J351" i="15"/>
  <c r="G344" i="1"/>
  <c r="BW344" i="6" s="1"/>
  <c r="I344" i="1"/>
  <c r="H344" i="15" s="1"/>
  <c r="AA344" i="1"/>
  <c r="Z344" i="1" s="1"/>
  <c r="Y344" i="1" s="1"/>
  <c r="AA232" i="15"/>
  <c r="Z232" i="15" s="1"/>
  <c r="Y232" i="15" s="1"/>
  <c r="H232" i="15"/>
  <c r="G232" i="15"/>
  <c r="BX232" i="6" s="1"/>
  <c r="G140" i="15"/>
  <c r="BX140" i="6" s="1"/>
  <c r="AA140" i="15"/>
  <c r="Z140" i="15" s="1"/>
  <c r="Y140" i="15" s="1"/>
  <c r="H140" i="15"/>
  <c r="G158" i="16"/>
  <c r="BY158" i="6" s="1"/>
  <c r="AA158" i="16"/>
  <c r="Z158" i="16" s="1"/>
  <c r="Y158" i="16" s="1"/>
  <c r="AA376" i="15"/>
  <c r="Z376" i="15" s="1"/>
  <c r="Y376" i="15" s="1"/>
  <c r="G376" i="15"/>
  <c r="BX376" i="6" s="1"/>
  <c r="H376" i="15"/>
  <c r="I319" i="1"/>
  <c r="H319" i="15" s="1"/>
  <c r="AA319" i="1"/>
  <c r="Z319" i="1" s="1"/>
  <c r="Y319" i="1" s="1"/>
  <c r="G319" i="1"/>
  <c r="BW319" i="6" s="1"/>
  <c r="G347" i="15"/>
  <c r="BX347" i="6" s="1"/>
  <c r="AA347" i="15"/>
  <c r="Z347" i="15" s="1"/>
  <c r="Y347" i="15" s="1"/>
  <c r="AA371" i="15"/>
  <c r="Z371" i="15" s="1"/>
  <c r="Y371" i="15" s="1"/>
  <c r="G371" i="15"/>
  <c r="BX371" i="6" s="1"/>
  <c r="I358" i="1"/>
  <c r="H358" i="15" s="1"/>
  <c r="AA358" i="1"/>
  <c r="Z358" i="1" s="1"/>
  <c r="Y358" i="1" s="1"/>
  <c r="G358" i="1"/>
  <c r="BW358" i="6" s="1"/>
  <c r="G110" i="15"/>
  <c r="BX110" i="6" s="1"/>
  <c r="H110" i="15"/>
  <c r="AA110" i="15"/>
  <c r="Z110" i="15" s="1"/>
  <c r="Y110" i="15" s="1"/>
  <c r="AA283" i="15"/>
  <c r="Z283" i="15" s="1"/>
  <c r="Y283" i="15" s="1"/>
  <c r="H283" i="15"/>
  <c r="G283" i="15"/>
  <c r="BX283" i="6" s="1"/>
  <c r="G56" i="15"/>
  <c r="BX56" i="6" s="1"/>
  <c r="AA56" i="15"/>
  <c r="Z56" i="15" s="1"/>
  <c r="Y56" i="15" s="1"/>
  <c r="H56" i="15"/>
  <c r="G288" i="1"/>
  <c r="BW288" i="6" s="1"/>
  <c r="AA288" i="1"/>
  <c r="Z288" i="1" s="1"/>
  <c r="Y288" i="1" s="1"/>
  <c r="I288" i="1"/>
  <c r="H288" i="15" s="1"/>
  <c r="G290" i="1"/>
  <c r="BW290" i="6" s="1"/>
  <c r="I290" i="1"/>
  <c r="H290" i="15" s="1"/>
  <c r="AA290" i="1"/>
  <c r="Z290" i="1" s="1"/>
  <c r="Y290" i="1" s="1"/>
  <c r="I361" i="1"/>
  <c r="H361" i="15" s="1"/>
  <c r="G361" i="1"/>
  <c r="BW361" i="6" s="1"/>
  <c r="AA361" i="1"/>
  <c r="Z361" i="1" s="1"/>
  <c r="Y361" i="1" s="1"/>
  <c r="G116" i="16"/>
  <c r="BY116" i="6" s="1"/>
  <c r="AA116" i="16"/>
  <c r="Z116" i="16" s="1"/>
  <c r="Y116" i="16" s="1"/>
  <c r="AA280" i="15"/>
  <c r="Z280" i="15" s="1"/>
  <c r="Y280" i="15" s="1"/>
  <c r="H280" i="15"/>
  <c r="G280" i="15"/>
  <c r="BX280" i="6" s="1"/>
  <c r="AA373" i="1"/>
  <c r="Z373" i="1" s="1"/>
  <c r="Y373" i="1" s="1"/>
  <c r="I373" i="1"/>
  <c r="H373" i="15" s="1"/>
  <c r="G373" i="1"/>
  <c r="BW373" i="6" s="1"/>
  <c r="AA219" i="15"/>
  <c r="Z219" i="15" s="1"/>
  <c r="Y219" i="15" s="1"/>
  <c r="G219" i="15"/>
  <c r="BX219" i="6" s="1"/>
  <c r="H219" i="15"/>
  <c r="G134" i="15"/>
  <c r="BX134" i="6" s="1"/>
  <c r="H134" i="15"/>
  <c r="AA134" i="15"/>
  <c r="Z134" i="15" s="1"/>
  <c r="Y134" i="15" s="1"/>
  <c r="I347" i="1"/>
  <c r="H347" i="15" s="1"/>
  <c r="G347" i="1"/>
  <c r="BW347" i="6" s="1"/>
  <c r="AA347" i="1"/>
  <c r="Z347" i="1" s="1"/>
  <c r="Y347" i="1" s="1"/>
  <c r="G32" i="16"/>
  <c r="BY32" i="6" s="1"/>
  <c r="AA32" i="16"/>
  <c r="Z32" i="16" s="1"/>
  <c r="Y32" i="16" s="1"/>
  <c r="G369" i="15"/>
  <c r="BX369" i="6" s="1"/>
  <c r="AA369" i="15"/>
  <c r="Z369" i="15" s="1"/>
  <c r="Y369" i="15" s="1"/>
  <c r="G288" i="15"/>
  <c r="BX288" i="6" s="1"/>
  <c r="AA288" i="15"/>
  <c r="Z288" i="15" s="1"/>
  <c r="Y288" i="15" s="1"/>
  <c r="AA156" i="15"/>
  <c r="Z156" i="15" s="1"/>
  <c r="Y156" i="15" s="1"/>
  <c r="G156" i="15"/>
  <c r="BX156" i="6" s="1"/>
  <c r="H156" i="15"/>
  <c r="G160" i="16"/>
  <c r="BY160" i="6" s="1"/>
  <c r="AA160" i="16"/>
  <c r="Z160" i="16" s="1"/>
  <c r="Y160" i="16" s="1"/>
  <c r="G117" i="15"/>
  <c r="BX117" i="6" s="1"/>
  <c r="H117" i="15"/>
  <c r="AA117" i="15"/>
  <c r="Z117" i="15" s="1"/>
  <c r="Y117" i="15" s="1"/>
  <c r="G85" i="15"/>
  <c r="BX85" i="6" s="1"/>
  <c r="H85" i="15"/>
  <c r="AA85" i="15"/>
  <c r="Z85" i="15" s="1"/>
  <c r="Y85" i="15" s="1"/>
  <c r="AA344" i="15"/>
  <c r="Z344" i="15" s="1"/>
  <c r="Y344" i="15" s="1"/>
  <c r="G344" i="15"/>
  <c r="BX344" i="6" s="1"/>
  <c r="V277" i="15"/>
  <c r="I354" i="1"/>
  <c r="H354" i="15" s="1"/>
  <c r="G354" i="1"/>
  <c r="BW354" i="6" s="1"/>
  <c r="AA354" i="1"/>
  <c r="Z354" i="1" s="1"/>
  <c r="Y354" i="1" s="1"/>
  <c r="J148" i="15"/>
  <c r="I148" i="15"/>
  <c r="H148" i="16" s="1"/>
  <c r="AA350" i="1"/>
  <c r="Z350" i="1" s="1"/>
  <c r="Y350" i="1" s="1"/>
  <c r="G350" i="1"/>
  <c r="BW350" i="6" s="1"/>
  <c r="I350" i="1"/>
  <c r="H350" i="15" s="1"/>
  <c r="J222" i="15"/>
  <c r="I222" i="15"/>
  <c r="H222" i="16" s="1"/>
  <c r="G305" i="1"/>
  <c r="BW305" i="6" s="1"/>
  <c r="I305" i="1"/>
  <c r="H305" i="15" s="1"/>
  <c r="AA305" i="1"/>
  <c r="Z305" i="1" s="1"/>
  <c r="Y305" i="1" s="1"/>
  <c r="AA312" i="1"/>
  <c r="Z312" i="1" s="1"/>
  <c r="Y312" i="1" s="1"/>
  <c r="G312" i="1"/>
  <c r="BW312" i="6" s="1"/>
  <c r="I312" i="1"/>
  <c r="H312" i="15" s="1"/>
  <c r="J114" i="15"/>
  <c r="I114" i="15"/>
  <c r="I341" i="1"/>
  <c r="H341" i="15" s="1"/>
  <c r="G341" i="1"/>
  <c r="BW341" i="6" s="1"/>
  <c r="AA341" i="1"/>
  <c r="Z341" i="1" s="1"/>
  <c r="Y341" i="1" s="1"/>
  <c r="AA70" i="15"/>
  <c r="Z70" i="15" s="1"/>
  <c r="Y70" i="15" s="1"/>
  <c r="H70" i="15"/>
  <c r="G70" i="15"/>
  <c r="BX70" i="6" s="1"/>
  <c r="G295" i="1"/>
  <c r="BW295" i="6" s="1"/>
  <c r="AA295" i="1"/>
  <c r="Z295" i="1" s="1"/>
  <c r="Y295" i="1" s="1"/>
  <c r="I295" i="1"/>
  <c r="H295" i="15" s="1"/>
  <c r="AA249" i="1"/>
  <c r="Z249" i="1" s="1"/>
  <c r="Y249" i="1" s="1"/>
  <c r="AA113" i="1"/>
  <c r="Z113" i="1" s="1"/>
  <c r="Y113" i="1" s="1"/>
  <c r="AA310" i="1"/>
  <c r="Z310" i="1" s="1"/>
  <c r="Y310" i="1" s="1"/>
  <c r="I310" i="1"/>
  <c r="H310" i="15" s="1"/>
  <c r="J310" i="15" s="1"/>
  <c r="G310" i="1"/>
  <c r="BW310" i="6" s="1"/>
  <c r="G309" i="15"/>
  <c r="BX309" i="6" s="1"/>
  <c r="AA309" i="15"/>
  <c r="Z309" i="15" s="1"/>
  <c r="Y309" i="15" s="1"/>
  <c r="G296" i="15"/>
  <c r="BX296" i="6" s="1"/>
  <c r="AA296" i="15"/>
  <c r="Z296" i="15" s="1"/>
  <c r="Y296" i="15" s="1"/>
  <c r="AA89" i="1"/>
  <c r="Z89" i="1" s="1"/>
  <c r="Y89" i="1" s="1"/>
  <c r="G311" i="16"/>
  <c r="BY311" i="6" s="1"/>
  <c r="AA311" i="16"/>
  <c r="Z311" i="16" s="1"/>
  <c r="Y311" i="16" s="1"/>
  <c r="V292" i="1"/>
  <c r="F292" i="1" s="1"/>
  <c r="D22" i="7"/>
  <c r="V88" i="1"/>
  <c r="AA88" i="1" s="1"/>
  <c r="Z88" i="1" s="1"/>
  <c r="Y88" i="1" s="1"/>
  <c r="V364" i="1"/>
  <c r="F364" i="1" s="1"/>
  <c r="V332" i="1"/>
  <c r="F332" i="1" s="1"/>
  <c r="AA16" i="15"/>
  <c r="Z16" i="15" s="1"/>
  <c r="Y16" i="15" s="1"/>
  <c r="G16" i="15"/>
  <c r="BX16" i="6" s="1"/>
  <c r="H16" i="15"/>
  <c r="D25" i="7"/>
  <c r="V180" i="1"/>
  <c r="AA180" i="1" s="1"/>
  <c r="Z180" i="1" s="1"/>
  <c r="Y180" i="1" s="1"/>
  <c r="D37" i="7"/>
  <c r="V180" i="15"/>
  <c r="F180" i="15" s="1"/>
  <c r="AA79" i="1"/>
  <c r="Z79" i="1" s="1"/>
  <c r="Y79" i="1" s="1"/>
  <c r="V348" i="16"/>
  <c r="F348" i="16" s="1"/>
  <c r="V348" i="1"/>
  <c r="F348" i="1" s="1"/>
  <c r="G152" i="16"/>
  <c r="BY152" i="6" s="1"/>
  <c r="AD383" i="1"/>
  <c r="AD381" i="1"/>
  <c r="AD382" i="1"/>
  <c r="G293" i="15"/>
  <c r="BX293" i="6" s="1"/>
  <c r="AA293" i="15"/>
  <c r="Z293" i="15" s="1"/>
  <c r="Y293" i="15" s="1"/>
  <c r="AA293" i="1"/>
  <c r="Z293" i="1" s="1"/>
  <c r="Y293" i="1" s="1"/>
  <c r="I293" i="1"/>
  <c r="H293" i="15" s="1"/>
  <c r="G293" i="1"/>
  <c r="BW293" i="6" s="1"/>
  <c r="I41" i="15"/>
  <c r="H41" i="16" s="1"/>
  <c r="J41" i="15"/>
  <c r="J213" i="15"/>
  <c r="I213" i="15"/>
  <c r="H213" i="16" s="1"/>
  <c r="I75" i="15"/>
  <c r="H75" i="16" s="1"/>
  <c r="J75" i="16" s="1"/>
  <c r="J75" i="15"/>
  <c r="G363" i="15"/>
  <c r="BX363" i="6" s="1"/>
  <c r="AA363" i="15"/>
  <c r="Z363" i="15" s="1"/>
  <c r="Y363" i="15" s="1"/>
  <c r="J276" i="15"/>
  <c r="I276" i="15"/>
  <c r="H276" i="16" s="1"/>
  <c r="G27" i="15"/>
  <c r="BX27" i="6" s="1"/>
  <c r="H27" i="15"/>
  <c r="AA27" i="15"/>
  <c r="Z27" i="15" s="1"/>
  <c r="Y27" i="15" s="1"/>
  <c r="I285" i="15"/>
  <c r="H285" i="16" s="1"/>
  <c r="J285" i="15"/>
  <c r="G54" i="15"/>
  <c r="BX54" i="6" s="1"/>
  <c r="H54" i="15"/>
  <c r="AA54" i="15"/>
  <c r="Z54" i="15" s="1"/>
  <c r="Y54" i="15" s="1"/>
  <c r="J160" i="15"/>
  <c r="I160" i="15"/>
  <c r="H160" i="16" s="1"/>
  <c r="I64" i="15"/>
  <c r="H64" i="16" s="1"/>
  <c r="I363" i="1"/>
  <c r="H363" i="15" s="1"/>
  <c r="G363" i="1"/>
  <c r="BW363" i="6" s="1"/>
  <c r="AA363" i="1"/>
  <c r="Z363" i="1" s="1"/>
  <c r="Y363" i="1" s="1"/>
  <c r="G271" i="16"/>
  <c r="BY271" i="6" s="1"/>
  <c r="AA150" i="16"/>
  <c r="Z150" i="16" s="1"/>
  <c r="Y150" i="16" s="1"/>
  <c r="G362" i="1"/>
  <c r="BW362" i="6" s="1"/>
  <c r="I362" i="1"/>
  <c r="H362" i="15" s="1"/>
  <c r="AA362" i="1"/>
  <c r="Z362" i="1" s="1"/>
  <c r="Y362" i="1" s="1"/>
  <c r="I244" i="15"/>
  <c r="H244" i="16" s="1"/>
  <c r="J244" i="15"/>
  <c r="I38" i="15"/>
  <c r="H38" i="16" s="1"/>
  <c r="J62" i="15"/>
  <c r="AA135" i="15"/>
  <c r="Z135" i="15" s="1"/>
  <c r="Y135" i="15" s="1"/>
  <c r="G135" i="15"/>
  <c r="BX135" i="6" s="1"/>
  <c r="H135" i="15"/>
  <c r="AA87" i="15"/>
  <c r="Z87" i="15" s="1"/>
  <c r="Y87" i="15" s="1"/>
  <c r="G87" i="15"/>
  <c r="BX87" i="6" s="1"/>
  <c r="H87" i="15"/>
  <c r="J139" i="15"/>
  <c r="I139" i="15"/>
  <c r="H139" i="16" s="1"/>
  <c r="I270" i="15"/>
  <c r="H270" i="16" s="1"/>
  <c r="J270" i="15"/>
  <c r="G294" i="15"/>
  <c r="BX294" i="6" s="1"/>
  <c r="AA294" i="15"/>
  <c r="Z294" i="15" s="1"/>
  <c r="Y294" i="15" s="1"/>
  <c r="H294" i="15"/>
  <c r="G349" i="15"/>
  <c r="BX349" i="6" s="1"/>
  <c r="AA349" i="15"/>
  <c r="Z349" i="15" s="1"/>
  <c r="Y349" i="15" s="1"/>
  <c r="G354" i="15"/>
  <c r="BX354" i="6" s="1"/>
  <c r="AA354" i="15"/>
  <c r="Z354" i="15" s="1"/>
  <c r="Y354" i="15" s="1"/>
  <c r="G289" i="1"/>
  <c r="BW289" i="6" s="1"/>
  <c r="I289" i="1"/>
  <c r="H289" i="15" s="1"/>
  <c r="AA289" i="1"/>
  <c r="Z289" i="1" s="1"/>
  <c r="Y289" i="1" s="1"/>
  <c r="J287" i="15"/>
  <c r="I287" i="15"/>
  <c r="G375" i="1"/>
  <c r="BW375" i="6" s="1"/>
  <c r="I375" i="1"/>
  <c r="H375" i="15" s="1"/>
  <c r="AA375" i="1"/>
  <c r="Z375" i="1" s="1"/>
  <c r="Y375" i="1" s="1"/>
  <c r="I45" i="15"/>
  <c r="H45" i="16" s="1"/>
  <c r="J45" i="15"/>
  <c r="I81" i="15"/>
  <c r="H81" i="16" s="1"/>
  <c r="J81" i="15"/>
  <c r="I234" i="15"/>
  <c r="H234" i="16" s="1"/>
  <c r="J234" i="15"/>
  <c r="I67" i="15"/>
  <c r="H67" i="16" s="1"/>
  <c r="J67" i="15"/>
  <c r="G301" i="1"/>
  <c r="BW301" i="6" s="1"/>
  <c r="I301" i="1"/>
  <c r="H301" i="15" s="1"/>
  <c r="AA301" i="1"/>
  <c r="Z301" i="1" s="1"/>
  <c r="Y301" i="1" s="1"/>
  <c r="G220" i="15"/>
  <c r="BX220" i="6" s="1"/>
  <c r="H220" i="15"/>
  <c r="AA220" i="15"/>
  <c r="Z220" i="15" s="1"/>
  <c r="Y220" i="15" s="1"/>
  <c r="AA100" i="15"/>
  <c r="Z100" i="15" s="1"/>
  <c r="Y100" i="15" s="1"/>
  <c r="H100" i="15"/>
  <c r="G100" i="15"/>
  <c r="BX100" i="6" s="1"/>
  <c r="I200" i="15"/>
  <c r="H200" i="16" s="1"/>
  <c r="I157" i="15"/>
  <c r="H157" i="16" s="1"/>
  <c r="J157" i="15"/>
  <c r="I109" i="15"/>
  <c r="J268" i="15"/>
  <c r="I268" i="15"/>
  <c r="H268" i="16" s="1"/>
  <c r="H137" i="15"/>
  <c r="AA137" i="15"/>
  <c r="Z137" i="15" s="1"/>
  <c r="Y137" i="15" s="1"/>
  <c r="G137" i="15"/>
  <c r="BX137" i="6" s="1"/>
  <c r="H103" i="15"/>
  <c r="G103" i="15"/>
  <c r="BX103" i="6" s="1"/>
  <c r="AA103" i="15"/>
  <c r="Z103" i="15" s="1"/>
  <c r="Y103" i="15" s="1"/>
  <c r="I346" i="1"/>
  <c r="H346" i="15" s="1"/>
  <c r="G346" i="1"/>
  <c r="BW346" i="6" s="1"/>
  <c r="AA346" i="1"/>
  <c r="Z346" i="1" s="1"/>
  <c r="Y346" i="1" s="1"/>
  <c r="I378" i="1"/>
  <c r="H378" i="15" s="1"/>
  <c r="G378" i="1"/>
  <c r="BW378" i="6" s="1"/>
  <c r="AA378" i="1"/>
  <c r="Z378" i="1" s="1"/>
  <c r="Y378" i="1" s="1"/>
  <c r="G203" i="15"/>
  <c r="BX203" i="6" s="1"/>
  <c r="H203" i="15"/>
  <c r="AA203" i="15"/>
  <c r="Z203" i="15" s="1"/>
  <c r="Y203" i="15" s="1"/>
  <c r="G95" i="16"/>
  <c r="BY95" i="6" s="1"/>
  <c r="H95" i="15"/>
  <c r="AA95" i="15"/>
  <c r="Z95" i="15" s="1"/>
  <c r="Y95" i="15" s="1"/>
  <c r="G95" i="15"/>
  <c r="BX95" i="6" s="1"/>
  <c r="V143" i="16"/>
  <c r="F143" i="16" s="1"/>
  <c r="AA242" i="1"/>
  <c r="Z242" i="1" s="1"/>
  <c r="Y242" i="1" s="1"/>
  <c r="H257" i="15"/>
  <c r="G257" i="15"/>
  <c r="BX257" i="6" s="1"/>
  <c r="AA257" i="15"/>
  <c r="Z257" i="15" s="1"/>
  <c r="Y257" i="15" s="1"/>
  <c r="AA164" i="1"/>
  <c r="Z164" i="1" s="1"/>
  <c r="Y164" i="1" s="1"/>
  <c r="D42" i="7"/>
  <c r="V333" i="15"/>
  <c r="F333" i="15" s="1"/>
  <c r="G193" i="15"/>
  <c r="BX193" i="6" s="1"/>
  <c r="H193" i="15"/>
  <c r="AA193" i="15"/>
  <c r="Z193" i="15" s="1"/>
  <c r="Y193" i="15" s="1"/>
  <c r="D24" i="7"/>
  <c r="V149" i="1"/>
  <c r="AA149" i="1" s="1"/>
  <c r="Z149" i="1" s="1"/>
  <c r="Y149" i="1" s="1"/>
  <c r="V338" i="15"/>
  <c r="F338" i="15" s="1"/>
  <c r="D32" i="7"/>
  <c r="V29" i="15"/>
  <c r="F29" i="15" s="1"/>
  <c r="V321" i="1"/>
  <c r="G145" i="16"/>
  <c r="BY145" i="6" s="1"/>
  <c r="AA145" i="1"/>
  <c r="Z145" i="1" s="1"/>
  <c r="Y145" i="1" s="1"/>
  <c r="G273" i="15"/>
  <c r="BX273" i="6" s="1"/>
  <c r="AA273" i="15"/>
  <c r="Z273" i="15" s="1"/>
  <c r="Y273" i="15" s="1"/>
  <c r="H273" i="15"/>
  <c r="V331" i="15"/>
  <c r="F331" i="15" s="1"/>
  <c r="V365" i="1"/>
  <c r="F365" i="1" s="1"/>
  <c r="G201" i="16"/>
  <c r="BY201" i="6" s="1"/>
  <c r="I26" i="15"/>
  <c r="H26" i="16" s="1"/>
  <c r="J26" i="15"/>
  <c r="J146" i="15"/>
  <c r="I146" i="15"/>
  <c r="H146" i="16" s="1"/>
  <c r="G330" i="1"/>
  <c r="BW330" i="6" s="1"/>
  <c r="I330" i="1"/>
  <c r="H330" i="15" s="1"/>
  <c r="AA330" i="1"/>
  <c r="Z330" i="1" s="1"/>
  <c r="Y330" i="1" s="1"/>
  <c r="G227" i="15"/>
  <c r="BX227" i="6" s="1"/>
  <c r="AA227" i="15"/>
  <c r="Z227" i="15" s="1"/>
  <c r="Y227" i="15" s="1"/>
  <c r="H227" i="15"/>
  <c r="I233" i="15"/>
  <c r="H233" i="16" s="1"/>
  <c r="J233" i="15"/>
  <c r="H241" i="15"/>
  <c r="G241" i="15"/>
  <c r="BX241" i="6" s="1"/>
  <c r="AA241" i="15"/>
  <c r="Z241" i="15" s="1"/>
  <c r="Y241" i="15" s="1"/>
  <c r="J72" i="15"/>
  <c r="I72" i="15"/>
  <c r="H72" i="16" s="1"/>
  <c r="I123" i="15"/>
  <c r="J123" i="15"/>
  <c r="I47" i="15"/>
  <c r="H47" i="16" s="1"/>
  <c r="J47" i="15"/>
  <c r="I278" i="15"/>
  <c r="H278" i="16" s="1"/>
  <c r="J278" i="15"/>
  <c r="J86" i="15"/>
  <c r="I86" i="15"/>
  <c r="H86" i="16" s="1"/>
  <c r="G367" i="1"/>
  <c r="BW367" i="6" s="1"/>
  <c r="AA367" i="1"/>
  <c r="Z367" i="1" s="1"/>
  <c r="Y367" i="1" s="1"/>
  <c r="I367" i="1"/>
  <c r="H367" i="15" s="1"/>
  <c r="I57" i="15"/>
  <c r="H57" i="16" s="1"/>
  <c r="J57" i="15"/>
  <c r="AA122" i="16"/>
  <c r="Z122" i="16" s="1"/>
  <c r="Y122" i="16" s="1"/>
  <c r="AA277" i="16"/>
  <c r="Z277" i="16" s="1"/>
  <c r="Y277" i="16" s="1"/>
  <c r="AA254" i="16"/>
  <c r="Z254" i="16" s="1"/>
  <c r="Y254" i="16" s="1"/>
  <c r="AA46" i="16"/>
  <c r="Z46" i="16" s="1"/>
  <c r="Y46" i="16" s="1"/>
  <c r="AA92" i="16"/>
  <c r="Z92" i="16" s="1"/>
  <c r="Y92" i="16" s="1"/>
  <c r="AA271" i="16"/>
  <c r="Z271" i="16" s="1"/>
  <c r="Y271" i="16" s="1"/>
  <c r="I191" i="15"/>
  <c r="H191" i="16" s="1"/>
  <c r="J191" i="15"/>
  <c r="AA338" i="16"/>
  <c r="Z338" i="16" s="1"/>
  <c r="Y338" i="16" s="1"/>
  <c r="AA87" i="16"/>
  <c r="Z87" i="16" s="1"/>
  <c r="Y87" i="16" s="1"/>
  <c r="J159" i="15"/>
  <c r="I159" i="15"/>
  <c r="H159" i="16" s="1"/>
  <c r="V143" i="15"/>
  <c r="F143" i="15" s="1"/>
  <c r="V333" i="1"/>
  <c r="F333" i="1" s="1"/>
  <c r="D30" i="7"/>
  <c r="I136" i="15"/>
  <c r="H136" i="16" s="1"/>
  <c r="J136" i="15"/>
  <c r="J176" i="15"/>
  <c r="I176" i="15"/>
  <c r="H176" i="16" s="1"/>
  <c r="I104" i="15"/>
  <c r="H104" i="16" s="1"/>
  <c r="J104" i="15"/>
  <c r="H249" i="15"/>
  <c r="AA249" i="15"/>
  <c r="Z249" i="15" s="1"/>
  <c r="Y249" i="15" s="1"/>
  <c r="G249" i="15"/>
  <c r="BX249" i="6" s="1"/>
  <c r="H113" i="15"/>
  <c r="G113" i="15"/>
  <c r="BX113" i="6" s="1"/>
  <c r="V379" i="15"/>
  <c r="F379" i="15" s="1"/>
  <c r="V66" i="15"/>
  <c r="G69" i="16"/>
  <c r="BY69" i="6" s="1"/>
  <c r="AA69" i="16"/>
  <c r="Z69" i="16" s="1"/>
  <c r="Y69" i="16" s="1"/>
  <c r="G69" i="15"/>
  <c r="BX69" i="6" s="1"/>
  <c r="AA69" i="15"/>
  <c r="Z69" i="15" s="1"/>
  <c r="Y69" i="15" s="1"/>
  <c r="H69" i="15"/>
  <c r="V296" i="1"/>
  <c r="G89" i="16"/>
  <c r="BY89" i="6" s="1"/>
  <c r="AA89" i="15"/>
  <c r="Z89" i="15" s="1"/>
  <c r="Y89" i="15" s="1"/>
  <c r="H89" i="15"/>
  <c r="G89" i="15"/>
  <c r="BX89" i="6" s="1"/>
  <c r="G311" i="15"/>
  <c r="BX311" i="6" s="1"/>
  <c r="AA311" i="15"/>
  <c r="Z311" i="15" s="1"/>
  <c r="Y311" i="15" s="1"/>
  <c r="AA311" i="1"/>
  <c r="Z311" i="1" s="1"/>
  <c r="Y311" i="1" s="1"/>
  <c r="G311" i="1"/>
  <c r="BW311" i="6" s="1"/>
  <c r="I311" i="1"/>
  <c r="H311" i="15" s="1"/>
  <c r="AA150" i="15"/>
  <c r="Z150" i="15" s="1"/>
  <c r="Y150" i="15" s="1"/>
  <c r="G150" i="15"/>
  <c r="BX150" i="6" s="1"/>
  <c r="H150" i="15"/>
  <c r="AA150" i="1"/>
  <c r="Z150" i="1" s="1"/>
  <c r="Y150" i="1" s="1"/>
  <c r="AA87" i="1"/>
  <c r="Z87" i="1" s="1"/>
  <c r="Y87" i="1" s="1"/>
  <c r="V88" i="16"/>
  <c r="D63" i="19" s="1"/>
  <c r="D46" i="7"/>
  <c r="V88" i="15"/>
  <c r="F88" i="15" s="1"/>
  <c r="D34" i="7"/>
  <c r="V364" i="15"/>
  <c r="AA332" i="15"/>
  <c r="Z332" i="15" s="1"/>
  <c r="Y332" i="15" s="1"/>
  <c r="G332" i="15"/>
  <c r="BX332" i="6" s="1"/>
  <c r="V166" i="15"/>
  <c r="D49" i="7"/>
  <c r="V180" i="16"/>
  <c r="V79" i="15"/>
  <c r="F79" i="15" s="1"/>
  <c r="AA348" i="15"/>
  <c r="Z348" i="15" s="1"/>
  <c r="Y348" i="15" s="1"/>
  <c r="G348" i="15"/>
  <c r="BX348" i="6" s="1"/>
  <c r="H152" i="15"/>
  <c r="AA152" i="15"/>
  <c r="Z152" i="15" s="1"/>
  <c r="Y152" i="15" s="1"/>
  <c r="G152" i="15"/>
  <c r="BX152" i="6" s="1"/>
  <c r="I195" i="15"/>
  <c r="H195" i="16" s="1"/>
  <c r="J195" i="15"/>
  <c r="J184" i="15"/>
  <c r="I184" i="15"/>
  <c r="H184" i="16" s="1"/>
  <c r="J40" i="15"/>
  <c r="I40" i="15"/>
  <c r="H40" i="16" s="1"/>
  <c r="J158" i="15"/>
  <c r="I158" i="15"/>
  <c r="H158" i="16" s="1"/>
  <c r="I302" i="1"/>
  <c r="AA302" i="1"/>
  <c r="Z302" i="1" s="1"/>
  <c r="Y302" i="1" s="1"/>
  <c r="G302" i="1"/>
  <c r="BW302" i="6" s="1"/>
  <c r="P381" i="1"/>
  <c r="V15" i="1"/>
  <c r="P383" i="1"/>
  <c r="P382" i="1"/>
  <c r="AA166" i="16"/>
  <c r="Z166" i="16" s="1"/>
  <c r="Y166" i="16" s="1"/>
  <c r="AA309" i="16"/>
  <c r="Z309" i="16" s="1"/>
  <c r="Y309" i="16" s="1"/>
  <c r="AA296" i="16"/>
  <c r="Z296" i="16" s="1"/>
  <c r="Y296" i="16" s="1"/>
  <c r="AA249" i="16"/>
  <c r="Z249" i="16" s="1"/>
  <c r="Y249" i="16" s="1"/>
  <c r="AA244" i="16"/>
  <c r="Z244" i="16" s="1"/>
  <c r="Y244" i="16" s="1"/>
  <c r="AA331" i="16"/>
  <c r="Z331" i="16" s="1"/>
  <c r="Y331" i="16" s="1"/>
  <c r="AA310" i="16"/>
  <c r="Z310" i="16" s="1"/>
  <c r="Y310" i="16" s="1"/>
  <c r="J154" i="15"/>
  <c r="I154" i="15"/>
  <c r="H154" i="16" s="1"/>
  <c r="I98" i="15"/>
  <c r="H98" i="16" s="1"/>
  <c r="J98" i="15"/>
  <c r="J155" i="15"/>
  <c r="I155" i="15"/>
  <c r="H155" i="16" s="1"/>
  <c r="I355" i="15"/>
  <c r="H355" i="16" s="1"/>
  <c r="J355" i="15"/>
  <c r="J228" i="15"/>
  <c r="I228" i="15"/>
  <c r="H228" i="16" s="1"/>
  <c r="I228" i="16" s="1"/>
  <c r="I238" i="15"/>
  <c r="H238" i="16" s="1"/>
  <c r="J238" i="15"/>
  <c r="I142" i="15"/>
  <c r="H142" i="16" s="1"/>
  <c r="J142" i="15"/>
  <c r="I230" i="15"/>
  <c r="H230" i="16" s="1"/>
  <c r="J230" i="15"/>
  <c r="I211" i="15"/>
  <c r="H211" i="16" s="1"/>
  <c r="J211" i="15"/>
  <c r="J22" i="15"/>
  <c r="I22" i="15"/>
  <c r="H22" i="16" s="1"/>
  <c r="I50" i="15"/>
  <c r="H50" i="16" s="1"/>
  <c r="J50" i="15"/>
  <c r="J190" i="15"/>
  <c r="I190" i="15"/>
  <c r="H190" i="16" s="1"/>
  <c r="I61" i="15"/>
  <c r="H61" i="16" s="1"/>
  <c r="J61" i="15"/>
  <c r="G203" i="16"/>
  <c r="BY203" i="6" s="1"/>
  <c r="AA122" i="15"/>
  <c r="Z122" i="15" s="1"/>
  <c r="Y122" i="15" s="1"/>
  <c r="H122" i="15"/>
  <c r="G122" i="15"/>
  <c r="BX122" i="6" s="1"/>
  <c r="H226" i="15"/>
  <c r="G226" i="15"/>
  <c r="BX226" i="6" s="1"/>
  <c r="AA226" i="15"/>
  <c r="Z226" i="15" s="1"/>
  <c r="Y226" i="15" s="1"/>
  <c r="AA95" i="1"/>
  <c r="Z95" i="1" s="1"/>
  <c r="Y95" i="1" s="1"/>
  <c r="AA143" i="1"/>
  <c r="Z143" i="1" s="1"/>
  <c r="Y143" i="1" s="1"/>
  <c r="V242" i="15"/>
  <c r="I62" i="19" s="1"/>
  <c r="H164" i="15"/>
  <c r="AA164" i="15"/>
  <c r="Z164" i="15" s="1"/>
  <c r="Y164" i="15" s="1"/>
  <c r="G164" i="15"/>
  <c r="BX164" i="6" s="1"/>
  <c r="V333" i="16"/>
  <c r="F333" i="16" s="1"/>
  <c r="G333" i="16" s="1"/>
  <c r="BY333" i="6" s="1"/>
  <c r="D54" i="7"/>
  <c r="H254" i="15"/>
  <c r="AA254" i="15"/>
  <c r="Z254" i="15" s="1"/>
  <c r="Y254" i="15" s="1"/>
  <c r="G254" i="15"/>
  <c r="BX254" i="6" s="1"/>
  <c r="AA254" i="1"/>
  <c r="Z254" i="1" s="1"/>
  <c r="Y254" i="1" s="1"/>
  <c r="AA277" i="1"/>
  <c r="Z277" i="1" s="1"/>
  <c r="Y277" i="1" s="1"/>
  <c r="AA193" i="1"/>
  <c r="Z193" i="1" s="1"/>
  <c r="Y193" i="1" s="1"/>
  <c r="V149" i="16"/>
  <c r="F149" i="16" s="1"/>
  <c r="D48" i="7"/>
  <c r="V149" i="15"/>
  <c r="F149" i="15" s="1"/>
  <c r="D36" i="7"/>
  <c r="G338" i="1"/>
  <c r="BW338" i="6" s="1"/>
  <c r="AA338" i="1"/>
  <c r="Z338" i="1" s="1"/>
  <c r="Y338" i="1" s="1"/>
  <c r="I338" i="1"/>
  <c r="D20" i="7"/>
  <c r="V29" i="1"/>
  <c r="AA29" i="1" s="1"/>
  <c r="Z29" i="1" s="1"/>
  <c r="Y29" i="1" s="1"/>
  <c r="D44" i="7"/>
  <c r="V29" i="16"/>
  <c r="F29" i="16" s="1"/>
  <c r="V76" i="15"/>
  <c r="H253" i="15"/>
  <c r="G253" i="15"/>
  <c r="BX253" i="6" s="1"/>
  <c r="AA253" i="15"/>
  <c r="Z253" i="15" s="1"/>
  <c r="Y253" i="15" s="1"/>
  <c r="G321" i="15"/>
  <c r="BX321" i="6" s="1"/>
  <c r="AA321" i="15"/>
  <c r="Z321" i="15" s="1"/>
  <c r="Y321" i="15" s="1"/>
  <c r="G145" i="15"/>
  <c r="BX145" i="6" s="1"/>
  <c r="H145" i="15"/>
  <c r="AA145" i="15"/>
  <c r="Z145" i="15" s="1"/>
  <c r="Y145" i="15" s="1"/>
  <c r="AA273" i="1"/>
  <c r="Z273" i="1" s="1"/>
  <c r="Y273" i="1" s="1"/>
  <c r="G273" i="16"/>
  <c r="BY273" i="6" s="1"/>
  <c r="H212" i="15"/>
  <c r="AA212" i="15"/>
  <c r="Z212" i="15" s="1"/>
  <c r="Y212" i="15" s="1"/>
  <c r="G212" i="15"/>
  <c r="BX212" i="6" s="1"/>
  <c r="AA133" i="1"/>
  <c r="Z133" i="1" s="1"/>
  <c r="Y133" i="1" s="1"/>
  <c r="H133" i="15"/>
  <c r="AA133" i="15"/>
  <c r="Z133" i="15" s="1"/>
  <c r="Y133" i="15" s="1"/>
  <c r="G133" i="15"/>
  <c r="BX133" i="6" s="1"/>
  <c r="G133" i="16"/>
  <c r="BY133" i="6" s="1"/>
  <c r="G331" i="1"/>
  <c r="BW331" i="6" s="1"/>
  <c r="AA331" i="1"/>
  <c r="Z331" i="1" s="1"/>
  <c r="Y331" i="1" s="1"/>
  <c r="I331" i="1"/>
  <c r="V365" i="16"/>
  <c r="F365" i="16" s="1"/>
  <c r="P381" i="15"/>
  <c r="V15" i="15"/>
  <c r="P382" i="15"/>
  <c r="P383" i="15"/>
  <c r="I252" i="15"/>
  <c r="H252" i="16" s="1"/>
  <c r="J252" i="15"/>
  <c r="I51" i="15"/>
  <c r="H51" i="16" s="1"/>
  <c r="J51" i="15"/>
  <c r="I82" i="15"/>
  <c r="H82" i="16" s="1"/>
  <c r="J106" i="15"/>
  <c r="I106" i="15"/>
  <c r="I187" i="15"/>
  <c r="H187" i="16" s="1"/>
  <c r="J187" i="15"/>
  <c r="AA226" i="16"/>
  <c r="Z226" i="16" s="1"/>
  <c r="Y226" i="16" s="1"/>
  <c r="AA89" i="16"/>
  <c r="Z89" i="16" s="1"/>
  <c r="Y89" i="16" s="1"/>
  <c r="AA145" i="16"/>
  <c r="Z145" i="16" s="1"/>
  <c r="Y145" i="16" s="1"/>
  <c r="AA201" i="16"/>
  <c r="Z201" i="16" s="1"/>
  <c r="Y201" i="16" s="1"/>
  <c r="AA273" i="16"/>
  <c r="Z273" i="16" s="1"/>
  <c r="Y273" i="16" s="1"/>
  <c r="AA79" i="16"/>
  <c r="Z79" i="16" s="1"/>
  <c r="Y79" i="16" s="1"/>
  <c r="J196" i="15"/>
  <c r="I196" i="15"/>
  <c r="H196" i="16" s="1"/>
  <c r="AA164" i="16"/>
  <c r="Z164" i="16" s="1"/>
  <c r="Y164" i="16" s="1"/>
  <c r="AA364" i="16"/>
  <c r="Z364" i="16" s="1"/>
  <c r="Y364" i="16" s="1"/>
  <c r="AA152" i="16"/>
  <c r="Z152" i="16" s="1"/>
  <c r="Y152" i="16" s="1"/>
  <c r="G306" i="15"/>
  <c r="BX306" i="6" s="1"/>
  <c r="H306" i="15"/>
  <c r="AA306" i="15"/>
  <c r="Z306" i="15" s="1"/>
  <c r="Y306" i="15" s="1"/>
  <c r="I130" i="15"/>
  <c r="H130" i="16" s="1"/>
  <c r="J130" i="15"/>
  <c r="J326" i="15"/>
  <c r="I326" i="15"/>
  <c r="H326" i="16" s="1"/>
  <c r="J316" i="15"/>
  <c r="AG286" i="17"/>
  <c r="AF286" i="17" s="1"/>
  <c r="AG370" i="17"/>
  <c r="AF370" i="17" s="1"/>
  <c r="AG87" i="17"/>
  <c r="AF87" i="17" s="1"/>
  <c r="J171" i="15" l="1"/>
  <c r="Q260" i="17"/>
  <c r="P260" i="17" s="1"/>
  <c r="V260" i="17" s="1"/>
  <c r="F260" i="17" s="1"/>
  <c r="J94" i="15"/>
  <c r="I65" i="15"/>
  <c r="H65" i="16" s="1"/>
  <c r="J65" i="16" s="1"/>
  <c r="P270" i="17"/>
  <c r="V270" i="17" s="1"/>
  <c r="F270" i="17" s="1"/>
  <c r="G270" i="17" s="1"/>
  <c r="BZ270" i="6" s="1"/>
  <c r="P107" i="17"/>
  <c r="V107" i="17" s="1"/>
  <c r="F107" i="17" s="1"/>
  <c r="P70" i="17"/>
  <c r="V70" i="17" s="1"/>
  <c r="F70" i="17" s="1"/>
  <c r="P261" i="17"/>
  <c r="V261" i="17" s="1"/>
  <c r="F261" i="17" s="1"/>
  <c r="H261" i="17" s="1"/>
  <c r="P61" i="17"/>
  <c r="V61" i="17" s="1"/>
  <c r="F61" i="17" s="1"/>
  <c r="P206" i="17"/>
  <c r="V206" i="17" s="1"/>
  <c r="F206" i="17" s="1"/>
  <c r="H206" i="17" s="1"/>
  <c r="Q254" i="17"/>
  <c r="Q367" i="17"/>
  <c r="P367" i="17" s="1"/>
  <c r="V367" i="17" s="1"/>
  <c r="F367" i="17" s="1"/>
  <c r="Q343" i="17"/>
  <c r="P343" i="17" s="1"/>
  <c r="V343" i="17" s="1"/>
  <c r="F343" i="17" s="1"/>
  <c r="Q37" i="17"/>
  <c r="P37" i="17" s="1"/>
  <c r="V37" i="17" s="1"/>
  <c r="F37" i="17" s="1"/>
  <c r="G37" i="17" s="1"/>
  <c r="BZ37" i="6" s="1"/>
  <c r="Q44" i="17"/>
  <c r="Q244" i="17"/>
  <c r="P244" i="17" s="1"/>
  <c r="V244" i="17" s="1"/>
  <c r="F244" i="17" s="1"/>
  <c r="G244" i="17" s="1"/>
  <c r="BZ244" i="6" s="1"/>
  <c r="Q363" i="17"/>
  <c r="P363" i="17" s="1"/>
  <c r="V363" i="17" s="1"/>
  <c r="Q40" i="17"/>
  <c r="P40" i="17" s="1"/>
  <c r="V40" i="17" s="1"/>
  <c r="F40" i="17" s="1"/>
  <c r="G40" i="17" s="1"/>
  <c r="BZ40" i="6" s="1"/>
  <c r="Q362" i="17"/>
  <c r="P362" i="17" s="1"/>
  <c r="V362" i="17" s="1"/>
  <c r="F362" i="17" s="1"/>
  <c r="G362" i="17" s="1"/>
  <c r="BZ362" i="6" s="1"/>
  <c r="Q185" i="17"/>
  <c r="Q204" i="17"/>
  <c r="Q360" i="17"/>
  <c r="Q197" i="17"/>
  <c r="P197" i="17" s="1"/>
  <c r="V197" i="17" s="1"/>
  <c r="F197" i="17" s="1"/>
  <c r="G197" i="17" s="1"/>
  <c r="BZ197" i="6" s="1"/>
  <c r="Q194" i="17"/>
  <c r="P194" i="17" s="1"/>
  <c r="V194" i="17" s="1"/>
  <c r="F194" i="17" s="1"/>
  <c r="G194" i="17" s="1"/>
  <c r="BZ194" i="6" s="1"/>
  <c r="Q361" i="17"/>
  <c r="P361" i="17" s="1"/>
  <c r="V361" i="17" s="1"/>
  <c r="F361" i="17" s="1"/>
  <c r="G361" i="17" s="1"/>
  <c r="BZ361" i="6" s="1"/>
  <c r="Q292" i="17"/>
  <c r="P292" i="17" s="1"/>
  <c r="V292" i="17" s="1"/>
  <c r="F292" i="17" s="1"/>
  <c r="G292" i="17" s="1"/>
  <c r="BZ292" i="6" s="1"/>
  <c r="Q203" i="17"/>
  <c r="Q373" i="17"/>
  <c r="Q282" i="17"/>
  <c r="P282" i="17" s="1"/>
  <c r="V282" i="17" s="1"/>
  <c r="F282" i="17" s="1"/>
  <c r="G282" i="17" s="1"/>
  <c r="BZ282" i="6" s="1"/>
  <c r="Q51" i="17"/>
  <c r="P51" i="17" s="1"/>
  <c r="V51" i="17" s="1"/>
  <c r="F51" i="17" s="1"/>
  <c r="G51" i="17" s="1"/>
  <c r="BZ51" i="6" s="1"/>
  <c r="Q116" i="17"/>
  <c r="Q114" i="17"/>
  <c r="P114" i="17" s="1"/>
  <c r="V114" i="17" s="1"/>
  <c r="F114" i="17" s="1"/>
  <c r="G114" i="17" s="1"/>
  <c r="BZ114" i="6" s="1"/>
  <c r="Q55" i="17"/>
  <c r="P55" i="17" s="1"/>
  <c r="V55" i="17" s="1"/>
  <c r="F55" i="17" s="1"/>
  <c r="G55" i="17" s="1"/>
  <c r="BZ55" i="6" s="1"/>
  <c r="Q96" i="17"/>
  <c r="P96" i="17" s="1"/>
  <c r="V96" i="17" s="1"/>
  <c r="F96" i="17" s="1"/>
  <c r="G96" i="17" s="1"/>
  <c r="BZ96" i="6" s="1"/>
  <c r="Q135" i="17"/>
  <c r="P135" i="17" s="1"/>
  <c r="V135" i="17" s="1"/>
  <c r="F135" i="17" s="1"/>
  <c r="G135" i="17" s="1"/>
  <c r="BZ135" i="6" s="1"/>
  <c r="I34" i="15"/>
  <c r="H34" i="16" s="1"/>
  <c r="I34" i="16" s="1"/>
  <c r="J263" i="15"/>
  <c r="J30" i="16"/>
  <c r="J183" i="15"/>
  <c r="F210" i="16"/>
  <c r="G210" i="16" s="1"/>
  <c r="BY210" i="6" s="1"/>
  <c r="J194" i="15"/>
  <c r="I246" i="15"/>
  <c r="H246" i="16" s="1"/>
  <c r="I246" i="16" s="1"/>
  <c r="J68" i="15"/>
  <c r="J317" i="15"/>
  <c r="J317" i="16" s="1"/>
  <c r="J209" i="15"/>
  <c r="J151" i="15"/>
  <c r="J144" i="15"/>
  <c r="J173" i="15"/>
  <c r="J173" i="16" s="1"/>
  <c r="I239" i="15"/>
  <c r="H239" i="16" s="1"/>
  <c r="J239" i="16" s="1"/>
  <c r="J182" i="15"/>
  <c r="J182" i="16" s="1"/>
  <c r="I357" i="15"/>
  <c r="H357" i="16" s="1"/>
  <c r="J357" i="16" s="1"/>
  <c r="I175" i="15"/>
  <c r="H175" i="16" s="1"/>
  <c r="J175" i="16" s="1"/>
  <c r="J138" i="15"/>
  <c r="I59" i="15"/>
  <c r="H59" i="16" s="1"/>
  <c r="J59" i="16" s="1"/>
  <c r="J251" i="15"/>
  <c r="I52" i="15"/>
  <c r="H52" i="16" s="1"/>
  <c r="J52" i="16" s="1"/>
  <c r="I328" i="15"/>
  <c r="J360" i="15"/>
  <c r="J340" i="15"/>
  <c r="J235" i="15"/>
  <c r="J32" i="15"/>
  <c r="I377" i="15"/>
  <c r="H377" i="16" s="1"/>
  <c r="I377" i="16" s="1"/>
  <c r="I258" i="15"/>
  <c r="H258" i="16" s="1"/>
  <c r="J258" i="16" s="1"/>
  <c r="I329" i="15"/>
  <c r="H329" i="16" s="1"/>
  <c r="I329" i="16" s="1"/>
  <c r="I80" i="15"/>
  <c r="H80" i="16" s="1"/>
  <c r="I80" i="16" s="1"/>
  <c r="I314" i="15"/>
  <c r="H314" i="16" s="1"/>
  <c r="I314" i="16" s="1"/>
  <c r="J199" i="15"/>
  <c r="J199" i="16" s="1"/>
  <c r="J327" i="15"/>
  <c r="J124" i="15"/>
  <c r="J313" i="15"/>
  <c r="J313" i="16" s="1"/>
  <c r="I323" i="15"/>
  <c r="H323" i="16" s="1"/>
  <c r="J323" i="16" s="1"/>
  <c r="AA112" i="16"/>
  <c r="Z112" i="16" s="1"/>
  <c r="Y112" i="16" s="1"/>
  <c r="J71" i="15"/>
  <c r="J71" i="16" s="1"/>
  <c r="J300" i="15"/>
  <c r="J300" i="16" s="1"/>
  <c r="I121" i="15"/>
  <c r="H121" i="16" s="1"/>
  <c r="J121" i="16" s="1"/>
  <c r="I216" i="15"/>
  <c r="H216" i="16" s="1"/>
  <c r="J216" i="16" s="1"/>
  <c r="J286" i="15"/>
  <c r="J286" i="16" s="1"/>
  <c r="I303" i="15"/>
  <c r="H303" i="16" s="1"/>
  <c r="I303" i="16" s="1"/>
  <c r="J374" i="15"/>
  <c r="J179" i="15"/>
  <c r="P116" i="17"/>
  <c r="V116" i="17" s="1"/>
  <c r="F116" i="17" s="1"/>
  <c r="G116" i="17" s="1"/>
  <c r="BZ116" i="6" s="1"/>
  <c r="P360" i="17"/>
  <c r="V360" i="17" s="1"/>
  <c r="F360" i="17" s="1"/>
  <c r="G360" i="17" s="1"/>
  <c r="BZ360" i="6" s="1"/>
  <c r="P254" i="17"/>
  <c r="V254" i="17" s="1"/>
  <c r="F254" i="17" s="1"/>
  <c r="G254" i="17" s="1"/>
  <c r="BZ254" i="6" s="1"/>
  <c r="P373" i="17"/>
  <c r="V373" i="17" s="1"/>
  <c r="F373" i="17" s="1"/>
  <c r="G373" i="17" s="1"/>
  <c r="BZ373" i="6" s="1"/>
  <c r="H60" i="15"/>
  <c r="I60" i="15" s="1"/>
  <c r="H60" i="16" s="1"/>
  <c r="I118" i="15"/>
  <c r="H118" i="16" s="1"/>
  <c r="J118" i="16" s="1"/>
  <c r="I324" i="15"/>
  <c r="H324" i="16" s="1"/>
  <c r="I324" i="16" s="1"/>
  <c r="J304" i="15"/>
  <c r="J304" i="16" s="1"/>
  <c r="J339" i="15"/>
  <c r="AD381" i="15"/>
  <c r="I320" i="15"/>
  <c r="H320" i="16" s="1"/>
  <c r="J320" i="16" s="1"/>
  <c r="P199" i="17"/>
  <c r="V199" i="17" s="1"/>
  <c r="F199" i="17" s="1"/>
  <c r="G199" i="17" s="1"/>
  <c r="BZ199" i="6" s="1"/>
  <c r="P74" i="17"/>
  <c r="V74" i="17" s="1"/>
  <c r="F74" i="17" s="1"/>
  <c r="G74" i="17" s="1"/>
  <c r="BZ74" i="6" s="1"/>
  <c r="P301" i="17"/>
  <c r="V301" i="17" s="1"/>
  <c r="F301" i="17" s="1"/>
  <c r="G301" i="17" s="1"/>
  <c r="BZ301" i="6" s="1"/>
  <c r="P144" i="17"/>
  <c r="V144" i="17" s="1"/>
  <c r="F144" i="17" s="1"/>
  <c r="G144" i="17" s="1"/>
  <c r="BZ144" i="6" s="1"/>
  <c r="P226" i="17"/>
  <c r="V226" i="17" s="1"/>
  <c r="F226" i="17" s="1"/>
  <c r="G226" i="17" s="1"/>
  <c r="BZ226" i="6" s="1"/>
  <c r="P203" i="17"/>
  <c r="V203" i="17" s="1"/>
  <c r="F203" i="17" s="1"/>
  <c r="G203" i="17" s="1"/>
  <c r="BZ203" i="6" s="1"/>
  <c r="Q127" i="17"/>
  <c r="P127" i="17" s="1"/>
  <c r="V127" i="17" s="1"/>
  <c r="F127" i="17" s="1"/>
  <c r="G127" i="17" s="1"/>
  <c r="BZ127" i="6" s="1"/>
  <c r="Q257" i="17"/>
  <c r="P257" i="17" s="1"/>
  <c r="V257" i="17" s="1"/>
  <c r="F257" i="17" s="1"/>
  <c r="G257" i="17" s="1"/>
  <c r="BZ257" i="6" s="1"/>
  <c r="Q72" i="17"/>
  <c r="P72" i="17" s="1"/>
  <c r="V72" i="17" s="1"/>
  <c r="F72" i="17" s="1"/>
  <c r="G72" i="17" s="1"/>
  <c r="BZ72" i="6" s="1"/>
  <c r="Q240" i="17"/>
  <c r="P240" i="17" s="1"/>
  <c r="V240" i="17" s="1"/>
  <c r="F240" i="17" s="1"/>
  <c r="G240" i="17" s="1"/>
  <c r="BZ240" i="6" s="1"/>
  <c r="Q25" i="17"/>
  <c r="P25" i="17" s="1"/>
  <c r="V25" i="17" s="1"/>
  <c r="F25" i="17" s="1"/>
  <c r="G25" i="17" s="1"/>
  <c r="BZ25" i="6" s="1"/>
  <c r="Q212" i="17"/>
  <c r="P212" i="17" s="1"/>
  <c r="V212" i="17" s="1"/>
  <c r="F212" i="17" s="1"/>
  <c r="G212" i="17" s="1"/>
  <c r="BZ212" i="6" s="1"/>
  <c r="Q358" i="17"/>
  <c r="Q299" i="17"/>
  <c r="P299" i="17" s="1"/>
  <c r="V299" i="17" s="1"/>
  <c r="F299" i="17" s="1"/>
  <c r="G299" i="17" s="1"/>
  <c r="BZ299" i="6" s="1"/>
  <c r="Q378" i="17"/>
  <c r="Q371" i="17"/>
  <c r="P371" i="17" s="1"/>
  <c r="V371" i="17" s="1"/>
  <c r="F371" i="17" s="1"/>
  <c r="G371" i="17" s="1"/>
  <c r="BZ371" i="6" s="1"/>
  <c r="Q115" i="17"/>
  <c r="P115" i="17" s="1"/>
  <c r="V115" i="17" s="1"/>
  <c r="F115" i="17" s="1"/>
  <c r="G115" i="17" s="1"/>
  <c r="BZ115" i="6" s="1"/>
  <c r="Q237" i="17"/>
  <c r="P237" i="17" s="1"/>
  <c r="V237" i="17" s="1"/>
  <c r="F237" i="17" s="1"/>
  <c r="G237" i="17" s="1"/>
  <c r="BZ237" i="6" s="1"/>
  <c r="Q52" i="17"/>
  <c r="P52" i="17" s="1"/>
  <c r="V52" i="17" s="1"/>
  <c r="F52" i="17" s="1"/>
  <c r="G52" i="17" s="1"/>
  <c r="BZ52" i="6" s="1"/>
  <c r="Q238" i="17"/>
  <c r="P238" i="17" s="1"/>
  <c r="V238" i="17" s="1"/>
  <c r="F238" i="17" s="1"/>
  <c r="G238" i="17" s="1"/>
  <c r="BZ238" i="6" s="1"/>
  <c r="Q376" i="17"/>
  <c r="Q335" i="17"/>
  <c r="P335" i="17" s="1"/>
  <c r="V335" i="17" s="1"/>
  <c r="F335" i="17" s="1"/>
  <c r="H335" i="17" s="1"/>
  <c r="Q229" i="17"/>
  <c r="P229" i="17" s="1"/>
  <c r="V229" i="17" s="1"/>
  <c r="F229" i="17" s="1"/>
  <c r="G229" i="17" s="1"/>
  <c r="BZ229" i="6" s="1"/>
  <c r="Q29" i="17"/>
  <c r="Q210" i="17"/>
  <c r="P210" i="17" s="1"/>
  <c r="Q356" i="17"/>
  <c r="Q327" i="17"/>
  <c r="P327" i="17" s="1"/>
  <c r="V327" i="17" s="1"/>
  <c r="F327" i="17" s="1"/>
  <c r="G327" i="17" s="1"/>
  <c r="BZ327" i="6" s="1"/>
  <c r="Q331" i="17"/>
  <c r="P331" i="17" s="1"/>
  <c r="V331" i="17" s="1"/>
  <c r="F331" i="17" s="1"/>
  <c r="G331" i="17" s="1"/>
  <c r="BZ331" i="6" s="1"/>
  <c r="Q193" i="17"/>
  <c r="P193" i="17" s="1"/>
  <c r="V193" i="17" s="1"/>
  <c r="F193" i="17" s="1"/>
  <c r="Q17" i="17"/>
  <c r="P17" i="17" s="1"/>
  <c r="V17" i="17" s="1"/>
  <c r="F17" i="17" s="1"/>
  <c r="H17" i="17" s="1"/>
  <c r="Q208" i="17"/>
  <c r="P208" i="17" s="1"/>
  <c r="V208" i="17" s="1"/>
  <c r="F208" i="17" s="1"/>
  <c r="Q346" i="17"/>
  <c r="P346" i="17" s="1"/>
  <c r="V346" i="17" s="1"/>
  <c r="F346" i="17" s="1"/>
  <c r="G346" i="17" s="1"/>
  <c r="BZ346" i="6" s="1"/>
  <c r="Q307" i="17"/>
  <c r="P307" i="17" s="1"/>
  <c r="V307" i="17" s="1"/>
  <c r="F307" i="17" s="1"/>
  <c r="G307" i="17" s="1"/>
  <c r="BZ307" i="6" s="1"/>
  <c r="Q160" i="17"/>
  <c r="P160" i="17" s="1"/>
  <c r="V160" i="17" s="1"/>
  <c r="F160" i="17" s="1"/>
  <c r="G160" i="17" s="1"/>
  <c r="BZ160" i="6" s="1"/>
  <c r="Q298" i="17"/>
  <c r="Q211" i="17"/>
  <c r="P211" i="17" s="1"/>
  <c r="V211" i="17" s="1"/>
  <c r="F211" i="17" s="1"/>
  <c r="G211" i="17" s="1"/>
  <c r="BZ211" i="6" s="1"/>
  <c r="Q18" i="17"/>
  <c r="P18" i="17" s="1"/>
  <c r="V18" i="17" s="1"/>
  <c r="F18" i="17" s="1"/>
  <c r="G18" i="17" s="1"/>
  <c r="BZ18" i="6" s="1"/>
  <c r="Q333" i="17"/>
  <c r="P333" i="17" s="1"/>
  <c r="D66" i="7" s="1"/>
  <c r="Q140" i="17"/>
  <c r="P140" i="17" s="1"/>
  <c r="V140" i="17" s="1"/>
  <c r="F140" i="17" s="1"/>
  <c r="G140" i="17" s="1"/>
  <c r="BZ140" i="6" s="1"/>
  <c r="Q158" i="17"/>
  <c r="P158" i="17" s="1"/>
  <c r="V158" i="17" s="1"/>
  <c r="F158" i="17" s="1"/>
  <c r="G158" i="17" s="1"/>
  <c r="BZ158" i="6" s="1"/>
  <c r="Q296" i="17"/>
  <c r="P296" i="17" s="1"/>
  <c r="V296" i="17" s="1"/>
  <c r="F296" i="17" s="1"/>
  <c r="G296" i="17" s="1"/>
  <c r="BZ296" i="6" s="1"/>
  <c r="Q175" i="17"/>
  <c r="P175" i="17" s="1"/>
  <c r="V175" i="17" s="1"/>
  <c r="F175" i="17" s="1"/>
  <c r="G175" i="17" s="1"/>
  <c r="BZ175" i="6" s="1"/>
  <c r="Q23" i="17"/>
  <c r="P23" i="17" s="1"/>
  <c r="V23" i="17" s="1"/>
  <c r="F23" i="17" s="1"/>
  <c r="G23" i="17" s="1"/>
  <c r="BZ23" i="6" s="1"/>
  <c r="Q329" i="17"/>
  <c r="P329" i="17" s="1"/>
  <c r="V329" i="17" s="1"/>
  <c r="F329" i="17" s="1"/>
  <c r="G329" i="17" s="1"/>
  <c r="BZ329" i="6" s="1"/>
  <c r="Q128" i="17"/>
  <c r="P128" i="17" s="1"/>
  <c r="V128" i="17" s="1"/>
  <c r="F128" i="17" s="1"/>
  <c r="H128" i="17" s="1"/>
  <c r="Q276" i="17"/>
  <c r="P276" i="17" s="1"/>
  <c r="V276" i="17" s="1"/>
  <c r="F276" i="17" s="1"/>
  <c r="G276" i="17" s="1"/>
  <c r="BZ276" i="6" s="1"/>
  <c r="Q167" i="17"/>
  <c r="P167" i="17" s="1"/>
  <c r="V167" i="17" s="1"/>
  <c r="F167" i="17" s="1"/>
  <c r="G167" i="17" s="1"/>
  <c r="BZ167" i="6" s="1"/>
  <c r="Q95" i="17"/>
  <c r="Q289" i="17"/>
  <c r="Q104" i="17"/>
  <c r="P104" i="17" s="1"/>
  <c r="V104" i="17" s="1"/>
  <c r="F104" i="17" s="1"/>
  <c r="G104" i="17" s="1"/>
  <c r="BZ104" i="6" s="1"/>
  <c r="Q124" i="17"/>
  <c r="P124" i="17" s="1"/>
  <c r="V124" i="17" s="1"/>
  <c r="F124" i="17" s="1"/>
  <c r="G124" i="17" s="1"/>
  <c r="BZ124" i="6" s="1"/>
  <c r="Q266" i="17"/>
  <c r="P266" i="17" s="1"/>
  <c r="V266" i="17" s="1"/>
  <c r="F266" i="17" s="1"/>
  <c r="H266" i="17" s="1"/>
  <c r="Q147" i="17"/>
  <c r="P147" i="17" s="1"/>
  <c r="V147" i="17" s="1"/>
  <c r="F147" i="17" s="1"/>
  <c r="G147" i="17" s="1"/>
  <c r="BZ147" i="6" s="1"/>
  <c r="Q83" i="17"/>
  <c r="P83" i="17" s="1"/>
  <c r="V83" i="17" s="1"/>
  <c r="F83" i="17" s="1"/>
  <c r="G83" i="17" s="1"/>
  <c r="BZ83" i="6" s="1"/>
  <c r="Q269" i="17"/>
  <c r="P269" i="17" s="1"/>
  <c r="V269" i="17" s="1"/>
  <c r="F269" i="17" s="1"/>
  <c r="G269" i="17" s="1"/>
  <c r="BZ269" i="6" s="1"/>
  <c r="Q84" i="17"/>
  <c r="P84" i="17" s="1"/>
  <c r="V84" i="17" s="1"/>
  <c r="F84" i="17" s="1"/>
  <c r="G84" i="17" s="1"/>
  <c r="BZ84" i="6" s="1"/>
  <c r="I345" i="15"/>
  <c r="H345" i="16" s="1"/>
  <c r="I345" i="16" s="1"/>
  <c r="J345" i="15"/>
  <c r="I366" i="15"/>
  <c r="H366" i="16" s="1"/>
  <c r="I366" i="16" s="1"/>
  <c r="J366" i="15"/>
  <c r="AA60" i="15"/>
  <c r="Z60" i="15" s="1"/>
  <c r="Y60" i="15" s="1"/>
  <c r="J153" i="15"/>
  <c r="J91" i="15"/>
  <c r="J91" i="16" s="1"/>
  <c r="AD383" i="15"/>
  <c r="J208" i="15"/>
  <c r="J208" i="16" s="1"/>
  <c r="I264" i="15"/>
  <c r="H264" i="16" s="1"/>
  <c r="I264" i="16" s="1"/>
  <c r="J221" i="15"/>
  <c r="J192" i="15"/>
  <c r="I192" i="15"/>
  <c r="H192" i="16" s="1"/>
  <c r="I192" i="16" s="1"/>
  <c r="I33" i="15"/>
  <c r="H33" i="16" s="1"/>
  <c r="J33" i="16" s="1"/>
  <c r="J33" i="15"/>
  <c r="J36" i="15"/>
  <c r="I36" i="15"/>
  <c r="H36" i="16" s="1"/>
  <c r="I36" i="16" s="1"/>
  <c r="J126" i="15"/>
  <c r="I126" i="15"/>
  <c r="H126" i="16" s="1"/>
  <c r="I126" i="16" s="1"/>
  <c r="J42" i="15"/>
  <c r="I42" i="15"/>
  <c r="H42" i="16" s="1"/>
  <c r="J42" i="16" s="1"/>
  <c r="J189" i="15"/>
  <c r="I189" i="15"/>
  <c r="H189" i="16" s="1"/>
  <c r="J189" i="16" s="1"/>
  <c r="AA332" i="16"/>
  <c r="Z332" i="16" s="1"/>
  <c r="Y332" i="16" s="1"/>
  <c r="T379" i="17"/>
  <c r="S379" i="17" s="1"/>
  <c r="R379" i="17" s="1"/>
  <c r="H112" i="16"/>
  <c r="I112" i="16" s="1"/>
  <c r="P378" i="17"/>
  <c r="V378" i="17" s="1"/>
  <c r="F378" i="17" s="1"/>
  <c r="G378" i="17" s="1"/>
  <c r="BZ378" i="6" s="1"/>
  <c r="P95" i="17"/>
  <c r="V95" i="17" s="1"/>
  <c r="F95" i="17" s="1"/>
  <c r="G95" i="17" s="1"/>
  <c r="BZ95" i="6" s="1"/>
  <c r="P376" i="17"/>
  <c r="V376" i="17" s="1"/>
  <c r="F376" i="17" s="1"/>
  <c r="G376" i="17" s="1"/>
  <c r="BZ376" i="6" s="1"/>
  <c r="P356" i="17"/>
  <c r="V356" i="17" s="1"/>
  <c r="F356" i="17" s="1"/>
  <c r="G356" i="17" s="1"/>
  <c r="BZ356" i="6" s="1"/>
  <c r="G302" i="15"/>
  <c r="BX302" i="6" s="1"/>
  <c r="AA302" i="15"/>
  <c r="Z302" i="15" s="1"/>
  <c r="Y302" i="15" s="1"/>
  <c r="J275" i="15"/>
  <c r="E7" i="23"/>
  <c r="O10" i="23" s="1"/>
  <c r="E8" i="23"/>
  <c r="K18" i="19" s="1"/>
  <c r="K42" i="19" s="1"/>
  <c r="O383" i="22"/>
  <c r="O381" i="22"/>
  <c r="O382" i="22"/>
  <c r="W2" i="7"/>
  <c r="H123" i="16"/>
  <c r="J123" i="16" s="1"/>
  <c r="K63" i="19"/>
  <c r="J96" i="15"/>
  <c r="AA123" i="16"/>
  <c r="Z123" i="16" s="1"/>
  <c r="Y123" i="16" s="1"/>
  <c r="I23" i="16"/>
  <c r="J370" i="15"/>
  <c r="I108" i="15"/>
  <c r="H108" i="16" s="1"/>
  <c r="J108" i="16" s="1"/>
  <c r="J108" i="15"/>
  <c r="J202" i="15"/>
  <c r="I202" i="15"/>
  <c r="H202" i="16" s="1"/>
  <c r="I202" i="16" s="1"/>
  <c r="U382" i="17"/>
  <c r="J260" i="15"/>
  <c r="I260" i="15"/>
  <c r="H260" i="16" s="1"/>
  <c r="I260" i="16" s="1"/>
  <c r="U381" i="17"/>
  <c r="AD382" i="15"/>
  <c r="J183" i="16"/>
  <c r="P146" i="17"/>
  <c r="V146" i="17" s="1"/>
  <c r="F146" i="17" s="1"/>
  <c r="G146" i="17" s="1"/>
  <c r="BZ146" i="6" s="1"/>
  <c r="P27" i="17"/>
  <c r="V27" i="17" s="1"/>
  <c r="F27" i="17" s="1"/>
  <c r="G27" i="17" s="1"/>
  <c r="BZ27" i="6" s="1"/>
  <c r="P173" i="17"/>
  <c r="V173" i="17" s="1"/>
  <c r="F173" i="17" s="1"/>
  <c r="G173" i="17" s="1"/>
  <c r="BZ173" i="6" s="1"/>
  <c r="P303" i="17"/>
  <c r="V303" i="17" s="1"/>
  <c r="F303" i="17" s="1"/>
  <c r="G303" i="17" s="1"/>
  <c r="BZ303" i="6" s="1"/>
  <c r="P358" i="17"/>
  <c r="V358" i="17" s="1"/>
  <c r="F358" i="17" s="1"/>
  <c r="G358" i="17" s="1"/>
  <c r="BZ358" i="6" s="1"/>
  <c r="P179" i="17"/>
  <c r="V179" i="17" s="1"/>
  <c r="F179" i="17" s="1"/>
  <c r="G179" i="17" s="1"/>
  <c r="BZ179" i="6" s="1"/>
  <c r="P289" i="17"/>
  <c r="V289" i="17" s="1"/>
  <c r="F289" i="17" s="1"/>
  <c r="G289" i="17" s="1"/>
  <c r="BZ289" i="6" s="1"/>
  <c r="P224" i="17"/>
  <c r="V224" i="17" s="1"/>
  <c r="F224" i="17" s="1"/>
  <c r="G224" i="17" s="1"/>
  <c r="BZ224" i="6" s="1"/>
  <c r="P222" i="17"/>
  <c r="V222" i="17" s="1"/>
  <c r="F222" i="17" s="1"/>
  <c r="G222" i="17" s="1"/>
  <c r="BZ222" i="6" s="1"/>
  <c r="P29" i="17"/>
  <c r="D56" i="7" s="1"/>
  <c r="P297" i="17"/>
  <c r="V297" i="17" s="1"/>
  <c r="F297" i="17" s="1"/>
  <c r="G297" i="17" s="1"/>
  <c r="BZ297" i="6" s="1"/>
  <c r="P44" i="17"/>
  <c r="V44" i="17" s="1"/>
  <c r="F44" i="17" s="1"/>
  <c r="G44" i="17" s="1"/>
  <c r="BZ44" i="6" s="1"/>
  <c r="P50" i="17"/>
  <c r="V50" i="17" s="1"/>
  <c r="F50" i="17" s="1"/>
  <c r="G50" i="17" s="1"/>
  <c r="BZ50" i="6" s="1"/>
  <c r="P298" i="17"/>
  <c r="V298" i="17" s="1"/>
  <c r="F298" i="17" s="1"/>
  <c r="G298" i="17" s="1"/>
  <c r="BZ298" i="6" s="1"/>
  <c r="P339" i="17"/>
  <c r="V339" i="17" s="1"/>
  <c r="F339" i="17" s="1"/>
  <c r="G339" i="17" s="1"/>
  <c r="BZ339" i="6" s="1"/>
  <c r="P185" i="17"/>
  <c r="V185" i="17" s="1"/>
  <c r="F185" i="17" s="1"/>
  <c r="H185" i="17" s="1"/>
  <c r="P204" i="17"/>
  <c r="V204" i="17" s="1"/>
  <c r="F204" i="17" s="1"/>
  <c r="G204" i="17" s="1"/>
  <c r="BZ204" i="6" s="1"/>
  <c r="Q109" i="17"/>
  <c r="P109" i="17" s="1"/>
  <c r="V109" i="17" s="1"/>
  <c r="F109" i="17" s="1"/>
  <c r="G109" i="17" s="1"/>
  <c r="BZ109" i="6" s="1"/>
  <c r="Q259" i="17"/>
  <c r="P259" i="17" s="1"/>
  <c r="V259" i="17" s="1"/>
  <c r="F259" i="17" s="1"/>
  <c r="G259" i="17" s="1"/>
  <c r="BZ259" i="6" s="1"/>
  <c r="Q170" i="17"/>
  <c r="P170" i="17" s="1"/>
  <c r="V170" i="17" s="1"/>
  <c r="F170" i="17" s="1"/>
  <c r="G170" i="17" s="1"/>
  <c r="BZ170" i="6" s="1"/>
  <c r="Q78" i="17"/>
  <c r="P78" i="17" s="1"/>
  <c r="V78" i="17" s="1"/>
  <c r="F78" i="17" s="1"/>
  <c r="G78" i="17" s="1"/>
  <c r="BZ78" i="6" s="1"/>
  <c r="Q316" i="17"/>
  <c r="P316" i="17" s="1"/>
  <c r="V316" i="17" s="1"/>
  <c r="F316" i="17" s="1"/>
  <c r="G316" i="17" s="1"/>
  <c r="BZ316" i="6" s="1"/>
  <c r="Q121" i="17"/>
  <c r="P121" i="17" s="1"/>
  <c r="V121" i="17" s="1"/>
  <c r="F121" i="17" s="1"/>
  <c r="G121" i="17" s="1"/>
  <c r="BZ121" i="6" s="1"/>
  <c r="Q247" i="17"/>
  <c r="P247" i="17" s="1"/>
  <c r="V247" i="17" s="1"/>
  <c r="F247" i="17" s="1"/>
  <c r="G247" i="17" s="1"/>
  <c r="BZ247" i="6" s="1"/>
  <c r="Q164" i="17"/>
  <c r="P164" i="17" s="1"/>
  <c r="V164" i="17" s="1"/>
  <c r="F164" i="17" s="1"/>
  <c r="G164" i="17" s="1"/>
  <c r="BZ164" i="6" s="1"/>
  <c r="Q288" i="17"/>
  <c r="P288" i="17" s="1"/>
  <c r="V288" i="17" s="1"/>
  <c r="F288" i="17" s="1"/>
  <c r="G288" i="17" s="1"/>
  <c r="BZ288" i="6" s="1"/>
  <c r="Q357" i="17"/>
  <c r="P357" i="17" s="1"/>
  <c r="V357" i="17" s="1"/>
  <c r="F357" i="17" s="1"/>
  <c r="G357" i="17" s="1"/>
  <c r="BZ357" i="6" s="1"/>
  <c r="Q159" i="17"/>
  <c r="P159" i="17" s="1"/>
  <c r="V159" i="17" s="1"/>
  <c r="F159" i="17" s="1"/>
  <c r="G159" i="17" s="1"/>
  <c r="BZ159" i="6" s="1"/>
  <c r="Q136" i="17"/>
  <c r="P136" i="17" s="1"/>
  <c r="V136" i="17" s="1"/>
  <c r="F136" i="17" s="1"/>
  <c r="G136" i="17" s="1"/>
  <c r="BZ136" i="6" s="1"/>
  <c r="Q39" i="17"/>
  <c r="P39" i="17" s="1"/>
  <c r="V39" i="17" s="1"/>
  <c r="F39" i="17" s="1"/>
  <c r="G39" i="17" s="1"/>
  <c r="BZ39" i="6" s="1"/>
  <c r="Q274" i="17"/>
  <c r="P274" i="17" s="1"/>
  <c r="V274" i="17" s="1"/>
  <c r="F274" i="17" s="1"/>
  <c r="G274" i="17" s="1"/>
  <c r="BZ274" i="6" s="1"/>
  <c r="Q313" i="17"/>
  <c r="P313" i="17" s="1"/>
  <c r="V313" i="17" s="1"/>
  <c r="F313" i="17" s="1"/>
  <c r="G313" i="17" s="1"/>
  <c r="BZ313" i="6" s="1"/>
  <c r="Q163" i="17"/>
  <c r="P163" i="17" s="1"/>
  <c r="V163" i="17" s="1"/>
  <c r="F163" i="17" s="1"/>
  <c r="Q22" i="17"/>
  <c r="P22" i="17" s="1"/>
  <c r="V22" i="17" s="1"/>
  <c r="F22" i="17" s="1"/>
  <c r="Q310" i="17"/>
  <c r="P310" i="17" s="1"/>
  <c r="V310" i="17" s="1"/>
  <c r="F310" i="17" s="1"/>
  <c r="G310" i="17" s="1"/>
  <c r="BZ310" i="6" s="1"/>
  <c r="Q369" i="17"/>
  <c r="P369" i="17" s="1"/>
  <c r="V369" i="17" s="1"/>
  <c r="F369" i="17" s="1"/>
  <c r="G369" i="17" s="1"/>
  <c r="BZ369" i="6" s="1"/>
  <c r="Q320" i="17"/>
  <c r="P320" i="17" s="1"/>
  <c r="V320" i="17" s="1"/>
  <c r="F320" i="17" s="1"/>
  <c r="G320" i="17" s="1"/>
  <c r="BZ320" i="6" s="1"/>
  <c r="Q97" i="17"/>
  <c r="P97" i="17" s="1"/>
  <c r="V97" i="17" s="1"/>
  <c r="F97" i="17" s="1"/>
  <c r="Q223" i="17"/>
  <c r="P223" i="17" s="1"/>
  <c r="V223" i="17" s="1"/>
  <c r="F223" i="17" s="1"/>
  <c r="G223" i="17" s="1"/>
  <c r="BZ223" i="6" s="1"/>
  <c r="Q168" i="17"/>
  <c r="P168" i="17" s="1"/>
  <c r="V168" i="17" s="1"/>
  <c r="F168" i="17" s="1"/>
  <c r="G168" i="17" s="1"/>
  <c r="BZ168" i="6" s="1"/>
  <c r="Q102" i="17"/>
  <c r="P102" i="17" s="1"/>
  <c r="V102" i="17" s="1"/>
  <c r="F102" i="17" s="1"/>
  <c r="G102" i="17" s="1"/>
  <c r="BZ102" i="6" s="1"/>
  <c r="Q306" i="17"/>
  <c r="P306" i="17" s="1"/>
  <c r="V306" i="17" s="1"/>
  <c r="F306" i="17" s="1"/>
  <c r="G306" i="17" s="1"/>
  <c r="BZ306" i="6" s="1"/>
  <c r="Q377" i="17"/>
  <c r="P377" i="17" s="1"/>
  <c r="V377" i="17" s="1"/>
  <c r="F377" i="17" s="1"/>
  <c r="G377" i="17" s="1"/>
  <c r="BZ377" i="6" s="1"/>
  <c r="Q227" i="17"/>
  <c r="P227" i="17" s="1"/>
  <c r="V227" i="17" s="1"/>
  <c r="F227" i="17" s="1"/>
  <c r="G227" i="17" s="1"/>
  <c r="BZ227" i="6" s="1"/>
  <c r="Q154" i="17"/>
  <c r="P154" i="17" s="1"/>
  <c r="V154" i="17" s="1"/>
  <c r="F154" i="17" s="1"/>
  <c r="G154" i="17" s="1"/>
  <c r="BZ154" i="6" s="1"/>
  <c r="Q16" i="17"/>
  <c r="P16" i="17" s="1"/>
  <c r="V16" i="17" s="1"/>
  <c r="F16" i="17" s="1"/>
  <c r="G16" i="17" s="1"/>
  <c r="BZ16" i="6" s="1"/>
  <c r="Q300" i="17"/>
  <c r="P300" i="17" s="1"/>
  <c r="V300" i="17" s="1"/>
  <c r="F300" i="17" s="1"/>
  <c r="G300" i="17" s="1"/>
  <c r="BZ300" i="6" s="1"/>
  <c r="Q349" i="17"/>
  <c r="P349" i="17" s="1"/>
  <c r="V349" i="17" s="1"/>
  <c r="F349" i="17" s="1"/>
  <c r="G349" i="17" s="1"/>
  <c r="BZ349" i="6" s="1"/>
  <c r="Q215" i="17"/>
  <c r="P215" i="17" s="1"/>
  <c r="V215" i="17" s="1"/>
  <c r="F215" i="17" s="1"/>
  <c r="G215" i="17" s="1"/>
  <c r="BZ215" i="6" s="1"/>
  <c r="Q148" i="17"/>
  <c r="P148" i="17" s="1"/>
  <c r="V148" i="17" s="1"/>
  <c r="F148" i="17" s="1"/>
  <c r="G148" i="17" s="1"/>
  <c r="BZ148" i="6" s="1"/>
  <c r="Q47" i="17"/>
  <c r="P47" i="17" s="1"/>
  <c r="V47" i="17" s="1"/>
  <c r="F47" i="17" s="1"/>
  <c r="G47" i="17" s="1"/>
  <c r="BZ47" i="6" s="1"/>
  <c r="Q294" i="17"/>
  <c r="P294" i="17" s="1"/>
  <c r="V294" i="17" s="1"/>
  <c r="F294" i="17" s="1"/>
  <c r="G294" i="17" s="1"/>
  <c r="BZ294" i="6" s="1"/>
  <c r="Q337" i="17"/>
  <c r="P337" i="17" s="1"/>
  <c r="V337" i="17" s="1"/>
  <c r="F337" i="17" s="1"/>
  <c r="G337" i="17" s="1"/>
  <c r="BZ337" i="6" s="1"/>
  <c r="Q171" i="17"/>
  <c r="P171" i="17" s="1"/>
  <c r="V171" i="17" s="1"/>
  <c r="F171" i="17" s="1"/>
  <c r="G171" i="17" s="1"/>
  <c r="BZ171" i="6" s="1"/>
  <c r="Q142" i="17"/>
  <c r="P142" i="17" s="1"/>
  <c r="V142" i="17" s="1"/>
  <c r="F142" i="17" s="1"/>
  <c r="G142" i="17" s="1"/>
  <c r="BZ142" i="6" s="1"/>
  <c r="Q59" i="17"/>
  <c r="P59" i="17" s="1"/>
  <c r="V59" i="17" s="1"/>
  <c r="F59" i="17" s="1"/>
  <c r="Q280" i="17"/>
  <c r="P280" i="17" s="1"/>
  <c r="V280" i="17" s="1"/>
  <c r="F280" i="17" s="1"/>
  <c r="G280" i="17" s="1"/>
  <c r="BZ280" i="6" s="1"/>
  <c r="Q341" i="17"/>
  <c r="P341" i="17" s="1"/>
  <c r="V341" i="17" s="1"/>
  <c r="F341" i="17" s="1"/>
  <c r="G341" i="17" s="1"/>
  <c r="BZ341" i="6" s="1"/>
  <c r="Q143" i="17"/>
  <c r="P143" i="17" s="1"/>
  <c r="V143" i="17" s="1"/>
  <c r="F143" i="17" s="1"/>
  <c r="G143" i="17" s="1"/>
  <c r="BZ143" i="6" s="1"/>
  <c r="Q345" i="17"/>
  <c r="P345" i="17" s="1"/>
  <c r="V345" i="17" s="1"/>
  <c r="F345" i="17" s="1"/>
  <c r="Q195" i="17"/>
  <c r="P195" i="17" s="1"/>
  <c r="V195" i="17" s="1"/>
  <c r="F195" i="17" s="1"/>
  <c r="G195" i="17" s="1"/>
  <c r="BZ195" i="6" s="1"/>
  <c r="Q138" i="17"/>
  <c r="P138" i="17" s="1"/>
  <c r="V138" i="17" s="1"/>
  <c r="F138" i="17" s="1"/>
  <c r="G138" i="17" s="1"/>
  <c r="BZ138" i="6" s="1"/>
  <c r="Q35" i="17"/>
  <c r="P35" i="17" s="1"/>
  <c r="V35" i="17" s="1"/>
  <c r="F35" i="17" s="1"/>
  <c r="Q284" i="17"/>
  <c r="P284" i="17" s="1"/>
  <c r="V284" i="17" s="1"/>
  <c r="F284" i="17" s="1"/>
  <c r="G284" i="17" s="1"/>
  <c r="BZ284" i="6" s="1"/>
  <c r="Q317" i="17"/>
  <c r="P317" i="17" s="1"/>
  <c r="V317" i="17" s="1"/>
  <c r="F317" i="17" s="1"/>
  <c r="G317" i="17" s="1"/>
  <c r="BZ317" i="6" s="1"/>
  <c r="Q183" i="17"/>
  <c r="P183" i="17" s="1"/>
  <c r="V183" i="17" s="1"/>
  <c r="F183" i="17" s="1"/>
  <c r="Q132" i="17"/>
  <c r="P132" i="17" s="1"/>
  <c r="V132" i="17" s="1"/>
  <c r="F132" i="17" s="1"/>
  <c r="G132" i="17" s="1"/>
  <c r="BZ132" i="6" s="1"/>
  <c r="Q79" i="17"/>
  <c r="P79" i="17" s="1"/>
  <c r="V79" i="17" s="1"/>
  <c r="F79" i="17" s="1"/>
  <c r="G79" i="17" s="1"/>
  <c r="BZ79" i="6" s="1"/>
  <c r="Q278" i="17"/>
  <c r="P278" i="17" s="1"/>
  <c r="V278" i="17" s="1"/>
  <c r="F278" i="17" s="1"/>
  <c r="G278" i="17" s="1"/>
  <c r="BZ278" i="6" s="1"/>
  <c r="Q305" i="17"/>
  <c r="P305" i="17" s="1"/>
  <c r="V305" i="17" s="1"/>
  <c r="F305" i="17" s="1"/>
  <c r="G305" i="17" s="1"/>
  <c r="BZ305" i="6" s="1"/>
  <c r="Q221" i="17"/>
  <c r="P221" i="17" s="1"/>
  <c r="V221" i="17" s="1"/>
  <c r="F221" i="17" s="1"/>
  <c r="G221" i="17" s="1"/>
  <c r="BZ221" i="6" s="1"/>
  <c r="Q42" i="17"/>
  <c r="P42" i="17" s="1"/>
  <c r="V42" i="17" s="1"/>
  <c r="F42" i="17" s="1"/>
  <c r="G42" i="17" s="1"/>
  <c r="BZ42" i="6" s="1"/>
  <c r="Q36" i="17"/>
  <c r="P36" i="17" s="1"/>
  <c r="V36" i="17" s="1"/>
  <c r="F36" i="17" s="1"/>
  <c r="G36" i="17" s="1"/>
  <c r="BZ36" i="6" s="1"/>
  <c r="Q347" i="17"/>
  <c r="P347" i="17" s="1"/>
  <c r="V347" i="17" s="1"/>
  <c r="F347" i="17" s="1"/>
  <c r="G347" i="17" s="1"/>
  <c r="BZ347" i="6" s="1"/>
  <c r="Q230" i="17"/>
  <c r="P230" i="17" s="1"/>
  <c r="V230" i="17" s="1"/>
  <c r="F230" i="17" s="1"/>
  <c r="G230" i="17" s="1"/>
  <c r="BZ230" i="6" s="1"/>
  <c r="Q209" i="17"/>
  <c r="P209" i="17" s="1"/>
  <c r="V209" i="17" s="1"/>
  <c r="F209" i="17" s="1"/>
  <c r="G209" i="17" s="1"/>
  <c r="BZ209" i="6" s="1"/>
  <c r="Q368" i="17"/>
  <c r="P368" i="17" s="1"/>
  <c r="V368" i="17" s="1"/>
  <c r="F368" i="17" s="1"/>
  <c r="G368" i="17" s="1"/>
  <c r="BZ368" i="6" s="1"/>
  <c r="Q24" i="17"/>
  <c r="P24" i="17" s="1"/>
  <c r="V24" i="17" s="1"/>
  <c r="F24" i="17" s="1"/>
  <c r="G24" i="17" s="1"/>
  <c r="BZ24" i="6" s="1"/>
  <c r="Q319" i="17"/>
  <c r="P319" i="17" s="1"/>
  <c r="V319" i="17" s="1"/>
  <c r="F319" i="17" s="1"/>
  <c r="G319" i="17" s="1"/>
  <c r="BZ319" i="6" s="1"/>
  <c r="Q216" i="17"/>
  <c r="P216" i="17" s="1"/>
  <c r="V216" i="17" s="1"/>
  <c r="F216" i="17" s="1"/>
  <c r="G216" i="17" s="1"/>
  <c r="BZ216" i="6" s="1"/>
  <c r="Q213" i="17"/>
  <c r="P213" i="17" s="1"/>
  <c r="V213" i="17" s="1"/>
  <c r="F213" i="17" s="1"/>
  <c r="G213" i="17" s="1"/>
  <c r="BZ213" i="6" s="1"/>
  <c r="Q354" i="17"/>
  <c r="P354" i="17" s="1"/>
  <c r="V354" i="17" s="1"/>
  <c r="F354" i="17" s="1"/>
  <c r="G354" i="17" s="1"/>
  <c r="BZ354" i="6" s="1"/>
  <c r="Q217" i="17"/>
  <c r="P217" i="17" s="1"/>
  <c r="V217" i="17" s="1"/>
  <c r="F217" i="17" s="1"/>
  <c r="G217" i="17" s="1"/>
  <c r="BZ217" i="6" s="1"/>
  <c r="Q372" i="17"/>
  <c r="P372" i="17" s="1"/>
  <c r="V372" i="17" s="1"/>
  <c r="F372" i="17" s="1"/>
  <c r="G372" i="17" s="1"/>
  <c r="BZ372" i="6" s="1"/>
  <c r="Q15" i="17"/>
  <c r="Q359" i="17"/>
  <c r="P359" i="17" s="1"/>
  <c r="V359" i="17" s="1"/>
  <c r="F359" i="17" s="1"/>
  <c r="Q220" i="17"/>
  <c r="P220" i="17" s="1"/>
  <c r="V220" i="17" s="1"/>
  <c r="F220" i="17" s="1"/>
  <c r="G220" i="17" s="1"/>
  <c r="BZ220" i="6" s="1"/>
  <c r="Q189" i="17"/>
  <c r="P189" i="17" s="1"/>
  <c r="V189" i="17" s="1"/>
  <c r="F189" i="17" s="1"/>
  <c r="G189" i="17" s="1"/>
  <c r="BZ189" i="6" s="1"/>
  <c r="Q366" i="17"/>
  <c r="P366" i="17" s="1"/>
  <c r="V366" i="17" s="1"/>
  <c r="F366" i="17" s="1"/>
  <c r="G366" i="17" s="1"/>
  <c r="BZ366" i="6" s="1"/>
  <c r="Q21" i="17"/>
  <c r="P21" i="17" s="1"/>
  <c r="V21" i="17" s="1"/>
  <c r="F21" i="17" s="1"/>
  <c r="G21" i="17" s="1"/>
  <c r="BZ21" i="6" s="1"/>
  <c r="Q315" i="17"/>
  <c r="P315" i="17" s="1"/>
  <c r="V315" i="17" s="1"/>
  <c r="F315" i="17" s="1"/>
  <c r="G315" i="17" s="1"/>
  <c r="BZ315" i="6" s="1"/>
  <c r="Q214" i="17"/>
  <c r="P214" i="17" s="1"/>
  <c r="V214" i="17" s="1"/>
  <c r="F214" i="17" s="1"/>
  <c r="G214" i="17" s="1"/>
  <c r="BZ214" i="6" s="1"/>
  <c r="Q177" i="17"/>
  <c r="P177" i="17" s="1"/>
  <c r="V177" i="17" s="1"/>
  <c r="F177" i="17" s="1"/>
  <c r="G177" i="17" s="1"/>
  <c r="BZ177" i="6" s="1"/>
  <c r="Q352" i="17"/>
  <c r="P352" i="17" s="1"/>
  <c r="V352" i="17" s="1"/>
  <c r="F352" i="17" s="1"/>
  <c r="G352" i="17" s="1"/>
  <c r="BZ352" i="6" s="1"/>
  <c r="Q33" i="17"/>
  <c r="P33" i="17" s="1"/>
  <c r="V33" i="17" s="1"/>
  <c r="F33" i="17" s="1"/>
  <c r="G33" i="17" s="1"/>
  <c r="BZ33" i="6" s="1"/>
  <c r="Q287" i="17"/>
  <c r="P287" i="17" s="1"/>
  <c r="V287" i="17" s="1"/>
  <c r="F287" i="17" s="1"/>
  <c r="G287" i="17" s="1"/>
  <c r="BZ287" i="6" s="1"/>
  <c r="Q200" i="17"/>
  <c r="P200" i="17" s="1"/>
  <c r="V200" i="17" s="1"/>
  <c r="F200" i="17" s="1"/>
  <c r="G200" i="17" s="1"/>
  <c r="BZ200" i="6" s="1"/>
  <c r="Q181" i="17"/>
  <c r="P181" i="17" s="1"/>
  <c r="V181" i="17" s="1"/>
  <c r="F181" i="17" s="1"/>
  <c r="Q338" i="17"/>
  <c r="P338" i="17" s="1"/>
  <c r="V338" i="17" s="1"/>
  <c r="F338" i="17" s="1"/>
  <c r="G338" i="17" s="1"/>
  <c r="BZ338" i="6" s="1"/>
  <c r="Q77" i="17"/>
  <c r="P77" i="17" s="1"/>
  <c r="V77" i="17" s="1"/>
  <c r="F77" i="17" s="1"/>
  <c r="H77" i="17" s="1"/>
  <c r="Q291" i="17"/>
  <c r="P291" i="17" s="1"/>
  <c r="V291" i="17" s="1"/>
  <c r="F291" i="17" s="1"/>
  <c r="G291" i="17" s="1"/>
  <c r="BZ291" i="6" s="1"/>
  <c r="Q186" i="17"/>
  <c r="P186" i="17" s="1"/>
  <c r="V186" i="17" s="1"/>
  <c r="F186" i="17" s="1"/>
  <c r="G186" i="17" s="1"/>
  <c r="BZ186" i="6" s="1"/>
  <c r="Q137" i="17"/>
  <c r="P137" i="17" s="1"/>
  <c r="V137" i="17" s="1"/>
  <c r="F137" i="17" s="1"/>
  <c r="Q332" i="17"/>
  <c r="P332" i="17" s="1"/>
  <c r="V332" i="17" s="1"/>
  <c r="F332" i="17" s="1"/>
  <c r="G332" i="17" s="1"/>
  <c r="BZ332" i="6" s="1"/>
  <c r="Q157" i="17"/>
  <c r="P157" i="17" s="1"/>
  <c r="V157" i="17" s="1"/>
  <c r="F157" i="17" s="1"/>
  <c r="G157" i="17" s="1"/>
  <c r="BZ157" i="6" s="1"/>
  <c r="Q350" i="17"/>
  <c r="P350" i="17" s="1"/>
  <c r="V350" i="17" s="1"/>
  <c r="F350" i="17" s="1"/>
  <c r="G350" i="17" s="1"/>
  <c r="BZ350" i="6" s="1"/>
  <c r="Q53" i="17"/>
  <c r="P53" i="17" s="1"/>
  <c r="V53" i="17" s="1"/>
  <c r="F53" i="17" s="1"/>
  <c r="G53" i="17" s="1"/>
  <c r="BZ53" i="6" s="1"/>
  <c r="Q283" i="17"/>
  <c r="P283" i="17" s="1"/>
  <c r="V283" i="17" s="1"/>
  <c r="F283" i="17" s="1"/>
  <c r="G283" i="17" s="1"/>
  <c r="BZ283" i="6" s="1"/>
  <c r="Q198" i="17"/>
  <c r="P198" i="17" s="1"/>
  <c r="V198" i="17" s="1"/>
  <c r="F198" i="17" s="1"/>
  <c r="G198" i="17" s="1"/>
  <c r="BZ198" i="6" s="1"/>
  <c r="Q145" i="17"/>
  <c r="P145" i="17" s="1"/>
  <c r="V145" i="17" s="1"/>
  <c r="F145" i="17" s="1"/>
  <c r="G145" i="17" s="1"/>
  <c r="BZ145" i="6" s="1"/>
  <c r="Q336" i="17"/>
  <c r="P336" i="17" s="1"/>
  <c r="V336" i="17" s="1"/>
  <c r="F336" i="17" s="1"/>
  <c r="G336" i="17" s="1"/>
  <c r="BZ336" i="6" s="1"/>
  <c r="Q65" i="17"/>
  <c r="P65" i="17" s="1"/>
  <c r="V65" i="17" s="1"/>
  <c r="F65" i="17" s="1"/>
  <c r="G65" i="17" s="1"/>
  <c r="BZ65" i="6" s="1"/>
  <c r="Q255" i="17"/>
  <c r="P255" i="17" s="1"/>
  <c r="V255" i="17" s="1"/>
  <c r="F255" i="17" s="1"/>
  <c r="G255" i="17" s="1"/>
  <c r="BZ255" i="6" s="1"/>
  <c r="Q184" i="17"/>
  <c r="P184" i="17" s="1"/>
  <c r="V184" i="17" s="1"/>
  <c r="F184" i="17" s="1"/>
  <c r="G184" i="17" s="1"/>
  <c r="BZ184" i="6" s="1"/>
  <c r="Q149" i="17"/>
  <c r="P149" i="17" s="1"/>
  <c r="Q322" i="17"/>
  <c r="P322" i="17" s="1"/>
  <c r="V322" i="17" s="1"/>
  <c r="F322" i="17" s="1"/>
  <c r="G322" i="17" s="1"/>
  <c r="BZ322" i="6" s="1"/>
  <c r="AK3" i="22"/>
  <c r="Q17" i="19" s="1"/>
  <c r="J240" i="16"/>
  <c r="J374" i="16"/>
  <c r="Q161" i="17"/>
  <c r="P161" i="17" s="1"/>
  <c r="V161" i="17" s="1"/>
  <c r="F161" i="17" s="1"/>
  <c r="Q344" i="17"/>
  <c r="P344" i="17" s="1"/>
  <c r="V344" i="17" s="1"/>
  <c r="F344" i="17" s="1"/>
  <c r="Q49" i="17"/>
  <c r="P49" i="17" s="1"/>
  <c r="V49" i="17" s="1"/>
  <c r="F49" i="17" s="1"/>
  <c r="Q271" i="17"/>
  <c r="P271" i="17" s="1"/>
  <c r="V271" i="17" s="1"/>
  <c r="F271" i="17" s="1"/>
  <c r="G271" i="17" s="1"/>
  <c r="BZ271" i="6" s="1"/>
  <c r="Q45" i="17"/>
  <c r="P45" i="17" s="1"/>
  <c r="V45" i="17" s="1"/>
  <c r="F45" i="17" s="1"/>
  <c r="Q323" i="17"/>
  <c r="P323" i="17" s="1"/>
  <c r="V323" i="17" s="1"/>
  <c r="F323" i="17" s="1"/>
  <c r="G323" i="17" s="1"/>
  <c r="BZ323" i="6" s="1"/>
  <c r="Q202" i="17"/>
  <c r="P202" i="17" s="1"/>
  <c r="V202" i="17" s="1"/>
  <c r="F202" i="17" s="1"/>
  <c r="Q169" i="17"/>
  <c r="P169" i="17" s="1"/>
  <c r="V169" i="17" s="1"/>
  <c r="F169" i="17" s="1"/>
  <c r="H169" i="17" s="1"/>
  <c r="Q348" i="17"/>
  <c r="P348" i="17" s="1"/>
  <c r="V348" i="17" s="1"/>
  <c r="F348" i="17" s="1"/>
  <c r="G348" i="17" s="1"/>
  <c r="BZ348" i="6" s="1"/>
  <c r="Q57" i="17"/>
  <c r="P57" i="17" s="1"/>
  <c r="V57" i="17" s="1"/>
  <c r="F57" i="17" s="1"/>
  <c r="Q311" i="17"/>
  <c r="P311" i="17" s="1"/>
  <c r="V311" i="17" s="1"/>
  <c r="F311" i="17" s="1"/>
  <c r="Q196" i="17"/>
  <c r="P196" i="17" s="1"/>
  <c r="V196" i="17" s="1"/>
  <c r="Q141" i="17"/>
  <c r="P141" i="17" s="1"/>
  <c r="V141" i="17" s="1"/>
  <c r="F141" i="17" s="1"/>
  <c r="G141" i="17" s="1"/>
  <c r="BZ141" i="6" s="1"/>
  <c r="Q342" i="17"/>
  <c r="P342" i="17" s="1"/>
  <c r="V342" i="17" s="1"/>
  <c r="F342" i="17" s="1"/>
  <c r="G342" i="17" s="1"/>
  <c r="BZ342" i="6" s="1"/>
  <c r="Q69" i="17"/>
  <c r="P69" i="17" s="1"/>
  <c r="V69" i="17" s="1"/>
  <c r="F69" i="17" s="1"/>
  <c r="Q267" i="17"/>
  <c r="P267" i="17" s="1"/>
  <c r="V267" i="17" s="1"/>
  <c r="F267" i="17" s="1"/>
  <c r="G267" i="17" s="1"/>
  <c r="BZ267" i="6" s="1"/>
  <c r="Q190" i="17"/>
  <c r="P190" i="17" s="1"/>
  <c r="V190" i="17" s="1"/>
  <c r="F190" i="17" s="1"/>
  <c r="Q126" i="17"/>
  <c r="P126" i="17" s="1"/>
  <c r="V126" i="17" s="1"/>
  <c r="F126" i="17" s="1"/>
  <c r="Q328" i="17"/>
  <c r="P328" i="17" s="1"/>
  <c r="V328" i="17" s="1"/>
  <c r="F328" i="17" s="1"/>
  <c r="G328" i="17" s="1"/>
  <c r="BZ328" i="6" s="1"/>
  <c r="Q81" i="17"/>
  <c r="P81" i="17" s="1"/>
  <c r="V81" i="17" s="1"/>
  <c r="F81" i="17" s="1"/>
  <c r="G81" i="17" s="1"/>
  <c r="BZ81" i="6" s="1"/>
  <c r="Q239" i="17"/>
  <c r="P239" i="17" s="1"/>
  <c r="V239" i="17" s="1"/>
  <c r="F239" i="17" s="1"/>
  <c r="Q176" i="17"/>
  <c r="P176" i="17" s="1"/>
  <c r="V176" i="17" s="1"/>
  <c r="F176" i="17" s="1"/>
  <c r="Q133" i="17"/>
  <c r="P133" i="17" s="1"/>
  <c r="V133" i="17" s="1"/>
  <c r="F133" i="17" s="1"/>
  <c r="G133" i="17" s="1"/>
  <c r="BZ133" i="6" s="1"/>
  <c r="Q314" i="17"/>
  <c r="P314" i="17" s="1"/>
  <c r="V314" i="17" s="1"/>
  <c r="F314" i="17" s="1"/>
  <c r="G314" i="17" s="1"/>
  <c r="BZ314" i="6" s="1"/>
  <c r="Q125" i="17"/>
  <c r="P125" i="17" s="1"/>
  <c r="V125" i="17" s="1"/>
  <c r="F125" i="17" s="1"/>
  <c r="G125" i="17" s="1"/>
  <c r="BZ125" i="6" s="1"/>
  <c r="Q243" i="17"/>
  <c r="P243" i="17" s="1"/>
  <c r="V243" i="17" s="1"/>
  <c r="F243" i="17" s="1"/>
  <c r="H243" i="17" s="1"/>
  <c r="Q162" i="17"/>
  <c r="P162" i="17" s="1"/>
  <c r="V162" i="17" s="1"/>
  <c r="F162" i="17" s="1"/>
  <c r="G162" i="17" s="1"/>
  <c r="BZ162" i="6" s="1"/>
  <c r="Q256" i="17"/>
  <c r="P256" i="17" s="1"/>
  <c r="V256" i="17" s="1"/>
  <c r="F256" i="17" s="1"/>
  <c r="Q293" i="17"/>
  <c r="P293" i="17" s="1"/>
  <c r="V293" i="17" s="1"/>
  <c r="F293" i="17" s="1"/>
  <c r="G293" i="17" s="1"/>
  <c r="BZ293" i="6" s="1"/>
  <c r="Q58" i="17"/>
  <c r="P58" i="17" s="1"/>
  <c r="V58" i="17" s="1"/>
  <c r="F58" i="17" s="1"/>
  <c r="G58" i="17" s="1"/>
  <c r="BZ58" i="6" s="1"/>
  <c r="Q76" i="17"/>
  <c r="P76" i="17" s="1"/>
  <c r="V76" i="17" s="1"/>
  <c r="F76" i="17" s="1"/>
  <c r="Q103" i="17"/>
  <c r="P103" i="17" s="1"/>
  <c r="V103" i="17" s="1"/>
  <c r="F103" i="17" s="1"/>
  <c r="Q242" i="17"/>
  <c r="P242" i="17" s="1"/>
  <c r="V242" i="17" s="1"/>
  <c r="F242" i="17" s="1"/>
  <c r="G242" i="17" s="1"/>
  <c r="BZ242" i="6" s="1"/>
  <c r="Q249" i="17"/>
  <c r="P249" i="17" s="1"/>
  <c r="V249" i="17" s="1"/>
  <c r="F249" i="17" s="1"/>
  <c r="Q66" i="17"/>
  <c r="P66" i="17" s="1"/>
  <c r="V66" i="17" s="1"/>
  <c r="F66" i="17" s="1"/>
  <c r="Q48" i="17"/>
  <c r="P48" i="17" s="1"/>
  <c r="V48" i="17" s="1"/>
  <c r="Q131" i="17"/>
  <c r="P131" i="17" s="1"/>
  <c r="V131" i="17" s="1"/>
  <c r="F131" i="17" s="1"/>
  <c r="G131" i="17" s="1"/>
  <c r="BZ131" i="6" s="1"/>
  <c r="Q236" i="17"/>
  <c r="P236" i="17" s="1"/>
  <c r="V236" i="17" s="1"/>
  <c r="F236" i="17" s="1"/>
  <c r="H236" i="17" s="1"/>
  <c r="Q139" i="17"/>
  <c r="P139" i="17" s="1"/>
  <c r="V139" i="17" s="1"/>
  <c r="Q120" i="17"/>
  <c r="P120" i="17" s="1"/>
  <c r="V120" i="17" s="1"/>
  <c r="F120" i="17" s="1"/>
  <c r="Q91" i="17"/>
  <c r="P91" i="17" s="1"/>
  <c r="V91" i="17" s="1"/>
  <c r="F91" i="17" s="1"/>
  <c r="G91" i="17" s="1"/>
  <c r="BZ91" i="6" s="1"/>
  <c r="Q264" i="17"/>
  <c r="P264" i="17" s="1"/>
  <c r="V264" i="17" s="1"/>
  <c r="F264" i="17" s="1"/>
  <c r="Q309" i="17"/>
  <c r="P309" i="17" s="1"/>
  <c r="V309" i="17" s="1"/>
  <c r="F309" i="17" s="1"/>
  <c r="Q90" i="17"/>
  <c r="P90" i="17" s="1"/>
  <c r="V90" i="17" s="1"/>
  <c r="F90" i="17" s="1"/>
  <c r="Q92" i="17"/>
  <c r="P92" i="17" s="1"/>
  <c r="V92" i="17" s="1"/>
  <c r="F92" i="17" s="1"/>
  <c r="G92" i="17" s="1"/>
  <c r="BZ92" i="6" s="1"/>
  <c r="Q87" i="17"/>
  <c r="P87" i="17" s="1"/>
  <c r="V87" i="17" s="1"/>
  <c r="F87" i="17" s="1"/>
  <c r="Q250" i="17"/>
  <c r="P250" i="17" s="1"/>
  <c r="V250" i="17" s="1"/>
  <c r="F250" i="17" s="1"/>
  <c r="Q265" i="17"/>
  <c r="P265" i="17" s="1"/>
  <c r="V265" i="17" s="1"/>
  <c r="F265" i="17" s="1"/>
  <c r="G265" i="17" s="1"/>
  <c r="BZ265" i="6" s="1"/>
  <c r="Q98" i="17"/>
  <c r="P98" i="17" s="1"/>
  <c r="V98" i="17" s="1"/>
  <c r="F98" i="17" s="1"/>
  <c r="G98" i="17" s="1"/>
  <c r="BZ98" i="6" s="1"/>
  <c r="Q64" i="17"/>
  <c r="P64" i="17" s="1"/>
  <c r="V64" i="17" s="1"/>
  <c r="F64" i="17" s="1"/>
  <c r="Q192" i="17"/>
  <c r="P192" i="17" s="1"/>
  <c r="V192" i="17" s="1"/>
  <c r="F192" i="17" s="1"/>
  <c r="Q165" i="17"/>
  <c r="P165" i="17" s="1"/>
  <c r="V165" i="17" s="1"/>
  <c r="F165" i="17" s="1"/>
  <c r="G165" i="17" s="1"/>
  <c r="BZ165" i="6" s="1"/>
  <c r="Q330" i="17"/>
  <c r="P330" i="17" s="1"/>
  <c r="V330" i="17" s="1"/>
  <c r="F330" i="17" s="1"/>
  <c r="Q93" i="17"/>
  <c r="P93" i="17" s="1"/>
  <c r="V93" i="17" s="1"/>
  <c r="F93" i="17" s="1"/>
  <c r="G93" i="17" s="1"/>
  <c r="BZ93" i="6" s="1"/>
  <c r="Q275" i="17"/>
  <c r="P275" i="17" s="1"/>
  <c r="V275" i="17" s="1"/>
  <c r="F275" i="17" s="1"/>
  <c r="G275" i="17" s="1"/>
  <c r="BZ275" i="6" s="1"/>
  <c r="Q178" i="17"/>
  <c r="P178" i="17" s="1"/>
  <c r="V178" i="17" s="1"/>
  <c r="F178" i="17" s="1"/>
  <c r="Q110" i="17"/>
  <c r="P110" i="17" s="1"/>
  <c r="V110" i="17" s="1"/>
  <c r="F110" i="17" s="1"/>
  <c r="Q324" i="17"/>
  <c r="P324" i="17" s="1"/>
  <c r="V324" i="17" s="1"/>
  <c r="F324" i="17" s="1"/>
  <c r="G324" i="17" s="1"/>
  <c r="BZ324" i="6" s="1"/>
  <c r="Q105" i="17"/>
  <c r="P105" i="17" s="1"/>
  <c r="V105" i="17" s="1"/>
  <c r="F105" i="17" s="1"/>
  <c r="Q263" i="17"/>
  <c r="P263" i="17" s="1"/>
  <c r="V263" i="17" s="1"/>
  <c r="F263" i="17" s="1"/>
  <c r="G263" i="17" s="1"/>
  <c r="BZ263" i="6" s="1"/>
  <c r="Q172" i="17"/>
  <c r="P172" i="17" s="1"/>
  <c r="V172" i="17" s="1"/>
  <c r="F172" i="17" s="1"/>
  <c r="Q54" i="17"/>
  <c r="P54" i="17" s="1"/>
  <c r="V54" i="17" s="1"/>
  <c r="F54" i="17" s="1"/>
  <c r="G54" i="17" s="1"/>
  <c r="BZ54" i="6" s="1"/>
  <c r="Q318" i="17"/>
  <c r="P318" i="17" s="1"/>
  <c r="V318" i="17" s="1"/>
  <c r="F318" i="17" s="1"/>
  <c r="Q117" i="17"/>
  <c r="P117" i="17" s="1"/>
  <c r="V117" i="17" s="1"/>
  <c r="F117" i="17" s="1"/>
  <c r="G117" i="17" s="1"/>
  <c r="BZ117" i="6" s="1"/>
  <c r="Q219" i="17"/>
  <c r="P219" i="17" s="1"/>
  <c r="V219" i="17" s="1"/>
  <c r="F219" i="17" s="1"/>
  <c r="G219" i="17" s="1"/>
  <c r="BZ219" i="6" s="1"/>
  <c r="Q166" i="17"/>
  <c r="P166" i="17" s="1"/>
  <c r="V166" i="17" s="1"/>
  <c r="Q30" i="17"/>
  <c r="P30" i="17" s="1"/>
  <c r="V30" i="17" s="1"/>
  <c r="F30" i="17" s="1"/>
  <c r="H30" i="17" s="1"/>
  <c r="Q304" i="17"/>
  <c r="P304" i="17" s="1"/>
  <c r="V304" i="17" s="1"/>
  <c r="F304" i="17" s="1"/>
  <c r="Q129" i="17"/>
  <c r="P129" i="17" s="1"/>
  <c r="V129" i="17" s="1"/>
  <c r="F129" i="17" s="1"/>
  <c r="H129" i="17" s="1"/>
  <c r="Q191" i="17"/>
  <c r="P191" i="17" s="1"/>
  <c r="V191" i="17" s="1"/>
  <c r="F191" i="17" s="1"/>
  <c r="Q152" i="17"/>
  <c r="P152" i="17" s="1"/>
  <c r="V152" i="17" s="1"/>
  <c r="F152" i="17" s="1"/>
  <c r="G152" i="17" s="1"/>
  <c r="BZ152" i="6" s="1"/>
  <c r="Q38" i="17"/>
  <c r="P38" i="17" s="1"/>
  <c r="V38" i="17" s="1"/>
  <c r="F38" i="17" s="1"/>
  <c r="G38" i="17" s="1"/>
  <c r="BZ38" i="6" s="1"/>
  <c r="Q290" i="17"/>
  <c r="P290" i="17" s="1"/>
  <c r="V290" i="17" s="1"/>
  <c r="F290" i="17" s="1"/>
  <c r="G290" i="17" s="1"/>
  <c r="BZ290" i="6" s="1"/>
  <c r="Q46" i="17"/>
  <c r="P46" i="17" s="1"/>
  <c r="V46" i="17" s="1"/>
  <c r="F46" i="17" s="1"/>
  <c r="G46" i="17" s="1"/>
  <c r="BZ46" i="6" s="1"/>
  <c r="Q308" i="17"/>
  <c r="P308" i="17" s="1"/>
  <c r="V308" i="17" s="1"/>
  <c r="F308" i="17" s="1"/>
  <c r="Q365" i="17"/>
  <c r="P365" i="17" s="1"/>
  <c r="V365" i="17" s="1"/>
  <c r="F365" i="17" s="1"/>
  <c r="G365" i="17" s="1"/>
  <c r="BZ365" i="6" s="1"/>
  <c r="Q231" i="17"/>
  <c r="P231" i="17" s="1"/>
  <c r="V231" i="17" s="1"/>
  <c r="F231" i="17" s="1"/>
  <c r="G231" i="17" s="1"/>
  <c r="BZ231" i="6" s="1"/>
  <c r="Q156" i="17"/>
  <c r="P156" i="17" s="1"/>
  <c r="V156" i="17" s="1"/>
  <c r="F156" i="17" s="1"/>
  <c r="Q31" i="17"/>
  <c r="P31" i="17" s="1"/>
  <c r="V31" i="17" s="1"/>
  <c r="F31" i="17" s="1"/>
  <c r="Q302" i="17"/>
  <c r="P302" i="17" s="1"/>
  <c r="D65" i="7" s="1"/>
  <c r="Q353" i="17"/>
  <c r="P353" i="17" s="1"/>
  <c r="V353" i="17" s="1"/>
  <c r="F353" i="17" s="1"/>
  <c r="H353" i="17" s="1"/>
  <c r="Q187" i="17"/>
  <c r="P187" i="17" s="1"/>
  <c r="V187" i="17" s="1"/>
  <c r="F187" i="17" s="1"/>
  <c r="Q150" i="17"/>
  <c r="P150" i="17" s="1"/>
  <c r="V150" i="17" s="1"/>
  <c r="F150" i="17" s="1"/>
  <c r="G150" i="17" s="1"/>
  <c r="BZ150" i="6" s="1"/>
  <c r="Q43" i="17"/>
  <c r="P43" i="17" s="1"/>
  <c r="V43" i="17" s="1"/>
  <c r="F43" i="17" s="1"/>
  <c r="G43" i="17" s="1"/>
  <c r="BZ43" i="6" s="1"/>
  <c r="BJ11" i="7"/>
  <c r="BE11" i="7"/>
  <c r="Q11" i="25" s="1"/>
  <c r="BD15" i="7"/>
  <c r="P11" i="25"/>
  <c r="AE352" i="17"/>
  <c r="AD352" i="17" s="1"/>
  <c r="AE349" i="17"/>
  <c r="AD349" i="17" s="1"/>
  <c r="AE94" i="17"/>
  <c r="AD94" i="17" s="1"/>
  <c r="AE234" i="17"/>
  <c r="AD234" i="17" s="1"/>
  <c r="AE59" i="17"/>
  <c r="AD59" i="17" s="1"/>
  <c r="AE376" i="17"/>
  <c r="AD376" i="17" s="1"/>
  <c r="AE249" i="17"/>
  <c r="AD249" i="17" s="1"/>
  <c r="AE138" i="17"/>
  <c r="AD138" i="17" s="1"/>
  <c r="AE294" i="17"/>
  <c r="AD294" i="17" s="1"/>
  <c r="AE280" i="17"/>
  <c r="AD280" i="17" s="1"/>
  <c r="AE68" i="17"/>
  <c r="AD68" i="17" s="1"/>
  <c r="AE204" i="17"/>
  <c r="AD204" i="17" s="1"/>
  <c r="AE162" i="17"/>
  <c r="AD162" i="17" s="1"/>
  <c r="AE148" i="17"/>
  <c r="AD148" i="17" s="1"/>
  <c r="AE19" i="17"/>
  <c r="AD19" i="17" s="1"/>
  <c r="AE49" i="17"/>
  <c r="AD49" i="17" s="1"/>
  <c r="AE30" i="17"/>
  <c r="AD30" i="17" s="1"/>
  <c r="AE133" i="17"/>
  <c r="AD133" i="17" s="1"/>
  <c r="AE273" i="17"/>
  <c r="AD273" i="17" s="1"/>
  <c r="AE55" i="17"/>
  <c r="AD55" i="17" s="1"/>
  <c r="AE122" i="17"/>
  <c r="AD122" i="17" s="1"/>
  <c r="AE303" i="17"/>
  <c r="AD303" i="17" s="1"/>
  <c r="AE296" i="17"/>
  <c r="AD296" i="17" s="1"/>
  <c r="AE339" i="17"/>
  <c r="AD339" i="17" s="1"/>
  <c r="AE181" i="17"/>
  <c r="AD181" i="17" s="1"/>
  <c r="AE207" i="17"/>
  <c r="AD207" i="17" s="1"/>
  <c r="AE200" i="17"/>
  <c r="AD200" i="17" s="1"/>
  <c r="AE147" i="17"/>
  <c r="AD147" i="17" s="1"/>
  <c r="AE85" i="17"/>
  <c r="AD85" i="17" s="1"/>
  <c r="AE82" i="17"/>
  <c r="AD82" i="17" s="1"/>
  <c r="AE71" i="17"/>
  <c r="AD71" i="17" s="1"/>
  <c r="AE260" i="17"/>
  <c r="AD260" i="17" s="1"/>
  <c r="AE300" i="17"/>
  <c r="AD300" i="17" s="1"/>
  <c r="AE258" i="17"/>
  <c r="AD258" i="17" s="1"/>
  <c r="AE99" i="17"/>
  <c r="AD99" i="17" s="1"/>
  <c r="AE62" i="17"/>
  <c r="AD62" i="17" s="1"/>
  <c r="AE79" i="17"/>
  <c r="AD79" i="17" s="1"/>
  <c r="AE72" i="17"/>
  <c r="AD72" i="17" s="1"/>
  <c r="AE310" i="17"/>
  <c r="AD310" i="17" s="1"/>
  <c r="AE320" i="17"/>
  <c r="AD320" i="17" s="1"/>
  <c r="AE317" i="17"/>
  <c r="AD317" i="17" s="1"/>
  <c r="AE377" i="17"/>
  <c r="AD377" i="17" s="1"/>
  <c r="AE202" i="17"/>
  <c r="AD202" i="17" s="1"/>
  <c r="AA202" i="17" s="1"/>
  <c r="Z202" i="17" s="1"/>
  <c r="Y202" i="17" s="1"/>
  <c r="AE27" i="17"/>
  <c r="AD27" i="17" s="1"/>
  <c r="AE344" i="17"/>
  <c r="AD344" i="17" s="1"/>
  <c r="AE196" i="17"/>
  <c r="AD196" i="17" s="1"/>
  <c r="AE33" i="17"/>
  <c r="AD33" i="17" s="1"/>
  <c r="AE100" i="17"/>
  <c r="AD100" i="17" s="1"/>
  <c r="AE245" i="17"/>
  <c r="AD245" i="17" s="1"/>
  <c r="AE242" i="17"/>
  <c r="AD242" i="17" s="1"/>
  <c r="AE359" i="17"/>
  <c r="AE278" i="17"/>
  <c r="AD278" i="17" s="1"/>
  <c r="AE315" i="17"/>
  <c r="AD315" i="17" s="1"/>
  <c r="AE269" i="17"/>
  <c r="AD269" i="17" s="1"/>
  <c r="AE54" i="17"/>
  <c r="AD54" i="17" s="1"/>
  <c r="AE193" i="17"/>
  <c r="AD193" i="17" s="1"/>
  <c r="AE326" i="17"/>
  <c r="AD326" i="17" s="1"/>
  <c r="AE355" i="17"/>
  <c r="AD355" i="17" s="1"/>
  <c r="AE95" i="17"/>
  <c r="AD95" i="17" s="1"/>
  <c r="AE252" i="17"/>
  <c r="AD252" i="17" s="1"/>
  <c r="AE233" i="17"/>
  <c r="AD233" i="17" s="1"/>
  <c r="AE101" i="17"/>
  <c r="AD101" i="17" s="1"/>
  <c r="AE206" i="17"/>
  <c r="AD206" i="17" s="1"/>
  <c r="AE279" i="17"/>
  <c r="AD279" i="17" s="1"/>
  <c r="AE346" i="17"/>
  <c r="AD346" i="17" s="1"/>
  <c r="AE160" i="17"/>
  <c r="AD160" i="17" s="1"/>
  <c r="AE157" i="17"/>
  <c r="AD157" i="17" s="1"/>
  <c r="AE57" i="17"/>
  <c r="AD57" i="17" s="1"/>
  <c r="AE42" i="17"/>
  <c r="AD42" i="17" s="1"/>
  <c r="AE102" i="17"/>
  <c r="AD102" i="17" s="1"/>
  <c r="AE88" i="17"/>
  <c r="AD88" i="17" s="1"/>
  <c r="AE110" i="17"/>
  <c r="AD110" i="17" s="1"/>
  <c r="AE267" i="17"/>
  <c r="AD267" i="17" s="1"/>
  <c r="AE244" i="17"/>
  <c r="AD244" i="17" s="1"/>
  <c r="AE351" i="17"/>
  <c r="AD351" i="17" s="1"/>
  <c r="AE145" i="17"/>
  <c r="AD145" i="17" s="1"/>
  <c r="AE190" i="17"/>
  <c r="AD190" i="17" s="1"/>
  <c r="AE357" i="17"/>
  <c r="AD357" i="17" s="1"/>
  <c r="AE175" i="17"/>
  <c r="AD175" i="17" s="1"/>
  <c r="AE168" i="17"/>
  <c r="AD168" i="17" s="1"/>
  <c r="AE83" i="17"/>
  <c r="AD83" i="17" s="1"/>
  <c r="AE53" i="17"/>
  <c r="AD53" i="17" s="1"/>
  <c r="AE50" i="17"/>
  <c r="AE350" i="17"/>
  <c r="AD350" i="17" s="1"/>
  <c r="AE298" i="17"/>
  <c r="AD298" i="17" s="1"/>
  <c r="AE123" i="17"/>
  <c r="AD123" i="17" s="1"/>
  <c r="AE226" i="17"/>
  <c r="AD226" i="17" s="1"/>
  <c r="AE67" i="17"/>
  <c r="AD67" i="17" s="1"/>
  <c r="AE238" i="17"/>
  <c r="AD238" i="17" s="1"/>
  <c r="AE331" i="17"/>
  <c r="AD331" i="17" s="1"/>
  <c r="AE308" i="17"/>
  <c r="AD308" i="17" s="1"/>
  <c r="AE176" i="17"/>
  <c r="AD176" i="17" s="1"/>
  <c r="AE209" i="17"/>
  <c r="AD209" i="17" s="1"/>
  <c r="AE318" i="17"/>
  <c r="AD318" i="17" s="1"/>
  <c r="AE58" i="17"/>
  <c r="AD58" i="17" s="1"/>
  <c r="AE239" i="17"/>
  <c r="AD239" i="17" s="1"/>
  <c r="AE232" i="17"/>
  <c r="AD232" i="17" s="1"/>
  <c r="AE374" i="17"/>
  <c r="AD374" i="17" s="1"/>
  <c r="AE107" i="17"/>
  <c r="AD107" i="17" s="1"/>
  <c r="AE84" i="17"/>
  <c r="AD84" i="17" s="1"/>
  <c r="AE319" i="17"/>
  <c r="AD319" i="17" s="1"/>
  <c r="AE348" i="17"/>
  <c r="AD348" i="17" s="1"/>
  <c r="AE329" i="17"/>
  <c r="AD329" i="17" s="1"/>
  <c r="AE197" i="17"/>
  <c r="AD197" i="17" s="1"/>
  <c r="AE17" i="17"/>
  <c r="AD17" i="17" s="1"/>
  <c r="AE375" i="17"/>
  <c r="AD375" i="17" s="1"/>
  <c r="AE182" i="17"/>
  <c r="AD182" i="17" s="1"/>
  <c r="AE256" i="17"/>
  <c r="AD256" i="17" s="1"/>
  <c r="AE253" i="17"/>
  <c r="AD253" i="17" s="1"/>
  <c r="AE356" i="17"/>
  <c r="AD356" i="17" s="1"/>
  <c r="AE373" i="17"/>
  <c r="AD373" i="17" s="1"/>
  <c r="AE370" i="17"/>
  <c r="AD370" i="17" s="1"/>
  <c r="AE152" i="17"/>
  <c r="AD152" i="17" s="1"/>
  <c r="AE179" i="17"/>
  <c r="AD179" i="17" s="1"/>
  <c r="AE76" i="17"/>
  <c r="AD76" i="17" s="1"/>
  <c r="AE34" i="17"/>
  <c r="AD34" i="17" s="1"/>
  <c r="AE103" i="17"/>
  <c r="AD103" i="17" s="1"/>
  <c r="AE321" i="17"/>
  <c r="AD321" i="17" s="1"/>
  <c r="AE139" i="17"/>
  <c r="AD139" i="17" s="1"/>
  <c r="AE116" i="17"/>
  <c r="AD116" i="17" s="1"/>
  <c r="AE112" i="17"/>
  <c r="AD112" i="17" s="1"/>
  <c r="AE270" i="17"/>
  <c r="AD270" i="17" s="1"/>
  <c r="AE311" i="17"/>
  <c r="AD311" i="17" s="1"/>
  <c r="AE378" i="17"/>
  <c r="AD378" i="17" s="1"/>
  <c r="AE192" i="17"/>
  <c r="AD192" i="17" s="1"/>
  <c r="AE189" i="17"/>
  <c r="AD189" i="17" s="1"/>
  <c r="AE121" i="17"/>
  <c r="AD121" i="17" s="1"/>
  <c r="AE74" i="17"/>
  <c r="AD74" i="17" s="1"/>
  <c r="AE166" i="17"/>
  <c r="AD166" i="17" s="1"/>
  <c r="AE216" i="17"/>
  <c r="AD216" i="17" s="1"/>
  <c r="AE307" i="17"/>
  <c r="AD307" i="17" s="1"/>
  <c r="AE379" i="17"/>
  <c r="AE12" i="18" s="1"/>
  <c r="AE98" i="17"/>
  <c r="AD98" i="17" s="1"/>
  <c r="AE231" i="17"/>
  <c r="AD231" i="17" s="1"/>
  <c r="AE22" i="17"/>
  <c r="AD22" i="17" s="1"/>
  <c r="AE203" i="17"/>
  <c r="AD203" i="17" s="1"/>
  <c r="AE180" i="17"/>
  <c r="AD180" i="17" s="1"/>
  <c r="AE48" i="17"/>
  <c r="AE81" i="17"/>
  <c r="AD81" i="17" s="1"/>
  <c r="AE70" i="17"/>
  <c r="AD70" i="17" s="1"/>
  <c r="AE293" i="17"/>
  <c r="AD293" i="17" s="1"/>
  <c r="AA293" i="17" s="1"/>
  <c r="Z293" i="17" s="1"/>
  <c r="Y293" i="17" s="1"/>
  <c r="AE111" i="17"/>
  <c r="AD111" i="17" s="1"/>
  <c r="AE104" i="17"/>
  <c r="AD104" i="17" s="1"/>
  <c r="AE330" i="17"/>
  <c r="AD330" i="17" s="1"/>
  <c r="AE155" i="17"/>
  <c r="AD155" i="17" s="1"/>
  <c r="AE109" i="17"/>
  <c r="AD109" i="17" s="1"/>
  <c r="AE89" i="17"/>
  <c r="AD89" i="17" s="1"/>
  <c r="AE268" i="17"/>
  <c r="AD268" i="17" s="1"/>
  <c r="AE354" i="17"/>
  <c r="AD354" i="17" s="1"/>
  <c r="AE195" i="17"/>
  <c r="AD195" i="17" s="1"/>
  <c r="AE63" i="17"/>
  <c r="AD63" i="17" s="1"/>
  <c r="AE92" i="17"/>
  <c r="AD92" i="17" s="1"/>
  <c r="AE73" i="17"/>
  <c r="AD73" i="17" s="1"/>
  <c r="AE304" i="17"/>
  <c r="AD304" i="17" s="1"/>
  <c r="AE337" i="17"/>
  <c r="AD337" i="17" s="1"/>
  <c r="AE119" i="17"/>
  <c r="AD119" i="17" s="1"/>
  <c r="AE186" i="17"/>
  <c r="AD186" i="17" s="1"/>
  <c r="AE367" i="17"/>
  <c r="AD367" i="17" s="1"/>
  <c r="AE360" i="17"/>
  <c r="AD360" i="17" s="1"/>
  <c r="AE199" i="17"/>
  <c r="AD199" i="17" s="1"/>
  <c r="AE86" i="17"/>
  <c r="AD86" i="17" s="1"/>
  <c r="AE219" i="17"/>
  <c r="AD219" i="17" s="1"/>
  <c r="AE173" i="17"/>
  <c r="AD173" i="17" s="1"/>
  <c r="AE217" i="17"/>
  <c r="AD217" i="17" s="1"/>
  <c r="AE97" i="17"/>
  <c r="AD97" i="17" s="1"/>
  <c r="AE134" i="17"/>
  <c r="AD134" i="17" s="1"/>
  <c r="AE259" i="17"/>
  <c r="AD259" i="17" s="1"/>
  <c r="AE127" i="17"/>
  <c r="AD127" i="17" s="1"/>
  <c r="AE156" i="17"/>
  <c r="AD156" i="17" s="1"/>
  <c r="AE137" i="17"/>
  <c r="AD137" i="17" s="1"/>
  <c r="AE240" i="17"/>
  <c r="AD240" i="17" s="1"/>
  <c r="AE38" i="17"/>
  <c r="AD38" i="17" s="1"/>
  <c r="AE183" i="17"/>
  <c r="AD183" i="17" s="1"/>
  <c r="AE250" i="17"/>
  <c r="AD250" i="17" s="1"/>
  <c r="AE64" i="17"/>
  <c r="AD64" i="17" s="1"/>
  <c r="AE61" i="17"/>
  <c r="AD61" i="17" s="1"/>
  <c r="AE228" i="17"/>
  <c r="AD228" i="17" s="1"/>
  <c r="AE309" i="17"/>
  <c r="AD309" i="17" s="1"/>
  <c r="AE306" i="17"/>
  <c r="AD306" i="17" s="1"/>
  <c r="AE56" i="17"/>
  <c r="AD56" i="17" s="1"/>
  <c r="AE51" i="17"/>
  <c r="AD51" i="17" s="1"/>
  <c r="AE140" i="17"/>
  <c r="AD140" i="17" s="1"/>
  <c r="AD359" i="17"/>
  <c r="AD48" i="17"/>
  <c r="AD50" i="17"/>
  <c r="Q112" i="17"/>
  <c r="P112" i="17" s="1"/>
  <c r="V112" i="17" s="1"/>
  <c r="F112" i="17" s="1"/>
  <c r="Q67" i="17"/>
  <c r="P67" i="17" s="1"/>
  <c r="V67" i="17" s="1"/>
  <c r="F67" i="17" s="1"/>
  <c r="G67" i="17" s="1"/>
  <c r="BZ67" i="6" s="1"/>
  <c r="Q268" i="17"/>
  <c r="P268" i="17" s="1"/>
  <c r="V268" i="17" s="1"/>
  <c r="F268" i="17" s="1"/>
  <c r="Q63" i="17"/>
  <c r="P63" i="17" s="1"/>
  <c r="V63" i="17" s="1"/>
  <c r="F63" i="17" s="1"/>
  <c r="Q286" i="17"/>
  <c r="P286" i="17" s="1"/>
  <c r="V286" i="17" s="1"/>
  <c r="F286" i="17" s="1"/>
  <c r="G286" i="17" s="1"/>
  <c r="BZ286" i="6" s="1"/>
  <c r="Q321" i="17"/>
  <c r="P321" i="17" s="1"/>
  <c r="V321" i="17" s="1"/>
  <c r="F321" i="17" s="1"/>
  <c r="G321" i="17" s="1"/>
  <c r="BZ321" i="6" s="1"/>
  <c r="Q155" i="17"/>
  <c r="P155" i="17" s="1"/>
  <c r="V155" i="17" s="1"/>
  <c r="F155" i="17" s="1"/>
  <c r="Q134" i="17"/>
  <c r="P134" i="17" s="1"/>
  <c r="V134" i="17" s="1"/>
  <c r="F134" i="17" s="1"/>
  <c r="Q75" i="17"/>
  <c r="P75" i="17" s="1"/>
  <c r="V75" i="17" s="1"/>
  <c r="Q272" i="17"/>
  <c r="P272" i="17" s="1"/>
  <c r="Q325" i="17"/>
  <c r="P325" i="17" s="1"/>
  <c r="V325" i="17" s="1"/>
  <c r="Q122" i="17"/>
  <c r="P122" i="17" s="1"/>
  <c r="V122" i="17" s="1"/>
  <c r="F122" i="17" s="1"/>
  <c r="Q108" i="17"/>
  <c r="P108" i="17" s="1"/>
  <c r="V108" i="17" s="1"/>
  <c r="F108" i="17" s="1"/>
  <c r="Q71" i="17"/>
  <c r="P71" i="17" s="1"/>
  <c r="V71" i="17" s="1"/>
  <c r="F71" i="17" s="1"/>
  <c r="Q258" i="17"/>
  <c r="P258" i="17" s="1"/>
  <c r="V258" i="17" s="1"/>
  <c r="Q281" i="17"/>
  <c r="P281" i="17" s="1"/>
  <c r="V281" i="17" s="1"/>
  <c r="F281" i="17" s="1"/>
  <c r="Q130" i="17"/>
  <c r="P130" i="17" s="1"/>
  <c r="V130" i="17" s="1"/>
  <c r="F130" i="17" s="1"/>
  <c r="Q80" i="17"/>
  <c r="P80" i="17" s="1"/>
  <c r="V80" i="17" s="1"/>
  <c r="F80" i="17" s="1"/>
  <c r="Q99" i="17"/>
  <c r="P99" i="17" s="1"/>
  <c r="V99" i="17" s="1"/>
  <c r="F99" i="17" s="1"/>
  <c r="Q252" i="17"/>
  <c r="P252" i="17" s="1"/>
  <c r="V252" i="17" s="1"/>
  <c r="F252" i="17" s="1"/>
  <c r="Q253" i="17"/>
  <c r="P253" i="17" s="1"/>
  <c r="V253" i="17" s="1"/>
  <c r="F253" i="17" s="1"/>
  <c r="Q106" i="17"/>
  <c r="P106" i="17" s="1"/>
  <c r="V106" i="17" s="1"/>
  <c r="F106" i="17" s="1"/>
  <c r="Q68" i="17"/>
  <c r="P68" i="17" s="1"/>
  <c r="V68" i="17" s="1"/>
  <c r="F68" i="17" s="1"/>
  <c r="Q379" i="17"/>
  <c r="Q246" i="17"/>
  <c r="P246" i="17" s="1"/>
  <c r="V246" i="17" s="1"/>
  <c r="F246" i="17" s="1"/>
  <c r="Q241" i="17"/>
  <c r="P241" i="17" s="1"/>
  <c r="Q89" i="17"/>
  <c r="P89" i="17" s="1"/>
  <c r="V89" i="17" s="1"/>
  <c r="F89" i="17" s="1"/>
  <c r="Q279" i="17"/>
  <c r="P279" i="17" s="1"/>
  <c r="V279" i="17" s="1"/>
  <c r="F279" i="17" s="1"/>
  <c r="Q180" i="17"/>
  <c r="P180" i="17" s="1"/>
  <c r="Q86" i="17"/>
  <c r="P86" i="17" s="1"/>
  <c r="V86" i="17" s="1"/>
  <c r="F86" i="17" s="1"/>
  <c r="Q326" i="17"/>
  <c r="P326" i="17" s="1"/>
  <c r="V326" i="17" s="1"/>
  <c r="F326" i="17" s="1"/>
  <c r="G326" i="17" s="1"/>
  <c r="BZ326" i="6" s="1"/>
  <c r="Q101" i="17"/>
  <c r="P101" i="17" s="1"/>
  <c r="V101" i="17" s="1"/>
  <c r="F101" i="17" s="1"/>
  <c r="G101" i="17" s="1"/>
  <c r="BZ101" i="6" s="1"/>
  <c r="Q235" i="17"/>
  <c r="P235" i="17" s="1"/>
  <c r="V235" i="17" s="1"/>
  <c r="F235" i="17" s="1"/>
  <c r="G235" i="17" s="1"/>
  <c r="BZ235" i="6" s="1"/>
  <c r="Q174" i="17"/>
  <c r="P174" i="17" s="1"/>
  <c r="V174" i="17" s="1"/>
  <c r="F174" i="17" s="1"/>
  <c r="G174" i="17" s="1"/>
  <c r="BZ174" i="6" s="1"/>
  <c r="Q62" i="17"/>
  <c r="P62" i="17" s="1"/>
  <c r="V62" i="17" s="1"/>
  <c r="F62" i="17" s="1"/>
  <c r="Q312" i="17"/>
  <c r="P312" i="17" s="1"/>
  <c r="V312" i="17" s="1"/>
  <c r="F312" i="17" s="1"/>
  <c r="Q113" i="17"/>
  <c r="P113" i="17" s="1"/>
  <c r="V113" i="17" s="1"/>
  <c r="F113" i="17" s="1"/>
  <c r="Q207" i="17"/>
  <c r="P207" i="17" s="1"/>
  <c r="V207" i="17" s="1"/>
  <c r="F207" i="17" s="1"/>
  <c r="Q153" i="17"/>
  <c r="P153" i="17" s="1"/>
  <c r="V153" i="17" s="1"/>
  <c r="F153" i="17" s="1"/>
  <c r="Q340" i="17"/>
  <c r="P340" i="17" s="1"/>
  <c r="V340" i="17" s="1"/>
  <c r="F340" i="17" s="1"/>
  <c r="Q73" i="17"/>
  <c r="P73" i="17" s="1"/>
  <c r="V73" i="17" s="1"/>
  <c r="F73" i="17" s="1"/>
  <c r="Q295" i="17"/>
  <c r="P295" i="17" s="1"/>
  <c r="V295" i="17" s="1"/>
  <c r="F295" i="17" s="1"/>
  <c r="Q188" i="17"/>
  <c r="P188" i="17" s="1"/>
  <c r="V188" i="17" s="1"/>
  <c r="F188" i="17" s="1"/>
  <c r="Q118" i="17"/>
  <c r="P118" i="17" s="1"/>
  <c r="V118" i="17" s="1"/>
  <c r="F118" i="17" s="1"/>
  <c r="Q334" i="17"/>
  <c r="P334" i="17" s="1"/>
  <c r="V334" i="17" s="1"/>
  <c r="F334" i="17" s="1"/>
  <c r="Q85" i="17"/>
  <c r="P85" i="17" s="1"/>
  <c r="V85" i="17" s="1"/>
  <c r="F85" i="17" s="1"/>
  <c r="Q251" i="17"/>
  <c r="P251" i="17" s="1"/>
  <c r="V251" i="17" s="1"/>
  <c r="F251" i="17" s="1"/>
  <c r="Q182" i="17"/>
  <c r="P182" i="17" s="1"/>
  <c r="V182" i="17" s="1"/>
  <c r="F182" i="17" s="1"/>
  <c r="Q94" i="17"/>
  <c r="P94" i="17" s="1"/>
  <c r="V94" i="17" s="1"/>
  <c r="F94" i="17" s="1"/>
  <c r="Q285" i="17"/>
  <c r="P285" i="17" s="1"/>
  <c r="V285" i="17" s="1"/>
  <c r="F285" i="17" s="1"/>
  <c r="Q151" i="17"/>
  <c r="P151" i="17" s="1"/>
  <c r="V151" i="17" s="1"/>
  <c r="F151" i="17" s="1"/>
  <c r="Q100" i="17"/>
  <c r="P100" i="17" s="1"/>
  <c r="V100" i="17" s="1"/>
  <c r="F100" i="17" s="1"/>
  <c r="Q111" i="17"/>
  <c r="P111" i="17" s="1"/>
  <c r="V111" i="17" s="1"/>
  <c r="F111" i="17" s="1"/>
  <c r="Q262" i="17"/>
  <c r="P262" i="17" s="1"/>
  <c r="V262" i="17" s="1"/>
  <c r="F262" i="17" s="1"/>
  <c r="Q273" i="17"/>
  <c r="P273" i="17" s="1"/>
  <c r="V273" i="17" s="1"/>
  <c r="F273" i="17" s="1"/>
  <c r="Q82" i="17"/>
  <c r="P82" i="17" s="1"/>
  <c r="V82" i="17" s="1"/>
  <c r="F82" i="17" s="1"/>
  <c r="Q88" i="17"/>
  <c r="P88" i="17" s="1"/>
  <c r="Q123" i="17"/>
  <c r="P123" i="17" s="1"/>
  <c r="V123" i="17" s="1"/>
  <c r="F123" i="17" s="1"/>
  <c r="Q248" i="17"/>
  <c r="P248" i="17" s="1"/>
  <c r="V248" i="17" s="1"/>
  <c r="F248" i="17" s="1"/>
  <c r="G248" i="17" s="1"/>
  <c r="BZ248" i="6" s="1"/>
  <c r="Q277" i="17"/>
  <c r="P277" i="17" s="1"/>
  <c r="V277" i="17" s="1"/>
  <c r="F277" i="17" s="1"/>
  <c r="Q26" i="17"/>
  <c r="P26" i="17" s="1"/>
  <c r="V26" i="17" s="1"/>
  <c r="F26" i="17" s="1"/>
  <c r="Q60" i="17"/>
  <c r="P60" i="17" s="1"/>
  <c r="Q119" i="17"/>
  <c r="P119" i="17" s="1"/>
  <c r="Q234" i="17"/>
  <c r="P234" i="17" s="1"/>
  <c r="V234" i="17" s="1"/>
  <c r="F234" i="17" s="1"/>
  <c r="Q233" i="17"/>
  <c r="P233" i="17" s="1"/>
  <c r="V233" i="17" s="1"/>
  <c r="F233" i="17" s="1"/>
  <c r="Q34" i="17"/>
  <c r="P34" i="17" s="1"/>
  <c r="V34" i="17" s="1"/>
  <c r="F34" i="17" s="1"/>
  <c r="Q32" i="17"/>
  <c r="P32" i="17" s="1"/>
  <c r="V32" i="17" s="1"/>
  <c r="F32" i="17" s="1"/>
  <c r="G32" i="17" s="1"/>
  <c r="BZ32" i="6" s="1"/>
  <c r="Q375" i="17"/>
  <c r="P375" i="17" s="1"/>
  <c r="V375" i="17" s="1"/>
  <c r="F375" i="17" s="1"/>
  <c r="Q228" i="17"/>
  <c r="P228" i="17" s="1"/>
  <c r="V228" i="17" s="1"/>
  <c r="F228" i="17" s="1"/>
  <c r="Q205" i="17"/>
  <c r="P205" i="17" s="1"/>
  <c r="V205" i="17" s="1"/>
  <c r="F205" i="17" s="1"/>
  <c r="Q374" i="17"/>
  <c r="P374" i="17" s="1"/>
  <c r="V374" i="17" s="1"/>
  <c r="F374" i="17" s="1"/>
  <c r="Q20" i="17"/>
  <c r="P20" i="17" s="1"/>
  <c r="V20" i="17" s="1"/>
  <c r="F20" i="17" s="1"/>
  <c r="Q19" i="17"/>
  <c r="Q56" i="17"/>
  <c r="P56" i="17" s="1"/>
  <c r="V56" i="17" s="1"/>
  <c r="F56" i="17" s="1"/>
  <c r="Q351" i="17"/>
  <c r="P351" i="17" s="1"/>
  <c r="V351" i="17" s="1"/>
  <c r="F351" i="17" s="1"/>
  <c r="Q232" i="17"/>
  <c r="P232" i="17" s="1"/>
  <c r="V232" i="17" s="1"/>
  <c r="F232" i="17" s="1"/>
  <c r="Q245" i="17"/>
  <c r="P245" i="17" s="1"/>
  <c r="V245" i="17" s="1"/>
  <c r="F245" i="17" s="1"/>
  <c r="Q370" i="17"/>
  <c r="P370" i="17" s="1"/>
  <c r="V370" i="17" s="1"/>
  <c r="F370" i="17" s="1"/>
  <c r="Q28" i="17"/>
  <c r="P28" i="17" s="1"/>
  <c r="V28" i="17" s="1"/>
  <c r="F28" i="17" s="1"/>
  <c r="G28" i="17" s="1"/>
  <c r="BZ28" i="6" s="1"/>
  <c r="Q355" i="17"/>
  <c r="P355" i="17" s="1"/>
  <c r="V355" i="17" s="1"/>
  <c r="F355" i="17" s="1"/>
  <c r="Q218" i="17"/>
  <c r="P218" i="17" s="1"/>
  <c r="V218" i="17" s="1"/>
  <c r="F218" i="17" s="1"/>
  <c r="Q201" i="17"/>
  <c r="P201" i="17" s="1"/>
  <c r="V201" i="17" s="1"/>
  <c r="F201" i="17" s="1"/>
  <c r="Q364" i="17"/>
  <c r="P364" i="17" s="1"/>
  <c r="V364" i="17" s="1"/>
  <c r="F364" i="17" s="1"/>
  <c r="P10" i="23"/>
  <c r="L18" i="19"/>
  <c r="AK15" i="24"/>
  <c r="AK28" i="24"/>
  <c r="F8" i="24"/>
  <c r="AK37" i="24"/>
  <c r="AK60" i="24"/>
  <c r="AK76" i="24"/>
  <c r="AK380" i="24"/>
  <c r="AK71" i="24"/>
  <c r="AK98" i="24"/>
  <c r="AK115" i="24"/>
  <c r="AK128" i="24"/>
  <c r="AK138" i="24"/>
  <c r="AK151" i="24"/>
  <c r="AK173" i="24"/>
  <c r="AK52" i="24"/>
  <c r="AK105" i="24"/>
  <c r="AK124" i="24"/>
  <c r="AK176" i="24"/>
  <c r="AK198" i="24"/>
  <c r="AK216" i="24"/>
  <c r="AK229" i="24"/>
  <c r="AK248" i="24"/>
  <c r="AK259" i="24"/>
  <c r="AK273" i="24"/>
  <c r="AK291" i="24"/>
  <c r="AK308" i="24"/>
  <c r="AK319" i="24"/>
  <c r="AK329" i="24"/>
  <c r="AK349" i="24"/>
  <c r="AK53" i="24"/>
  <c r="AK75" i="24"/>
  <c r="AK183" i="24"/>
  <c r="AK143" i="24"/>
  <c r="AK161" i="24"/>
  <c r="AK188" i="24"/>
  <c r="AK215" i="24"/>
  <c r="AK244" i="24"/>
  <c r="AK278" i="24"/>
  <c r="AK299" i="24"/>
  <c r="AK221" i="24"/>
  <c r="AK266" i="24"/>
  <c r="AK300" i="24"/>
  <c r="AK340" i="24"/>
  <c r="AK362" i="24"/>
  <c r="AK347" i="24"/>
  <c r="AK370" i="24"/>
  <c r="P12" i="24"/>
  <c r="AK26" i="24"/>
  <c r="AK40" i="24"/>
  <c r="AK32" i="24"/>
  <c r="AK59" i="24"/>
  <c r="AK73" i="24"/>
  <c r="AK86" i="24"/>
  <c r="AK69" i="24"/>
  <c r="AK96" i="24"/>
  <c r="AK113" i="24"/>
  <c r="AK127" i="24"/>
  <c r="AK136" i="24"/>
  <c r="AK150" i="24"/>
  <c r="AK171" i="24"/>
  <c r="AK51" i="24"/>
  <c r="AK95" i="24"/>
  <c r="AK119" i="24"/>
  <c r="AK174" i="24"/>
  <c r="AK197" i="24"/>
  <c r="AK214" i="24"/>
  <c r="AK228" i="24"/>
  <c r="AK242" i="24"/>
  <c r="AK258" i="24"/>
  <c r="AK270" i="24"/>
  <c r="AK287" i="24"/>
  <c r="AK307" i="24"/>
  <c r="AK317" i="24"/>
  <c r="AK328" i="24"/>
  <c r="AK345" i="24"/>
  <c r="AK47" i="24"/>
  <c r="AK41" i="24"/>
  <c r="AK179" i="24"/>
  <c r="AK142" i="24"/>
  <c r="AK160" i="24"/>
  <c r="AK187" i="24"/>
  <c r="AK212" i="24"/>
  <c r="AK243" i="24"/>
  <c r="AK272" i="24"/>
  <c r="AK296" i="24"/>
  <c r="AK218" i="24"/>
  <c r="AK263" i="24"/>
  <c r="AK298" i="24"/>
  <c r="AK336" i="24"/>
  <c r="AK358" i="24"/>
  <c r="AK344" i="24"/>
  <c r="AK369" i="24"/>
  <c r="AK17" i="24"/>
  <c r="AK33" i="24"/>
  <c r="AK21" i="24"/>
  <c r="AK44" i="24"/>
  <c r="AK62" i="24"/>
  <c r="AK80" i="24"/>
  <c r="AK43" i="24"/>
  <c r="AK78" i="24"/>
  <c r="AK100" i="24"/>
  <c r="AK120" i="24"/>
  <c r="AK130" i="24"/>
  <c r="AK140" i="24"/>
  <c r="AK163" i="24"/>
  <c r="AK181" i="24"/>
  <c r="AK70" i="24"/>
  <c r="AK108" i="24"/>
  <c r="AK146" i="24"/>
  <c r="AK189" i="24"/>
  <c r="AK203" i="24"/>
  <c r="AK220" i="24"/>
  <c r="AK231" i="24"/>
  <c r="AK251" i="24"/>
  <c r="AK262" i="24"/>
  <c r="AK275" i="24"/>
  <c r="AK297" i="24"/>
  <c r="AK311" i="24"/>
  <c r="AK322" i="24"/>
  <c r="AK335" i="24"/>
  <c r="AK353" i="24"/>
  <c r="AK90" i="24"/>
  <c r="AK109" i="24"/>
  <c r="AK196" i="24"/>
  <c r="AK154" i="24"/>
  <c r="AK172" i="24"/>
  <c r="AK200" i="24"/>
  <c r="AK233" i="24"/>
  <c r="AK250" i="24"/>
  <c r="AK285" i="24"/>
  <c r="AK306" i="24"/>
  <c r="AK227" i="24"/>
  <c r="AK282" i="24"/>
  <c r="AK321" i="24"/>
  <c r="AK346" i="24"/>
  <c r="AK367" i="24"/>
  <c r="AK356" i="24"/>
  <c r="AK375" i="24"/>
  <c r="AK16" i="24"/>
  <c r="AK31" i="24"/>
  <c r="AK19" i="24"/>
  <c r="AK42" i="24"/>
  <c r="AK61" i="24"/>
  <c r="AK77" i="24"/>
  <c r="AK36" i="24"/>
  <c r="AK74" i="24"/>
  <c r="AK99" i="24"/>
  <c r="AK116" i="24"/>
  <c r="AK129" i="24"/>
  <c r="AK139" i="24"/>
  <c r="AK162" i="24"/>
  <c r="AK177" i="24"/>
  <c r="AK64" i="24"/>
  <c r="AK106" i="24"/>
  <c r="AK137" i="24"/>
  <c r="AK185" i="24"/>
  <c r="AK199" i="24"/>
  <c r="AK217" i="24"/>
  <c r="AK230" i="24"/>
  <c r="AK249" i="24"/>
  <c r="AK261" i="24"/>
  <c r="AK274" i="24"/>
  <c r="AK292" i="24"/>
  <c r="AK309" i="24"/>
  <c r="AK320" i="24"/>
  <c r="AK332" i="24"/>
  <c r="AK351" i="24"/>
  <c r="AK66" i="24"/>
  <c r="AK102" i="24"/>
  <c r="AK193" i="24"/>
  <c r="AK153" i="24"/>
  <c r="AK168" i="24"/>
  <c r="AK192" i="24"/>
  <c r="AK219" i="24"/>
  <c r="AK247" i="24"/>
  <c r="AK280" i="24"/>
  <c r="AK303" i="24"/>
  <c r="AK224" i="24"/>
  <c r="AK276" i="24"/>
  <c r="AK316" i="24"/>
  <c r="AK342" i="24"/>
  <c r="AK364" i="24"/>
  <c r="AK352" i="24"/>
  <c r="AK374" i="24"/>
  <c r="AK20" i="24"/>
  <c r="AK35" i="24"/>
  <c r="AK25" i="24"/>
  <c r="AK55" i="24"/>
  <c r="AK65" i="24"/>
  <c r="AK83" i="24"/>
  <c r="AK49" i="24"/>
  <c r="AK91" i="24"/>
  <c r="AK103" i="24"/>
  <c r="AK122" i="24"/>
  <c r="AK133" i="24"/>
  <c r="AK144" i="24"/>
  <c r="AK165" i="24"/>
  <c r="AK27" i="24"/>
  <c r="AK87" i="24"/>
  <c r="AK111" i="24"/>
  <c r="AK152" i="24"/>
  <c r="AK191" i="24"/>
  <c r="AK206" i="24"/>
  <c r="AK223" i="24"/>
  <c r="AK236" i="24"/>
  <c r="AK253" i="24"/>
  <c r="AK265" i="24"/>
  <c r="AK279" i="24"/>
  <c r="AK302" i="24"/>
  <c r="AK313" i="24"/>
  <c r="AK324" i="24"/>
  <c r="AK338" i="24"/>
  <c r="AK360" i="24"/>
  <c r="AK97" i="24"/>
  <c r="AK148" i="24"/>
  <c r="AK210" i="24"/>
  <c r="AK157" i="24"/>
  <c r="AK180" i="24"/>
  <c r="AK205" i="24"/>
  <c r="AK235" i="24"/>
  <c r="AK260" i="24"/>
  <c r="AK290" i="24"/>
  <c r="AK318" i="24"/>
  <c r="AK245" i="24"/>
  <c r="AK286" i="24"/>
  <c r="AK330" i="24"/>
  <c r="AK350" i="24"/>
  <c r="AK371" i="24"/>
  <c r="AK363" i="24"/>
  <c r="AK378" i="24"/>
  <c r="AK18" i="24"/>
  <c r="AK34" i="24"/>
  <c r="AK23" i="24"/>
  <c r="AK54" i="24"/>
  <c r="AK63" i="24"/>
  <c r="AK81" i="24"/>
  <c r="AK46" i="24"/>
  <c r="AK82" i="24"/>
  <c r="AK101" i="24"/>
  <c r="AK121" i="24"/>
  <c r="AK131" i="24"/>
  <c r="AK141" i="24"/>
  <c r="AK164" i="24"/>
  <c r="AK182" i="24"/>
  <c r="AK79" i="24"/>
  <c r="AK110" i="24"/>
  <c r="AK147" i="24"/>
  <c r="AK190" i="24"/>
  <c r="AK204" i="24"/>
  <c r="AK222" i="24"/>
  <c r="AK232" i="24"/>
  <c r="AK252" i="24"/>
  <c r="AK264" i="24"/>
  <c r="AK277" i="24"/>
  <c r="AK301" i="24"/>
  <c r="AK312" i="24"/>
  <c r="AK323" i="24"/>
  <c r="AK337" i="24"/>
  <c r="AK359" i="24"/>
  <c r="AK92" i="24"/>
  <c r="AK132" i="24"/>
  <c r="AK202" i="24"/>
  <c r="AK155" i="24"/>
  <c r="AK175" i="24"/>
  <c r="AK201" i="24"/>
  <c r="AK234" i="24"/>
  <c r="AK255" i="24"/>
  <c r="AK288" i="24"/>
  <c r="AK310" i="24"/>
  <c r="AK238" i="24"/>
  <c r="AK283" i="24"/>
  <c r="AK325" i="24"/>
  <c r="AK348" i="24"/>
  <c r="AK368" i="24"/>
  <c r="AK357" i="24"/>
  <c r="AK376" i="24"/>
  <c r="AK24" i="24"/>
  <c r="AK39" i="24"/>
  <c r="AK30" i="24"/>
  <c r="AK57" i="24"/>
  <c r="AK72" i="24"/>
  <c r="AK85" i="24"/>
  <c r="AK67" i="24"/>
  <c r="AK94" i="24"/>
  <c r="AK107" i="24"/>
  <c r="AK126" i="24"/>
  <c r="AK135" i="24"/>
  <c r="AK149" i="24"/>
  <c r="AK169" i="24"/>
  <c r="AK50" i="24"/>
  <c r="AK89" i="24"/>
  <c r="AK118" i="24"/>
  <c r="AK167" i="24"/>
  <c r="AK195" i="24"/>
  <c r="AK208" i="24"/>
  <c r="AK226" i="24"/>
  <c r="AK239" i="24"/>
  <c r="AK256" i="24"/>
  <c r="AK268" i="24"/>
  <c r="AK284" i="24"/>
  <c r="AK305" i="24"/>
  <c r="AK315" i="24"/>
  <c r="AK327" i="24"/>
  <c r="AK343" i="24"/>
  <c r="AK45" i="24"/>
  <c r="AK114" i="24"/>
  <c r="AK178" i="24"/>
  <c r="AK123" i="24"/>
  <c r="AK159" i="24"/>
  <c r="AK186" i="24"/>
  <c r="AK211" i="24"/>
  <c r="AK241" i="24"/>
  <c r="AK271" i="24"/>
  <c r="AK294" i="24"/>
  <c r="AK339" i="24"/>
  <c r="AK257" i="24"/>
  <c r="AK295" i="24"/>
  <c r="AK334" i="24"/>
  <c r="AK355" i="24"/>
  <c r="AK373" i="24"/>
  <c r="AK366" i="24"/>
  <c r="AK377" i="24"/>
  <c r="AK22" i="24"/>
  <c r="AK38" i="24"/>
  <c r="AK29" i="24"/>
  <c r="AK56" i="24"/>
  <c r="AK68" i="24"/>
  <c r="AK84" i="24"/>
  <c r="AK58" i="24"/>
  <c r="AK93" i="24"/>
  <c r="AK104" i="24"/>
  <c r="AK125" i="24"/>
  <c r="AK134" i="24"/>
  <c r="AK145" i="24"/>
  <c r="AK166" i="24"/>
  <c r="AK48" i="24"/>
  <c r="AK88" i="24"/>
  <c r="AK117" i="24"/>
  <c r="AK156" i="24"/>
  <c r="AK194" i="24"/>
  <c r="AK207" i="24"/>
  <c r="AK225" i="24"/>
  <c r="AK237" i="24"/>
  <c r="AK254" i="24"/>
  <c r="AK267" i="24"/>
  <c r="AK281" i="24"/>
  <c r="AK304" i="24"/>
  <c r="AK314" i="24"/>
  <c r="AK326" i="24"/>
  <c r="AK341" i="24"/>
  <c r="AK361" i="24"/>
  <c r="AK112" i="24"/>
  <c r="AK170" i="24"/>
  <c r="AK213" i="24"/>
  <c r="AK158" i="24"/>
  <c r="AK184" i="24"/>
  <c r="AK209" i="24"/>
  <c r="AK240" i="24"/>
  <c r="AK269" i="24"/>
  <c r="AK293" i="24"/>
  <c r="AK333" i="24"/>
  <c r="AK246" i="24"/>
  <c r="AK289" i="24"/>
  <c r="AK331" i="24"/>
  <c r="AK354" i="24"/>
  <c r="AK372" i="24"/>
  <c r="AK365" i="24"/>
  <c r="AK379" i="24"/>
  <c r="AE262" i="17"/>
  <c r="AD262" i="17" s="1"/>
  <c r="AE323" i="17"/>
  <c r="AD323" i="17" s="1"/>
  <c r="AE191" i="17"/>
  <c r="AD191" i="17" s="1"/>
  <c r="AE220" i="17"/>
  <c r="AD220" i="17" s="1"/>
  <c r="AE201" i="17"/>
  <c r="AD201" i="17" s="1"/>
  <c r="AE69" i="17"/>
  <c r="AD69" i="17" s="1"/>
  <c r="AE142" i="17"/>
  <c r="AD142" i="17" s="1"/>
  <c r="AE124" i="17"/>
  <c r="AD124" i="17" s="1"/>
  <c r="AE105" i="17"/>
  <c r="AD105" i="17" s="1"/>
  <c r="AE336" i="17"/>
  <c r="AD336" i="17" s="1"/>
  <c r="AE369" i="17"/>
  <c r="AD369" i="17" s="1"/>
  <c r="AE151" i="17"/>
  <c r="AD151" i="17" s="1"/>
  <c r="AE218" i="17"/>
  <c r="AD218" i="17" s="1"/>
  <c r="AE32" i="17"/>
  <c r="AD32" i="17" s="1"/>
  <c r="AE178" i="17"/>
  <c r="AD178" i="17" s="1"/>
  <c r="AE263" i="17"/>
  <c r="AD263" i="17" s="1"/>
  <c r="AE150" i="17"/>
  <c r="AD150" i="17" s="1"/>
  <c r="AE251" i="17"/>
  <c r="AD251" i="17" s="1"/>
  <c r="AE184" i="17"/>
  <c r="AD184" i="17" s="1"/>
  <c r="AE243" i="17"/>
  <c r="AD243" i="17" s="1"/>
  <c r="AE108" i="17"/>
  <c r="AD108" i="17" s="1"/>
  <c r="AE66" i="17"/>
  <c r="AD66" i="17" s="1"/>
  <c r="AE167" i="17"/>
  <c r="AD167" i="17" s="1"/>
  <c r="AE353" i="17"/>
  <c r="AD353" i="17" s="1"/>
  <c r="AE171" i="17"/>
  <c r="AD171" i="17" s="1"/>
  <c r="AE333" i="17"/>
  <c r="AD333" i="17" s="1"/>
  <c r="AE286" i="17"/>
  <c r="AD286" i="17" s="1"/>
  <c r="AE257" i="17"/>
  <c r="AD257" i="17" s="1"/>
  <c r="AE75" i="17"/>
  <c r="AD75" i="17" s="1"/>
  <c r="AE52" i="17"/>
  <c r="AD52" i="17" s="1"/>
  <c r="AE287" i="17"/>
  <c r="AD287" i="17" s="1"/>
  <c r="AE316" i="17"/>
  <c r="AD316" i="17" s="1"/>
  <c r="AE247" i="17"/>
  <c r="AD247" i="17" s="1"/>
  <c r="AE314" i="17"/>
  <c r="AD314" i="17" s="1"/>
  <c r="AE128" i="17"/>
  <c r="AD128" i="17" s="1"/>
  <c r="AE125" i="17"/>
  <c r="AD125" i="17" s="1"/>
  <c r="AE205" i="17"/>
  <c r="AD205" i="17" s="1"/>
  <c r="AE281" i="17"/>
  <c r="AD281" i="17" s="1"/>
  <c r="AE129" i="17"/>
  <c r="AD129" i="17" s="1"/>
  <c r="AE198" i="17"/>
  <c r="AD198" i="17" s="1"/>
  <c r="AE291" i="17"/>
  <c r="AD291" i="17" s="1"/>
  <c r="AE159" i="17"/>
  <c r="AD159" i="17" s="1"/>
  <c r="AE188" i="17"/>
  <c r="AD188" i="17" s="1"/>
  <c r="AE169" i="17"/>
  <c r="AD169" i="17" s="1"/>
  <c r="AE37" i="17"/>
  <c r="AD37" i="17" s="1"/>
  <c r="AE78" i="17"/>
  <c r="AD78" i="17" s="1"/>
  <c r="AE215" i="17"/>
  <c r="AD215" i="17" s="1"/>
  <c r="AE118" i="17"/>
  <c r="AD118" i="17" s="1"/>
  <c r="AE235" i="17"/>
  <c r="AD235" i="17" s="1"/>
  <c r="AE212" i="17"/>
  <c r="AD212" i="17" s="1"/>
  <c r="AE80" i="17"/>
  <c r="AD80" i="17" s="1"/>
  <c r="AE113" i="17"/>
  <c r="AD113" i="17" s="1"/>
  <c r="AE126" i="17"/>
  <c r="AD126" i="17" s="1"/>
  <c r="AE325" i="17"/>
  <c r="AD325" i="17" s="1"/>
  <c r="AE143" i="17"/>
  <c r="AD143" i="17" s="1"/>
  <c r="AE136" i="17"/>
  <c r="AD136" i="17" s="1"/>
  <c r="AE18" i="17"/>
  <c r="AD18" i="17" s="1"/>
  <c r="AE21" i="17"/>
  <c r="AD21" i="17" s="1"/>
  <c r="AE15" i="17"/>
  <c r="AE222" i="17"/>
  <c r="AD222" i="17" s="1"/>
  <c r="AE266" i="17"/>
  <c r="AD266" i="17" s="1"/>
  <c r="AE91" i="17"/>
  <c r="AD91" i="17" s="1"/>
  <c r="AE45" i="17"/>
  <c r="AD45" i="17" s="1"/>
  <c r="AE324" i="17"/>
  <c r="AD324" i="17" s="1"/>
  <c r="AE332" i="17"/>
  <c r="AD332" i="17" s="1"/>
  <c r="AE290" i="17"/>
  <c r="AD290" i="17" s="1"/>
  <c r="AE131" i="17"/>
  <c r="AD131" i="17" s="1"/>
  <c r="AE366" i="17"/>
  <c r="AD366" i="17" s="1"/>
  <c r="AE28" i="17"/>
  <c r="AD28" i="17" s="1"/>
  <c r="AE372" i="17"/>
  <c r="AD372" i="17" s="1"/>
  <c r="AE368" i="17"/>
  <c r="AD368" i="17" s="1"/>
  <c r="AE29" i="17"/>
  <c r="AD29" i="17" s="1"/>
  <c r="AE164" i="17"/>
  <c r="AD164" i="17" s="1"/>
  <c r="AE277" i="17"/>
  <c r="AD277" i="17" s="1"/>
  <c r="AE274" i="17"/>
  <c r="AD274" i="17" s="1"/>
  <c r="AE24" i="17"/>
  <c r="AD24" i="17" s="1"/>
  <c r="AE342" i="17"/>
  <c r="AD342" i="17" s="1"/>
  <c r="AE347" i="17"/>
  <c r="AD347" i="17" s="1"/>
  <c r="AE301" i="17"/>
  <c r="AD301" i="17" s="1"/>
  <c r="AE158" i="17"/>
  <c r="AD158" i="17" s="1"/>
  <c r="AE225" i="17"/>
  <c r="AD225" i="17" s="1"/>
  <c r="AA225" i="17" s="1"/>
  <c r="Z225" i="17" s="1"/>
  <c r="Y225" i="17" s="1"/>
  <c r="AE43" i="17"/>
  <c r="AD43" i="17" s="1"/>
  <c r="AE20" i="17"/>
  <c r="AD20" i="17" s="1"/>
  <c r="AE255" i="17"/>
  <c r="AD255" i="17" s="1"/>
  <c r="AE284" i="17"/>
  <c r="AD284" i="17" s="1"/>
  <c r="AE265" i="17"/>
  <c r="AD265" i="17" s="1"/>
  <c r="AE261" i="17"/>
  <c r="AD261" i="17" s="1"/>
  <c r="AE96" i="17"/>
  <c r="AD96" i="17" s="1"/>
  <c r="AE93" i="17"/>
  <c r="AD93" i="17" s="1"/>
  <c r="AE292" i="17"/>
  <c r="AD292" i="17" s="1"/>
  <c r="AE341" i="17"/>
  <c r="AD341" i="17" s="1"/>
  <c r="AE338" i="17"/>
  <c r="AD338" i="17" s="1"/>
  <c r="AE120" i="17"/>
  <c r="AD120" i="17" s="1"/>
  <c r="AE115" i="17"/>
  <c r="AD115" i="17" s="1"/>
  <c r="AE44" i="17"/>
  <c r="AD44" i="17" s="1"/>
  <c r="AE365" i="17"/>
  <c r="AD365" i="17" s="1"/>
  <c r="AE39" i="17"/>
  <c r="AD39" i="17" s="1"/>
  <c r="AE161" i="17"/>
  <c r="AD161" i="17" s="1"/>
  <c r="AE211" i="17"/>
  <c r="AD211" i="17" s="1"/>
  <c r="AE117" i="17"/>
  <c r="AD117" i="17" s="1"/>
  <c r="AE114" i="17"/>
  <c r="AD114" i="17" s="1"/>
  <c r="AE135" i="17"/>
  <c r="AD135" i="17" s="1"/>
  <c r="AE362" i="17"/>
  <c r="AD362" i="17" s="1"/>
  <c r="AE187" i="17"/>
  <c r="AD187" i="17" s="1"/>
  <c r="AE141" i="17"/>
  <c r="AD141" i="17" s="1"/>
  <c r="AE153" i="17"/>
  <c r="AD153" i="17" s="1"/>
  <c r="AE65" i="17"/>
  <c r="AD65" i="17" s="1"/>
  <c r="AE46" i="17"/>
  <c r="AD46" i="17" s="1"/>
  <c r="AE227" i="17"/>
  <c r="AD227" i="17" s="1"/>
  <c r="AE223" i="17"/>
  <c r="AD223" i="17" s="1"/>
  <c r="AE363" i="17"/>
  <c r="AD363" i="17" s="1"/>
  <c r="AE340" i="17"/>
  <c r="AD340" i="17" s="1"/>
  <c r="AE208" i="17"/>
  <c r="AD208" i="17" s="1"/>
  <c r="AE241" i="17"/>
  <c r="AD241" i="17" s="1"/>
  <c r="AE23" i="17"/>
  <c r="AD23" i="17" s="1"/>
  <c r="AE90" i="17"/>
  <c r="AD90" i="17" s="1"/>
  <c r="AE271" i="17"/>
  <c r="AD271" i="17" s="1"/>
  <c r="AE264" i="17"/>
  <c r="AD264" i="17" s="1"/>
  <c r="AE275" i="17"/>
  <c r="AD275" i="17" s="1"/>
  <c r="AE149" i="17"/>
  <c r="AD149" i="17" s="1"/>
  <c r="AE146" i="17"/>
  <c r="AD146" i="17" s="1"/>
  <c r="AE77" i="17"/>
  <c r="AD77" i="17" s="1"/>
  <c r="AE25" i="17"/>
  <c r="AD25" i="17" s="1"/>
  <c r="AE364" i="17"/>
  <c r="AD364" i="17" s="1"/>
  <c r="AE322" i="17"/>
  <c r="AD322" i="17" s="1"/>
  <c r="AE163" i="17"/>
  <c r="AD163" i="17" s="1"/>
  <c r="AE31" i="17"/>
  <c r="AD31" i="17" s="1"/>
  <c r="AE60" i="17"/>
  <c r="AD60" i="17" s="1"/>
  <c r="AE41" i="17"/>
  <c r="AD41" i="17" s="1"/>
  <c r="AA41" i="17" s="1"/>
  <c r="Z41" i="17" s="1"/>
  <c r="Y41" i="17" s="1"/>
  <c r="AE272" i="17"/>
  <c r="AD272" i="17" s="1"/>
  <c r="AE305" i="17"/>
  <c r="AD305" i="17" s="1"/>
  <c r="AE87" i="17"/>
  <c r="AD87" i="17" s="1"/>
  <c r="AE26" i="17"/>
  <c r="AD26" i="17" s="1"/>
  <c r="AE335" i="17"/>
  <c r="AD335" i="17" s="1"/>
  <c r="AE328" i="17"/>
  <c r="AD328" i="17" s="1"/>
  <c r="AE36" i="17"/>
  <c r="AD36" i="17" s="1"/>
  <c r="AE213" i="17"/>
  <c r="AD213" i="17" s="1"/>
  <c r="AE210" i="17"/>
  <c r="AD210" i="17" s="1"/>
  <c r="AE327" i="17"/>
  <c r="AD327" i="17" s="1"/>
  <c r="AE214" i="17"/>
  <c r="AD214" i="17" s="1"/>
  <c r="AE283" i="17"/>
  <c r="AD283" i="17" s="1"/>
  <c r="AE237" i="17"/>
  <c r="AD237" i="17" s="1"/>
  <c r="AE345" i="17"/>
  <c r="AD345" i="17" s="1"/>
  <c r="AE289" i="17"/>
  <c r="AD289" i="17" s="1"/>
  <c r="AE297" i="17"/>
  <c r="AD297" i="17" s="1"/>
  <c r="AE165" i="17"/>
  <c r="AD165" i="17" s="1"/>
  <c r="AE334" i="17"/>
  <c r="AD334" i="17" s="1"/>
  <c r="AE343" i="17"/>
  <c r="AD343" i="17" s="1"/>
  <c r="AE282" i="17"/>
  <c r="AD282" i="17" s="1"/>
  <c r="AE224" i="17"/>
  <c r="AD224" i="17" s="1"/>
  <c r="AE221" i="17"/>
  <c r="AD221" i="17" s="1"/>
  <c r="AE185" i="17"/>
  <c r="AD185" i="17" s="1"/>
  <c r="AE106" i="17"/>
  <c r="AD106" i="17" s="1"/>
  <c r="AE230" i="17"/>
  <c r="AD230" i="17" s="1"/>
  <c r="AE248" i="17"/>
  <c r="AD248" i="17" s="1"/>
  <c r="AE371" i="17"/>
  <c r="AD371" i="17" s="1"/>
  <c r="AE172" i="17"/>
  <c r="AD172" i="17" s="1"/>
  <c r="AE130" i="17"/>
  <c r="AD130" i="17" s="1"/>
  <c r="AE295" i="17"/>
  <c r="AD295" i="17" s="1"/>
  <c r="AE302" i="17"/>
  <c r="AD302" i="17" s="1"/>
  <c r="AE16" i="17"/>
  <c r="AD16" i="17" s="1"/>
  <c r="AE361" i="17"/>
  <c r="AD361" i="17" s="1"/>
  <c r="AE229" i="17"/>
  <c r="AD229" i="17" s="1"/>
  <c r="AE47" i="17"/>
  <c r="AD47" i="17" s="1"/>
  <c r="AE40" i="17"/>
  <c r="AD40" i="17" s="1"/>
  <c r="AE246" i="17"/>
  <c r="AD246" i="17" s="1"/>
  <c r="AE288" i="17"/>
  <c r="AD288" i="17" s="1"/>
  <c r="AE285" i="17"/>
  <c r="AD285" i="17" s="1"/>
  <c r="AE313" i="17"/>
  <c r="AD313" i="17" s="1"/>
  <c r="AE170" i="17"/>
  <c r="AD170" i="17" s="1"/>
  <c r="AE358" i="17"/>
  <c r="AD358" i="17" s="1"/>
  <c r="AE312" i="17"/>
  <c r="AD312" i="17" s="1"/>
  <c r="AE132" i="17"/>
  <c r="AD132" i="17" s="1"/>
  <c r="AE236" i="17"/>
  <c r="AD236" i="17" s="1"/>
  <c r="AE194" i="17"/>
  <c r="AD194" i="17" s="1"/>
  <c r="AE35" i="17"/>
  <c r="AD35" i="17" s="1"/>
  <c r="AE174" i="17"/>
  <c r="AD174" i="17" s="1"/>
  <c r="AA174" i="17" s="1"/>
  <c r="Z174" i="17" s="1"/>
  <c r="Y174" i="17" s="1"/>
  <c r="AE299" i="17"/>
  <c r="AD299" i="17" s="1"/>
  <c r="AE276" i="17"/>
  <c r="AD276" i="17" s="1"/>
  <c r="AE144" i="17"/>
  <c r="AD144" i="17" s="1"/>
  <c r="AE177" i="17"/>
  <c r="AD177" i="17" s="1"/>
  <c r="AE254" i="17"/>
  <c r="AD254" i="17" s="1"/>
  <c r="AE154" i="17"/>
  <c r="AD154" i="17" s="1"/>
  <c r="I43" i="16"/>
  <c r="AC188" i="20"/>
  <c r="AC332" i="20"/>
  <c r="AC256" i="20"/>
  <c r="AC370" i="20"/>
  <c r="AC234" i="20"/>
  <c r="AC193" i="20"/>
  <c r="AC377" i="20"/>
  <c r="AC216" i="20"/>
  <c r="AC154" i="20"/>
  <c r="AC278" i="20"/>
  <c r="AC275" i="20"/>
  <c r="AC378" i="20"/>
  <c r="AC147" i="20"/>
  <c r="AC158" i="20"/>
  <c r="AC244" i="20"/>
  <c r="AC204" i="20"/>
  <c r="AC320" i="20"/>
  <c r="AC271" i="20"/>
  <c r="AC352" i="20"/>
  <c r="AC239" i="20"/>
  <c r="AC146" i="20"/>
  <c r="AC304" i="20"/>
  <c r="AC259" i="20"/>
  <c r="AC294" i="20"/>
  <c r="AC362" i="20"/>
  <c r="AC149" i="20"/>
  <c r="AC308" i="20"/>
  <c r="AC263" i="20"/>
  <c r="AC368" i="20"/>
  <c r="J271" i="15"/>
  <c r="J262" i="15"/>
  <c r="I215" i="16"/>
  <c r="AC318" i="20"/>
  <c r="AC261" i="20"/>
  <c r="AC272" i="20"/>
  <c r="AC371" i="20"/>
  <c r="J119" i="15"/>
  <c r="AC186" i="20"/>
  <c r="AC307" i="20"/>
  <c r="AC269" i="20"/>
  <c r="AC299" i="20"/>
  <c r="AC156" i="20"/>
  <c r="AC339" i="20"/>
  <c r="AC173" i="20"/>
  <c r="AC330" i="20"/>
  <c r="AC293" i="20"/>
  <c r="AC327" i="20"/>
  <c r="AC280" i="20"/>
  <c r="AC375" i="20"/>
  <c r="AC348" i="20"/>
  <c r="AC179" i="20"/>
  <c r="AC302" i="20"/>
  <c r="AC217" i="20"/>
  <c r="AC141" i="20"/>
  <c r="AC136" i="20"/>
  <c r="AC218" i="20"/>
  <c r="AC248" i="20"/>
  <c r="AC201" i="20"/>
  <c r="AC310" i="20"/>
  <c r="AC200" i="20"/>
  <c r="AC364" i="20"/>
  <c r="AC174" i="20"/>
  <c r="AC334" i="20"/>
  <c r="AC284" i="20"/>
  <c r="AC347" i="20"/>
  <c r="AC152" i="20"/>
  <c r="AC317" i="20"/>
  <c r="AC267" i="20"/>
  <c r="AC369" i="20"/>
  <c r="AC177" i="20"/>
  <c r="AC286" i="20"/>
  <c r="J83" i="15"/>
  <c r="J138" i="16"/>
  <c r="J251" i="16"/>
  <c r="AC374" i="20"/>
  <c r="I197" i="15"/>
  <c r="H197" i="16" s="1"/>
  <c r="I197" i="16" s="1"/>
  <c r="I78" i="15"/>
  <c r="H78" i="16" s="1"/>
  <c r="I78" i="16" s="1"/>
  <c r="J307" i="15"/>
  <c r="J308" i="15"/>
  <c r="J308" i="16" s="1"/>
  <c r="C63" i="19"/>
  <c r="J93" i="16"/>
  <c r="J37" i="15"/>
  <c r="I161" i="15"/>
  <c r="H161" i="16" s="1"/>
  <c r="J161" i="16" s="1"/>
  <c r="I325" i="15"/>
  <c r="H325" i="16" s="1"/>
  <c r="I325" i="16" s="1"/>
  <c r="AA379" i="1"/>
  <c r="Z379" i="1" s="1"/>
  <c r="Y379" i="1" s="1"/>
  <c r="J53" i="16"/>
  <c r="J315" i="15"/>
  <c r="J31" i="15"/>
  <c r="J31" i="16" s="1"/>
  <c r="H302" i="15"/>
  <c r="I302" i="15" s="1"/>
  <c r="H302" i="16" s="1"/>
  <c r="K62" i="19"/>
  <c r="J188" i="15"/>
  <c r="I188" i="15"/>
  <c r="H188" i="16" s="1"/>
  <c r="I188" i="16" s="1"/>
  <c r="I318" i="15"/>
  <c r="H318" i="16" s="1"/>
  <c r="I318" i="16" s="1"/>
  <c r="H106" i="16"/>
  <c r="I106" i="16" s="1"/>
  <c r="I356" i="15"/>
  <c r="H356" i="16" s="1"/>
  <c r="I356" i="16" s="1"/>
  <c r="J342" i="15"/>
  <c r="I379" i="1"/>
  <c r="H379" i="15" s="1"/>
  <c r="J368" i="15"/>
  <c r="J368" i="16" s="1"/>
  <c r="I44" i="16"/>
  <c r="I245" i="16"/>
  <c r="J172" i="16"/>
  <c r="J20" i="16"/>
  <c r="J178" i="16"/>
  <c r="AC383" i="18"/>
  <c r="J101" i="15"/>
  <c r="J101" i="16" s="1"/>
  <c r="I237" i="15"/>
  <c r="H237" i="16" s="1"/>
  <c r="I237" i="16" s="1"/>
  <c r="I39" i="15"/>
  <c r="H39" i="16" s="1"/>
  <c r="I39" i="16" s="1"/>
  <c r="J162" i="15"/>
  <c r="J111" i="16"/>
  <c r="I247" i="16"/>
  <c r="AA379" i="16"/>
  <c r="Z379" i="16" s="1"/>
  <c r="Y379" i="16" s="1"/>
  <c r="I298" i="15"/>
  <c r="H298" i="16" s="1"/>
  <c r="I298" i="16" s="1"/>
  <c r="I147" i="15"/>
  <c r="H147" i="16" s="1"/>
  <c r="I147" i="16" s="1"/>
  <c r="AA302" i="16"/>
  <c r="Z302" i="16" s="1"/>
  <c r="Y302" i="16" s="1"/>
  <c r="J186" i="15"/>
  <c r="H339" i="16"/>
  <c r="I339" i="16" s="1"/>
  <c r="H167" i="16"/>
  <c r="I167" i="16" s="1"/>
  <c r="J353" i="15"/>
  <c r="J353" i="16" s="1"/>
  <c r="J128" i="16"/>
  <c r="J18" i="16"/>
  <c r="J380" i="16"/>
  <c r="J380" i="17" s="1"/>
  <c r="J380" i="18" s="1"/>
  <c r="C380" i="6" s="1"/>
  <c r="C13" i="19"/>
  <c r="F37" i="19"/>
  <c r="C14" i="19"/>
  <c r="F38" i="19"/>
  <c r="AC198" i="20"/>
  <c r="AC312" i="20"/>
  <c r="AC190" i="20"/>
  <c r="AC277" i="20"/>
  <c r="AC166" i="20"/>
  <c r="AC230" i="20"/>
  <c r="AC314" i="20"/>
  <c r="AC223" i="20"/>
  <c r="AC358" i="20"/>
  <c r="AC254" i="20"/>
  <c r="AC361" i="20"/>
  <c r="AC233" i="20"/>
  <c r="AC138" i="20"/>
  <c r="AC281" i="20"/>
  <c r="AC167" i="20"/>
  <c r="AC285" i="20"/>
  <c r="AC157" i="20"/>
  <c r="AC222" i="20"/>
  <c r="AC324" i="20"/>
  <c r="AC211" i="20"/>
  <c r="AC321" i="20"/>
  <c r="AC182" i="20"/>
  <c r="AC246" i="20"/>
  <c r="AC357" i="20"/>
  <c r="AC309" i="20"/>
  <c r="AC139" i="20"/>
  <c r="AC290" i="20"/>
  <c r="AC228" i="20"/>
  <c r="AC135" i="20"/>
  <c r="AC164" i="20"/>
  <c r="AC297" i="20"/>
  <c r="AC202" i="20"/>
  <c r="AC342" i="20"/>
  <c r="AC183" i="20"/>
  <c r="AC237" i="20"/>
  <c r="AC343" i="20"/>
  <c r="AC171" i="20"/>
  <c r="AC373" i="20"/>
  <c r="AC262" i="20"/>
  <c r="AC340" i="20"/>
  <c r="AC194" i="20"/>
  <c r="AC305" i="20"/>
  <c r="AC162" i="20"/>
  <c r="AC274" i="20"/>
  <c r="AC161" i="20"/>
  <c r="AC224" i="20"/>
  <c r="AC311" i="20"/>
  <c r="AC212" i="20"/>
  <c r="AC354" i="20"/>
  <c r="AC250" i="20"/>
  <c r="AC353" i="20"/>
  <c r="AC219" i="20"/>
  <c r="AC379" i="20"/>
  <c r="AC276" i="20"/>
  <c r="AC148" i="20"/>
  <c r="AC279" i="20"/>
  <c r="AC150" i="20"/>
  <c r="AC220" i="20"/>
  <c r="AC322" i="20"/>
  <c r="AC208" i="20"/>
  <c r="AC313" i="20"/>
  <c r="AC180" i="20"/>
  <c r="AC245" i="20"/>
  <c r="AC350" i="20"/>
  <c r="AC301" i="20"/>
  <c r="AC376" i="20"/>
  <c r="AC287" i="20"/>
  <c r="AC337" i="20"/>
  <c r="AC159" i="20"/>
  <c r="AC295" i="20"/>
  <c r="AC195" i="20"/>
  <c r="AC331" i="20"/>
  <c r="AC178" i="20"/>
  <c r="AC235" i="20"/>
  <c r="AC341" i="20"/>
  <c r="AC165" i="20"/>
  <c r="AC372" i="20"/>
  <c r="AC257" i="20"/>
  <c r="AC336" i="20"/>
  <c r="AC191" i="20"/>
  <c r="AC300" i="20"/>
  <c r="AC160" i="20"/>
  <c r="AC270" i="20"/>
  <c r="AC155" i="20"/>
  <c r="AC221" i="20"/>
  <c r="AC226" i="20"/>
  <c r="AC265" i="20"/>
  <c r="AC360" i="20"/>
  <c r="AC176" i="20"/>
  <c r="AC345" i="20"/>
  <c r="AC238" i="20"/>
  <c r="AC184" i="20"/>
  <c r="AC355" i="20"/>
  <c r="AC214" i="20"/>
  <c r="AC303" i="20"/>
  <c r="AC203" i="20"/>
  <c r="AC137" i="20"/>
  <c r="AC240" i="20"/>
  <c r="AC291" i="20"/>
  <c r="AC153" i="20"/>
  <c r="AC326" i="20"/>
  <c r="AC359" i="20"/>
  <c r="AC249" i="20"/>
  <c r="AC351" i="20"/>
  <c r="AC215" i="20"/>
  <c r="AC325" i="20"/>
  <c r="AC225" i="20"/>
  <c r="AC163" i="20"/>
  <c r="AC289" i="20"/>
  <c r="AC168" i="20"/>
  <c r="AC283" i="20"/>
  <c r="AC145" i="20"/>
  <c r="AC258" i="20"/>
  <c r="AC260" i="20"/>
  <c r="AC363" i="20"/>
  <c r="AC229" i="20"/>
  <c r="AC323" i="20"/>
  <c r="AC231" i="20"/>
  <c r="AC169" i="20"/>
  <c r="AC282" i="20"/>
  <c r="AC192" i="20"/>
  <c r="AC316" i="20"/>
  <c r="AC199" i="20"/>
  <c r="AC253" i="20"/>
  <c r="AC268" i="20"/>
  <c r="AC366" i="20"/>
  <c r="AC346" i="20"/>
  <c r="AC185" i="20"/>
  <c r="AC356" i="20"/>
  <c r="AC207" i="20"/>
  <c r="AC142" i="20"/>
  <c r="AC181" i="20"/>
  <c r="AC328" i="20"/>
  <c r="AC251" i="20"/>
  <c r="AC333" i="20"/>
  <c r="AC296" i="20"/>
  <c r="AC288" i="20"/>
  <c r="AC241" i="20"/>
  <c r="AC236" i="20"/>
  <c r="AC175" i="20"/>
  <c r="AC196" i="20"/>
  <c r="AC205" i="20"/>
  <c r="AC134" i="20"/>
  <c r="AC206" i="20"/>
  <c r="AC243" i="20"/>
  <c r="AC151" i="20"/>
  <c r="AC306" i="20"/>
  <c r="AC266" i="20"/>
  <c r="AC298" i="20"/>
  <c r="AC143" i="20"/>
  <c r="AC338" i="20"/>
  <c r="AC172" i="20"/>
  <c r="AC315" i="20"/>
  <c r="AC292" i="20"/>
  <c r="AC252" i="20"/>
  <c r="AC242" i="20"/>
  <c r="AC197" i="20"/>
  <c r="AC210" i="20"/>
  <c r="AC140" i="20"/>
  <c r="AC209" i="20"/>
  <c r="AC247" i="20"/>
  <c r="AC381" i="18"/>
  <c r="I275" i="16"/>
  <c r="AC382" i="18"/>
  <c r="AA106" i="16"/>
  <c r="Z106" i="16" s="1"/>
  <c r="Y106" i="16" s="1"/>
  <c r="J221" i="16"/>
  <c r="I259" i="15"/>
  <c r="H259" i="16" s="1"/>
  <c r="I259" i="16" s="1"/>
  <c r="J259" i="15"/>
  <c r="J204" i="15"/>
  <c r="I204" i="15"/>
  <c r="H204" i="16" s="1"/>
  <c r="J204" i="16" s="1"/>
  <c r="I201" i="15"/>
  <c r="H201" i="16" s="1"/>
  <c r="I201" i="16" s="1"/>
  <c r="J201" i="15"/>
  <c r="J218" i="15"/>
  <c r="I218" i="15"/>
  <c r="H218" i="16" s="1"/>
  <c r="I218" i="16" s="1"/>
  <c r="J63" i="15"/>
  <c r="I63" i="15"/>
  <c r="H63" i="16" s="1"/>
  <c r="I63" i="16" s="1"/>
  <c r="U383" i="17"/>
  <c r="G167" i="16"/>
  <c r="BY167" i="6" s="1"/>
  <c r="J185" i="16"/>
  <c r="I115" i="15"/>
  <c r="H115" i="16" s="1"/>
  <c r="I115" i="16" s="1"/>
  <c r="J115" i="15"/>
  <c r="J125" i="15"/>
  <c r="I125" i="15"/>
  <c r="H125" i="16" s="1"/>
  <c r="I248" i="15"/>
  <c r="H248" i="16" s="1"/>
  <c r="I248" i="16" s="1"/>
  <c r="J248" i="15"/>
  <c r="I90" i="15"/>
  <c r="H90" i="16" s="1"/>
  <c r="I90" i="16" s="1"/>
  <c r="J90" i="15"/>
  <c r="J169" i="16"/>
  <c r="J58" i="16"/>
  <c r="I170" i="16"/>
  <c r="J129" i="16"/>
  <c r="J261" i="16"/>
  <c r="J225" i="15"/>
  <c r="I225" i="15"/>
  <c r="H225" i="16" s="1"/>
  <c r="J225" i="16" s="1"/>
  <c r="J131" i="15"/>
  <c r="I131" i="15"/>
  <c r="H131" i="16" s="1"/>
  <c r="I131" i="16" s="1"/>
  <c r="AG382" i="16"/>
  <c r="AF15" i="16"/>
  <c r="AG383" i="16"/>
  <c r="AG381" i="16"/>
  <c r="AB11" i="7"/>
  <c r="U11" i="18" s="1"/>
  <c r="U10" i="18" s="1"/>
  <c r="AJ13" i="16"/>
  <c r="AH379" i="17"/>
  <c r="AG379" i="17" s="1"/>
  <c r="AF379" i="17" s="1"/>
  <c r="AI12" i="18"/>
  <c r="AI382" i="17"/>
  <c r="AI383" i="17"/>
  <c r="AI381" i="17"/>
  <c r="AH15" i="17"/>
  <c r="J163" i="16"/>
  <c r="I96" i="16"/>
  <c r="J236" i="16"/>
  <c r="I186" i="16"/>
  <c r="AA346" i="16"/>
  <c r="Z346" i="16" s="1"/>
  <c r="Y346" i="16" s="1"/>
  <c r="H328" i="16"/>
  <c r="I328" i="16" s="1"/>
  <c r="J49" i="16"/>
  <c r="J243" i="16"/>
  <c r="J255" i="16"/>
  <c r="AA60" i="16"/>
  <c r="Z60" i="16" s="1"/>
  <c r="Y60" i="16" s="1"/>
  <c r="AA161" i="16"/>
  <c r="Z161" i="16" s="1"/>
  <c r="Y161" i="16" s="1"/>
  <c r="AA90" i="16"/>
  <c r="Z90" i="16" s="1"/>
  <c r="Y90" i="16" s="1"/>
  <c r="AA328" i="16"/>
  <c r="Z328" i="16" s="1"/>
  <c r="Y328" i="16" s="1"/>
  <c r="H109" i="16"/>
  <c r="J109" i="16" s="1"/>
  <c r="AA272" i="16"/>
  <c r="Z272" i="16" s="1"/>
  <c r="Y272" i="16" s="1"/>
  <c r="AA224" i="16"/>
  <c r="Z224" i="16" s="1"/>
  <c r="Y224" i="16" s="1"/>
  <c r="AA354" i="16"/>
  <c r="Z354" i="16" s="1"/>
  <c r="Y354" i="16" s="1"/>
  <c r="J48" i="16"/>
  <c r="J141" i="16"/>
  <c r="J179" i="16"/>
  <c r="AA349" i="16"/>
  <c r="Z349" i="16" s="1"/>
  <c r="Y349" i="16" s="1"/>
  <c r="AA59" i="16"/>
  <c r="Z59" i="16" s="1"/>
  <c r="Y59" i="16" s="1"/>
  <c r="J250" i="16"/>
  <c r="AA28" i="16"/>
  <c r="Z28" i="16" s="1"/>
  <c r="Y28" i="16" s="1"/>
  <c r="AA108" i="16"/>
  <c r="Z108" i="16" s="1"/>
  <c r="Y108" i="16" s="1"/>
  <c r="J205" i="16"/>
  <c r="H28" i="16"/>
  <c r="J28" i="16" s="1"/>
  <c r="H224" i="16"/>
  <c r="I224" i="16" s="1"/>
  <c r="J266" i="16"/>
  <c r="AA339" i="16"/>
  <c r="Z339" i="16" s="1"/>
  <c r="Y339" i="16" s="1"/>
  <c r="AA204" i="16"/>
  <c r="Z204" i="16" s="1"/>
  <c r="Y204" i="16" s="1"/>
  <c r="AA225" i="16"/>
  <c r="Z225" i="16" s="1"/>
  <c r="Y225" i="16" s="1"/>
  <c r="AA137" i="16"/>
  <c r="Z137" i="16" s="1"/>
  <c r="Y137" i="16" s="1"/>
  <c r="G109" i="16"/>
  <c r="BY109" i="6" s="1"/>
  <c r="AA109" i="16"/>
  <c r="Z109" i="16" s="1"/>
  <c r="Y109" i="16" s="1"/>
  <c r="I309" i="1"/>
  <c r="H309" i="15" s="1"/>
  <c r="I198" i="15"/>
  <c r="H198" i="16" s="1"/>
  <c r="I198" i="16" s="1"/>
  <c r="J168" i="16"/>
  <c r="J99" i="16"/>
  <c r="J284" i="16"/>
  <c r="J17" i="16"/>
  <c r="I299" i="15"/>
  <c r="H299" i="16" s="1"/>
  <c r="J299" i="16" s="1"/>
  <c r="I370" i="16"/>
  <c r="J77" i="16"/>
  <c r="J228" i="16"/>
  <c r="I25" i="15"/>
  <c r="H25" i="16" s="1"/>
  <c r="I25" i="16" s="1"/>
  <c r="I75" i="16"/>
  <c r="J62" i="19"/>
  <c r="AA363" i="16"/>
  <c r="Z363" i="16" s="1"/>
  <c r="Y363" i="16" s="1"/>
  <c r="J335" i="16"/>
  <c r="H214" i="15"/>
  <c r="J214" i="15" s="1"/>
  <c r="I284" i="16"/>
  <c r="J35" i="16"/>
  <c r="J372" i="16"/>
  <c r="J181" i="16"/>
  <c r="J206" i="16"/>
  <c r="H287" i="16"/>
  <c r="I287" i="16" s="1"/>
  <c r="AA269" i="16"/>
  <c r="Z269" i="16" s="1"/>
  <c r="Y269" i="16" s="1"/>
  <c r="I281" i="16"/>
  <c r="I63" i="19"/>
  <c r="H73" i="16"/>
  <c r="I73" i="16" s="1"/>
  <c r="H61" i="19"/>
  <c r="I105" i="15"/>
  <c r="H105" i="16" s="1"/>
  <c r="J105" i="15"/>
  <c r="J281" i="15"/>
  <c r="AA292" i="16"/>
  <c r="Z292" i="16" s="1"/>
  <c r="Y292" i="16" s="1"/>
  <c r="AA113" i="16"/>
  <c r="Z113" i="16" s="1"/>
  <c r="Y113" i="16" s="1"/>
  <c r="AA321" i="16"/>
  <c r="Z321" i="16" s="1"/>
  <c r="Y321" i="16" s="1"/>
  <c r="AA214" i="15"/>
  <c r="Z214" i="15" s="1"/>
  <c r="Y214" i="15" s="1"/>
  <c r="J207" i="16"/>
  <c r="I337" i="16"/>
  <c r="J337" i="16"/>
  <c r="G309" i="1"/>
  <c r="BW309" i="6" s="1"/>
  <c r="J334" i="16"/>
  <c r="H343" i="16"/>
  <c r="J343" i="16" s="1"/>
  <c r="AA269" i="15"/>
  <c r="Z269" i="15" s="1"/>
  <c r="Y269" i="15" s="1"/>
  <c r="I310" i="15"/>
  <c r="H310" i="16" s="1"/>
  <c r="J310" i="16" s="1"/>
  <c r="H119" i="16"/>
  <c r="J119" i="16" s="1"/>
  <c r="AA76" i="16"/>
  <c r="Z76" i="16" s="1"/>
  <c r="Y76" i="16" s="1"/>
  <c r="M62" i="19"/>
  <c r="K61" i="19"/>
  <c r="G269" i="15"/>
  <c r="BX269" i="6" s="1"/>
  <c r="H114" i="16"/>
  <c r="I114" i="16" s="1"/>
  <c r="AC10" i="22"/>
  <c r="AC204" i="22" s="1"/>
  <c r="AC16" i="22"/>
  <c r="AC73" i="22"/>
  <c r="AC115" i="22"/>
  <c r="AC101" i="22"/>
  <c r="AC15" i="22"/>
  <c r="AC57" i="22"/>
  <c r="AC49" i="22"/>
  <c r="AC116" i="22"/>
  <c r="AC127" i="22"/>
  <c r="AC26" i="22"/>
  <c r="AC80" i="22"/>
  <c r="AC130" i="22"/>
  <c r="AC27" i="22"/>
  <c r="AC83" i="22"/>
  <c r="AC134" i="22"/>
  <c r="AC28" i="22"/>
  <c r="AC70" i="22"/>
  <c r="AC91" i="22"/>
  <c r="AC132" i="22"/>
  <c r="AC290" i="22"/>
  <c r="AC34" i="22"/>
  <c r="AC55" i="22"/>
  <c r="AC56" i="22"/>
  <c r="AC47" i="22"/>
  <c r="AC24" i="22"/>
  <c r="AC109" i="22"/>
  <c r="AC60" i="22"/>
  <c r="AC107" i="22"/>
  <c r="AC51" i="22"/>
  <c r="AC90" i="22"/>
  <c r="AC119" i="22"/>
  <c r="AC44" i="22"/>
  <c r="AC17" i="22"/>
  <c r="AC104" i="22"/>
  <c r="AC54" i="22"/>
  <c r="AC95" i="22"/>
  <c r="AC65" i="22"/>
  <c r="AC108" i="22"/>
  <c r="AC64" i="22"/>
  <c r="AC50" i="22"/>
  <c r="AC40" i="22"/>
  <c r="AC125" i="22"/>
  <c r="AC99" i="22"/>
  <c r="AC93" i="22"/>
  <c r="AC38" i="22"/>
  <c r="AC79" i="22"/>
  <c r="AC96" i="22"/>
  <c r="AC67" i="22"/>
  <c r="AC111" i="22"/>
  <c r="AC202" i="22"/>
  <c r="AC120" i="22"/>
  <c r="AC308" i="22"/>
  <c r="AC52" i="22"/>
  <c r="AC42" i="22"/>
  <c r="AC128" i="22"/>
  <c r="AC106" i="22"/>
  <c r="AC105" i="22"/>
  <c r="AC19" i="22"/>
  <c r="AC77" i="22"/>
  <c r="AC122" i="22"/>
  <c r="AC110" i="22"/>
  <c r="AC276" i="22"/>
  <c r="AC21" i="22"/>
  <c r="AC62" i="22"/>
  <c r="AC68" i="22"/>
  <c r="AC118" i="22"/>
  <c r="AC18" i="22"/>
  <c r="AC74" i="22"/>
  <c r="AC89" i="22"/>
  <c r="AC129" i="22"/>
  <c r="AC39" i="22"/>
  <c r="AC81" i="22"/>
  <c r="AC102" i="22"/>
  <c r="AC58" i="22"/>
  <c r="AC97" i="22"/>
  <c r="AC43" i="22"/>
  <c r="AC59" i="22"/>
  <c r="AC100" i="22"/>
  <c r="AC61" i="22"/>
  <c r="AC48" i="22"/>
  <c r="AC32" i="22"/>
  <c r="AC113" i="22"/>
  <c r="AC87" i="22"/>
  <c r="AC85" i="22"/>
  <c r="AC69" i="22"/>
  <c r="AC114" i="22"/>
  <c r="AC20" i="22"/>
  <c r="AC131" i="22"/>
  <c r="AC25" i="22"/>
  <c r="AC66" i="22"/>
  <c r="AC76" i="22"/>
  <c r="AC124" i="22"/>
  <c r="AC23" i="22"/>
  <c r="AC78" i="22"/>
  <c r="AC123" i="22"/>
  <c r="AC22" i="22"/>
  <c r="AC63" i="22"/>
  <c r="AC72" i="22"/>
  <c r="AC121" i="22"/>
  <c r="AC30" i="22"/>
  <c r="AC84" i="22"/>
  <c r="AC140" i="22"/>
  <c r="AC31" i="22"/>
  <c r="AC71" i="22"/>
  <c r="AC92" i="22"/>
  <c r="AC346" i="22"/>
  <c r="AC53" i="22"/>
  <c r="AC46" i="22"/>
  <c r="AC133" i="22"/>
  <c r="AC112" i="22"/>
  <c r="AC117" i="22"/>
  <c r="AC33" i="22"/>
  <c r="AC35" i="22"/>
  <c r="AC288" i="22"/>
  <c r="AC37" i="22"/>
  <c r="AC197" i="22"/>
  <c r="AC36" i="22"/>
  <c r="AC75" i="22"/>
  <c r="AC94" i="22"/>
  <c r="AC292" i="22"/>
  <c r="AC126" i="22"/>
  <c r="AC269" i="22"/>
  <c r="AC29" i="22"/>
  <c r="AC82" i="22"/>
  <c r="AC98" i="22"/>
  <c r="AC41" i="22"/>
  <c r="AC86" i="22"/>
  <c r="AC103" i="22"/>
  <c r="AC45" i="22"/>
  <c r="AC189" i="22"/>
  <c r="AC88" i="22"/>
  <c r="AC303" i="22"/>
  <c r="G73" i="16"/>
  <c r="BY73" i="6" s="1"/>
  <c r="AA73" i="16"/>
  <c r="Z73" i="16" s="1"/>
  <c r="Y73" i="16" s="1"/>
  <c r="G301" i="16"/>
  <c r="BY301" i="6" s="1"/>
  <c r="AA301" i="16"/>
  <c r="Z301" i="16" s="1"/>
  <c r="Y301" i="16" s="1"/>
  <c r="G287" i="16"/>
  <c r="BY287" i="6" s="1"/>
  <c r="AA287" i="16"/>
  <c r="Z287" i="16" s="1"/>
  <c r="Y287" i="16" s="1"/>
  <c r="I229" i="16"/>
  <c r="J229" i="16"/>
  <c r="G119" i="16"/>
  <c r="BY119" i="6" s="1"/>
  <c r="AA119" i="16"/>
  <c r="Z119" i="16" s="1"/>
  <c r="Y119" i="16" s="1"/>
  <c r="G343" i="16"/>
  <c r="BY343" i="6" s="1"/>
  <c r="AA343" i="16"/>
  <c r="Z343" i="16" s="1"/>
  <c r="Y343" i="16" s="1"/>
  <c r="G352" i="16"/>
  <c r="BY352" i="6" s="1"/>
  <c r="AA352" i="16"/>
  <c r="Z352" i="16" s="1"/>
  <c r="Y352" i="16" s="1"/>
  <c r="G114" i="16"/>
  <c r="BY114" i="6" s="1"/>
  <c r="AA114" i="16"/>
  <c r="Z114" i="16" s="1"/>
  <c r="Y114" i="16" s="1"/>
  <c r="J127" i="16"/>
  <c r="I127" i="16"/>
  <c r="J151" i="16"/>
  <c r="I151" i="16"/>
  <c r="G62" i="19"/>
  <c r="J288" i="15"/>
  <c r="I288" i="15"/>
  <c r="H288" i="16" s="1"/>
  <c r="J288" i="16" s="1"/>
  <c r="D62" i="19"/>
  <c r="R383" i="16"/>
  <c r="R382" i="16"/>
  <c r="R381" i="16"/>
  <c r="P15" i="16"/>
  <c r="I97" i="16"/>
  <c r="J97" i="16"/>
  <c r="S15" i="17"/>
  <c r="I231" i="16"/>
  <c r="J231" i="16"/>
  <c r="G177" i="16"/>
  <c r="BY177" i="6" s="1"/>
  <c r="AA177" i="16"/>
  <c r="Z177" i="16" s="1"/>
  <c r="Y177" i="16" s="1"/>
  <c r="F166" i="15"/>
  <c r="H166" i="15" s="1"/>
  <c r="F364" i="15"/>
  <c r="AA364" i="15" s="1"/>
  <c r="Z364" i="15" s="1"/>
  <c r="Y364" i="15" s="1"/>
  <c r="F88" i="16"/>
  <c r="G88" i="16" s="1"/>
  <c r="BY88" i="6" s="1"/>
  <c r="H46" i="15"/>
  <c r="G46" i="15"/>
  <c r="BX46" i="6" s="1"/>
  <c r="AA46" i="15"/>
  <c r="Z46" i="15" s="1"/>
  <c r="Y46" i="15" s="1"/>
  <c r="G241" i="16"/>
  <c r="BY241" i="6" s="1"/>
  <c r="AA241" i="16"/>
  <c r="Z241" i="16" s="1"/>
  <c r="Y241" i="16" s="1"/>
  <c r="AA322" i="15"/>
  <c r="Z322" i="15" s="1"/>
  <c r="Y322" i="15" s="1"/>
  <c r="G322" i="15"/>
  <c r="BX322" i="6" s="1"/>
  <c r="H322" i="15"/>
  <c r="G274" i="15"/>
  <c r="BX274" i="6" s="1"/>
  <c r="AA274" i="15"/>
  <c r="Z274" i="15" s="1"/>
  <c r="Y274" i="15" s="1"/>
  <c r="H274" i="15"/>
  <c r="I37" i="16"/>
  <c r="J37" i="16"/>
  <c r="J132" i="15"/>
  <c r="I132" i="15"/>
  <c r="H132" i="16" s="1"/>
  <c r="J19" i="15"/>
  <c r="I19" i="15"/>
  <c r="H19" i="16" s="1"/>
  <c r="J174" i="15"/>
  <c r="I174" i="15"/>
  <c r="H174" i="16" s="1"/>
  <c r="AA74" i="15"/>
  <c r="Z74" i="15" s="1"/>
  <c r="Y74" i="15" s="1"/>
  <c r="G74" i="15"/>
  <c r="BX74" i="6" s="1"/>
  <c r="H74" i="15"/>
  <c r="I21" i="15"/>
  <c r="H21" i="16" s="1"/>
  <c r="J21" i="15"/>
  <c r="J256" i="15"/>
  <c r="I256" i="15"/>
  <c r="H256" i="16" s="1"/>
  <c r="J102" i="16"/>
  <c r="I102" i="16"/>
  <c r="I84" i="16"/>
  <c r="J84" i="16"/>
  <c r="J336" i="15"/>
  <c r="I336" i="15"/>
  <c r="H336" i="16" s="1"/>
  <c r="F62" i="19"/>
  <c r="J107" i="15"/>
  <c r="I107" i="15"/>
  <c r="H107" i="16" s="1"/>
  <c r="I177" i="15"/>
  <c r="H177" i="16" s="1"/>
  <c r="J177" i="15"/>
  <c r="I265" i="15"/>
  <c r="H265" i="16" s="1"/>
  <c r="J265" i="15"/>
  <c r="J120" i="15"/>
  <c r="I120" i="15"/>
  <c r="H120" i="16" s="1"/>
  <c r="J282" i="15"/>
  <c r="I282" i="15"/>
  <c r="H282" i="16" s="1"/>
  <c r="J223" i="16"/>
  <c r="I223" i="16"/>
  <c r="I291" i="15"/>
  <c r="H291" i="16" s="1"/>
  <c r="J291" i="15"/>
  <c r="J272" i="15"/>
  <c r="I272" i="15"/>
  <c r="H272" i="16" s="1"/>
  <c r="J209" i="16"/>
  <c r="I209" i="16"/>
  <c r="I267" i="15"/>
  <c r="H267" i="16" s="1"/>
  <c r="J267" i="15"/>
  <c r="J352" i="15"/>
  <c r="I352" i="15"/>
  <c r="H352" i="16" s="1"/>
  <c r="H37" i="27"/>
  <c r="P72" i="27"/>
  <c r="G35" i="27" s="1"/>
  <c r="G36" i="27"/>
  <c r="AE71" i="27"/>
  <c r="G29" i="16"/>
  <c r="BY29" i="6" s="1"/>
  <c r="F242" i="15"/>
  <c r="AA242" i="15" s="1"/>
  <c r="Z242" i="15" s="1"/>
  <c r="Y242" i="15" s="1"/>
  <c r="F296" i="1"/>
  <c r="G296" i="1" s="1"/>
  <c r="BW296" i="6" s="1"/>
  <c r="F321" i="1"/>
  <c r="AA321" i="1" s="1"/>
  <c r="L61" i="19"/>
  <c r="J297" i="15"/>
  <c r="I297" i="15"/>
  <c r="H297" i="16" s="1"/>
  <c r="I368" i="16"/>
  <c r="G61" i="19"/>
  <c r="I357" i="16"/>
  <c r="L62" i="19"/>
  <c r="L63" i="19"/>
  <c r="M63" i="19"/>
  <c r="AA242" i="16"/>
  <c r="Z242" i="16" s="1"/>
  <c r="Y242" i="16" s="1"/>
  <c r="I92" i="15"/>
  <c r="H92" i="16" s="1"/>
  <c r="I92" i="16" s="1"/>
  <c r="J92" i="15"/>
  <c r="F76" i="15"/>
  <c r="AA76" i="15" s="1"/>
  <c r="Z76" i="15" s="1"/>
  <c r="Y76" i="15" s="1"/>
  <c r="F180" i="16"/>
  <c r="G180" i="16" s="1"/>
  <c r="BY180" i="6" s="1"/>
  <c r="G63" i="19"/>
  <c r="F66" i="15"/>
  <c r="H66" i="15" s="1"/>
  <c r="C62" i="19"/>
  <c r="F63" i="19"/>
  <c r="F277" i="15"/>
  <c r="H277" i="15" s="1"/>
  <c r="I210" i="15"/>
  <c r="J210" i="15"/>
  <c r="M61" i="19"/>
  <c r="J24" i="16"/>
  <c r="I24" i="16"/>
  <c r="J279" i="16"/>
  <c r="I279" i="16"/>
  <c r="I217" i="16"/>
  <c r="J217" i="16"/>
  <c r="J162" i="16"/>
  <c r="I162" i="16"/>
  <c r="AA149" i="15"/>
  <c r="Z149" i="15" s="1"/>
  <c r="Y149" i="15" s="1"/>
  <c r="G149" i="15"/>
  <c r="BX149" i="6" s="1"/>
  <c r="H149" i="15"/>
  <c r="G331" i="15"/>
  <c r="BX331" i="6" s="1"/>
  <c r="AA331" i="15"/>
  <c r="Z331" i="15" s="1"/>
  <c r="Y331" i="15" s="1"/>
  <c r="J213" i="16"/>
  <c r="I213" i="16"/>
  <c r="AA364" i="1"/>
  <c r="Z364" i="1" s="1"/>
  <c r="Y364" i="1" s="1"/>
  <c r="I364" i="1"/>
  <c r="G364" i="1"/>
  <c r="BW364" i="6" s="1"/>
  <c r="G365" i="1"/>
  <c r="BW365" i="6" s="1"/>
  <c r="AA365" i="1"/>
  <c r="Z365" i="1" s="1"/>
  <c r="Y365" i="1" s="1"/>
  <c r="I365" i="1"/>
  <c r="H365" i="15" s="1"/>
  <c r="G332" i="1"/>
  <c r="BW332" i="6" s="1"/>
  <c r="AA332" i="1"/>
  <c r="Z332" i="1" s="1"/>
  <c r="Y332" i="1" s="1"/>
  <c r="I332" i="1"/>
  <c r="H332" i="15" s="1"/>
  <c r="AA292" i="1"/>
  <c r="Z292" i="1" s="1"/>
  <c r="Y292" i="1" s="1"/>
  <c r="I292" i="1"/>
  <c r="H292" i="15" s="1"/>
  <c r="G292" i="1"/>
  <c r="BW292" i="6" s="1"/>
  <c r="I32" i="16"/>
  <c r="J32" i="16"/>
  <c r="I91" i="16"/>
  <c r="B62" i="19"/>
  <c r="F15" i="15"/>
  <c r="AA365" i="16"/>
  <c r="Z365" i="16" s="1"/>
  <c r="Y365" i="16" s="1"/>
  <c r="G365" i="16"/>
  <c r="BY365" i="6" s="1"/>
  <c r="J133" i="15"/>
  <c r="I133" i="15"/>
  <c r="H133" i="16" s="1"/>
  <c r="I212" i="15"/>
  <c r="H212" i="16" s="1"/>
  <c r="J212" i="15"/>
  <c r="G149" i="16"/>
  <c r="BY149" i="6" s="1"/>
  <c r="AA149" i="16"/>
  <c r="Z149" i="16" s="1"/>
  <c r="Y149" i="16" s="1"/>
  <c r="J254" i="15"/>
  <c r="I254" i="15"/>
  <c r="H254" i="16" s="1"/>
  <c r="I226" i="15"/>
  <c r="H226" i="16" s="1"/>
  <c r="J226" i="15"/>
  <c r="I122" i="15"/>
  <c r="H122" i="16" s="1"/>
  <c r="J122" i="15"/>
  <c r="I190" i="16"/>
  <c r="J190" i="16"/>
  <c r="I153" i="16"/>
  <c r="J153" i="16"/>
  <c r="J22" i="16"/>
  <c r="I22" i="16"/>
  <c r="I65" i="16"/>
  <c r="J144" i="16"/>
  <c r="I144" i="16"/>
  <c r="J155" i="16"/>
  <c r="I155" i="16"/>
  <c r="J360" i="16"/>
  <c r="I360" i="16"/>
  <c r="I154" i="16"/>
  <c r="J154" i="16"/>
  <c r="I340" i="16"/>
  <c r="J340" i="16"/>
  <c r="V382" i="1"/>
  <c r="V381" i="1"/>
  <c r="V383" i="1"/>
  <c r="I199" i="16"/>
  <c r="I83" i="16"/>
  <c r="J83" i="16"/>
  <c r="J195" i="16"/>
  <c r="I195" i="16"/>
  <c r="AA79" i="15"/>
  <c r="Z79" i="15" s="1"/>
  <c r="Y79" i="15" s="1"/>
  <c r="H79" i="15"/>
  <c r="G79" i="15"/>
  <c r="BX79" i="6" s="1"/>
  <c r="I150" i="15"/>
  <c r="H150" i="16" s="1"/>
  <c r="J150" i="15"/>
  <c r="J311" i="15"/>
  <c r="I311" i="15"/>
  <c r="H311" i="16" s="1"/>
  <c r="I311" i="16" s="1"/>
  <c r="J89" i="15"/>
  <c r="I89" i="15"/>
  <c r="H89" i="16" s="1"/>
  <c r="I69" i="15"/>
  <c r="H69" i="16" s="1"/>
  <c r="J69" i="15"/>
  <c r="AA379" i="15"/>
  <c r="Z379" i="15" s="1"/>
  <c r="Y379" i="15" s="1"/>
  <c r="G379" i="15"/>
  <c r="BX379" i="6" s="1"/>
  <c r="I249" i="15"/>
  <c r="H249" i="16" s="1"/>
  <c r="J249" i="15"/>
  <c r="J104" i="16"/>
  <c r="I104" i="16"/>
  <c r="I173" i="16"/>
  <c r="I136" i="16"/>
  <c r="J136" i="16"/>
  <c r="J263" i="16"/>
  <c r="I263" i="16"/>
  <c r="AA333" i="1"/>
  <c r="Z333" i="1" s="1"/>
  <c r="Y333" i="1" s="1"/>
  <c r="G333" i="1"/>
  <c r="BW333" i="6" s="1"/>
  <c r="I333" i="1"/>
  <c r="H333" i="15" s="1"/>
  <c r="AA143" i="15"/>
  <c r="Z143" i="15" s="1"/>
  <c r="Y143" i="15" s="1"/>
  <c r="H143" i="15"/>
  <c r="G143" i="15"/>
  <c r="BX143" i="6" s="1"/>
  <c r="I235" i="16"/>
  <c r="J235" i="16"/>
  <c r="J159" i="16"/>
  <c r="I159" i="16"/>
  <c r="I304" i="16"/>
  <c r="AA15" i="1"/>
  <c r="I191" i="16"/>
  <c r="J191" i="16"/>
  <c r="I349" i="15"/>
  <c r="H349" i="16" s="1"/>
  <c r="J349" i="15"/>
  <c r="J57" i="16"/>
  <c r="I57" i="16"/>
  <c r="I86" i="16"/>
  <c r="J86" i="16"/>
  <c r="J124" i="16"/>
  <c r="I124" i="16"/>
  <c r="I72" i="16"/>
  <c r="J72" i="16"/>
  <c r="I241" i="15"/>
  <c r="H241" i="16" s="1"/>
  <c r="J241" i="15"/>
  <c r="J233" i="16"/>
  <c r="I233" i="16"/>
  <c r="I26" i="16"/>
  <c r="J26" i="16"/>
  <c r="J342" i="16"/>
  <c r="I342" i="16"/>
  <c r="H338" i="15"/>
  <c r="G338" i="15"/>
  <c r="BX338" i="6" s="1"/>
  <c r="AA338" i="15"/>
  <c r="Z338" i="15" s="1"/>
  <c r="Y338" i="15" s="1"/>
  <c r="I193" i="15"/>
  <c r="H193" i="16" s="1"/>
  <c r="J193" i="15"/>
  <c r="G333" i="15"/>
  <c r="BX333" i="6" s="1"/>
  <c r="AA333" i="15"/>
  <c r="Z333" i="15" s="1"/>
  <c r="Y333" i="15" s="1"/>
  <c r="G143" i="16"/>
  <c r="BY143" i="6" s="1"/>
  <c r="AA143" i="16"/>
  <c r="Z143" i="16" s="1"/>
  <c r="Y143" i="16" s="1"/>
  <c r="J346" i="15"/>
  <c r="I346" i="15"/>
  <c r="H346" i="16" s="1"/>
  <c r="I182" i="16"/>
  <c r="J137" i="15"/>
  <c r="I137" i="15"/>
  <c r="H137" i="16" s="1"/>
  <c r="J157" i="16"/>
  <c r="I157" i="16"/>
  <c r="J94" i="16"/>
  <c r="I94" i="16"/>
  <c r="I100" i="15"/>
  <c r="H100" i="16" s="1"/>
  <c r="I100" i="16" s="1"/>
  <c r="J100" i="15"/>
  <c r="I301" i="15"/>
  <c r="H301" i="16" s="1"/>
  <c r="J301" i="15"/>
  <c r="I289" i="15"/>
  <c r="H289" i="16" s="1"/>
  <c r="J289" i="15"/>
  <c r="J294" i="15"/>
  <c r="I294" i="15"/>
  <c r="H294" i="16" s="1"/>
  <c r="I270" i="16"/>
  <c r="J270" i="16"/>
  <c r="I71" i="16"/>
  <c r="I286" i="16"/>
  <c r="I135" i="15"/>
  <c r="H135" i="16" s="1"/>
  <c r="J135" i="15"/>
  <c r="J62" i="16"/>
  <c r="I62" i="16"/>
  <c r="J244" i="16"/>
  <c r="I244" i="16"/>
  <c r="I362" i="15"/>
  <c r="H362" i="16" s="1"/>
  <c r="J362" i="15"/>
  <c r="AA29" i="16"/>
  <c r="Z29" i="16" s="1"/>
  <c r="Y29" i="16" s="1"/>
  <c r="J271" i="16"/>
  <c r="I271" i="16"/>
  <c r="J363" i="15"/>
  <c r="I363" i="15"/>
  <c r="H363" i="16" s="1"/>
  <c r="J54" i="15"/>
  <c r="I54" i="15"/>
  <c r="H54" i="16" s="1"/>
  <c r="I31" i="16"/>
  <c r="I41" i="16"/>
  <c r="H41" i="17" s="1"/>
  <c r="J41" i="16"/>
  <c r="J293" i="15"/>
  <c r="I293" i="15"/>
  <c r="H293" i="16" s="1"/>
  <c r="AA348" i="1"/>
  <c r="Z348" i="1" s="1"/>
  <c r="Y348" i="1" s="1"/>
  <c r="I348" i="1"/>
  <c r="H348" i="15" s="1"/>
  <c r="G348" i="1"/>
  <c r="BW348" i="6" s="1"/>
  <c r="G348" i="16"/>
  <c r="BY348" i="6" s="1"/>
  <c r="AA348" i="16"/>
  <c r="Z348" i="16" s="1"/>
  <c r="Y348" i="16" s="1"/>
  <c r="H180" i="15"/>
  <c r="G180" i="15"/>
  <c r="BX180" i="6" s="1"/>
  <c r="AA180" i="15"/>
  <c r="Z180" i="15" s="1"/>
  <c r="Y180" i="15" s="1"/>
  <c r="J16" i="15"/>
  <c r="I16" i="15"/>
  <c r="H16" i="16" s="1"/>
  <c r="J269" i="15"/>
  <c r="I269" i="15"/>
  <c r="H269" i="16" s="1"/>
  <c r="I312" i="15"/>
  <c r="H312" i="16" s="1"/>
  <c r="J312" i="15"/>
  <c r="J305" i="15"/>
  <c r="I305" i="15"/>
  <c r="H305" i="16" s="1"/>
  <c r="I308" i="16"/>
  <c r="I222" i="16"/>
  <c r="J222" i="16"/>
  <c r="I350" i="15"/>
  <c r="H350" i="16" s="1"/>
  <c r="J350" i="15"/>
  <c r="J117" i="15"/>
  <c r="I117" i="15"/>
  <c r="H117" i="16" s="1"/>
  <c r="J160" i="16"/>
  <c r="I160" i="16"/>
  <c r="J156" i="15"/>
  <c r="I156" i="15"/>
  <c r="H156" i="16" s="1"/>
  <c r="J369" i="15"/>
  <c r="I369" i="15"/>
  <c r="H369" i="16" s="1"/>
  <c r="I347" i="15"/>
  <c r="H347" i="16" s="1"/>
  <c r="J347" i="15"/>
  <c r="J134" i="15"/>
  <c r="I134" i="15"/>
  <c r="H134" i="16" s="1"/>
  <c r="I219" i="15"/>
  <c r="H219" i="16" s="1"/>
  <c r="J219" i="15"/>
  <c r="I373" i="15"/>
  <c r="H373" i="16" s="1"/>
  <c r="J373" i="15"/>
  <c r="J56" i="15"/>
  <c r="I56" i="15"/>
  <c r="H56" i="16" s="1"/>
  <c r="I56" i="16" s="1"/>
  <c r="I283" i="15"/>
  <c r="H283" i="16" s="1"/>
  <c r="J283" i="15"/>
  <c r="J371" i="15"/>
  <c r="I371" i="15"/>
  <c r="H371" i="16" s="1"/>
  <c r="J376" i="15"/>
  <c r="I376" i="15"/>
  <c r="H376" i="16" s="1"/>
  <c r="J158" i="16"/>
  <c r="I158" i="16"/>
  <c r="J140" i="15"/>
  <c r="I140" i="15"/>
  <c r="H140" i="16" s="1"/>
  <c r="J232" i="15"/>
  <c r="I232" i="15"/>
  <c r="H232" i="16" s="1"/>
  <c r="I351" i="16"/>
  <c r="J351" i="16"/>
  <c r="J165" i="15"/>
  <c r="I165" i="15"/>
  <c r="H165" i="16" s="1"/>
  <c r="I55" i="15"/>
  <c r="H55" i="16" s="1"/>
  <c r="J55" i="15"/>
  <c r="J196" i="16"/>
  <c r="I196" i="16"/>
  <c r="I187" i="16"/>
  <c r="J187" i="16"/>
  <c r="J82" i="16"/>
  <c r="I82" i="16"/>
  <c r="I51" i="16"/>
  <c r="J51" i="16"/>
  <c r="I252" i="16"/>
  <c r="J252" i="16"/>
  <c r="H331" i="15"/>
  <c r="I145" i="15"/>
  <c r="H145" i="16" s="1"/>
  <c r="J145" i="15"/>
  <c r="J253" i="15"/>
  <c r="I253" i="15"/>
  <c r="H253" i="16" s="1"/>
  <c r="J164" i="15"/>
  <c r="I164" i="15"/>
  <c r="H164" i="16" s="1"/>
  <c r="J61" i="16"/>
  <c r="I61" i="16"/>
  <c r="J50" i="16"/>
  <c r="I50" i="16"/>
  <c r="J211" i="16"/>
  <c r="I211" i="16"/>
  <c r="I230" i="16"/>
  <c r="J230" i="16"/>
  <c r="I142" i="16"/>
  <c r="J142" i="16"/>
  <c r="J238" i="16"/>
  <c r="I238" i="16"/>
  <c r="J355" i="16"/>
  <c r="I355" i="16"/>
  <c r="J80" i="16"/>
  <c r="J98" i="16"/>
  <c r="I98" i="16"/>
  <c r="J68" i="16"/>
  <c r="I68" i="16"/>
  <c r="J40" i="16"/>
  <c r="I40" i="16"/>
  <c r="J184" i="16"/>
  <c r="I184" i="16"/>
  <c r="J152" i="15"/>
  <c r="I152" i="15"/>
  <c r="H152" i="16" s="1"/>
  <c r="H88" i="15"/>
  <c r="G88" i="15"/>
  <c r="BX88" i="6" s="1"/>
  <c r="AA88" i="15"/>
  <c r="Z88" i="15" s="1"/>
  <c r="Y88" i="15" s="1"/>
  <c r="V380" i="15"/>
  <c r="V382" i="15" s="1"/>
  <c r="J113" i="15"/>
  <c r="I113" i="15"/>
  <c r="H113" i="16" s="1"/>
  <c r="J176" i="16"/>
  <c r="I176" i="16"/>
  <c r="I307" i="16"/>
  <c r="J307" i="16"/>
  <c r="J327" i="16"/>
  <c r="I327" i="16"/>
  <c r="J315" i="16"/>
  <c r="I315" i="16"/>
  <c r="I116" i="16"/>
  <c r="J116" i="16"/>
  <c r="I367" i="15"/>
  <c r="H367" i="16" s="1"/>
  <c r="I367" i="16" s="1"/>
  <c r="J367" i="15"/>
  <c r="I278" i="16"/>
  <c r="J278" i="16"/>
  <c r="I47" i="16"/>
  <c r="J47" i="16"/>
  <c r="J227" i="15"/>
  <c r="I227" i="15"/>
  <c r="H227" i="16" s="1"/>
  <c r="J330" i="15"/>
  <c r="I330" i="15"/>
  <c r="H330" i="16" s="1"/>
  <c r="I146" i="16"/>
  <c r="J146" i="16"/>
  <c r="J273" i="15"/>
  <c r="I273" i="15"/>
  <c r="H273" i="16" s="1"/>
  <c r="G29" i="15"/>
  <c r="BX29" i="6" s="1"/>
  <c r="H29" i="15"/>
  <c r="AA29" i="15"/>
  <c r="Z29" i="15" s="1"/>
  <c r="Y29" i="15" s="1"/>
  <c r="I257" i="15"/>
  <c r="H257" i="16" s="1"/>
  <c r="J257" i="15"/>
  <c r="J95" i="15"/>
  <c r="I95" i="15"/>
  <c r="H95" i="16" s="1"/>
  <c r="I203" i="15"/>
  <c r="H203" i="16" s="1"/>
  <c r="J203" i="15"/>
  <c r="I378" i="15"/>
  <c r="H378" i="16" s="1"/>
  <c r="I378" i="16" s="1"/>
  <c r="J378" i="15"/>
  <c r="I103" i="15"/>
  <c r="H103" i="16" s="1"/>
  <c r="J103" i="15"/>
  <c r="I268" i="16"/>
  <c r="J268" i="16"/>
  <c r="J200" i="16"/>
  <c r="I200" i="16"/>
  <c r="J220" i="15"/>
  <c r="I220" i="15"/>
  <c r="H220" i="16" s="1"/>
  <c r="J67" i="16"/>
  <c r="I67" i="16"/>
  <c r="I234" i="16"/>
  <c r="J234" i="16"/>
  <c r="I81" i="16"/>
  <c r="J81" i="16"/>
  <c r="I45" i="16"/>
  <c r="J45" i="16"/>
  <c r="J375" i="15"/>
  <c r="I375" i="15"/>
  <c r="H375" i="16" s="1"/>
  <c r="J139" i="16"/>
  <c r="I139" i="16"/>
  <c r="J262" i="16"/>
  <c r="I262" i="16"/>
  <c r="J87" i="15"/>
  <c r="I87" i="15"/>
  <c r="H87" i="16" s="1"/>
  <c r="I38" i="16"/>
  <c r="J38" i="16"/>
  <c r="I317" i="16"/>
  <c r="AA333" i="16"/>
  <c r="Z333" i="16" s="1"/>
  <c r="Y333" i="16" s="1"/>
  <c r="J64" i="16"/>
  <c r="I64" i="16"/>
  <c r="I285" i="16"/>
  <c r="J285" i="16"/>
  <c r="J27" i="15"/>
  <c r="I27" i="15"/>
  <c r="H27" i="16" s="1"/>
  <c r="J276" i="16"/>
  <c r="I276" i="16"/>
  <c r="I295" i="15"/>
  <c r="H295" i="16" s="1"/>
  <c r="I295" i="16" s="1"/>
  <c r="J295" i="15"/>
  <c r="I70" i="15"/>
  <c r="H70" i="16" s="1"/>
  <c r="I70" i="16" s="1"/>
  <c r="J70" i="15"/>
  <c r="I341" i="15"/>
  <c r="H341" i="16" s="1"/>
  <c r="J341" i="15"/>
  <c r="J171" i="16"/>
  <c r="I171" i="16"/>
  <c r="J148" i="16"/>
  <c r="I148" i="16"/>
  <c r="J354" i="15"/>
  <c r="I354" i="15"/>
  <c r="H354" i="16" s="1"/>
  <c r="I101" i="16"/>
  <c r="J85" i="15"/>
  <c r="I85" i="15"/>
  <c r="H85" i="16" s="1"/>
  <c r="J280" i="15"/>
  <c r="I280" i="15"/>
  <c r="H280" i="16" s="1"/>
  <c r="J361" i="15"/>
  <c r="I361" i="15"/>
  <c r="H361" i="16" s="1"/>
  <c r="J290" i="15"/>
  <c r="I290" i="15"/>
  <c r="H290" i="16" s="1"/>
  <c r="J110" i="15"/>
  <c r="I110" i="15"/>
  <c r="H110" i="16" s="1"/>
  <c r="J358" i="15"/>
  <c r="I358" i="15"/>
  <c r="H358" i="16" s="1"/>
  <c r="J319" i="15"/>
  <c r="I319" i="15"/>
  <c r="H319" i="16" s="1"/>
  <c r="J344" i="15"/>
  <c r="I344" i="15"/>
  <c r="H344" i="16" s="1"/>
  <c r="I300" i="16"/>
  <c r="I359" i="15"/>
  <c r="H359" i="16" s="1"/>
  <c r="J359" i="15"/>
  <c r="I194" i="16"/>
  <c r="J194" i="16"/>
  <c r="J306" i="15"/>
  <c r="I306" i="15"/>
  <c r="H306" i="16" s="1"/>
  <c r="Z309" i="1"/>
  <c r="J316" i="16"/>
  <c r="I316" i="16"/>
  <c r="J326" i="16"/>
  <c r="I326" i="16"/>
  <c r="I130" i="16"/>
  <c r="J130" i="16"/>
  <c r="G107" i="17"/>
  <c r="BZ107" i="6" s="1"/>
  <c r="G41" i="17"/>
  <c r="BZ41" i="6" s="1"/>
  <c r="G343" i="17"/>
  <c r="BZ343" i="6" s="1"/>
  <c r="G61" i="17"/>
  <c r="BZ61" i="6" s="1"/>
  <c r="G225" i="17"/>
  <c r="BZ225" i="6" s="1"/>
  <c r="G367" i="17"/>
  <c r="BZ367" i="6" s="1"/>
  <c r="G70" i="17"/>
  <c r="BZ70" i="6" s="1"/>
  <c r="I380" i="18"/>
  <c r="G260" i="17"/>
  <c r="BZ260" i="6" s="1"/>
  <c r="G261" i="17" l="1"/>
  <c r="BZ261" i="6" s="1"/>
  <c r="G206" i="17"/>
  <c r="BZ206" i="6" s="1"/>
  <c r="J246" i="16"/>
  <c r="J329" i="16"/>
  <c r="I52" i="16"/>
  <c r="I216" i="16"/>
  <c r="J314" i="16"/>
  <c r="T383" i="17"/>
  <c r="AA140" i="17"/>
  <c r="Z140" i="17" s="1"/>
  <c r="Y140" i="17" s="1"/>
  <c r="AA367" i="17"/>
  <c r="Z367" i="17" s="1"/>
  <c r="Y367" i="17" s="1"/>
  <c r="AA378" i="17"/>
  <c r="Z378" i="17" s="1"/>
  <c r="Y378" i="17" s="1"/>
  <c r="AA72" i="17"/>
  <c r="Z72" i="17" s="1"/>
  <c r="Y72" i="17" s="1"/>
  <c r="AA260" i="17"/>
  <c r="Z260" i="17" s="1"/>
  <c r="Y260" i="17" s="1"/>
  <c r="AA376" i="17"/>
  <c r="Z376" i="17" s="1"/>
  <c r="Y376" i="17" s="1"/>
  <c r="H260" i="17"/>
  <c r="H70" i="17"/>
  <c r="I70" i="17" s="1"/>
  <c r="I239" i="16"/>
  <c r="H61" i="17"/>
  <c r="J61" i="17" s="1"/>
  <c r="H270" i="17"/>
  <c r="I270" i="17" s="1"/>
  <c r="H197" i="17"/>
  <c r="I197" i="17" s="1"/>
  <c r="AA361" i="17"/>
  <c r="Z361" i="17" s="1"/>
  <c r="Y361" i="17" s="1"/>
  <c r="AA343" i="17"/>
  <c r="Z343" i="17" s="1"/>
  <c r="Y343" i="17" s="1"/>
  <c r="AA199" i="17"/>
  <c r="Z199" i="17" s="1"/>
  <c r="Y199" i="17" s="1"/>
  <c r="V333" i="17"/>
  <c r="F333" i="17" s="1"/>
  <c r="G333" i="17" s="1"/>
  <c r="BZ333" i="6" s="1"/>
  <c r="H194" i="17"/>
  <c r="J194" i="17" s="1"/>
  <c r="T381" i="17"/>
  <c r="T382" i="17"/>
  <c r="AD379" i="17"/>
  <c r="AA185" i="17"/>
  <c r="Z185" i="17" s="1"/>
  <c r="Y185" i="17" s="1"/>
  <c r="AA96" i="17"/>
  <c r="Z96" i="17" s="1"/>
  <c r="Y96" i="17" s="1"/>
  <c r="AA297" i="17"/>
  <c r="Z297" i="17" s="1"/>
  <c r="Y297" i="17" s="1"/>
  <c r="AA61" i="17"/>
  <c r="Z61" i="17" s="1"/>
  <c r="Y61" i="17" s="1"/>
  <c r="AA70" i="17"/>
  <c r="Z70" i="17" s="1"/>
  <c r="Y70" i="17" s="1"/>
  <c r="AA270" i="17"/>
  <c r="Z270" i="17" s="1"/>
  <c r="Y270" i="17" s="1"/>
  <c r="AA116" i="17"/>
  <c r="Z116" i="17" s="1"/>
  <c r="Y116" i="17" s="1"/>
  <c r="AA197" i="17"/>
  <c r="Z197" i="17" s="1"/>
  <c r="Y197" i="17" s="1"/>
  <c r="AA280" i="17"/>
  <c r="Z280" i="17" s="1"/>
  <c r="Y280" i="17" s="1"/>
  <c r="AA237" i="17"/>
  <c r="Z237" i="17" s="1"/>
  <c r="Y237" i="17" s="1"/>
  <c r="AA257" i="17"/>
  <c r="Z257" i="17" s="1"/>
  <c r="Y257" i="17" s="1"/>
  <c r="AA244" i="17"/>
  <c r="Z244" i="17" s="1"/>
  <c r="Y244" i="17" s="1"/>
  <c r="G17" i="17"/>
  <c r="BZ17" i="6" s="1"/>
  <c r="H367" i="17"/>
  <c r="J367" i="17" s="1"/>
  <c r="J34" i="16"/>
  <c r="I175" i="16"/>
  <c r="H96" i="17"/>
  <c r="J96" i="17" s="1"/>
  <c r="AA261" i="17"/>
  <c r="Z261" i="17" s="1"/>
  <c r="Y261" i="17" s="1"/>
  <c r="AA37" i="17"/>
  <c r="Z37" i="17" s="1"/>
  <c r="Y37" i="17" s="1"/>
  <c r="AA51" i="17"/>
  <c r="Z51" i="17" s="1"/>
  <c r="Y51" i="17" s="1"/>
  <c r="AA107" i="17"/>
  <c r="Z107" i="17" s="1"/>
  <c r="Y107" i="17" s="1"/>
  <c r="AA206" i="17"/>
  <c r="Z206" i="17" s="1"/>
  <c r="Y206" i="17" s="1"/>
  <c r="J60" i="15"/>
  <c r="J60" i="16" s="1"/>
  <c r="J324" i="16"/>
  <c r="J303" i="16"/>
  <c r="H210" i="16"/>
  <c r="J210" i="16" s="1"/>
  <c r="J377" i="16"/>
  <c r="J112" i="16"/>
  <c r="I33" i="16"/>
  <c r="H33" i="17" s="1"/>
  <c r="I33" i="17" s="1"/>
  <c r="AA210" i="16"/>
  <c r="Z210" i="16" s="1"/>
  <c r="Y210" i="16" s="1"/>
  <c r="AA240" i="17"/>
  <c r="Z240" i="17" s="1"/>
  <c r="Y240" i="17" s="1"/>
  <c r="AA360" i="17"/>
  <c r="Z360" i="17" s="1"/>
  <c r="Y360" i="17" s="1"/>
  <c r="AA354" i="17"/>
  <c r="Z354" i="17" s="1"/>
  <c r="Y354" i="17" s="1"/>
  <c r="AA373" i="17"/>
  <c r="Z373" i="17" s="1"/>
  <c r="Y373" i="17" s="1"/>
  <c r="AA17" i="17"/>
  <c r="Z17" i="17" s="1"/>
  <c r="Y17" i="17" s="1"/>
  <c r="AA226" i="17"/>
  <c r="Z226" i="17" s="1"/>
  <c r="Y226" i="17" s="1"/>
  <c r="AA95" i="17"/>
  <c r="Z95" i="17" s="1"/>
  <c r="Y95" i="17" s="1"/>
  <c r="AA160" i="17"/>
  <c r="Z160" i="17" s="1"/>
  <c r="Y160" i="17" s="1"/>
  <c r="AA32" i="17"/>
  <c r="Z32" i="17" s="1"/>
  <c r="Y32" i="17" s="1"/>
  <c r="H25" i="17"/>
  <c r="I258" i="16"/>
  <c r="J202" i="16"/>
  <c r="J192" i="16"/>
  <c r="J345" i="16"/>
  <c r="H360" i="17"/>
  <c r="I360" i="17" s="1"/>
  <c r="H114" i="17"/>
  <c r="I114" i="17" s="1"/>
  <c r="I320" i="16"/>
  <c r="H320" i="17" s="1"/>
  <c r="J320" i="17" s="1"/>
  <c r="J264" i="16"/>
  <c r="H237" i="17"/>
  <c r="J237" i="17" s="1"/>
  <c r="H44" i="17"/>
  <c r="J44" i="17" s="1"/>
  <c r="H356" i="17"/>
  <c r="I356" i="17" s="1"/>
  <c r="AA194" i="17"/>
  <c r="Z194" i="17" s="1"/>
  <c r="Y194" i="17" s="1"/>
  <c r="AA362" i="17"/>
  <c r="Z362" i="17" s="1"/>
  <c r="Y362" i="17" s="1"/>
  <c r="AA114" i="17"/>
  <c r="Z114" i="17" s="1"/>
  <c r="Y114" i="17" s="1"/>
  <c r="H378" i="17"/>
  <c r="I378" i="17" s="1"/>
  <c r="I118" i="16"/>
  <c r="H118" i="17" s="1"/>
  <c r="J118" i="17" s="1"/>
  <c r="J366" i="16"/>
  <c r="J36" i="16"/>
  <c r="I323" i="16"/>
  <c r="H323" i="17" s="1"/>
  <c r="I323" i="17" s="1"/>
  <c r="AA212" i="17"/>
  <c r="Z212" i="17" s="1"/>
  <c r="Y212" i="17" s="1"/>
  <c r="AA127" i="17"/>
  <c r="Z127" i="17" s="1"/>
  <c r="Y127" i="17" s="1"/>
  <c r="AA203" i="17"/>
  <c r="Z203" i="17" s="1"/>
  <c r="Y203" i="17" s="1"/>
  <c r="AA74" i="17"/>
  <c r="Z74" i="17" s="1"/>
  <c r="Y74" i="17" s="1"/>
  <c r="AA356" i="17"/>
  <c r="Z356" i="17" s="1"/>
  <c r="Y356" i="17" s="1"/>
  <c r="G335" i="17"/>
  <c r="BZ335" i="6" s="1"/>
  <c r="H329" i="17"/>
  <c r="J329" i="17" s="1"/>
  <c r="H116" i="17"/>
  <c r="J116" i="17" s="1"/>
  <c r="H244" i="17"/>
  <c r="I244" i="17" s="1"/>
  <c r="H37" i="17"/>
  <c r="J37" i="17" s="1"/>
  <c r="I121" i="16"/>
  <c r="H121" i="17" s="1"/>
  <c r="I121" i="17" s="1"/>
  <c r="AA254" i="17"/>
  <c r="Z254" i="17" s="1"/>
  <c r="Y254" i="17" s="1"/>
  <c r="AA144" i="17"/>
  <c r="Z144" i="17" s="1"/>
  <c r="Y144" i="17" s="1"/>
  <c r="AA47" i="17"/>
  <c r="Z47" i="17" s="1"/>
  <c r="Y47" i="17" s="1"/>
  <c r="AA371" i="17"/>
  <c r="Z371" i="17" s="1"/>
  <c r="Y371" i="17" s="1"/>
  <c r="AA224" i="17"/>
  <c r="Z224" i="17" s="1"/>
  <c r="Y224" i="17" s="1"/>
  <c r="AA289" i="17"/>
  <c r="Z289" i="17" s="1"/>
  <c r="Y289" i="17" s="1"/>
  <c r="AA365" i="17"/>
  <c r="Z365" i="17" s="1"/>
  <c r="Y365" i="17" s="1"/>
  <c r="AA292" i="17"/>
  <c r="Z292" i="17" s="1"/>
  <c r="Y292" i="17" s="1"/>
  <c r="AA255" i="17"/>
  <c r="Z255" i="17" s="1"/>
  <c r="Y255" i="17" s="1"/>
  <c r="AA43" i="17"/>
  <c r="Z43" i="17" s="1"/>
  <c r="Y43" i="17" s="1"/>
  <c r="AA314" i="17"/>
  <c r="Z314" i="17" s="1"/>
  <c r="Y314" i="17" s="1"/>
  <c r="AA52" i="17"/>
  <c r="Z52" i="17" s="1"/>
  <c r="Y52" i="17" s="1"/>
  <c r="AA104" i="17"/>
  <c r="Z104" i="17" s="1"/>
  <c r="Y104" i="17" s="1"/>
  <c r="AA329" i="17"/>
  <c r="Z329" i="17" s="1"/>
  <c r="Y329" i="17" s="1"/>
  <c r="H202" i="17"/>
  <c r="I202" i="17" s="1"/>
  <c r="G208" i="17"/>
  <c r="BZ208" i="6" s="1"/>
  <c r="H208" i="17"/>
  <c r="I208" i="17" s="1"/>
  <c r="V210" i="17"/>
  <c r="F210" i="17" s="1"/>
  <c r="G210" i="17" s="1"/>
  <c r="BZ210" i="6" s="1"/>
  <c r="D62" i="7"/>
  <c r="AA208" i="17"/>
  <c r="Z208" i="17" s="1"/>
  <c r="Y208" i="17" s="1"/>
  <c r="AA307" i="17"/>
  <c r="Z307" i="17" s="1"/>
  <c r="Y307" i="17" s="1"/>
  <c r="H124" i="17"/>
  <c r="I124" i="17" s="1"/>
  <c r="H115" i="17"/>
  <c r="H167" i="17"/>
  <c r="I167" i="17" s="1"/>
  <c r="AA193" i="17"/>
  <c r="Z193" i="17" s="1"/>
  <c r="Y193" i="17" s="1"/>
  <c r="AC230" i="22"/>
  <c r="AC253" i="22"/>
  <c r="G193" i="17"/>
  <c r="BZ193" i="6" s="1"/>
  <c r="H221" i="17"/>
  <c r="I221" i="17" s="1"/>
  <c r="H211" i="17"/>
  <c r="J211" i="17" s="1"/>
  <c r="H72" i="17"/>
  <c r="I72" i="17" s="1"/>
  <c r="H199" i="17"/>
  <c r="I199" i="17" s="1"/>
  <c r="H144" i="17"/>
  <c r="J144" i="17" s="1"/>
  <c r="H339" i="17"/>
  <c r="I339" i="17" s="1"/>
  <c r="H147" i="17"/>
  <c r="I147" i="17" s="1"/>
  <c r="H146" i="17"/>
  <c r="J146" i="17" s="1"/>
  <c r="AC174" i="22"/>
  <c r="AC373" i="22"/>
  <c r="AC331" i="22"/>
  <c r="AC218" i="22"/>
  <c r="AC156" i="22"/>
  <c r="AC370" i="22"/>
  <c r="AC203" i="22"/>
  <c r="AC379" i="22"/>
  <c r="AC364" i="22"/>
  <c r="AC170" i="22"/>
  <c r="AC194" i="22"/>
  <c r="AC158" i="22"/>
  <c r="I189" i="16"/>
  <c r="H189" i="17" s="1"/>
  <c r="J189" i="17" s="1"/>
  <c r="J126" i="16"/>
  <c r="I42" i="16"/>
  <c r="H42" i="17" s="1"/>
  <c r="AA282" i="17"/>
  <c r="Z282" i="17" s="1"/>
  <c r="Y282" i="17" s="1"/>
  <c r="AA25" i="17"/>
  <c r="Z25" i="17" s="1"/>
  <c r="Y25" i="17" s="1"/>
  <c r="AA211" i="17"/>
  <c r="Z211" i="17" s="1"/>
  <c r="Y211" i="17" s="1"/>
  <c r="AA301" i="17"/>
  <c r="Z301" i="17" s="1"/>
  <c r="Y301" i="17" s="1"/>
  <c r="U206" i="18"/>
  <c r="T206" i="18" s="1"/>
  <c r="AA125" i="17"/>
  <c r="Z125" i="17" s="1"/>
  <c r="Y125" i="17" s="1"/>
  <c r="H313" i="17"/>
  <c r="I313" i="17" s="1"/>
  <c r="G128" i="17"/>
  <c r="BZ128" i="6" s="1"/>
  <c r="H23" i="17"/>
  <c r="J23" i="17" s="1"/>
  <c r="H316" i="17"/>
  <c r="I316" i="17" s="1"/>
  <c r="H238" i="17"/>
  <c r="I238" i="17" s="1"/>
  <c r="H50" i="17"/>
  <c r="I50" i="17" s="1"/>
  <c r="H303" i="17"/>
  <c r="J303" i="17" s="1"/>
  <c r="H222" i="17"/>
  <c r="I222" i="17" s="1"/>
  <c r="H104" i="17"/>
  <c r="J104" i="17" s="1"/>
  <c r="H83" i="17"/>
  <c r="J83" i="17" s="1"/>
  <c r="AA335" i="17"/>
  <c r="Z335" i="17" s="1"/>
  <c r="Y335" i="17" s="1"/>
  <c r="AA115" i="17"/>
  <c r="Z115" i="17" s="1"/>
  <c r="Y115" i="17" s="1"/>
  <c r="AA124" i="17"/>
  <c r="Z124" i="17" s="1"/>
  <c r="AA265" i="17"/>
  <c r="Z265" i="17" s="1"/>
  <c r="Y265" i="17" s="1"/>
  <c r="AA296" i="17"/>
  <c r="Z296" i="17" s="1"/>
  <c r="Y296" i="17" s="1"/>
  <c r="G176" i="17"/>
  <c r="BZ176" i="6" s="1"/>
  <c r="AA176" i="17"/>
  <c r="Z176" i="17" s="1"/>
  <c r="Y176" i="17" s="1"/>
  <c r="H36" i="17"/>
  <c r="G243" i="17"/>
  <c r="BZ243" i="6" s="1"/>
  <c r="AA195" i="17"/>
  <c r="Z195" i="17" s="1"/>
  <c r="Y195" i="17" s="1"/>
  <c r="AA377" i="17"/>
  <c r="Z377" i="17" s="1"/>
  <c r="Y377" i="17" s="1"/>
  <c r="G185" i="17"/>
  <c r="BZ185" i="6" s="1"/>
  <c r="H255" i="17"/>
  <c r="J255" i="17" s="1"/>
  <c r="I123" i="16"/>
  <c r="H123" i="17" s="1"/>
  <c r="J123" i="17" s="1"/>
  <c r="H52" i="17"/>
  <c r="J52" i="17" s="1"/>
  <c r="H160" i="17"/>
  <c r="I160" i="17" s="1"/>
  <c r="H175" i="17"/>
  <c r="I175" i="17" s="1"/>
  <c r="AA84" i="17"/>
  <c r="Z84" i="17" s="1"/>
  <c r="Y84" i="17" s="1"/>
  <c r="H377" i="17"/>
  <c r="I377" i="17" s="1"/>
  <c r="H327" i="17"/>
  <c r="J327" i="17" s="1"/>
  <c r="H173" i="17"/>
  <c r="I173" i="17" s="1"/>
  <c r="J147" i="16"/>
  <c r="J260" i="16"/>
  <c r="J260" i="17" s="1"/>
  <c r="AA146" i="17"/>
  <c r="Z146" i="17" s="1"/>
  <c r="Y146" i="17" s="1"/>
  <c r="AA147" i="17"/>
  <c r="Z147" i="17" s="1"/>
  <c r="Y147" i="17" s="1"/>
  <c r="AA173" i="17"/>
  <c r="Z173" i="17" s="1"/>
  <c r="Y173" i="17" s="1"/>
  <c r="AA81" i="17"/>
  <c r="Z81" i="17" s="1"/>
  <c r="Y81" i="17" s="1"/>
  <c r="AA175" i="17"/>
  <c r="Z175" i="17" s="1"/>
  <c r="Y175" i="17" s="1"/>
  <c r="L41" i="19"/>
  <c r="AS13" i="7"/>
  <c r="AY10" i="7" s="1"/>
  <c r="O29" i="23"/>
  <c r="AG44" i="7" s="1"/>
  <c r="O34" i="23"/>
  <c r="O68" i="23"/>
  <c r="O50" i="23"/>
  <c r="O113" i="23"/>
  <c r="O134" i="23"/>
  <c r="O170" i="23"/>
  <c r="O90" i="23"/>
  <c r="O137" i="23"/>
  <c r="O197" i="23"/>
  <c r="O222" i="23"/>
  <c r="O259" i="23"/>
  <c r="O287" i="23"/>
  <c r="O301" i="23"/>
  <c r="O345" i="23"/>
  <c r="O65" i="23"/>
  <c r="O150" i="23"/>
  <c r="O135" i="23"/>
  <c r="O227" i="23"/>
  <c r="O263" i="23"/>
  <c r="O337" i="23"/>
  <c r="O256" i="23"/>
  <c r="O316" i="23"/>
  <c r="O363" i="23"/>
  <c r="AG55" i="7" s="1"/>
  <c r="O365" i="23"/>
  <c r="O20" i="23"/>
  <c r="O30" i="23"/>
  <c r="O60" i="23"/>
  <c r="AG45" i="7" s="1"/>
  <c r="O41" i="23"/>
  <c r="O96" i="23"/>
  <c r="O110" i="23"/>
  <c r="O168" i="23"/>
  <c r="O94" i="23"/>
  <c r="O160" i="23"/>
  <c r="O199" i="23"/>
  <c r="O233" i="23"/>
  <c r="O258" i="23"/>
  <c r="O298" i="23"/>
  <c r="O330" i="23"/>
  <c r="O49" i="23"/>
  <c r="O138" i="23"/>
  <c r="O195" i="23"/>
  <c r="O262" i="23"/>
  <c r="O268" i="23"/>
  <c r="O32" i="23"/>
  <c r="O48" i="23"/>
  <c r="O77" i="23"/>
  <c r="O71" i="23"/>
  <c r="O119" i="23"/>
  <c r="AG47" i="7" s="1"/>
  <c r="O147" i="23"/>
  <c r="O179" i="23"/>
  <c r="O111" i="23"/>
  <c r="O159" i="23"/>
  <c r="O205" i="23"/>
  <c r="O238" i="23"/>
  <c r="O271" i="23"/>
  <c r="O294" i="23"/>
  <c r="O335" i="23"/>
  <c r="O359" i="23"/>
  <c r="O101" i="23"/>
  <c r="O40" i="23"/>
  <c r="O51" i="23"/>
  <c r="O78" i="23"/>
  <c r="O75" i="23"/>
  <c r="O123" i="23"/>
  <c r="O156" i="23"/>
  <c r="O182" i="23"/>
  <c r="O112" i="23"/>
  <c r="O167" i="23"/>
  <c r="O209" i="23"/>
  <c r="O247" i="23"/>
  <c r="O272" i="23"/>
  <c r="AG52" i="7" s="1"/>
  <c r="O293" i="23"/>
  <c r="O329" i="23"/>
  <c r="O358" i="23"/>
  <c r="O80" i="23"/>
  <c r="O177" i="23"/>
  <c r="O190" i="23"/>
  <c r="O243" i="23"/>
  <c r="O282" i="23"/>
  <c r="O242" i="23"/>
  <c r="O302" i="23"/>
  <c r="AG53" i="7" s="1"/>
  <c r="O328" i="23"/>
  <c r="O371" i="23"/>
  <c r="O376" i="23"/>
  <c r="O36" i="23"/>
  <c r="O43" i="23"/>
  <c r="O83" i="23"/>
  <c r="O61" i="23"/>
  <c r="O102" i="23"/>
  <c r="O148" i="23"/>
  <c r="O176" i="23"/>
  <c r="O141" i="23"/>
  <c r="O186" i="23"/>
  <c r="O212" i="23"/>
  <c r="O241" i="23"/>
  <c r="AG51" i="7" s="1"/>
  <c r="O285" i="23"/>
  <c r="O312" i="23"/>
  <c r="O338" i="23"/>
  <c r="O120" i="23"/>
  <c r="O201" i="23"/>
  <c r="O215" i="23"/>
  <c r="O311" i="23"/>
  <c r="O286" i="23"/>
  <c r="O25" i="23"/>
  <c r="O66" i="23"/>
  <c r="O38" i="23"/>
  <c r="O103" i="23"/>
  <c r="O126" i="23"/>
  <c r="O169" i="23"/>
  <c r="O82" i="23"/>
  <c r="O136" i="23"/>
  <c r="O196" i="23"/>
  <c r="O221" i="23"/>
  <c r="O257" i="23"/>
  <c r="O288" i="23"/>
  <c r="O307" i="23"/>
  <c r="O349" i="23"/>
  <c r="O104" i="23"/>
  <c r="O151" i="23"/>
  <c r="O143" i="23"/>
  <c r="O232" i="23"/>
  <c r="O270" i="23"/>
  <c r="O228" i="23"/>
  <c r="O265" i="23"/>
  <c r="O325" i="23"/>
  <c r="O342" i="23"/>
  <c r="O377" i="23"/>
  <c r="O37" i="23"/>
  <c r="O44" i="23"/>
  <c r="O15" i="23"/>
  <c r="O88" i="23"/>
  <c r="AG46" i="7" s="1"/>
  <c r="O105" i="23"/>
  <c r="O152" i="23"/>
  <c r="O181" i="23"/>
  <c r="O145" i="23"/>
  <c r="O191" i="23"/>
  <c r="O225" i="23"/>
  <c r="O260" i="23"/>
  <c r="O300" i="23"/>
  <c r="O331" i="23"/>
  <c r="O115" i="23"/>
  <c r="O180" i="23"/>
  <c r="AG49" i="7" s="1"/>
  <c r="O203" i="23"/>
  <c r="O266" i="23"/>
  <c r="O269" i="23"/>
  <c r="O317" i="23"/>
  <c r="O374" i="23"/>
  <c r="O336" i="23"/>
  <c r="O318" i="23"/>
  <c r="O18" i="23"/>
  <c r="O21" i="23"/>
  <c r="O63" i="23"/>
  <c r="O86" i="23"/>
  <c r="O93" i="23"/>
  <c r="O128" i="23"/>
  <c r="O166" i="23"/>
  <c r="O57" i="23"/>
  <c r="O125" i="23"/>
  <c r="O194" i="23"/>
  <c r="O218" i="23"/>
  <c r="O255" i="23"/>
  <c r="O283" i="23"/>
  <c r="O296" i="23"/>
  <c r="O340" i="23"/>
  <c r="O360" i="23"/>
  <c r="O118" i="23"/>
  <c r="O192" i="23"/>
  <c r="O216" i="23"/>
  <c r="O246" i="23"/>
  <c r="O305" i="23"/>
  <c r="O252" i="23"/>
  <c r="O306" i="23"/>
  <c r="O347" i="23"/>
  <c r="O344" i="23"/>
  <c r="O379" i="23"/>
  <c r="C42" i="19" s="1"/>
  <c r="O19" i="23"/>
  <c r="O45" i="23"/>
  <c r="O87" i="23"/>
  <c r="O74" i="23"/>
  <c r="O107" i="23"/>
  <c r="O158" i="23"/>
  <c r="O62" i="23"/>
  <c r="O154" i="23"/>
  <c r="O193" i="23"/>
  <c r="O224" i="23"/>
  <c r="O248" i="23"/>
  <c r="O295" i="23"/>
  <c r="O324" i="23"/>
  <c r="O352" i="23"/>
  <c r="O108" i="23"/>
  <c r="O207" i="23"/>
  <c r="O220" i="23"/>
  <c r="O332" i="23"/>
  <c r="O308" i="23"/>
  <c r="O17" i="23"/>
  <c r="O55" i="23"/>
  <c r="O81" i="23"/>
  <c r="O85" i="23"/>
  <c r="O122" i="23"/>
  <c r="O164" i="23"/>
  <c r="O24" i="23"/>
  <c r="O121" i="23"/>
  <c r="O188" i="23"/>
  <c r="O213" i="23"/>
  <c r="O249" i="23"/>
  <c r="O284" i="23"/>
  <c r="O299" i="23"/>
  <c r="O341" i="23"/>
  <c r="O56" i="23"/>
  <c r="O132" i="23"/>
  <c r="O124" i="23"/>
  <c r="O223" i="23"/>
  <c r="O251" i="23"/>
  <c r="O334" i="23"/>
  <c r="O254" i="23"/>
  <c r="O320" i="23"/>
  <c r="O367" i="23"/>
  <c r="O375" i="23"/>
  <c r="O28" i="23"/>
  <c r="O39" i="23"/>
  <c r="O84" i="23"/>
  <c r="O70" i="23"/>
  <c r="O100" i="23"/>
  <c r="O146" i="23"/>
  <c r="O174" i="23"/>
  <c r="O129" i="23"/>
  <c r="O185" i="23"/>
  <c r="O219" i="23"/>
  <c r="O250" i="23"/>
  <c r="O297" i="23"/>
  <c r="O326" i="23"/>
  <c r="O58" i="23"/>
  <c r="O139" i="23"/>
  <c r="O144" i="23"/>
  <c r="O253" i="23"/>
  <c r="O229" i="23"/>
  <c r="O309" i="23"/>
  <c r="O366" i="23"/>
  <c r="O369" i="23"/>
  <c r="O372" i="23"/>
  <c r="O362" i="23"/>
  <c r="O189" i="23"/>
  <c r="O206" i="23"/>
  <c r="O244" i="23"/>
  <c r="O290" i="23"/>
  <c r="O245" i="23"/>
  <c r="O314" i="23"/>
  <c r="O350" i="23"/>
  <c r="O370" i="23"/>
  <c r="O22" i="23"/>
  <c r="O33" i="23"/>
  <c r="O79" i="23"/>
  <c r="O59" i="23"/>
  <c r="O97" i="23"/>
  <c r="O130" i="23"/>
  <c r="O171" i="23"/>
  <c r="O106" i="23"/>
  <c r="O165" i="23"/>
  <c r="O208" i="23"/>
  <c r="O237" i="23"/>
  <c r="O292" i="23"/>
  <c r="O313" i="23"/>
  <c r="O357" i="23"/>
  <c r="O133" i="23"/>
  <c r="O204" i="23"/>
  <c r="O217" i="23"/>
  <c r="O323" i="23"/>
  <c r="O303" i="23"/>
  <c r="O348" i="23"/>
  <c r="O361" i="23"/>
  <c r="O354" i="23"/>
  <c r="O343" i="23"/>
  <c r="O31" i="23"/>
  <c r="O47" i="23"/>
  <c r="O73" i="23"/>
  <c r="O67" i="23"/>
  <c r="O116" i="23"/>
  <c r="O149" i="23"/>
  <c r="AG48" i="7" s="1"/>
  <c r="O178" i="23"/>
  <c r="O95" i="23"/>
  <c r="O153" i="23"/>
  <c r="O202" i="23"/>
  <c r="O231" i="23"/>
  <c r="O264" i="23"/>
  <c r="O289" i="23"/>
  <c r="O322" i="23"/>
  <c r="O351" i="23"/>
  <c r="O117" i="23"/>
  <c r="O155" i="23"/>
  <c r="O175" i="23"/>
  <c r="O234" i="23"/>
  <c r="O276" i="23"/>
  <c r="O230" i="23"/>
  <c r="O267" i="23"/>
  <c r="O321" i="23"/>
  <c r="O364" i="23"/>
  <c r="O373" i="23"/>
  <c r="O23" i="23"/>
  <c r="O35" i="23"/>
  <c r="O72" i="23"/>
  <c r="O53" i="23"/>
  <c r="O98" i="23"/>
  <c r="O142" i="23"/>
  <c r="O172" i="23"/>
  <c r="O127" i="23"/>
  <c r="O184" i="23"/>
  <c r="O210" i="23"/>
  <c r="AG50" i="7" s="1"/>
  <c r="O236" i="23"/>
  <c r="O275" i="23"/>
  <c r="O304" i="23"/>
  <c r="O333" i="23"/>
  <c r="AG54" i="7" s="1"/>
  <c r="O89" i="23"/>
  <c r="O162" i="23"/>
  <c r="O211" i="23"/>
  <c r="O278" i="23"/>
  <c r="O273" i="23"/>
  <c r="O27" i="23"/>
  <c r="O42" i="23"/>
  <c r="O69" i="23"/>
  <c r="O52" i="23"/>
  <c r="O114" i="23"/>
  <c r="O131" i="23"/>
  <c r="O173" i="23"/>
  <c r="O92" i="23"/>
  <c r="O140" i="23"/>
  <c r="O200" i="23"/>
  <c r="O226" i="23"/>
  <c r="O261" i="23"/>
  <c r="O291" i="23"/>
  <c r="O327" i="23"/>
  <c r="O356" i="23"/>
  <c r="O64" i="23"/>
  <c r="O161" i="23"/>
  <c r="O183" i="23"/>
  <c r="O240" i="23"/>
  <c r="O277" i="23"/>
  <c r="O239" i="23"/>
  <c r="O274" i="23"/>
  <c r="O339" i="23"/>
  <c r="O355" i="23"/>
  <c r="O16" i="23"/>
  <c r="O26" i="23"/>
  <c r="O54" i="23"/>
  <c r="O46" i="23"/>
  <c r="O91" i="23"/>
  <c r="O109" i="23"/>
  <c r="O163" i="23"/>
  <c r="O76" i="23"/>
  <c r="O157" i="23"/>
  <c r="O198" i="23"/>
  <c r="O235" i="23"/>
  <c r="O280" i="23"/>
  <c r="O310" i="23"/>
  <c r="O346" i="23"/>
  <c r="O99" i="23"/>
  <c r="O187" i="23"/>
  <c r="O214" i="23"/>
  <c r="O281" i="23"/>
  <c r="O279" i="23"/>
  <c r="O319" i="23"/>
  <c r="O353" i="23"/>
  <c r="O315" i="23"/>
  <c r="O378" i="23"/>
  <c r="O368" i="23"/>
  <c r="AC229" i="22"/>
  <c r="AC380" i="22"/>
  <c r="AC372" i="22"/>
  <c r="AC175" i="22"/>
  <c r="AC248" i="22"/>
  <c r="AC192" i="22"/>
  <c r="AC242" i="22"/>
  <c r="AC245" i="22"/>
  <c r="AC163" i="22"/>
  <c r="AC227" i="22"/>
  <c r="G202" i="17"/>
  <c r="BZ202" i="6" s="1"/>
  <c r="H240" i="17"/>
  <c r="I240" i="17" s="1"/>
  <c r="H179" i="17"/>
  <c r="I179" i="17" s="1"/>
  <c r="H372" i="17"/>
  <c r="J372" i="17" s="1"/>
  <c r="H141" i="17"/>
  <c r="J141" i="17" s="1"/>
  <c r="H168" i="17"/>
  <c r="J168" i="17" s="1"/>
  <c r="G266" i="17"/>
  <c r="BZ266" i="6" s="1"/>
  <c r="H101" i="17"/>
  <c r="J101" i="17" s="1"/>
  <c r="H67" i="17"/>
  <c r="I67" i="17" s="1"/>
  <c r="H307" i="17"/>
  <c r="J307" i="17" s="1"/>
  <c r="H24" i="17"/>
  <c r="I24" i="17" s="1"/>
  <c r="H231" i="17"/>
  <c r="J231" i="17" s="1"/>
  <c r="H287" i="17"/>
  <c r="I287" i="17" s="1"/>
  <c r="AA299" i="17"/>
  <c r="Z299" i="17" s="1"/>
  <c r="Y299" i="17" s="1"/>
  <c r="AA135" i="17"/>
  <c r="Z135" i="17" s="1"/>
  <c r="Y135" i="17" s="1"/>
  <c r="AA117" i="17"/>
  <c r="Z117" i="17" s="1"/>
  <c r="Y117" i="17" s="1"/>
  <c r="AA158" i="17"/>
  <c r="Z158" i="17" s="1"/>
  <c r="Y158" i="17" s="1"/>
  <c r="AA24" i="17"/>
  <c r="Z24" i="17" s="1"/>
  <c r="Y24" i="17" s="1"/>
  <c r="AA372" i="17"/>
  <c r="Z372" i="17" s="1"/>
  <c r="Y372" i="17" s="1"/>
  <c r="AA290" i="17"/>
  <c r="Z290" i="17" s="1"/>
  <c r="Y290" i="17" s="1"/>
  <c r="AA222" i="17"/>
  <c r="Z222" i="17" s="1"/>
  <c r="Y222" i="17" s="1"/>
  <c r="AA316" i="17"/>
  <c r="Z316" i="17" s="1"/>
  <c r="Y316" i="17" s="1"/>
  <c r="AA353" i="17"/>
  <c r="Z353" i="17" s="1"/>
  <c r="Y353" i="17" s="1"/>
  <c r="AA231" i="17"/>
  <c r="Z231" i="17" s="1"/>
  <c r="Y231" i="17" s="1"/>
  <c r="AA179" i="17"/>
  <c r="Z179" i="17" s="1"/>
  <c r="Y179" i="17" s="1"/>
  <c r="AA55" i="17"/>
  <c r="Z55" i="17" s="1"/>
  <c r="Y55" i="17" s="1"/>
  <c r="AA303" i="17"/>
  <c r="Z303" i="17" s="1"/>
  <c r="Y303" i="17" s="1"/>
  <c r="AA323" i="17"/>
  <c r="Z323" i="17" s="1"/>
  <c r="Y323" i="17" s="1"/>
  <c r="G63" i="17"/>
  <c r="BZ63" i="6" s="1"/>
  <c r="AA63" i="17"/>
  <c r="Z63" i="17" s="1"/>
  <c r="Y63" i="17" s="1"/>
  <c r="G250" i="17"/>
  <c r="BZ250" i="6" s="1"/>
  <c r="H250" i="17"/>
  <c r="J250" i="17" s="1"/>
  <c r="G359" i="17"/>
  <c r="BZ359" i="6" s="1"/>
  <c r="AA359" i="17"/>
  <c r="Z359" i="17" s="1"/>
  <c r="Y359" i="17" s="1"/>
  <c r="H183" i="17"/>
  <c r="I183" i="17" s="1"/>
  <c r="G183" i="17"/>
  <c r="BZ183" i="6" s="1"/>
  <c r="H345" i="17"/>
  <c r="G345" i="17"/>
  <c r="BZ345" i="6" s="1"/>
  <c r="G59" i="17"/>
  <c r="BZ59" i="6" s="1"/>
  <c r="AA59" i="17"/>
  <c r="Z59" i="17" s="1"/>
  <c r="Y59" i="17" s="1"/>
  <c r="AA97" i="17"/>
  <c r="Z97" i="17" s="1"/>
  <c r="Y97" i="17" s="1"/>
  <c r="G97" i="17"/>
  <c r="BZ97" i="6" s="1"/>
  <c r="G22" i="17"/>
  <c r="BZ22" i="6" s="1"/>
  <c r="AA22" i="17"/>
  <c r="Z22" i="17" s="1"/>
  <c r="Y22" i="17" s="1"/>
  <c r="AA170" i="17"/>
  <c r="Z170" i="17" s="1"/>
  <c r="Y170" i="17" s="1"/>
  <c r="AA214" i="17"/>
  <c r="Z214" i="17" s="1"/>
  <c r="Y214" i="17" s="1"/>
  <c r="AA347" i="17"/>
  <c r="Z347" i="17" s="1"/>
  <c r="Y347" i="17" s="1"/>
  <c r="AA91" i="17"/>
  <c r="Z91" i="17" s="1"/>
  <c r="Y91" i="17" s="1"/>
  <c r="AA21" i="17"/>
  <c r="Z21" i="17" s="1"/>
  <c r="Y21" i="17" s="1"/>
  <c r="AA159" i="17"/>
  <c r="Z159" i="17" s="1"/>
  <c r="Y159" i="17" s="1"/>
  <c r="AA79" i="17"/>
  <c r="Z79" i="17" s="1"/>
  <c r="Y79" i="17" s="1"/>
  <c r="AA189" i="17"/>
  <c r="Z189" i="17" s="1"/>
  <c r="Y189" i="17" s="1"/>
  <c r="H18" i="17"/>
  <c r="I18" i="17" s="1"/>
  <c r="G77" i="17"/>
  <c r="BZ77" i="6" s="1"/>
  <c r="AA298" i="17"/>
  <c r="Z298" i="17" s="1"/>
  <c r="Y298" i="17" s="1"/>
  <c r="J197" i="16"/>
  <c r="H148" i="17"/>
  <c r="I148" i="17" s="1"/>
  <c r="H171" i="17"/>
  <c r="I171" i="17" s="1"/>
  <c r="H276" i="17"/>
  <c r="J276" i="17" s="1"/>
  <c r="H40" i="17"/>
  <c r="J40" i="17" s="1"/>
  <c r="H51" i="17"/>
  <c r="I51" i="17" s="1"/>
  <c r="H159" i="17"/>
  <c r="J159" i="17" s="1"/>
  <c r="H22" i="17"/>
  <c r="I22" i="17" s="1"/>
  <c r="H91" i="17"/>
  <c r="I91" i="17" s="1"/>
  <c r="H209" i="17"/>
  <c r="J209" i="17" s="1"/>
  <c r="H84" i="17"/>
  <c r="J84" i="17" s="1"/>
  <c r="H229" i="17"/>
  <c r="J229" i="17" s="1"/>
  <c r="H224" i="17"/>
  <c r="I224" i="17" s="1"/>
  <c r="H170" i="17"/>
  <c r="I170" i="17" s="1"/>
  <c r="H275" i="17"/>
  <c r="I275" i="17" s="1"/>
  <c r="D67" i="7"/>
  <c r="V29" i="17"/>
  <c r="F29" i="17" s="1"/>
  <c r="G29" i="17" s="1"/>
  <c r="BZ29" i="6" s="1"/>
  <c r="AA229" i="17"/>
  <c r="Z229" i="17" s="1"/>
  <c r="Y229" i="17" s="1"/>
  <c r="AA322" i="17"/>
  <c r="Z322" i="17" s="1"/>
  <c r="Y322" i="17" s="1"/>
  <c r="AA275" i="17"/>
  <c r="Z275" i="17" s="1"/>
  <c r="Y275" i="17" s="1"/>
  <c r="AA141" i="17"/>
  <c r="Z141" i="17" s="1"/>
  <c r="Y141" i="17" s="1"/>
  <c r="AA44" i="17"/>
  <c r="Z44" i="17" s="1"/>
  <c r="Y44" i="17" s="1"/>
  <c r="AA287" i="17"/>
  <c r="Z287" i="17" s="1"/>
  <c r="Y287" i="17" s="1"/>
  <c r="AA150" i="17"/>
  <c r="Z150" i="17" s="1"/>
  <c r="Y150" i="17" s="1"/>
  <c r="AA216" i="17"/>
  <c r="Z216" i="17" s="1"/>
  <c r="Y216" i="17" s="1"/>
  <c r="AA321" i="17"/>
  <c r="Z321" i="17" s="1"/>
  <c r="Y321" i="17" s="1"/>
  <c r="AA269" i="17"/>
  <c r="Z269" i="17" s="1"/>
  <c r="Y269" i="17" s="1"/>
  <c r="AA339" i="17"/>
  <c r="Z339" i="17" s="1"/>
  <c r="Y339" i="17" s="1"/>
  <c r="AA148" i="17"/>
  <c r="Z148" i="17" s="1"/>
  <c r="Y148" i="17" s="1"/>
  <c r="AA204" i="17"/>
  <c r="Z204" i="17" s="1"/>
  <c r="Y204" i="17" s="1"/>
  <c r="AA349" i="17"/>
  <c r="Z349" i="17" s="1"/>
  <c r="Y349" i="17" s="1"/>
  <c r="AA156" i="17"/>
  <c r="Z156" i="17" s="1"/>
  <c r="Y156" i="17" s="1"/>
  <c r="AA38" i="17"/>
  <c r="Z38" i="17" s="1"/>
  <c r="Y38" i="17" s="1"/>
  <c r="AA357" i="17"/>
  <c r="Z357" i="17" s="1"/>
  <c r="Y357" i="17" s="1"/>
  <c r="AA50" i="17"/>
  <c r="Z50" i="17" s="1"/>
  <c r="Y50" i="17" s="1"/>
  <c r="V149" i="17"/>
  <c r="D60" i="7"/>
  <c r="AA137" i="17"/>
  <c r="Z137" i="17" s="1"/>
  <c r="Y137" i="17" s="1"/>
  <c r="H35" i="17"/>
  <c r="I35" i="17" s="1"/>
  <c r="G35" i="17"/>
  <c r="BZ35" i="6" s="1"/>
  <c r="G163" i="17"/>
  <c r="BZ163" i="6" s="1"/>
  <c r="H163" i="17"/>
  <c r="I163" i="17" s="1"/>
  <c r="AA331" i="17"/>
  <c r="Z331" i="17" s="1"/>
  <c r="Y331" i="17" s="1"/>
  <c r="AA138" i="17"/>
  <c r="Z138" i="17" s="1"/>
  <c r="Y138" i="17" s="1"/>
  <c r="AA145" i="17"/>
  <c r="Z145" i="17" s="1"/>
  <c r="Y145" i="17" s="1"/>
  <c r="G156" i="17"/>
  <c r="BZ156" i="6" s="1"/>
  <c r="H58" i="17"/>
  <c r="J58" i="17" s="1"/>
  <c r="G236" i="17"/>
  <c r="BZ236" i="6" s="1"/>
  <c r="G137" i="17"/>
  <c r="BZ137" i="6" s="1"/>
  <c r="G169" i="17"/>
  <c r="BZ169" i="6" s="1"/>
  <c r="H53" i="17"/>
  <c r="I53" i="17" s="1"/>
  <c r="G181" i="17"/>
  <c r="BZ181" i="6" s="1"/>
  <c r="AA181" i="17"/>
  <c r="Z181" i="17" s="1"/>
  <c r="Y181" i="17" s="1"/>
  <c r="H181" i="17"/>
  <c r="J181" i="17" s="1"/>
  <c r="AA27" i="17"/>
  <c r="Z27" i="17" s="1"/>
  <c r="Y27" i="17" s="1"/>
  <c r="H300" i="17"/>
  <c r="I300" i="17" s="1"/>
  <c r="H38" i="17"/>
  <c r="I38" i="17" s="1"/>
  <c r="H315" i="17"/>
  <c r="I315" i="17" s="1"/>
  <c r="H184" i="17"/>
  <c r="J184" i="17" s="1"/>
  <c r="H157" i="17"/>
  <c r="J157" i="17" s="1"/>
  <c r="H263" i="17"/>
  <c r="I263" i="17" s="1"/>
  <c r="H213" i="17"/>
  <c r="J213" i="17" s="1"/>
  <c r="H217" i="17"/>
  <c r="I217" i="17" s="1"/>
  <c r="H357" i="17"/>
  <c r="J357" i="17" s="1"/>
  <c r="H368" i="17"/>
  <c r="J368" i="17" s="1"/>
  <c r="H223" i="17"/>
  <c r="J223" i="17" s="1"/>
  <c r="H337" i="17"/>
  <c r="J337" i="17" s="1"/>
  <c r="H284" i="17"/>
  <c r="J284" i="17" s="1"/>
  <c r="H198" i="17"/>
  <c r="I198" i="17" s="1"/>
  <c r="H259" i="17"/>
  <c r="I259" i="17" s="1"/>
  <c r="H39" i="17"/>
  <c r="I39" i="17" s="1"/>
  <c r="H78" i="17"/>
  <c r="I78" i="17" s="1"/>
  <c r="H215" i="17"/>
  <c r="J215" i="17" s="1"/>
  <c r="AA35" i="17"/>
  <c r="Z35" i="17" s="1"/>
  <c r="Y35" i="17" s="1"/>
  <c r="AA236" i="17"/>
  <c r="Z236" i="17" s="1"/>
  <c r="Y236" i="17" s="1"/>
  <c r="AA230" i="17"/>
  <c r="Z230" i="17" s="1"/>
  <c r="Y230" i="17" s="1"/>
  <c r="AA165" i="17"/>
  <c r="Z165" i="17" s="1"/>
  <c r="Y165" i="17" s="1"/>
  <c r="AA36" i="17"/>
  <c r="Z36" i="17" s="1"/>
  <c r="Y36" i="17" s="1"/>
  <c r="AA163" i="17"/>
  <c r="Z163" i="17" s="1"/>
  <c r="Y163" i="17" s="1"/>
  <c r="AA77" i="17"/>
  <c r="Z77" i="17" s="1"/>
  <c r="Y77" i="17" s="1"/>
  <c r="AA223" i="17"/>
  <c r="Z223" i="17" s="1"/>
  <c r="Y223" i="17" s="1"/>
  <c r="AA46" i="17"/>
  <c r="Z46" i="17" s="1"/>
  <c r="Y46" i="17" s="1"/>
  <c r="AA338" i="17"/>
  <c r="Z338" i="17" s="1"/>
  <c r="Y338" i="17" s="1"/>
  <c r="AA366" i="17"/>
  <c r="Z366" i="17" s="1"/>
  <c r="Y366" i="17" s="1"/>
  <c r="AA324" i="17"/>
  <c r="Z324" i="17" s="1"/>
  <c r="Y324" i="17" s="1"/>
  <c r="AA136" i="17"/>
  <c r="Z136" i="17" s="1"/>
  <c r="Y136" i="17" s="1"/>
  <c r="AA78" i="17"/>
  <c r="Z78" i="17" s="1"/>
  <c r="Y78" i="17" s="1"/>
  <c r="AA169" i="17"/>
  <c r="Z169" i="17" s="1"/>
  <c r="Y169" i="17" s="1"/>
  <c r="AA198" i="17"/>
  <c r="Z198" i="17" s="1"/>
  <c r="Y198" i="17" s="1"/>
  <c r="AA243" i="17"/>
  <c r="Z243" i="17" s="1"/>
  <c r="Y243" i="17" s="1"/>
  <c r="AA263" i="17"/>
  <c r="Z263" i="17" s="1"/>
  <c r="Y263" i="17" s="1"/>
  <c r="AA336" i="17"/>
  <c r="Z336" i="17" s="1"/>
  <c r="Y336" i="17" s="1"/>
  <c r="AA220" i="17"/>
  <c r="Z220" i="17" s="1"/>
  <c r="Y220" i="17" s="1"/>
  <c r="Q382" i="17"/>
  <c r="AA57" i="17"/>
  <c r="Z57" i="17" s="1"/>
  <c r="Y57" i="17" s="1"/>
  <c r="AA319" i="17"/>
  <c r="Z319" i="17" s="1"/>
  <c r="Y319" i="17" s="1"/>
  <c r="AA200" i="17"/>
  <c r="Z200" i="17" s="1"/>
  <c r="Y200" i="17" s="1"/>
  <c r="AA300" i="17"/>
  <c r="Z300" i="17" s="1"/>
  <c r="Y300" i="17" s="1"/>
  <c r="AA315" i="17"/>
  <c r="Z315" i="17" s="1"/>
  <c r="Y315" i="17" s="1"/>
  <c r="AA102" i="17"/>
  <c r="Z102" i="17" s="1"/>
  <c r="Y102" i="17" s="1"/>
  <c r="AA217" i="17"/>
  <c r="Z217" i="17" s="1"/>
  <c r="Y217" i="17" s="1"/>
  <c r="AA109" i="17"/>
  <c r="Z109" i="17" s="1"/>
  <c r="Y109" i="17" s="1"/>
  <c r="AA350" i="17"/>
  <c r="Z350" i="17" s="1"/>
  <c r="Y350" i="17" s="1"/>
  <c r="AA53" i="17"/>
  <c r="Z53" i="17" s="1"/>
  <c r="Y53" i="17" s="1"/>
  <c r="AA168" i="17"/>
  <c r="Z168" i="17" s="1"/>
  <c r="Y168" i="17" s="1"/>
  <c r="AA278" i="17"/>
  <c r="Z278" i="17" s="1"/>
  <c r="Y278" i="17" s="1"/>
  <c r="AA320" i="17"/>
  <c r="Z320" i="17" s="1"/>
  <c r="Y320" i="17" s="1"/>
  <c r="G30" i="17"/>
  <c r="BZ30" i="6" s="1"/>
  <c r="H43" i="17"/>
  <c r="I43" i="17" s="1"/>
  <c r="H93" i="17"/>
  <c r="J93" i="17" s="1"/>
  <c r="H138" i="17"/>
  <c r="I138" i="17" s="1"/>
  <c r="F363" i="17"/>
  <c r="AA363" i="17" s="1"/>
  <c r="Z363" i="17" s="1"/>
  <c r="Y363" i="17" s="1"/>
  <c r="H324" i="17"/>
  <c r="I324" i="17" s="1"/>
  <c r="H317" i="17"/>
  <c r="J317" i="17" s="1"/>
  <c r="H200" i="17"/>
  <c r="I200" i="17" s="1"/>
  <c r="H47" i="17"/>
  <c r="J47" i="17" s="1"/>
  <c r="H278" i="17"/>
  <c r="I278" i="17" s="1"/>
  <c r="H142" i="17"/>
  <c r="J142" i="17" s="1"/>
  <c r="H230" i="17"/>
  <c r="J230" i="17" s="1"/>
  <c r="H158" i="17"/>
  <c r="I158" i="17" s="1"/>
  <c r="H271" i="17"/>
  <c r="I271" i="17" s="1"/>
  <c r="H342" i="17"/>
  <c r="J342" i="17" s="1"/>
  <c r="H216" i="17"/>
  <c r="J216" i="17" s="1"/>
  <c r="H136" i="17"/>
  <c r="J136" i="17" s="1"/>
  <c r="H366" i="17"/>
  <c r="J366" i="17" s="1"/>
  <c r="H195" i="17"/>
  <c r="J195" i="17" s="1"/>
  <c r="H154" i="17"/>
  <c r="I154" i="17" s="1"/>
  <c r="H65" i="17"/>
  <c r="I65" i="17" s="1"/>
  <c r="H102" i="17"/>
  <c r="J102" i="17" s="1"/>
  <c r="H97" i="17"/>
  <c r="J97" i="17" s="1"/>
  <c r="H127" i="17"/>
  <c r="I127" i="17" s="1"/>
  <c r="H186" i="17"/>
  <c r="I186" i="17" s="1"/>
  <c r="H298" i="17"/>
  <c r="I298" i="17" s="1"/>
  <c r="H247" i="17"/>
  <c r="J247" i="17" s="1"/>
  <c r="AA154" i="17"/>
  <c r="Z154" i="17" s="1"/>
  <c r="Y154" i="17" s="1"/>
  <c r="AA177" i="17"/>
  <c r="Z177" i="17" s="1"/>
  <c r="Y177" i="17" s="1"/>
  <c r="AA276" i="17"/>
  <c r="Z276" i="17" s="1"/>
  <c r="Y276" i="17" s="1"/>
  <c r="AA132" i="17"/>
  <c r="Z132" i="17" s="1"/>
  <c r="Y132" i="17" s="1"/>
  <c r="AA358" i="17"/>
  <c r="Z358" i="17" s="1"/>
  <c r="Y358" i="17" s="1"/>
  <c r="AA313" i="17"/>
  <c r="Z313" i="17" s="1"/>
  <c r="Y313" i="17" s="1"/>
  <c r="AA288" i="17"/>
  <c r="Z288" i="17" s="1"/>
  <c r="Y288" i="17" s="1"/>
  <c r="AA40" i="17"/>
  <c r="Z40" i="17" s="1"/>
  <c r="Y40" i="17" s="1"/>
  <c r="AA16" i="17"/>
  <c r="Z16" i="17" s="1"/>
  <c r="Y16" i="17" s="1"/>
  <c r="AA221" i="17"/>
  <c r="Z221" i="17" s="1"/>
  <c r="Y221" i="17" s="1"/>
  <c r="AA345" i="17"/>
  <c r="Z345" i="17" s="1"/>
  <c r="Y345" i="17" s="1"/>
  <c r="AA283" i="17"/>
  <c r="Z283" i="17" s="1"/>
  <c r="Y283" i="17" s="1"/>
  <c r="AA327" i="17"/>
  <c r="Z327" i="17" s="1"/>
  <c r="Y327" i="17" s="1"/>
  <c r="AA213" i="17"/>
  <c r="Z213" i="17" s="1"/>
  <c r="Y213" i="17" s="1"/>
  <c r="AA305" i="17"/>
  <c r="Z305" i="17" s="1"/>
  <c r="Y305" i="17" s="1"/>
  <c r="AA271" i="17"/>
  <c r="Z271" i="17" s="1"/>
  <c r="Y271" i="17" s="1"/>
  <c r="AA23" i="17"/>
  <c r="Z23" i="17" s="1"/>
  <c r="Y23" i="17" s="1"/>
  <c r="AA227" i="17"/>
  <c r="Z227" i="17" s="1"/>
  <c r="Y227" i="17" s="1"/>
  <c r="AA65" i="17"/>
  <c r="Z65" i="17" s="1"/>
  <c r="Y65" i="17" s="1"/>
  <c r="AA39" i="17"/>
  <c r="Z39" i="17" s="1"/>
  <c r="Y39" i="17" s="1"/>
  <c r="AA341" i="17"/>
  <c r="Z341" i="17" s="1"/>
  <c r="Y341" i="17" s="1"/>
  <c r="AA284" i="17"/>
  <c r="Z284" i="17" s="1"/>
  <c r="Y284" i="17" s="1"/>
  <c r="AA342" i="17"/>
  <c r="Z342" i="17" s="1"/>
  <c r="Y342" i="17" s="1"/>
  <c r="AA274" i="17"/>
  <c r="Z274" i="17" s="1"/>
  <c r="Y274" i="17" s="1"/>
  <c r="AA164" i="17"/>
  <c r="Z164" i="17" s="1"/>
  <c r="Y164" i="17" s="1"/>
  <c r="AA368" i="17"/>
  <c r="Z368" i="17" s="1"/>
  <c r="Y368" i="17" s="1"/>
  <c r="AA332" i="17"/>
  <c r="Z332" i="17" s="1"/>
  <c r="Y332" i="17" s="1"/>
  <c r="AA266" i="17"/>
  <c r="Z266" i="17" s="1"/>
  <c r="Y266" i="17" s="1"/>
  <c r="AA18" i="17"/>
  <c r="Z18" i="17" s="1"/>
  <c r="Y18" i="17" s="1"/>
  <c r="AA143" i="17"/>
  <c r="Z143" i="17" s="1"/>
  <c r="Y143" i="17" s="1"/>
  <c r="AA215" i="17"/>
  <c r="Z215" i="17" s="1"/>
  <c r="Y215" i="17" s="1"/>
  <c r="AA291" i="17"/>
  <c r="Z291" i="17" s="1"/>
  <c r="Y291" i="17" s="1"/>
  <c r="AA128" i="17"/>
  <c r="Z128" i="17" s="1"/>
  <c r="Y128" i="17" s="1"/>
  <c r="AA247" i="17"/>
  <c r="Z247" i="17" s="1"/>
  <c r="Y247" i="17" s="1"/>
  <c r="AA171" i="17"/>
  <c r="Z171" i="17" s="1"/>
  <c r="Y171" i="17" s="1"/>
  <c r="AA167" i="17"/>
  <c r="Z167" i="17" s="1"/>
  <c r="Y167" i="17" s="1"/>
  <c r="AA184" i="17"/>
  <c r="Z184" i="17" s="1"/>
  <c r="Y184" i="17" s="1"/>
  <c r="AA369" i="17"/>
  <c r="Z369" i="17" s="1"/>
  <c r="Y369" i="17" s="1"/>
  <c r="AA142" i="17"/>
  <c r="Z142" i="17" s="1"/>
  <c r="Y142" i="17" s="1"/>
  <c r="AA306" i="17"/>
  <c r="Z306" i="17" s="1"/>
  <c r="Y306" i="17" s="1"/>
  <c r="AA183" i="17"/>
  <c r="Z183" i="17" s="1"/>
  <c r="Y183" i="17" s="1"/>
  <c r="AA259" i="17"/>
  <c r="Z259" i="17" s="1"/>
  <c r="Y259" i="17" s="1"/>
  <c r="AA186" i="17"/>
  <c r="Z186" i="17" s="1"/>
  <c r="Y186" i="17" s="1"/>
  <c r="AA337" i="17"/>
  <c r="Z337" i="17" s="1"/>
  <c r="Y337" i="17" s="1"/>
  <c r="AA121" i="17"/>
  <c r="Z121" i="17" s="1"/>
  <c r="Y121" i="17" s="1"/>
  <c r="AA209" i="17"/>
  <c r="Z209" i="17" s="1"/>
  <c r="Y209" i="17" s="1"/>
  <c r="AA238" i="17"/>
  <c r="Z238" i="17" s="1"/>
  <c r="Y238" i="17" s="1"/>
  <c r="AA83" i="17"/>
  <c r="Z83" i="17" s="1"/>
  <c r="Y83" i="17" s="1"/>
  <c r="AA42" i="17"/>
  <c r="Z42" i="17" s="1"/>
  <c r="Y42" i="17" s="1"/>
  <c r="AA157" i="17"/>
  <c r="Z157" i="17" s="1"/>
  <c r="Y157" i="17" s="1"/>
  <c r="AA346" i="17"/>
  <c r="Z346" i="17" s="1"/>
  <c r="Y346" i="17" s="1"/>
  <c r="AA33" i="17"/>
  <c r="Z33" i="17" s="1"/>
  <c r="Y33" i="17" s="1"/>
  <c r="AA317" i="17"/>
  <c r="Z317" i="17" s="1"/>
  <c r="Y317" i="17" s="1"/>
  <c r="AA310" i="17"/>
  <c r="Z310" i="17" s="1"/>
  <c r="Y310" i="17" s="1"/>
  <c r="AA294" i="17"/>
  <c r="Z294" i="17" s="1"/>
  <c r="Y294" i="17" s="1"/>
  <c r="AA352" i="17"/>
  <c r="Z352" i="17" s="1"/>
  <c r="Y352" i="17" s="1"/>
  <c r="G129" i="17"/>
  <c r="BZ129" i="6" s="1"/>
  <c r="AA30" i="17"/>
  <c r="Z30" i="17" s="1"/>
  <c r="Y30" i="17" s="1"/>
  <c r="G57" i="17"/>
  <c r="BZ57" i="6" s="1"/>
  <c r="G353" i="17"/>
  <c r="BZ353" i="6" s="1"/>
  <c r="AA152" i="17"/>
  <c r="Z152" i="17" s="1"/>
  <c r="Y152" i="17" s="1"/>
  <c r="H326" i="17"/>
  <c r="I326" i="17" s="1"/>
  <c r="H286" i="17"/>
  <c r="I286" i="17" s="1"/>
  <c r="H57" i="17"/>
  <c r="J57" i="17" s="1"/>
  <c r="H235" i="17"/>
  <c r="I235" i="17" s="1"/>
  <c r="H32" i="17"/>
  <c r="J32" i="17" s="1"/>
  <c r="H162" i="17"/>
  <c r="J162" i="17" s="1"/>
  <c r="H248" i="17"/>
  <c r="I248" i="17" s="1"/>
  <c r="H63" i="17"/>
  <c r="I63" i="17" s="1"/>
  <c r="AA219" i="17"/>
  <c r="Z219" i="17" s="1"/>
  <c r="Y219" i="17" s="1"/>
  <c r="AA250" i="17"/>
  <c r="Z250" i="17" s="1"/>
  <c r="Y250" i="17" s="1"/>
  <c r="AA348" i="17"/>
  <c r="Z348" i="17" s="1"/>
  <c r="Y348" i="17" s="1"/>
  <c r="AA67" i="17"/>
  <c r="Z67" i="17" s="1"/>
  <c r="Y67" i="17" s="1"/>
  <c r="AA101" i="17"/>
  <c r="Z101" i="17" s="1"/>
  <c r="Y101" i="17" s="1"/>
  <c r="AA242" i="17"/>
  <c r="Z242" i="17" s="1"/>
  <c r="Y242" i="17" s="1"/>
  <c r="AA92" i="17"/>
  <c r="Z92" i="17" s="1"/>
  <c r="Y92" i="17" s="1"/>
  <c r="AA133" i="17"/>
  <c r="Z133" i="17" s="1"/>
  <c r="Y133" i="17" s="1"/>
  <c r="H81" i="17"/>
  <c r="H176" i="17"/>
  <c r="I176" i="17" s="1"/>
  <c r="H98" i="17"/>
  <c r="H314" i="17"/>
  <c r="J314" i="17" s="1"/>
  <c r="H92" i="17"/>
  <c r="I92" i="17" s="1"/>
  <c r="H328" i="17"/>
  <c r="I328" i="17" s="1"/>
  <c r="H131" i="17"/>
  <c r="I131" i="17" s="1"/>
  <c r="V302" i="17"/>
  <c r="F302" i="17" s="1"/>
  <c r="G302" i="17" s="1"/>
  <c r="BZ302" i="6" s="1"/>
  <c r="AA248" i="17"/>
  <c r="Z248" i="17" s="1"/>
  <c r="Y248" i="17" s="1"/>
  <c r="AA328" i="17"/>
  <c r="Z328" i="17" s="1"/>
  <c r="Y328" i="17" s="1"/>
  <c r="AA93" i="17"/>
  <c r="Z93" i="17" s="1"/>
  <c r="Y93" i="17" s="1"/>
  <c r="AA28" i="17"/>
  <c r="Z28" i="17" s="1"/>
  <c r="Y28" i="17" s="1"/>
  <c r="AA131" i="17"/>
  <c r="Z131" i="17" s="1"/>
  <c r="Y131" i="17" s="1"/>
  <c r="AA235" i="17"/>
  <c r="Z235" i="17" s="1"/>
  <c r="Y235" i="17" s="1"/>
  <c r="AA129" i="17"/>
  <c r="Z129" i="17" s="1"/>
  <c r="Y129" i="17" s="1"/>
  <c r="AA286" i="17"/>
  <c r="Z286" i="17" s="1"/>
  <c r="Y286" i="17" s="1"/>
  <c r="AA98" i="17"/>
  <c r="Z98" i="17" s="1"/>
  <c r="Y98" i="17" s="1"/>
  <c r="AA58" i="17"/>
  <c r="Z58" i="17" s="1"/>
  <c r="Y58" i="17" s="1"/>
  <c r="AA267" i="17"/>
  <c r="Z267" i="17" s="1"/>
  <c r="Y267" i="17" s="1"/>
  <c r="AA326" i="17"/>
  <c r="Z326" i="17" s="1"/>
  <c r="Y326" i="17" s="1"/>
  <c r="AA54" i="17"/>
  <c r="Z54" i="17" s="1"/>
  <c r="Y54" i="17" s="1"/>
  <c r="AA162" i="17"/>
  <c r="Z162" i="17" s="1"/>
  <c r="Y162" i="17" s="1"/>
  <c r="AA364" i="17"/>
  <c r="Z364" i="17" s="1"/>
  <c r="Y364" i="17" s="1"/>
  <c r="G364" i="17"/>
  <c r="BZ364" i="6" s="1"/>
  <c r="AA218" i="17"/>
  <c r="Z218" i="17" s="1"/>
  <c r="Y218" i="17" s="1"/>
  <c r="G218" i="17"/>
  <c r="BZ218" i="6" s="1"/>
  <c r="AA245" i="17"/>
  <c r="Z245" i="17" s="1"/>
  <c r="Y245" i="17" s="1"/>
  <c r="G245" i="17"/>
  <c r="BZ245" i="6" s="1"/>
  <c r="G351" i="17"/>
  <c r="BZ351" i="6" s="1"/>
  <c r="AA351" i="17"/>
  <c r="Z351" i="17" s="1"/>
  <c r="Y351" i="17" s="1"/>
  <c r="G374" i="17"/>
  <c r="BZ374" i="6" s="1"/>
  <c r="AA374" i="17"/>
  <c r="Z374" i="17" s="1"/>
  <c r="Y374" i="17" s="1"/>
  <c r="H374" i="17"/>
  <c r="I374" i="17" s="1"/>
  <c r="AA228" i="17"/>
  <c r="Z228" i="17" s="1"/>
  <c r="Y228" i="17" s="1"/>
  <c r="H228" i="17"/>
  <c r="J228" i="17" s="1"/>
  <c r="G228" i="17"/>
  <c r="BZ228" i="6" s="1"/>
  <c r="AA233" i="17"/>
  <c r="Z233" i="17" s="1"/>
  <c r="Y233" i="17" s="1"/>
  <c r="G233" i="17"/>
  <c r="BZ233" i="6" s="1"/>
  <c r="D59" i="7"/>
  <c r="V119" i="17"/>
  <c r="F119" i="17" s="1"/>
  <c r="G26" i="17"/>
  <c r="BZ26" i="6" s="1"/>
  <c r="AA26" i="17"/>
  <c r="Z26" i="17" s="1"/>
  <c r="Y26" i="17" s="1"/>
  <c r="V88" i="17"/>
  <c r="F88" i="17" s="1"/>
  <c r="D58" i="7"/>
  <c r="AA273" i="17"/>
  <c r="Z273" i="17" s="1"/>
  <c r="Y273" i="17" s="1"/>
  <c r="G273" i="17"/>
  <c r="BZ273" i="6" s="1"/>
  <c r="H111" i="17"/>
  <c r="G111" i="17"/>
  <c r="BZ111" i="6" s="1"/>
  <c r="AA111" i="17"/>
  <c r="Z111" i="17" s="1"/>
  <c r="Y111" i="17" s="1"/>
  <c r="G151" i="17"/>
  <c r="BZ151" i="6" s="1"/>
  <c r="AA151" i="17"/>
  <c r="Z151" i="17" s="1"/>
  <c r="Y151" i="17" s="1"/>
  <c r="G94" i="17"/>
  <c r="BZ94" i="6" s="1"/>
  <c r="AA94" i="17"/>
  <c r="Z94" i="17" s="1"/>
  <c r="Y94" i="17" s="1"/>
  <c r="G251" i="17"/>
  <c r="BZ251" i="6" s="1"/>
  <c r="H251" i="17"/>
  <c r="J251" i="17" s="1"/>
  <c r="AA251" i="17"/>
  <c r="Z251" i="17" s="1"/>
  <c r="Y251" i="17" s="1"/>
  <c r="G334" i="17"/>
  <c r="BZ334" i="6" s="1"/>
  <c r="AA334" i="17"/>
  <c r="Z334" i="17" s="1"/>
  <c r="Y334" i="17" s="1"/>
  <c r="H334" i="17"/>
  <c r="AA188" i="17"/>
  <c r="Z188" i="17" s="1"/>
  <c r="Y188" i="17" s="1"/>
  <c r="G188" i="17"/>
  <c r="BZ188" i="6" s="1"/>
  <c r="G73" i="17"/>
  <c r="BZ73" i="6" s="1"/>
  <c r="AA73" i="17"/>
  <c r="Z73" i="17" s="1"/>
  <c r="Y73" i="17" s="1"/>
  <c r="G153" i="17"/>
  <c r="BZ153" i="6" s="1"/>
  <c r="AA153" i="17"/>
  <c r="Z153" i="17" s="1"/>
  <c r="Y153" i="17" s="1"/>
  <c r="G113" i="17"/>
  <c r="BZ113" i="6" s="1"/>
  <c r="AA113" i="17"/>
  <c r="Z113" i="17" s="1"/>
  <c r="Y113" i="17" s="1"/>
  <c r="AA62" i="17"/>
  <c r="Z62" i="17" s="1"/>
  <c r="Y62" i="17" s="1"/>
  <c r="G62" i="17"/>
  <c r="BZ62" i="6" s="1"/>
  <c r="V180" i="17"/>
  <c r="F180" i="17" s="1"/>
  <c r="D61" i="7"/>
  <c r="G89" i="17"/>
  <c r="BZ89" i="6" s="1"/>
  <c r="AA89" i="17"/>
  <c r="Z89" i="17" s="1"/>
  <c r="Y89" i="17" s="1"/>
  <c r="AA246" i="17"/>
  <c r="Z246" i="17" s="1"/>
  <c r="Y246" i="17" s="1"/>
  <c r="G246" i="17"/>
  <c r="BZ246" i="6" s="1"/>
  <c r="AA68" i="17"/>
  <c r="Z68" i="17" s="1"/>
  <c r="Y68" i="17" s="1"/>
  <c r="G68" i="17"/>
  <c r="BZ68" i="6" s="1"/>
  <c r="G253" i="17"/>
  <c r="BZ253" i="6" s="1"/>
  <c r="AA253" i="17"/>
  <c r="Z253" i="17" s="1"/>
  <c r="Y253" i="17" s="1"/>
  <c r="AA99" i="17"/>
  <c r="Z99" i="17" s="1"/>
  <c r="Y99" i="17" s="1"/>
  <c r="H99" i="17"/>
  <c r="J99" i="17" s="1"/>
  <c r="G99" i="17"/>
  <c r="BZ99" i="6" s="1"/>
  <c r="G130" i="17"/>
  <c r="BZ130" i="6" s="1"/>
  <c r="AA130" i="17"/>
  <c r="Z130" i="17" s="1"/>
  <c r="Y130" i="17" s="1"/>
  <c r="F258" i="17"/>
  <c r="AA108" i="17"/>
  <c r="Z108" i="17" s="1"/>
  <c r="Y108" i="17" s="1"/>
  <c r="G108" i="17"/>
  <c r="BZ108" i="6" s="1"/>
  <c r="F325" i="17"/>
  <c r="H325" i="17" s="1"/>
  <c r="I325" i="17" s="1"/>
  <c r="F75" i="17"/>
  <c r="H75" i="17" s="1"/>
  <c r="D64" i="19"/>
  <c r="G155" i="17"/>
  <c r="BZ155" i="6" s="1"/>
  <c r="AA155" i="17"/>
  <c r="Z155" i="17" s="1"/>
  <c r="Y155" i="17" s="1"/>
  <c r="G268" i="17"/>
  <c r="BZ268" i="6" s="1"/>
  <c r="AA268" i="17"/>
  <c r="Z268" i="17" s="1"/>
  <c r="Y268" i="17" s="1"/>
  <c r="H112" i="17"/>
  <c r="I112" i="17" s="1"/>
  <c r="G112" i="17"/>
  <c r="BZ112" i="6" s="1"/>
  <c r="AA112" i="17"/>
  <c r="Z112" i="17" s="1"/>
  <c r="Y112" i="17" s="1"/>
  <c r="G187" i="17"/>
  <c r="BZ187" i="6" s="1"/>
  <c r="AA187" i="17"/>
  <c r="Z187" i="17" s="1"/>
  <c r="Y187" i="17" s="1"/>
  <c r="G191" i="17"/>
  <c r="BZ191" i="6" s="1"/>
  <c r="AA191" i="17"/>
  <c r="Z191" i="17" s="1"/>
  <c r="Y191" i="17" s="1"/>
  <c r="AA304" i="17"/>
  <c r="Z304" i="17" s="1"/>
  <c r="Y304" i="17" s="1"/>
  <c r="G304" i="17"/>
  <c r="BZ304" i="6" s="1"/>
  <c r="F166" i="17"/>
  <c r="G64" i="19"/>
  <c r="AA178" i="17"/>
  <c r="Z178" i="17" s="1"/>
  <c r="Y178" i="17" s="1"/>
  <c r="G178" i="17"/>
  <c r="BZ178" i="6" s="1"/>
  <c r="H178" i="17"/>
  <c r="G64" i="17"/>
  <c r="BZ64" i="6" s="1"/>
  <c r="AA64" i="17"/>
  <c r="Z64" i="17" s="1"/>
  <c r="Y64" i="17" s="1"/>
  <c r="AA87" i="17"/>
  <c r="Z87" i="17" s="1"/>
  <c r="Y87" i="17" s="1"/>
  <c r="G87" i="17"/>
  <c r="BZ87" i="6" s="1"/>
  <c r="AA90" i="17"/>
  <c r="Z90" i="17" s="1"/>
  <c r="Y90" i="17" s="1"/>
  <c r="G90" i="17"/>
  <c r="BZ90" i="6" s="1"/>
  <c r="AA264" i="17"/>
  <c r="Z264" i="17" s="1"/>
  <c r="Y264" i="17" s="1"/>
  <c r="G264" i="17"/>
  <c r="BZ264" i="6" s="1"/>
  <c r="H264" i="17"/>
  <c r="I264" i="17" s="1"/>
  <c r="G120" i="17"/>
  <c r="BZ120" i="6" s="1"/>
  <c r="AA120" i="17"/>
  <c r="Z120" i="17" s="1"/>
  <c r="Y120" i="17" s="1"/>
  <c r="F48" i="17"/>
  <c r="G249" i="17"/>
  <c r="BZ249" i="6" s="1"/>
  <c r="AA249" i="17"/>
  <c r="Z249" i="17" s="1"/>
  <c r="Y249" i="17" s="1"/>
  <c r="G103" i="17"/>
  <c r="BZ103" i="6" s="1"/>
  <c r="AA103" i="17"/>
  <c r="Z103" i="17" s="1"/>
  <c r="Y103" i="17" s="1"/>
  <c r="AA256" i="17"/>
  <c r="Z256" i="17" s="1"/>
  <c r="Y256" i="17" s="1"/>
  <c r="G256" i="17"/>
  <c r="BZ256" i="6" s="1"/>
  <c r="G126" i="17"/>
  <c r="BZ126" i="6" s="1"/>
  <c r="AA126" i="17"/>
  <c r="Z126" i="17" s="1"/>
  <c r="Y126" i="17" s="1"/>
  <c r="H126" i="17"/>
  <c r="I126" i="17" s="1"/>
  <c r="F196" i="17"/>
  <c r="H196" i="17" s="1"/>
  <c r="AA344" i="17"/>
  <c r="Z344" i="17" s="1"/>
  <c r="Y344" i="17" s="1"/>
  <c r="G344" i="17"/>
  <c r="BZ344" i="6" s="1"/>
  <c r="G201" i="17"/>
  <c r="BZ201" i="6" s="1"/>
  <c r="AA201" i="17"/>
  <c r="Z201" i="17" s="1"/>
  <c r="Y201" i="17" s="1"/>
  <c r="AA355" i="17"/>
  <c r="Z355" i="17" s="1"/>
  <c r="Y355" i="17" s="1"/>
  <c r="G355" i="17"/>
  <c r="BZ355" i="6" s="1"/>
  <c r="AA370" i="17"/>
  <c r="Z370" i="17" s="1"/>
  <c r="Y370" i="17" s="1"/>
  <c r="G370" i="17"/>
  <c r="BZ370" i="6" s="1"/>
  <c r="G232" i="17"/>
  <c r="BZ232" i="6" s="1"/>
  <c r="AA232" i="17"/>
  <c r="Z232" i="17" s="1"/>
  <c r="Y232" i="17" s="1"/>
  <c r="AA56" i="17"/>
  <c r="Z56" i="17" s="1"/>
  <c r="Y56" i="17" s="1"/>
  <c r="G56" i="17"/>
  <c r="BZ56" i="6" s="1"/>
  <c r="H20" i="17"/>
  <c r="G20" i="17"/>
  <c r="BZ20" i="6" s="1"/>
  <c r="AA20" i="17"/>
  <c r="Z20" i="17" s="1"/>
  <c r="Y20" i="17" s="1"/>
  <c r="H205" i="17"/>
  <c r="I205" i="17" s="1"/>
  <c r="G205" i="17"/>
  <c r="BZ205" i="6" s="1"/>
  <c r="AA205" i="17"/>
  <c r="Z205" i="17" s="1"/>
  <c r="Y205" i="17" s="1"/>
  <c r="AA375" i="17"/>
  <c r="Z375" i="17" s="1"/>
  <c r="Y375" i="17" s="1"/>
  <c r="G375" i="17"/>
  <c r="BZ375" i="6" s="1"/>
  <c r="G34" i="17"/>
  <c r="BZ34" i="6" s="1"/>
  <c r="AA34" i="17"/>
  <c r="Z34" i="17" s="1"/>
  <c r="Y34" i="17" s="1"/>
  <c r="AA234" i="17"/>
  <c r="Z234" i="17" s="1"/>
  <c r="Y234" i="17" s="1"/>
  <c r="G234" i="17"/>
  <c r="BZ234" i="6" s="1"/>
  <c r="V60" i="17"/>
  <c r="C64" i="19" s="1"/>
  <c r="D57" i="7"/>
  <c r="F60" i="17"/>
  <c r="AA60" i="17" s="1"/>
  <c r="Z60" i="17" s="1"/>
  <c r="Y60" i="17" s="1"/>
  <c r="G277" i="17"/>
  <c r="BZ277" i="6" s="1"/>
  <c r="AA277" i="17"/>
  <c r="Z277" i="17" s="1"/>
  <c r="Y277" i="17" s="1"/>
  <c r="AA123" i="17"/>
  <c r="Z123" i="17" s="1"/>
  <c r="Y123" i="17" s="1"/>
  <c r="G123" i="17"/>
  <c r="BZ123" i="6" s="1"/>
  <c r="AA82" i="17"/>
  <c r="Z82" i="17" s="1"/>
  <c r="Y82" i="17" s="1"/>
  <c r="G82" i="17"/>
  <c r="BZ82" i="6" s="1"/>
  <c r="AA262" i="17"/>
  <c r="Z262" i="17" s="1"/>
  <c r="Y262" i="17" s="1"/>
  <c r="G262" i="17"/>
  <c r="BZ262" i="6" s="1"/>
  <c r="G100" i="17"/>
  <c r="BZ100" i="6" s="1"/>
  <c r="AA100" i="17"/>
  <c r="Z100" i="17" s="1"/>
  <c r="Y100" i="17" s="1"/>
  <c r="AA285" i="17"/>
  <c r="Z285" i="17" s="1"/>
  <c r="Y285" i="17" s="1"/>
  <c r="G285" i="17"/>
  <c r="BZ285" i="6" s="1"/>
  <c r="AA182" i="17"/>
  <c r="Z182" i="17" s="1"/>
  <c r="Y182" i="17" s="1"/>
  <c r="G182" i="17"/>
  <c r="BZ182" i="6" s="1"/>
  <c r="AA85" i="17"/>
  <c r="Z85" i="17" s="1"/>
  <c r="Y85" i="17" s="1"/>
  <c r="G85" i="17"/>
  <c r="BZ85" i="6" s="1"/>
  <c r="AA118" i="17"/>
  <c r="Z118" i="17" s="1"/>
  <c r="Y118" i="17" s="1"/>
  <c r="G118" i="17"/>
  <c r="BZ118" i="6" s="1"/>
  <c r="G295" i="17"/>
  <c r="BZ295" i="6" s="1"/>
  <c r="AA295" i="17"/>
  <c r="Z295" i="17" s="1"/>
  <c r="Y295" i="17" s="1"/>
  <c r="AA340" i="17"/>
  <c r="Z340" i="17" s="1"/>
  <c r="Y340" i="17" s="1"/>
  <c r="G340" i="17"/>
  <c r="BZ340" i="6" s="1"/>
  <c r="AA207" i="17"/>
  <c r="Z207" i="17" s="1"/>
  <c r="Y207" i="17" s="1"/>
  <c r="H207" i="17"/>
  <c r="J207" i="17" s="1"/>
  <c r="G207" i="17"/>
  <c r="BZ207" i="6" s="1"/>
  <c r="AA312" i="17"/>
  <c r="Z312" i="17" s="1"/>
  <c r="Y312" i="17" s="1"/>
  <c r="G312" i="17"/>
  <c r="BZ312" i="6" s="1"/>
  <c r="AA86" i="17"/>
  <c r="Z86" i="17" s="1"/>
  <c r="Y86" i="17" s="1"/>
  <c r="G86" i="17"/>
  <c r="BZ86" i="6" s="1"/>
  <c r="G279" i="17"/>
  <c r="BZ279" i="6" s="1"/>
  <c r="AA279" i="17"/>
  <c r="Z279" i="17" s="1"/>
  <c r="Y279" i="17" s="1"/>
  <c r="D63" i="7"/>
  <c r="V241" i="17"/>
  <c r="F241" i="17" s="1"/>
  <c r="G241" i="17" s="1"/>
  <c r="BZ241" i="6" s="1"/>
  <c r="G106" i="17"/>
  <c r="BZ106" i="6" s="1"/>
  <c r="AA106" i="17"/>
  <c r="Z106" i="17" s="1"/>
  <c r="Y106" i="17" s="1"/>
  <c r="AA252" i="17"/>
  <c r="Z252" i="17" s="1"/>
  <c r="Y252" i="17" s="1"/>
  <c r="G252" i="17"/>
  <c r="BZ252" i="6" s="1"/>
  <c r="AA80" i="17"/>
  <c r="Z80" i="17" s="1"/>
  <c r="Y80" i="17" s="1"/>
  <c r="G80" i="17"/>
  <c r="BZ80" i="6" s="1"/>
  <c r="G281" i="17"/>
  <c r="BZ281" i="6" s="1"/>
  <c r="AA281" i="17"/>
  <c r="Z281" i="17" s="1"/>
  <c r="Y281" i="17" s="1"/>
  <c r="AA71" i="17"/>
  <c r="Z71" i="17" s="1"/>
  <c r="Y71" i="17" s="1"/>
  <c r="G71" i="17"/>
  <c r="BZ71" i="6" s="1"/>
  <c r="AA122" i="17"/>
  <c r="Z122" i="17" s="1"/>
  <c r="Y122" i="17" s="1"/>
  <c r="G122" i="17"/>
  <c r="BZ122" i="6" s="1"/>
  <c r="G134" i="17"/>
  <c r="BZ134" i="6" s="1"/>
  <c r="AA134" i="17"/>
  <c r="Z134" i="17" s="1"/>
  <c r="Y134" i="17" s="1"/>
  <c r="G31" i="17"/>
  <c r="BZ31" i="6" s="1"/>
  <c r="AA31" i="17"/>
  <c r="Z31" i="17" s="1"/>
  <c r="Y31" i="17" s="1"/>
  <c r="AA308" i="17"/>
  <c r="Z308" i="17" s="1"/>
  <c r="Y308" i="17" s="1"/>
  <c r="G308" i="17"/>
  <c r="BZ308" i="6" s="1"/>
  <c r="G318" i="17"/>
  <c r="BZ318" i="6" s="1"/>
  <c r="AA318" i="17"/>
  <c r="Z318" i="17" s="1"/>
  <c r="Y318" i="17" s="1"/>
  <c r="G172" i="17"/>
  <c r="BZ172" i="6" s="1"/>
  <c r="AA172" i="17"/>
  <c r="Z172" i="17" s="1"/>
  <c r="Y172" i="17" s="1"/>
  <c r="H172" i="17"/>
  <c r="AA105" i="17"/>
  <c r="Z105" i="17" s="1"/>
  <c r="Y105" i="17" s="1"/>
  <c r="G105" i="17"/>
  <c r="BZ105" i="6" s="1"/>
  <c r="AA110" i="17"/>
  <c r="Z110" i="17" s="1"/>
  <c r="Y110" i="17" s="1"/>
  <c r="G110" i="17"/>
  <c r="BZ110" i="6" s="1"/>
  <c r="AA330" i="17"/>
  <c r="Z330" i="17" s="1"/>
  <c r="Y330" i="17" s="1"/>
  <c r="G330" i="17"/>
  <c r="BZ330" i="6" s="1"/>
  <c r="H192" i="17"/>
  <c r="I192" i="17" s="1"/>
  <c r="G192" i="17"/>
  <c r="BZ192" i="6" s="1"/>
  <c r="AA192" i="17"/>
  <c r="Z192" i="17" s="1"/>
  <c r="Y192" i="17" s="1"/>
  <c r="G309" i="17"/>
  <c r="BZ309" i="6" s="1"/>
  <c r="AA309" i="17"/>
  <c r="Z309" i="17" s="1"/>
  <c r="Y309" i="17" s="1"/>
  <c r="F139" i="17"/>
  <c r="H139" i="17" s="1"/>
  <c r="G66" i="17"/>
  <c r="BZ66" i="6" s="1"/>
  <c r="AA66" i="17"/>
  <c r="Z66" i="17" s="1"/>
  <c r="Y66" i="17" s="1"/>
  <c r="AA76" i="17"/>
  <c r="Z76" i="17" s="1"/>
  <c r="Y76" i="17" s="1"/>
  <c r="G76" i="17"/>
  <c r="BZ76" i="6" s="1"/>
  <c r="G239" i="17"/>
  <c r="BZ239" i="6" s="1"/>
  <c r="AA239" i="17"/>
  <c r="Z239" i="17" s="1"/>
  <c r="Y239" i="17" s="1"/>
  <c r="AA190" i="17"/>
  <c r="Z190" i="17" s="1"/>
  <c r="Y190" i="17" s="1"/>
  <c r="G190" i="17"/>
  <c r="BZ190" i="6" s="1"/>
  <c r="AA69" i="17"/>
  <c r="Z69" i="17" s="1"/>
  <c r="Y69" i="17" s="1"/>
  <c r="G69" i="17"/>
  <c r="BZ69" i="6" s="1"/>
  <c r="G311" i="17"/>
  <c r="BZ311" i="6" s="1"/>
  <c r="AA311" i="17"/>
  <c r="Z311" i="17" s="1"/>
  <c r="Y311" i="17" s="1"/>
  <c r="G45" i="17"/>
  <c r="BZ45" i="6" s="1"/>
  <c r="AA45" i="17"/>
  <c r="Z45" i="17" s="1"/>
  <c r="Y45" i="17" s="1"/>
  <c r="H49" i="17"/>
  <c r="I49" i="17" s="1"/>
  <c r="G49" i="17"/>
  <c r="BZ49" i="6" s="1"/>
  <c r="AA49" i="17"/>
  <c r="Z49" i="17" s="1"/>
  <c r="Y49" i="17" s="1"/>
  <c r="G161" i="17"/>
  <c r="BZ161" i="6" s="1"/>
  <c r="AA161" i="17"/>
  <c r="Z161" i="17" s="1"/>
  <c r="Y161" i="17" s="1"/>
  <c r="AA333" i="17"/>
  <c r="Z333" i="17" s="1"/>
  <c r="Y333" i="17" s="1"/>
  <c r="H295" i="17"/>
  <c r="I295" i="17" s="1"/>
  <c r="H285" i="17"/>
  <c r="I285" i="17" s="1"/>
  <c r="H262" i="17"/>
  <c r="J262" i="17" s="1"/>
  <c r="H34" i="17"/>
  <c r="I34" i="17" s="1"/>
  <c r="H82" i="17"/>
  <c r="I82" i="17" s="1"/>
  <c r="H56" i="17"/>
  <c r="I56" i="17" s="1"/>
  <c r="H308" i="17"/>
  <c r="J308" i="17" s="1"/>
  <c r="H71" i="17"/>
  <c r="J71" i="17" s="1"/>
  <c r="H100" i="17"/>
  <c r="I100" i="17" s="1"/>
  <c r="H182" i="17"/>
  <c r="I182" i="17" s="1"/>
  <c r="H233" i="17"/>
  <c r="J233" i="17" s="1"/>
  <c r="H340" i="17"/>
  <c r="I340" i="17" s="1"/>
  <c r="H153" i="17"/>
  <c r="I153" i="17" s="1"/>
  <c r="H190" i="17"/>
  <c r="I190" i="17" s="1"/>
  <c r="H279" i="17"/>
  <c r="I279" i="17" s="1"/>
  <c r="H151" i="17"/>
  <c r="J151" i="17" s="1"/>
  <c r="H73" i="17"/>
  <c r="I73" i="17" s="1"/>
  <c r="H281" i="17"/>
  <c r="I281" i="17" s="1"/>
  <c r="H90" i="17"/>
  <c r="I90" i="17" s="1"/>
  <c r="H218" i="17"/>
  <c r="I218" i="17" s="1"/>
  <c r="H245" i="17"/>
  <c r="I245" i="17" s="1"/>
  <c r="H106" i="17"/>
  <c r="J106" i="17" s="1"/>
  <c r="H188" i="17"/>
  <c r="I188" i="17" s="1"/>
  <c r="P19" i="17"/>
  <c r="V19" i="17" s="1"/>
  <c r="F19" i="17" s="1"/>
  <c r="BP11" i="7"/>
  <c r="BJ15" i="7"/>
  <c r="BL11" i="7"/>
  <c r="BK11" i="7"/>
  <c r="Q383" i="17"/>
  <c r="H130" i="17"/>
  <c r="J130" i="17" s="1"/>
  <c r="H246" i="17"/>
  <c r="I246" i="17" s="1"/>
  <c r="H64" i="17"/>
  <c r="H45" i="17"/>
  <c r="J45" i="17" s="1"/>
  <c r="H234" i="17"/>
  <c r="J234" i="17" s="1"/>
  <c r="H268" i="17"/>
  <c r="I268" i="17" s="1"/>
  <c r="H239" i="17"/>
  <c r="H68" i="17"/>
  <c r="J68" i="17" s="1"/>
  <c r="H80" i="17"/>
  <c r="H355" i="17"/>
  <c r="H252" i="17"/>
  <c r="I252" i="17" s="1"/>
  <c r="H187" i="17"/>
  <c r="J187" i="17" s="1"/>
  <c r="H351" i="17"/>
  <c r="I351" i="17" s="1"/>
  <c r="H31" i="17"/>
  <c r="H62" i="17"/>
  <c r="J62" i="17" s="1"/>
  <c r="H94" i="17"/>
  <c r="J94" i="17" s="1"/>
  <c r="H26" i="17"/>
  <c r="I26" i="17" s="1"/>
  <c r="H86" i="17"/>
  <c r="H191" i="17"/>
  <c r="I191" i="17" s="1"/>
  <c r="H304" i="17"/>
  <c r="I304" i="17" s="1"/>
  <c r="H311" i="17"/>
  <c r="J311" i="17" s="1"/>
  <c r="H155" i="17"/>
  <c r="I155" i="17" s="1"/>
  <c r="H370" i="17"/>
  <c r="H201" i="17"/>
  <c r="I201" i="17" s="1"/>
  <c r="H318" i="17"/>
  <c r="I318" i="17" s="1"/>
  <c r="AE383" i="17"/>
  <c r="AE381" i="17"/>
  <c r="AE382" i="17"/>
  <c r="L19" i="19"/>
  <c r="P10" i="24"/>
  <c r="AE11" i="24"/>
  <c r="AI11" i="24"/>
  <c r="AK7" i="24"/>
  <c r="AK11" i="24" s="1"/>
  <c r="AM5" i="24"/>
  <c r="AK5" i="24"/>
  <c r="AM9" i="24"/>
  <c r="AM7" i="24"/>
  <c r="AM11" i="24" s="1"/>
  <c r="AK3" i="24" s="1"/>
  <c r="Q19" i="19" s="1"/>
  <c r="AK9" i="24"/>
  <c r="V15" i="7"/>
  <c r="Q12" i="18"/>
  <c r="D64" i="7"/>
  <c r="V272" i="17"/>
  <c r="J64" i="19" s="1"/>
  <c r="P379" i="17"/>
  <c r="F8" i="25"/>
  <c r="AK30" i="25"/>
  <c r="AK27" i="25"/>
  <c r="AK50" i="25"/>
  <c r="AK38" i="25"/>
  <c r="AK57" i="25"/>
  <c r="AK81" i="25"/>
  <c r="AK52" i="25"/>
  <c r="AK72" i="25"/>
  <c r="AK86" i="25"/>
  <c r="AK99" i="25"/>
  <c r="AK120" i="25"/>
  <c r="AK136" i="25"/>
  <c r="AK148" i="25"/>
  <c r="AK171" i="25"/>
  <c r="AK25" i="25"/>
  <c r="AK84" i="25"/>
  <c r="AK107" i="25"/>
  <c r="AK162" i="25"/>
  <c r="AK189" i="25"/>
  <c r="AK204" i="25"/>
  <c r="AK224" i="25"/>
  <c r="AK235" i="25"/>
  <c r="AK246" i="25"/>
  <c r="AK261" i="25"/>
  <c r="AK277" i="25"/>
  <c r="AK292" i="25"/>
  <c r="AK311" i="25"/>
  <c r="AK328" i="25"/>
  <c r="AK345" i="25"/>
  <c r="AK354" i="25"/>
  <c r="AK115" i="25"/>
  <c r="AK112" i="25"/>
  <c r="AK153" i="25"/>
  <c r="AK185" i="25"/>
  <c r="AK208" i="25"/>
  <c r="AK151" i="25"/>
  <c r="AK216" i="25"/>
  <c r="AK247" i="25"/>
  <c r="AK271" i="25"/>
  <c r="AK298" i="25"/>
  <c r="AK320" i="25"/>
  <c r="AK236" i="25"/>
  <c r="AK288" i="25"/>
  <c r="AK325" i="25"/>
  <c r="AK365" i="25"/>
  <c r="AK356" i="25"/>
  <c r="AK375" i="25"/>
  <c r="AK18" i="25"/>
  <c r="AK34" i="25"/>
  <c r="AK35" i="25"/>
  <c r="AK56" i="25"/>
  <c r="AK79" i="25"/>
  <c r="AK51" i="25"/>
  <c r="AK69" i="25"/>
  <c r="AK85" i="25"/>
  <c r="AK97" i="25"/>
  <c r="AK119" i="25"/>
  <c r="AK135" i="25"/>
  <c r="AK146" i="25"/>
  <c r="AK169" i="25"/>
  <c r="AK181" i="25"/>
  <c r="AK74" i="25"/>
  <c r="AK106" i="25"/>
  <c r="AK156" i="25"/>
  <c r="AK188" i="25"/>
  <c r="AK203" i="25"/>
  <c r="AK223" i="25"/>
  <c r="AK234" i="25"/>
  <c r="AK245" i="25"/>
  <c r="AK259" i="25"/>
  <c r="AK276" i="25"/>
  <c r="AK290" i="25"/>
  <c r="AK310" i="25"/>
  <c r="AK327" i="25"/>
  <c r="AK344" i="25"/>
  <c r="AK353" i="25"/>
  <c r="AK98" i="25"/>
  <c r="AK101" i="25"/>
  <c r="AK152" i="25"/>
  <c r="AK183" i="25"/>
  <c r="AK207" i="25"/>
  <c r="AK150" i="25"/>
  <c r="AK215" i="25"/>
  <c r="AK243" i="25"/>
  <c r="AK270" i="25"/>
  <c r="AK296" i="25"/>
  <c r="AK319" i="25"/>
  <c r="AK232" i="25"/>
  <c r="AK284" i="25"/>
  <c r="AK324" i="25"/>
  <c r="AK363" i="25"/>
  <c r="AK342" i="25"/>
  <c r="AK374" i="25"/>
  <c r="AK28" i="25"/>
  <c r="AK46" i="25"/>
  <c r="AK77" i="25"/>
  <c r="AK33" i="25"/>
  <c r="AK68" i="25"/>
  <c r="AK83" i="25"/>
  <c r="AK96" i="25"/>
  <c r="AK116" i="25"/>
  <c r="AK133" i="25"/>
  <c r="AK145" i="25"/>
  <c r="AK168" i="25"/>
  <c r="AK180" i="25"/>
  <c r="AK66" i="25"/>
  <c r="AK105" i="25"/>
  <c r="AK154" i="25"/>
  <c r="AK187" i="25"/>
  <c r="AK201" i="25"/>
  <c r="AK222" i="25"/>
  <c r="AK233" i="25"/>
  <c r="AK244" i="25"/>
  <c r="AK258" i="25"/>
  <c r="AK272" i="25"/>
  <c r="AK289" i="25"/>
  <c r="AK306" i="25"/>
  <c r="AK323" i="25"/>
  <c r="AK343" i="25"/>
  <c r="AK352" i="25"/>
  <c r="AK49" i="25"/>
  <c r="AK93" i="25"/>
  <c r="AK147" i="25"/>
  <c r="AK170" i="25"/>
  <c r="AK205" i="25"/>
  <c r="AK138" i="25"/>
  <c r="AK213" i="25"/>
  <c r="AK238" i="25"/>
  <c r="AK269" i="25"/>
  <c r="AK294" i="25"/>
  <c r="AK318" i="25"/>
  <c r="AK226" i="25"/>
  <c r="AK279" i="25"/>
  <c r="AK322" i="25"/>
  <c r="AK362" i="25"/>
  <c r="AK372" i="25"/>
  <c r="AK373" i="25"/>
  <c r="AK380" i="25"/>
  <c r="AK29" i="25"/>
  <c r="AK26" i="25"/>
  <c r="AK47" i="25"/>
  <c r="AK71" i="25"/>
  <c r="AK32" i="25"/>
  <c r="AK67" i="25"/>
  <c r="AK80" i="25"/>
  <c r="AK94" i="25"/>
  <c r="AK113" i="25"/>
  <c r="AK132" i="25"/>
  <c r="AK144" i="25"/>
  <c r="AK164" i="25"/>
  <c r="AK178" i="25"/>
  <c r="AK63" i="25"/>
  <c r="AK104" i="25"/>
  <c r="AK142" i="25"/>
  <c r="AK184" i="25"/>
  <c r="AK200" i="25"/>
  <c r="AK220" i="25"/>
  <c r="AK231" i="25"/>
  <c r="AK242" i="25"/>
  <c r="AK253" i="25"/>
  <c r="AK268" i="25"/>
  <c r="AK285" i="25"/>
  <c r="AK305" i="25"/>
  <c r="AK321" i="25"/>
  <c r="AK339" i="25"/>
  <c r="AK351" i="25"/>
  <c r="AK48" i="25"/>
  <c r="AK91" i="25"/>
  <c r="AK141" i="25"/>
  <c r="AK167" i="25"/>
  <c r="AK202" i="25"/>
  <c r="AK134" i="25"/>
  <c r="AK192" i="25"/>
  <c r="AK228" i="25"/>
  <c r="AK262" i="25"/>
  <c r="AK293" i="25"/>
  <c r="AK316" i="25"/>
  <c r="AK337" i="25"/>
  <c r="AK275" i="25"/>
  <c r="AK309" i="25"/>
  <c r="AK348" i="25"/>
  <c r="AK371" i="25"/>
  <c r="AK369" i="25"/>
  <c r="AK21" i="25"/>
  <c r="P12" i="25"/>
  <c r="AK42" i="25"/>
  <c r="AK37" i="25"/>
  <c r="AK15" i="25"/>
  <c r="AK78" i="25"/>
  <c r="AK111" i="25"/>
  <c r="AK143" i="25"/>
  <c r="AK55" i="25"/>
  <c r="AK131" i="25"/>
  <c r="AK199" i="25"/>
  <c r="AK230" i="25"/>
  <c r="AK251" i="25"/>
  <c r="AK304" i="25"/>
  <c r="AK317" i="25"/>
  <c r="AK350" i="25"/>
  <c r="AK58" i="25"/>
  <c r="AK166" i="25"/>
  <c r="AK128" i="25"/>
  <c r="AK221" i="25"/>
  <c r="AK287" i="25"/>
  <c r="AK336" i="25"/>
  <c r="AK307" i="25"/>
  <c r="AK370" i="25"/>
  <c r="AK378" i="25"/>
  <c r="AK23" i="25"/>
  <c r="AK64" i="25"/>
  <c r="AK60" i="25"/>
  <c r="AK90" i="25"/>
  <c r="AK124" i="25"/>
  <c r="AK159" i="25"/>
  <c r="AK53" i="25"/>
  <c r="AK122" i="25"/>
  <c r="AK198" i="25"/>
  <c r="AK229" i="25"/>
  <c r="AK250" i="25"/>
  <c r="AK265" i="25"/>
  <c r="AK303" i="25"/>
  <c r="AK333" i="25"/>
  <c r="AK360" i="25"/>
  <c r="AK127" i="25"/>
  <c r="AK126" i="25"/>
  <c r="AK219" i="25"/>
  <c r="AK286" i="25"/>
  <c r="AK335" i="25"/>
  <c r="AK297" i="25"/>
  <c r="AK368" i="25"/>
  <c r="AK379" i="25"/>
  <c r="AK62" i="25"/>
  <c r="AK59" i="25"/>
  <c r="AK89" i="25"/>
  <c r="AK123" i="25"/>
  <c r="AK155" i="25"/>
  <c r="AK36" i="25"/>
  <c r="AK117" i="25"/>
  <c r="AK196" i="25"/>
  <c r="AK227" i="25"/>
  <c r="AK249" i="25"/>
  <c r="AK264" i="25"/>
  <c r="AK313" i="25"/>
  <c r="AK332" i="25"/>
  <c r="AK358" i="25"/>
  <c r="AK158" i="25"/>
  <c r="AK211" i="25"/>
  <c r="AK218" i="25"/>
  <c r="AK278" i="25"/>
  <c r="AK334" i="25"/>
  <c r="AK295" i="25"/>
  <c r="AK367" i="25"/>
  <c r="AK377" i="25"/>
  <c r="AK39" i="25"/>
  <c r="AK61" i="25"/>
  <c r="AK54" i="25"/>
  <c r="AK88" i="25"/>
  <c r="AK121" i="25"/>
  <c r="AK149" i="25"/>
  <c r="AK31" i="25"/>
  <c r="AK109" i="25"/>
  <c r="AK193" i="25"/>
  <c r="AK206" i="25"/>
  <c r="AK248" i="25"/>
  <c r="AK280" i="25"/>
  <c r="AK312" i="25"/>
  <c r="AK329" i="25"/>
  <c r="AK118" i="25"/>
  <c r="AK157" i="25"/>
  <c r="AK209" i="25"/>
  <c r="AK217" i="25"/>
  <c r="AK274" i="25"/>
  <c r="AK331" i="25"/>
  <c r="AK291" i="25"/>
  <c r="AK366" i="25"/>
  <c r="AK376" i="25"/>
  <c r="AK19" i="25"/>
  <c r="AK70" i="25"/>
  <c r="AK65" i="25"/>
  <c r="AK92" i="25"/>
  <c r="AK129" i="25"/>
  <c r="AK161" i="25"/>
  <c r="AK177" i="25"/>
  <c r="AK103" i="25"/>
  <c r="AK179" i="25"/>
  <c r="AK214" i="25"/>
  <c r="AK241" i="25"/>
  <c r="AK267" i="25"/>
  <c r="AK283" i="25"/>
  <c r="AK338" i="25"/>
  <c r="AK44" i="25"/>
  <c r="AK130" i="25"/>
  <c r="AK197" i="25"/>
  <c r="AK191" i="25"/>
  <c r="AK260" i="25"/>
  <c r="AK314" i="25"/>
  <c r="AK273" i="25"/>
  <c r="AK341" i="25"/>
  <c r="AK364" i="25"/>
  <c r="AK22" i="25"/>
  <c r="AK45" i="25"/>
  <c r="AK17" i="25"/>
  <c r="AK76" i="25"/>
  <c r="AK110" i="25"/>
  <c r="AK140" i="25"/>
  <c r="AK176" i="25"/>
  <c r="AK100" i="25"/>
  <c r="AK174" i="25"/>
  <c r="AK212" i="25"/>
  <c r="AK240" i="25"/>
  <c r="AK282" i="25"/>
  <c r="AK315" i="25"/>
  <c r="AK349" i="25"/>
  <c r="AK43" i="25"/>
  <c r="AK160" i="25"/>
  <c r="AK195" i="25"/>
  <c r="AK186" i="25"/>
  <c r="AK257" i="25"/>
  <c r="AK308" i="25"/>
  <c r="AK266" i="25"/>
  <c r="AK340" i="25"/>
  <c r="AK361" i="25"/>
  <c r="AK24" i="25"/>
  <c r="AK16" i="25"/>
  <c r="AK75" i="25"/>
  <c r="AK108" i="25"/>
  <c r="AK139" i="25"/>
  <c r="AK175" i="25"/>
  <c r="AK95" i="25"/>
  <c r="AK172" i="25"/>
  <c r="AK210" i="25"/>
  <c r="AK239" i="25"/>
  <c r="AK281" i="25"/>
  <c r="AK301" i="25"/>
  <c r="AK347" i="25"/>
  <c r="AK40" i="25"/>
  <c r="AK125" i="25"/>
  <c r="AK194" i="25"/>
  <c r="AK182" i="25"/>
  <c r="AK255" i="25"/>
  <c r="AK302" i="25"/>
  <c r="AK256" i="25"/>
  <c r="AK330" i="25"/>
  <c r="AK359" i="25"/>
  <c r="AK20" i="25"/>
  <c r="AK41" i="25"/>
  <c r="AK82" i="25"/>
  <c r="AK73" i="25"/>
  <c r="AK102" i="25"/>
  <c r="AK137" i="25"/>
  <c r="AK173" i="25"/>
  <c r="AK87" i="25"/>
  <c r="AK163" i="25"/>
  <c r="AK225" i="25"/>
  <c r="AK237" i="25"/>
  <c r="AK263" i="25"/>
  <c r="AK300" i="25"/>
  <c r="AK346" i="25"/>
  <c r="AK355" i="25"/>
  <c r="AK114" i="25"/>
  <c r="AK190" i="25"/>
  <c r="AK165" i="25"/>
  <c r="AK252" i="25"/>
  <c r="AK299" i="25"/>
  <c r="AK254" i="25"/>
  <c r="AK326" i="25"/>
  <c r="AK357" i="25"/>
  <c r="Q381" i="17"/>
  <c r="J325" i="16"/>
  <c r="J78" i="16"/>
  <c r="J356" i="16"/>
  <c r="J302" i="15"/>
  <c r="J302" i="16" s="1"/>
  <c r="J318" i="16"/>
  <c r="J237" i="16"/>
  <c r="J339" i="16"/>
  <c r="J106" i="16"/>
  <c r="J188" i="16"/>
  <c r="J39" i="16"/>
  <c r="J201" i="16"/>
  <c r="AC382" i="20"/>
  <c r="AC381" i="20"/>
  <c r="AC383" i="20"/>
  <c r="J298" i="16"/>
  <c r="J218" i="16"/>
  <c r="J259" i="16"/>
  <c r="J167" i="16"/>
  <c r="J63" i="16"/>
  <c r="J248" i="16"/>
  <c r="AC152" i="22"/>
  <c r="AC297" i="22"/>
  <c r="AC258" i="22"/>
  <c r="AC250" i="22"/>
  <c r="AC341" i="22"/>
  <c r="AC209" i="22"/>
  <c r="AC348" i="22"/>
  <c r="AC355" i="22"/>
  <c r="AC162" i="22"/>
  <c r="AC278" i="22"/>
  <c r="AC254" i="22"/>
  <c r="AC302" i="22"/>
  <c r="AC151" i="22"/>
  <c r="AC326" i="22"/>
  <c r="AC195" i="22"/>
  <c r="AC318" i="22"/>
  <c r="AC301" i="22"/>
  <c r="AC160" i="22"/>
  <c r="AC299" i="22"/>
  <c r="AC316" i="22"/>
  <c r="AC256" i="22"/>
  <c r="AC251" i="22"/>
  <c r="AC181" i="22"/>
  <c r="AC214" i="22"/>
  <c r="AC231" i="22"/>
  <c r="AC280" i="22"/>
  <c r="AC367" i="22"/>
  <c r="AC306" i="22"/>
  <c r="AC239" i="22"/>
  <c r="AC354" i="22"/>
  <c r="AC155" i="22"/>
  <c r="AC154" i="22"/>
  <c r="AC225" i="22"/>
  <c r="AC168" i="22"/>
  <c r="AC206" i="22"/>
  <c r="AC322" i="22"/>
  <c r="AC312" i="22"/>
  <c r="AC265" i="22"/>
  <c r="AC222" i="22"/>
  <c r="AC238" i="22"/>
  <c r="AC240" i="22"/>
  <c r="AC237" i="22"/>
  <c r="AC285" i="22"/>
  <c r="AC148" i="22"/>
  <c r="AC136" i="22"/>
  <c r="AC374" i="22"/>
  <c r="AC338" i="22"/>
  <c r="AC183" i="22"/>
  <c r="AC339" i="22"/>
  <c r="AC317" i="22"/>
  <c r="AC262" i="22"/>
  <c r="AC272" i="22"/>
  <c r="AC259" i="22"/>
  <c r="AC153" i="22"/>
  <c r="AC321" i="22"/>
  <c r="AC365" i="22"/>
  <c r="AC363" i="22"/>
  <c r="AC184" i="22"/>
  <c r="AC352" i="22"/>
  <c r="AC247" i="22"/>
  <c r="AC234" i="22"/>
  <c r="AC283" i="22"/>
  <c r="AC142" i="22"/>
  <c r="AC340" i="22"/>
  <c r="AC208" i="22"/>
  <c r="AC177" i="22"/>
  <c r="AC334" i="22"/>
  <c r="AC362" i="22"/>
  <c r="AC360" i="22"/>
  <c r="AC179" i="22"/>
  <c r="AC349" i="22"/>
  <c r="AC328" i="22"/>
  <c r="AC266" i="22"/>
  <c r="AC281" i="22"/>
  <c r="AC263" i="22"/>
  <c r="AC305" i="22"/>
  <c r="AC191" i="22"/>
  <c r="AC143" i="22"/>
  <c r="AC319" i="22"/>
  <c r="AC375" i="22"/>
  <c r="AC361" i="22"/>
  <c r="AC149" i="22"/>
  <c r="AC187" i="22"/>
  <c r="AC335" i="22"/>
  <c r="AC282" i="22"/>
  <c r="AC351" i="22"/>
  <c r="AC139" i="22"/>
  <c r="AC314" i="22"/>
  <c r="AC275" i="22"/>
  <c r="J90" i="16"/>
  <c r="AC235" i="22"/>
  <c r="AC141" i="22"/>
  <c r="AC309" i="22"/>
  <c r="AC190" i="22"/>
  <c r="AC356" i="22"/>
  <c r="AC284" i="22"/>
  <c r="AC359" i="22"/>
  <c r="AC224" i="22"/>
  <c r="AC178" i="22"/>
  <c r="AC376" i="22"/>
  <c r="AC241" i="22"/>
  <c r="AC244" i="22"/>
  <c r="AC146" i="22"/>
  <c r="AC226" i="22"/>
  <c r="AC273" i="22"/>
  <c r="AC378" i="22"/>
  <c r="AC304" i="22"/>
  <c r="AC257" i="22"/>
  <c r="AC210" i="22"/>
  <c r="AC291" i="22"/>
  <c r="AC135" i="22"/>
  <c r="AC221" i="22"/>
  <c r="AC188" i="22"/>
  <c r="AC286" i="22"/>
  <c r="AC166" i="22"/>
  <c r="AC369" i="22"/>
  <c r="AC249" i="22"/>
  <c r="AC337" i="22"/>
  <c r="AC217" i="22"/>
  <c r="AC150" i="22"/>
  <c r="AC366" i="22"/>
  <c r="AC213" i="22"/>
  <c r="AC350" i="22"/>
  <c r="AC211" i="22"/>
  <c r="AC246" i="22"/>
  <c r="AC165" i="22"/>
  <c r="AC287" i="22"/>
  <c r="AC333" i="22"/>
  <c r="AC270" i="22"/>
  <c r="AC320" i="22"/>
  <c r="AC176" i="22"/>
  <c r="AC313" i="22"/>
  <c r="AC199" i="22"/>
  <c r="AC274" i="22"/>
  <c r="AC157" i="22"/>
  <c r="AC323" i="22"/>
  <c r="AC198" i="22"/>
  <c r="AC264" i="22"/>
  <c r="AC255" i="22"/>
  <c r="AC161" i="22"/>
  <c r="AC289" i="22"/>
  <c r="AC144" i="22"/>
  <c r="AC296" i="22"/>
  <c r="AC186" i="22"/>
  <c r="AC233" i="22"/>
  <c r="AC298" i="22"/>
  <c r="AC182" i="22"/>
  <c r="AC358" i="22"/>
  <c r="AC228" i="22"/>
  <c r="AC332" i="22"/>
  <c r="AC216" i="22"/>
  <c r="AC147" i="22"/>
  <c r="AC336" i="22"/>
  <c r="AC201" i="22"/>
  <c r="AC345" i="22"/>
  <c r="AC207" i="22"/>
  <c r="AC329" i="22"/>
  <c r="AC267" i="22"/>
  <c r="AC377" i="22"/>
  <c r="AC300" i="22"/>
  <c r="AC268" i="22"/>
  <c r="AC180" i="22"/>
  <c r="AC277" i="22"/>
  <c r="AC137" i="22"/>
  <c r="AC295" i="22"/>
  <c r="AC173" i="22"/>
  <c r="AC232" i="22"/>
  <c r="AC325" i="22"/>
  <c r="AC185" i="22"/>
  <c r="AC315" i="22"/>
  <c r="AC205" i="22"/>
  <c r="AC294" i="22"/>
  <c r="AC164" i="22"/>
  <c r="AC330" i="22"/>
  <c r="AC200" i="22"/>
  <c r="AC368" i="22"/>
  <c r="AC311" i="22"/>
  <c r="AC243" i="22"/>
  <c r="AC357" i="22"/>
  <c r="AC261" i="22"/>
  <c r="AC252" i="22"/>
  <c r="AC159" i="22"/>
  <c r="AC310" i="22"/>
  <c r="AC172" i="22"/>
  <c r="AC307" i="22"/>
  <c r="AC193" i="22"/>
  <c r="AC271" i="22"/>
  <c r="AC215" i="22"/>
  <c r="AC293" i="22"/>
  <c r="AC171" i="22"/>
  <c r="AC343" i="22"/>
  <c r="AC260" i="22"/>
  <c r="AC347" i="22"/>
  <c r="AC219" i="22"/>
  <c r="AC167" i="22"/>
  <c r="AC371" i="22"/>
  <c r="AC236" i="22"/>
  <c r="AC353" i="22"/>
  <c r="AC223" i="22"/>
  <c r="AC169" i="22"/>
  <c r="AC279" i="22"/>
  <c r="AC138" i="22"/>
  <c r="AC342" i="22"/>
  <c r="AC220" i="22"/>
  <c r="AC324" i="22"/>
  <c r="AC212" i="22"/>
  <c r="AC145" i="22"/>
  <c r="AC327" i="22"/>
  <c r="AC196" i="22"/>
  <c r="AC344" i="22"/>
  <c r="J115" i="16"/>
  <c r="I125" i="16"/>
  <c r="H125" i="17" s="1"/>
  <c r="I125" i="17" s="1"/>
  <c r="J125" i="16"/>
  <c r="J131" i="16"/>
  <c r="I161" i="16"/>
  <c r="H161" i="17" s="1"/>
  <c r="J161" i="17" s="1"/>
  <c r="J328" i="16"/>
  <c r="U160" i="18"/>
  <c r="T160" i="18" s="1"/>
  <c r="U75" i="18"/>
  <c r="T75" i="18" s="1"/>
  <c r="S75" i="18" s="1"/>
  <c r="R75" i="18" s="1"/>
  <c r="U319" i="18"/>
  <c r="T319" i="18" s="1"/>
  <c r="S319" i="18" s="1"/>
  <c r="R319" i="18" s="1"/>
  <c r="U286" i="18"/>
  <c r="T286" i="18" s="1"/>
  <c r="S286" i="18" s="1"/>
  <c r="R286" i="18" s="1"/>
  <c r="U233" i="18"/>
  <c r="T233" i="18" s="1"/>
  <c r="S233" i="18" s="1"/>
  <c r="R233" i="18" s="1"/>
  <c r="U152" i="18"/>
  <c r="T152" i="18" s="1"/>
  <c r="S152" i="18" s="1"/>
  <c r="R152" i="18" s="1"/>
  <c r="U291" i="18"/>
  <c r="T291" i="18" s="1"/>
  <c r="S291" i="18" s="1"/>
  <c r="R291" i="18" s="1"/>
  <c r="U178" i="18"/>
  <c r="T178" i="18" s="1"/>
  <c r="S178" i="18" s="1"/>
  <c r="R178" i="18" s="1"/>
  <c r="U93" i="18"/>
  <c r="T93" i="18" s="1"/>
  <c r="S93" i="18" s="1"/>
  <c r="R93" i="18" s="1"/>
  <c r="U44" i="18"/>
  <c r="T44" i="18" s="1"/>
  <c r="S44" i="18" s="1"/>
  <c r="R44" i="18" s="1"/>
  <c r="U368" i="18"/>
  <c r="T368" i="18" s="1"/>
  <c r="S368" i="18" s="1"/>
  <c r="R368" i="18" s="1"/>
  <c r="U283" i="18"/>
  <c r="T283" i="18" s="1"/>
  <c r="S283" i="18" s="1"/>
  <c r="R283" i="18" s="1"/>
  <c r="U170" i="18"/>
  <c r="T170" i="18" s="1"/>
  <c r="S170" i="18" s="1"/>
  <c r="R170" i="18" s="1"/>
  <c r="U69" i="18"/>
  <c r="T69" i="18" s="1"/>
  <c r="S69" i="18" s="1"/>
  <c r="R69" i="18" s="1"/>
  <c r="U377" i="18"/>
  <c r="T377" i="18" s="1"/>
  <c r="S377" i="18" s="1"/>
  <c r="R377" i="18" s="1"/>
  <c r="U296" i="18"/>
  <c r="T296" i="18" s="1"/>
  <c r="S296" i="18" s="1"/>
  <c r="R296" i="18" s="1"/>
  <c r="U243" i="18"/>
  <c r="T243" i="18" s="1"/>
  <c r="S243" i="18" s="1"/>
  <c r="R243" i="18" s="1"/>
  <c r="U247" i="18"/>
  <c r="T247" i="18" s="1"/>
  <c r="S247" i="18" s="1"/>
  <c r="R247" i="18" s="1"/>
  <c r="U150" i="18"/>
  <c r="T150" i="18" s="1"/>
  <c r="S150" i="18" s="1"/>
  <c r="R150" i="18" s="1"/>
  <c r="U33" i="18"/>
  <c r="T33" i="18" s="1"/>
  <c r="S33" i="18" s="1"/>
  <c r="R33" i="18" s="1"/>
  <c r="U373" i="18"/>
  <c r="T373" i="18" s="1"/>
  <c r="S373" i="18" s="1"/>
  <c r="R373" i="18" s="1"/>
  <c r="U276" i="18"/>
  <c r="T276" i="18" s="1"/>
  <c r="S276" i="18" s="1"/>
  <c r="R276" i="18" s="1"/>
  <c r="U223" i="18"/>
  <c r="T223" i="18" s="1"/>
  <c r="S223" i="18" s="1"/>
  <c r="R223" i="18" s="1"/>
  <c r="U126" i="18"/>
  <c r="T126" i="18" s="1"/>
  <c r="S126" i="18" s="1"/>
  <c r="R126" i="18" s="1"/>
  <c r="U370" i="18"/>
  <c r="T370" i="18" s="1"/>
  <c r="S370" i="18" s="1"/>
  <c r="R370" i="18" s="1"/>
  <c r="U285" i="18"/>
  <c r="T285" i="18" s="1"/>
  <c r="S285" i="18" s="1"/>
  <c r="R285" i="18" s="1"/>
  <c r="U236" i="18"/>
  <c r="T236" i="18" s="1"/>
  <c r="S236" i="18" s="1"/>
  <c r="R236" i="18" s="1"/>
  <c r="U199" i="18"/>
  <c r="T199" i="18" s="1"/>
  <c r="S199" i="18" s="1"/>
  <c r="R199" i="18" s="1"/>
  <c r="U102" i="18"/>
  <c r="T102" i="18" s="1"/>
  <c r="S102" i="18" s="1"/>
  <c r="R102" i="18" s="1"/>
  <c r="U106" i="18"/>
  <c r="T106" i="18" s="1"/>
  <c r="S106" i="18" s="1"/>
  <c r="R106" i="18" s="1"/>
  <c r="U366" i="18"/>
  <c r="T366" i="18" s="1"/>
  <c r="S366" i="18" s="1"/>
  <c r="R366" i="18" s="1"/>
  <c r="U313" i="18"/>
  <c r="T313" i="18" s="1"/>
  <c r="U232" i="18"/>
  <c r="T232" i="18" s="1"/>
  <c r="S232" i="18" s="1"/>
  <c r="R232" i="18" s="1"/>
  <c r="U179" i="18"/>
  <c r="T179" i="18" s="1"/>
  <c r="S179" i="18" s="1"/>
  <c r="R179" i="18" s="1"/>
  <c r="U66" i="18"/>
  <c r="T66" i="18" s="1"/>
  <c r="S66" i="18" s="1"/>
  <c r="R66" i="18" s="1"/>
  <c r="U342" i="18"/>
  <c r="T342" i="18" s="1"/>
  <c r="S342" i="18" s="1"/>
  <c r="R342" i="18" s="1"/>
  <c r="U225" i="18"/>
  <c r="T225" i="18" s="1"/>
  <c r="S225" i="18" s="1"/>
  <c r="R225" i="18" s="1"/>
  <c r="U192" i="18"/>
  <c r="T192" i="18" s="1"/>
  <c r="S192" i="18" s="1"/>
  <c r="R192" i="18" s="1"/>
  <c r="U107" i="18"/>
  <c r="T107" i="18" s="1"/>
  <c r="S107" i="18" s="1"/>
  <c r="R107" i="18" s="1"/>
  <c r="U58" i="18"/>
  <c r="T58" i="18" s="1"/>
  <c r="S58" i="18" s="1"/>
  <c r="R58" i="18" s="1"/>
  <c r="U213" i="18"/>
  <c r="T213" i="18" s="1"/>
  <c r="S213" i="18" s="1"/>
  <c r="R213" i="18" s="1"/>
  <c r="U116" i="18"/>
  <c r="T116" i="18" s="1"/>
  <c r="S116" i="18" s="1"/>
  <c r="R116" i="18" s="1"/>
  <c r="U376" i="18"/>
  <c r="T376" i="18" s="1"/>
  <c r="S376" i="18" s="1"/>
  <c r="R376" i="18" s="1"/>
  <c r="U323" i="18"/>
  <c r="T323" i="18" s="1"/>
  <c r="S323" i="18" s="1"/>
  <c r="R323" i="18" s="1"/>
  <c r="U274" i="18"/>
  <c r="T274" i="18" s="1"/>
  <c r="U189" i="18"/>
  <c r="T189" i="18" s="1"/>
  <c r="S189" i="18" s="1"/>
  <c r="R189" i="18" s="1"/>
  <c r="U76" i="18"/>
  <c r="T76" i="18" s="1"/>
  <c r="S76" i="18" s="1"/>
  <c r="R76" i="18" s="1"/>
  <c r="U336" i="18"/>
  <c r="T336" i="18" s="1"/>
  <c r="S336" i="18" s="1"/>
  <c r="R336" i="18" s="1"/>
  <c r="U251" i="18"/>
  <c r="T251" i="18" s="1"/>
  <c r="S251" i="18" s="1"/>
  <c r="R251" i="18" s="1"/>
  <c r="U202" i="18"/>
  <c r="T202" i="18" s="1"/>
  <c r="S202" i="18" s="1"/>
  <c r="R202" i="18" s="1"/>
  <c r="U165" i="18"/>
  <c r="T165" i="18" s="1"/>
  <c r="S165" i="18" s="1"/>
  <c r="R165" i="18" s="1"/>
  <c r="U68" i="18"/>
  <c r="T68" i="18" s="1"/>
  <c r="S68" i="18" s="1"/>
  <c r="R68" i="18" s="1"/>
  <c r="U207" i="18"/>
  <c r="T207" i="18" s="1"/>
  <c r="S207" i="18" s="1"/>
  <c r="R207" i="18" s="1"/>
  <c r="U110" i="18"/>
  <c r="T110" i="18" s="1"/>
  <c r="S110" i="18" s="1"/>
  <c r="R110" i="18" s="1"/>
  <c r="U57" i="18"/>
  <c r="T57" i="18" s="1"/>
  <c r="U333" i="18"/>
  <c r="T333" i="18" s="1"/>
  <c r="S333" i="18" s="1"/>
  <c r="R333" i="18" s="1"/>
  <c r="U284" i="18"/>
  <c r="T284" i="18" s="1"/>
  <c r="S284" i="18" s="1"/>
  <c r="R284" i="18" s="1"/>
  <c r="U183" i="18"/>
  <c r="T183" i="18" s="1"/>
  <c r="S183" i="18" s="1"/>
  <c r="R183" i="18" s="1"/>
  <c r="U86" i="18"/>
  <c r="T86" i="18" s="1"/>
  <c r="S86" i="18" s="1"/>
  <c r="R86" i="18" s="1"/>
  <c r="U346" i="18"/>
  <c r="T346" i="18" s="1"/>
  <c r="S346" i="18" s="1"/>
  <c r="R346" i="18" s="1"/>
  <c r="U309" i="18"/>
  <c r="T309" i="18" s="1"/>
  <c r="S309" i="18" s="1"/>
  <c r="R309" i="18" s="1"/>
  <c r="U212" i="18"/>
  <c r="T212" i="18" s="1"/>
  <c r="S212" i="18" s="1"/>
  <c r="R212" i="18" s="1"/>
  <c r="U159" i="18"/>
  <c r="T159" i="18" s="1"/>
  <c r="U163" i="18"/>
  <c r="T163" i="18" s="1"/>
  <c r="S163" i="18" s="1"/>
  <c r="R163" i="18" s="1"/>
  <c r="U50" i="18"/>
  <c r="T50" i="18" s="1"/>
  <c r="S50" i="18" s="1"/>
  <c r="R50" i="18" s="1"/>
  <c r="U326" i="18"/>
  <c r="T326" i="18" s="1"/>
  <c r="S326" i="18" s="1"/>
  <c r="R326" i="18" s="1"/>
  <c r="U273" i="18"/>
  <c r="T273" i="18" s="1"/>
  <c r="S273" i="18" s="1"/>
  <c r="R273" i="18" s="1"/>
  <c r="U240" i="18"/>
  <c r="T240" i="18" s="1"/>
  <c r="S240" i="18" s="1"/>
  <c r="R240" i="18" s="1"/>
  <c r="U155" i="18"/>
  <c r="T155" i="18" s="1"/>
  <c r="S155" i="18" s="1"/>
  <c r="R155" i="18" s="1"/>
  <c r="U42" i="18"/>
  <c r="T42" i="18" s="1"/>
  <c r="S42" i="18" s="1"/>
  <c r="R42" i="18" s="1"/>
  <c r="U302" i="18"/>
  <c r="T302" i="18" s="1"/>
  <c r="S302" i="18" s="1"/>
  <c r="R302" i="18" s="1"/>
  <c r="U249" i="18"/>
  <c r="T249" i="18" s="1"/>
  <c r="S249" i="18" s="1"/>
  <c r="R249" i="18" s="1"/>
  <c r="U168" i="18"/>
  <c r="T168" i="18" s="1"/>
  <c r="U115" i="18"/>
  <c r="T115" i="18" s="1"/>
  <c r="S115" i="18" s="1"/>
  <c r="R115" i="18" s="1"/>
  <c r="U119" i="18"/>
  <c r="T119" i="18" s="1"/>
  <c r="S119" i="18" s="1"/>
  <c r="R119" i="18" s="1"/>
  <c r="U22" i="18"/>
  <c r="T22" i="18" s="1"/>
  <c r="S22" i="18" s="1"/>
  <c r="R22" i="18" s="1"/>
  <c r="U282" i="18"/>
  <c r="T282" i="18" s="1"/>
  <c r="S282" i="18" s="1"/>
  <c r="R282" i="18" s="1"/>
  <c r="U245" i="18"/>
  <c r="T245" i="18" s="1"/>
  <c r="S245" i="18" s="1"/>
  <c r="R245" i="18" s="1"/>
  <c r="U148" i="18"/>
  <c r="T148" i="18" s="1"/>
  <c r="S148" i="18" s="1"/>
  <c r="R148" i="18" s="1"/>
  <c r="U95" i="18"/>
  <c r="T95" i="18" s="1"/>
  <c r="S95" i="18" s="1"/>
  <c r="R95" i="18" s="1"/>
  <c r="U355" i="18"/>
  <c r="T355" i="18" s="1"/>
  <c r="S355" i="18" s="1"/>
  <c r="R355" i="18" s="1"/>
  <c r="U242" i="18"/>
  <c r="T242" i="18" s="1"/>
  <c r="S242" i="18" s="1"/>
  <c r="R242" i="18" s="1"/>
  <c r="U157" i="18"/>
  <c r="T157" i="18" s="1"/>
  <c r="S157" i="18" s="1"/>
  <c r="R157" i="18" s="1"/>
  <c r="U108" i="18"/>
  <c r="T108" i="18" s="1"/>
  <c r="S108" i="18" s="1"/>
  <c r="R108" i="18" s="1"/>
  <c r="U71" i="18"/>
  <c r="T71" i="18" s="1"/>
  <c r="S71" i="18" s="1"/>
  <c r="R71" i="18" s="1"/>
  <c r="U347" i="18"/>
  <c r="T347" i="18" s="1"/>
  <c r="S347" i="18" s="1"/>
  <c r="R347" i="18" s="1"/>
  <c r="U113" i="18"/>
  <c r="T113" i="18" s="1"/>
  <c r="S113" i="18" s="1"/>
  <c r="R113" i="18" s="1"/>
  <c r="U15" i="18"/>
  <c r="U292" i="18"/>
  <c r="T292" i="18" s="1"/>
  <c r="S292" i="18" s="1"/>
  <c r="R292" i="18" s="1"/>
  <c r="U239" i="18"/>
  <c r="T239" i="18" s="1"/>
  <c r="S239" i="18" s="1"/>
  <c r="R239" i="18" s="1"/>
  <c r="AF382" i="16"/>
  <c r="AD15" i="16"/>
  <c r="AF381" i="16"/>
  <c r="AF383" i="16"/>
  <c r="AC16" i="7"/>
  <c r="U89" i="18"/>
  <c r="T89" i="18" s="1"/>
  <c r="S89" i="18" s="1"/>
  <c r="R89" i="18" s="1"/>
  <c r="U227" i="18"/>
  <c r="T227" i="18" s="1"/>
  <c r="S227" i="18" s="1"/>
  <c r="R227" i="18" s="1"/>
  <c r="U365" i="18"/>
  <c r="T365" i="18" s="1"/>
  <c r="S365" i="18" s="1"/>
  <c r="R365" i="18" s="1"/>
  <c r="U114" i="18"/>
  <c r="T114" i="18" s="1"/>
  <c r="S114" i="18" s="1"/>
  <c r="R114" i="18" s="1"/>
  <c r="U252" i="18"/>
  <c r="T252" i="18" s="1"/>
  <c r="S252" i="18" s="1"/>
  <c r="R252" i="18" s="1"/>
  <c r="U29" i="18"/>
  <c r="T29" i="18" s="1"/>
  <c r="S29" i="18" s="1"/>
  <c r="R29" i="18" s="1"/>
  <c r="U215" i="18"/>
  <c r="T215" i="18" s="1"/>
  <c r="S215" i="18" s="1"/>
  <c r="R215" i="18" s="1"/>
  <c r="U337" i="18"/>
  <c r="T337" i="18" s="1"/>
  <c r="S337" i="18" s="1"/>
  <c r="R337" i="18" s="1"/>
  <c r="U118" i="18"/>
  <c r="T118" i="18" s="1"/>
  <c r="S118" i="18" s="1"/>
  <c r="R118" i="18" s="1"/>
  <c r="U304" i="18"/>
  <c r="T304" i="18" s="1"/>
  <c r="S304" i="18" s="1"/>
  <c r="R304" i="18" s="1"/>
  <c r="U65" i="18"/>
  <c r="T65" i="18" s="1"/>
  <c r="S65" i="18" s="1"/>
  <c r="R65" i="18" s="1"/>
  <c r="U219" i="18"/>
  <c r="T219" i="18" s="1"/>
  <c r="S219" i="18" s="1"/>
  <c r="R219" i="18" s="1"/>
  <c r="U224" i="18"/>
  <c r="T224" i="18" s="1"/>
  <c r="S224" i="18" s="1"/>
  <c r="R224" i="18" s="1"/>
  <c r="U362" i="18"/>
  <c r="T362" i="18" s="1"/>
  <c r="S362" i="18" s="1"/>
  <c r="R362" i="18" s="1"/>
  <c r="U139" i="18"/>
  <c r="T139" i="18" s="1"/>
  <c r="S139" i="18" s="1"/>
  <c r="R139" i="18" s="1"/>
  <c r="U261" i="18"/>
  <c r="T261" i="18" s="1"/>
  <c r="S261" i="18" s="1"/>
  <c r="R261" i="18" s="1"/>
  <c r="U26" i="18"/>
  <c r="T26" i="18" s="1"/>
  <c r="S26" i="18" s="1"/>
  <c r="R26" i="18" s="1"/>
  <c r="U164" i="18"/>
  <c r="T164" i="18" s="1"/>
  <c r="S164" i="18" s="1"/>
  <c r="R164" i="18" s="1"/>
  <c r="U350" i="18"/>
  <c r="T350" i="18" s="1"/>
  <c r="U111" i="18"/>
  <c r="T111" i="18" s="1"/>
  <c r="S111" i="18" s="1"/>
  <c r="R111" i="18" s="1"/>
  <c r="U297" i="18"/>
  <c r="T297" i="18" s="1"/>
  <c r="S297" i="18" s="1"/>
  <c r="R297" i="18" s="1"/>
  <c r="U78" i="18"/>
  <c r="T78" i="18" s="1"/>
  <c r="S78" i="18" s="1"/>
  <c r="R78" i="18" s="1"/>
  <c r="U216" i="18"/>
  <c r="T216" i="18" s="1"/>
  <c r="S216" i="18" s="1"/>
  <c r="R216" i="18" s="1"/>
  <c r="U322" i="18"/>
  <c r="T322" i="18" s="1"/>
  <c r="S322" i="18" s="1"/>
  <c r="R322" i="18" s="1"/>
  <c r="U99" i="18"/>
  <c r="T99" i="18" s="1"/>
  <c r="S99" i="18" s="1"/>
  <c r="R99" i="18" s="1"/>
  <c r="U237" i="18"/>
  <c r="T237" i="18" s="1"/>
  <c r="S237" i="18" s="1"/>
  <c r="R237" i="18" s="1"/>
  <c r="U359" i="18"/>
  <c r="T359" i="18" s="1"/>
  <c r="S359" i="18" s="1"/>
  <c r="R359" i="18" s="1"/>
  <c r="U124" i="18"/>
  <c r="T124" i="18" s="1"/>
  <c r="S124" i="18" s="1"/>
  <c r="R124" i="18" s="1"/>
  <c r="U262" i="18"/>
  <c r="T262" i="18" s="1"/>
  <c r="S262" i="18" s="1"/>
  <c r="R262" i="18" s="1"/>
  <c r="U87" i="18"/>
  <c r="T87" i="18" s="1"/>
  <c r="S87" i="18" s="1"/>
  <c r="R87" i="18" s="1"/>
  <c r="U209" i="18"/>
  <c r="T209" i="18" s="1"/>
  <c r="S209" i="18" s="1"/>
  <c r="R209" i="18" s="1"/>
  <c r="U363" i="18"/>
  <c r="T363" i="18" s="1"/>
  <c r="S363" i="18" s="1"/>
  <c r="R363" i="18" s="1"/>
  <c r="U176" i="18"/>
  <c r="T176" i="18" s="1"/>
  <c r="S176" i="18" s="1"/>
  <c r="R176" i="18" s="1"/>
  <c r="U314" i="18"/>
  <c r="T314" i="18" s="1"/>
  <c r="S314" i="18" s="1"/>
  <c r="R314" i="18" s="1"/>
  <c r="U91" i="18"/>
  <c r="T91" i="18" s="1"/>
  <c r="S91" i="18" s="1"/>
  <c r="R91" i="18" s="1"/>
  <c r="U318" i="18"/>
  <c r="T318" i="18" s="1"/>
  <c r="S318" i="18" s="1"/>
  <c r="R318" i="18" s="1"/>
  <c r="U79" i="18"/>
  <c r="T79" i="18" s="1"/>
  <c r="S79" i="18" s="1"/>
  <c r="R79" i="18" s="1"/>
  <c r="U201" i="18"/>
  <c r="T201" i="18" s="1"/>
  <c r="S201" i="18" s="1"/>
  <c r="R201" i="18" s="1"/>
  <c r="U339" i="18"/>
  <c r="T339" i="18" s="1"/>
  <c r="S339" i="18" s="1"/>
  <c r="R339" i="18" s="1"/>
  <c r="U120" i="18"/>
  <c r="T120" i="18" s="1"/>
  <c r="S120" i="18" s="1"/>
  <c r="R120" i="18" s="1"/>
  <c r="U290" i="18"/>
  <c r="T290" i="18" s="1"/>
  <c r="S290" i="18" s="1"/>
  <c r="R290" i="18" s="1"/>
  <c r="U67" i="18"/>
  <c r="T67" i="18" s="1"/>
  <c r="S67" i="18" s="1"/>
  <c r="R67" i="18" s="1"/>
  <c r="U205" i="18"/>
  <c r="T205" i="18" s="1"/>
  <c r="S205" i="18" s="1"/>
  <c r="R205" i="18" s="1"/>
  <c r="U19" i="18"/>
  <c r="T19" i="18" s="1"/>
  <c r="S19" i="18" s="1"/>
  <c r="R19" i="18" s="1"/>
  <c r="U156" i="18"/>
  <c r="T156" i="18" s="1"/>
  <c r="U294" i="18"/>
  <c r="T294" i="18" s="1"/>
  <c r="S294" i="18" s="1"/>
  <c r="R294" i="18" s="1"/>
  <c r="U55" i="18"/>
  <c r="T55" i="18" s="1"/>
  <c r="S55" i="18" s="1"/>
  <c r="R55" i="18" s="1"/>
  <c r="U177" i="18"/>
  <c r="T177" i="18" s="1"/>
  <c r="S177" i="18" s="1"/>
  <c r="R177" i="18" s="1"/>
  <c r="U80" i="18"/>
  <c r="T80" i="18" s="1"/>
  <c r="S80" i="18" s="1"/>
  <c r="R80" i="18" s="1"/>
  <c r="U356" i="18"/>
  <c r="T356" i="18" s="1"/>
  <c r="S356" i="18" s="1"/>
  <c r="R356" i="18" s="1"/>
  <c r="U303" i="18"/>
  <c r="T303" i="18" s="1"/>
  <c r="S303" i="18" s="1"/>
  <c r="R303" i="18" s="1"/>
  <c r="U270" i="18"/>
  <c r="T270" i="18" s="1"/>
  <c r="S270" i="18" s="1"/>
  <c r="R270" i="18" s="1"/>
  <c r="U258" i="18"/>
  <c r="T258" i="18" s="1"/>
  <c r="S258" i="18" s="1"/>
  <c r="R258" i="18" s="1"/>
  <c r="U173" i="18"/>
  <c r="T173" i="18" s="1"/>
  <c r="S173" i="18" s="1"/>
  <c r="R173" i="18" s="1"/>
  <c r="U60" i="18"/>
  <c r="T60" i="18" s="1"/>
  <c r="U23" i="18"/>
  <c r="T23" i="18" s="1"/>
  <c r="S23" i="18" s="1"/>
  <c r="R23" i="18" s="1"/>
  <c r="U299" i="18"/>
  <c r="T299" i="18" s="1"/>
  <c r="S299" i="18" s="1"/>
  <c r="R299" i="18" s="1"/>
  <c r="U250" i="18"/>
  <c r="T250" i="18" s="1"/>
  <c r="S250" i="18" s="1"/>
  <c r="R250" i="18" s="1"/>
  <c r="U149" i="18"/>
  <c r="T149" i="18" s="1"/>
  <c r="S149" i="18" s="1"/>
  <c r="R149" i="18" s="1"/>
  <c r="U52" i="18"/>
  <c r="T52" i="18" s="1"/>
  <c r="S52" i="18" s="1"/>
  <c r="R52" i="18" s="1"/>
  <c r="U312" i="18"/>
  <c r="T312" i="18" s="1"/>
  <c r="S312" i="18" s="1"/>
  <c r="R312" i="18" s="1"/>
  <c r="U259" i="18"/>
  <c r="T259" i="18" s="1"/>
  <c r="S259" i="18" s="1"/>
  <c r="R259" i="18" s="1"/>
  <c r="U210" i="18"/>
  <c r="T210" i="18" s="1"/>
  <c r="S210" i="18" s="1"/>
  <c r="R210" i="18" s="1"/>
  <c r="U125" i="18"/>
  <c r="T125" i="18" s="1"/>
  <c r="S125" i="18" s="1"/>
  <c r="R125" i="18" s="1"/>
  <c r="U268" i="18"/>
  <c r="T268" i="18" s="1"/>
  <c r="S268" i="18" s="1"/>
  <c r="R268" i="18" s="1"/>
  <c r="U167" i="18"/>
  <c r="T167" i="18" s="1"/>
  <c r="S167" i="18" s="1"/>
  <c r="R167" i="18" s="1"/>
  <c r="U70" i="18"/>
  <c r="T70" i="18" s="1"/>
  <c r="S70" i="18" s="1"/>
  <c r="R70" i="18" s="1"/>
  <c r="U18" i="18"/>
  <c r="T18" i="18" s="1"/>
  <c r="S18" i="18" s="1"/>
  <c r="R18" i="18" s="1"/>
  <c r="U357" i="18"/>
  <c r="T357" i="18" s="1"/>
  <c r="S357" i="18" s="1"/>
  <c r="R357" i="18" s="1"/>
  <c r="U260" i="18"/>
  <c r="T260" i="18" s="1"/>
  <c r="S260" i="18" s="1"/>
  <c r="R260" i="18" s="1"/>
  <c r="U21" i="18"/>
  <c r="T21" i="18" s="1"/>
  <c r="S21" i="18" s="1"/>
  <c r="R21" i="18" s="1"/>
  <c r="U265" i="18"/>
  <c r="T265" i="18" s="1"/>
  <c r="S265" i="18" s="1"/>
  <c r="R265" i="18" s="1"/>
  <c r="U184" i="18"/>
  <c r="T184" i="18" s="1"/>
  <c r="S184" i="18" s="1"/>
  <c r="R184" i="18" s="1"/>
  <c r="U131" i="18"/>
  <c r="T131" i="18" s="1"/>
  <c r="U82" i="18"/>
  <c r="T82" i="18" s="1"/>
  <c r="S82" i="18" s="1"/>
  <c r="R82" i="18" s="1"/>
  <c r="U358" i="18"/>
  <c r="T358" i="18" s="1"/>
  <c r="S358" i="18" s="1"/>
  <c r="R358" i="18" s="1"/>
  <c r="U140" i="18"/>
  <c r="T140" i="18" s="1"/>
  <c r="S140" i="18" s="1"/>
  <c r="R140" i="18" s="1"/>
  <c r="U39" i="18"/>
  <c r="T39" i="18" s="1"/>
  <c r="S39" i="18" s="1"/>
  <c r="R39" i="18" s="1"/>
  <c r="U315" i="18"/>
  <c r="T315" i="18" s="1"/>
  <c r="S315" i="18" s="1"/>
  <c r="R315" i="18" s="1"/>
  <c r="U266" i="18"/>
  <c r="T266" i="18" s="1"/>
  <c r="S266" i="18" s="1"/>
  <c r="R266" i="18" s="1"/>
  <c r="U229" i="18"/>
  <c r="T229" i="18" s="1"/>
  <c r="S229" i="18" s="1"/>
  <c r="R229" i="18" s="1"/>
  <c r="U132" i="18"/>
  <c r="T132" i="18" s="1"/>
  <c r="S132" i="18" s="1"/>
  <c r="R132" i="18" s="1"/>
  <c r="U17" i="18"/>
  <c r="T17" i="18" s="1"/>
  <c r="S17" i="18" s="1"/>
  <c r="R17" i="18" s="1"/>
  <c r="U275" i="18"/>
  <c r="T275" i="18" s="1"/>
  <c r="S275" i="18" s="1"/>
  <c r="R275" i="18" s="1"/>
  <c r="U226" i="18"/>
  <c r="T226" i="18" s="1"/>
  <c r="S226" i="18" s="1"/>
  <c r="R226" i="18" s="1"/>
  <c r="U141" i="18"/>
  <c r="T141" i="18" s="1"/>
  <c r="S141" i="18" s="1"/>
  <c r="R141" i="18" s="1"/>
  <c r="U92" i="18"/>
  <c r="T92" i="18" s="1"/>
  <c r="S92" i="18" s="1"/>
  <c r="R92" i="18" s="1"/>
  <c r="U96" i="18"/>
  <c r="T96" i="18" s="1"/>
  <c r="U372" i="18"/>
  <c r="T372" i="18" s="1"/>
  <c r="S372" i="18" s="1"/>
  <c r="R372" i="18" s="1"/>
  <c r="U255" i="18"/>
  <c r="T255" i="18" s="1"/>
  <c r="S255" i="18" s="1"/>
  <c r="R255" i="18" s="1"/>
  <c r="U222" i="18"/>
  <c r="T222" i="18" s="1"/>
  <c r="S222" i="18" s="1"/>
  <c r="R222" i="18" s="1"/>
  <c r="U169" i="18"/>
  <c r="T169" i="18" s="1"/>
  <c r="U88" i="18"/>
  <c r="T88" i="18" s="1"/>
  <c r="S88" i="18" s="1"/>
  <c r="R88" i="18" s="1"/>
  <c r="U332" i="18"/>
  <c r="T332" i="18" s="1"/>
  <c r="S332" i="18" s="1"/>
  <c r="R332" i="18" s="1"/>
  <c r="U231" i="18"/>
  <c r="T231" i="18" s="1"/>
  <c r="S231" i="18" s="1"/>
  <c r="R231" i="18" s="1"/>
  <c r="U134" i="18"/>
  <c r="T134" i="18" s="1"/>
  <c r="S134" i="18" s="1"/>
  <c r="R134" i="18" s="1"/>
  <c r="U81" i="18"/>
  <c r="T81" i="18" s="1"/>
  <c r="S81" i="18" s="1"/>
  <c r="R81" i="18" s="1"/>
  <c r="U48" i="18"/>
  <c r="T48" i="18" s="1"/>
  <c r="S48" i="18" s="1"/>
  <c r="R48" i="18" s="1"/>
  <c r="U324" i="18"/>
  <c r="T324" i="18" s="1"/>
  <c r="S324" i="18" s="1"/>
  <c r="R324" i="18" s="1"/>
  <c r="U328" i="18"/>
  <c r="T328" i="18" s="1"/>
  <c r="S328" i="18" s="1"/>
  <c r="R328" i="18" s="1"/>
  <c r="U211" i="18"/>
  <c r="T211" i="18" s="1"/>
  <c r="S211" i="18" s="1"/>
  <c r="R211" i="18" s="1"/>
  <c r="U162" i="18"/>
  <c r="T162" i="18" s="1"/>
  <c r="S162" i="18" s="1"/>
  <c r="R162" i="18" s="1"/>
  <c r="U77" i="18"/>
  <c r="T77" i="18" s="1"/>
  <c r="S77" i="18" s="1"/>
  <c r="R77" i="18" s="1"/>
  <c r="U28" i="18"/>
  <c r="T28" i="18" s="1"/>
  <c r="S28" i="18" s="1"/>
  <c r="R28" i="18" s="1"/>
  <c r="U288" i="18"/>
  <c r="T288" i="18" s="1"/>
  <c r="S288" i="18" s="1"/>
  <c r="R288" i="18" s="1"/>
  <c r="U203" i="18"/>
  <c r="T203" i="18" s="1"/>
  <c r="S203" i="18" s="1"/>
  <c r="R203" i="18" s="1"/>
  <c r="U90" i="18"/>
  <c r="T90" i="18" s="1"/>
  <c r="S90" i="18" s="1"/>
  <c r="R90" i="18" s="1"/>
  <c r="U53" i="18"/>
  <c r="T53" i="18" s="1"/>
  <c r="S53" i="18" s="1"/>
  <c r="R53" i="18" s="1"/>
  <c r="U361" i="18"/>
  <c r="T361" i="18" s="1"/>
  <c r="S361" i="18" s="1"/>
  <c r="R361" i="18" s="1"/>
  <c r="U280" i="18"/>
  <c r="T280" i="18" s="1"/>
  <c r="S280" i="18" s="1"/>
  <c r="R280" i="18" s="1"/>
  <c r="U62" i="18"/>
  <c r="T62" i="18" s="1"/>
  <c r="S62" i="18" s="1"/>
  <c r="R62" i="18" s="1"/>
  <c r="U306" i="18"/>
  <c r="T306" i="18" s="1"/>
  <c r="S306" i="18" s="1"/>
  <c r="R306" i="18" s="1"/>
  <c r="U221" i="18"/>
  <c r="T221" i="18" s="1"/>
  <c r="S221" i="18" s="1"/>
  <c r="R221" i="18" s="1"/>
  <c r="U172" i="18"/>
  <c r="T172" i="18" s="1"/>
  <c r="U135" i="18"/>
  <c r="T135" i="18" s="1"/>
  <c r="S135" i="18" s="1"/>
  <c r="R135" i="18" s="1"/>
  <c r="U38" i="18"/>
  <c r="T38" i="18" s="1"/>
  <c r="S38" i="18" s="1"/>
  <c r="R38" i="18" s="1"/>
  <c r="U331" i="18"/>
  <c r="T331" i="18" s="1"/>
  <c r="S331" i="18" s="1"/>
  <c r="R331" i="18" s="1"/>
  <c r="U218" i="18"/>
  <c r="T218" i="18" s="1"/>
  <c r="S218" i="18" s="1"/>
  <c r="R218" i="18" s="1"/>
  <c r="U181" i="18"/>
  <c r="T181" i="18" s="1"/>
  <c r="S181" i="18" s="1"/>
  <c r="R181" i="18" s="1"/>
  <c r="U84" i="18"/>
  <c r="T84" i="18" s="1"/>
  <c r="S84" i="18" s="1"/>
  <c r="R84" i="18" s="1"/>
  <c r="U31" i="18"/>
  <c r="T31" i="18" s="1"/>
  <c r="S31" i="18" s="1"/>
  <c r="R31" i="18" s="1"/>
  <c r="U35" i="18"/>
  <c r="T35" i="18" s="1"/>
  <c r="S35" i="18" s="1"/>
  <c r="R35" i="18" s="1"/>
  <c r="U295" i="18"/>
  <c r="T295" i="18" s="1"/>
  <c r="S295" i="18" s="1"/>
  <c r="R295" i="18" s="1"/>
  <c r="U198" i="18"/>
  <c r="T198" i="18" s="1"/>
  <c r="S198" i="18" s="1"/>
  <c r="R198" i="18" s="1"/>
  <c r="U145" i="18"/>
  <c r="T145" i="18" s="1"/>
  <c r="S145" i="18" s="1"/>
  <c r="R145" i="18" s="1"/>
  <c r="U112" i="18"/>
  <c r="T112" i="18" s="1"/>
  <c r="S112" i="18" s="1"/>
  <c r="R112" i="18" s="1"/>
  <c r="U27" i="18"/>
  <c r="T27" i="18" s="1"/>
  <c r="S27" i="18" s="1"/>
  <c r="R27" i="18" s="1"/>
  <c r="U271" i="18"/>
  <c r="T271" i="18" s="1"/>
  <c r="S271" i="18" s="1"/>
  <c r="R271" i="18" s="1"/>
  <c r="U174" i="18"/>
  <c r="T174" i="18" s="1"/>
  <c r="S174" i="18" s="1"/>
  <c r="R174" i="18" s="1"/>
  <c r="U121" i="18"/>
  <c r="T121" i="18" s="1"/>
  <c r="S121" i="18" s="1"/>
  <c r="R121" i="18" s="1"/>
  <c r="U40" i="18"/>
  <c r="T40" i="18" s="1"/>
  <c r="S40" i="18" s="1"/>
  <c r="R40" i="18" s="1"/>
  <c r="U348" i="18"/>
  <c r="T348" i="18" s="1"/>
  <c r="S348" i="18" s="1"/>
  <c r="R348" i="18" s="1"/>
  <c r="U130" i="18"/>
  <c r="T130" i="18" s="1"/>
  <c r="S130" i="18" s="1"/>
  <c r="R130" i="18" s="1"/>
  <c r="U45" i="18"/>
  <c r="T45" i="18" s="1"/>
  <c r="S45" i="18" s="1"/>
  <c r="R45" i="18" s="1"/>
  <c r="U289" i="18"/>
  <c r="T289" i="18" s="1"/>
  <c r="S289" i="18" s="1"/>
  <c r="R289" i="18" s="1"/>
  <c r="U256" i="18"/>
  <c r="T256" i="18" s="1"/>
  <c r="S256" i="18" s="1"/>
  <c r="R256" i="18" s="1"/>
  <c r="U171" i="18"/>
  <c r="T171" i="18" s="1"/>
  <c r="S171" i="18" s="1"/>
  <c r="R171" i="18" s="1"/>
  <c r="U122" i="18"/>
  <c r="T122" i="18" s="1"/>
  <c r="S122" i="18" s="1"/>
  <c r="R122" i="18" s="1"/>
  <c r="U143" i="18"/>
  <c r="T143" i="18" s="1"/>
  <c r="S143" i="18" s="1"/>
  <c r="R143" i="18" s="1"/>
  <c r="U46" i="18"/>
  <c r="T46" i="18" s="1"/>
  <c r="S46" i="18" s="1"/>
  <c r="R46" i="18" s="1"/>
  <c r="U354" i="18"/>
  <c r="T354" i="18" s="1"/>
  <c r="S354" i="18" s="1"/>
  <c r="R354" i="18" s="1"/>
  <c r="U269" i="18"/>
  <c r="T269" i="18" s="1"/>
  <c r="S269" i="18" s="1"/>
  <c r="R269" i="18" s="1"/>
  <c r="U220" i="18"/>
  <c r="T220" i="18" s="1"/>
  <c r="S220" i="18" s="1"/>
  <c r="R220" i="18" s="1"/>
  <c r="U375" i="18"/>
  <c r="T375" i="18" s="1"/>
  <c r="S375" i="18" s="1"/>
  <c r="R375" i="18" s="1"/>
  <c r="U278" i="18"/>
  <c r="T278" i="18" s="1"/>
  <c r="S278" i="18" s="1"/>
  <c r="R278" i="18" s="1"/>
  <c r="U161" i="18"/>
  <c r="T161" i="18" s="1"/>
  <c r="S161" i="18" s="1"/>
  <c r="R161" i="18" s="1"/>
  <c r="U128" i="18"/>
  <c r="T128" i="18" s="1"/>
  <c r="U43" i="18"/>
  <c r="T43" i="18" s="1"/>
  <c r="S43" i="18" s="1"/>
  <c r="R43" i="18" s="1"/>
  <c r="U351" i="18"/>
  <c r="T351" i="18" s="1"/>
  <c r="S351" i="18" s="1"/>
  <c r="R351" i="18" s="1"/>
  <c r="U254" i="18"/>
  <c r="T254" i="18" s="1"/>
  <c r="S254" i="18" s="1"/>
  <c r="R254" i="18" s="1"/>
  <c r="U137" i="18"/>
  <c r="T137" i="18" s="1"/>
  <c r="S137" i="18" s="1"/>
  <c r="R137" i="18" s="1"/>
  <c r="U56" i="18"/>
  <c r="T56" i="18" s="1"/>
  <c r="S56" i="18" s="1"/>
  <c r="R56" i="18" s="1"/>
  <c r="U364" i="18"/>
  <c r="T364" i="18" s="1"/>
  <c r="S364" i="18" s="1"/>
  <c r="R364" i="18" s="1"/>
  <c r="U327" i="18"/>
  <c r="T327" i="18" s="1"/>
  <c r="S327" i="18" s="1"/>
  <c r="R327" i="18" s="1"/>
  <c r="U230" i="18"/>
  <c r="T230" i="18" s="1"/>
  <c r="S230" i="18" s="1"/>
  <c r="R230" i="18" s="1"/>
  <c r="U234" i="18"/>
  <c r="T234" i="18" s="1"/>
  <c r="S234" i="18" s="1"/>
  <c r="R234" i="18" s="1"/>
  <c r="U133" i="18"/>
  <c r="T133" i="18" s="1"/>
  <c r="S133" i="18" s="1"/>
  <c r="R133" i="18" s="1"/>
  <c r="U36" i="18"/>
  <c r="T36" i="18" s="1"/>
  <c r="S36" i="18" s="1"/>
  <c r="R36" i="18" s="1"/>
  <c r="U360" i="18"/>
  <c r="T360" i="18" s="1"/>
  <c r="S360" i="18" s="1"/>
  <c r="R360" i="18" s="1"/>
  <c r="U307" i="18"/>
  <c r="T307" i="18" s="1"/>
  <c r="S307" i="18" s="1"/>
  <c r="R307" i="18" s="1"/>
  <c r="U194" i="18"/>
  <c r="T194" i="18" s="1"/>
  <c r="S194" i="18" s="1"/>
  <c r="R194" i="18" s="1"/>
  <c r="U109" i="18"/>
  <c r="T109" i="18" s="1"/>
  <c r="S109" i="18" s="1"/>
  <c r="R109" i="18" s="1"/>
  <c r="U353" i="18"/>
  <c r="T353" i="18" s="1"/>
  <c r="S353" i="18" s="1"/>
  <c r="R353" i="18" s="1"/>
  <c r="U320" i="18"/>
  <c r="T320" i="18" s="1"/>
  <c r="S320" i="18" s="1"/>
  <c r="R320" i="18" s="1"/>
  <c r="U235" i="18"/>
  <c r="T235" i="18" s="1"/>
  <c r="S235" i="18" s="1"/>
  <c r="R235" i="18" s="1"/>
  <c r="U186" i="18"/>
  <c r="T186" i="18" s="1"/>
  <c r="S186" i="18" s="1"/>
  <c r="R186" i="18" s="1"/>
  <c r="U190" i="18"/>
  <c r="T190" i="18" s="1"/>
  <c r="S190" i="18" s="1"/>
  <c r="R190" i="18" s="1"/>
  <c r="U73" i="18"/>
  <c r="T73" i="18" s="1"/>
  <c r="S73" i="18" s="1"/>
  <c r="R73" i="18" s="1"/>
  <c r="U349" i="18"/>
  <c r="T349" i="18" s="1"/>
  <c r="S349" i="18" s="1"/>
  <c r="R349" i="18" s="1"/>
  <c r="U300" i="18"/>
  <c r="T300" i="18" s="1"/>
  <c r="S300" i="18" s="1"/>
  <c r="R300" i="18" s="1"/>
  <c r="U263" i="18"/>
  <c r="T263" i="18" s="1"/>
  <c r="S263" i="18" s="1"/>
  <c r="R263" i="18" s="1"/>
  <c r="U166" i="18"/>
  <c r="T166" i="18" s="1"/>
  <c r="S166" i="18" s="1"/>
  <c r="R166" i="18" s="1"/>
  <c r="U49" i="18"/>
  <c r="T49" i="18" s="1"/>
  <c r="S49" i="18" s="1"/>
  <c r="R49" i="18" s="1"/>
  <c r="U325" i="18"/>
  <c r="T325" i="18" s="1"/>
  <c r="S325" i="18" s="1"/>
  <c r="R325" i="18" s="1"/>
  <c r="U228" i="18"/>
  <c r="T228" i="18" s="1"/>
  <c r="S228" i="18" s="1"/>
  <c r="R228" i="18" s="1"/>
  <c r="U175" i="18"/>
  <c r="T175" i="18" s="1"/>
  <c r="U142" i="18"/>
  <c r="T142" i="18" s="1"/>
  <c r="S142" i="18" s="1"/>
  <c r="R142" i="18" s="1"/>
  <c r="U281" i="18"/>
  <c r="T281" i="18" s="1"/>
  <c r="S281" i="18" s="1"/>
  <c r="R281" i="18" s="1"/>
  <c r="U200" i="18"/>
  <c r="T200" i="18" s="1"/>
  <c r="S200" i="18" s="1"/>
  <c r="R200" i="18" s="1"/>
  <c r="U83" i="18"/>
  <c r="T83" i="18" s="1"/>
  <c r="S83" i="18" s="1"/>
  <c r="R83" i="18" s="1"/>
  <c r="U34" i="18"/>
  <c r="T34" i="18" s="1"/>
  <c r="S34" i="18" s="1"/>
  <c r="R34" i="18" s="1"/>
  <c r="U310" i="18"/>
  <c r="T310" i="18" s="1"/>
  <c r="S310" i="18" s="1"/>
  <c r="R310" i="18" s="1"/>
  <c r="U257" i="18"/>
  <c r="T257" i="18" s="1"/>
  <c r="S257" i="18" s="1"/>
  <c r="R257" i="18" s="1"/>
  <c r="U298" i="18"/>
  <c r="T298" i="18" s="1"/>
  <c r="S298" i="18" s="1"/>
  <c r="R298" i="18" s="1"/>
  <c r="U197" i="18"/>
  <c r="T197" i="18" s="1"/>
  <c r="S197" i="18" s="1"/>
  <c r="R197" i="18" s="1"/>
  <c r="U100" i="18"/>
  <c r="T100" i="18" s="1"/>
  <c r="S100" i="18" s="1"/>
  <c r="R100" i="18" s="1"/>
  <c r="U47" i="18"/>
  <c r="T47" i="18" s="1"/>
  <c r="S47" i="18" s="1"/>
  <c r="R47" i="18" s="1"/>
  <c r="U371" i="18"/>
  <c r="T371" i="18" s="1"/>
  <c r="S371" i="18" s="1"/>
  <c r="R371" i="18" s="1"/>
  <c r="U153" i="18"/>
  <c r="T153" i="18" s="1"/>
  <c r="S153" i="18" s="1"/>
  <c r="R153" i="18" s="1"/>
  <c r="U72" i="18"/>
  <c r="T72" i="18" s="1"/>
  <c r="S72" i="18" s="1"/>
  <c r="R72" i="18" s="1"/>
  <c r="U316" i="18"/>
  <c r="T316" i="18" s="1"/>
  <c r="S316" i="18" s="1"/>
  <c r="R316" i="18" s="1"/>
  <c r="U279" i="18"/>
  <c r="T279" i="18" s="1"/>
  <c r="S279" i="18" s="1"/>
  <c r="R279" i="18" s="1"/>
  <c r="U182" i="18"/>
  <c r="T182" i="18" s="1"/>
  <c r="S182" i="18" s="1"/>
  <c r="R182" i="18" s="1"/>
  <c r="U129" i="18"/>
  <c r="T129" i="18" s="1"/>
  <c r="S129" i="18" s="1"/>
  <c r="R129" i="18" s="1"/>
  <c r="U32" i="18"/>
  <c r="T32" i="18" s="1"/>
  <c r="S32" i="18" s="1"/>
  <c r="R32" i="18" s="1"/>
  <c r="U308" i="18"/>
  <c r="T308" i="18" s="1"/>
  <c r="S308" i="18" s="1"/>
  <c r="R308" i="18" s="1"/>
  <c r="U191" i="18"/>
  <c r="T191" i="18" s="1"/>
  <c r="S191" i="18" s="1"/>
  <c r="R191" i="18" s="1"/>
  <c r="U158" i="18"/>
  <c r="T158" i="18" s="1"/>
  <c r="S158" i="18" s="1"/>
  <c r="R158" i="18" s="1"/>
  <c r="U105" i="18"/>
  <c r="T105" i="18" s="1"/>
  <c r="S105" i="18" s="1"/>
  <c r="R105" i="18" s="1"/>
  <c r="U24" i="18"/>
  <c r="T24" i="18" s="1"/>
  <c r="S24" i="18" s="1"/>
  <c r="R24" i="18" s="1"/>
  <c r="U369" i="18"/>
  <c r="T369" i="18" s="1"/>
  <c r="S369" i="18" s="1"/>
  <c r="R369" i="18" s="1"/>
  <c r="U272" i="18"/>
  <c r="T272" i="18" s="1"/>
  <c r="U187" i="18"/>
  <c r="T187" i="18" s="1"/>
  <c r="S187" i="18" s="1"/>
  <c r="R187" i="18" s="1"/>
  <c r="U138" i="18"/>
  <c r="T138" i="18" s="1"/>
  <c r="S138" i="18" s="1"/>
  <c r="R138" i="18" s="1"/>
  <c r="U101" i="18"/>
  <c r="T101" i="18" s="1"/>
  <c r="S101" i="18" s="1"/>
  <c r="R101" i="18" s="1"/>
  <c r="U345" i="18"/>
  <c r="T345" i="18" s="1"/>
  <c r="S345" i="18" s="1"/>
  <c r="R345" i="18" s="1"/>
  <c r="U264" i="18"/>
  <c r="T264" i="18" s="1"/>
  <c r="S264" i="18" s="1"/>
  <c r="R264" i="18" s="1"/>
  <c r="U147" i="18"/>
  <c r="T147" i="18" s="1"/>
  <c r="S147" i="18" s="1"/>
  <c r="R147" i="18" s="1"/>
  <c r="U98" i="18"/>
  <c r="T98" i="18" s="1"/>
  <c r="S98" i="18" s="1"/>
  <c r="R98" i="18" s="1"/>
  <c r="U374" i="18"/>
  <c r="T374" i="18" s="1"/>
  <c r="S374" i="18" s="1"/>
  <c r="R374" i="18" s="1"/>
  <c r="U321" i="18"/>
  <c r="T321" i="18" s="1"/>
  <c r="S321" i="18" s="1"/>
  <c r="R321" i="18" s="1"/>
  <c r="U341" i="18"/>
  <c r="T341" i="18" s="1"/>
  <c r="S341" i="18" s="1"/>
  <c r="R341" i="18" s="1"/>
  <c r="U244" i="18"/>
  <c r="T244" i="18" s="1"/>
  <c r="S244" i="18" s="1"/>
  <c r="R244" i="18" s="1"/>
  <c r="U127" i="18"/>
  <c r="T127" i="18" s="1"/>
  <c r="S127" i="18" s="1"/>
  <c r="R127" i="18" s="1"/>
  <c r="U94" i="18"/>
  <c r="T94" i="18" s="1"/>
  <c r="S94" i="18" s="1"/>
  <c r="R94" i="18" s="1"/>
  <c r="U41" i="18"/>
  <c r="T41" i="18" s="1"/>
  <c r="S41" i="18" s="1"/>
  <c r="R41" i="18" s="1"/>
  <c r="U317" i="18"/>
  <c r="T317" i="18" s="1"/>
  <c r="S317" i="18" s="1"/>
  <c r="R317" i="18" s="1"/>
  <c r="U204" i="18"/>
  <c r="T204" i="18" s="1"/>
  <c r="S204" i="18" s="1"/>
  <c r="R204" i="18" s="1"/>
  <c r="U103" i="18"/>
  <c r="T103" i="18" s="1"/>
  <c r="S103" i="18" s="1"/>
  <c r="R103" i="18" s="1"/>
  <c r="U379" i="18"/>
  <c r="U330" i="18"/>
  <c r="T330" i="18" s="1"/>
  <c r="S330" i="18" s="1"/>
  <c r="R330" i="18" s="1"/>
  <c r="U293" i="18"/>
  <c r="T293" i="18" s="1"/>
  <c r="S293" i="18" s="1"/>
  <c r="R293" i="18" s="1"/>
  <c r="U196" i="18"/>
  <c r="T196" i="18" s="1"/>
  <c r="S196" i="18" s="1"/>
  <c r="R196" i="18" s="1"/>
  <c r="U335" i="18"/>
  <c r="T335" i="18" s="1"/>
  <c r="S335" i="18" s="1"/>
  <c r="R335" i="18" s="1"/>
  <c r="U238" i="18"/>
  <c r="T238" i="18" s="1"/>
  <c r="S238" i="18" s="1"/>
  <c r="R238" i="18" s="1"/>
  <c r="U185" i="18"/>
  <c r="T185" i="18" s="1"/>
  <c r="S185" i="18" s="1"/>
  <c r="R185" i="18" s="1"/>
  <c r="U104" i="18"/>
  <c r="T104" i="18" s="1"/>
  <c r="S104" i="18" s="1"/>
  <c r="R104" i="18" s="1"/>
  <c r="U51" i="18"/>
  <c r="T51" i="18" s="1"/>
  <c r="S51" i="18" s="1"/>
  <c r="R51" i="18" s="1"/>
  <c r="U311" i="18"/>
  <c r="T311" i="18" s="1"/>
  <c r="S311" i="18" s="1"/>
  <c r="R311" i="18" s="1"/>
  <c r="U214" i="18"/>
  <c r="T214" i="18" s="1"/>
  <c r="S214" i="18" s="1"/>
  <c r="R214" i="18" s="1"/>
  <c r="U97" i="18"/>
  <c r="T97" i="18" s="1"/>
  <c r="S97" i="18" s="1"/>
  <c r="R97" i="18" s="1"/>
  <c r="U64" i="18"/>
  <c r="T64" i="18" s="1"/>
  <c r="S64" i="18" s="1"/>
  <c r="R64" i="18" s="1"/>
  <c r="U340" i="18"/>
  <c r="T340" i="18" s="1"/>
  <c r="S340" i="18" s="1"/>
  <c r="R340" i="18" s="1"/>
  <c r="U287" i="18"/>
  <c r="T287" i="18" s="1"/>
  <c r="S287" i="18" s="1"/>
  <c r="R287" i="18" s="1"/>
  <c r="U85" i="18"/>
  <c r="T85" i="18" s="1"/>
  <c r="S85" i="18" s="1"/>
  <c r="R85" i="18" s="1"/>
  <c r="U329" i="18"/>
  <c r="T329" i="18" s="1"/>
  <c r="S329" i="18" s="1"/>
  <c r="R329" i="18" s="1"/>
  <c r="U248" i="18"/>
  <c r="T248" i="18" s="1"/>
  <c r="S248" i="18" s="1"/>
  <c r="R248" i="18" s="1"/>
  <c r="U195" i="18"/>
  <c r="T195" i="18" s="1"/>
  <c r="S195" i="18" s="1"/>
  <c r="R195" i="18" s="1"/>
  <c r="U146" i="18"/>
  <c r="T146" i="18" s="1"/>
  <c r="S146" i="18" s="1"/>
  <c r="R146" i="18" s="1"/>
  <c r="U61" i="18"/>
  <c r="T61" i="18" s="1"/>
  <c r="S61" i="18" s="1"/>
  <c r="R61" i="18" s="1"/>
  <c r="U305" i="18"/>
  <c r="T305" i="18" s="1"/>
  <c r="S305" i="18" s="1"/>
  <c r="R305" i="18" s="1"/>
  <c r="U208" i="18"/>
  <c r="T208" i="18" s="1"/>
  <c r="S208" i="18" s="1"/>
  <c r="R208" i="18" s="1"/>
  <c r="U123" i="18"/>
  <c r="T123" i="18" s="1"/>
  <c r="S123" i="18" s="1"/>
  <c r="R123" i="18" s="1"/>
  <c r="U74" i="18"/>
  <c r="T74" i="18" s="1"/>
  <c r="S74" i="18" s="1"/>
  <c r="R74" i="18" s="1"/>
  <c r="U37" i="18"/>
  <c r="T37" i="18" s="1"/>
  <c r="S37" i="18" s="1"/>
  <c r="R37" i="18" s="1"/>
  <c r="U25" i="18"/>
  <c r="T25" i="18" s="1"/>
  <c r="U301" i="18"/>
  <c r="T301" i="18" s="1"/>
  <c r="S301" i="18" s="1"/>
  <c r="R301" i="18" s="1"/>
  <c r="U188" i="18"/>
  <c r="T188" i="18" s="1"/>
  <c r="S188" i="18" s="1"/>
  <c r="R188" i="18" s="1"/>
  <c r="U151" i="18"/>
  <c r="T151" i="18" s="1"/>
  <c r="S151" i="18" s="1"/>
  <c r="R151" i="18" s="1"/>
  <c r="U54" i="18"/>
  <c r="T54" i="18" s="1"/>
  <c r="S54" i="18" s="1"/>
  <c r="R54" i="18" s="1"/>
  <c r="U378" i="18"/>
  <c r="T378" i="18" s="1"/>
  <c r="S378" i="18" s="1"/>
  <c r="R378" i="18" s="1"/>
  <c r="U277" i="18"/>
  <c r="T277" i="18" s="1"/>
  <c r="S277" i="18" s="1"/>
  <c r="R277" i="18" s="1"/>
  <c r="U180" i="18"/>
  <c r="T180" i="18" s="1"/>
  <c r="S180" i="18" s="1"/>
  <c r="R180" i="18" s="1"/>
  <c r="U63" i="18"/>
  <c r="T63" i="18" s="1"/>
  <c r="S63" i="18" s="1"/>
  <c r="R63" i="18" s="1"/>
  <c r="U30" i="18"/>
  <c r="T30" i="18" s="1"/>
  <c r="S30" i="18" s="1"/>
  <c r="R30" i="18" s="1"/>
  <c r="U338" i="18"/>
  <c r="T338" i="18" s="1"/>
  <c r="S338" i="18" s="1"/>
  <c r="R338" i="18" s="1"/>
  <c r="U253" i="18"/>
  <c r="T253" i="18" s="1"/>
  <c r="S253" i="18" s="1"/>
  <c r="R253" i="18" s="1"/>
  <c r="U241" i="18"/>
  <c r="T241" i="18" s="1"/>
  <c r="S241" i="18" s="1"/>
  <c r="R241" i="18" s="1"/>
  <c r="U144" i="18"/>
  <c r="T144" i="18" s="1"/>
  <c r="S144" i="18" s="1"/>
  <c r="R144" i="18" s="1"/>
  <c r="U59" i="18"/>
  <c r="T59" i="18" s="1"/>
  <c r="S59" i="18" s="1"/>
  <c r="R59" i="18" s="1"/>
  <c r="U367" i="18"/>
  <c r="T367" i="18" s="1"/>
  <c r="S367" i="18" s="1"/>
  <c r="R367" i="18" s="1"/>
  <c r="U334" i="18"/>
  <c r="T334" i="18" s="1"/>
  <c r="S334" i="18" s="1"/>
  <c r="R334" i="18" s="1"/>
  <c r="U217" i="18"/>
  <c r="T217" i="18" s="1"/>
  <c r="S217" i="18" s="1"/>
  <c r="R217" i="18" s="1"/>
  <c r="U136" i="18"/>
  <c r="T136" i="18" s="1"/>
  <c r="U16" i="18"/>
  <c r="T16" i="18" s="1"/>
  <c r="S16" i="18" s="1"/>
  <c r="R16" i="18" s="1"/>
  <c r="U343" i="18"/>
  <c r="T343" i="18" s="1"/>
  <c r="S343" i="18" s="1"/>
  <c r="R343" i="18" s="1"/>
  <c r="U246" i="18"/>
  <c r="T246" i="18" s="1"/>
  <c r="S246" i="18" s="1"/>
  <c r="R246" i="18" s="1"/>
  <c r="U193" i="18"/>
  <c r="T193" i="18" s="1"/>
  <c r="S193" i="18" s="1"/>
  <c r="R193" i="18" s="1"/>
  <c r="U352" i="18"/>
  <c r="T352" i="18" s="1"/>
  <c r="S352" i="18" s="1"/>
  <c r="R352" i="18" s="1"/>
  <c r="U267" i="18"/>
  <c r="T267" i="18" s="1"/>
  <c r="S267" i="18" s="1"/>
  <c r="R267" i="18" s="1"/>
  <c r="U154" i="18"/>
  <c r="T154" i="18" s="1"/>
  <c r="S154" i="18" s="1"/>
  <c r="R154" i="18" s="1"/>
  <c r="U117" i="18"/>
  <c r="T117" i="18" s="1"/>
  <c r="S117" i="18" s="1"/>
  <c r="R117" i="18" s="1"/>
  <c r="U20" i="18"/>
  <c r="T20" i="18" s="1"/>
  <c r="S20" i="18" s="1"/>
  <c r="R20" i="18" s="1"/>
  <c r="U344" i="18"/>
  <c r="T344" i="18" s="1"/>
  <c r="S344" i="18" s="1"/>
  <c r="R344" i="18" s="1"/>
  <c r="AH382" i="17"/>
  <c r="AH381" i="17"/>
  <c r="AG15" i="17"/>
  <c r="AH383" i="17"/>
  <c r="AI144" i="18"/>
  <c r="AH144" i="18" s="1"/>
  <c r="AG144" i="18" s="1"/>
  <c r="AF144" i="18" s="1"/>
  <c r="AI35" i="18"/>
  <c r="AH35" i="18" s="1"/>
  <c r="AG35" i="18" s="1"/>
  <c r="AF35" i="18" s="1"/>
  <c r="AI291" i="18"/>
  <c r="AH291" i="18" s="1"/>
  <c r="AG291" i="18" s="1"/>
  <c r="AF291" i="18" s="1"/>
  <c r="AI178" i="18"/>
  <c r="AH178" i="18" s="1"/>
  <c r="AG178" i="18" s="1"/>
  <c r="AF178" i="18" s="1"/>
  <c r="AI69" i="18"/>
  <c r="AH69" i="18" s="1"/>
  <c r="AG69" i="18" s="1"/>
  <c r="AF69" i="18" s="1"/>
  <c r="AI325" i="18"/>
  <c r="AH325" i="18" s="1"/>
  <c r="AG325" i="18" s="1"/>
  <c r="AF325" i="18" s="1"/>
  <c r="AI220" i="18"/>
  <c r="AH220" i="18" s="1"/>
  <c r="AG220" i="18" s="1"/>
  <c r="AF220" i="18" s="1"/>
  <c r="AI111" i="18"/>
  <c r="AH111" i="18" s="1"/>
  <c r="AG111" i="18" s="1"/>
  <c r="AF111" i="18" s="1"/>
  <c r="AI367" i="18"/>
  <c r="AH367" i="18" s="1"/>
  <c r="AG367" i="18" s="1"/>
  <c r="AF367" i="18" s="1"/>
  <c r="AI262" i="18"/>
  <c r="AH262" i="18" s="1"/>
  <c r="AG262" i="18" s="1"/>
  <c r="AF262" i="18" s="1"/>
  <c r="AI153" i="18"/>
  <c r="AH153" i="18" s="1"/>
  <c r="AG153" i="18" s="1"/>
  <c r="AF153" i="18" s="1"/>
  <c r="AI40" i="18"/>
  <c r="AH40" i="18" s="1"/>
  <c r="AG40" i="18" s="1"/>
  <c r="AF40" i="18" s="1"/>
  <c r="AI296" i="18"/>
  <c r="AH296" i="18" s="1"/>
  <c r="AG296" i="18" s="1"/>
  <c r="AF296" i="18" s="1"/>
  <c r="AI187" i="18"/>
  <c r="AH187" i="18" s="1"/>
  <c r="AG187" i="18" s="1"/>
  <c r="AF187" i="18" s="1"/>
  <c r="AI74" i="18"/>
  <c r="AH74" i="18" s="1"/>
  <c r="AG74" i="18" s="1"/>
  <c r="AF74" i="18" s="1"/>
  <c r="AI330" i="18"/>
  <c r="AH330" i="18" s="1"/>
  <c r="AG330" i="18" s="1"/>
  <c r="AF330" i="18" s="1"/>
  <c r="AI221" i="18"/>
  <c r="AH221" i="18" s="1"/>
  <c r="AG221" i="18" s="1"/>
  <c r="AF221" i="18" s="1"/>
  <c r="AI116" i="18"/>
  <c r="AH116" i="18" s="1"/>
  <c r="AG116" i="18" s="1"/>
  <c r="AF116" i="18" s="1"/>
  <c r="AI372" i="18"/>
  <c r="AH372" i="18" s="1"/>
  <c r="AG372" i="18" s="1"/>
  <c r="AF372" i="18" s="1"/>
  <c r="AI263" i="18"/>
  <c r="AH263" i="18" s="1"/>
  <c r="AG263" i="18" s="1"/>
  <c r="AF263" i="18" s="1"/>
  <c r="AI158" i="18"/>
  <c r="AH158" i="18" s="1"/>
  <c r="AG158" i="18" s="1"/>
  <c r="AF158" i="18" s="1"/>
  <c r="AI49" i="18"/>
  <c r="AH49" i="18" s="1"/>
  <c r="AG49" i="18" s="1"/>
  <c r="AF49" i="18" s="1"/>
  <c r="AI305" i="18"/>
  <c r="AH305" i="18" s="1"/>
  <c r="AG305" i="18" s="1"/>
  <c r="AF305" i="18" s="1"/>
  <c r="AI256" i="18"/>
  <c r="AH256" i="18" s="1"/>
  <c r="AG256" i="18" s="1"/>
  <c r="AF256" i="18" s="1"/>
  <c r="AI147" i="18"/>
  <c r="AH147" i="18" s="1"/>
  <c r="AG147" i="18" s="1"/>
  <c r="AF147" i="18" s="1"/>
  <c r="AI34" i="18"/>
  <c r="AH34" i="18" s="1"/>
  <c r="AG34" i="18" s="1"/>
  <c r="AF34" i="18" s="1"/>
  <c r="AI290" i="18"/>
  <c r="AH290" i="18" s="1"/>
  <c r="AG290" i="18" s="1"/>
  <c r="AF290" i="18" s="1"/>
  <c r="AI181" i="18"/>
  <c r="AH181" i="18" s="1"/>
  <c r="AG181" i="18" s="1"/>
  <c r="AF181" i="18" s="1"/>
  <c r="AI76" i="18"/>
  <c r="AH76" i="18" s="1"/>
  <c r="AG76" i="18" s="1"/>
  <c r="AF76" i="18" s="1"/>
  <c r="AI332" i="18"/>
  <c r="AH332" i="18" s="1"/>
  <c r="AG332" i="18" s="1"/>
  <c r="AF332" i="18" s="1"/>
  <c r="AI223" i="18"/>
  <c r="AH223" i="18" s="1"/>
  <c r="AG223" i="18" s="1"/>
  <c r="AF223" i="18" s="1"/>
  <c r="AI118" i="18"/>
  <c r="AH118" i="18" s="1"/>
  <c r="AG118" i="18" s="1"/>
  <c r="AF118" i="18" s="1"/>
  <c r="AI374" i="18"/>
  <c r="AH374" i="18" s="1"/>
  <c r="AG374" i="18" s="1"/>
  <c r="AF374" i="18" s="1"/>
  <c r="AI265" i="18"/>
  <c r="AH265" i="18" s="1"/>
  <c r="AG265" i="18" s="1"/>
  <c r="AF265" i="18" s="1"/>
  <c r="AI152" i="18"/>
  <c r="AH152" i="18" s="1"/>
  <c r="AG152" i="18" s="1"/>
  <c r="AF152" i="18" s="1"/>
  <c r="AI43" i="18"/>
  <c r="AH43" i="18" s="1"/>
  <c r="AG43" i="18" s="1"/>
  <c r="AF43" i="18" s="1"/>
  <c r="AI299" i="18"/>
  <c r="AH299" i="18" s="1"/>
  <c r="AG299" i="18" s="1"/>
  <c r="AF299" i="18" s="1"/>
  <c r="AI186" i="18"/>
  <c r="AH186" i="18" s="1"/>
  <c r="AG186" i="18" s="1"/>
  <c r="AF186" i="18" s="1"/>
  <c r="AI77" i="18"/>
  <c r="AH77" i="18" s="1"/>
  <c r="AG77" i="18" s="1"/>
  <c r="AF77" i="18" s="1"/>
  <c r="AI333" i="18"/>
  <c r="AH333" i="18" s="1"/>
  <c r="AG333" i="18" s="1"/>
  <c r="AF333" i="18" s="1"/>
  <c r="AI228" i="18"/>
  <c r="AH228" i="18" s="1"/>
  <c r="AG228" i="18" s="1"/>
  <c r="AF228" i="18" s="1"/>
  <c r="AI119" i="18"/>
  <c r="AH119" i="18" s="1"/>
  <c r="AG119" i="18" s="1"/>
  <c r="AF119" i="18" s="1"/>
  <c r="AI375" i="18"/>
  <c r="AH375" i="18" s="1"/>
  <c r="AG375" i="18" s="1"/>
  <c r="AF375" i="18" s="1"/>
  <c r="AI270" i="18"/>
  <c r="AH270" i="18" s="1"/>
  <c r="AG270" i="18" s="1"/>
  <c r="AF270" i="18" s="1"/>
  <c r="AI161" i="18"/>
  <c r="AH161" i="18" s="1"/>
  <c r="AG161" i="18" s="1"/>
  <c r="AF161" i="18" s="1"/>
  <c r="AI48" i="18"/>
  <c r="AH48" i="18" s="1"/>
  <c r="AG48" i="18" s="1"/>
  <c r="AF48" i="18" s="1"/>
  <c r="AI304" i="18"/>
  <c r="AH304" i="18" s="1"/>
  <c r="AG304" i="18" s="1"/>
  <c r="AF304" i="18" s="1"/>
  <c r="AI195" i="18"/>
  <c r="AH195" i="18" s="1"/>
  <c r="AG195" i="18" s="1"/>
  <c r="AF195" i="18" s="1"/>
  <c r="AI82" i="18"/>
  <c r="AH82" i="18" s="1"/>
  <c r="AG82" i="18" s="1"/>
  <c r="AF82" i="18" s="1"/>
  <c r="AI338" i="18"/>
  <c r="AH338" i="18" s="1"/>
  <c r="AG338" i="18" s="1"/>
  <c r="AF338" i="18" s="1"/>
  <c r="AI229" i="18"/>
  <c r="AH229" i="18" s="1"/>
  <c r="AG229" i="18" s="1"/>
  <c r="AF229" i="18" s="1"/>
  <c r="AI124" i="18"/>
  <c r="AH124" i="18" s="1"/>
  <c r="AG124" i="18" s="1"/>
  <c r="AF124" i="18" s="1"/>
  <c r="AI18" i="18"/>
  <c r="AH18" i="18" s="1"/>
  <c r="AI271" i="18"/>
  <c r="AH271" i="18" s="1"/>
  <c r="AG271" i="18" s="1"/>
  <c r="AF271" i="18" s="1"/>
  <c r="AI166" i="18"/>
  <c r="AH166" i="18" s="1"/>
  <c r="AG166" i="18" s="1"/>
  <c r="AF166" i="18" s="1"/>
  <c r="AI57" i="18"/>
  <c r="AH57" i="18" s="1"/>
  <c r="AG57" i="18" s="1"/>
  <c r="AF57" i="18" s="1"/>
  <c r="AI313" i="18"/>
  <c r="AH313" i="18" s="1"/>
  <c r="AG313" i="18" s="1"/>
  <c r="AF313" i="18" s="1"/>
  <c r="AI200" i="18"/>
  <c r="AH200" i="18" s="1"/>
  <c r="AG200" i="18" s="1"/>
  <c r="AF200" i="18" s="1"/>
  <c r="AI91" i="18"/>
  <c r="AH91" i="18" s="1"/>
  <c r="AG91" i="18" s="1"/>
  <c r="AF91" i="18" s="1"/>
  <c r="AI347" i="18"/>
  <c r="AH347" i="18" s="1"/>
  <c r="AG347" i="18" s="1"/>
  <c r="AF347" i="18" s="1"/>
  <c r="AI234" i="18"/>
  <c r="AH234" i="18" s="1"/>
  <c r="AG234" i="18" s="1"/>
  <c r="AF234" i="18" s="1"/>
  <c r="AI125" i="18"/>
  <c r="AH125" i="18" s="1"/>
  <c r="AG125" i="18" s="1"/>
  <c r="AF125" i="18" s="1"/>
  <c r="AI20" i="18"/>
  <c r="AH20" i="18" s="1"/>
  <c r="AG20" i="18" s="1"/>
  <c r="AF20" i="18" s="1"/>
  <c r="AI276" i="18"/>
  <c r="AH276" i="18" s="1"/>
  <c r="AG276" i="18" s="1"/>
  <c r="AF276" i="18" s="1"/>
  <c r="AI167" i="18"/>
  <c r="AH167" i="18" s="1"/>
  <c r="AG167" i="18" s="1"/>
  <c r="AF167" i="18" s="1"/>
  <c r="AI62" i="18"/>
  <c r="AH62" i="18" s="1"/>
  <c r="AG62" i="18" s="1"/>
  <c r="AF62" i="18" s="1"/>
  <c r="AI318" i="18"/>
  <c r="AH318" i="18" s="1"/>
  <c r="AG318" i="18" s="1"/>
  <c r="AF318" i="18" s="1"/>
  <c r="AI209" i="18"/>
  <c r="AH209" i="18" s="1"/>
  <c r="AG209" i="18" s="1"/>
  <c r="AF209" i="18" s="1"/>
  <c r="AI32" i="18"/>
  <c r="AH32" i="18" s="1"/>
  <c r="AG32" i="18" s="1"/>
  <c r="AF32" i="18" s="1"/>
  <c r="AI288" i="18"/>
  <c r="AH288" i="18" s="1"/>
  <c r="AG288" i="18" s="1"/>
  <c r="AF288" i="18" s="1"/>
  <c r="AI179" i="18"/>
  <c r="AH179" i="18" s="1"/>
  <c r="AG179" i="18" s="1"/>
  <c r="AF179" i="18" s="1"/>
  <c r="AI66" i="18"/>
  <c r="AH66" i="18" s="1"/>
  <c r="AG66" i="18" s="1"/>
  <c r="AF66" i="18" s="1"/>
  <c r="AI322" i="18"/>
  <c r="AH322" i="18" s="1"/>
  <c r="AG322" i="18" s="1"/>
  <c r="AF322" i="18" s="1"/>
  <c r="AI213" i="18"/>
  <c r="AH213" i="18" s="1"/>
  <c r="AG213" i="18" s="1"/>
  <c r="AF213" i="18" s="1"/>
  <c r="AI108" i="18"/>
  <c r="AH108" i="18" s="1"/>
  <c r="AG108" i="18" s="1"/>
  <c r="AF108" i="18" s="1"/>
  <c r="AI364" i="18"/>
  <c r="AH364" i="18" s="1"/>
  <c r="AG364" i="18" s="1"/>
  <c r="AF364" i="18" s="1"/>
  <c r="AI255" i="18"/>
  <c r="AH255" i="18" s="1"/>
  <c r="AG255" i="18" s="1"/>
  <c r="AF255" i="18" s="1"/>
  <c r="AI150" i="18"/>
  <c r="AH150" i="18" s="1"/>
  <c r="AG150" i="18" s="1"/>
  <c r="AF150" i="18" s="1"/>
  <c r="AI41" i="18"/>
  <c r="AH41" i="18" s="1"/>
  <c r="AG41" i="18" s="1"/>
  <c r="AF41" i="18" s="1"/>
  <c r="AI297" i="18"/>
  <c r="AH297" i="18" s="1"/>
  <c r="AG297" i="18" s="1"/>
  <c r="AF297" i="18" s="1"/>
  <c r="AI184" i="18"/>
  <c r="AH184" i="18" s="1"/>
  <c r="AG184" i="18" s="1"/>
  <c r="AF184" i="18" s="1"/>
  <c r="AI75" i="18"/>
  <c r="AH75" i="18" s="1"/>
  <c r="AG75" i="18" s="1"/>
  <c r="AF75" i="18" s="1"/>
  <c r="AI331" i="18"/>
  <c r="AH331" i="18" s="1"/>
  <c r="AG331" i="18" s="1"/>
  <c r="AF331" i="18" s="1"/>
  <c r="AI218" i="18"/>
  <c r="AH218" i="18" s="1"/>
  <c r="AG218" i="18" s="1"/>
  <c r="AF218" i="18" s="1"/>
  <c r="AI109" i="18"/>
  <c r="AH109" i="18" s="1"/>
  <c r="AG109" i="18" s="1"/>
  <c r="AF109" i="18" s="1"/>
  <c r="AI365" i="18"/>
  <c r="AH365" i="18" s="1"/>
  <c r="AG365" i="18" s="1"/>
  <c r="AF365" i="18" s="1"/>
  <c r="AI260" i="18"/>
  <c r="AH260" i="18" s="1"/>
  <c r="AG260" i="18" s="1"/>
  <c r="AF260" i="18" s="1"/>
  <c r="AI151" i="18"/>
  <c r="AH151" i="18" s="1"/>
  <c r="AG151" i="18" s="1"/>
  <c r="AF151" i="18" s="1"/>
  <c r="AI46" i="18"/>
  <c r="AH46" i="18" s="1"/>
  <c r="AG46" i="18" s="1"/>
  <c r="AF46" i="18" s="1"/>
  <c r="AI302" i="18"/>
  <c r="AH302" i="18" s="1"/>
  <c r="AG302" i="18" s="1"/>
  <c r="AF302" i="18" s="1"/>
  <c r="AI193" i="18"/>
  <c r="AH193" i="18" s="1"/>
  <c r="AG193" i="18" s="1"/>
  <c r="AF193" i="18" s="1"/>
  <c r="AI80" i="18"/>
  <c r="AH80" i="18" s="1"/>
  <c r="AG80" i="18" s="1"/>
  <c r="AF80" i="18" s="1"/>
  <c r="AI336" i="18"/>
  <c r="AH336" i="18" s="1"/>
  <c r="AG336" i="18" s="1"/>
  <c r="AF336" i="18" s="1"/>
  <c r="AI227" i="18"/>
  <c r="AH227" i="18" s="1"/>
  <c r="AG227" i="18" s="1"/>
  <c r="AF227" i="18" s="1"/>
  <c r="AI114" i="18"/>
  <c r="AH114" i="18" s="1"/>
  <c r="AG114" i="18" s="1"/>
  <c r="AF114" i="18" s="1"/>
  <c r="AI370" i="18"/>
  <c r="AH370" i="18" s="1"/>
  <c r="AG370" i="18" s="1"/>
  <c r="AF370" i="18" s="1"/>
  <c r="AI261" i="18"/>
  <c r="AH261" i="18" s="1"/>
  <c r="AG261" i="18" s="1"/>
  <c r="AF261" i="18" s="1"/>
  <c r="AI156" i="18"/>
  <c r="AH156" i="18" s="1"/>
  <c r="AG156" i="18" s="1"/>
  <c r="AF156" i="18" s="1"/>
  <c r="AI47" i="18"/>
  <c r="AH47" i="18" s="1"/>
  <c r="AG47" i="18" s="1"/>
  <c r="AF47" i="18" s="1"/>
  <c r="AI303" i="18"/>
  <c r="AH303" i="18" s="1"/>
  <c r="AG303" i="18" s="1"/>
  <c r="AF303" i="18" s="1"/>
  <c r="AI198" i="18"/>
  <c r="AH198" i="18" s="1"/>
  <c r="AG198" i="18" s="1"/>
  <c r="AF198" i="18" s="1"/>
  <c r="AI89" i="18"/>
  <c r="AH89" i="18" s="1"/>
  <c r="AG89" i="18" s="1"/>
  <c r="AF89" i="18" s="1"/>
  <c r="AI345" i="18"/>
  <c r="AH345" i="18" s="1"/>
  <c r="AG345" i="18" s="1"/>
  <c r="AF345" i="18" s="1"/>
  <c r="AI232" i="18"/>
  <c r="AH232" i="18" s="1"/>
  <c r="AG232" i="18" s="1"/>
  <c r="AF232" i="18" s="1"/>
  <c r="AI123" i="18"/>
  <c r="AH123" i="18" s="1"/>
  <c r="AG123" i="18" s="1"/>
  <c r="AF123" i="18" s="1"/>
  <c r="AI379" i="18"/>
  <c r="AI266" i="18"/>
  <c r="AH266" i="18" s="1"/>
  <c r="AG266" i="18" s="1"/>
  <c r="AF266" i="18" s="1"/>
  <c r="AI157" i="18"/>
  <c r="AH157" i="18" s="1"/>
  <c r="AG157" i="18" s="1"/>
  <c r="AF157" i="18" s="1"/>
  <c r="AI52" i="18"/>
  <c r="AH52" i="18" s="1"/>
  <c r="AG52" i="18" s="1"/>
  <c r="AF52" i="18" s="1"/>
  <c r="AI308" i="18"/>
  <c r="AH308" i="18" s="1"/>
  <c r="AG308" i="18" s="1"/>
  <c r="AF308" i="18" s="1"/>
  <c r="AI199" i="18"/>
  <c r="AH199" i="18" s="1"/>
  <c r="AG199" i="18" s="1"/>
  <c r="AF199" i="18" s="1"/>
  <c r="AI94" i="18"/>
  <c r="AH94" i="18" s="1"/>
  <c r="AG94" i="18" s="1"/>
  <c r="AF94" i="18" s="1"/>
  <c r="AI350" i="18"/>
  <c r="AH350" i="18" s="1"/>
  <c r="AG350" i="18" s="1"/>
  <c r="AF350" i="18" s="1"/>
  <c r="AI241" i="18"/>
  <c r="AH241" i="18" s="1"/>
  <c r="AG241" i="18" s="1"/>
  <c r="AF241" i="18" s="1"/>
  <c r="AI64" i="18"/>
  <c r="AH64" i="18" s="1"/>
  <c r="AG64" i="18" s="1"/>
  <c r="AF64" i="18" s="1"/>
  <c r="AI320" i="18"/>
  <c r="AH320" i="18" s="1"/>
  <c r="AG320" i="18" s="1"/>
  <c r="AF320" i="18" s="1"/>
  <c r="AI211" i="18"/>
  <c r="AH211" i="18" s="1"/>
  <c r="AG211" i="18" s="1"/>
  <c r="AF211" i="18" s="1"/>
  <c r="AI98" i="18"/>
  <c r="AH98" i="18" s="1"/>
  <c r="AI354" i="18"/>
  <c r="AH354" i="18" s="1"/>
  <c r="AG354" i="18" s="1"/>
  <c r="AF354" i="18" s="1"/>
  <c r="AI245" i="18"/>
  <c r="AH245" i="18" s="1"/>
  <c r="AG245" i="18" s="1"/>
  <c r="AF245" i="18" s="1"/>
  <c r="AI140" i="18"/>
  <c r="AH140" i="18" s="1"/>
  <c r="AG140" i="18" s="1"/>
  <c r="AF140" i="18" s="1"/>
  <c r="AI31" i="18"/>
  <c r="AH31" i="18" s="1"/>
  <c r="AG31" i="18" s="1"/>
  <c r="AF31" i="18" s="1"/>
  <c r="AI287" i="18"/>
  <c r="AH287" i="18" s="1"/>
  <c r="AG287" i="18" s="1"/>
  <c r="AF287" i="18" s="1"/>
  <c r="AI182" i="18"/>
  <c r="AH182" i="18" s="1"/>
  <c r="AG182" i="18" s="1"/>
  <c r="AF182" i="18" s="1"/>
  <c r="AI73" i="18"/>
  <c r="AH73" i="18" s="1"/>
  <c r="AG73" i="18" s="1"/>
  <c r="AF73" i="18" s="1"/>
  <c r="AI329" i="18"/>
  <c r="AH329" i="18" s="1"/>
  <c r="AI216" i="18"/>
  <c r="AH216" i="18" s="1"/>
  <c r="AG216" i="18" s="1"/>
  <c r="AF216" i="18" s="1"/>
  <c r="AI107" i="18"/>
  <c r="AH107" i="18" s="1"/>
  <c r="AG107" i="18" s="1"/>
  <c r="AF107" i="18" s="1"/>
  <c r="AI363" i="18"/>
  <c r="AH363" i="18" s="1"/>
  <c r="AG363" i="18" s="1"/>
  <c r="AF363" i="18" s="1"/>
  <c r="AI250" i="18"/>
  <c r="AH250" i="18" s="1"/>
  <c r="AG250" i="18" s="1"/>
  <c r="AF250" i="18" s="1"/>
  <c r="AI141" i="18"/>
  <c r="AH141" i="18" s="1"/>
  <c r="AG141" i="18" s="1"/>
  <c r="AF141" i="18" s="1"/>
  <c r="AI36" i="18"/>
  <c r="AH36" i="18" s="1"/>
  <c r="AG36" i="18" s="1"/>
  <c r="AF36" i="18" s="1"/>
  <c r="AI292" i="18"/>
  <c r="AH292" i="18" s="1"/>
  <c r="AG292" i="18" s="1"/>
  <c r="AF292" i="18" s="1"/>
  <c r="AI183" i="18"/>
  <c r="AH183" i="18" s="1"/>
  <c r="AI78" i="18"/>
  <c r="AH78" i="18" s="1"/>
  <c r="AG78" i="18" s="1"/>
  <c r="AF78" i="18" s="1"/>
  <c r="AI334" i="18"/>
  <c r="AH334" i="18" s="1"/>
  <c r="AG334" i="18" s="1"/>
  <c r="AF334" i="18" s="1"/>
  <c r="AI225" i="18"/>
  <c r="AH225" i="18" s="1"/>
  <c r="AG225" i="18" s="1"/>
  <c r="AF225" i="18" s="1"/>
  <c r="AI112" i="18"/>
  <c r="AH112" i="18" s="1"/>
  <c r="AG112" i="18" s="1"/>
  <c r="AF112" i="18" s="1"/>
  <c r="AI368" i="18"/>
  <c r="AH368" i="18" s="1"/>
  <c r="AG368" i="18" s="1"/>
  <c r="AF368" i="18" s="1"/>
  <c r="AI259" i="18"/>
  <c r="AH259" i="18" s="1"/>
  <c r="AG259" i="18" s="1"/>
  <c r="AF259" i="18" s="1"/>
  <c r="AI146" i="18"/>
  <c r="AH146" i="18" s="1"/>
  <c r="AG146" i="18" s="1"/>
  <c r="AF146" i="18" s="1"/>
  <c r="AI37" i="18"/>
  <c r="AH37" i="18" s="1"/>
  <c r="AI293" i="18"/>
  <c r="AH293" i="18" s="1"/>
  <c r="AG293" i="18" s="1"/>
  <c r="AF293" i="18" s="1"/>
  <c r="AI188" i="18"/>
  <c r="AH188" i="18" s="1"/>
  <c r="AG188" i="18" s="1"/>
  <c r="AF188" i="18" s="1"/>
  <c r="AI79" i="18"/>
  <c r="AH79" i="18" s="1"/>
  <c r="AG79" i="18" s="1"/>
  <c r="AF79" i="18" s="1"/>
  <c r="AI335" i="18"/>
  <c r="AH335" i="18" s="1"/>
  <c r="AG335" i="18" s="1"/>
  <c r="AF335" i="18" s="1"/>
  <c r="AI230" i="18"/>
  <c r="AH230" i="18" s="1"/>
  <c r="AG230" i="18" s="1"/>
  <c r="AF230" i="18" s="1"/>
  <c r="AI121" i="18"/>
  <c r="AH121" i="18" s="1"/>
  <c r="AG121" i="18" s="1"/>
  <c r="AF121" i="18" s="1"/>
  <c r="AI377" i="18"/>
  <c r="AH377" i="18" s="1"/>
  <c r="AG377" i="18" s="1"/>
  <c r="AF377" i="18" s="1"/>
  <c r="AI264" i="18"/>
  <c r="AH264" i="18" s="1"/>
  <c r="AI155" i="18"/>
  <c r="AH155" i="18" s="1"/>
  <c r="AG155" i="18" s="1"/>
  <c r="AF155" i="18" s="1"/>
  <c r="AI42" i="18"/>
  <c r="AH42" i="18" s="1"/>
  <c r="AG42" i="18" s="1"/>
  <c r="AF42" i="18" s="1"/>
  <c r="AI298" i="18"/>
  <c r="AH298" i="18" s="1"/>
  <c r="AG298" i="18" s="1"/>
  <c r="AF298" i="18" s="1"/>
  <c r="AI189" i="18"/>
  <c r="AH189" i="18" s="1"/>
  <c r="AG189" i="18" s="1"/>
  <c r="AF189" i="18" s="1"/>
  <c r="AI84" i="18"/>
  <c r="AH84" i="18" s="1"/>
  <c r="AG84" i="18" s="1"/>
  <c r="AF84" i="18" s="1"/>
  <c r="AI340" i="18"/>
  <c r="AH340" i="18" s="1"/>
  <c r="AG340" i="18" s="1"/>
  <c r="AF340" i="18" s="1"/>
  <c r="AI231" i="18"/>
  <c r="AH231" i="18" s="1"/>
  <c r="AG231" i="18" s="1"/>
  <c r="AF231" i="18" s="1"/>
  <c r="AI126" i="18"/>
  <c r="AH126" i="18" s="1"/>
  <c r="AI19" i="18"/>
  <c r="AH19" i="18" s="1"/>
  <c r="AG19" i="18" s="1"/>
  <c r="AF19" i="18" s="1"/>
  <c r="AI273" i="18"/>
  <c r="AH273" i="18" s="1"/>
  <c r="AG273" i="18" s="1"/>
  <c r="AF273" i="18" s="1"/>
  <c r="AI224" i="18"/>
  <c r="AH224" i="18" s="1"/>
  <c r="AG224" i="18" s="1"/>
  <c r="AF224" i="18" s="1"/>
  <c r="AI115" i="18"/>
  <c r="AH115" i="18" s="1"/>
  <c r="AG115" i="18" s="1"/>
  <c r="AF115" i="18" s="1"/>
  <c r="AI371" i="18"/>
  <c r="AH371" i="18" s="1"/>
  <c r="AG371" i="18" s="1"/>
  <c r="AF371" i="18" s="1"/>
  <c r="AI258" i="18"/>
  <c r="AH258" i="18" s="1"/>
  <c r="AG258" i="18" s="1"/>
  <c r="AF258" i="18" s="1"/>
  <c r="AI149" i="18"/>
  <c r="AH149" i="18" s="1"/>
  <c r="AG149" i="18" s="1"/>
  <c r="AF149" i="18" s="1"/>
  <c r="AI44" i="18"/>
  <c r="AH44" i="18" s="1"/>
  <c r="AI300" i="18"/>
  <c r="AH300" i="18" s="1"/>
  <c r="AG300" i="18" s="1"/>
  <c r="AF300" i="18" s="1"/>
  <c r="AI191" i="18"/>
  <c r="AH191" i="18" s="1"/>
  <c r="AG191" i="18" s="1"/>
  <c r="AF191" i="18" s="1"/>
  <c r="AI86" i="18"/>
  <c r="AH86" i="18" s="1"/>
  <c r="AG86" i="18" s="1"/>
  <c r="AF86" i="18" s="1"/>
  <c r="AI342" i="18"/>
  <c r="AH342" i="18" s="1"/>
  <c r="AG342" i="18" s="1"/>
  <c r="AF342" i="18" s="1"/>
  <c r="AI233" i="18"/>
  <c r="AH233" i="18" s="1"/>
  <c r="AG233" i="18" s="1"/>
  <c r="AF233" i="18" s="1"/>
  <c r="AI120" i="18"/>
  <c r="AH120" i="18" s="1"/>
  <c r="AG120" i="18" s="1"/>
  <c r="AF120" i="18" s="1"/>
  <c r="AI376" i="18"/>
  <c r="AH376" i="18" s="1"/>
  <c r="AG376" i="18" s="1"/>
  <c r="AF376" i="18" s="1"/>
  <c r="AI267" i="18"/>
  <c r="AH267" i="18" s="1"/>
  <c r="AI154" i="18"/>
  <c r="AH154" i="18" s="1"/>
  <c r="AG154" i="18" s="1"/>
  <c r="AF154" i="18" s="1"/>
  <c r="AI45" i="18"/>
  <c r="AH45" i="18" s="1"/>
  <c r="AG45" i="18" s="1"/>
  <c r="AF45" i="18" s="1"/>
  <c r="AI301" i="18"/>
  <c r="AH301" i="18" s="1"/>
  <c r="AG301" i="18" s="1"/>
  <c r="AF301" i="18" s="1"/>
  <c r="AI196" i="18"/>
  <c r="AH196" i="18" s="1"/>
  <c r="AG196" i="18" s="1"/>
  <c r="AF196" i="18" s="1"/>
  <c r="AI87" i="18"/>
  <c r="AH87" i="18" s="1"/>
  <c r="AG87" i="18" s="1"/>
  <c r="AF87" i="18" s="1"/>
  <c r="AI343" i="18"/>
  <c r="AH343" i="18" s="1"/>
  <c r="AG343" i="18" s="1"/>
  <c r="AF343" i="18" s="1"/>
  <c r="AI238" i="18"/>
  <c r="AH238" i="18" s="1"/>
  <c r="AG238" i="18" s="1"/>
  <c r="AF238" i="18" s="1"/>
  <c r="AI129" i="18"/>
  <c r="AH129" i="18" s="1"/>
  <c r="AI17" i="18"/>
  <c r="AH17" i="18" s="1"/>
  <c r="AG17" i="18" s="1"/>
  <c r="AF17" i="18" s="1"/>
  <c r="AI272" i="18"/>
  <c r="AH272" i="18" s="1"/>
  <c r="AI163" i="18"/>
  <c r="AH163" i="18" s="1"/>
  <c r="AG163" i="18" s="1"/>
  <c r="AF163" i="18" s="1"/>
  <c r="AI50" i="18"/>
  <c r="AH50" i="18" s="1"/>
  <c r="AG50" i="18" s="1"/>
  <c r="AF50" i="18" s="1"/>
  <c r="AI306" i="18"/>
  <c r="AH306" i="18" s="1"/>
  <c r="AG306" i="18" s="1"/>
  <c r="AF306" i="18" s="1"/>
  <c r="AI197" i="18"/>
  <c r="AH197" i="18" s="1"/>
  <c r="AG197" i="18" s="1"/>
  <c r="AF197" i="18" s="1"/>
  <c r="AI92" i="18"/>
  <c r="AH92" i="18" s="1"/>
  <c r="AG92" i="18" s="1"/>
  <c r="AF92" i="18" s="1"/>
  <c r="AI348" i="18"/>
  <c r="AH348" i="18" s="1"/>
  <c r="AG348" i="18" s="1"/>
  <c r="AF348" i="18" s="1"/>
  <c r="AI239" i="18"/>
  <c r="AH239" i="18" s="1"/>
  <c r="AG239" i="18" s="1"/>
  <c r="AF239" i="18" s="1"/>
  <c r="AI134" i="18"/>
  <c r="AH134" i="18" s="1"/>
  <c r="AI25" i="18"/>
  <c r="AH25" i="18" s="1"/>
  <c r="AG25" i="18" s="1"/>
  <c r="AF25" i="18" s="1"/>
  <c r="AI281" i="18"/>
  <c r="AH281" i="18" s="1"/>
  <c r="AG281" i="18" s="1"/>
  <c r="AF281" i="18" s="1"/>
  <c r="AI168" i="18"/>
  <c r="AH168" i="18" s="1"/>
  <c r="AG168" i="18" s="1"/>
  <c r="AF168" i="18" s="1"/>
  <c r="AI59" i="18"/>
  <c r="AH59" i="18" s="1"/>
  <c r="AG59" i="18" s="1"/>
  <c r="AF59" i="18" s="1"/>
  <c r="AI315" i="18"/>
  <c r="AH315" i="18" s="1"/>
  <c r="AG315" i="18" s="1"/>
  <c r="AF315" i="18" s="1"/>
  <c r="AI202" i="18"/>
  <c r="AH202" i="18" s="1"/>
  <c r="AG202" i="18" s="1"/>
  <c r="AF202" i="18" s="1"/>
  <c r="AI93" i="18"/>
  <c r="AH93" i="18" s="1"/>
  <c r="AG93" i="18" s="1"/>
  <c r="AF93" i="18" s="1"/>
  <c r="AI349" i="18"/>
  <c r="AH349" i="18" s="1"/>
  <c r="AI244" i="18"/>
  <c r="AH244" i="18" s="1"/>
  <c r="AG244" i="18" s="1"/>
  <c r="AF244" i="18" s="1"/>
  <c r="AI135" i="18"/>
  <c r="AH135" i="18" s="1"/>
  <c r="AG135" i="18" s="1"/>
  <c r="AF135" i="18" s="1"/>
  <c r="AI30" i="18"/>
  <c r="AH30" i="18" s="1"/>
  <c r="AG30" i="18" s="1"/>
  <c r="AF30" i="18" s="1"/>
  <c r="AI286" i="18"/>
  <c r="AH286" i="18" s="1"/>
  <c r="AG286" i="18" s="1"/>
  <c r="AF286" i="18" s="1"/>
  <c r="AI177" i="18"/>
  <c r="AH177" i="18" s="1"/>
  <c r="AG177" i="18" s="1"/>
  <c r="AF177" i="18" s="1"/>
  <c r="AI128" i="18"/>
  <c r="AH128" i="18" s="1"/>
  <c r="AG128" i="18" s="1"/>
  <c r="AF128" i="18" s="1"/>
  <c r="AI15" i="18"/>
  <c r="AI275" i="18"/>
  <c r="AH275" i="18" s="1"/>
  <c r="AG275" i="18" s="1"/>
  <c r="AF275" i="18" s="1"/>
  <c r="AI162" i="18"/>
  <c r="AH162" i="18" s="1"/>
  <c r="AG162" i="18" s="1"/>
  <c r="AF162" i="18" s="1"/>
  <c r="AI53" i="18"/>
  <c r="AH53" i="18" s="1"/>
  <c r="AI309" i="18"/>
  <c r="AH309" i="18" s="1"/>
  <c r="AG309" i="18" s="1"/>
  <c r="AF309" i="18" s="1"/>
  <c r="AI204" i="18"/>
  <c r="AH204" i="18" s="1"/>
  <c r="AG204" i="18" s="1"/>
  <c r="AF204" i="18" s="1"/>
  <c r="AI95" i="18"/>
  <c r="AH95" i="18" s="1"/>
  <c r="AG95" i="18" s="1"/>
  <c r="AF95" i="18" s="1"/>
  <c r="AI351" i="18"/>
  <c r="AH351" i="18" s="1"/>
  <c r="AG351" i="18" s="1"/>
  <c r="AF351" i="18" s="1"/>
  <c r="AI246" i="18"/>
  <c r="AH246" i="18" s="1"/>
  <c r="AG246" i="18" s="1"/>
  <c r="AF246" i="18" s="1"/>
  <c r="AI137" i="18"/>
  <c r="AH137" i="18" s="1"/>
  <c r="AG137" i="18" s="1"/>
  <c r="AF137" i="18" s="1"/>
  <c r="AI24" i="18"/>
  <c r="AH24" i="18" s="1"/>
  <c r="AG24" i="18" s="1"/>
  <c r="AF24" i="18" s="1"/>
  <c r="AI280" i="18"/>
  <c r="AH280" i="18" s="1"/>
  <c r="AG280" i="18" s="1"/>
  <c r="AF280" i="18" s="1"/>
  <c r="AI171" i="18"/>
  <c r="AH171" i="18" s="1"/>
  <c r="AG171" i="18" s="1"/>
  <c r="AF171" i="18" s="1"/>
  <c r="AI58" i="18"/>
  <c r="AH58" i="18" s="1"/>
  <c r="AG58" i="18" s="1"/>
  <c r="AF58" i="18" s="1"/>
  <c r="AI314" i="18"/>
  <c r="AH314" i="18" s="1"/>
  <c r="AG314" i="18" s="1"/>
  <c r="AF314" i="18" s="1"/>
  <c r="AI205" i="18"/>
  <c r="AH205" i="18" s="1"/>
  <c r="AG205" i="18" s="1"/>
  <c r="AF205" i="18" s="1"/>
  <c r="AI100" i="18"/>
  <c r="AH100" i="18" s="1"/>
  <c r="AG100" i="18" s="1"/>
  <c r="AF100" i="18" s="1"/>
  <c r="AI356" i="18"/>
  <c r="AH356" i="18" s="1"/>
  <c r="AG356" i="18" s="1"/>
  <c r="AF356" i="18" s="1"/>
  <c r="AI247" i="18"/>
  <c r="AH247" i="18" s="1"/>
  <c r="AG247" i="18" s="1"/>
  <c r="AF247" i="18" s="1"/>
  <c r="AI142" i="18"/>
  <c r="AH142" i="18" s="1"/>
  <c r="AG142" i="18" s="1"/>
  <c r="AF142" i="18" s="1"/>
  <c r="AI33" i="18"/>
  <c r="AH33" i="18" s="1"/>
  <c r="AG33" i="18" s="1"/>
  <c r="AF33" i="18" s="1"/>
  <c r="AI289" i="18"/>
  <c r="AH289" i="18" s="1"/>
  <c r="AG289" i="18" s="1"/>
  <c r="AF289" i="18" s="1"/>
  <c r="AI176" i="18"/>
  <c r="AH176" i="18" s="1"/>
  <c r="AG176" i="18" s="1"/>
  <c r="AF176" i="18" s="1"/>
  <c r="AI67" i="18"/>
  <c r="AH67" i="18" s="1"/>
  <c r="AG67" i="18" s="1"/>
  <c r="AF67" i="18" s="1"/>
  <c r="AI323" i="18"/>
  <c r="AH323" i="18" s="1"/>
  <c r="AG323" i="18" s="1"/>
  <c r="AF323" i="18" s="1"/>
  <c r="AI210" i="18"/>
  <c r="AH210" i="18" s="1"/>
  <c r="AG210" i="18" s="1"/>
  <c r="AF210" i="18" s="1"/>
  <c r="AI101" i="18"/>
  <c r="AH101" i="18" s="1"/>
  <c r="AG101" i="18" s="1"/>
  <c r="AF101" i="18" s="1"/>
  <c r="AI357" i="18"/>
  <c r="AH357" i="18" s="1"/>
  <c r="AG357" i="18" s="1"/>
  <c r="AF357" i="18" s="1"/>
  <c r="AI252" i="18"/>
  <c r="AH252" i="18" s="1"/>
  <c r="AG252" i="18" s="1"/>
  <c r="AF252" i="18" s="1"/>
  <c r="AI143" i="18"/>
  <c r="AH143" i="18" s="1"/>
  <c r="AG143" i="18" s="1"/>
  <c r="AF143" i="18" s="1"/>
  <c r="AI38" i="18"/>
  <c r="AH38" i="18" s="1"/>
  <c r="AG38" i="18" s="1"/>
  <c r="AF38" i="18" s="1"/>
  <c r="AI294" i="18"/>
  <c r="AH294" i="18" s="1"/>
  <c r="AG294" i="18" s="1"/>
  <c r="AF294" i="18" s="1"/>
  <c r="AI185" i="18"/>
  <c r="AH185" i="18" s="1"/>
  <c r="AG185" i="18" s="1"/>
  <c r="AF185" i="18" s="1"/>
  <c r="AI72" i="18"/>
  <c r="AH72" i="18" s="1"/>
  <c r="AG72" i="18" s="1"/>
  <c r="AF72" i="18" s="1"/>
  <c r="AI328" i="18"/>
  <c r="AH328" i="18" s="1"/>
  <c r="AG328" i="18" s="1"/>
  <c r="AF328" i="18" s="1"/>
  <c r="AI219" i="18"/>
  <c r="AH219" i="18" s="1"/>
  <c r="AG219" i="18" s="1"/>
  <c r="AF219" i="18" s="1"/>
  <c r="AI106" i="18"/>
  <c r="AH106" i="18" s="1"/>
  <c r="AG106" i="18" s="1"/>
  <c r="AF106" i="18" s="1"/>
  <c r="AI362" i="18"/>
  <c r="AH362" i="18" s="1"/>
  <c r="AG362" i="18" s="1"/>
  <c r="AF362" i="18" s="1"/>
  <c r="AI253" i="18"/>
  <c r="AH253" i="18" s="1"/>
  <c r="AG253" i="18" s="1"/>
  <c r="AF253" i="18" s="1"/>
  <c r="AI148" i="18"/>
  <c r="AH148" i="18" s="1"/>
  <c r="AG148" i="18" s="1"/>
  <c r="AF148" i="18" s="1"/>
  <c r="AI39" i="18"/>
  <c r="AH39" i="18" s="1"/>
  <c r="AG39" i="18" s="1"/>
  <c r="AF39" i="18" s="1"/>
  <c r="AI295" i="18"/>
  <c r="AH295" i="18" s="1"/>
  <c r="AG295" i="18" s="1"/>
  <c r="AF295" i="18" s="1"/>
  <c r="AI190" i="18"/>
  <c r="AH190" i="18" s="1"/>
  <c r="AG190" i="18" s="1"/>
  <c r="AF190" i="18" s="1"/>
  <c r="AI81" i="18"/>
  <c r="AH81" i="18" s="1"/>
  <c r="AG81" i="18" s="1"/>
  <c r="AF81" i="18" s="1"/>
  <c r="AI337" i="18"/>
  <c r="AH337" i="18" s="1"/>
  <c r="AG337" i="18" s="1"/>
  <c r="AF337" i="18" s="1"/>
  <c r="AI160" i="18"/>
  <c r="AH160" i="18" s="1"/>
  <c r="AG160" i="18" s="1"/>
  <c r="AF160" i="18" s="1"/>
  <c r="AI51" i="18"/>
  <c r="AH51" i="18" s="1"/>
  <c r="AG51" i="18" s="1"/>
  <c r="AF51" i="18" s="1"/>
  <c r="AI307" i="18"/>
  <c r="AH307" i="18" s="1"/>
  <c r="AG307" i="18" s="1"/>
  <c r="AF307" i="18" s="1"/>
  <c r="AI194" i="18"/>
  <c r="AH194" i="18" s="1"/>
  <c r="AG194" i="18" s="1"/>
  <c r="AF194" i="18" s="1"/>
  <c r="AI85" i="18"/>
  <c r="AH85" i="18" s="1"/>
  <c r="AG85" i="18" s="1"/>
  <c r="AF85" i="18" s="1"/>
  <c r="AI341" i="18"/>
  <c r="AH341" i="18" s="1"/>
  <c r="AG341" i="18" s="1"/>
  <c r="AF341" i="18" s="1"/>
  <c r="AI236" i="18"/>
  <c r="AH236" i="18" s="1"/>
  <c r="AG236" i="18" s="1"/>
  <c r="AF236" i="18" s="1"/>
  <c r="AI127" i="18"/>
  <c r="AH127" i="18" s="1"/>
  <c r="AG127" i="18" s="1"/>
  <c r="AF127" i="18" s="1"/>
  <c r="AI22" i="18"/>
  <c r="AH22" i="18" s="1"/>
  <c r="AG22" i="18" s="1"/>
  <c r="AF22" i="18" s="1"/>
  <c r="AI278" i="18"/>
  <c r="AH278" i="18" s="1"/>
  <c r="AG278" i="18" s="1"/>
  <c r="AF278" i="18" s="1"/>
  <c r="AI169" i="18"/>
  <c r="AH169" i="18" s="1"/>
  <c r="AG169" i="18" s="1"/>
  <c r="AF169" i="18" s="1"/>
  <c r="AI56" i="18"/>
  <c r="AH56" i="18" s="1"/>
  <c r="AG56" i="18" s="1"/>
  <c r="AF56" i="18" s="1"/>
  <c r="AI312" i="18"/>
  <c r="AH312" i="18" s="1"/>
  <c r="AG312" i="18" s="1"/>
  <c r="AF312" i="18" s="1"/>
  <c r="AI203" i="18"/>
  <c r="AH203" i="18" s="1"/>
  <c r="AG203" i="18" s="1"/>
  <c r="AF203" i="18" s="1"/>
  <c r="AI90" i="18"/>
  <c r="AH90" i="18" s="1"/>
  <c r="AG90" i="18" s="1"/>
  <c r="AF90" i="18" s="1"/>
  <c r="AI346" i="18"/>
  <c r="AH346" i="18" s="1"/>
  <c r="AG346" i="18" s="1"/>
  <c r="AF346" i="18" s="1"/>
  <c r="AI237" i="18"/>
  <c r="AH237" i="18" s="1"/>
  <c r="AG237" i="18" s="1"/>
  <c r="AF237" i="18" s="1"/>
  <c r="AI132" i="18"/>
  <c r="AH132" i="18" s="1"/>
  <c r="AG132" i="18" s="1"/>
  <c r="AF132" i="18" s="1"/>
  <c r="AI23" i="18"/>
  <c r="AH23" i="18" s="1"/>
  <c r="AG23" i="18" s="1"/>
  <c r="AF23" i="18" s="1"/>
  <c r="AI279" i="18"/>
  <c r="AH279" i="18" s="1"/>
  <c r="AG279" i="18" s="1"/>
  <c r="AF279" i="18" s="1"/>
  <c r="AI174" i="18"/>
  <c r="AH174" i="18" s="1"/>
  <c r="AG174" i="18" s="1"/>
  <c r="AF174" i="18" s="1"/>
  <c r="AI65" i="18"/>
  <c r="AH65" i="18" s="1"/>
  <c r="AG65" i="18" s="1"/>
  <c r="AF65" i="18" s="1"/>
  <c r="AI321" i="18"/>
  <c r="AH321" i="18" s="1"/>
  <c r="AG321" i="18" s="1"/>
  <c r="AF321" i="18" s="1"/>
  <c r="AI208" i="18"/>
  <c r="AH208" i="18" s="1"/>
  <c r="AG208" i="18" s="1"/>
  <c r="AF208" i="18" s="1"/>
  <c r="AI99" i="18"/>
  <c r="AH99" i="18" s="1"/>
  <c r="AG99" i="18" s="1"/>
  <c r="AF99" i="18" s="1"/>
  <c r="AI355" i="18"/>
  <c r="AH355" i="18" s="1"/>
  <c r="AG355" i="18" s="1"/>
  <c r="AF355" i="18" s="1"/>
  <c r="AI242" i="18"/>
  <c r="AH242" i="18" s="1"/>
  <c r="AG242" i="18" s="1"/>
  <c r="AF242" i="18" s="1"/>
  <c r="AI133" i="18"/>
  <c r="AH133" i="18" s="1"/>
  <c r="AG133" i="18" s="1"/>
  <c r="AF133" i="18" s="1"/>
  <c r="AI28" i="18"/>
  <c r="AH28" i="18" s="1"/>
  <c r="AG28" i="18" s="1"/>
  <c r="AF28" i="18" s="1"/>
  <c r="AI284" i="18"/>
  <c r="AH284" i="18" s="1"/>
  <c r="AG284" i="18" s="1"/>
  <c r="AF284" i="18" s="1"/>
  <c r="AI175" i="18"/>
  <c r="AH175" i="18" s="1"/>
  <c r="AG175" i="18" s="1"/>
  <c r="AF175" i="18" s="1"/>
  <c r="AI70" i="18"/>
  <c r="AH70" i="18" s="1"/>
  <c r="AG70" i="18" s="1"/>
  <c r="AF70" i="18" s="1"/>
  <c r="AI326" i="18"/>
  <c r="AH326" i="18" s="1"/>
  <c r="AG326" i="18" s="1"/>
  <c r="AF326" i="18" s="1"/>
  <c r="AI217" i="18"/>
  <c r="AH217" i="18" s="1"/>
  <c r="AG217" i="18" s="1"/>
  <c r="AF217" i="18" s="1"/>
  <c r="AI104" i="18"/>
  <c r="AH104" i="18" s="1"/>
  <c r="AG104" i="18" s="1"/>
  <c r="AF104" i="18" s="1"/>
  <c r="AI360" i="18"/>
  <c r="AH360" i="18" s="1"/>
  <c r="AG360" i="18" s="1"/>
  <c r="AF360" i="18" s="1"/>
  <c r="AI251" i="18"/>
  <c r="AH251" i="18" s="1"/>
  <c r="AG251" i="18" s="1"/>
  <c r="AF251" i="18" s="1"/>
  <c r="AI138" i="18"/>
  <c r="AH138" i="18" s="1"/>
  <c r="AG138" i="18" s="1"/>
  <c r="AF138" i="18" s="1"/>
  <c r="AI29" i="18"/>
  <c r="AH29" i="18" s="1"/>
  <c r="AG29" i="18" s="1"/>
  <c r="AF29" i="18" s="1"/>
  <c r="AI285" i="18"/>
  <c r="AH285" i="18" s="1"/>
  <c r="AG285" i="18" s="1"/>
  <c r="AF285" i="18" s="1"/>
  <c r="AI180" i="18"/>
  <c r="AH180" i="18" s="1"/>
  <c r="AG180" i="18" s="1"/>
  <c r="AF180" i="18" s="1"/>
  <c r="AI71" i="18"/>
  <c r="AH71" i="18" s="1"/>
  <c r="AG71" i="18" s="1"/>
  <c r="AF71" i="18" s="1"/>
  <c r="AI327" i="18"/>
  <c r="AH327" i="18" s="1"/>
  <c r="AG327" i="18" s="1"/>
  <c r="AF327" i="18" s="1"/>
  <c r="AI222" i="18"/>
  <c r="AH222" i="18" s="1"/>
  <c r="AG222" i="18" s="1"/>
  <c r="AF222" i="18" s="1"/>
  <c r="AI113" i="18"/>
  <c r="AH113" i="18" s="1"/>
  <c r="AI369" i="18"/>
  <c r="AH369" i="18" s="1"/>
  <c r="AG369" i="18" s="1"/>
  <c r="AF369" i="18" s="1"/>
  <c r="AI192" i="18"/>
  <c r="AH192" i="18" s="1"/>
  <c r="AI83" i="18"/>
  <c r="AH83" i="18" s="1"/>
  <c r="AG83" i="18" s="1"/>
  <c r="AF83" i="18" s="1"/>
  <c r="AI339" i="18"/>
  <c r="AH339" i="18" s="1"/>
  <c r="AG339" i="18" s="1"/>
  <c r="AF339" i="18" s="1"/>
  <c r="AI226" i="18"/>
  <c r="AH226" i="18" s="1"/>
  <c r="AG226" i="18" s="1"/>
  <c r="AF226" i="18" s="1"/>
  <c r="AI117" i="18"/>
  <c r="AH117" i="18" s="1"/>
  <c r="AG117" i="18" s="1"/>
  <c r="AF117" i="18" s="1"/>
  <c r="AI373" i="18"/>
  <c r="AH373" i="18" s="1"/>
  <c r="AG373" i="18" s="1"/>
  <c r="AF373" i="18" s="1"/>
  <c r="AI268" i="18"/>
  <c r="AH268" i="18" s="1"/>
  <c r="AG268" i="18" s="1"/>
  <c r="AF268" i="18" s="1"/>
  <c r="AI159" i="18"/>
  <c r="AH159" i="18" s="1"/>
  <c r="AG159" i="18" s="1"/>
  <c r="AF159" i="18" s="1"/>
  <c r="AI54" i="18"/>
  <c r="AH54" i="18" s="1"/>
  <c r="AG54" i="18" s="1"/>
  <c r="AF54" i="18" s="1"/>
  <c r="AI310" i="18"/>
  <c r="AH310" i="18" s="1"/>
  <c r="AG310" i="18" s="1"/>
  <c r="AF310" i="18" s="1"/>
  <c r="AI201" i="18"/>
  <c r="AH201" i="18" s="1"/>
  <c r="AG201" i="18" s="1"/>
  <c r="AF201" i="18" s="1"/>
  <c r="AI88" i="18"/>
  <c r="AH88" i="18" s="1"/>
  <c r="AG88" i="18" s="1"/>
  <c r="AF88" i="18" s="1"/>
  <c r="AI344" i="18"/>
  <c r="AH344" i="18" s="1"/>
  <c r="AG344" i="18" s="1"/>
  <c r="AF344" i="18" s="1"/>
  <c r="AI235" i="18"/>
  <c r="AH235" i="18" s="1"/>
  <c r="AG235" i="18" s="1"/>
  <c r="AF235" i="18" s="1"/>
  <c r="AI122" i="18"/>
  <c r="AH122" i="18" s="1"/>
  <c r="AG122" i="18" s="1"/>
  <c r="AF122" i="18" s="1"/>
  <c r="AI378" i="18"/>
  <c r="AH378" i="18" s="1"/>
  <c r="AG378" i="18" s="1"/>
  <c r="AF378" i="18" s="1"/>
  <c r="AI269" i="18"/>
  <c r="AH269" i="18" s="1"/>
  <c r="AG269" i="18" s="1"/>
  <c r="AF269" i="18" s="1"/>
  <c r="AI164" i="18"/>
  <c r="AH164" i="18" s="1"/>
  <c r="AG164" i="18" s="1"/>
  <c r="AF164" i="18" s="1"/>
  <c r="AI55" i="18"/>
  <c r="AH55" i="18" s="1"/>
  <c r="AG55" i="18" s="1"/>
  <c r="AF55" i="18" s="1"/>
  <c r="AI311" i="18"/>
  <c r="AH311" i="18" s="1"/>
  <c r="AG311" i="18" s="1"/>
  <c r="AF311" i="18" s="1"/>
  <c r="AI206" i="18"/>
  <c r="AH206" i="18" s="1"/>
  <c r="AG206" i="18" s="1"/>
  <c r="AF206" i="18" s="1"/>
  <c r="AI97" i="18"/>
  <c r="AH97" i="18" s="1"/>
  <c r="AG97" i="18" s="1"/>
  <c r="AF97" i="18" s="1"/>
  <c r="AI353" i="18"/>
  <c r="AH353" i="18" s="1"/>
  <c r="AG353" i="18" s="1"/>
  <c r="AF353" i="18" s="1"/>
  <c r="AI240" i="18"/>
  <c r="AH240" i="18" s="1"/>
  <c r="AG240" i="18" s="1"/>
  <c r="AF240" i="18" s="1"/>
  <c r="AI131" i="18"/>
  <c r="AH131" i="18" s="1"/>
  <c r="AG131" i="18" s="1"/>
  <c r="AF131" i="18" s="1"/>
  <c r="AI16" i="18"/>
  <c r="AH16" i="18" s="1"/>
  <c r="AG16" i="18" s="1"/>
  <c r="AF16" i="18" s="1"/>
  <c r="AI274" i="18"/>
  <c r="AH274" i="18" s="1"/>
  <c r="AG274" i="18" s="1"/>
  <c r="AF274" i="18" s="1"/>
  <c r="AI165" i="18"/>
  <c r="AH165" i="18" s="1"/>
  <c r="AG165" i="18" s="1"/>
  <c r="AF165" i="18" s="1"/>
  <c r="AI60" i="18"/>
  <c r="AH60" i="18" s="1"/>
  <c r="AG60" i="18" s="1"/>
  <c r="AF60" i="18" s="1"/>
  <c r="AI316" i="18"/>
  <c r="AH316" i="18" s="1"/>
  <c r="AG316" i="18" s="1"/>
  <c r="AF316" i="18" s="1"/>
  <c r="AI207" i="18"/>
  <c r="AH207" i="18" s="1"/>
  <c r="AG207" i="18" s="1"/>
  <c r="AF207" i="18" s="1"/>
  <c r="AI102" i="18"/>
  <c r="AH102" i="18" s="1"/>
  <c r="AG102" i="18" s="1"/>
  <c r="AF102" i="18" s="1"/>
  <c r="AI358" i="18"/>
  <c r="AH358" i="18" s="1"/>
  <c r="AG358" i="18" s="1"/>
  <c r="AF358" i="18" s="1"/>
  <c r="AI249" i="18"/>
  <c r="AH249" i="18" s="1"/>
  <c r="AG249" i="18" s="1"/>
  <c r="AF249" i="18" s="1"/>
  <c r="AI136" i="18"/>
  <c r="AH136" i="18" s="1"/>
  <c r="AG136" i="18" s="1"/>
  <c r="AF136" i="18" s="1"/>
  <c r="AI27" i="18"/>
  <c r="AH27" i="18" s="1"/>
  <c r="AG27" i="18" s="1"/>
  <c r="AF27" i="18" s="1"/>
  <c r="AI283" i="18"/>
  <c r="AH283" i="18" s="1"/>
  <c r="AG283" i="18" s="1"/>
  <c r="AF283" i="18" s="1"/>
  <c r="AI170" i="18"/>
  <c r="AH170" i="18" s="1"/>
  <c r="AG170" i="18" s="1"/>
  <c r="AF170" i="18" s="1"/>
  <c r="AI61" i="18"/>
  <c r="AH61" i="18" s="1"/>
  <c r="AG61" i="18" s="1"/>
  <c r="AF61" i="18" s="1"/>
  <c r="AI317" i="18"/>
  <c r="AH317" i="18" s="1"/>
  <c r="AG317" i="18" s="1"/>
  <c r="AF317" i="18" s="1"/>
  <c r="AI212" i="18"/>
  <c r="AH212" i="18" s="1"/>
  <c r="AG212" i="18" s="1"/>
  <c r="AF212" i="18" s="1"/>
  <c r="AI103" i="18"/>
  <c r="AH103" i="18" s="1"/>
  <c r="AG103" i="18" s="1"/>
  <c r="AF103" i="18" s="1"/>
  <c r="AI359" i="18"/>
  <c r="AH359" i="18" s="1"/>
  <c r="AG359" i="18" s="1"/>
  <c r="AF359" i="18" s="1"/>
  <c r="AI254" i="18"/>
  <c r="AH254" i="18" s="1"/>
  <c r="AG254" i="18" s="1"/>
  <c r="AF254" i="18" s="1"/>
  <c r="AI145" i="18"/>
  <c r="AH145" i="18" s="1"/>
  <c r="AG145" i="18" s="1"/>
  <c r="AF145" i="18" s="1"/>
  <c r="AI96" i="18"/>
  <c r="AH96" i="18" s="1"/>
  <c r="AG96" i="18" s="1"/>
  <c r="AF96" i="18" s="1"/>
  <c r="AI352" i="18"/>
  <c r="AH352" i="18" s="1"/>
  <c r="AG352" i="18" s="1"/>
  <c r="AF352" i="18" s="1"/>
  <c r="AI243" i="18"/>
  <c r="AH243" i="18" s="1"/>
  <c r="AG243" i="18" s="1"/>
  <c r="AF243" i="18" s="1"/>
  <c r="AI130" i="18"/>
  <c r="AH130" i="18" s="1"/>
  <c r="AG130" i="18" s="1"/>
  <c r="AF130" i="18" s="1"/>
  <c r="AI21" i="18"/>
  <c r="AH21" i="18" s="1"/>
  <c r="AG21" i="18" s="1"/>
  <c r="AF21" i="18" s="1"/>
  <c r="AI277" i="18"/>
  <c r="AH277" i="18" s="1"/>
  <c r="AG277" i="18" s="1"/>
  <c r="AF277" i="18" s="1"/>
  <c r="AI172" i="18"/>
  <c r="AH172" i="18" s="1"/>
  <c r="AG172" i="18" s="1"/>
  <c r="AF172" i="18" s="1"/>
  <c r="AI63" i="18"/>
  <c r="AH63" i="18" s="1"/>
  <c r="AG63" i="18" s="1"/>
  <c r="AF63" i="18" s="1"/>
  <c r="AI319" i="18"/>
  <c r="AH319" i="18" s="1"/>
  <c r="AG319" i="18" s="1"/>
  <c r="AF319" i="18" s="1"/>
  <c r="AI214" i="18"/>
  <c r="AH214" i="18" s="1"/>
  <c r="AG214" i="18" s="1"/>
  <c r="AF214" i="18" s="1"/>
  <c r="AI105" i="18"/>
  <c r="AH105" i="18" s="1"/>
  <c r="AG105" i="18" s="1"/>
  <c r="AF105" i="18" s="1"/>
  <c r="AI361" i="18"/>
  <c r="AH361" i="18" s="1"/>
  <c r="AG361" i="18" s="1"/>
  <c r="AF361" i="18" s="1"/>
  <c r="AI248" i="18"/>
  <c r="AH248" i="18" s="1"/>
  <c r="AG248" i="18" s="1"/>
  <c r="AF248" i="18" s="1"/>
  <c r="AI139" i="18"/>
  <c r="AH139" i="18" s="1"/>
  <c r="AG139" i="18" s="1"/>
  <c r="AF139" i="18" s="1"/>
  <c r="AI26" i="18"/>
  <c r="AH26" i="18" s="1"/>
  <c r="AG26" i="18" s="1"/>
  <c r="AF26" i="18" s="1"/>
  <c r="AI282" i="18"/>
  <c r="AH282" i="18" s="1"/>
  <c r="AG282" i="18" s="1"/>
  <c r="AF282" i="18" s="1"/>
  <c r="AI173" i="18"/>
  <c r="AH173" i="18" s="1"/>
  <c r="AG173" i="18" s="1"/>
  <c r="AF173" i="18" s="1"/>
  <c r="AI68" i="18"/>
  <c r="AH68" i="18" s="1"/>
  <c r="AG68" i="18" s="1"/>
  <c r="AF68" i="18" s="1"/>
  <c r="AI324" i="18"/>
  <c r="AH324" i="18" s="1"/>
  <c r="AG324" i="18" s="1"/>
  <c r="AF324" i="18" s="1"/>
  <c r="AI215" i="18"/>
  <c r="AH215" i="18" s="1"/>
  <c r="AG215" i="18" s="1"/>
  <c r="AF215" i="18" s="1"/>
  <c r="AI110" i="18"/>
  <c r="AH110" i="18" s="1"/>
  <c r="AG110" i="18" s="1"/>
  <c r="AF110" i="18" s="1"/>
  <c r="AI366" i="18"/>
  <c r="AH366" i="18" s="1"/>
  <c r="AG366" i="18" s="1"/>
  <c r="AF366" i="18" s="1"/>
  <c r="AI257" i="18"/>
  <c r="AH257" i="18" s="1"/>
  <c r="AG257" i="18" s="1"/>
  <c r="AF257" i="18" s="1"/>
  <c r="I204" i="16"/>
  <c r="H204" i="17" s="1"/>
  <c r="I204" i="17" s="1"/>
  <c r="I109" i="16"/>
  <c r="H109" i="17" s="1"/>
  <c r="I109" i="17" s="1"/>
  <c r="I225" i="16"/>
  <c r="H225" i="17" s="1"/>
  <c r="J225" i="17" s="1"/>
  <c r="I108" i="16"/>
  <c r="H108" i="17" s="1"/>
  <c r="I108" i="17" s="1"/>
  <c r="I28" i="16"/>
  <c r="H28" i="17" s="1"/>
  <c r="J28" i="17" s="1"/>
  <c r="I59" i="16"/>
  <c r="H59" i="17" s="1"/>
  <c r="J59" i="17" s="1"/>
  <c r="J224" i="16"/>
  <c r="J198" i="16"/>
  <c r="J25" i="16"/>
  <c r="I214" i="15"/>
  <c r="H214" i="16" s="1"/>
  <c r="J214" i="16" s="1"/>
  <c r="AA88" i="16"/>
  <c r="Z88" i="16" s="1"/>
  <c r="Y88" i="16" s="1"/>
  <c r="I310" i="16"/>
  <c r="H310" i="17" s="1"/>
  <c r="J310" i="17" s="1"/>
  <c r="J114" i="16"/>
  <c r="H76" i="15"/>
  <c r="I76" i="15" s="1"/>
  <c r="H76" i="16" s="1"/>
  <c r="I343" i="16"/>
  <c r="H343" i="17" s="1"/>
  <c r="I343" i="17" s="1"/>
  <c r="I288" i="16"/>
  <c r="H288" i="17" s="1"/>
  <c r="J288" i="17" s="1"/>
  <c r="AA166" i="15"/>
  <c r="Z166" i="15" s="1"/>
  <c r="Y166" i="15" s="1"/>
  <c r="J287" i="16"/>
  <c r="AA277" i="15"/>
  <c r="Z277" i="15" s="1"/>
  <c r="Y277" i="15" s="1"/>
  <c r="J92" i="16"/>
  <c r="G166" i="15"/>
  <c r="BX166" i="6" s="1"/>
  <c r="G242" i="15"/>
  <c r="BX242" i="6" s="1"/>
  <c r="I321" i="1"/>
  <c r="H321" i="15" s="1"/>
  <c r="I321" i="15" s="1"/>
  <c r="H321" i="16" s="1"/>
  <c r="J73" i="16"/>
  <c r="I299" i="16"/>
  <c r="H299" i="17" s="1"/>
  <c r="I299" i="17" s="1"/>
  <c r="I119" i="16"/>
  <c r="G277" i="15"/>
  <c r="BX277" i="6" s="1"/>
  <c r="I296" i="1"/>
  <c r="H296" i="15" s="1"/>
  <c r="I296" i="15" s="1"/>
  <c r="H296" i="16" s="1"/>
  <c r="G76" i="15"/>
  <c r="BX76" i="6" s="1"/>
  <c r="AA296" i="1"/>
  <c r="Z296" i="1" s="1"/>
  <c r="Y296" i="1" s="1"/>
  <c r="I105" i="16"/>
  <c r="H105" i="17" s="1"/>
  <c r="I105" i="17" s="1"/>
  <c r="J105" i="16"/>
  <c r="G364" i="15"/>
  <c r="BX364" i="6" s="1"/>
  <c r="AA180" i="16"/>
  <c r="Z180" i="16" s="1"/>
  <c r="Y180" i="16" s="1"/>
  <c r="AC10" i="23"/>
  <c r="AC177" i="23" s="1"/>
  <c r="AC26" i="23"/>
  <c r="AC85" i="23"/>
  <c r="AC21" i="23"/>
  <c r="AC84" i="23"/>
  <c r="AC45" i="23"/>
  <c r="AC118" i="23"/>
  <c r="AC43" i="23"/>
  <c r="AC37" i="23"/>
  <c r="AC127" i="23"/>
  <c r="AC83" i="23"/>
  <c r="AC23" i="23"/>
  <c r="AC80" i="23"/>
  <c r="AC101" i="23"/>
  <c r="AC53" i="23"/>
  <c r="AC66" i="23"/>
  <c r="AC110" i="23"/>
  <c r="AC27" i="23"/>
  <c r="AC29" i="23"/>
  <c r="AC109" i="23"/>
  <c r="AC94" i="23"/>
  <c r="AC25" i="23"/>
  <c r="AC63" i="23"/>
  <c r="AC93" i="23"/>
  <c r="AC56" i="23"/>
  <c r="AC97" i="23"/>
  <c r="AC55" i="23"/>
  <c r="AC75" i="23"/>
  <c r="AC126" i="23"/>
  <c r="AC28" i="23"/>
  <c r="AC107" i="23"/>
  <c r="AC79" i="23"/>
  <c r="AC112" i="23"/>
  <c r="AC86" i="23"/>
  <c r="AC82" i="23"/>
  <c r="AC88" i="23"/>
  <c r="AC46" i="23"/>
  <c r="AC120" i="23"/>
  <c r="AC73" i="23"/>
  <c r="AC95" i="23"/>
  <c r="AC62" i="23"/>
  <c r="AC30" i="23"/>
  <c r="AC100" i="23"/>
  <c r="AC76" i="23"/>
  <c r="AC125" i="23"/>
  <c r="AC49" i="23"/>
  <c r="AC108" i="23"/>
  <c r="AC35" i="23"/>
  <c r="AC98" i="23"/>
  <c r="AC32" i="23"/>
  <c r="AC57" i="23"/>
  <c r="AC72" i="23"/>
  <c r="AC22" i="23"/>
  <c r="AC67" i="23"/>
  <c r="AC74" i="23"/>
  <c r="AC51" i="23"/>
  <c r="AC89" i="23"/>
  <c r="AC36" i="23"/>
  <c r="AC104" i="23"/>
  <c r="AC38" i="23"/>
  <c r="AC106" i="23"/>
  <c r="AC61" i="23"/>
  <c r="AC42" i="23"/>
  <c r="AC102" i="23"/>
  <c r="AC39" i="23"/>
  <c r="AC70" i="23"/>
  <c r="AC113" i="23"/>
  <c r="AC87" i="23"/>
  <c r="AC50" i="23"/>
  <c r="AC60" i="23"/>
  <c r="AC133" i="23"/>
  <c r="AC96" i="23"/>
  <c r="AC18" i="23"/>
  <c r="AC81" i="23"/>
  <c r="AC119" i="23"/>
  <c r="AC103" i="23"/>
  <c r="AC124" i="23"/>
  <c r="AC64" i="23"/>
  <c r="AC77" i="23"/>
  <c r="AC105" i="23"/>
  <c r="AC24" i="23"/>
  <c r="AC31" i="23"/>
  <c r="AC123" i="23"/>
  <c r="AC33" i="23"/>
  <c r="AC92" i="23"/>
  <c r="AC132" i="23"/>
  <c r="AC48" i="23"/>
  <c r="AC130" i="23"/>
  <c r="AC99" i="23"/>
  <c r="AC16" i="23"/>
  <c r="AC131" i="23"/>
  <c r="AC59" i="23"/>
  <c r="AC34" i="23"/>
  <c r="AC71" i="23"/>
  <c r="AC121" i="23"/>
  <c r="AC19" i="23"/>
  <c r="AC116" i="23"/>
  <c r="AC78" i="23"/>
  <c r="AC20" i="23"/>
  <c r="AC54" i="23"/>
  <c r="AC114" i="23"/>
  <c r="AC40" i="23"/>
  <c r="AC115" i="23"/>
  <c r="AC52" i="23"/>
  <c r="AC117" i="23"/>
  <c r="AC41" i="23"/>
  <c r="AC91" i="23"/>
  <c r="AC58" i="23"/>
  <c r="AC65" i="23"/>
  <c r="AC111" i="23"/>
  <c r="AC44" i="23"/>
  <c r="AC68" i="23"/>
  <c r="AC122" i="23"/>
  <c r="AC69" i="23"/>
  <c r="AC90" i="23"/>
  <c r="AC128" i="23"/>
  <c r="AC47" i="23"/>
  <c r="AC129" i="23"/>
  <c r="AC17" i="23"/>
  <c r="AC15" i="23"/>
  <c r="H242" i="15"/>
  <c r="J242" i="15" s="1"/>
  <c r="G66" i="15"/>
  <c r="BX66" i="6" s="1"/>
  <c r="H364" i="15"/>
  <c r="J364" i="15" s="1"/>
  <c r="G321" i="1"/>
  <c r="Z321" i="1"/>
  <c r="Y321" i="1" s="1"/>
  <c r="J100" i="16"/>
  <c r="N62" i="19"/>
  <c r="AA66" i="15"/>
  <c r="Z66" i="15" s="1"/>
  <c r="Y66" i="15" s="1"/>
  <c r="F382" i="1"/>
  <c r="S381" i="17"/>
  <c r="S383" i="17"/>
  <c r="S382" i="17"/>
  <c r="R15" i="17"/>
  <c r="V15" i="16"/>
  <c r="P382" i="16"/>
  <c r="P383" i="16"/>
  <c r="P381" i="16"/>
  <c r="J352" i="16"/>
  <c r="I352" i="16"/>
  <c r="H352" i="17" s="1"/>
  <c r="I352" i="17" s="1"/>
  <c r="J272" i="16"/>
  <c r="I272" i="16"/>
  <c r="I282" i="16"/>
  <c r="H282" i="17" s="1"/>
  <c r="J282" i="17" s="1"/>
  <c r="J282" i="16"/>
  <c r="I120" i="16"/>
  <c r="H120" i="17" s="1"/>
  <c r="J120" i="16"/>
  <c r="I107" i="16"/>
  <c r="H107" i="17" s="1"/>
  <c r="J107" i="17" s="1"/>
  <c r="J107" i="16"/>
  <c r="I21" i="16"/>
  <c r="H21" i="17" s="1"/>
  <c r="J21" i="17" s="1"/>
  <c r="J21" i="16"/>
  <c r="I174" i="16"/>
  <c r="H174" i="17" s="1"/>
  <c r="J174" i="17" s="1"/>
  <c r="J174" i="16"/>
  <c r="J19" i="16"/>
  <c r="I19" i="16"/>
  <c r="J132" i="16"/>
  <c r="I132" i="16"/>
  <c r="H132" i="17" s="1"/>
  <c r="I132" i="17" s="1"/>
  <c r="I274" i="15"/>
  <c r="H274" i="16" s="1"/>
  <c r="J274" i="15"/>
  <c r="I46" i="15"/>
  <c r="H46" i="16" s="1"/>
  <c r="J46" i="15"/>
  <c r="I267" i="16"/>
  <c r="H267" i="17" s="1"/>
  <c r="I267" i="17" s="1"/>
  <c r="J267" i="16"/>
  <c r="J291" i="16"/>
  <c r="I291" i="16"/>
  <c r="H291" i="17" s="1"/>
  <c r="I291" i="17" s="1"/>
  <c r="J265" i="16"/>
  <c r="I265" i="16"/>
  <c r="H265" i="17" s="1"/>
  <c r="I177" i="16"/>
  <c r="H177" i="17" s="1"/>
  <c r="I177" i="17" s="1"/>
  <c r="J177" i="16"/>
  <c r="I336" i="16"/>
  <c r="H336" i="17" s="1"/>
  <c r="I336" i="17" s="1"/>
  <c r="J336" i="16"/>
  <c r="J256" i="16"/>
  <c r="I256" i="16"/>
  <c r="H256" i="17" s="1"/>
  <c r="J256" i="17" s="1"/>
  <c r="I74" i="15"/>
  <c r="H74" i="16" s="1"/>
  <c r="J74" i="15"/>
  <c r="J322" i="15"/>
  <c r="I322" i="15"/>
  <c r="H322" i="16" s="1"/>
  <c r="H38" i="27"/>
  <c r="G37" i="27" s="1"/>
  <c r="P73" i="27"/>
  <c r="AE72" i="27"/>
  <c r="J70" i="16"/>
  <c r="J295" i="16"/>
  <c r="J367" i="16"/>
  <c r="V381" i="15"/>
  <c r="I297" i="16"/>
  <c r="H297" i="17" s="1"/>
  <c r="I297" i="17" s="1"/>
  <c r="J297" i="16"/>
  <c r="V383" i="15"/>
  <c r="I210" i="16"/>
  <c r="N61" i="19"/>
  <c r="F9" i="1"/>
  <c r="AM10" i="1"/>
  <c r="F381" i="1"/>
  <c r="AK10" i="1"/>
  <c r="AK12" i="1" s="1"/>
  <c r="AK13" i="1" s="1"/>
  <c r="F383" i="1"/>
  <c r="I344" i="16"/>
  <c r="H344" i="17" s="1"/>
  <c r="I344" i="17" s="1"/>
  <c r="J344" i="16"/>
  <c r="I319" i="16"/>
  <c r="H319" i="17" s="1"/>
  <c r="I319" i="17" s="1"/>
  <c r="J319" i="16"/>
  <c r="I358" i="16"/>
  <c r="H358" i="17" s="1"/>
  <c r="I358" i="17" s="1"/>
  <c r="J358" i="16"/>
  <c r="J110" i="16"/>
  <c r="I110" i="16"/>
  <c r="H110" i="17" s="1"/>
  <c r="I110" i="17" s="1"/>
  <c r="I290" i="16"/>
  <c r="H290" i="17" s="1"/>
  <c r="I290" i="17" s="1"/>
  <c r="J290" i="16"/>
  <c r="I361" i="16"/>
  <c r="H361" i="17" s="1"/>
  <c r="I361" i="17" s="1"/>
  <c r="J361" i="16"/>
  <c r="I280" i="16"/>
  <c r="H280" i="17" s="1"/>
  <c r="I280" i="17" s="1"/>
  <c r="J280" i="16"/>
  <c r="J85" i="16"/>
  <c r="I85" i="16"/>
  <c r="H85" i="17" s="1"/>
  <c r="I85" i="17" s="1"/>
  <c r="J354" i="16"/>
  <c r="I354" i="16"/>
  <c r="H354" i="17" s="1"/>
  <c r="I354" i="17" s="1"/>
  <c r="I27" i="16"/>
  <c r="H27" i="17" s="1"/>
  <c r="I27" i="17" s="1"/>
  <c r="J27" i="16"/>
  <c r="J103" i="16"/>
  <c r="I103" i="16"/>
  <c r="H103" i="17" s="1"/>
  <c r="I103" i="17" s="1"/>
  <c r="I203" i="16"/>
  <c r="H203" i="17" s="1"/>
  <c r="I203" i="17" s="1"/>
  <c r="J203" i="16"/>
  <c r="I257" i="16"/>
  <c r="H257" i="17" s="1"/>
  <c r="J257" i="17" s="1"/>
  <c r="J257" i="16"/>
  <c r="J29" i="15"/>
  <c r="I29" i="15"/>
  <c r="H29" i="16" s="1"/>
  <c r="J273" i="16"/>
  <c r="I273" i="16"/>
  <c r="H273" i="17" s="1"/>
  <c r="I273" i="17" s="1"/>
  <c r="J330" i="16"/>
  <c r="I330" i="16"/>
  <c r="H330" i="17" s="1"/>
  <c r="I330" i="17" s="1"/>
  <c r="I227" i="16"/>
  <c r="H227" i="17" s="1"/>
  <c r="I227" i="17" s="1"/>
  <c r="J227" i="16"/>
  <c r="J113" i="16"/>
  <c r="I113" i="16"/>
  <c r="H113" i="17" s="1"/>
  <c r="I113" i="17" s="1"/>
  <c r="I152" i="16"/>
  <c r="H152" i="17" s="1"/>
  <c r="I152" i="17" s="1"/>
  <c r="J152" i="16"/>
  <c r="J164" i="16"/>
  <c r="I164" i="16"/>
  <c r="H164" i="17" s="1"/>
  <c r="I164" i="17" s="1"/>
  <c r="J253" i="16"/>
  <c r="I253" i="16"/>
  <c r="H253" i="17" s="1"/>
  <c r="I253" i="17" s="1"/>
  <c r="J331" i="15"/>
  <c r="I331" i="15"/>
  <c r="H331" i="16" s="1"/>
  <c r="J165" i="16"/>
  <c r="I165" i="16"/>
  <c r="H165" i="17" s="1"/>
  <c r="I165" i="17" s="1"/>
  <c r="I232" i="16"/>
  <c r="H232" i="17" s="1"/>
  <c r="I232" i="17" s="1"/>
  <c r="J232" i="16"/>
  <c r="I140" i="16"/>
  <c r="H140" i="17" s="1"/>
  <c r="I140" i="17" s="1"/>
  <c r="J140" i="16"/>
  <c r="J376" i="16"/>
  <c r="I376" i="16"/>
  <c r="H376" i="17" s="1"/>
  <c r="I376" i="17" s="1"/>
  <c r="J371" i="16"/>
  <c r="I371" i="16"/>
  <c r="H371" i="17" s="1"/>
  <c r="I371" i="17" s="1"/>
  <c r="J134" i="16"/>
  <c r="I134" i="16"/>
  <c r="H134" i="17" s="1"/>
  <c r="I134" i="17" s="1"/>
  <c r="I369" i="16"/>
  <c r="H369" i="17" s="1"/>
  <c r="J369" i="16"/>
  <c r="J156" i="16"/>
  <c r="I156" i="16"/>
  <c r="H156" i="17" s="1"/>
  <c r="I156" i="17" s="1"/>
  <c r="I117" i="16"/>
  <c r="H117" i="17" s="1"/>
  <c r="I117" i="17" s="1"/>
  <c r="J117" i="16"/>
  <c r="I350" i="16"/>
  <c r="H350" i="17" s="1"/>
  <c r="I350" i="17" s="1"/>
  <c r="J350" i="16"/>
  <c r="I312" i="16"/>
  <c r="H312" i="17" s="1"/>
  <c r="I312" i="17" s="1"/>
  <c r="J312" i="16"/>
  <c r="J294" i="16"/>
  <c r="I294" i="16"/>
  <c r="H294" i="17" s="1"/>
  <c r="J294" i="17" s="1"/>
  <c r="J137" i="16"/>
  <c r="I137" i="16"/>
  <c r="H137" i="17" s="1"/>
  <c r="I137" i="17" s="1"/>
  <c r="J346" i="16"/>
  <c r="I346" i="16"/>
  <c r="H346" i="17" s="1"/>
  <c r="I346" i="17" s="1"/>
  <c r="I338" i="15"/>
  <c r="H338" i="16" s="1"/>
  <c r="I338" i="16" s="1"/>
  <c r="H338" i="17" s="1"/>
  <c r="I338" i="17" s="1"/>
  <c r="J338" i="15"/>
  <c r="J241" i="16"/>
  <c r="I241" i="16"/>
  <c r="J349" i="16"/>
  <c r="I349" i="16"/>
  <c r="H349" i="17" s="1"/>
  <c r="I349" i="17" s="1"/>
  <c r="J379" i="15"/>
  <c r="I379" i="15"/>
  <c r="H379" i="16" s="1"/>
  <c r="I69" i="16"/>
  <c r="H69" i="17" s="1"/>
  <c r="I69" i="17" s="1"/>
  <c r="J69" i="16"/>
  <c r="J89" i="16"/>
  <c r="I89" i="16"/>
  <c r="H89" i="17" s="1"/>
  <c r="I89" i="17" s="1"/>
  <c r="J79" i="15"/>
  <c r="I79" i="15"/>
  <c r="H79" i="16" s="1"/>
  <c r="I79" i="16" s="1"/>
  <c r="H79" i="17" s="1"/>
  <c r="I79" i="17" s="1"/>
  <c r="I122" i="16"/>
  <c r="H122" i="17" s="1"/>
  <c r="J122" i="17" s="1"/>
  <c r="J122" i="16"/>
  <c r="J226" i="16"/>
  <c r="I226" i="16"/>
  <c r="H226" i="17" s="1"/>
  <c r="I226" i="17" s="1"/>
  <c r="J254" i="16"/>
  <c r="I254" i="16"/>
  <c r="H254" i="17" s="1"/>
  <c r="J254" i="17" s="1"/>
  <c r="J212" i="16"/>
  <c r="I212" i="16"/>
  <c r="H212" i="17" s="1"/>
  <c r="J212" i="17" s="1"/>
  <c r="J292" i="15"/>
  <c r="I292" i="15"/>
  <c r="H292" i="16" s="1"/>
  <c r="J332" i="15"/>
  <c r="I332" i="15"/>
  <c r="H332" i="16" s="1"/>
  <c r="I359" i="16"/>
  <c r="H359" i="17" s="1"/>
  <c r="I359" i="17" s="1"/>
  <c r="J359" i="16"/>
  <c r="J341" i="16"/>
  <c r="I341" i="16"/>
  <c r="H341" i="17" s="1"/>
  <c r="I341" i="17" s="1"/>
  <c r="I87" i="16"/>
  <c r="H87" i="17" s="1"/>
  <c r="I87" i="17" s="1"/>
  <c r="J87" i="16"/>
  <c r="I375" i="16"/>
  <c r="H375" i="17" s="1"/>
  <c r="I375" i="17" s="1"/>
  <c r="J375" i="16"/>
  <c r="J220" i="16"/>
  <c r="I220" i="16"/>
  <c r="H220" i="17" s="1"/>
  <c r="I220" i="17" s="1"/>
  <c r="J378" i="16"/>
  <c r="J95" i="16"/>
  <c r="I95" i="16"/>
  <c r="H95" i="17" s="1"/>
  <c r="I95" i="17" s="1"/>
  <c r="I88" i="15"/>
  <c r="H88" i="16" s="1"/>
  <c r="J88" i="15"/>
  <c r="J145" i="16"/>
  <c r="I145" i="16"/>
  <c r="H145" i="17" s="1"/>
  <c r="I145" i="17" s="1"/>
  <c r="J55" i="16"/>
  <c r="I55" i="16"/>
  <c r="H55" i="17" s="1"/>
  <c r="I55" i="17" s="1"/>
  <c r="J283" i="16"/>
  <c r="I283" i="16"/>
  <c r="H283" i="17" s="1"/>
  <c r="I283" i="17" s="1"/>
  <c r="J56" i="16"/>
  <c r="I373" i="16"/>
  <c r="H373" i="17" s="1"/>
  <c r="J373" i="16"/>
  <c r="J219" i="16"/>
  <c r="I219" i="16"/>
  <c r="H219" i="17" s="1"/>
  <c r="I219" i="17" s="1"/>
  <c r="I347" i="16"/>
  <c r="H347" i="17" s="1"/>
  <c r="J347" i="16"/>
  <c r="J277" i="15"/>
  <c r="I277" i="15"/>
  <c r="H277" i="16" s="1"/>
  <c r="I305" i="16"/>
  <c r="H305" i="17" s="1"/>
  <c r="I305" i="17" s="1"/>
  <c r="J305" i="16"/>
  <c r="I269" i="16"/>
  <c r="H269" i="17" s="1"/>
  <c r="I269" i="17" s="1"/>
  <c r="J269" i="16"/>
  <c r="J16" i="16"/>
  <c r="I16" i="16"/>
  <c r="H16" i="17" s="1"/>
  <c r="I16" i="17" s="1"/>
  <c r="J180" i="15"/>
  <c r="I180" i="15"/>
  <c r="H180" i="16" s="1"/>
  <c r="I348" i="15"/>
  <c r="H348" i="16" s="1"/>
  <c r="J348" i="15"/>
  <c r="J293" i="16"/>
  <c r="I293" i="16"/>
  <c r="H293" i="17" s="1"/>
  <c r="I293" i="17" s="1"/>
  <c r="J54" i="16"/>
  <c r="I54" i="16"/>
  <c r="H54" i="17" s="1"/>
  <c r="I54" i="17" s="1"/>
  <c r="J363" i="16"/>
  <c r="I363" i="16"/>
  <c r="I362" i="16"/>
  <c r="H362" i="17" s="1"/>
  <c r="J362" i="17" s="1"/>
  <c r="J362" i="16"/>
  <c r="I135" i="16"/>
  <c r="H135" i="17" s="1"/>
  <c r="J135" i="16"/>
  <c r="I289" i="16"/>
  <c r="H289" i="17" s="1"/>
  <c r="I289" i="17" s="1"/>
  <c r="J289" i="16"/>
  <c r="I301" i="16"/>
  <c r="H301" i="17" s="1"/>
  <c r="I301" i="17" s="1"/>
  <c r="J301" i="16"/>
  <c r="I193" i="16"/>
  <c r="H193" i="17" s="1"/>
  <c r="I193" i="17" s="1"/>
  <c r="J193" i="16"/>
  <c r="Z15" i="1"/>
  <c r="AL9" i="1"/>
  <c r="I143" i="15"/>
  <c r="H143" i="16" s="1"/>
  <c r="J143" i="15"/>
  <c r="J333" i="15"/>
  <c r="I333" i="15"/>
  <c r="H333" i="16" s="1"/>
  <c r="I249" i="16"/>
  <c r="H249" i="17" s="1"/>
  <c r="I249" i="17" s="1"/>
  <c r="J249" i="16"/>
  <c r="J311" i="16"/>
  <c r="I150" i="16"/>
  <c r="H150" i="17" s="1"/>
  <c r="I150" i="17" s="1"/>
  <c r="J150" i="16"/>
  <c r="J166" i="15"/>
  <c r="I166" i="15"/>
  <c r="H166" i="16" s="1"/>
  <c r="I302" i="16"/>
  <c r="I133" i="16"/>
  <c r="H133" i="17" s="1"/>
  <c r="I133" i="17" s="1"/>
  <c r="J133" i="16"/>
  <c r="G15" i="15"/>
  <c r="BX15" i="6" s="1"/>
  <c r="AA15" i="15"/>
  <c r="H15" i="15"/>
  <c r="AM10" i="15"/>
  <c r="F9" i="15"/>
  <c r="F381" i="15"/>
  <c r="AK10" i="15"/>
  <c r="AK12" i="15" s="1"/>
  <c r="AK13" i="15" s="1"/>
  <c r="F383" i="15"/>
  <c r="F382" i="15"/>
  <c r="J365" i="15"/>
  <c r="I365" i="15"/>
  <c r="H365" i="16" s="1"/>
  <c r="J66" i="15"/>
  <c r="I66" i="15"/>
  <c r="H66" i="16" s="1"/>
  <c r="I149" i="15"/>
  <c r="H149" i="16" s="1"/>
  <c r="I149" i="16" s="1"/>
  <c r="J149" i="15"/>
  <c r="I60" i="16"/>
  <c r="Y309" i="1"/>
  <c r="I306" i="16"/>
  <c r="H306" i="17" s="1"/>
  <c r="I306" i="17" s="1"/>
  <c r="J306" i="16"/>
  <c r="J309" i="15"/>
  <c r="I309" i="15"/>
  <c r="I260" i="17"/>
  <c r="I30" i="17"/>
  <c r="J30" i="17"/>
  <c r="I194" i="17"/>
  <c r="J236" i="17"/>
  <c r="I236" i="17"/>
  <c r="I261" i="17"/>
  <c r="J261" i="17"/>
  <c r="I243" i="17"/>
  <c r="J243" i="17"/>
  <c r="S350" i="18"/>
  <c r="R350" i="18" s="1"/>
  <c r="S60" i="18"/>
  <c r="R60" i="18" s="1"/>
  <c r="J128" i="17"/>
  <c r="I128" i="17"/>
  <c r="J270" i="17"/>
  <c r="I169" i="17"/>
  <c r="J169" i="17"/>
  <c r="I77" i="17"/>
  <c r="J77" i="17"/>
  <c r="AG53" i="18"/>
  <c r="AF53" i="18" s="1"/>
  <c r="AG192" i="18"/>
  <c r="AF192" i="18" s="1"/>
  <c r="J17" i="17"/>
  <c r="I17" i="17"/>
  <c r="S128" i="18"/>
  <c r="R128" i="18" s="1"/>
  <c r="S160" i="18"/>
  <c r="R160" i="18" s="1"/>
  <c r="S272" i="18"/>
  <c r="R272" i="18" s="1"/>
  <c r="S313" i="18"/>
  <c r="R313" i="18" s="1"/>
  <c r="AG18" i="18"/>
  <c r="AF18" i="18" s="1"/>
  <c r="S25" i="18"/>
  <c r="R25" i="18" s="1"/>
  <c r="S206" i="18"/>
  <c r="R206" i="18" s="1"/>
  <c r="S96" i="18"/>
  <c r="R96" i="18" s="1"/>
  <c r="I23" i="17"/>
  <c r="I61" i="17"/>
  <c r="I206" i="17"/>
  <c r="J206" i="17"/>
  <c r="J197" i="17"/>
  <c r="J266" i="17"/>
  <c r="I266" i="17"/>
  <c r="I83" i="17"/>
  <c r="J41" i="17"/>
  <c r="I41" i="17"/>
  <c r="I230" i="17"/>
  <c r="I129" i="17"/>
  <c r="J129" i="17"/>
  <c r="I115" i="17"/>
  <c r="B380" i="6"/>
  <c r="BA380" i="6" s="1"/>
  <c r="H380" i="20"/>
  <c r="S156" i="18"/>
  <c r="R156" i="18" s="1"/>
  <c r="I367" i="17"/>
  <c r="AG272" i="18"/>
  <c r="AF272" i="18" s="1"/>
  <c r="AG134" i="18"/>
  <c r="AF134" i="18" s="1"/>
  <c r="AG349" i="18"/>
  <c r="AF349" i="18" s="1"/>
  <c r="AG113" i="18"/>
  <c r="AF113" i="18" s="1"/>
  <c r="S172" i="18"/>
  <c r="R172" i="18" s="1"/>
  <c r="S274" i="18"/>
  <c r="R274" i="18" s="1"/>
  <c r="AG98" i="18"/>
  <c r="AF98" i="18" s="1"/>
  <c r="AG329" i="18"/>
  <c r="AF329" i="18" s="1"/>
  <c r="AG183" i="18"/>
  <c r="AF183" i="18" s="1"/>
  <c r="AG37" i="18"/>
  <c r="AF37" i="18" s="1"/>
  <c r="AG264" i="18"/>
  <c r="AF264" i="18" s="1"/>
  <c r="AG126" i="18"/>
  <c r="AF126" i="18" s="1"/>
  <c r="AG44" i="18"/>
  <c r="AF44" i="18" s="1"/>
  <c r="AG267" i="18"/>
  <c r="AF267" i="18" s="1"/>
  <c r="AG129" i="18"/>
  <c r="AF129" i="18" s="1"/>
  <c r="S57" i="18"/>
  <c r="R57" i="18" s="1"/>
  <c r="S159" i="18"/>
  <c r="R159" i="18" s="1"/>
  <c r="S168" i="18"/>
  <c r="R168" i="18" s="1"/>
  <c r="S136" i="18"/>
  <c r="R136" i="18" s="1"/>
  <c r="S131" i="18"/>
  <c r="R131" i="18" s="1"/>
  <c r="S169" i="18"/>
  <c r="R169" i="18" s="1"/>
  <c r="S175" i="18"/>
  <c r="R175" i="18" s="1"/>
  <c r="J353" i="17"/>
  <c r="I353" i="17"/>
  <c r="J185" i="17"/>
  <c r="I185" i="17"/>
  <c r="I25" i="17"/>
  <c r="J335" i="17"/>
  <c r="I335" i="17"/>
  <c r="I96" i="17"/>
  <c r="I44" i="17" l="1"/>
  <c r="H60" i="17"/>
  <c r="I60" i="17" s="1"/>
  <c r="J70" i="17"/>
  <c r="J114" i="17"/>
  <c r="J25" i="17"/>
  <c r="L64" i="19"/>
  <c r="J345" i="17"/>
  <c r="J36" i="17"/>
  <c r="I234" i="17"/>
  <c r="J202" i="17"/>
  <c r="J199" i="17"/>
  <c r="J378" i="17"/>
  <c r="H210" i="17"/>
  <c r="I210" i="17" s="1"/>
  <c r="I146" i="17"/>
  <c r="I211" i="17"/>
  <c r="I368" i="17"/>
  <c r="J360" i="17"/>
  <c r="I307" i="17"/>
  <c r="I329" i="17"/>
  <c r="J124" i="17"/>
  <c r="J244" i="17"/>
  <c r="I237" i="17"/>
  <c r="H258" i="17"/>
  <c r="J258" i="17" s="1"/>
  <c r="I62" i="17"/>
  <c r="J208" i="17"/>
  <c r="J218" i="17"/>
  <c r="J238" i="17"/>
  <c r="J240" i="17"/>
  <c r="H302" i="17"/>
  <c r="J302" i="17" s="1"/>
  <c r="J63" i="17"/>
  <c r="J339" i="17"/>
  <c r="J356" i="17"/>
  <c r="I327" i="17"/>
  <c r="J50" i="17"/>
  <c r="J160" i="17"/>
  <c r="I37" i="17"/>
  <c r="J182" i="17"/>
  <c r="I36" i="17"/>
  <c r="J316" i="17"/>
  <c r="J222" i="17"/>
  <c r="I116" i="17"/>
  <c r="H241" i="17"/>
  <c r="I241" i="17" s="1"/>
  <c r="J167" i="17"/>
  <c r="H64" i="19"/>
  <c r="AA210" i="17"/>
  <c r="Z210" i="17" s="1"/>
  <c r="Y210" i="17" s="1"/>
  <c r="I42" i="17"/>
  <c r="J42" i="17"/>
  <c r="I47" i="17"/>
  <c r="I357" i="17"/>
  <c r="J374" i="17"/>
  <c r="I130" i="17"/>
  <c r="J24" i="17"/>
  <c r="I317" i="17"/>
  <c r="J300" i="17"/>
  <c r="I144" i="17"/>
  <c r="J72" i="17"/>
  <c r="J179" i="17"/>
  <c r="J221" i="17"/>
  <c r="I71" i="17"/>
  <c r="H363" i="17"/>
  <c r="I363" i="17" s="1"/>
  <c r="J224" i="17"/>
  <c r="J115" i="17"/>
  <c r="J259" i="17"/>
  <c r="J147" i="17"/>
  <c r="I255" i="17"/>
  <c r="J186" i="17"/>
  <c r="I303" i="17"/>
  <c r="J53" i="17"/>
  <c r="I168" i="17"/>
  <c r="I104" i="17"/>
  <c r="J217" i="17"/>
  <c r="J148" i="17"/>
  <c r="J175" i="17"/>
  <c r="J138" i="17"/>
  <c r="I101" i="17"/>
  <c r="I58" i="17"/>
  <c r="J313" i="17"/>
  <c r="J198" i="17"/>
  <c r="J39" i="17"/>
  <c r="I345" i="17"/>
  <c r="I106" i="17"/>
  <c r="J51" i="17"/>
  <c r="J173" i="17"/>
  <c r="J377" i="17"/>
  <c r="I372" i="17"/>
  <c r="I52" i="17"/>
  <c r="I231" i="17"/>
  <c r="J263" i="17"/>
  <c r="J170" i="17"/>
  <c r="I209" i="17"/>
  <c r="J235" i="17"/>
  <c r="J43" i="17"/>
  <c r="I342" i="17"/>
  <c r="J246" i="17"/>
  <c r="J158" i="17"/>
  <c r="J65" i="17"/>
  <c r="I97" i="17"/>
  <c r="J275" i="17"/>
  <c r="J91" i="17"/>
  <c r="J78" i="17"/>
  <c r="I284" i="17"/>
  <c r="I337" i="17"/>
  <c r="J56" i="17"/>
  <c r="I366" i="17"/>
  <c r="I251" i="17"/>
  <c r="J183" i="17"/>
  <c r="J38" i="17"/>
  <c r="I102" i="17"/>
  <c r="I162" i="17"/>
  <c r="J278" i="17"/>
  <c r="I215" i="17"/>
  <c r="J18" i="17"/>
  <c r="I187" i="17"/>
  <c r="I262" i="17"/>
  <c r="J35" i="17"/>
  <c r="I151" i="17"/>
  <c r="J281" i="17"/>
  <c r="J271" i="17"/>
  <c r="I276" i="17"/>
  <c r="I229" i="17"/>
  <c r="J22" i="17"/>
  <c r="I184" i="17"/>
  <c r="I207" i="17"/>
  <c r="AA29" i="17"/>
  <c r="Z29" i="17" s="1"/>
  <c r="Y29" i="17" s="1"/>
  <c r="E8" i="24"/>
  <c r="K19" i="19" s="1"/>
  <c r="K43" i="19" s="1"/>
  <c r="E7" i="24"/>
  <c r="O10" i="24" s="1"/>
  <c r="O383" i="23"/>
  <c r="O381" i="23"/>
  <c r="O382" i="23"/>
  <c r="I40" i="17"/>
  <c r="I311" i="17"/>
  <c r="G363" i="17"/>
  <c r="BZ363" i="6" s="1"/>
  <c r="J67" i="17"/>
  <c r="I195" i="17"/>
  <c r="I247" i="17"/>
  <c r="I136" i="17"/>
  <c r="J112" i="17"/>
  <c r="J351" i="17"/>
  <c r="I32" i="17"/>
  <c r="J90" i="17"/>
  <c r="I142" i="17"/>
  <c r="I57" i="17"/>
  <c r="J163" i="17"/>
  <c r="I181" i="17"/>
  <c r="J285" i="17"/>
  <c r="I157" i="17"/>
  <c r="J326" i="17"/>
  <c r="J73" i="17"/>
  <c r="I213" i="17"/>
  <c r="I141" i="17"/>
  <c r="J171" i="17"/>
  <c r="J315" i="17"/>
  <c r="I93" i="17"/>
  <c r="I159" i="17"/>
  <c r="J264" i="17"/>
  <c r="J252" i="17"/>
  <c r="J33" i="17"/>
  <c r="I250" i="17"/>
  <c r="I314" i="17"/>
  <c r="J126" i="17"/>
  <c r="J26" i="17"/>
  <c r="J153" i="17"/>
  <c r="J323" i="17"/>
  <c r="I189" i="17"/>
  <c r="K64" i="19"/>
  <c r="I64" i="19"/>
  <c r="J75" i="17"/>
  <c r="I75" i="17"/>
  <c r="J245" i="17"/>
  <c r="J304" i="17"/>
  <c r="J192" i="17"/>
  <c r="J82" i="17"/>
  <c r="J279" i="17"/>
  <c r="I84" i="17"/>
  <c r="I94" i="17"/>
  <c r="I308" i="17"/>
  <c r="J205" i="17"/>
  <c r="I233" i="17"/>
  <c r="J155" i="17"/>
  <c r="I223" i="17"/>
  <c r="I123" i="17"/>
  <c r="I320" i="17"/>
  <c r="J176" i="17"/>
  <c r="J49" i="17"/>
  <c r="J121" i="17"/>
  <c r="J100" i="17"/>
  <c r="AC198" i="23"/>
  <c r="AC288" i="23"/>
  <c r="AC325" i="23"/>
  <c r="AC156" i="23"/>
  <c r="AC240" i="23"/>
  <c r="AC263" i="23"/>
  <c r="AC281" i="23"/>
  <c r="AC345" i="23"/>
  <c r="AC280" i="23"/>
  <c r="AC366" i="23"/>
  <c r="H119" i="17"/>
  <c r="J119" i="17" s="1"/>
  <c r="J287" i="17"/>
  <c r="J328" i="17"/>
  <c r="AA302" i="17"/>
  <c r="Z302" i="17" s="1"/>
  <c r="Y302" i="17" s="1"/>
  <c r="E64" i="19"/>
  <c r="J325" i="17"/>
  <c r="J190" i="17"/>
  <c r="I99" i="17"/>
  <c r="J268" i="17"/>
  <c r="I228" i="17"/>
  <c r="I45" i="17"/>
  <c r="I68" i="17"/>
  <c r="J191" i="17"/>
  <c r="I118" i="17"/>
  <c r="J286" i="17"/>
  <c r="J200" i="17"/>
  <c r="J154" i="17"/>
  <c r="J340" i="17"/>
  <c r="J324" i="17"/>
  <c r="I216" i="17"/>
  <c r="J127" i="17"/>
  <c r="J34" i="17"/>
  <c r="J298" i="17"/>
  <c r="J201" i="17"/>
  <c r="G60" i="17"/>
  <c r="BZ60" i="6" s="1"/>
  <c r="AC247" i="23"/>
  <c r="AC267" i="23"/>
  <c r="AC318" i="23"/>
  <c r="AC183" i="23"/>
  <c r="AC371" i="23"/>
  <c r="AC231" i="23"/>
  <c r="AC365" i="23"/>
  <c r="AC175" i="23"/>
  <c r="I139" i="17"/>
  <c r="J139" i="17"/>
  <c r="J196" i="17"/>
  <c r="I196" i="17"/>
  <c r="AC159" i="23"/>
  <c r="J370" i="17"/>
  <c r="I370" i="17"/>
  <c r="I86" i="17"/>
  <c r="J86" i="17"/>
  <c r="J31" i="17"/>
  <c r="I31" i="17"/>
  <c r="I355" i="17"/>
  <c r="J355" i="17"/>
  <c r="I80" i="17"/>
  <c r="J80" i="17"/>
  <c r="I239" i="17"/>
  <c r="J239" i="17"/>
  <c r="I64" i="17"/>
  <c r="J64" i="17"/>
  <c r="F149" i="17"/>
  <c r="F64" i="19"/>
  <c r="J172" i="17"/>
  <c r="I172" i="17"/>
  <c r="I20" i="17"/>
  <c r="J20" i="17"/>
  <c r="J178" i="17"/>
  <c r="I178" i="17"/>
  <c r="J334" i="17"/>
  <c r="I334" i="17"/>
  <c r="J111" i="17"/>
  <c r="I111" i="17"/>
  <c r="J98" i="17"/>
  <c r="I98" i="17"/>
  <c r="J81" i="17"/>
  <c r="I81" i="17"/>
  <c r="H149" i="17"/>
  <c r="I149" i="17" s="1"/>
  <c r="J248" i="17"/>
  <c r="I258" i="17"/>
  <c r="H19" i="17"/>
  <c r="I19" i="17" s="1"/>
  <c r="J92" i="17"/>
  <c r="J131" i="17"/>
  <c r="J188" i="17"/>
  <c r="F272" i="17"/>
  <c r="AA272" i="17" s="1"/>
  <c r="Z272" i="17" s="1"/>
  <c r="Y272" i="17" s="1"/>
  <c r="J295" i="17"/>
  <c r="J318" i="17"/>
  <c r="AA241" i="17"/>
  <c r="Z241" i="17" s="1"/>
  <c r="Y241" i="17" s="1"/>
  <c r="G272" i="17"/>
  <c r="BZ272" i="6" s="1"/>
  <c r="BV11" i="7"/>
  <c r="BP15" i="7"/>
  <c r="BR11" i="7"/>
  <c r="BQ11" i="7"/>
  <c r="AA48" i="17"/>
  <c r="Z48" i="17" s="1"/>
  <c r="Y48" i="17" s="1"/>
  <c r="G48" i="17"/>
  <c r="BZ48" i="6" s="1"/>
  <c r="H48" i="17"/>
  <c r="AA166" i="17"/>
  <c r="Z166" i="17" s="1"/>
  <c r="Y166" i="17" s="1"/>
  <c r="G166" i="17"/>
  <c r="BZ166" i="6" s="1"/>
  <c r="AA180" i="17"/>
  <c r="Z180" i="17" s="1"/>
  <c r="Y180" i="17" s="1"/>
  <c r="G180" i="17"/>
  <c r="BZ180" i="6" s="1"/>
  <c r="G119" i="17"/>
  <c r="BZ119" i="6" s="1"/>
  <c r="AA119" i="17"/>
  <c r="Z119" i="17" s="1"/>
  <c r="Y119" i="17" s="1"/>
  <c r="L20" i="19"/>
  <c r="P10" i="25"/>
  <c r="V379" i="17"/>
  <c r="D38" i="19"/>
  <c r="Q10" i="18"/>
  <c r="Q82" i="18" s="1"/>
  <c r="P82" i="18" s="1"/>
  <c r="V82" i="18" s="1"/>
  <c r="AA15" i="7"/>
  <c r="Q226" i="18"/>
  <c r="P226" i="18" s="1"/>
  <c r="V226" i="18" s="1"/>
  <c r="Q370" i="18"/>
  <c r="P370" i="18" s="1"/>
  <c r="V370" i="18" s="1"/>
  <c r="Q172" i="18"/>
  <c r="P172" i="18" s="1"/>
  <c r="V172" i="18" s="1"/>
  <c r="Q69" i="18"/>
  <c r="P69" i="18" s="1"/>
  <c r="V69" i="18" s="1"/>
  <c r="Q152" i="18"/>
  <c r="P152" i="18" s="1"/>
  <c r="V152" i="18" s="1"/>
  <c r="Q48" i="18"/>
  <c r="P48" i="18" s="1"/>
  <c r="V48" i="18" s="1"/>
  <c r="Q174" i="18"/>
  <c r="P174" i="18" s="1"/>
  <c r="V174" i="18" s="1"/>
  <c r="Q317" i="18"/>
  <c r="P317" i="18" s="1"/>
  <c r="V317" i="18" s="1"/>
  <c r="Q117" i="18"/>
  <c r="P117" i="18" s="1"/>
  <c r="V117" i="18" s="1"/>
  <c r="Q91" i="18"/>
  <c r="P91" i="18" s="1"/>
  <c r="V91" i="18" s="1"/>
  <c r="Q39" i="18"/>
  <c r="P39" i="18" s="1"/>
  <c r="V39" i="18" s="1"/>
  <c r="Q378" i="18"/>
  <c r="P378" i="18" s="1"/>
  <c r="V378" i="18" s="1"/>
  <c r="Q122" i="18"/>
  <c r="P122" i="18" s="1"/>
  <c r="V122" i="18" s="1"/>
  <c r="Q180" i="18"/>
  <c r="P180" i="18" s="1"/>
  <c r="Q308" i="18"/>
  <c r="P308" i="18" s="1"/>
  <c r="V308" i="18" s="1"/>
  <c r="Q284" i="18"/>
  <c r="P284" i="18" s="1"/>
  <c r="V284" i="18" s="1"/>
  <c r="Q214" i="18"/>
  <c r="P214" i="18" s="1"/>
  <c r="V214" i="18" s="1"/>
  <c r="Q208" i="18"/>
  <c r="P208" i="18" s="1"/>
  <c r="V208" i="18" s="1"/>
  <c r="Q217" i="18"/>
  <c r="P217" i="18" s="1"/>
  <c r="V217" i="18" s="1"/>
  <c r="Q87" i="18"/>
  <c r="P87" i="18" s="1"/>
  <c r="V87" i="18" s="1"/>
  <c r="Q68" i="18"/>
  <c r="P68" i="18" s="1"/>
  <c r="V68" i="18" s="1"/>
  <c r="Q88" i="18"/>
  <c r="P88" i="18" s="1"/>
  <c r="Q327" i="18"/>
  <c r="P327" i="18" s="1"/>
  <c r="V327" i="18" s="1"/>
  <c r="Q154" i="18"/>
  <c r="P154" i="18" s="1"/>
  <c r="V154" i="18" s="1"/>
  <c r="Q56" i="18"/>
  <c r="P56" i="18" s="1"/>
  <c r="V56" i="18" s="1"/>
  <c r="Q100" i="18"/>
  <c r="P100" i="18" s="1"/>
  <c r="V100" i="18" s="1"/>
  <c r="Q255" i="18"/>
  <c r="P255" i="18" s="1"/>
  <c r="V255" i="18" s="1"/>
  <c r="Q281" i="18"/>
  <c r="P281" i="18" s="1"/>
  <c r="V281" i="18" s="1"/>
  <c r="Q49" i="18"/>
  <c r="P49" i="18" s="1"/>
  <c r="V49" i="18" s="1"/>
  <c r="Q355" i="18"/>
  <c r="P355" i="18" s="1"/>
  <c r="V355" i="18" s="1"/>
  <c r="Q269" i="18"/>
  <c r="P269" i="18" s="1"/>
  <c r="V269" i="18" s="1"/>
  <c r="Q166" i="18"/>
  <c r="P166" i="18" s="1"/>
  <c r="V166" i="18" s="1"/>
  <c r="Q165" i="18"/>
  <c r="P165" i="18" s="1"/>
  <c r="V165" i="18" s="1"/>
  <c r="Q141" i="18"/>
  <c r="P141" i="18" s="1"/>
  <c r="V141" i="18" s="1"/>
  <c r="Q42" i="18"/>
  <c r="P42" i="18" s="1"/>
  <c r="V42" i="18" s="1"/>
  <c r="Q108" i="18"/>
  <c r="P108" i="18" s="1"/>
  <c r="V108" i="18" s="1"/>
  <c r="Q205" i="18"/>
  <c r="P205" i="18" s="1"/>
  <c r="V205" i="18" s="1"/>
  <c r="Q51" i="18"/>
  <c r="P51" i="18" s="1"/>
  <c r="V51" i="18" s="1"/>
  <c r="Q233" i="18"/>
  <c r="P233" i="18" s="1"/>
  <c r="V233" i="18" s="1"/>
  <c r="Q342" i="18"/>
  <c r="P342" i="18" s="1"/>
  <c r="V342" i="18" s="1"/>
  <c r="Q175" i="18"/>
  <c r="P175" i="18" s="1"/>
  <c r="V175" i="18" s="1"/>
  <c r="Q223" i="18"/>
  <c r="P223" i="18" s="1"/>
  <c r="V223" i="18" s="1"/>
  <c r="Q267" i="18"/>
  <c r="P267" i="18" s="1"/>
  <c r="V267" i="18" s="1"/>
  <c r="Q112" i="18"/>
  <c r="P112" i="18" s="1"/>
  <c r="V112" i="18" s="1"/>
  <c r="Q253" i="18"/>
  <c r="P253" i="18" s="1"/>
  <c r="V253" i="18" s="1"/>
  <c r="Q322" i="18"/>
  <c r="P322" i="18" s="1"/>
  <c r="V322" i="18" s="1"/>
  <c r="Q195" i="18"/>
  <c r="P195" i="18" s="1"/>
  <c r="V195" i="18" s="1"/>
  <c r="Q85" i="18"/>
  <c r="P85" i="18" s="1"/>
  <c r="V85" i="18" s="1"/>
  <c r="Q142" i="18"/>
  <c r="P142" i="18" s="1"/>
  <c r="V142" i="18" s="1"/>
  <c r="Q212" i="18"/>
  <c r="P212" i="18" s="1"/>
  <c r="V212" i="18" s="1"/>
  <c r="Q33" i="18"/>
  <c r="P33" i="18" s="1"/>
  <c r="V33" i="18" s="1"/>
  <c r="Q17" i="18"/>
  <c r="P17" i="18" s="1"/>
  <c r="V17" i="18" s="1"/>
  <c r="Q313" i="18"/>
  <c r="P313" i="18" s="1"/>
  <c r="V313" i="18" s="1"/>
  <c r="Q243" i="18"/>
  <c r="P243" i="18" s="1"/>
  <c r="V243" i="18" s="1"/>
  <c r="Q280" i="18"/>
  <c r="P280" i="18" s="1"/>
  <c r="V280" i="18" s="1"/>
  <c r="Q38" i="18"/>
  <c r="P38" i="18" s="1"/>
  <c r="V38" i="18" s="1"/>
  <c r="Q343" i="18"/>
  <c r="P343" i="18" s="1"/>
  <c r="V343" i="18" s="1"/>
  <c r="Q127" i="18"/>
  <c r="P127" i="18" s="1"/>
  <c r="V127" i="18" s="1"/>
  <c r="Q121" i="18"/>
  <c r="P121" i="18" s="1"/>
  <c r="V121" i="18" s="1"/>
  <c r="Q356" i="18"/>
  <c r="P356" i="18" s="1"/>
  <c r="V356" i="18" s="1"/>
  <c r="Q206" i="18"/>
  <c r="P206" i="18" s="1"/>
  <c r="V206" i="18" s="1"/>
  <c r="Q115" i="18"/>
  <c r="P115" i="18" s="1"/>
  <c r="V115" i="18" s="1"/>
  <c r="Q84" i="18"/>
  <c r="P84" i="18" s="1"/>
  <c r="V84" i="18" s="1"/>
  <c r="Q150" i="18"/>
  <c r="P150" i="18" s="1"/>
  <c r="V150" i="18" s="1"/>
  <c r="Q161" i="18"/>
  <c r="P161" i="18" s="1"/>
  <c r="V161" i="18" s="1"/>
  <c r="Q228" i="18"/>
  <c r="P228" i="18" s="1"/>
  <c r="V228" i="18" s="1"/>
  <c r="Q73" i="18"/>
  <c r="P73" i="18" s="1"/>
  <c r="V73" i="18" s="1"/>
  <c r="Q24" i="18"/>
  <c r="P24" i="18" s="1"/>
  <c r="V24" i="18" s="1"/>
  <c r="Q275" i="18"/>
  <c r="P275" i="18" s="1"/>
  <c r="V275" i="18" s="1"/>
  <c r="Q252" i="18"/>
  <c r="P252" i="18" s="1"/>
  <c r="V252" i="18" s="1"/>
  <c r="Q321" i="18"/>
  <c r="P321" i="18" s="1"/>
  <c r="V321" i="18" s="1"/>
  <c r="Q104" i="18"/>
  <c r="P104" i="18" s="1"/>
  <c r="V104" i="18" s="1"/>
  <c r="Q213" i="18"/>
  <c r="P213" i="18" s="1"/>
  <c r="V213" i="18" s="1"/>
  <c r="Q224" i="18"/>
  <c r="P224" i="18" s="1"/>
  <c r="V224" i="18" s="1"/>
  <c r="Q155" i="18"/>
  <c r="P155" i="18" s="1"/>
  <c r="V155" i="18" s="1"/>
  <c r="Q52" i="18"/>
  <c r="P52" i="18" s="1"/>
  <c r="V52" i="18" s="1"/>
  <c r="Q202" i="18"/>
  <c r="P202" i="18" s="1"/>
  <c r="V202" i="18" s="1"/>
  <c r="Q119" i="18"/>
  <c r="P119" i="18" s="1"/>
  <c r="Q279" i="18"/>
  <c r="P279" i="18" s="1"/>
  <c r="V279" i="18" s="1"/>
  <c r="Q301" i="18"/>
  <c r="P301" i="18" s="1"/>
  <c r="V301" i="18" s="1"/>
  <c r="Q302" i="18"/>
  <c r="P302" i="18" s="1"/>
  <c r="Q292" i="18"/>
  <c r="P292" i="18" s="1"/>
  <c r="V292" i="18" s="1"/>
  <c r="Q78" i="18"/>
  <c r="P78" i="18" s="1"/>
  <c r="V78" i="18" s="1"/>
  <c r="Q379" i="18"/>
  <c r="Q285" i="18"/>
  <c r="P285" i="18" s="1"/>
  <c r="V285" i="18" s="1"/>
  <c r="Q135" i="18"/>
  <c r="P135" i="18" s="1"/>
  <c r="V135" i="18" s="1"/>
  <c r="Q120" i="18"/>
  <c r="P120" i="18" s="1"/>
  <c r="V120" i="18" s="1"/>
  <c r="Q181" i="18"/>
  <c r="P181" i="18" s="1"/>
  <c r="V181" i="18" s="1"/>
  <c r="Q43" i="18"/>
  <c r="P43" i="18" s="1"/>
  <c r="V43" i="18" s="1"/>
  <c r="Q118" i="18"/>
  <c r="P118" i="18" s="1"/>
  <c r="V118" i="18" s="1"/>
  <c r="Q346" i="18"/>
  <c r="P346" i="18" s="1"/>
  <c r="V346" i="18" s="1"/>
  <c r="Q240" i="18"/>
  <c r="P240" i="18" s="1"/>
  <c r="V240" i="18" s="1"/>
  <c r="Q94" i="18"/>
  <c r="P94" i="18" s="1"/>
  <c r="V94" i="18" s="1"/>
  <c r="Q211" i="18"/>
  <c r="P211" i="18" s="1"/>
  <c r="V211" i="18" s="1"/>
  <c r="Q241" i="18"/>
  <c r="P241" i="18" s="1"/>
  <c r="Q81" i="18"/>
  <c r="P81" i="18" s="1"/>
  <c r="V81" i="18" s="1"/>
  <c r="Q184" i="18"/>
  <c r="P184" i="18" s="1"/>
  <c r="V184" i="18" s="1"/>
  <c r="Q186" i="18"/>
  <c r="P186" i="18" s="1"/>
  <c r="V186" i="18" s="1"/>
  <c r="Q364" i="18"/>
  <c r="P364" i="18" s="1"/>
  <c r="V364" i="18" s="1"/>
  <c r="Q325" i="18"/>
  <c r="P325" i="18" s="1"/>
  <c r="V325" i="18" s="1"/>
  <c r="Q144" i="18"/>
  <c r="P144" i="18" s="1"/>
  <c r="V144" i="18" s="1"/>
  <c r="Q306" i="18"/>
  <c r="P306" i="18" s="1"/>
  <c r="V306" i="18" s="1"/>
  <c r="Q339" i="18"/>
  <c r="P339" i="18" s="1"/>
  <c r="V339" i="18" s="1"/>
  <c r="Q316" i="18"/>
  <c r="P316" i="18" s="1"/>
  <c r="V316" i="18" s="1"/>
  <c r="Q260" i="18"/>
  <c r="P260" i="18" s="1"/>
  <c r="V260" i="18" s="1"/>
  <c r="Q18" i="18"/>
  <c r="P18" i="18" s="1"/>
  <c r="V18" i="18" s="1"/>
  <c r="Q347" i="18"/>
  <c r="P347" i="18" s="1"/>
  <c r="V347" i="18" s="1"/>
  <c r="Q349" i="18"/>
  <c r="P349" i="18" s="1"/>
  <c r="V349" i="18" s="1"/>
  <c r="Q22" i="18"/>
  <c r="P22" i="18" s="1"/>
  <c r="V22" i="18" s="1"/>
  <c r="Q354" i="18"/>
  <c r="P354" i="18" s="1"/>
  <c r="V354" i="18" s="1"/>
  <c r="Q198" i="18"/>
  <c r="P198" i="18" s="1"/>
  <c r="V198" i="18" s="1"/>
  <c r="Q139" i="18"/>
  <c r="P139" i="18" s="1"/>
  <c r="V139" i="18" s="1"/>
  <c r="Q277" i="18"/>
  <c r="P277" i="18" s="1"/>
  <c r="V277" i="18" s="1"/>
  <c r="Q103" i="18"/>
  <c r="P103" i="18" s="1"/>
  <c r="V103" i="18" s="1"/>
  <c r="Q274" i="18"/>
  <c r="P274" i="18" s="1"/>
  <c r="V274" i="18" s="1"/>
  <c r="Q371" i="18"/>
  <c r="P371" i="18" s="1"/>
  <c r="V371" i="18" s="1"/>
  <c r="Q134" i="18"/>
  <c r="P134" i="18" s="1"/>
  <c r="V134" i="18" s="1"/>
  <c r="Q203" i="18"/>
  <c r="P203" i="18" s="1"/>
  <c r="V203" i="18" s="1"/>
  <c r="Q245" i="18"/>
  <c r="P245" i="18" s="1"/>
  <c r="V245" i="18" s="1"/>
  <c r="Q54" i="18"/>
  <c r="P54" i="18" s="1"/>
  <c r="V54" i="18" s="1"/>
  <c r="Q338" i="18"/>
  <c r="P338" i="18" s="1"/>
  <c r="V338" i="18" s="1"/>
  <c r="Q128" i="18"/>
  <c r="P128" i="18" s="1"/>
  <c r="V128" i="18" s="1"/>
  <c r="Q15" i="18"/>
  <c r="Q337" i="18"/>
  <c r="P337" i="18" s="1"/>
  <c r="V337" i="18" s="1"/>
  <c r="Q136" i="18"/>
  <c r="P136" i="18" s="1"/>
  <c r="V136" i="18" s="1"/>
  <c r="Q30" i="18"/>
  <c r="P30" i="18" s="1"/>
  <c r="V30" i="18" s="1"/>
  <c r="Q32" i="18"/>
  <c r="P32" i="18" s="1"/>
  <c r="V32" i="18" s="1"/>
  <c r="Q114" i="18"/>
  <c r="P114" i="18" s="1"/>
  <c r="V114" i="18" s="1"/>
  <c r="G19" i="17"/>
  <c r="BZ19" i="6" s="1"/>
  <c r="AA19" i="17"/>
  <c r="Z19" i="17" s="1"/>
  <c r="Y19" i="17" s="1"/>
  <c r="AA139" i="17"/>
  <c r="Z139" i="17" s="1"/>
  <c r="Y139" i="17" s="1"/>
  <c r="G139" i="17"/>
  <c r="BZ139" i="6" s="1"/>
  <c r="G196" i="17"/>
  <c r="BZ196" i="6" s="1"/>
  <c r="AA196" i="17"/>
  <c r="Z196" i="17" s="1"/>
  <c r="Y196" i="17" s="1"/>
  <c r="G75" i="17"/>
  <c r="BZ75" i="6" s="1"/>
  <c r="AA75" i="17"/>
  <c r="Z75" i="17" s="1"/>
  <c r="Y75" i="17" s="1"/>
  <c r="AA325" i="17"/>
  <c r="Z325" i="17" s="1"/>
  <c r="Y325" i="17" s="1"/>
  <c r="G325" i="17"/>
  <c r="BZ325" i="6" s="1"/>
  <c r="G258" i="17"/>
  <c r="BZ258" i="6" s="1"/>
  <c r="AA258" i="17"/>
  <c r="Z258" i="17" s="1"/>
  <c r="Y258" i="17" s="1"/>
  <c r="AA88" i="17"/>
  <c r="Z88" i="17" s="1"/>
  <c r="Y88" i="17" s="1"/>
  <c r="G88" i="17"/>
  <c r="BZ88" i="6" s="1"/>
  <c r="G381" i="1"/>
  <c r="BW321" i="6"/>
  <c r="AC191" i="23"/>
  <c r="AC196" i="23"/>
  <c r="AC220" i="23"/>
  <c r="AC200" i="23"/>
  <c r="AC372" i="23"/>
  <c r="AC171" i="23"/>
  <c r="AC264" i="23"/>
  <c r="AC358" i="23"/>
  <c r="AC213" i="23"/>
  <c r="AC255" i="23"/>
  <c r="AC178" i="23"/>
  <c r="AC336" i="23"/>
  <c r="AC293" i="23"/>
  <c r="AC351" i="23"/>
  <c r="AC162" i="23"/>
  <c r="AC201" i="23"/>
  <c r="AC163" i="23"/>
  <c r="AC364" i="23"/>
  <c r="AC355" i="23"/>
  <c r="AC285" i="23"/>
  <c r="J369" i="17"/>
  <c r="AC155" i="23"/>
  <c r="AC369" i="23"/>
  <c r="AC149" i="23"/>
  <c r="AC237" i="23"/>
  <c r="AC350" i="23"/>
  <c r="AC340" i="23"/>
  <c r="AC331" i="23"/>
  <c r="AC228" i="23"/>
  <c r="AC146" i="23"/>
  <c r="AC169" i="23"/>
  <c r="AC205" i="23"/>
  <c r="AC253" i="23"/>
  <c r="AC316" i="23"/>
  <c r="AC238" i="23"/>
  <c r="AC206" i="23"/>
  <c r="AC172" i="23"/>
  <c r="AC137" i="23"/>
  <c r="AC136" i="23"/>
  <c r="AC204" i="23"/>
  <c r="AC270" i="23"/>
  <c r="AC313" i="23"/>
  <c r="AC300" i="23"/>
  <c r="AC326" i="23"/>
  <c r="AC298" i="23"/>
  <c r="AC265" i="23"/>
  <c r="AC226" i="23"/>
  <c r="AC327" i="23"/>
  <c r="AC194" i="23"/>
  <c r="AC307" i="23"/>
  <c r="AC150" i="23"/>
  <c r="AC362" i="23"/>
  <c r="AC337" i="23"/>
  <c r="AC139" i="23"/>
  <c r="AC214" i="23"/>
  <c r="AC258" i="23"/>
  <c r="AC143" i="23"/>
  <c r="AC185" i="23"/>
  <c r="AC259" i="23"/>
  <c r="AC261" i="23"/>
  <c r="AC218" i="23"/>
  <c r="AC222" i="23"/>
  <c r="AC299" i="23"/>
  <c r="AC359" i="23"/>
  <c r="AC289" i="23"/>
  <c r="AC379" i="23"/>
  <c r="AC153" i="23"/>
  <c r="AC321" i="23"/>
  <c r="AC212" i="23"/>
  <c r="AC352" i="23"/>
  <c r="AC157" i="23"/>
  <c r="AC324" i="23"/>
  <c r="AC342" i="23"/>
  <c r="AC335" i="23"/>
  <c r="AC297" i="23"/>
  <c r="AC279" i="23"/>
  <c r="AC291" i="23"/>
  <c r="AC334" i="23"/>
  <c r="AC294" i="23"/>
  <c r="AC239" i="23"/>
  <c r="AC311" i="23"/>
  <c r="AC370" i="23"/>
  <c r="AC165" i="23"/>
  <c r="AC361" i="23"/>
  <c r="AC368" i="23"/>
  <c r="AC174" i="23"/>
  <c r="AC207" i="23"/>
  <c r="AC202" i="23"/>
  <c r="AC357" i="23"/>
  <c r="AC328" i="23"/>
  <c r="AC135" i="23"/>
  <c r="AC252" i="23"/>
  <c r="AC308" i="23"/>
  <c r="AC273" i="23"/>
  <c r="AC260" i="23"/>
  <c r="AC330" i="23"/>
  <c r="AC374" i="23"/>
  <c r="AC188" i="23"/>
  <c r="AC323" i="23"/>
  <c r="AC287" i="23"/>
  <c r="AC140" i="23"/>
  <c r="AC333" i="23"/>
  <c r="AC367" i="23"/>
  <c r="AC215" i="23"/>
  <c r="AC343" i="23"/>
  <c r="AC292" i="23"/>
  <c r="AC217" i="23"/>
  <c r="AC164" i="23"/>
  <c r="AC277" i="23"/>
  <c r="AC180" i="23"/>
  <c r="AC353" i="23"/>
  <c r="AC186" i="23"/>
  <c r="AC250" i="23"/>
  <c r="AC203" i="23"/>
  <c r="AC354" i="23"/>
  <c r="AC309" i="23"/>
  <c r="AC306" i="23"/>
  <c r="AC278" i="23"/>
  <c r="AC210" i="23"/>
  <c r="AC348" i="23"/>
  <c r="AC193" i="23"/>
  <c r="AC221" i="23"/>
  <c r="AC262" i="23"/>
  <c r="AC271" i="23"/>
  <c r="AC275" i="23"/>
  <c r="AC181" i="23"/>
  <c r="AC182" i="23"/>
  <c r="AC190" i="23"/>
  <c r="AC211" i="23"/>
  <c r="AC286" i="23"/>
  <c r="AC234" i="23"/>
  <c r="AC251" i="23"/>
  <c r="AC195" i="23"/>
  <c r="AC310" i="23"/>
  <c r="AC166" i="23"/>
  <c r="AC320" i="23"/>
  <c r="AC216" i="23"/>
  <c r="AC197" i="23"/>
  <c r="AC227" i="23"/>
  <c r="AC381" i="22"/>
  <c r="AC224" i="23"/>
  <c r="AC184" i="23"/>
  <c r="AC314" i="23"/>
  <c r="AC373" i="23"/>
  <c r="AC276" i="23"/>
  <c r="AC145" i="23"/>
  <c r="AC317" i="23"/>
  <c r="AC142" i="23"/>
  <c r="AC304" i="23"/>
  <c r="AC152" i="23"/>
  <c r="AC349" i="23"/>
  <c r="AC141" i="23"/>
  <c r="AC232" i="23"/>
  <c r="AC344" i="23"/>
  <c r="AC223" i="23"/>
  <c r="AC329" i="23"/>
  <c r="AC161" i="23"/>
  <c r="AC235" i="23"/>
  <c r="AC236" i="23"/>
  <c r="AC187" i="23"/>
  <c r="AC302" i="23"/>
  <c r="AC189" i="23"/>
  <c r="AC244" i="23"/>
  <c r="AC160" i="23"/>
  <c r="AC378" i="23"/>
  <c r="AC347" i="23"/>
  <c r="AC151" i="23"/>
  <c r="AC301" i="23"/>
  <c r="AC339" i="23"/>
  <c r="AC312" i="23"/>
  <c r="AC282" i="23"/>
  <c r="AC284" i="23"/>
  <c r="AC266" i="23"/>
  <c r="AC290" i="23"/>
  <c r="AC295" i="23"/>
  <c r="AC192" i="23"/>
  <c r="AC315" i="23"/>
  <c r="AC341" i="23"/>
  <c r="AC170" i="23"/>
  <c r="AC356" i="23"/>
  <c r="AC134" i="23"/>
  <c r="AC363" i="23"/>
  <c r="AC179" i="23"/>
  <c r="AC346" i="23"/>
  <c r="AC319" i="23"/>
  <c r="AC248" i="23"/>
  <c r="AC305" i="23"/>
  <c r="AC249" i="23"/>
  <c r="AC242" i="23"/>
  <c r="AC229" i="23"/>
  <c r="AC245" i="23"/>
  <c r="AC208" i="23"/>
  <c r="AC173" i="23"/>
  <c r="AC148" i="23"/>
  <c r="AC338" i="23"/>
  <c r="AC377" i="23"/>
  <c r="AC154" i="23"/>
  <c r="AC144" i="23"/>
  <c r="AC158" i="23"/>
  <c r="AC147" i="23"/>
  <c r="AC168" i="23"/>
  <c r="AC246" i="23"/>
  <c r="AC233" i="23"/>
  <c r="AC243" i="23"/>
  <c r="AC272" i="23"/>
  <c r="AC167" i="23"/>
  <c r="AC256" i="23"/>
  <c r="AC257" i="23"/>
  <c r="AC375" i="23"/>
  <c r="AC176" i="23"/>
  <c r="AC269" i="23"/>
  <c r="AC283" i="23"/>
  <c r="AC209" i="23"/>
  <c r="AC322" i="23"/>
  <c r="AC274" i="23"/>
  <c r="AC138" i="23"/>
  <c r="AC199" i="23"/>
  <c r="AC332" i="23"/>
  <c r="AC254" i="23"/>
  <c r="AC360" i="23"/>
  <c r="AC268" i="23"/>
  <c r="AC303" i="23"/>
  <c r="AC376" i="23"/>
  <c r="AC219" i="23"/>
  <c r="AC230" i="23"/>
  <c r="J204" i="17"/>
  <c r="J125" i="17"/>
  <c r="I161" i="17"/>
  <c r="AC241" i="23"/>
  <c r="AC296" i="23"/>
  <c r="AC225" i="23"/>
  <c r="AC382" i="22"/>
  <c r="AC383" i="22"/>
  <c r="I214" i="16"/>
  <c r="H214" i="17" s="1"/>
  <c r="I214" i="17" s="1"/>
  <c r="AD383" i="16"/>
  <c r="AD381" i="16"/>
  <c r="AD382" i="16"/>
  <c r="U382" i="18"/>
  <c r="U383" i="18"/>
  <c r="T15" i="18"/>
  <c r="U381" i="18"/>
  <c r="U12" i="20"/>
  <c r="T379" i="18"/>
  <c r="S379" i="18" s="1"/>
  <c r="R379" i="18" s="1"/>
  <c r="AB16" i="7"/>
  <c r="AH11" i="7" s="1"/>
  <c r="U11" i="20" s="1"/>
  <c r="U10" i="20" s="1"/>
  <c r="AH379" i="18"/>
  <c r="AG379" i="18" s="1"/>
  <c r="AF379" i="18" s="1"/>
  <c r="AI12" i="20"/>
  <c r="AI381" i="18"/>
  <c r="AI382" i="18"/>
  <c r="AH15" i="18"/>
  <c r="AI383" i="18"/>
  <c r="AG382" i="17"/>
  <c r="AG383" i="17"/>
  <c r="AG381" i="17"/>
  <c r="AF15" i="17"/>
  <c r="I28" i="17"/>
  <c r="I225" i="17"/>
  <c r="J109" i="17"/>
  <c r="J108" i="17"/>
  <c r="I59" i="17"/>
  <c r="I310" i="17"/>
  <c r="J296" i="15"/>
  <c r="J296" i="16" s="1"/>
  <c r="J253" i="17"/>
  <c r="I288" i="17"/>
  <c r="J76" i="15"/>
  <c r="J76" i="16" s="1"/>
  <c r="J343" i="17"/>
  <c r="J321" i="15"/>
  <c r="J321" i="16" s="1"/>
  <c r="I294" i="17"/>
  <c r="I174" i="17"/>
  <c r="I21" i="17"/>
  <c r="I282" i="17"/>
  <c r="J299" i="17"/>
  <c r="I256" i="17"/>
  <c r="I107" i="17"/>
  <c r="J105" i="17"/>
  <c r="AM8" i="1"/>
  <c r="I382" i="1"/>
  <c r="I212" i="17"/>
  <c r="I242" i="15"/>
  <c r="H242" i="16" s="1"/>
  <c r="J242" i="16" s="1"/>
  <c r="J354" i="17"/>
  <c r="I381" i="1"/>
  <c r="I383" i="1"/>
  <c r="I362" i="17"/>
  <c r="I122" i="17"/>
  <c r="AA9" i="1"/>
  <c r="J293" i="17"/>
  <c r="J219" i="17"/>
  <c r="J371" i="17"/>
  <c r="J330" i="17"/>
  <c r="AA383" i="1"/>
  <c r="G382" i="1"/>
  <c r="J267" i="17"/>
  <c r="J361" i="17"/>
  <c r="AL8" i="1"/>
  <c r="AA382" i="1"/>
  <c r="AL10" i="1"/>
  <c r="AA381" i="1"/>
  <c r="J301" i="17"/>
  <c r="J150" i="17"/>
  <c r="J289" i="17"/>
  <c r="J358" i="17"/>
  <c r="J297" i="17"/>
  <c r="I254" i="17"/>
  <c r="J349" i="17"/>
  <c r="J177" i="17"/>
  <c r="J336" i="17"/>
  <c r="J137" i="17"/>
  <c r="J133" i="17"/>
  <c r="J193" i="17"/>
  <c r="J54" i="17"/>
  <c r="J16" i="17"/>
  <c r="J269" i="17"/>
  <c r="J347" i="17"/>
  <c r="J373" i="17"/>
  <c r="J341" i="17"/>
  <c r="J69" i="17"/>
  <c r="J346" i="17"/>
  <c r="J376" i="17"/>
  <c r="J165" i="17"/>
  <c r="J152" i="17"/>
  <c r="J27" i="17"/>
  <c r="G383" i="1"/>
  <c r="G12" i="1" s="1"/>
  <c r="J291" i="17"/>
  <c r="J132" i="17"/>
  <c r="J352" i="17"/>
  <c r="J145" i="17"/>
  <c r="I347" i="17"/>
  <c r="I373" i="17"/>
  <c r="J283" i="17"/>
  <c r="J305" i="17"/>
  <c r="J350" i="17"/>
  <c r="J226" i="17"/>
  <c r="J89" i="17"/>
  <c r="J312" i="17"/>
  <c r="J134" i="17"/>
  <c r="J140" i="17"/>
  <c r="J113" i="17"/>
  <c r="J227" i="17"/>
  <c r="J273" i="17"/>
  <c r="J203" i="17"/>
  <c r="J103" i="17"/>
  <c r="J85" i="17"/>
  <c r="J280" i="17"/>
  <c r="J290" i="17"/>
  <c r="J110" i="17"/>
  <c r="J319" i="17"/>
  <c r="J344" i="17"/>
  <c r="J306" i="17"/>
  <c r="Z9" i="1"/>
  <c r="AL6" i="1"/>
  <c r="Z383" i="1"/>
  <c r="I364" i="15"/>
  <c r="H364" i="16" s="1"/>
  <c r="J364" i="16" s="1"/>
  <c r="AC84" i="24"/>
  <c r="AC81" i="24"/>
  <c r="AC39" i="24"/>
  <c r="AC128" i="24"/>
  <c r="AC72" i="24"/>
  <c r="AC40" i="24"/>
  <c r="AC47" i="24"/>
  <c r="AC96" i="24"/>
  <c r="AC104" i="24"/>
  <c r="AC132" i="24"/>
  <c r="AC64" i="24"/>
  <c r="AC60" i="24"/>
  <c r="AC108" i="24"/>
  <c r="AC23" i="24"/>
  <c r="AC92" i="24"/>
  <c r="AC29" i="24"/>
  <c r="AC95" i="24"/>
  <c r="AC36" i="24"/>
  <c r="AC86" i="24"/>
  <c r="AC27" i="24"/>
  <c r="AC85" i="24"/>
  <c r="AC89" i="24"/>
  <c r="AC133" i="24"/>
  <c r="AC91" i="24"/>
  <c r="AC116" i="24"/>
  <c r="AC45" i="24"/>
  <c r="AC107" i="24"/>
  <c r="AC101" i="24"/>
  <c r="AC50" i="24"/>
  <c r="AC130" i="24"/>
  <c r="AC55" i="24"/>
  <c r="AC106" i="24"/>
  <c r="AC22" i="24"/>
  <c r="AC83" i="24"/>
  <c r="AC28" i="24"/>
  <c r="AC123" i="24"/>
  <c r="AC74" i="24"/>
  <c r="AC54" i="24"/>
  <c r="AC68" i="24"/>
  <c r="AC121" i="24"/>
  <c r="AC33" i="24"/>
  <c r="AC120" i="24"/>
  <c r="AC21" i="24"/>
  <c r="AC34" i="24"/>
  <c r="AC20" i="24"/>
  <c r="AC57" i="24"/>
  <c r="AC75" i="24"/>
  <c r="AC66" i="24"/>
  <c r="AC125" i="24"/>
  <c r="AC62" i="24"/>
  <c r="AC127" i="24"/>
  <c r="AC61" i="24"/>
  <c r="AC98" i="24"/>
  <c r="AC46" i="24"/>
  <c r="AC67" i="24"/>
  <c r="AC19" i="24"/>
  <c r="AC71" i="24"/>
  <c r="AC77" i="24"/>
  <c r="AC53" i="24"/>
  <c r="AC117" i="24"/>
  <c r="AC43" i="24"/>
  <c r="AC26" i="24"/>
  <c r="AC111" i="24"/>
  <c r="AC93" i="24"/>
  <c r="AC30" i="24"/>
  <c r="AC87" i="24"/>
  <c r="AC44" i="24"/>
  <c r="AC90" i="24"/>
  <c r="AC115" i="24"/>
  <c r="AC56" i="24"/>
  <c r="AC124" i="24"/>
  <c r="AC52" i="24"/>
  <c r="AC99" i="24"/>
  <c r="AC65" i="24"/>
  <c r="AC122" i="24"/>
  <c r="AC114" i="24"/>
  <c r="AC70" i="24"/>
  <c r="AC25" i="24"/>
  <c r="AC118" i="24"/>
  <c r="AC109" i="24"/>
  <c r="AC51" i="24"/>
  <c r="AC103" i="24"/>
  <c r="AC48" i="24"/>
  <c r="AC63" i="24"/>
  <c r="AC42" i="24"/>
  <c r="AC113" i="24"/>
  <c r="AC100" i="24"/>
  <c r="AC16" i="24"/>
  <c r="AC73" i="24"/>
  <c r="AC119" i="24"/>
  <c r="AC59" i="24"/>
  <c r="AC79" i="24"/>
  <c r="AC112" i="24"/>
  <c r="AC69" i="24"/>
  <c r="AC18" i="24"/>
  <c r="AC24" i="24"/>
  <c r="AC17" i="24"/>
  <c r="AC35" i="24"/>
  <c r="AC105" i="24"/>
  <c r="AC76" i="24"/>
  <c r="AC15" i="24"/>
  <c r="AC82" i="24"/>
  <c r="AC88" i="24"/>
  <c r="AC97" i="24"/>
  <c r="AC49" i="24"/>
  <c r="AC131" i="24"/>
  <c r="AC129" i="24"/>
  <c r="AC78" i="24"/>
  <c r="AC37" i="24"/>
  <c r="AC41" i="24"/>
  <c r="AC38" i="24"/>
  <c r="AC31" i="24"/>
  <c r="AC102" i="24"/>
  <c r="AC32" i="24"/>
  <c r="AC126" i="24"/>
  <c r="AC58" i="24"/>
  <c r="AC80" i="24"/>
  <c r="AC110" i="24"/>
  <c r="AC94" i="24"/>
  <c r="I257" i="17"/>
  <c r="J60" i="17"/>
  <c r="J135" i="17"/>
  <c r="J359" i="17"/>
  <c r="J232" i="17"/>
  <c r="J265" i="17"/>
  <c r="J120" i="17"/>
  <c r="J375" i="17"/>
  <c r="J249" i="17"/>
  <c r="J220" i="17"/>
  <c r="J156" i="17"/>
  <c r="J164" i="17"/>
  <c r="J87" i="17"/>
  <c r="J55" i="17"/>
  <c r="J117" i="17"/>
  <c r="J95" i="17"/>
  <c r="I369" i="17"/>
  <c r="I265" i="17"/>
  <c r="I135" i="17"/>
  <c r="I120" i="17"/>
  <c r="R382" i="17"/>
  <c r="P15" i="17"/>
  <c r="R381" i="17"/>
  <c r="R383" i="17"/>
  <c r="J338" i="16"/>
  <c r="J338" i="17" s="1"/>
  <c r="F15" i="16"/>
  <c r="V381" i="16"/>
  <c r="B63" i="19"/>
  <c r="N63" i="19" s="1"/>
  <c r="V382" i="16"/>
  <c r="V383" i="16"/>
  <c r="I74" i="16"/>
  <c r="H74" i="17" s="1"/>
  <c r="J74" i="16"/>
  <c r="I322" i="16"/>
  <c r="H322" i="17" s="1"/>
  <c r="J322" i="16"/>
  <c r="I46" i="16"/>
  <c r="H46" i="17" s="1"/>
  <c r="J46" i="16"/>
  <c r="I274" i="16"/>
  <c r="H274" i="17" s="1"/>
  <c r="J274" i="16"/>
  <c r="H39" i="27"/>
  <c r="G38" i="27" s="1"/>
  <c r="P74" i="27"/>
  <c r="AE73" i="27"/>
  <c r="F11" i="1"/>
  <c r="G11" i="19"/>
  <c r="J35" i="19" s="1"/>
  <c r="AB9" i="1"/>
  <c r="AM8" i="15"/>
  <c r="AA382" i="15"/>
  <c r="AA383" i="15"/>
  <c r="Z15" i="15"/>
  <c r="AA9" i="15"/>
  <c r="AA381" i="15"/>
  <c r="AL10" i="15"/>
  <c r="I166" i="16"/>
  <c r="H166" i="17" s="1"/>
  <c r="J166" i="16"/>
  <c r="J143" i="16"/>
  <c r="I143" i="16"/>
  <c r="H143" i="17" s="1"/>
  <c r="Z381" i="1"/>
  <c r="Y15" i="1"/>
  <c r="Y382" i="1" s="1"/>
  <c r="AL7" i="1"/>
  <c r="AL11" i="1" s="1"/>
  <c r="AJ3" i="1" s="1"/>
  <c r="O11" i="19" s="1"/>
  <c r="Z382" i="1"/>
  <c r="J180" i="16"/>
  <c r="I180" i="16"/>
  <c r="H180" i="17" s="1"/>
  <c r="J277" i="16"/>
  <c r="I277" i="16"/>
  <c r="H277" i="17" s="1"/>
  <c r="I88" i="16"/>
  <c r="H88" i="17" s="1"/>
  <c r="J88" i="16"/>
  <c r="J332" i="16"/>
  <c r="I332" i="16"/>
  <c r="H332" i="17" s="1"/>
  <c r="I292" i="16"/>
  <c r="H292" i="17" s="1"/>
  <c r="J292" i="16"/>
  <c r="I379" i="16"/>
  <c r="J379" i="16"/>
  <c r="I331" i="16"/>
  <c r="H331" i="17" s="1"/>
  <c r="J331" i="16"/>
  <c r="I29" i="16"/>
  <c r="H29" i="17" s="1"/>
  <c r="J29" i="16"/>
  <c r="J149" i="16"/>
  <c r="J66" i="16"/>
  <c r="I66" i="16"/>
  <c r="H66" i="17" s="1"/>
  <c r="J365" i="16"/>
  <c r="I365" i="16"/>
  <c r="H365" i="17" s="1"/>
  <c r="G12" i="19"/>
  <c r="AB9" i="15"/>
  <c r="F11" i="15"/>
  <c r="J15" i="15"/>
  <c r="I15" i="15"/>
  <c r="G383" i="15"/>
  <c r="G12" i="15" s="1"/>
  <c r="G381" i="15"/>
  <c r="G382" i="15"/>
  <c r="I333" i="16"/>
  <c r="H333" i="17" s="1"/>
  <c r="J333" i="16"/>
  <c r="I348" i="16"/>
  <c r="H348" i="17" s="1"/>
  <c r="J348" i="16"/>
  <c r="I321" i="16"/>
  <c r="H321" i="17" s="1"/>
  <c r="I76" i="16"/>
  <c r="H76" i="17" s="1"/>
  <c r="J79" i="16"/>
  <c r="J79" i="17" s="1"/>
  <c r="I296" i="16"/>
  <c r="H296" i="17" s="1"/>
  <c r="H309" i="16"/>
  <c r="W267" i="18"/>
  <c r="D267" i="18"/>
  <c r="E267" i="18" s="1"/>
  <c r="D347" i="18"/>
  <c r="E347" i="18" s="1"/>
  <c r="W347" i="18"/>
  <c r="W71" i="18"/>
  <c r="D71" i="18"/>
  <c r="W108" i="18"/>
  <c r="D108" i="18"/>
  <c r="E108" i="18" s="1"/>
  <c r="W157" i="18"/>
  <c r="D157" i="18"/>
  <c r="E157" i="18" s="1"/>
  <c r="D242" i="18"/>
  <c r="E242" i="18" s="1"/>
  <c r="W242" i="18"/>
  <c r="W355" i="18"/>
  <c r="D355" i="18"/>
  <c r="E355" i="18" s="1"/>
  <c r="D95" i="18"/>
  <c r="E95" i="18" s="1"/>
  <c r="W95" i="18"/>
  <c r="D148" i="18"/>
  <c r="E148" i="18" s="1"/>
  <c r="W148" i="18"/>
  <c r="D245" i="18"/>
  <c r="E245" i="18" s="1"/>
  <c r="W245" i="18"/>
  <c r="W144" i="18"/>
  <c r="D144" i="18"/>
  <c r="E144" i="18" s="1"/>
  <c r="W253" i="18"/>
  <c r="D253" i="18"/>
  <c r="E253" i="18" s="1"/>
  <c r="W338" i="18"/>
  <c r="D338" i="18"/>
  <c r="E338" i="18" s="1"/>
  <c r="W30" i="18"/>
  <c r="D30" i="18"/>
  <c r="E30" i="18" s="1"/>
  <c r="W63" i="18"/>
  <c r="D63" i="18"/>
  <c r="E63" i="18" s="1"/>
  <c r="D277" i="18"/>
  <c r="E277" i="18" s="1"/>
  <c r="W277" i="18"/>
  <c r="W54" i="18"/>
  <c r="D54" i="18"/>
  <c r="E54" i="18" s="1"/>
  <c r="D151" i="18"/>
  <c r="E151" i="18" s="1"/>
  <c r="W151" i="18"/>
  <c r="W188" i="18"/>
  <c r="D188" i="18"/>
  <c r="E188" i="18" s="1"/>
  <c r="D301" i="18"/>
  <c r="E301" i="18" s="1"/>
  <c r="W301" i="18"/>
  <c r="W37" i="18"/>
  <c r="D37" i="18"/>
  <c r="E37" i="18" s="1"/>
  <c r="D123" i="18"/>
  <c r="E123" i="18" s="1"/>
  <c r="W123" i="18"/>
  <c r="D208" i="18"/>
  <c r="E208" i="18" s="1"/>
  <c r="W208" i="18"/>
  <c r="D305" i="18"/>
  <c r="E305" i="18" s="1"/>
  <c r="W305" i="18"/>
  <c r="D61" i="18"/>
  <c r="E61" i="18" s="1"/>
  <c r="W61" i="18"/>
  <c r="D146" i="18"/>
  <c r="E146" i="18" s="1"/>
  <c r="W146" i="18"/>
  <c r="D195" i="18"/>
  <c r="E195" i="18" s="1"/>
  <c r="W195" i="18"/>
  <c r="D248" i="18"/>
  <c r="E248" i="18" s="1"/>
  <c r="W248" i="18"/>
  <c r="D329" i="18"/>
  <c r="E329" i="18" s="1"/>
  <c r="W329" i="18"/>
  <c r="D68" i="18"/>
  <c r="E68" i="18" s="1"/>
  <c r="W68" i="18"/>
  <c r="W165" i="18"/>
  <c r="D165" i="18"/>
  <c r="E165" i="18" s="1"/>
  <c r="D202" i="18"/>
  <c r="E202" i="18" s="1"/>
  <c r="W202" i="18"/>
  <c r="D97" i="18"/>
  <c r="E97" i="18" s="1"/>
  <c r="W97" i="18"/>
  <c r="W76" i="18"/>
  <c r="D76" i="18"/>
  <c r="E76" i="18" s="1"/>
  <c r="D274" i="18"/>
  <c r="E274" i="18" s="1"/>
  <c r="W274" i="18"/>
  <c r="D323" i="18"/>
  <c r="E323" i="18" s="1"/>
  <c r="W323" i="18"/>
  <c r="D335" i="18"/>
  <c r="E335" i="18" s="1"/>
  <c r="W335" i="18"/>
  <c r="W101" i="18"/>
  <c r="D101" i="18"/>
  <c r="E101" i="18" s="1"/>
  <c r="W93" i="18"/>
  <c r="D93" i="18"/>
  <c r="E93" i="18" s="1"/>
  <c r="W62" i="18"/>
  <c r="D62" i="18"/>
  <c r="E62" i="18" s="1"/>
  <c r="W21" i="18"/>
  <c r="D21" i="18"/>
  <c r="E21" i="18" s="1"/>
  <c r="D306" i="18"/>
  <c r="E306" i="18" s="1"/>
  <c r="W306" i="18"/>
  <c r="W361" i="18"/>
  <c r="D361" i="18"/>
  <c r="E361" i="18" s="1"/>
  <c r="W90" i="18"/>
  <c r="D90" i="18"/>
  <c r="E90" i="18" s="1"/>
  <c r="W77" i="18"/>
  <c r="D77" i="18"/>
  <c r="E77" i="18" s="1"/>
  <c r="D211" i="18"/>
  <c r="E211" i="18" s="1"/>
  <c r="W211" i="18"/>
  <c r="W324" i="18"/>
  <c r="D324" i="18"/>
  <c r="E324" i="18" s="1"/>
  <c r="D81" i="18"/>
  <c r="E81" i="18" s="1"/>
  <c r="W81" i="18"/>
  <c r="W231" i="18"/>
  <c r="D231" i="18"/>
  <c r="E231" i="18" s="1"/>
  <c r="W194" i="18"/>
  <c r="D194" i="18"/>
  <c r="E194" i="18" s="1"/>
  <c r="W360" i="18"/>
  <c r="D360" i="18"/>
  <c r="E360" i="18" s="1"/>
  <c r="D133" i="18"/>
  <c r="E133" i="18" s="1"/>
  <c r="W133" i="18"/>
  <c r="W327" i="18"/>
  <c r="D327" i="18"/>
  <c r="E327" i="18" s="1"/>
  <c r="W56" i="18"/>
  <c r="D56" i="18"/>
  <c r="E56" i="18" s="1"/>
  <c r="W254" i="18"/>
  <c r="D254" i="18"/>
  <c r="E254" i="18" s="1"/>
  <c r="D43" i="18"/>
  <c r="E43" i="18" s="1"/>
  <c r="W43" i="18"/>
  <c r="W161" i="18"/>
  <c r="D161" i="18"/>
  <c r="E161" i="18" s="1"/>
  <c r="W375" i="18"/>
  <c r="D375" i="18"/>
  <c r="E375" i="18" s="1"/>
  <c r="W269" i="18"/>
  <c r="D269" i="18"/>
  <c r="E269" i="18" s="1"/>
  <c r="D122" i="18"/>
  <c r="E122" i="18" s="1"/>
  <c r="W122" i="18"/>
  <c r="W70" i="18"/>
  <c r="D70" i="18"/>
  <c r="E70" i="18" s="1"/>
  <c r="D167" i="18"/>
  <c r="E167" i="18" s="1"/>
  <c r="W167" i="18"/>
  <c r="D130" i="18"/>
  <c r="E130" i="18" s="1"/>
  <c r="W130" i="18"/>
  <c r="D348" i="18"/>
  <c r="E348" i="18" s="1"/>
  <c r="W348" i="18"/>
  <c r="W40" i="18"/>
  <c r="D40" i="18"/>
  <c r="E40" i="18" s="1"/>
  <c r="D121" i="18"/>
  <c r="E121" i="18" s="1"/>
  <c r="W121" i="18"/>
  <c r="W174" i="18"/>
  <c r="D174" i="18"/>
  <c r="E174" i="18" s="1"/>
  <c r="W271" i="18"/>
  <c r="D271" i="18"/>
  <c r="E271" i="18" s="1"/>
  <c r="W27" i="18"/>
  <c r="D27" i="18"/>
  <c r="E27" i="18" s="1"/>
  <c r="D112" i="18"/>
  <c r="E112" i="18" s="1"/>
  <c r="W112" i="18"/>
  <c r="W145" i="18"/>
  <c r="D145" i="18"/>
  <c r="E145" i="18" s="1"/>
  <c r="D173" i="18"/>
  <c r="E173" i="18" s="1"/>
  <c r="W173" i="18"/>
  <c r="D270" i="18"/>
  <c r="E270" i="18" s="1"/>
  <c r="W270" i="18"/>
  <c r="D303" i="18"/>
  <c r="E303" i="18" s="1"/>
  <c r="W303" i="18"/>
  <c r="D356" i="18"/>
  <c r="E356" i="18" s="1"/>
  <c r="W356" i="18"/>
  <c r="W80" i="18"/>
  <c r="D80" i="18"/>
  <c r="E80" i="18" s="1"/>
  <c r="D177" i="18"/>
  <c r="E177" i="18" s="1"/>
  <c r="W177" i="18"/>
  <c r="D19" i="18"/>
  <c r="E19" i="18" s="1"/>
  <c r="W19" i="18"/>
  <c r="W67" i="18"/>
  <c r="D67" i="18"/>
  <c r="E67" i="18" s="1"/>
  <c r="W120" i="18"/>
  <c r="D120" i="18"/>
  <c r="E120" i="18" s="1"/>
  <c r="D201" i="18"/>
  <c r="E201" i="18" s="1"/>
  <c r="W201" i="18"/>
  <c r="W314" i="18"/>
  <c r="D314" i="18"/>
  <c r="E314" i="18" s="1"/>
  <c r="D87" i="18"/>
  <c r="E87" i="18" s="1"/>
  <c r="W87" i="18"/>
  <c r="D124" i="18"/>
  <c r="E124" i="18" s="1"/>
  <c r="W124" i="18"/>
  <c r="W237" i="18"/>
  <c r="D237" i="18"/>
  <c r="E237" i="18" s="1"/>
  <c r="D322" i="18"/>
  <c r="E322" i="18" s="1"/>
  <c r="W322" i="18"/>
  <c r="W78" i="18"/>
  <c r="D78" i="18"/>
  <c r="E78" i="18" s="1"/>
  <c r="W111" i="18"/>
  <c r="D111" i="18"/>
  <c r="E111" i="18" s="1"/>
  <c r="D26" i="18"/>
  <c r="E26" i="18" s="1"/>
  <c r="W26" i="18"/>
  <c r="W139" i="18"/>
  <c r="D139" i="18"/>
  <c r="E139" i="18" s="1"/>
  <c r="D224" i="18"/>
  <c r="E224" i="18" s="1"/>
  <c r="W224" i="18"/>
  <c r="D65" i="18"/>
  <c r="E65" i="18" s="1"/>
  <c r="W65" i="18"/>
  <c r="W118" i="18"/>
  <c r="D118" i="18"/>
  <c r="E118" i="18" s="1"/>
  <c r="W215" i="18"/>
  <c r="D215" i="18"/>
  <c r="E215" i="18" s="1"/>
  <c r="W114" i="18"/>
  <c r="D114" i="18"/>
  <c r="E114" i="18" s="1"/>
  <c r="D352" i="18"/>
  <c r="E352" i="18" s="1"/>
  <c r="W352" i="18"/>
  <c r="W193" i="18"/>
  <c r="D193" i="18"/>
  <c r="E193" i="18" s="1"/>
  <c r="W246" i="18"/>
  <c r="D246" i="18"/>
  <c r="E246" i="18" s="1"/>
  <c r="W343" i="18"/>
  <c r="D343" i="18"/>
  <c r="E343" i="18" s="1"/>
  <c r="D16" i="18"/>
  <c r="E16" i="18" s="1"/>
  <c r="W16" i="18"/>
  <c r="D136" i="18"/>
  <c r="E136" i="18" s="1"/>
  <c r="W136" i="18"/>
  <c r="W217" i="18"/>
  <c r="D217" i="18"/>
  <c r="E217" i="18" s="1"/>
  <c r="W334" i="18"/>
  <c r="D334" i="18"/>
  <c r="E334" i="18" s="1"/>
  <c r="W367" i="18"/>
  <c r="D367" i="18"/>
  <c r="E367" i="18" s="1"/>
  <c r="W282" i="18"/>
  <c r="D282" i="18"/>
  <c r="E282" i="18" s="1"/>
  <c r="W22" i="18"/>
  <c r="D22" i="18"/>
  <c r="E22" i="18" s="1"/>
  <c r="D115" i="18"/>
  <c r="E115" i="18" s="1"/>
  <c r="W115" i="18"/>
  <c r="W168" i="18"/>
  <c r="D168" i="18"/>
  <c r="E168" i="18" s="1"/>
  <c r="D249" i="18"/>
  <c r="E249" i="18" s="1"/>
  <c r="W249" i="18"/>
  <c r="D42" i="18"/>
  <c r="E42" i="18" s="1"/>
  <c r="W42" i="18"/>
  <c r="D378" i="18"/>
  <c r="E378" i="18" s="1"/>
  <c r="W378" i="18"/>
  <c r="W273" i="18"/>
  <c r="D273" i="18"/>
  <c r="E273" i="18" s="1"/>
  <c r="D326" i="18"/>
  <c r="E326" i="18" s="1"/>
  <c r="W326" i="18"/>
  <c r="W50" i="18"/>
  <c r="D50" i="18"/>
  <c r="E50" i="18" s="1"/>
  <c r="W159" i="18"/>
  <c r="D159" i="18"/>
  <c r="E159" i="18" s="1"/>
  <c r="D212" i="18"/>
  <c r="E212" i="18" s="1"/>
  <c r="W212" i="18"/>
  <c r="W309" i="18"/>
  <c r="D309" i="18"/>
  <c r="E309" i="18" s="1"/>
  <c r="W346" i="18"/>
  <c r="D346" i="18"/>
  <c r="E346" i="18" s="1"/>
  <c r="W86" i="18"/>
  <c r="D86" i="18"/>
  <c r="E86" i="18" s="1"/>
  <c r="D183" i="18"/>
  <c r="E183" i="18" s="1"/>
  <c r="W183" i="18"/>
  <c r="W284" i="18"/>
  <c r="D284" i="18"/>
  <c r="E284" i="18" s="1"/>
  <c r="W57" i="18"/>
  <c r="D57" i="18"/>
  <c r="E57" i="18" s="1"/>
  <c r="D110" i="18"/>
  <c r="E110" i="18" s="1"/>
  <c r="W110" i="18"/>
  <c r="D207" i="18"/>
  <c r="E207" i="18" s="1"/>
  <c r="W207" i="18"/>
  <c r="D287" i="18"/>
  <c r="E287" i="18" s="1"/>
  <c r="W287" i="18"/>
  <c r="D340" i="18"/>
  <c r="E340" i="18" s="1"/>
  <c r="W340" i="18"/>
  <c r="D64" i="18"/>
  <c r="E64" i="18" s="1"/>
  <c r="W64" i="18"/>
  <c r="D214" i="18"/>
  <c r="E214" i="18" s="1"/>
  <c r="W214" i="18"/>
  <c r="W311" i="18"/>
  <c r="D311" i="18"/>
  <c r="E311" i="18" s="1"/>
  <c r="W189" i="18"/>
  <c r="D189" i="18"/>
  <c r="E189" i="18" s="1"/>
  <c r="D104" i="18"/>
  <c r="E104" i="18" s="1"/>
  <c r="W104" i="18"/>
  <c r="W185" i="18"/>
  <c r="D185" i="18"/>
  <c r="E185" i="18" s="1"/>
  <c r="W223" i="18"/>
  <c r="D223" i="18"/>
  <c r="E223" i="18" s="1"/>
  <c r="D369" i="18"/>
  <c r="E369" i="18" s="1"/>
  <c r="W369" i="18"/>
  <c r="D100" i="18"/>
  <c r="E100" i="18" s="1"/>
  <c r="W100" i="18"/>
  <c r="D197" i="18"/>
  <c r="E197" i="18" s="1"/>
  <c r="W197" i="18"/>
  <c r="D172" i="18"/>
  <c r="E172" i="18" s="1"/>
  <c r="W172" i="18"/>
  <c r="D234" i="18"/>
  <c r="E234" i="18" s="1"/>
  <c r="W234" i="18"/>
  <c r="D232" i="18"/>
  <c r="E232" i="18" s="1"/>
  <c r="W232" i="18"/>
  <c r="W38" i="18"/>
  <c r="D38" i="18"/>
  <c r="E38" i="18" s="1"/>
  <c r="W221" i="18"/>
  <c r="D221" i="18"/>
  <c r="E221" i="18" s="1"/>
  <c r="W280" i="18"/>
  <c r="D280" i="18"/>
  <c r="E280" i="18" s="1"/>
  <c r="D53" i="18"/>
  <c r="E53" i="18" s="1"/>
  <c r="W53" i="18"/>
  <c r="W203" i="18"/>
  <c r="D203" i="18"/>
  <c r="E203" i="18" s="1"/>
  <c r="W28" i="18"/>
  <c r="D28" i="18"/>
  <c r="E28" i="18" s="1"/>
  <c r="D162" i="18"/>
  <c r="E162" i="18" s="1"/>
  <c r="W162" i="18"/>
  <c r="W328" i="18"/>
  <c r="D328" i="18"/>
  <c r="E328" i="18" s="1"/>
  <c r="D48" i="18"/>
  <c r="E48" i="18" s="1"/>
  <c r="W48" i="18"/>
  <c r="D134" i="18"/>
  <c r="E134" i="18" s="1"/>
  <c r="W134" i="18"/>
  <c r="D109" i="18"/>
  <c r="E109" i="18" s="1"/>
  <c r="W109" i="18"/>
  <c r="D307" i="18"/>
  <c r="E307" i="18" s="1"/>
  <c r="W307" i="18"/>
  <c r="D36" i="18"/>
  <c r="E36" i="18" s="1"/>
  <c r="W36" i="18"/>
  <c r="W230" i="18"/>
  <c r="D230" i="18"/>
  <c r="E230" i="18" s="1"/>
  <c r="D364" i="18"/>
  <c r="E364" i="18" s="1"/>
  <c r="W364" i="18"/>
  <c r="W137" i="18"/>
  <c r="D137" i="18"/>
  <c r="E137" i="18" s="1"/>
  <c r="W351" i="18"/>
  <c r="D351" i="18"/>
  <c r="E351" i="18" s="1"/>
  <c r="W128" i="18"/>
  <c r="D128" i="18"/>
  <c r="E128" i="18" s="1"/>
  <c r="D278" i="18"/>
  <c r="E278" i="18" s="1"/>
  <c r="W278" i="18"/>
  <c r="D220" i="18"/>
  <c r="E220" i="18" s="1"/>
  <c r="W220" i="18"/>
  <c r="W354" i="18"/>
  <c r="D354" i="18"/>
  <c r="E354" i="18" s="1"/>
  <c r="D265" i="18"/>
  <c r="E265" i="18" s="1"/>
  <c r="W265" i="18"/>
  <c r="D357" i="18"/>
  <c r="E357" i="18" s="1"/>
  <c r="W357" i="18"/>
  <c r="D289" i="18"/>
  <c r="E289" i="18" s="1"/>
  <c r="W289" i="18"/>
  <c r="D45" i="18"/>
  <c r="E45" i="18" s="1"/>
  <c r="W45" i="18"/>
  <c r="W125" i="18"/>
  <c r="D125" i="18"/>
  <c r="E125" i="18" s="1"/>
  <c r="D259" i="18"/>
  <c r="E259" i="18" s="1"/>
  <c r="W259" i="18"/>
  <c r="D312" i="18"/>
  <c r="E312" i="18" s="1"/>
  <c r="W312" i="18"/>
  <c r="W52" i="18"/>
  <c r="D52" i="18"/>
  <c r="E52" i="18" s="1"/>
  <c r="D250" i="18"/>
  <c r="E250" i="18" s="1"/>
  <c r="W250" i="18"/>
  <c r="D299" i="18"/>
  <c r="E299" i="18" s="1"/>
  <c r="W299" i="18"/>
  <c r="W23" i="18"/>
  <c r="D23" i="18"/>
  <c r="E23" i="18" s="1"/>
  <c r="W295" i="18"/>
  <c r="D295" i="18"/>
  <c r="E295" i="18" s="1"/>
  <c r="W35" i="18"/>
  <c r="D35" i="18"/>
  <c r="E35" i="18" s="1"/>
  <c r="W31" i="18"/>
  <c r="D31" i="18"/>
  <c r="E31" i="18" s="1"/>
  <c r="D84" i="18"/>
  <c r="E84" i="18" s="1"/>
  <c r="W84" i="18"/>
  <c r="D181" i="18"/>
  <c r="E181" i="18" s="1"/>
  <c r="W181" i="18"/>
  <c r="W218" i="18"/>
  <c r="D218" i="18"/>
  <c r="E218" i="18" s="1"/>
  <c r="D331" i="18"/>
  <c r="E331" i="18" s="1"/>
  <c r="W331" i="18"/>
  <c r="W55" i="18"/>
  <c r="D55" i="18"/>
  <c r="E55" i="18" s="1"/>
  <c r="W205" i="18"/>
  <c r="D205" i="18"/>
  <c r="E205" i="18" s="1"/>
  <c r="W290" i="18"/>
  <c r="D290" i="18"/>
  <c r="E290" i="18" s="1"/>
  <c r="D339" i="18"/>
  <c r="E339" i="18" s="1"/>
  <c r="W339" i="18"/>
  <c r="D91" i="18"/>
  <c r="E91" i="18" s="1"/>
  <c r="W91" i="18"/>
  <c r="W176" i="18"/>
  <c r="D176" i="18"/>
  <c r="E176" i="18" s="1"/>
  <c r="D209" i="18"/>
  <c r="E209" i="18" s="1"/>
  <c r="W209" i="18"/>
  <c r="W262" i="18"/>
  <c r="D262" i="18"/>
  <c r="E262" i="18" s="1"/>
  <c r="W359" i="18"/>
  <c r="D359" i="18"/>
  <c r="E359" i="18" s="1"/>
  <c r="W99" i="18"/>
  <c r="D99" i="18"/>
  <c r="E99" i="18" s="1"/>
  <c r="D216" i="18"/>
  <c r="E216" i="18" s="1"/>
  <c r="W216" i="18"/>
  <c r="W297" i="18"/>
  <c r="D297" i="18"/>
  <c r="E297" i="18" s="1"/>
  <c r="D350" i="18"/>
  <c r="E350" i="18" s="1"/>
  <c r="W350" i="18"/>
  <c r="W261" i="18"/>
  <c r="D261" i="18"/>
  <c r="E261" i="18" s="1"/>
  <c r="D362" i="18"/>
  <c r="E362" i="18" s="1"/>
  <c r="W362" i="18"/>
  <c r="D219" i="18"/>
  <c r="E219" i="18" s="1"/>
  <c r="W219" i="18"/>
  <c r="D304" i="18"/>
  <c r="E304" i="18" s="1"/>
  <c r="W304" i="18"/>
  <c r="D337" i="18"/>
  <c r="E337" i="18" s="1"/>
  <c r="W337" i="18"/>
  <c r="D252" i="18"/>
  <c r="E252" i="18" s="1"/>
  <c r="W252" i="18"/>
  <c r="W365" i="18"/>
  <c r="D365" i="18"/>
  <c r="E365" i="18" s="1"/>
  <c r="W89" i="18"/>
  <c r="D89" i="18"/>
  <c r="E89" i="18" s="1"/>
  <c r="W83" i="18"/>
  <c r="D83" i="18"/>
  <c r="E83" i="18" s="1"/>
  <c r="W142" i="18"/>
  <c r="D142" i="18"/>
  <c r="E142" i="18" s="1"/>
  <c r="D228" i="18"/>
  <c r="E228" i="18" s="1"/>
  <c r="W228" i="18"/>
  <c r="W49" i="18"/>
  <c r="D49" i="18"/>
  <c r="E49" i="18" s="1"/>
  <c r="W300" i="18"/>
  <c r="D300" i="18"/>
  <c r="E300" i="18" s="1"/>
  <c r="W190" i="18"/>
  <c r="D190" i="18"/>
  <c r="E190" i="18" s="1"/>
  <c r="D235" i="18"/>
  <c r="E235" i="18" s="1"/>
  <c r="W235" i="18"/>
  <c r="D353" i="18"/>
  <c r="E353" i="18" s="1"/>
  <c r="W353" i="18"/>
  <c r="W169" i="18"/>
  <c r="D169" i="18"/>
  <c r="E169" i="18" s="1"/>
  <c r="W255" i="18"/>
  <c r="D255" i="18"/>
  <c r="E255" i="18" s="1"/>
  <c r="W92" i="18"/>
  <c r="D92" i="18"/>
  <c r="E92" i="18" s="1"/>
  <c r="W226" i="18"/>
  <c r="D226" i="18"/>
  <c r="E226" i="18" s="1"/>
  <c r="W17" i="18"/>
  <c r="D17" i="18"/>
  <c r="E17" i="18" s="1"/>
  <c r="D229" i="18"/>
  <c r="E229" i="18" s="1"/>
  <c r="W229" i="18"/>
  <c r="W39" i="18"/>
  <c r="D39" i="18"/>
  <c r="E39" i="18" s="1"/>
  <c r="W358" i="18"/>
  <c r="D358" i="18"/>
  <c r="E358" i="18" s="1"/>
  <c r="D131" i="18"/>
  <c r="E131" i="18" s="1"/>
  <c r="W131" i="18"/>
  <c r="D20" i="18"/>
  <c r="E20" i="18" s="1"/>
  <c r="W20" i="18"/>
  <c r="D85" i="18"/>
  <c r="E85" i="18" s="1"/>
  <c r="W85" i="18"/>
  <c r="D260" i="18"/>
  <c r="E260" i="18" s="1"/>
  <c r="W260" i="18"/>
  <c r="D18" i="18"/>
  <c r="E18" i="18" s="1"/>
  <c r="W18" i="18"/>
  <c r="W268" i="18"/>
  <c r="D268" i="18"/>
  <c r="E268" i="18" s="1"/>
  <c r="D294" i="18"/>
  <c r="E294" i="18" s="1"/>
  <c r="W294" i="18"/>
  <c r="D79" i="18"/>
  <c r="E79" i="18" s="1"/>
  <c r="W79" i="18"/>
  <c r="D164" i="18"/>
  <c r="E164" i="18" s="1"/>
  <c r="W164" i="18"/>
  <c r="J380" i="20"/>
  <c r="I380" i="20"/>
  <c r="W34" i="18"/>
  <c r="D34" i="18"/>
  <c r="E34" i="18" s="1"/>
  <c r="W315" i="18"/>
  <c r="D315" i="18"/>
  <c r="E315" i="18" s="1"/>
  <c r="W184" i="18"/>
  <c r="D184" i="18"/>
  <c r="E184" i="18" s="1"/>
  <c r="W344" i="18"/>
  <c r="D344" i="18"/>
  <c r="E344" i="18" s="1"/>
  <c r="W206" i="18"/>
  <c r="D206" i="18"/>
  <c r="E206" i="18" s="1"/>
  <c r="W154" i="18"/>
  <c r="D154" i="18"/>
  <c r="E154" i="18" s="1"/>
  <c r="W113" i="18"/>
  <c r="D113" i="18"/>
  <c r="E113" i="18" s="1"/>
  <c r="D59" i="18"/>
  <c r="E59" i="18" s="1"/>
  <c r="W59" i="18"/>
  <c r="D155" i="18"/>
  <c r="E155" i="18" s="1"/>
  <c r="W155" i="18"/>
  <c r="D240" i="18"/>
  <c r="E240" i="18" s="1"/>
  <c r="W240" i="18"/>
  <c r="W163" i="18"/>
  <c r="D163" i="18"/>
  <c r="E163" i="18" s="1"/>
  <c r="D25" i="18"/>
  <c r="E25" i="18" s="1"/>
  <c r="W25" i="18"/>
  <c r="W251" i="18"/>
  <c r="D251" i="18"/>
  <c r="E251" i="18" s="1"/>
  <c r="W336" i="18"/>
  <c r="D336" i="18"/>
  <c r="E336" i="18" s="1"/>
  <c r="D51" i="18"/>
  <c r="E51" i="18" s="1"/>
  <c r="W51" i="18"/>
  <c r="D376" i="18"/>
  <c r="E376" i="18" s="1"/>
  <c r="W376" i="18"/>
  <c r="D238" i="18"/>
  <c r="E238" i="18" s="1"/>
  <c r="W238" i="18"/>
  <c r="D116" i="18"/>
  <c r="E116" i="18" s="1"/>
  <c r="W116" i="18"/>
  <c r="W213" i="18"/>
  <c r="D213" i="18"/>
  <c r="E213" i="18" s="1"/>
  <c r="D58" i="18"/>
  <c r="E58" i="18" s="1"/>
  <c r="W58" i="18"/>
  <c r="D293" i="18"/>
  <c r="E293" i="18" s="1"/>
  <c r="W293" i="18"/>
  <c r="W107" i="18"/>
  <c r="D107" i="18"/>
  <c r="E107" i="18" s="1"/>
  <c r="D330" i="18"/>
  <c r="E330" i="18" s="1"/>
  <c r="W330" i="18"/>
  <c r="W192" i="18"/>
  <c r="D192" i="18"/>
  <c r="E192" i="18" s="1"/>
  <c r="W225" i="18"/>
  <c r="D225" i="18"/>
  <c r="E225" i="18" s="1"/>
  <c r="D103" i="18"/>
  <c r="E103" i="18" s="1"/>
  <c r="W103" i="18"/>
  <c r="D342" i="18"/>
  <c r="E342" i="18" s="1"/>
  <c r="W342" i="18"/>
  <c r="D204" i="18"/>
  <c r="E204" i="18" s="1"/>
  <c r="W204" i="18"/>
  <c r="W66" i="18"/>
  <c r="D66" i="18"/>
  <c r="E66" i="18" s="1"/>
  <c r="W317" i="18"/>
  <c r="D317" i="18"/>
  <c r="E317" i="18" s="1"/>
  <c r="D179" i="18"/>
  <c r="E179" i="18" s="1"/>
  <c r="W179" i="18"/>
  <c r="W41" i="18"/>
  <c r="D41" i="18"/>
  <c r="E41" i="18" s="1"/>
  <c r="W94" i="18"/>
  <c r="D94" i="18"/>
  <c r="E94" i="18" s="1"/>
  <c r="D313" i="18"/>
  <c r="E313" i="18" s="1"/>
  <c r="W313" i="18"/>
  <c r="W127" i="18"/>
  <c r="D127" i="18"/>
  <c r="E127" i="18" s="1"/>
  <c r="D366" i="18"/>
  <c r="E366" i="18" s="1"/>
  <c r="W366" i="18"/>
  <c r="W244" i="18"/>
  <c r="D244" i="18"/>
  <c r="E244" i="18" s="1"/>
  <c r="D106" i="18"/>
  <c r="E106" i="18" s="1"/>
  <c r="W106" i="18"/>
  <c r="D341" i="18"/>
  <c r="E341" i="18" s="1"/>
  <c r="W341" i="18"/>
  <c r="D102" i="18"/>
  <c r="E102" i="18" s="1"/>
  <c r="W102" i="18"/>
  <c r="D321" i="18"/>
  <c r="E321" i="18" s="1"/>
  <c r="W321" i="18"/>
  <c r="D199" i="18"/>
  <c r="E199" i="18" s="1"/>
  <c r="W199" i="18"/>
  <c r="W374" i="18"/>
  <c r="D374" i="18"/>
  <c r="E374" i="18" s="1"/>
  <c r="D236" i="18"/>
  <c r="E236" i="18" s="1"/>
  <c r="W236" i="18"/>
  <c r="W98" i="18"/>
  <c r="D98" i="18"/>
  <c r="E98" i="18" s="1"/>
  <c r="D285" i="18"/>
  <c r="E285" i="18" s="1"/>
  <c r="W285" i="18"/>
  <c r="W147" i="18"/>
  <c r="D147" i="18"/>
  <c r="E147" i="18" s="1"/>
  <c r="D370" i="18"/>
  <c r="E370" i="18" s="1"/>
  <c r="W370" i="18"/>
  <c r="W264" i="18"/>
  <c r="D264" i="18"/>
  <c r="E264" i="18" s="1"/>
  <c r="W126" i="18"/>
  <c r="D126" i="18"/>
  <c r="E126" i="18" s="1"/>
  <c r="W345" i="18"/>
  <c r="D345" i="18"/>
  <c r="E345" i="18" s="1"/>
  <c r="D276" i="18"/>
  <c r="E276" i="18" s="1"/>
  <c r="W276" i="18"/>
  <c r="D138" i="18"/>
  <c r="E138" i="18" s="1"/>
  <c r="W138" i="18"/>
  <c r="D373" i="18"/>
  <c r="E373" i="18" s="1"/>
  <c r="W373" i="18"/>
  <c r="D187" i="18"/>
  <c r="E187" i="18" s="1"/>
  <c r="W187" i="18"/>
  <c r="W33" i="18"/>
  <c r="D33" i="18"/>
  <c r="E33" i="18" s="1"/>
  <c r="D150" i="18"/>
  <c r="E150" i="18" s="1"/>
  <c r="W150" i="18"/>
  <c r="W247" i="18"/>
  <c r="D247" i="18"/>
  <c r="E247" i="18" s="1"/>
  <c r="D24" i="18"/>
  <c r="E24" i="18" s="1"/>
  <c r="W24" i="18"/>
  <c r="W243" i="18"/>
  <c r="D243" i="18"/>
  <c r="E243" i="18" s="1"/>
  <c r="D296" i="18"/>
  <c r="E296" i="18" s="1"/>
  <c r="W296" i="18"/>
  <c r="D158" i="18"/>
  <c r="E158" i="18" s="1"/>
  <c r="W158" i="18"/>
  <c r="D377" i="18"/>
  <c r="E377" i="18" s="1"/>
  <c r="W377" i="18"/>
  <c r="D191" i="18"/>
  <c r="E191" i="18" s="1"/>
  <c r="W191" i="18"/>
  <c r="W69" i="18"/>
  <c r="D69" i="18"/>
  <c r="E69" i="18" s="1"/>
  <c r="D308" i="18"/>
  <c r="E308" i="18" s="1"/>
  <c r="W308" i="18"/>
  <c r="W170" i="18"/>
  <c r="D170" i="18"/>
  <c r="E170" i="18" s="1"/>
  <c r="D32" i="18"/>
  <c r="E32" i="18" s="1"/>
  <c r="W32" i="18"/>
  <c r="W283" i="18"/>
  <c r="D283" i="18"/>
  <c r="E283" i="18" s="1"/>
  <c r="D129" i="18"/>
  <c r="E129" i="18" s="1"/>
  <c r="W129" i="18"/>
  <c r="D368" i="18"/>
  <c r="E368" i="18" s="1"/>
  <c r="W368" i="18"/>
  <c r="W182" i="18"/>
  <c r="D182" i="18"/>
  <c r="E182" i="18" s="1"/>
  <c r="W44" i="18"/>
  <c r="D44" i="18"/>
  <c r="E44" i="18" s="1"/>
  <c r="W279" i="18"/>
  <c r="D279" i="18"/>
  <c r="E279" i="18" s="1"/>
  <c r="W316" i="18"/>
  <c r="D316" i="18"/>
  <c r="E316" i="18" s="1"/>
  <c r="W178" i="18"/>
  <c r="D178" i="18"/>
  <c r="E178" i="18" s="1"/>
  <c r="W72" i="18"/>
  <c r="D72" i="18"/>
  <c r="E72" i="18" s="1"/>
  <c r="D291" i="18"/>
  <c r="E291" i="18" s="1"/>
  <c r="W291" i="18"/>
  <c r="D153" i="18"/>
  <c r="E153" i="18" s="1"/>
  <c r="W153" i="18"/>
  <c r="D152" i="18"/>
  <c r="E152" i="18" s="1"/>
  <c r="W152" i="18"/>
  <c r="D371" i="18"/>
  <c r="E371" i="18" s="1"/>
  <c r="W371" i="18"/>
  <c r="W233" i="18"/>
  <c r="D233" i="18"/>
  <c r="E233" i="18" s="1"/>
  <c r="D47" i="18"/>
  <c r="E47" i="18" s="1"/>
  <c r="W47" i="18"/>
  <c r="D286" i="18"/>
  <c r="E286" i="18" s="1"/>
  <c r="W286" i="18"/>
  <c r="D75" i="18"/>
  <c r="E75" i="18" s="1"/>
  <c r="W75" i="18"/>
  <c r="W298" i="18"/>
  <c r="D298" i="18"/>
  <c r="E298" i="18" s="1"/>
  <c r="W160" i="18"/>
  <c r="D160" i="18"/>
  <c r="E160" i="18" s="1"/>
  <c r="Y124" i="17"/>
  <c r="W257" i="18"/>
  <c r="D257" i="18"/>
  <c r="E257" i="18" s="1"/>
  <c r="W200" i="18"/>
  <c r="D200" i="18"/>
  <c r="E200" i="18" s="1"/>
  <c r="D175" i="18"/>
  <c r="E175" i="18" s="1"/>
  <c r="W175" i="18"/>
  <c r="W325" i="18"/>
  <c r="D325" i="18"/>
  <c r="E325" i="18" s="1"/>
  <c r="W263" i="18"/>
  <c r="D263" i="18"/>
  <c r="E263" i="18" s="1"/>
  <c r="D73" i="18"/>
  <c r="E73" i="18" s="1"/>
  <c r="W73" i="18"/>
  <c r="W186" i="18"/>
  <c r="D186" i="18"/>
  <c r="E186" i="18" s="1"/>
  <c r="W320" i="18"/>
  <c r="D320" i="18"/>
  <c r="E320" i="18" s="1"/>
  <c r="W332" i="18"/>
  <c r="D332" i="18"/>
  <c r="E332" i="18" s="1"/>
  <c r="D222" i="18"/>
  <c r="E222" i="18" s="1"/>
  <c r="W222" i="18"/>
  <c r="D372" i="18"/>
  <c r="E372" i="18" s="1"/>
  <c r="W372" i="18"/>
  <c r="D141" i="18"/>
  <c r="E141" i="18" s="1"/>
  <c r="W141" i="18"/>
  <c r="W275" i="18"/>
  <c r="D275" i="18"/>
  <c r="E275" i="18" s="1"/>
  <c r="W132" i="18"/>
  <c r="D132" i="18"/>
  <c r="E132" i="18" s="1"/>
  <c r="W266" i="18"/>
  <c r="D266" i="18"/>
  <c r="E266" i="18" s="1"/>
  <c r="W140" i="18"/>
  <c r="D140" i="18"/>
  <c r="E140" i="18" s="1"/>
  <c r="D82" i="18"/>
  <c r="E82" i="18" s="1"/>
  <c r="W82" i="18"/>
  <c r="D143" i="18"/>
  <c r="E143" i="18" s="1"/>
  <c r="W143" i="18"/>
  <c r="W239" i="18"/>
  <c r="D239" i="18"/>
  <c r="E239" i="18" s="1"/>
  <c r="W117" i="18"/>
  <c r="D117" i="18"/>
  <c r="E117" i="18" s="1"/>
  <c r="W171" i="18"/>
  <c r="D171" i="18"/>
  <c r="E171" i="18" s="1"/>
  <c r="D256" i="18"/>
  <c r="E256" i="18" s="1"/>
  <c r="W256" i="18"/>
  <c r="W198" i="18"/>
  <c r="D198" i="18"/>
  <c r="E198" i="18" s="1"/>
  <c r="W156" i="18"/>
  <c r="D156" i="18"/>
  <c r="E156" i="18" s="1"/>
  <c r="W318" i="18"/>
  <c r="D318" i="18"/>
  <c r="E318" i="18" s="1"/>
  <c r="D310" i="18"/>
  <c r="E310" i="18" s="1"/>
  <c r="W310" i="18"/>
  <c r="W281" i="18"/>
  <c r="D281" i="18"/>
  <c r="E281" i="18" s="1"/>
  <c r="W96" i="18"/>
  <c r="D96" i="18"/>
  <c r="E96" i="18" s="1"/>
  <c r="W292" i="18"/>
  <c r="D292" i="18"/>
  <c r="E292" i="18" s="1"/>
  <c r="I302" i="17" l="1"/>
  <c r="J210" i="17"/>
  <c r="Q102" i="18"/>
  <c r="P102" i="18" s="1"/>
  <c r="V102" i="18" s="1"/>
  <c r="F102" i="18" s="1"/>
  <c r="G102" i="18" s="1"/>
  <c r="CA102" i="6" s="1"/>
  <c r="Q296" i="18"/>
  <c r="P296" i="18" s="1"/>
  <c r="V296" i="18" s="1"/>
  <c r="F296" i="18" s="1"/>
  <c r="G296" i="18" s="1"/>
  <c r="CA296" i="6" s="1"/>
  <c r="Q372" i="18"/>
  <c r="P372" i="18" s="1"/>
  <c r="V372" i="18" s="1"/>
  <c r="F372" i="18" s="1"/>
  <c r="G372" i="18" s="1"/>
  <c r="CA372" i="6" s="1"/>
  <c r="Q71" i="18"/>
  <c r="P71" i="18" s="1"/>
  <c r="V71" i="18" s="1"/>
  <c r="Q293" i="18"/>
  <c r="P293" i="18" s="1"/>
  <c r="V293" i="18" s="1"/>
  <c r="F293" i="18" s="1"/>
  <c r="Q221" i="18"/>
  <c r="P221" i="18" s="1"/>
  <c r="V221" i="18" s="1"/>
  <c r="F221" i="18" s="1"/>
  <c r="Q57" i="18"/>
  <c r="P57" i="18" s="1"/>
  <c r="V57" i="18" s="1"/>
  <c r="F57" i="18" s="1"/>
  <c r="G57" i="18" s="1"/>
  <c r="CA57" i="6" s="1"/>
  <c r="Q45" i="18"/>
  <c r="P45" i="18" s="1"/>
  <c r="V45" i="18" s="1"/>
  <c r="F45" i="18" s="1"/>
  <c r="G45" i="18" s="1"/>
  <c r="CA45" i="6" s="1"/>
  <c r="Q59" i="18"/>
  <c r="P59" i="18" s="1"/>
  <c r="V59" i="18" s="1"/>
  <c r="F59" i="18" s="1"/>
  <c r="Q265" i="18"/>
  <c r="P265" i="18" s="1"/>
  <c r="V265" i="18" s="1"/>
  <c r="F265" i="18" s="1"/>
  <c r="G265" i="18" s="1"/>
  <c r="CA265" i="6" s="1"/>
  <c r="Q137" i="18"/>
  <c r="P137" i="18" s="1"/>
  <c r="V137" i="18" s="1"/>
  <c r="F137" i="18" s="1"/>
  <c r="H137" i="18" s="1"/>
  <c r="Q218" i="18"/>
  <c r="P218" i="18" s="1"/>
  <c r="V218" i="18" s="1"/>
  <c r="Q162" i="18"/>
  <c r="P162" i="18" s="1"/>
  <c r="V162" i="18" s="1"/>
  <c r="Q143" i="18"/>
  <c r="P143" i="18" s="1"/>
  <c r="V143" i="18" s="1"/>
  <c r="F143" i="18" s="1"/>
  <c r="G143" i="18" s="1"/>
  <c r="CA143" i="6" s="1"/>
  <c r="Q283" i="18"/>
  <c r="P283" i="18" s="1"/>
  <c r="V283" i="18" s="1"/>
  <c r="Q31" i="18"/>
  <c r="P31" i="18" s="1"/>
  <c r="V31" i="18" s="1"/>
  <c r="F31" i="18" s="1"/>
  <c r="G31" i="18" s="1"/>
  <c r="CA31" i="6" s="1"/>
  <c r="Q64" i="18"/>
  <c r="P64" i="18" s="1"/>
  <c r="V64" i="18" s="1"/>
  <c r="Q367" i="18"/>
  <c r="P367" i="18" s="1"/>
  <c r="V367" i="18" s="1"/>
  <c r="Q70" i="18"/>
  <c r="P70" i="18" s="1"/>
  <c r="V70" i="18" s="1"/>
  <c r="F70" i="18" s="1"/>
  <c r="G70" i="18" s="1"/>
  <c r="CA70" i="6" s="1"/>
  <c r="Q359" i="18"/>
  <c r="P359" i="18" s="1"/>
  <c r="V359" i="18" s="1"/>
  <c r="F359" i="18" s="1"/>
  <c r="Q196" i="18"/>
  <c r="P196" i="18" s="1"/>
  <c r="V196" i="18" s="1"/>
  <c r="Q182" i="18"/>
  <c r="P182" i="18" s="1"/>
  <c r="V182" i="18" s="1"/>
  <c r="Q287" i="18"/>
  <c r="P287" i="18" s="1"/>
  <c r="V287" i="18" s="1"/>
  <c r="Q26" i="18"/>
  <c r="P26" i="18" s="1"/>
  <c r="V26" i="18" s="1"/>
  <c r="Q83" i="18"/>
  <c r="P83" i="18" s="1"/>
  <c r="V83" i="18" s="1"/>
  <c r="F83" i="18" s="1"/>
  <c r="G83" i="18" s="1"/>
  <c r="CA83" i="6" s="1"/>
  <c r="Q305" i="18"/>
  <c r="P305" i="18" s="1"/>
  <c r="V305" i="18" s="1"/>
  <c r="F305" i="18" s="1"/>
  <c r="G305" i="18" s="1"/>
  <c r="CA305" i="6" s="1"/>
  <c r="Q72" i="18"/>
  <c r="P72" i="18" s="1"/>
  <c r="V72" i="18" s="1"/>
  <c r="Q158" i="18"/>
  <c r="P158" i="18" s="1"/>
  <c r="V158" i="18" s="1"/>
  <c r="Q160" i="18"/>
  <c r="P160" i="18" s="1"/>
  <c r="V160" i="18" s="1"/>
  <c r="F160" i="18" s="1"/>
  <c r="G160" i="18" s="1"/>
  <c r="CA160" i="6" s="1"/>
  <c r="Q98" i="18"/>
  <c r="P98" i="18" s="1"/>
  <c r="V98" i="18" s="1"/>
  <c r="Q207" i="18"/>
  <c r="P207" i="18" s="1"/>
  <c r="V207" i="18" s="1"/>
  <c r="F207" i="18" s="1"/>
  <c r="G207" i="18" s="1"/>
  <c r="CA207" i="6" s="1"/>
  <c r="Q251" i="18"/>
  <c r="P251" i="18" s="1"/>
  <c r="V251" i="18" s="1"/>
  <c r="F251" i="18" s="1"/>
  <c r="H251" i="18" s="1"/>
  <c r="Q126" i="18"/>
  <c r="P126" i="18" s="1"/>
  <c r="V126" i="18" s="1"/>
  <c r="F126" i="18" s="1"/>
  <c r="H126" i="18" s="1"/>
  <c r="Q318" i="18"/>
  <c r="P318" i="18" s="1"/>
  <c r="V318" i="18" s="1"/>
  <c r="Q123" i="18"/>
  <c r="P123" i="18" s="1"/>
  <c r="V123" i="18" s="1"/>
  <c r="Q105" i="18"/>
  <c r="P105" i="18" s="1"/>
  <c r="V105" i="18" s="1"/>
  <c r="Q276" i="18"/>
  <c r="P276" i="18" s="1"/>
  <c r="V276" i="18" s="1"/>
  <c r="F276" i="18" s="1"/>
  <c r="G276" i="18" s="1"/>
  <c r="CA276" i="6" s="1"/>
  <c r="Q46" i="18"/>
  <c r="P46" i="18" s="1"/>
  <c r="V46" i="18" s="1"/>
  <c r="Q348" i="18"/>
  <c r="P348" i="18" s="1"/>
  <c r="V348" i="18" s="1"/>
  <c r="F348" i="18" s="1"/>
  <c r="G348" i="18" s="1"/>
  <c r="CA348" i="6" s="1"/>
  <c r="Q148" i="18"/>
  <c r="P148" i="18" s="1"/>
  <c r="V148" i="18" s="1"/>
  <c r="F148" i="18" s="1"/>
  <c r="G148" i="18" s="1"/>
  <c r="CA148" i="6" s="1"/>
  <c r="Q199" i="18"/>
  <c r="P199" i="18" s="1"/>
  <c r="V199" i="18" s="1"/>
  <c r="F199" i="18" s="1"/>
  <c r="Q376" i="18"/>
  <c r="P376" i="18" s="1"/>
  <c r="V376" i="18" s="1"/>
  <c r="Q230" i="18"/>
  <c r="P230" i="18" s="1"/>
  <c r="V230" i="18" s="1"/>
  <c r="Q107" i="18"/>
  <c r="P107" i="18" s="1"/>
  <c r="V107" i="18" s="1"/>
  <c r="F107" i="18" s="1"/>
  <c r="G107" i="18" s="1"/>
  <c r="CA107" i="6" s="1"/>
  <c r="Q352" i="18"/>
  <c r="P352" i="18" s="1"/>
  <c r="V352" i="18" s="1"/>
  <c r="F352" i="18" s="1"/>
  <c r="Q345" i="18"/>
  <c r="P345" i="18" s="1"/>
  <c r="V345" i="18" s="1"/>
  <c r="F345" i="18" s="1"/>
  <c r="H345" i="18" s="1"/>
  <c r="Q23" i="18"/>
  <c r="P23" i="18" s="1"/>
  <c r="V23" i="18" s="1"/>
  <c r="F23" i="18" s="1"/>
  <c r="Q132" i="18"/>
  <c r="P132" i="18" s="1"/>
  <c r="V132" i="18" s="1"/>
  <c r="Q351" i="18"/>
  <c r="P351" i="18" s="1"/>
  <c r="V351" i="18" s="1"/>
  <c r="F351" i="18" s="1"/>
  <c r="H351" i="18" s="1"/>
  <c r="Q147" i="18"/>
  <c r="P147" i="18" s="1"/>
  <c r="V147" i="18" s="1"/>
  <c r="F147" i="18" s="1"/>
  <c r="H147" i="18" s="1"/>
  <c r="Q16" i="18"/>
  <c r="P16" i="18" s="1"/>
  <c r="V16" i="18" s="1"/>
  <c r="F16" i="18" s="1"/>
  <c r="H16" i="18" s="1"/>
  <c r="Q58" i="18"/>
  <c r="P58" i="18" s="1"/>
  <c r="V58" i="18" s="1"/>
  <c r="F58" i="18" s="1"/>
  <c r="H58" i="18" s="1"/>
  <c r="Q246" i="18"/>
  <c r="P246" i="18" s="1"/>
  <c r="V246" i="18" s="1"/>
  <c r="F246" i="18" s="1"/>
  <c r="H246" i="18" s="1"/>
  <c r="Q75" i="18"/>
  <c r="P75" i="18" s="1"/>
  <c r="V75" i="18" s="1"/>
  <c r="F75" i="18" s="1"/>
  <c r="Q309" i="18"/>
  <c r="P309" i="18" s="1"/>
  <c r="V309" i="18" s="1"/>
  <c r="F309" i="18" s="1"/>
  <c r="G309" i="18" s="1"/>
  <c r="CA309" i="6" s="1"/>
  <c r="Q377" i="18"/>
  <c r="P377" i="18" s="1"/>
  <c r="V377" i="18" s="1"/>
  <c r="F377" i="18" s="1"/>
  <c r="H377" i="18" s="1"/>
  <c r="Q65" i="18"/>
  <c r="P65" i="18" s="1"/>
  <c r="V65" i="18" s="1"/>
  <c r="F65" i="18" s="1"/>
  <c r="H65" i="18" s="1"/>
  <c r="Q307" i="18"/>
  <c r="P307" i="18" s="1"/>
  <c r="V307" i="18" s="1"/>
  <c r="F307" i="18" s="1"/>
  <c r="H307" i="18" s="1"/>
  <c r="Q138" i="18"/>
  <c r="P138" i="18" s="1"/>
  <c r="V138" i="18" s="1"/>
  <c r="F138" i="18" s="1"/>
  <c r="H138" i="18" s="1"/>
  <c r="Q183" i="18"/>
  <c r="P183" i="18" s="1"/>
  <c r="V183" i="18" s="1"/>
  <c r="F183" i="18" s="1"/>
  <c r="G183" i="18" s="1"/>
  <c r="CA183" i="6" s="1"/>
  <c r="Q247" i="18"/>
  <c r="P247" i="18" s="1"/>
  <c r="V247" i="18" s="1"/>
  <c r="Q258" i="18"/>
  <c r="P258" i="18" s="1"/>
  <c r="V258" i="18" s="1"/>
  <c r="Q259" i="18"/>
  <c r="P259" i="18" s="1"/>
  <c r="V259" i="18" s="1"/>
  <c r="F259" i="18" s="1"/>
  <c r="H259" i="18" s="1"/>
  <c r="Q151" i="18"/>
  <c r="P151" i="18" s="1"/>
  <c r="V151" i="18" s="1"/>
  <c r="Q263" i="18"/>
  <c r="P263" i="18" s="1"/>
  <c r="V263" i="18" s="1"/>
  <c r="Q21" i="18"/>
  <c r="P21" i="18" s="1"/>
  <c r="V21" i="18" s="1"/>
  <c r="Q185" i="18"/>
  <c r="P185" i="18" s="1"/>
  <c r="V185" i="18" s="1"/>
  <c r="F185" i="18" s="1"/>
  <c r="G185" i="18" s="1"/>
  <c r="CA185" i="6" s="1"/>
  <c r="Q216" i="18"/>
  <c r="P216" i="18" s="1"/>
  <c r="V216" i="18" s="1"/>
  <c r="F216" i="18" s="1"/>
  <c r="G216" i="18" s="1"/>
  <c r="CA216" i="6" s="1"/>
  <c r="Q131" i="18"/>
  <c r="P131" i="18" s="1"/>
  <c r="V131" i="18" s="1"/>
  <c r="Q363" i="18"/>
  <c r="P363" i="18" s="1"/>
  <c r="Q188" i="18"/>
  <c r="P188" i="18" s="1"/>
  <c r="V188" i="18" s="1"/>
  <c r="F188" i="18" s="1"/>
  <c r="H188" i="18" s="1"/>
  <c r="Q145" i="18"/>
  <c r="P145" i="18" s="1"/>
  <c r="V145" i="18" s="1"/>
  <c r="F145" i="18" s="1"/>
  <c r="H145" i="18" s="1"/>
  <c r="Q225" i="18"/>
  <c r="P225" i="18" s="1"/>
  <c r="V225" i="18" s="1"/>
  <c r="F225" i="18" s="1"/>
  <c r="G225" i="18" s="1"/>
  <c r="CA225" i="6" s="1"/>
  <c r="Q227" i="18"/>
  <c r="P227" i="18" s="1"/>
  <c r="V227" i="18" s="1"/>
  <c r="Q125" i="18"/>
  <c r="P125" i="18" s="1"/>
  <c r="V125" i="18" s="1"/>
  <c r="F125" i="18" s="1"/>
  <c r="G125" i="18" s="1"/>
  <c r="CA125" i="6" s="1"/>
  <c r="Q331" i="18"/>
  <c r="P331" i="18" s="1"/>
  <c r="V331" i="18" s="1"/>
  <c r="F331" i="18" s="1"/>
  <c r="G331" i="18" s="1"/>
  <c r="CA331" i="6" s="1"/>
  <c r="Q124" i="18"/>
  <c r="P124" i="18" s="1"/>
  <c r="V124" i="18" s="1"/>
  <c r="F124" i="18" s="1"/>
  <c r="Q209" i="18"/>
  <c r="P209" i="18" s="1"/>
  <c r="V209" i="18" s="1"/>
  <c r="Q97" i="18"/>
  <c r="P97" i="18" s="1"/>
  <c r="V97" i="18" s="1"/>
  <c r="Q99" i="18"/>
  <c r="P99" i="18" s="1"/>
  <c r="V99" i="18" s="1"/>
  <c r="Q236" i="18"/>
  <c r="P236" i="18" s="1"/>
  <c r="V236" i="18" s="1"/>
  <c r="F236" i="18" s="1"/>
  <c r="H236" i="18" s="1"/>
  <c r="Q261" i="18"/>
  <c r="P261" i="18" s="1"/>
  <c r="V261" i="18" s="1"/>
  <c r="Q19" i="18"/>
  <c r="P19" i="18" s="1"/>
  <c r="V19" i="18" s="1"/>
  <c r="Q129" i="18"/>
  <c r="P129" i="18" s="1"/>
  <c r="V129" i="18" s="1"/>
  <c r="Q192" i="18"/>
  <c r="P192" i="18" s="1"/>
  <c r="V192" i="18" s="1"/>
  <c r="Q146" i="18"/>
  <c r="P146" i="18" s="1"/>
  <c r="V146" i="18" s="1"/>
  <c r="Q191" i="18"/>
  <c r="P191" i="18" s="1"/>
  <c r="V191" i="18" s="1"/>
  <c r="F191" i="18" s="1"/>
  <c r="H191" i="18" s="1"/>
  <c r="Q268" i="18"/>
  <c r="P268" i="18" s="1"/>
  <c r="V268" i="18" s="1"/>
  <c r="Q35" i="18"/>
  <c r="P35" i="18" s="1"/>
  <c r="V35" i="18" s="1"/>
  <c r="F35" i="18" s="1"/>
  <c r="Q264" i="18"/>
  <c r="P264" i="18" s="1"/>
  <c r="V264" i="18" s="1"/>
  <c r="Q177" i="18"/>
  <c r="P177" i="18" s="1"/>
  <c r="V177" i="18" s="1"/>
  <c r="F177" i="18" s="1"/>
  <c r="G177" i="18" s="1"/>
  <c r="CA177" i="6" s="1"/>
  <c r="Q156" i="18"/>
  <c r="P156" i="18" s="1"/>
  <c r="V156" i="18" s="1"/>
  <c r="F156" i="18" s="1"/>
  <c r="H156" i="18" s="1"/>
  <c r="Q76" i="18"/>
  <c r="P76" i="18" s="1"/>
  <c r="V76" i="18" s="1"/>
  <c r="F76" i="18" s="1"/>
  <c r="G76" i="18" s="1"/>
  <c r="CA76" i="6" s="1"/>
  <c r="Q90" i="18"/>
  <c r="P90" i="18" s="1"/>
  <c r="V90" i="18" s="1"/>
  <c r="F90" i="18" s="1"/>
  <c r="Q219" i="18"/>
  <c r="P219" i="18" s="1"/>
  <c r="V219" i="18" s="1"/>
  <c r="F219" i="18" s="1"/>
  <c r="G219" i="18" s="1"/>
  <c r="CA219" i="6" s="1"/>
  <c r="Q326" i="18"/>
  <c r="P326" i="18" s="1"/>
  <c r="V326" i="18" s="1"/>
  <c r="F326" i="18" s="1"/>
  <c r="H326" i="18" s="1"/>
  <c r="Q53" i="18"/>
  <c r="P53" i="18" s="1"/>
  <c r="V53" i="18" s="1"/>
  <c r="F53" i="18" s="1"/>
  <c r="H53" i="18" s="1"/>
  <c r="Q34" i="18"/>
  <c r="P34" i="18" s="1"/>
  <c r="V34" i="18" s="1"/>
  <c r="F34" i="18" s="1"/>
  <c r="H34" i="18" s="1"/>
  <c r="Q93" i="18"/>
  <c r="P93" i="18" s="1"/>
  <c r="V93" i="18" s="1"/>
  <c r="F93" i="18" s="1"/>
  <c r="H93" i="18" s="1"/>
  <c r="Q67" i="18"/>
  <c r="P67" i="18" s="1"/>
  <c r="V67" i="18" s="1"/>
  <c r="F67" i="18" s="1"/>
  <c r="Q319" i="18"/>
  <c r="P319" i="18" s="1"/>
  <c r="V319" i="18" s="1"/>
  <c r="Q358" i="18"/>
  <c r="P358" i="18" s="1"/>
  <c r="V358" i="18" s="1"/>
  <c r="F358" i="18" s="1"/>
  <c r="H358" i="18" s="1"/>
  <c r="Q36" i="18"/>
  <c r="P36" i="18" s="1"/>
  <c r="V36" i="18" s="1"/>
  <c r="F36" i="18" s="1"/>
  <c r="H36" i="18" s="1"/>
  <c r="Q44" i="18"/>
  <c r="P44" i="18" s="1"/>
  <c r="V44" i="18" s="1"/>
  <c r="F44" i="18" s="1"/>
  <c r="Q336" i="18"/>
  <c r="P336" i="18" s="1"/>
  <c r="V336" i="18" s="1"/>
  <c r="F336" i="18" s="1"/>
  <c r="H336" i="18" s="1"/>
  <c r="Q335" i="18"/>
  <c r="P335" i="18" s="1"/>
  <c r="V335" i="18" s="1"/>
  <c r="F335" i="18" s="1"/>
  <c r="G335" i="18" s="1"/>
  <c r="CA335" i="6" s="1"/>
  <c r="Q266" i="18"/>
  <c r="P266" i="18" s="1"/>
  <c r="V266" i="18" s="1"/>
  <c r="Q173" i="18"/>
  <c r="P173" i="18" s="1"/>
  <c r="V173" i="18" s="1"/>
  <c r="F173" i="18" s="1"/>
  <c r="G173" i="18" s="1"/>
  <c r="CA173" i="6" s="1"/>
  <c r="Q176" i="18"/>
  <c r="P176" i="18" s="1"/>
  <c r="V176" i="18" s="1"/>
  <c r="F176" i="18" s="1"/>
  <c r="G176" i="18" s="1"/>
  <c r="CA176" i="6" s="1"/>
  <c r="Q350" i="18"/>
  <c r="P350" i="18" s="1"/>
  <c r="V350" i="18" s="1"/>
  <c r="Q62" i="18"/>
  <c r="P62" i="18" s="1"/>
  <c r="V62" i="18" s="1"/>
  <c r="F62" i="18" s="1"/>
  <c r="G62" i="18" s="1"/>
  <c r="CA62" i="6" s="1"/>
  <c r="Q157" i="18"/>
  <c r="P157" i="18" s="1"/>
  <c r="V157" i="18" s="1"/>
  <c r="F157" i="18" s="1"/>
  <c r="Q47" i="18"/>
  <c r="P47" i="18" s="1"/>
  <c r="V47" i="18" s="1"/>
  <c r="F47" i="18" s="1"/>
  <c r="H47" i="18" s="1"/>
  <c r="Q244" i="18"/>
  <c r="P244" i="18" s="1"/>
  <c r="V244" i="18" s="1"/>
  <c r="F244" i="18" s="1"/>
  <c r="G244" i="18" s="1"/>
  <c r="CA244" i="6" s="1"/>
  <c r="Q169" i="18"/>
  <c r="P169" i="18" s="1"/>
  <c r="V169" i="18" s="1"/>
  <c r="F169" i="18" s="1"/>
  <c r="H169" i="18" s="1"/>
  <c r="Q222" i="18"/>
  <c r="P222" i="18" s="1"/>
  <c r="V222" i="18" s="1"/>
  <c r="Q361" i="18"/>
  <c r="P361" i="18" s="1"/>
  <c r="V361" i="18" s="1"/>
  <c r="F361" i="18" s="1"/>
  <c r="G361" i="18" s="1"/>
  <c r="CA361" i="6" s="1"/>
  <c r="Q304" i="18"/>
  <c r="P304" i="18" s="1"/>
  <c r="V304" i="18" s="1"/>
  <c r="Q106" i="18"/>
  <c r="P106" i="18" s="1"/>
  <c r="V106" i="18" s="1"/>
  <c r="F106" i="18" s="1"/>
  <c r="Q314" i="18"/>
  <c r="P314" i="18" s="1"/>
  <c r="V314" i="18" s="1"/>
  <c r="F314" i="18" s="1"/>
  <c r="G314" i="18" s="1"/>
  <c r="CA314" i="6" s="1"/>
  <c r="Q77" i="18"/>
  <c r="P77" i="18" s="1"/>
  <c r="V77" i="18" s="1"/>
  <c r="F77" i="18" s="1"/>
  <c r="G77" i="18" s="1"/>
  <c r="CA77" i="6" s="1"/>
  <c r="Q297" i="18"/>
  <c r="P297" i="18" s="1"/>
  <c r="V297" i="18" s="1"/>
  <c r="F297" i="18" s="1"/>
  <c r="H297" i="18" s="1"/>
  <c r="Q170" i="18"/>
  <c r="P170" i="18" s="1"/>
  <c r="V170" i="18" s="1"/>
  <c r="F170" i="18" s="1"/>
  <c r="H170" i="18" s="1"/>
  <c r="Q28" i="18"/>
  <c r="P28" i="18" s="1"/>
  <c r="V28" i="18" s="1"/>
  <c r="Q116" i="18"/>
  <c r="P116" i="18" s="1"/>
  <c r="V116" i="18" s="1"/>
  <c r="F116" i="18" s="1"/>
  <c r="Q262" i="18"/>
  <c r="P262" i="18" s="1"/>
  <c r="V262" i="18" s="1"/>
  <c r="Q329" i="18"/>
  <c r="P329" i="18" s="1"/>
  <c r="V329" i="18" s="1"/>
  <c r="F329" i="18" s="1"/>
  <c r="G329" i="18" s="1"/>
  <c r="CA329" i="6" s="1"/>
  <c r="Q272" i="18"/>
  <c r="P272" i="18" s="1"/>
  <c r="Q271" i="18"/>
  <c r="P271" i="18" s="1"/>
  <c r="V271" i="18" s="1"/>
  <c r="F271" i="18" s="1"/>
  <c r="G271" i="18" s="1"/>
  <c r="CA271" i="6" s="1"/>
  <c r="Q298" i="18"/>
  <c r="P298" i="18" s="1"/>
  <c r="V298" i="18" s="1"/>
  <c r="F298" i="18" s="1"/>
  <c r="Q109" i="18"/>
  <c r="P109" i="18" s="1"/>
  <c r="V109" i="18" s="1"/>
  <c r="F109" i="18" s="1"/>
  <c r="H109" i="18" s="1"/>
  <c r="Q235" i="18"/>
  <c r="P235" i="18" s="1"/>
  <c r="V235" i="18" s="1"/>
  <c r="Q320" i="18"/>
  <c r="P320" i="18" s="1"/>
  <c r="V320" i="18" s="1"/>
  <c r="Q27" i="18"/>
  <c r="P27" i="18" s="1"/>
  <c r="V27" i="18" s="1"/>
  <c r="Q291" i="18"/>
  <c r="P291" i="18" s="1"/>
  <c r="V291" i="18" s="1"/>
  <c r="Q360" i="18"/>
  <c r="P360" i="18" s="1"/>
  <c r="V360" i="18" s="1"/>
  <c r="F360" i="18" s="1"/>
  <c r="H360" i="18" s="1"/>
  <c r="Q40" i="18"/>
  <c r="P40" i="18" s="1"/>
  <c r="V40" i="18" s="1"/>
  <c r="F40" i="18" s="1"/>
  <c r="Q289" i="18"/>
  <c r="P289" i="18" s="1"/>
  <c r="V289" i="18" s="1"/>
  <c r="Q238" i="18"/>
  <c r="P238" i="18" s="1"/>
  <c r="V238" i="18" s="1"/>
  <c r="F238" i="18" s="1"/>
  <c r="H238" i="18" s="1"/>
  <c r="Q237" i="18"/>
  <c r="P237" i="18" s="1"/>
  <c r="V237" i="18" s="1"/>
  <c r="Q311" i="18"/>
  <c r="P311" i="18" s="1"/>
  <c r="V311" i="18" s="1"/>
  <c r="F311" i="18" s="1"/>
  <c r="G311" i="18" s="1"/>
  <c r="CA311" i="6" s="1"/>
  <c r="Q55" i="18"/>
  <c r="P55" i="18" s="1"/>
  <c r="V55" i="18" s="1"/>
  <c r="F55" i="18" s="1"/>
  <c r="H55" i="18" s="1"/>
  <c r="Q248" i="18"/>
  <c r="P248" i="18" s="1"/>
  <c r="V248" i="18" s="1"/>
  <c r="F248" i="18" s="1"/>
  <c r="H248" i="18" s="1"/>
  <c r="Q286" i="18"/>
  <c r="P286" i="18" s="1"/>
  <c r="V286" i="18" s="1"/>
  <c r="Q95" i="18"/>
  <c r="P95" i="18" s="1"/>
  <c r="V95" i="18" s="1"/>
  <c r="Q249" i="18"/>
  <c r="P249" i="18" s="1"/>
  <c r="V249" i="18" s="1"/>
  <c r="Q373" i="18"/>
  <c r="P373" i="18" s="1"/>
  <c r="V373" i="18" s="1"/>
  <c r="F373" i="18" s="1"/>
  <c r="Q66" i="18"/>
  <c r="P66" i="18" s="1"/>
  <c r="V66" i="18" s="1"/>
  <c r="Q310" i="18"/>
  <c r="P310" i="18" s="1"/>
  <c r="V310" i="18" s="1"/>
  <c r="Q197" i="18"/>
  <c r="P197" i="18" s="1"/>
  <c r="V197" i="18" s="1"/>
  <c r="Q187" i="18"/>
  <c r="P187" i="18" s="1"/>
  <c r="V187" i="18" s="1"/>
  <c r="F187" i="18" s="1"/>
  <c r="G187" i="18" s="1"/>
  <c r="CA187" i="6" s="1"/>
  <c r="Q362" i="18"/>
  <c r="P362" i="18" s="1"/>
  <c r="V362" i="18" s="1"/>
  <c r="F362" i="18" s="1"/>
  <c r="G362" i="18" s="1"/>
  <c r="CA362" i="6" s="1"/>
  <c r="Q60" i="18"/>
  <c r="P60" i="18" s="1"/>
  <c r="V60" i="18" s="1"/>
  <c r="Q299" i="18"/>
  <c r="P299" i="18" s="1"/>
  <c r="V299" i="18" s="1"/>
  <c r="Q101" i="18"/>
  <c r="P101" i="18" s="1"/>
  <c r="V101" i="18" s="1"/>
  <c r="F101" i="18" s="1"/>
  <c r="H101" i="18" s="1"/>
  <c r="Q178" i="18"/>
  <c r="P178" i="18" s="1"/>
  <c r="V178" i="18" s="1"/>
  <c r="Q96" i="18"/>
  <c r="P96" i="18" s="1"/>
  <c r="V96" i="18" s="1"/>
  <c r="F96" i="18" s="1"/>
  <c r="H96" i="18" s="1"/>
  <c r="Q149" i="18"/>
  <c r="P149" i="18" s="1"/>
  <c r="Q168" i="18"/>
  <c r="P168" i="18" s="1"/>
  <c r="V168" i="18" s="1"/>
  <c r="F168" i="18" s="1"/>
  <c r="G168" i="18" s="1"/>
  <c r="CA168" i="6" s="1"/>
  <c r="Q353" i="18"/>
  <c r="P353" i="18" s="1"/>
  <c r="V353" i="18" s="1"/>
  <c r="F353" i="18" s="1"/>
  <c r="G353" i="18" s="1"/>
  <c r="CA353" i="6" s="1"/>
  <c r="Q193" i="18"/>
  <c r="P193" i="18" s="1"/>
  <c r="V193" i="18" s="1"/>
  <c r="Q341" i="18"/>
  <c r="P341" i="18" s="1"/>
  <c r="V341" i="18" s="1"/>
  <c r="F341" i="18" s="1"/>
  <c r="H341" i="18" s="1"/>
  <c r="Q278" i="18"/>
  <c r="P278" i="18" s="1"/>
  <c r="V278" i="18" s="1"/>
  <c r="F278" i="18" s="1"/>
  <c r="Q254" i="18"/>
  <c r="P254" i="18" s="1"/>
  <c r="V254" i="18" s="1"/>
  <c r="Q179" i="18"/>
  <c r="P179" i="18" s="1"/>
  <c r="V179" i="18" s="1"/>
  <c r="F179" i="18" s="1"/>
  <c r="G179" i="18" s="1"/>
  <c r="CA179" i="6" s="1"/>
  <c r="Q50" i="18"/>
  <c r="P50" i="18" s="1"/>
  <c r="V50" i="18" s="1"/>
  <c r="Q215" i="18"/>
  <c r="P215" i="18" s="1"/>
  <c r="V215" i="18" s="1"/>
  <c r="F215" i="18" s="1"/>
  <c r="G215" i="18" s="1"/>
  <c r="CA215" i="6" s="1"/>
  <c r="Q80" i="18"/>
  <c r="P80" i="18" s="1"/>
  <c r="V80" i="18" s="1"/>
  <c r="Q220" i="18"/>
  <c r="P220" i="18" s="1"/>
  <c r="V220" i="18" s="1"/>
  <c r="F220" i="18" s="1"/>
  <c r="Q234" i="18"/>
  <c r="P234" i="18" s="1"/>
  <c r="V234" i="18" s="1"/>
  <c r="Q61" i="18"/>
  <c r="P61" i="18" s="1"/>
  <c r="V61" i="18" s="1"/>
  <c r="F61" i="18" s="1"/>
  <c r="H61" i="18" s="1"/>
  <c r="Q25" i="18"/>
  <c r="P25" i="18" s="1"/>
  <c r="V25" i="18" s="1"/>
  <c r="Q140" i="18"/>
  <c r="P140" i="18" s="1"/>
  <c r="V140" i="18" s="1"/>
  <c r="F140" i="18" s="1"/>
  <c r="Q130" i="18"/>
  <c r="P130" i="18" s="1"/>
  <c r="V130" i="18" s="1"/>
  <c r="Q63" i="18"/>
  <c r="P63" i="18" s="1"/>
  <c r="V63" i="18" s="1"/>
  <c r="F63" i="18" s="1"/>
  <c r="G63" i="18" s="1"/>
  <c r="CA63" i="6" s="1"/>
  <c r="Q133" i="18"/>
  <c r="P133" i="18" s="1"/>
  <c r="V133" i="18" s="1"/>
  <c r="F133" i="18" s="1"/>
  <c r="H133" i="18" s="1"/>
  <c r="Q250" i="18"/>
  <c r="P250" i="18" s="1"/>
  <c r="V250" i="18" s="1"/>
  <c r="F250" i="18" s="1"/>
  <c r="H250" i="18" s="1"/>
  <c r="Q290" i="18"/>
  <c r="P290" i="18" s="1"/>
  <c r="V290" i="18" s="1"/>
  <c r="F290" i="18" s="1"/>
  <c r="H290" i="18" s="1"/>
  <c r="Q368" i="18"/>
  <c r="P368" i="18" s="1"/>
  <c r="V368" i="18" s="1"/>
  <c r="F368" i="18" s="1"/>
  <c r="Q282" i="18"/>
  <c r="P282" i="18" s="1"/>
  <c r="V282" i="18" s="1"/>
  <c r="F282" i="18" s="1"/>
  <c r="G282" i="18" s="1"/>
  <c r="CA282" i="6" s="1"/>
  <c r="Q167" i="18"/>
  <c r="P167" i="18" s="1"/>
  <c r="V167" i="18" s="1"/>
  <c r="F167" i="18" s="1"/>
  <c r="Q171" i="18"/>
  <c r="P171" i="18" s="1"/>
  <c r="V171" i="18" s="1"/>
  <c r="F171" i="18" s="1"/>
  <c r="H171" i="18" s="1"/>
  <c r="Q344" i="18"/>
  <c r="P344" i="18" s="1"/>
  <c r="V344" i="18" s="1"/>
  <c r="F344" i="18" s="1"/>
  <c r="H344" i="18" s="1"/>
  <c r="Q189" i="18"/>
  <c r="P189" i="18" s="1"/>
  <c r="V189" i="18" s="1"/>
  <c r="Q328" i="18"/>
  <c r="P328" i="18" s="1"/>
  <c r="V328" i="18" s="1"/>
  <c r="F328" i="18" s="1"/>
  <c r="G328" i="18" s="1"/>
  <c r="CA328" i="6" s="1"/>
  <c r="Q257" i="18"/>
  <c r="P257" i="18" s="1"/>
  <c r="V257" i="18" s="1"/>
  <c r="Q288" i="18"/>
  <c r="P288" i="18" s="1"/>
  <c r="V288" i="18" s="1"/>
  <c r="Q201" i="18"/>
  <c r="P201" i="18" s="1"/>
  <c r="V201" i="18" s="1"/>
  <c r="F201" i="18" s="1"/>
  <c r="H201" i="18" s="1"/>
  <c r="Q300" i="18"/>
  <c r="P300" i="18" s="1"/>
  <c r="V300" i="18" s="1"/>
  <c r="Q273" i="18"/>
  <c r="P273" i="18" s="1"/>
  <c r="V273" i="18" s="1"/>
  <c r="F273" i="18" s="1"/>
  <c r="H273" i="18" s="1"/>
  <c r="Q270" i="18"/>
  <c r="P270" i="18" s="1"/>
  <c r="V270" i="18" s="1"/>
  <c r="F270" i="18" s="1"/>
  <c r="G270" i="18" s="1"/>
  <c r="CA270" i="6" s="1"/>
  <c r="Q256" i="18"/>
  <c r="P256" i="18" s="1"/>
  <c r="V256" i="18" s="1"/>
  <c r="Q334" i="18"/>
  <c r="P334" i="18" s="1"/>
  <c r="V334" i="18" s="1"/>
  <c r="F334" i="18" s="1"/>
  <c r="H334" i="18" s="1"/>
  <c r="Q295" i="18"/>
  <c r="P295" i="18" s="1"/>
  <c r="V295" i="18" s="1"/>
  <c r="Q239" i="18"/>
  <c r="P239" i="18" s="1"/>
  <c r="V239" i="18" s="1"/>
  <c r="Q242" i="18"/>
  <c r="P242" i="18" s="1"/>
  <c r="V242" i="18" s="1"/>
  <c r="Q357" i="18"/>
  <c r="P357" i="18" s="1"/>
  <c r="V357" i="18" s="1"/>
  <c r="F357" i="18" s="1"/>
  <c r="H357" i="18" s="1"/>
  <c r="Q20" i="18"/>
  <c r="P20" i="18" s="1"/>
  <c r="V20" i="18" s="1"/>
  <c r="F20" i="18" s="1"/>
  <c r="H20" i="18" s="1"/>
  <c r="Q110" i="18"/>
  <c r="P110" i="18" s="1"/>
  <c r="V110" i="18" s="1"/>
  <c r="F110" i="18" s="1"/>
  <c r="G110" i="18" s="1"/>
  <c r="CA110" i="6" s="1"/>
  <c r="Q41" i="18"/>
  <c r="P41" i="18" s="1"/>
  <c r="V41" i="18" s="1"/>
  <c r="Q332" i="18"/>
  <c r="P332" i="18" s="1"/>
  <c r="V332" i="18" s="1"/>
  <c r="F332" i="18" s="1"/>
  <c r="G332" i="18" s="1"/>
  <c r="CA332" i="6" s="1"/>
  <c r="Q232" i="18"/>
  <c r="P232" i="18" s="1"/>
  <c r="V232" i="18" s="1"/>
  <c r="F232" i="18" s="1"/>
  <c r="H232" i="18" s="1"/>
  <c r="Q92" i="18"/>
  <c r="P92" i="18" s="1"/>
  <c r="V92" i="18" s="1"/>
  <c r="F92" i="18" s="1"/>
  <c r="G92" i="18" s="1"/>
  <c r="CA92" i="6" s="1"/>
  <c r="Q37" i="18"/>
  <c r="P37" i="18" s="1"/>
  <c r="V37" i="18" s="1"/>
  <c r="Q294" i="18"/>
  <c r="P294" i="18" s="1"/>
  <c r="V294" i="18" s="1"/>
  <c r="F294" i="18" s="1"/>
  <c r="G294" i="18" s="1"/>
  <c r="CA294" i="6" s="1"/>
  <c r="Q86" i="18"/>
  <c r="P86" i="18" s="1"/>
  <c r="V86" i="18" s="1"/>
  <c r="Q210" i="18"/>
  <c r="P210" i="18" s="1"/>
  <c r="D74" i="7" s="1"/>
  <c r="Q340" i="18"/>
  <c r="P340" i="18" s="1"/>
  <c r="V340" i="18" s="1"/>
  <c r="F340" i="18" s="1"/>
  <c r="G340" i="18" s="1"/>
  <c r="CA340" i="6" s="1"/>
  <c r="Q204" i="18"/>
  <c r="P204" i="18" s="1"/>
  <c r="V204" i="18" s="1"/>
  <c r="F204" i="18" s="1"/>
  <c r="Q164" i="18"/>
  <c r="P164" i="18" s="1"/>
  <c r="V164" i="18" s="1"/>
  <c r="F164" i="18" s="1"/>
  <c r="Q330" i="18"/>
  <c r="P330" i="18" s="1"/>
  <c r="V330" i="18" s="1"/>
  <c r="F330" i="18" s="1"/>
  <c r="G330" i="18" s="1"/>
  <c r="CA330" i="6" s="1"/>
  <c r="Q231" i="18"/>
  <c r="P231" i="18" s="1"/>
  <c r="V231" i="18" s="1"/>
  <c r="Q369" i="18"/>
  <c r="P369" i="18" s="1"/>
  <c r="V369" i="18" s="1"/>
  <c r="F369" i="18" s="1"/>
  <c r="H369" i="18" s="1"/>
  <c r="Q333" i="18"/>
  <c r="P333" i="18" s="1"/>
  <c r="J363" i="17"/>
  <c r="J241" i="17"/>
  <c r="J149" i="17"/>
  <c r="J19" i="17"/>
  <c r="Q324" i="18"/>
  <c r="P324" i="18" s="1"/>
  <c r="V324" i="18" s="1"/>
  <c r="F324" i="18" s="1"/>
  <c r="H324" i="18" s="1"/>
  <c r="Q89" i="18"/>
  <c r="P89" i="18" s="1"/>
  <c r="V89" i="18" s="1"/>
  <c r="F89" i="18" s="1"/>
  <c r="Q200" i="18"/>
  <c r="P200" i="18" s="1"/>
  <c r="V200" i="18" s="1"/>
  <c r="AC10" i="24"/>
  <c r="AC309" i="24" s="1"/>
  <c r="AC151" i="24"/>
  <c r="AC336" i="24"/>
  <c r="AC342" i="24"/>
  <c r="AC208" i="24"/>
  <c r="AC187" i="24"/>
  <c r="AC150" i="24"/>
  <c r="Q29" i="18"/>
  <c r="P29" i="18" s="1"/>
  <c r="V29" i="18" s="1"/>
  <c r="AC287" i="24"/>
  <c r="I119" i="17"/>
  <c r="L42" i="19"/>
  <c r="AY13" i="7"/>
  <c r="BE10" i="7" s="1"/>
  <c r="O20" i="24"/>
  <c r="O15" i="24"/>
  <c r="O66" i="24"/>
  <c r="O17" i="24"/>
  <c r="O94" i="24"/>
  <c r="O110" i="24"/>
  <c r="O152" i="24"/>
  <c r="O178" i="24"/>
  <c r="O107" i="24"/>
  <c r="O36" i="24"/>
  <c r="O32" i="24"/>
  <c r="O118" i="24"/>
  <c r="O180" i="24"/>
  <c r="AG61" i="7" s="1"/>
  <c r="O139" i="24"/>
  <c r="O212" i="24"/>
  <c r="O242" i="24"/>
  <c r="O265" i="24"/>
  <c r="O290" i="24"/>
  <c r="O333" i="24"/>
  <c r="AG66" i="7" s="1"/>
  <c r="O82" i="24"/>
  <c r="O149" i="24"/>
  <c r="AG60" i="7" s="1"/>
  <c r="O219" i="24"/>
  <c r="O284" i="24"/>
  <c r="O306" i="24"/>
  <c r="O256" i="24"/>
  <c r="O310" i="24"/>
  <c r="O369" i="24"/>
  <c r="O372" i="24"/>
  <c r="O28" i="24"/>
  <c r="O50" i="24"/>
  <c r="O49" i="24"/>
  <c r="O91" i="24"/>
  <c r="O123" i="24"/>
  <c r="O165" i="24"/>
  <c r="O40" i="24"/>
  <c r="O112" i="24"/>
  <c r="O164" i="24"/>
  <c r="O196" i="24"/>
  <c r="O240" i="24"/>
  <c r="O316" i="24"/>
  <c r="O344" i="24"/>
  <c r="O83" i="24"/>
  <c r="O204" i="24"/>
  <c r="O191" i="24"/>
  <c r="O230" i="24"/>
  <c r="O273" i="24"/>
  <c r="O308" i="24"/>
  <c r="O229" i="24"/>
  <c r="O312" i="24"/>
  <c r="O363" i="24"/>
  <c r="AG67" i="7" s="1"/>
  <c r="O361" i="24"/>
  <c r="O31" i="24"/>
  <c r="O87" i="24"/>
  <c r="O109" i="24"/>
  <c r="O176" i="24"/>
  <c r="O131" i="24"/>
  <c r="O208" i="24"/>
  <c r="O236" i="24"/>
  <c r="O264" i="24"/>
  <c r="O293" i="24"/>
  <c r="O340" i="24"/>
  <c r="O125" i="24"/>
  <c r="O198" i="24"/>
  <c r="O268" i="24"/>
  <c r="O305" i="24"/>
  <c r="O252" i="24"/>
  <c r="O299" i="24"/>
  <c r="O366" i="24"/>
  <c r="O367" i="24"/>
  <c r="O27" i="24"/>
  <c r="O45" i="24"/>
  <c r="O44" i="24"/>
  <c r="O88" i="24"/>
  <c r="AG58" i="7" s="1"/>
  <c r="O114" i="24"/>
  <c r="O144" i="24"/>
  <c r="O168" i="24"/>
  <c r="O67" i="24"/>
  <c r="O127" i="24"/>
  <c r="O169" i="24"/>
  <c r="O200" i="24"/>
  <c r="O241" i="24"/>
  <c r="AG63" i="7" s="1"/>
  <c r="O315" i="24"/>
  <c r="O339" i="24"/>
  <c r="O115" i="24"/>
  <c r="O211" i="24"/>
  <c r="O195" i="24"/>
  <c r="O233" i="24"/>
  <c r="O283" i="24"/>
  <c r="O322" i="24"/>
  <c r="O274" i="24"/>
  <c r="O343" i="24"/>
  <c r="O345" i="24"/>
  <c r="O19" i="24"/>
  <c r="O41" i="24"/>
  <c r="O73" i="24"/>
  <c r="O38" i="24"/>
  <c r="O96" i="24"/>
  <c r="O124" i="24"/>
  <c r="O157" i="24"/>
  <c r="O54" i="24"/>
  <c r="O29" i="24"/>
  <c r="AG56" i="7" s="1"/>
  <c r="O76" i="24"/>
  <c r="O106" i="24"/>
  <c r="O170" i="24"/>
  <c r="O129" i="24"/>
  <c r="O201" i="24"/>
  <c r="O235" i="24"/>
  <c r="O263" i="24"/>
  <c r="O281" i="24"/>
  <c r="O323" i="24"/>
  <c r="O355" i="24"/>
  <c r="O207" i="24"/>
  <c r="O210" i="24"/>
  <c r="AG62" i="7" s="1"/>
  <c r="O257" i="24"/>
  <c r="O303" i="24"/>
  <c r="O247" i="24"/>
  <c r="O296" i="24"/>
  <c r="O365" i="24"/>
  <c r="O364" i="24"/>
  <c r="O18" i="24"/>
  <c r="O43" i="24"/>
  <c r="O34" i="24"/>
  <c r="O85" i="24"/>
  <c r="O116" i="24"/>
  <c r="O148" i="24"/>
  <c r="O181" i="24"/>
  <c r="O101" i="24"/>
  <c r="O146" i="24"/>
  <c r="O192" i="24"/>
  <c r="O222" i="24"/>
  <c r="O294" i="24"/>
  <c r="O337" i="24"/>
  <c r="O60" i="24"/>
  <c r="AG57" i="7" s="1"/>
  <c r="O197" i="24"/>
  <c r="O182" i="24"/>
  <c r="O227" i="24"/>
  <c r="O258" i="24"/>
  <c r="O304" i="24"/>
  <c r="O221" i="24"/>
  <c r="O289" i="24"/>
  <c r="O352" i="24"/>
  <c r="O350" i="24"/>
  <c r="O47" i="24"/>
  <c r="O48" i="24"/>
  <c r="O126" i="24"/>
  <c r="O35" i="24"/>
  <c r="O155" i="24"/>
  <c r="O214" i="24"/>
  <c r="O243" i="24"/>
  <c r="O271" i="24"/>
  <c r="O314" i="24"/>
  <c r="O348" i="24"/>
  <c r="O203" i="24"/>
  <c r="O226" i="24"/>
  <c r="O291" i="24"/>
  <c r="O311" i="24"/>
  <c r="O262" i="24"/>
  <c r="O325" i="24"/>
  <c r="O373" i="24"/>
  <c r="O375" i="24"/>
  <c r="O33" i="24"/>
  <c r="O59" i="24"/>
  <c r="O51" i="24"/>
  <c r="O89" i="24"/>
  <c r="O119" i="24"/>
  <c r="AG59" i="7" s="1"/>
  <c r="O147" i="24"/>
  <c r="O174" i="24"/>
  <c r="O77" i="24"/>
  <c r="O23" i="24"/>
  <c r="O57" i="24"/>
  <c r="O75" i="24"/>
  <c r="O52" i="24"/>
  <c r="O105" i="24"/>
  <c r="O132" i="24"/>
  <c r="O159" i="24"/>
  <c r="O69" i="24"/>
  <c r="O21" i="24"/>
  <c r="O71" i="24"/>
  <c r="O95" i="24"/>
  <c r="O153" i="24"/>
  <c r="O102" i="24"/>
  <c r="O179" i="24"/>
  <c r="O224" i="24"/>
  <c r="O259" i="24"/>
  <c r="O277" i="24"/>
  <c r="O319" i="24"/>
  <c r="O342" i="24"/>
  <c r="O151" i="24"/>
  <c r="O190" i="24"/>
  <c r="O245" i="24"/>
  <c r="O300" i="24"/>
  <c r="O217" i="24"/>
  <c r="O276" i="24"/>
  <c r="O353" i="24"/>
  <c r="O351" i="24"/>
  <c r="O376" i="24"/>
  <c r="O22" i="24"/>
  <c r="O79" i="24"/>
  <c r="O61" i="24"/>
  <c r="O113" i="24"/>
  <c r="O145" i="24"/>
  <c r="O172" i="24"/>
  <c r="O90" i="24"/>
  <c r="O137" i="24"/>
  <c r="O186" i="24"/>
  <c r="O209" i="24"/>
  <c r="O275" i="24"/>
  <c r="O331" i="24"/>
  <c r="O111" i="24"/>
  <c r="O184" i="24"/>
  <c r="O163" i="24"/>
  <c r="O216" i="24"/>
  <c r="O251" i="24"/>
  <c r="O302" i="24"/>
  <c r="AG65" i="7" s="1"/>
  <c r="O326" i="24"/>
  <c r="O278" i="24"/>
  <c r="O346" i="24"/>
  <c r="O374" i="24"/>
  <c r="O16" i="24"/>
  <c r="O65" i="24"/>
  <c r="O92" i="24"/>
  <c r="O150" i="24"/>
  <c r="O84" i="24"/>
  <c r="O162" i="24"/>
  <c r="O220" i="24"/>
  <c r="O255" i="24"/>
  <c r="O279" i="24"/>
  <c r="O320" i="24"/>
  <c r="O46" i="24"/>
  <c r="O140" i="24"/>
  <c r="O238" i="24"/>
  <c r="O298" i="24"/>
  <c r="O321" i="24"/>
  <c r="O269" i="24"/>
  <c r="O332" i="24"/>
  <c r="O347" i="24"/>
  <c r="O378" i="24"/>
  <c r="O39" i="24"/>
  <c r="O78" i="24"/>
  <c r="O55" i="24"/>
  <c r="O98" i="24"/>
  <c r="O121" i="24"/>
  <c r="O156" i="24"/>
  <c r="O26" i="24"/>
  <c r="O93" i="24"/>
  <c r="O143" i="24"/>
  <c r="O187" i="24"/>
  <c r="O215" i="24"/>
  <c r="O270" i="24"/>
  <c r="O328" i="24"/>
  <c r="O359" i="24"/>
  <c r="O194" i="24"/>
  <c r="O175" i="24"/>
  <c r="O223" i="24"/>
  <c r="O253" i="24"/>
  <c r="O307" i="24"/>
  <c r="O225" i="24"/>
  <c r="O292" i="24"/>
  <c r="O354" i="24"/>
  <c r="O371" i="24"/>
  <c r="O25" i="24"/>
  <c r="O64" i="24"/>
  <c r="O80" i="24"/>
  <c r="O86" i="24"/>
  <c r="O108" i="24"/>
  <c r="O142" i="24"/>
  <c r="O173" i="24"/>
  <c r="O100" i="24"/>
  <c r="O62" i="24"/>
  <c r="O72" i="24"/>
  <c r="O138" i="24"/>
  <c r="O58" i="24"/>
  <c r="O161" i="24"/>
  <c r="O218" i="24"/>
  <c r="O244" i="24"/>
  <c r="O272" i="24"/>
  <c r="AG64" i="7" s="1"/>
  <c r="O295" i="24"/>
  <c r="O335" i="24"/>
  <c r="O56" i="24"/>
  <c r="O177" i="24"/>
  <c r="O232" i="24"/>
  <c r="O297" i="24"/>
  <c r="O317" i="24"/>
  <c r="O267" i="24"/>
  <c r="O329" i="24"/>
  <c r="O341" i="24"/>
  <c r="O377" i="24"/>
  <c r="O37" i="24"/>
  <c r="O63" i="24"/>
  <c r="O53" i="24"/>
  <c r="O99" i="24"/>
  <c r="O136" i="24"/>
  <c r="O167" i="24"/>
  <c r="O68" i="24"/>
  <c r="O128" i="24"/>
  <c r="O171" i="24"/>
  <c r="O205" i="24"/>
  <c r="O266" i="24"/>
  <c r="O327" i="24"/>
  <c r="O357" i="24"/>
  <c r="O135" i="24"/>
  <c r="O133" i="24"/>
  <c r="O202" i="24"/>
  <c r="O237" i="24"/>
  <c r="O285" i="24"/>
  <c r="O313" i="24"/>
  <c r="O249" i="24"/>
  <c r="O336" i="24"/>
  <c r="O368" i="24"/>
  <c r="O24" i="24"/>
  <c r="O74" i="24"/>
  <c r="O97" i="24"/>
  <c r="O158" i="24"/>
  <c r="O117" i="24"/>
  <c r="O188" i="24"/>
  <c r="O234" i="24"/>
  <c r="O261" i="24"/>
  <c r="O287" i="24"/>
  <c r="O324" i="24"/>
  <c r="O120" i="24"/>
  <c r="O189" i="24"/>
  <c r="O254" i="24"/>
  <c r="O301" i="24"/>
  <c r="O239" i="24"/>
  <c r="O280" i="24"/>
  <c r="O362" i="24"/>
  <c r="O358" i="24"/>
  <c r="O379" i="24"/>
  <c r="C43" i="19" s="1"/>
  <c r="O42" i="24"/>
  <c r="O81" i="24"/>
  <c r="O70" i="24"/>
  <c r="O103" i="24"/>
  <c r="O134" i="24"/>
  <c r="O166" i="24"/>
  <c r="O30" i="24"/>
  <c r="O104" i="24"/>
  <c r="O160" i="24"/>
  <c r="O193" i="24"/>
  <c r="O231" i="24"/>
  <c r="O288" i="24"/>
  <c r="O334" i="24"/>
  <c r="O122" i="24"/>
  <c r="O199" i="24"/>
  <c r="O185" i="24"/>
  <c r="O228" i="24"/>
  <c r="O260" i="24"/>
  <c r="O309" i="24"/>
  <c r="O248" i="24"/>
  <c r="O330" i="24"/>
  <c r="O370" i="24"/>
  <c r="O130" i="24"/>
  <c r="O183" i="24"/>
  <c r="O206" i="24"/>
  <c r="O250" i="24"/>
  <c r="O318" i="24"/>
  <c r="O356" i="24"/>
  <c r="O141" i="24"/>
  <c r="O154" i="24"/>
  <c r="O213" i="24"/>
  <c r="O246" i="24"/>
  <c r="O286" i="24"/>
  <c r="O338" i="24"/>
  <c r="O282" i="24"/>
  <c r="O349" i="24"/>
  <c r="O360" i="24"/>
  <c r="J36" i="19"/>
  <c r="G149" i="17"/>
  <c r="BZ149" i="6" s="1"/>
  <c r="AA149" i="17"/>
  <c r="Z149" i="17" s="1"/>
  <c r="Y149" i="17" s="1"/>
  <c r="P379" i="18"/>
  <c r="V379" i="18" s="1"/>
  <c r="D379" i="18" s="1"/>
  <c r="E379" i="18" s="1"/>
  <c r="F379" i="18" s="1"/>
  <c r="H272" i="17"/>
  <c r="D75" i="7"/>
  <c r="V241" i="18"/>
  <c r="D77" i="7"/>
  <c r="V302" i="18"/>
  <c r="V119" i="18"/>
  <c r="D71" i="7"/>
  <c r="D79" i="7"/>
  <c r="V363" i="18"/>
  <c r="V272" i="18"/>
  <c r="D76" i="7"/>
  <c r="D72" i="7"/>
  <c r="V149" i="18"/>
  <c r="V88" i="18"/>
  <c r="D70" i="7"/>
  <c r="D73" i="7"/>
  <c r="V180" i="18"/>
  <c r="V210" i="18"/>
  <c r="V333" i="18"/>
  <c r="D78" i="7"/>
  <c r="F292" i="18"/>
  <c r="G292" i="18" s="1"/>
  <c r="CA292" i="6" s="1"/>
  <c r="F281" i="18"/>
  <c r="G281" i="18" s="1"/>
  <c r="CA281" i="6" s="1"/>
  <c r="F318" i="18"/>
  <c r="G318" i="18" s="1"/>
  <c r="CA318" i="6" s="1"/>
  <c r="F198" i="18"/>
  <c r="F117" i="18"/>
  <c r="H117" i="18" s="1"/>
  <c r="F266" i="18"/>
  <c r="G266" i="18" s="1"/>
  <c r="CA266" i="6" s="1"/>
  <c r="F132" i="18"/>
  <c r="F275" i="18"/>
  <c r="G275" i="18" s="1"/>
  <c r="CA275" i="6" s="1"/>
  <c r="F186" i="18"/>
  <c r="F325" i="18"/>
  <c r="F257" i="18"/>
  <c r="G257" i="18" s="1"/>
  <c r="CA257" i="6" s="1"/>
  <c r="F233" i="18"/>
  <c r="G233" i="18" s="1"/>
  <c r="CA233" i="6" s="1"/>
  <c r="F72" i="18"/>
  <c r="F178" i="18"/>
  <c r="G178" i="18" s="1"/>
  <c r="CA178" i="6" s="1"/>
  <c r="F316" i="18"/>
  <c r="H316" i="18" s="1"/>
  <c r="F279" i="18"/>
  <c r="G279" i="18" s="1"/>
  <c r="CA279" i="6" s="1"/>
  <c r="F182" i="18"/>
  <c r="H182" i="18" s="1"/>
  <c r="F283" i="18"/>
  <c r="F69" i="18"/>
  <c r="G69" i="18" s="1"/>
  <c r="CA69" i="6" s="1"/>
  <c r="F243" i="18"/>
  <c r="G243" i="18" s="1"/>
  <c r="CA243" i="6" s="1"/>
  <c r="F33" i="18"/>
  <c r="H33" i="18" s="1"/>
  <c r="F264" i="18"/>
  <c r="F98" i="18"/>
  <c r="G98" i="18" s="1"/>
  <c r="CA98" i="6" s="1"/>
  <c r="F127" i="18"/>
  <c r="F94" i="18"/>
  <c r="G94" i="18" s="1"/>
  <c r="CA94" i="6" s="1"/>
  <c r="F41" i="18"/>
  <c r="F317" i="18"/>
  <c r="G317" i="18" s="1"/>
  <c r="CA317" i="6" s="1"/>
  <c r="F66" i="18"/>
  <c r="F213" i="18"/>
  <c r="H213" i="18" s="1"/>
  <c r="F154" i="18"/>
  <c r="G154" i="18" s="1"/>
  <c r="CA154" i="6" s="1"/>
  <c r="F206" i="18"/>
  <c r="H206" i="18" s="1"/>
  <c r="F184" i="18"/>
  <c r="F268" i="18"/>
  <c r="F39" i="18"/>
  <c r="H39" i="18" s="1"/>
  <c r="F17" i="18"/>
  <c r="H17" i="18" s="1"/>
  <c r="F226" i="18"/>
  <c r="H226" i="18" s="1"/>
  <c r="F255" i="18"/>
  <c r="F49" i="18"/>
  <c r="H49" i="18" s="1"/>
  <c r="F142" i="18"/>
  <c r="F261" i="18"/>
  <c r="H261" i="18" s="1"/>
  <c r="F99" i="18"/>
  <c r="H99" i="18" s="1"/>
  <c r="F262" i="18"/>
  <c r="H262" i="18" s="1"/>
  <c r="F205" i="18"/>
  <c r="H205" i="18" s="1"/>
  <c r="F218" i="18"/>
  <c r="F295" i="18"/>
  <c r="H295" i="18" s="1"/>
  <c r="F52" i="18"/>
  <c r="H52" i="18" s="1"/>
  <c r="F354" i="18"/>
  <c r="G354" i="18" s="1"/>
  <c r="CA354" i="6" s="1"/>
  <c r="F128" i="18"/>
  <c r="F28" i="18"/>
  <c r="G28" i="18" s="1"/>
  <c r="CA28" i="6" s="1"/>
  <c r="F203" i="18"/>
  <c r="G203" i="18" s="1"/>
  <c r="CA203" i="6" s="1"/>
  <c r="F280" i="18"/>
  <c r="G280" i="18" s="1"/>
  <c r="CA280" i="6" s="1"/>
  <c r="F38" i="18"/>
  <c r="G38" i="18" s="1"/>
  <c r="CA38" i="6" s="1"/>
  <c r="F223" i="18"/>
  <c r="G223" i="18" s="1"/>
  <c r="CA223" i="6" s="1"/>
  <c r="F189" i="18"/>
  <c r="H189" i="18" s="1"/>
  <c r="F284" i="18"/>
  <c r="H284" i="18" s="1"/>
  <c r="F86" i="18"/>
  <c r="H86" i="18" s="1"/>
  <c r="F346" i="18"/>
  <c r="H346" i="18" s="1"/>
  <c r="F50" i="18"/>
  <c r="G50" i="18" s="1"/>
  <c r="CA50" i="6" s="1"/>
  <c r="F22" i="18"/>
  <c r="H22" i="18" s="1"/>
  <c r="F367" i="18"/>
  <c r="G367" i="18" s="1"/>
  <c r="CA367" i="6" s="1"/>
  <c r="F217" i="18"/>
  <c r="F343" i="18"/>
  <c r="H343" i="18" s="1"/>
  <c r="F224" i="18"/>
  <c r="G224" i="18" s="1"/>
  <c r="CA224" i="6" s="1"/>
  <c r="F26" i="18"/>
  <c r="G26" i="18" s="1"/>
  <c r="CA26" i="6" s="1"/>
  <c r="F322" i="18"/>
  <c r="G322" i="18" s="1"/>
  <c r="CA322" i="6" s="1"/>
  <c r="F87" i="18"/>
  <c r="G87" i="18" s="1"/>
  <c r="CA87" i="6" s="1"/>
  <c r="F356" i="18"/>
  <c r="H356" i="18" s="1"/>
  <c r="F112" i="18"/>
  <c r="F121" i="18"/>
  <c r="H121" i="18" s="1"/>
  <c r="F130" i="18"/>
  <c r="G130" i="18" s="1"/>
  <c r="CA130" i="6" s="1"/>
  <c r="F122" i="18"/>
  <c r="G122" i="18" s="1"/>
  <c r="CA122" i="6" s="1"/>
  <c r="F43" i="18"/>
  <c r="H43" i="18" s="1"/>
  <c r="F81" i="18"/>
  <c r="F211" i="18"/>
  <c r="G211" i="18" s="1"/>
  <c r="CA211" i="6" s="1"/>
  <c r="F306" i="18"/>
  <c r="F274" i="18"/>
  <c r="G274" i="18" s="1"/>
  <c r="CA274" i="6" s="1"/>
  <c r="F202" i="18"/>
  <c r="H202" i="18" s="1"/>
  <c r="F68" i="18"/>
  <c r="F195" i="18"/>
  <c r="H195" i="18" s="1"/>
  <c r="F146" i="18"/>
  <c r="G146" i="18" s="1"/>
  <c r="CA146" i="6" s="1"/>
  <c r="F208" i="18"/>
  <c r="H208" i="18" s="1"/>
  <c r="F301" i="18"/>
  <c r="H301" i="18" s="1"/>
  <c r="F151" i="18"/>
  <c r="G151" i="18" s="1"/>
  <c r="CA151" i="6" s="1"/>
  <c r="F277" i="18"/>
  <c r="G277" i="18" s="1"/>
  <c r="CA277" i="6" s="1"/>
  <c r="F245" i="18"/>
  <c r="G245" i="18" s="1"/>
  <c r="CA245" i="6" s="1"/>
  <c r="F242" i="18"/>
  <c r="G242" i="18" s="1"/>
  <c r="CA242" i="6" s="1"/>
  <c r="F347" i="18"/>
  <c r="G347" i="18" s="1"/>
  <c r="CA347" i="6" s="1"/>
  <c r="Q229" i="18"/>
  <c r="P229" i="18" s="1"/>
  <c r="AC15" i="7"/>
  <c r="AE334" i="18"/>
  <c r="AD334" i="18" s="1"/>
  <c r="AE346" i="18"/>
  <c r="AD346" i="18" s="1"/>
  <c r="AE164" i="18"/>
  <c r="AD164" i="18" s="1"/>
  <c r="AE226" i="18"/>
  <c r="AD226" i="18" s="1"/>
  <c r="AE231" i="18"/>
  <c r="AD231" i="18" s="1"/>
  <c r="AE53" i="18"/>
  <c r="AD53" i="18" s="1"/>
  <c r="AE320" i="18"/>
  <c r="AD320" i="18" s="1"/>
  <c r="AE326" i="18"/>
  <c r="AD326" i="18" s="1"/>
  <c r="AE302" i="18"/>
  <c r="AD302" i="18" s="1"/>
  <c r="AE372" i="18"/>
  <c r="AD372" i="18" s="1"/>
  <c r="AE89" i="18"/>
  <c r="AD89" i="18" s="1"/>
  <c r="AE349" i="18"/>
  <c r="AD349" i="18" s="1"/>
  <c r="AE197" i="18"/>
  <c r="AD197" i="18" s="1"/>
  <c r="AE260" i="18"/>
  <c r="AD260" i="18" s="1"/>
  <c r="AE330" i="18"/>
  <c r="AD330" i="18" s="1"/>
  <c r="AE82" i="18"/>
  <c r="AD82" i="18" s="1"/>
  <c r="AE249" i="18"/>
  <c r="AD249" i="18" s="1"/>
  <c r="AE51" i="18"/>
  <c r="AD51" i="18" s="1"/>
  <c r="AE177" i="18"/>
  <c r="AD177" i="18" s="1"/>
  <c r="AE336" i="18"/>
  <c r="AD336" i="18" s="1"/>
  <c r="AE316" i="18"/>
  <c r="AD316" i="18" s="1"/>
  <c r="AE185" i="18"/>
  <c r="AD185" i="18" s="1"/>
  <c r="AE143" i="18"/>
  <c r="AD143" i="18" s="1"/>
  <c r="AE61" i="18"/>
  <c r="AD61" i="18" s="1"/>
  <c r="AE141" i="18"/>
  <c r="AD141" i="18" s="1"/>
  <c r="AE15" i="18"/>
  <c r="AE214" i="18"/>
  <c r="AD214" i="18" s="1"/>
  <c r="AE122" i="18"/>
  <c r="AD122" i="18" s="1"/>
  <c r="AE137" i="18"/>
  <c r="AD137" i="18" s="1"/>
  <c r="AE283" i="18"/>
  <c r="AD283" i="18" s="1"/>
  <c r="AE217" i="18"/>
  <c r="AD217" i="18" s="1"/>
  <c r="AE29" i="18"/>
  <c r="AD29" i="18" s="1"/>
  <c r="AE186" i="18"/>
  <c r="AD186" i="18" s="1"/>
  <c r="AE241" i="18"/>
  <c r="AD241" i="18" s="1"/>
  <c r="AE123" i="18"/>
  <c r="AD123" i="18" s="1"/>
  <c r="AE126" i="18"/>
  <c r="AD126" i="18" s="1"/>
  <c r="AE293" i="18"/>
  <c r="AD293" i="18" s="1"/>
  <c r="AE104" i="18"/>
  <c r="AD104" i="18" s="1"/>
  <c r="AE368" i="18"/>
  <c r="AD368" i="18" s="1"/>
  <c r="AE178" i="18"/>
  <c r="AD178" i="18" s="1"/>
  <c r="AE206" i="18"/>
  <c r="AD206" i="18" s="1"/>
  <c r="AE90" i="18"/>
  <c r="AD90" i="18" s="1"/>
  <c r="AE273" i="18"/>
  <c r="AD273" i="18" s="1"/>
  <c r="AE98" i="18"/>
  <c r="AD98" i="18" s="1"/>
  <c r="AE114" i="18"/>
  <c r="AD114" i="18" s="1"/>
  <c r="AE93" i="18"/>
  <c r="AD93" i="18" s="1"/>
  <c r="AE58" i="18"/>
  <c r="AD58" i="18" s="1"/>
  <c r="AE113" i="18"/>
  <c r="AD113" i="18" s="1"/>
  <c r="AE74" i="18"/>
  <c r="AD74" i="18" s="1"/>
  <c r="AE300" i="18"/>
  <c r="AD300" i="18" s="1"/>
  <c r="AE94" i="18"/>
  <c r="AD94" i="18" s="1"/>
  <c r="AE168" i="18"/>
  <c r="AD168" i="18" s="1"/>
  <c r="AE38" i="18"/>
  <c r="AD38" i="18" s="1"/>
  <c r="AE205" i="18"/>
  <c r="AD205" i="18" s="1"/>
  <c r="AE60" i="18"/>
  <c r="AD60" i="18" s="1"/>
  <c r="AE30" i="18"/>
  <c r="AD30" i="18" s="1"/>
  <c r="AE181" i="18"/>
  <c r="AD181" i="18" s="1"/>
  <c r="AE91" i="18"/>
  <c r="AD91" i="18" s="1"/>
  <c r="AE209" i="18"/>
  <c r="AD209" i="18" s="1"/>
  <c r="AE73" i="18"/>
  <c r="AD73" i="18" s="1"/>
  <c r="AE244" i="18"/>
  <c r="AD244" i="18" s="1"/>
  <c r="AE190" i="18"/>
  <c r="AD190" i="18" s="1"/>
  <c r="AE183" i="18"/>
  <c r="AD183" i="18" s="1"/>
  <c r="AE321" i="18"/>
  <c r="AD321" i="18" s="1"/>
  <c r="AE301" i="18"/>
  <c r="AD301" i="18" s="1"/>
  <c r="AE59" i="18"/>
  <c r="AD59" i="18" s="1"/>
  <c r="AE254" i="18"/>
  <c r="AD254" i="18" s="1"/>
  <c r="AE56" i="18"/>
  <c r="AD56" i="18" s="1"/>
  <c r="AE266" i="18"/>
  <c r="AD266" i="18" s="1"/>
  <c r="AE210" i="18"/>
  <c r="AD210" i="18" s="1"/>
  <c r="AE377" i="18"/>
  <c r="AD377" i="18" s="1"/>
  <c r="AE142" i="18"/>
  <c r="AD142" i="18" s="1"/>
  <c r="AE63" i="18"/>
  <c r="AD63" i="18" s="1"/>
  <c r="AE262" i="18"/>
  <c r="AD262" i="18" s="1"/>
  <c r="AE252" i="18"/>
  <c r="AD252" i="18" s="1"/>
  <c r="AE158" i="18"/>
  <c r="AD158" i="18" s="1"/>
  <c r="AE234" i="18"/>
  <c r="AD234" i="18" s="1"/>
  <c r="AE256" i="18"/>
  <c r="AD256" i="18" s="1"/>
  <c r="AE198" i="18"/>
  <c r="AD198" i="18" s="1"/>
  <c r="AE328" i="18"/>
  <c r="AD328" i="18" s="1"/>
  <c r="AE278" i="18"/>
  <c r="AD278" i="18" s="1"/>
  <c r="AE250" i="18"/>
  <c r="AD250" i="18" s="1"/>
  <c r="AE220" i="18"/>
  <c r="AD220" i="18" s="1"/>
  <c r="AE246" i="18"/>
  <c r="AD246" i="18" s="1"/>
  <c r="AE135" i="18"/>
  <c r="AD135" i="18" s="1"/>
  <c r="AE322" i="18"/>
  <c r="AD322" i="18" s="1"/>
  <c r="AE159" i="18"/>
  <c r="AD159" i="18" s="1"/>
  <c r="AE230" i="18"/>
  <c r="AD230" i="18" s="1"/>
  <c r="AE303" i="18"/>
  <c r="AD303" i="18" s="1"/>
  <c r="AE199" i="18"/>
  <c r="AD199" i="18" s="1"/>
  <c r="AE350" i="18"/>
  <c r="AD350" i="18" s="1"/>
  <c r="AE111" i="18"/>
  <c r="AD111" i="18" s="1"/>
  <c r="AE281" i="18"/>
  <c r="AD281" i="18" s="1"/>
  <c r="AE67" i="18"/>
  <c r="AD67" i="18" s="1"/>
  <c r="AE360" i="18"/>
  <c r="AD360" i="18" s="1"/>
  <c r="AE166" i="18"/>
  <c r="AD166" i="18" s="1"/>
  <c r="AE333" i="18"/>
  <c r="AD333" i="18" s="1"/>
  <c r="AE105" i="18"/>
  <c r="AD105" i="18" s="1"/>
  <c r="AE229" i="18"/>
  <c r="AD229" i="18" s="1"/>
  <c r="AE79" i="18"/>
  <c r="AD79" i="18" s="1"/>
  <c r="AE354" i="18"/>
  <c r="AD354" i="18" s="1"/>
  <c r="AE269" i="18"/>
  <c r="AD269" i="18" s="1"/>
  <c r="AE110" i="18"/>
  <c r="AD110" i="18" s="1"/>
  <c r="AE52" i="18"/>
  <c r="AD52" i="18" s="1"/>
  <c r="AE163" i="18"/>
  <c r="AD163" i="18" s="1"/>
  <c r="AE375" i="18"/>
  <c r="AD375" i="18" s="1"/>
  <c r="AE20" i="18"/>
  <c r="AD20" i="18" s="1"/>
  <c r="AE48" i="18"/>
  <c r="AD48" i="18" s="1"/>
  <c r="AE96" i="18"/>
  <c r="AD96" i="18" s="1"/>
  <c r="AE88" i="18"/>
  <c r="AD88" i="18" s="1"/>
  <c r="AE255" i="18"/>
  <c r="AD255" i="18" s="1"/>
  <c r="AE85" i="18"/>
  <c r="AD85" i="18" s="1"/>
  <c r="AE112" i="18"/>
  <c r="AD112" i="18" s="1"/>
  <c r="AE295" i="18"/>
  <c r="AD295" i="18" s="1"/>
  <c r="AE179" i="18"/>
  <c r="AD179" i="18" s="1"/>
  <c r="AE68" i="18"/>
  <c r="AD68" i="18" s="1"/>
  <c r="AE235" i="18"/>
  <c r="AD235" i="18" s="1"/>
  <c r="AE87" i="18"/>
  <c r="AD87" i="18" s="1"/>
  <c r="AE286" i="18"/>
  <c r="AD286" i="18" s="1"/>
  <c r="AE271" i="18"/>
  <c r="AD271" i="18" s="1"/>
  <c r="AE189" i="18"/>
  <c r="AD189" i="18" s="1"/>
  <c r="AE16" i="18"/>
  <c r="AD16" i="18" s="1"/>
  <c r="AE147" i="18"/>
  <c r="AD147" i="18" s="1"/>
  <c r="AE225" i="18"/>
  <c r="AD225" i="18" s="1"/>
  <c r="AE152" i="18"/>
  <c r="AD152" i="18" s="1"/>
  <c r="AE265" i="18"/>
  <c r="AD265" i="18" s="1"/>
  <c r="AE54" i="18"/>
  <c r="AD54" i="18" s="1"/>
  <c r="AE108" i="18"/>
  <c r="AD108" i="18" s="1"/>
  <c r="AE157" i="18"/>
  <c r="AD157" i="18" s="1"/>
  <c r="AE287" i="18"/>
  <c r="AD287" i="18" s="1"/>
  <c r="AE358" i="18"/>
  <c r="AD358" i="18" s="1"/>
  <c r="AE251" i="18"/>
  <c r="AD251" i="18" s="1"/>
  <c r="AE25" i="18"/>
  <c r="AD25" i="18" s="1"/>
  <c r="AE184" i="18"/>
  <c r="AD184" i="18" s="1"/>
  <c r="AE232" i="18"/>
  <c r="AD232" i="18" s="1"/>
  <c r="AE49" i="18"/>
  <c r="AD49" i="18" s="1"/>
  <c r="AE208" i="18"/>
  <c r="AD208" i="18" s="1"/>
  <c r="AE40" i="18"/>
  <c r="AD40" i="18" s="1"/>
  <c r="AE139" i="18"/>
  <c r="AD139" i="18" s="1"/>
  <c r="AE306" i="18"/>
  <c r="AD306" i="18" s="1"/>
  <c r="AE297" i="18"/>
  <c r="AD297" i="18" s="1"/>
  <c r="AE357" i="18"/>
  <c r="AD357" i="18" s="1"/>
  <c r="AE356" i="18"/>
  <c r="AD356" i="18" s="1"/>
  <c r="AE34" i="18"/>
  <c r="AD34" i="18" s="1"/>
  <c r="AE103" i="18"/>
  <c r="AD103" i="18" s="1"/>
  <c r="AE373" i="18"/>
  <c r="AD373" i="18" s="1"/>
  <c r="AE86" i="18"/>
  <c r="AD86" i="18" s="1"/>
  <c r="AE223" i="18"/>
  <c r="AD223" i="18" s="1"/>
  <c r="AE55" i="18"/>
  <c r="AD55" i="18" s="1"/>
  <c r="AE193" i="18"/>
  <c r="AD193" i="18" s="1"/>
  <c r="AE45" i="18"/>
  <c r="AD45" i="18" s="1"/>
  <c r="AE288" i="18"/>
  <c r="AD288" i="18" s="1"/>
  <c r="AE216" i="18"/>
  <c r="AD216" i="18" s="1"/>
  <c r="AE26" i="18"/>
  <c r="AD26" i="18" s="1"/>
  <c r="AE138" i="18"/>
  <c r="AD138" i="18" s="1"/>
  <c r="AE327" i="18"/>
  <c r="AD327" i="18" s="1"/>
  <c r="AE121" i="18"/>
  <c r="AD121" i="18" s="1"/>
  <c r="AE371" i="18"/>
  <c r="AD371" i="18" s="1"/>
  <c r="AE319" i="18"/>
  <c r="AD319" i="18" s="1"/>
  <c r="AE145" i="18"/>
  <c r="AD145" i="18" s="1"/>
  <c r="AE124" i="18"/>
  <c r="AD124" i="18" s="1"/>
  <c r="AE259" i="18"/>
  <c r="AD259" i="18" s="1"/>
  <c r="AE106" i="18"/>
  <c r="AD106" i="18" s="1"/>
  <c r="AE379" i="18"/>
  <c r="AE12" i="20" s="1"/>
  <c r="AE144" i="18"/>
  <c r="AD144" i="18" s="1"/>
  <c r="AE200" i="18"/>
  <c r="AD200" i="18" s="1"/>
  <c r="AE150" i="18"/>
  <c r="AD150" i="18" s="1"/>
  <c r="AE351" i="18"/>
  <c r="AD351" i="18" s="1"/>
  <c r="AE92" i="18"/>
  <c r="AD92" i="18" s="1"/>
  <c r="AE374" i="18"/>
  <c r="AD374" i="18" s="1"/>
  <c r="AE17" i="18"/>
  <c r="AD17" i="18" s="1"/>
  <c r="AE194" i="18"/>
  <c r="AD194" i="18" s="1"/>
  <c r="AE340" i="18"/>
  <c r="AD340" i="18" s="1"/>
  <c r="AE331" i="18"/>
  <c r="AD331" i="18" s="1"/>
  <c r="AE175" i="18"/>
  <c r="AD175" i="18" s="1"/>
  <c r="AE153" i="18"/>
  <c r="AD153" i="18" s="1"/>
  <c r="AE312" i="18"/>
  <c r="AD312" i="18" s="1"/>
  <c r="AE277" i="18"/>
  <c r="AD277" i="18" s="1"/>
  <c r="AE240" i="18"/>
  <c r="AD240" i="18" s="1"/>
  <c r="AE50" i="18"/>
  <c r="AD50" i="18" s="1"/>
  <c r="AE169" i="18"/>
  <c r="AD169" i="18" s="1"/>
  <c r="AE248" i="18"/>
  <c r="AD248" i="18" s="1"/>
  <c r="AE156" i="18"/>
  <c r="AD156" i="18" s="1"/>
  <c r="AE310" i="18"/>
  <c r="AD310" i="18" s="1"/>
  <c r="AE263" i="18"/>
  <c r="AD263" i="18" s="1"/>
  <c r="AE32" i="18"/>
  <c r="AD32" i="18" s="1"/>
  <c r="AE69" i="18"/>
  <c r="AD69" i="18" s="1"/>
  <c r="AE132" i="18"/>
  <c r="AD132" i="18" s="1"/>
  <c r="AE239" i="18"/>
  <c r="AD239" i="18" s="1"/>
  <c r="AE172" i="18"/>
  <c r="AD172" i="18" s="1"/>
  <c r="AE323" i="18"/>
  <c r="AD323" i="18" s="1"/>
  <c r="AE115" i="18"/>
  <c r="AD115" i="18" s="1"/>
  <c r="AE196" i="18"/>
  <c r="AD196" i="18" s="1"/>
  <c r="AE363" i="18"/>
  <c r="AD363" i="18" s="1"/>
  <c r="AE162" i="18"/>
  <c r="AD162" i="18" s="1"/>
  <c r="AE359" i="18"/>
  <c r="AD359" i="18" s="1"/>
  <c r="AE136" i="18"/>
  <c r="AD136" i="18" s="1"/>
  <c r="AE315" i="18"/>
  <c r="AD315" i="18" s="1"/>
  <c r="AE228" i="18"/>
  <c r="AD228" i="18" s="1"/>
  <c r="AE238" i="18"/>
  <c r="AD238" i="18" s="1"/>
  <c r="AE180" i="18"/>
  <c r="AD180" i="18" s="1"/>
  <c r="AE62" i="18"/>
  <c r="AD62" i="18" s="1"/>
  <c r="AE130" i="18"/>
  <c r="AD130" i="18" s="1"/>
  <c r="AE31" i="18"/>
  <c r="AD31" i="18" s="1"/>
  <c r="AE102" i="18"/>
  <c r="AD102" i="18" s="1"/>
  <c r="AE224" i="18"/>
  <c r="AD224" i="18" s="1"/>
  <c r="AE344" i="18"/>
  <c r="AD344" i="18" s="1"/>
  <c r="AE154" i="18"/>
  <c r="AD154" i="18" s="1"/>
  <c r="AE213" i="18"/>
  <c r="AD213" i="18" s="1"/>
  <c r="AE237" i="18"/>
  <c r="AD237" i="18" s="1"/>
  <c r="AE39" i="18"/>
  <c r="AD39" i="18" s="1"/>
  <c r="AE307" i="18"/>
  <c r="AD307" i="18" s="1"/>
  <c r="AE324" i="18"/>
  <c r="AD324" i="18" s="1"/>
  <c r="AE134" i="18"/>
  <c r="AD134" i="18" s="1"/>
  <c r="AE215" i="18"/>
  <c r="AD215" i="18" s="1"/>
  <c r="AE332" i="18"/>
  <c r="AD332" i="18" s="1"/>
  <c r="AE42" i="18"/>
  <c r="AD42" i="18" s="1"/>
  <c r="AE317" i="18"/>
  <c r="AD317" i="18" s="1"/>
  <c r="AE272" i="18"/>
  <c r="AD272" i="18" s="1"/>
  <c r="AE275" i="18"/>
  <c r="AD275" i="18" s="1"/>
  <c r="AE97" i="18"/>
  <c r="AD97" i="18" s="1"/>
  <c r="AE261" i="18"/>
  <c r="AD261" i="18" s="1"/>
  <c r="AE28" i="18"/>
  <c r="AD28" i="18" s="1"/>
  <c r="AE182" i="18"/>
  <c r="AD182" i="18" s="1"/>
  <c r="AE364" i="18"/>
  <c r="AD364" i="18" s="1"/>
  <c r="AE285" i="18"/>
  <c r="AD285" i="18" s="1"/>
  <c r="AE325" i="18"/>
  <c r="AD325" i="18" s="1"/>
  <c r="AE127" i="18"/>
  <c r="AD127" i="18" s="1"/>
  <c r="AE279" i="18"/>
  <c r="AD279" i="18" s="1"/>
  <c r="AE204" i="18"/>
  <c r="AD204" i="18" s="1"/>
  <c r="AE245" i="18"/>
  <c r="AD245" i="18" s="1"/>
  <c r="AE27" i="18"/>
  <c r="AD27" i="18" s="1"/>
  <c r="AE81" i="18"/>
  <c r="AD81" i="18" s="1"/>
  <c r="AE339" i="18"/>
  <c r="AD339" i="18" s="1"/>
  <c r="AE289" i="18"/>
  <c r="AD289" i="18" s="1"/>
  <c r="AE280" i="18"/>
  <c r="AD280" i="18" s="1"/>
  <c r="AE247" i="18"/>
  <c r="AD247" i="18" s="1"/>
  <c r="AE148" i="18"/>
  <c r="AD148" i="18" s="1"/>
  <c r="AE304" i="18"/>
  <c r="AD304" i="18" s="1"/>
  <c r="AE367" i="18"/>
  <c r="AD367" i="18" s="1"/>
  <c r="AE71" i="18"/>
  <c r="AD71" i="18" s="1"/>
  <c r="AE222" i="18"/>
  <c r="AD222" i="18" s="1"/>
  <c r="AE243" i="18"/>
  <c r="AD243" i="18" s="1"/>
  <c r="AE305" i="18"/>
  <c r="AD305" i="18" s="1"/>
  <c r="AE107" i="18"/>
  <c r="AD107" i="18" s="1"/>
  <c r="AE361" i="18"/>
  <c r="AD361" i="18" s="1"/>
  <c r="AE376" i="18"/>
  <c r="AD376" i="18" s="1"/>
  <c r="AE335" i="18"/>
  <c r="AD335" i="18" s="1"/>
  <c r="AE253" i="18"/>
  <c r="AD253" i="18" s="1"/>
  <c r="AE43" i="18"/>
  <c r="AD43" i="18" s="1"/>
  <c r="AE72" i="18"/>
  <c r="AD72" i="18" s="1"/>
  <c r="AE22" i="18"/>
  <c r="AD22" i="18" s="1"/>
  <c r="AE95" i="18"/>
  <c r="AD95" i="18" s="1"/>
  <c r="AE329" i="18"/>
  <c r="AD329" i="18" s="1"/>
  <c r="AE347" i="18"/>
  <c r="AD347" i="18" s="1"/>
  <c r="AE345" i="18"/>
  <c r="AD345" i="18" s="1"/>
  <c r="AE66" i="18"/>
  <c r="AD66" i="18" s="1"/>
  <c r="AE212" i="18"/>
  <c r="AD212" i="18" s="1"/>
  <c r="AE75" i="18"/>
  <c r="AD75" i="18" s="1"/>
  <c r="AE47" i="18"/>
  <c r="AD47" i="18" s="1"/>
  <c r="AE44" i="18"/>
  <c r="AD44" i="18" s="1"/>
  <c r="AE195" i="18"/>
  <c r="AD195" i="18" s="1"/>
  <c r="AE149" i="18"/>
  <c r="AD149" i="18" s="1"/>
  <c r="AE365" i="18"/>
  <c r="AD365" i="18" s="1"/>
  <c r="AE167" i="18"/>
  <c r="AD167" i="18" s="1"/>
  <c r="AE41" i="18"/>
  <c r="AD41" i="18" s="1"/>
  <c r="AE218" i="18"/>
  <c r="AD218" i="18" s="1"/>
  <c r="AE36" i="18"/>
  <c r="AD36" i="18" s="1"/>
  <c r="AE151" i="18"/>
  <c r="AD151" i="18" s="1"/>
  <c r="AE313" i="18"/>
  <c r="AD313" i="18" s="1"/>
  <c r="AE117" i="18"/>
  <c r="AD117" i="18" s="1"/>
  <c r="AE155" i="18"/>
  <c r="AD155" i="18" s="1"/>
  <c r="AE337" i="18"/>
  <c r="AD337" i="18" s="1"/>
  <c r="AE298" i="18"/>
  <c r="AD298" i="18" s="1"/>
  <c r="AE192" i="18"/>
  <c r="AD192" i="18" s="1"/>
  <c r="AE70" i="18"/>
  <c r="AD70" i="18" s="1"/>
  <c r="AE174" i="18"/>
  <c r="AD174" i="18" s="1"/>
  <c r="AE353" i="18"/>
  <c r="AD353" i="18" s="1"/>
  <c r="AE35" i="18"/>
  <c r="AD35" i="18" s="1"/>
  <c r="AE284" i="18"/>
  <c r="AD284" i="18" s="1"/>
  <c r="AE65" i="18"/>
  <c r="AD65" i="18" s="1"/>
  <c r="AE146" i="18"/>
  <c r="AD146" i="18" s="1"/>
  <c r="AE160" i="18"/>
  <c r="AD160" i="18" s="1"/>
  <c r="AE99" i="18"/>
  <c r="AD99" i="18" s="1"/>
  <c r="AE282" i="18"/>
  <c r="AD282" i="18" s="1"/>
  <c r="AE296" i="18"/>
  <c r="AD296" i="18" s="1"/>
  <c r="AE294" i="18"/>
  <c r="AD294" i="18" s="1"/>
  <c r="AE80" i="18"/>
  <c r="AD80" i="18" s="1"/>
  <c r="AE188" i="18"/>
  <c r="AD188" i="18" s="1"/>
  <c r="AE131" i="18"/>
  <c r="AD131" i="18" s="1"/>
  <c r="AE19" i="18"/>
  <c r="AD19" i="18" s="1"/>
  <c r="AE290" i="18"/>
  <c r="AD290" i="18" s="1"/>
  <c r="AE242" i="18"/>
  <c r="AD242" i="18" s="1"/>
  <c r="AE264" i="18"/>
  <c r="AD264" i="18" s="1"/>
  <c r="AE342" i="18"/>
  <c r="AD342" i="18" s="1"/>
  <c r="AE378" i="18"/>
  <c r="AD378" i="18" s="1"/>
  <c r="AE366" i="18"/>
  <c r="AD366" i="18" s="1"/>
  <c r="AE308" i="18"/>
  <c r="AD308" i="18" s="1"/>
  <c r="AE318" i="18"/>
  <c r="AD318" i="18" s="1"/>
  <c r="AE258" i="18"/>
  <c r="AD258" i="18" s="1"/>
  <c r="AE276" i="18"/>
  <c r="AD276" i="18" s="1"/>
  <c r="AE203" i="18"/>
  <c r="AD203" i="18" s="1"/>
  <c r="AE352" i="18"/>
  <c r="AD352" i="18" s="1"/>
  <c r="AE227" i="18"/>
  <c r="AD227" i="18" s="1"/>
  <c r="AE37" i="18"/>
  <c r="AD37" i="18" s="1"/>
  <c r="AE341" i="18"/>
  <c r="AD341" i="18" s="1"/>
  <c r="AE267" i="18"/>
  <c r="AD267" i="18" s="1"/>
  <c r="AE77" i="18"/>
  <c r="AD77" i="18" s="1"/>
  <c r="AE78" i="18"/>
  <c r="AD78" i="18" s="1"/>
  <c r="AE191" i="18"/>
  <c r="AD191" i="18" s="1"/>
  <c r="AE18" i="18"/>
  <c r="AD18" i="18" s="1"/>
  <c r="AE343" i="18"/>
  <c r="AD343" i="18" s="1"/>
  <c r="AE76" i="18"/>
  <c r="AD76" i="18" s="1"/>
  <c r="AE170" i="18"/>
  <c r="AD170" i="18" s="1"/>
  <c r="AE64" i="18"/>
  <c r="AD64" i="18" s="1"/>
  <c r="AE171" i="18"/>
  <c r="AD171" i="18" s="1"/>
  <c r="AE46" i="18"/>
  <c r="AD46" i="18" s="1"/>
  <c r="AE116" i="18"/>
  <c r="AD116" i="18" s="1"/>
  <c r="AE291" i="18"/>
  <c r="AD291" i="18" s="1"/>
  <c r="AE211" i="18"/>
  <c r="AD211" i="18" s="1"/>
  <c r="AE161" i="18"/>
  <c r="AD161" i="18" s="1"/>
  <c r="AE24" i="18"/>
  <c r="AD24" i="18" s="1"/>
  <c r="AE119" i="18"/>
  <c r="AD119" i="18" s="1"/>
  <c r="AE129" i="18"/>
  <c r="AD129" i="18" s="1"/>
  <c r="AE274" i="18"/>
  <c r="AD274" i="18" s="1"/>
  <c r="AE221" i="18"/>
  <c r="AD221" i="18" s="1"/>
  <c r="AE314" i="18"/>
  <c r="AD314" i="18" s="1"/>
  <c r="AE369" i="18"/>
  <c r="AD369" i="18" s="1"/>
  <c r="AE202" i="18"/>
  <c r="AD202" i="18" s="1"/>
  <c r="AE338" i="18"/>
  <c r="AD338" i="18" s="1"/>
  <c r="AE140" i="18"/>
  <c r="AD140" i="18" s="1"/>
  <c r="AE233" i="18"/>
  <c r="AD233" i="18" s="1"/>
  <c r="AE120" i="18"/>
  <c r="AD120" i="18" s="1"/>
  <c r="AE207" i="18"/>
  <c r="AD207" i="18" s="1"/>
  <c r="AE125" i="18"/>
  <c r="AD125" i="18" s="1"/>
  <c r="AE370" i="18"/>
  <c r="AD370" i="18" s="1"/>
  <c r="AE309" i="18"/>
  <c r="AD309" i="18" s="1"/>
  <c r="AE219" i="18"/>
  <c r="AD219" i="18" s="1"/>
  <c r="AE100" i="18"/>
  <c r="AD100" i="18" s="1"/>
  <c r="AE201" i="18"/>
  <c r="AD201" i="18" s="1"/>
  <c r="AE118" i="18"/>
  <c r="AD118" i="18" s="1"/>
  <c r="AE236" i="18"/>
  <c r="AD236" i="18" s="1"/>
  <c r="AE311" i="18"/>
  <c r="AD311" i="18" s="1"/>
  <c r="AE84" i="18"/>
  <c r="AD84" i="18" s="1"/>
  <c r="AE176" i="18"/>
  <c r="AD176" i="18" s="1"/>
  <c r="AE187" i="18"/>
  <c r="AD187" i="18" s="1"/>
  <c r="AE355" i="18"/>
  <c r="AD355" i="18" s="1"/>
  <c r="AE165" i="18"/>
  <c r="AD165" i="18" s="1"/>
  <c r="AE21" i="18"/>
  <c r="AD21" i="18" s="1"/>
  <c r="AE109" i="18"/>
  <c r="AD109" i="18" s="1"/>
  <c r="AE268" i="18"/>
  <c r="AD268" i="18" s="1"/>
  <c r="AE270" i="18"/>
  <c r="AD270" i="18" s="1"/>
  <c r="AE101" i="18"/>
  <c r="AD101" i="18" s="1"/>
  <c r="AE292" i="18"/>
  <c r="AD292" i="18" s="1"/>
  <c r="AE23" i="18"/>
  <c r="AD23" i="18" s="1"/>
  <c r="AE57" i="18"/>
  <c r="AD57" i="18" s="1"/>
  <c r="AE362" i="18"/>
  <c r="AD362" i="18" s="1"/>
  <c r="AE128" i="18"/>
  <c r="AD128" i="18" s="1"/>
  <c r="AE299" i="18"/>
  <c r="AD299" i="18" s="1"/>
  <c r="AE83" i="18"/>
  <c r="AD83" i="18" s="1"/>
  <c r="AE33" i="18"/>
  <c r="AD33" i="18" s="1"/>
  <c r="AE133" i="18"/>
  <c r="AD133" i="18" s="1"/>
  <c r="AE348" i="18"/>
  <c r="AD348" i="18" s="1"/>
  <c r="AE257" i="18"/>
  <c r="AD257" i="18" s="1"/>
  <c r="AE173" i="18"/>
  <c r="AD173" i="18" s="1"/>
  <c r="Q323" i="18"/>
  <c r="P323" i="18" s="1"/>
  <c r="V323" i="18" s="1"/>
  <c r="Q159" i="18"/>
  <c r="P159" i="18" s="1"/>
  <c r="V159" i="18" s="1"/>
  <c r="Q113" i="18"/>
  <c r="P113" i="18" s="1"/>
  <c r="V113" i="18" s="1"/>
  <c r="Q111" i="18"/>
  <c r="P111" i="18" s="1"/>
  <c r="V111" i="18" s="1"/>
  <c r="Q312" i="18"/>
  <c r="P312" i="18" s="1"/>
  <c r="Q366" i="18"/>
  <c r="P366" i="18" s="1"/>
  <c r="V366" i="18" s="1"/>
  <c r="F366" i="18" s="1"/>
  <c r="AA366" i="18" s="1"/>
  <c r="Z366" i="18" s="1"/>
  <c r="Y366" i="18" s="1"/>
  <c r="F379" i="17"/>
  <c r="H379" i="17" s="1"/>
  <c r="M64" i="19"/>
  <c r="F310" i="18"/>
  <c r="AA310" i="18" s="1"/>
  <c r="Z310" i="18" s="1"/>
  <c r="Y310" i="18" s="1"/>
  <c r="F256" i="18"/>
  <c r="G256" i="18" s="1"/>
  <c r="CA256" i="6" s="1"/>
  <c r="F82" i="18"/>
  <c r="H82" i="18" s="1"/>
  <c r="F141" i="18"/>
  <c r="F222" i="18"/>
  <c r="G222" i="18" s="1"/>
  <c r="CA222" i="6" s="1"/>
  <c r="F73" i="18"/>
  <c r="G73" i="18" s="1"/>
  <c r="CA73" i="6" s="1"/>
  <c r="F175" i="18"/>
  <c r="F286" i="18"/>
  <c r="F371" i="18"/>
  <c r="H371" i="18" s="1"/>
  <c r="F152" i="18"/>
  <c r="G152" i="18" s="1"/>
  <c r="CA152" i="6" s="1"/>
  <c r="F291" i="18"/>
  <c r="F129" i="18"/>
  <c r="H129" i="18" s="1"/>
  <c r="F32" i="18"/>
  <c r="H32" i="18" s="1"/>
  <c r="F308" i="18"/>
  <c r="F158" i="18"/>
  <c r="F24" i="18"/>
  <c r="H24" i="18" s="1"/>
  <c r="F150" i="18"/>
  <c r="G150" i="18" s="1"/>
  <c r="CA150" i="6" s="1"/>
  <c r="F370" i="18"/>
  <c r="G370" i="18" s="1"/>
  <c r="CA370" i="6" s="1"/>
  <c r="F285" i="18"/>
  <c r="F321" i="18"/>
  <c r="G321" i="18" s="1"/>
  <c r="CA321" i="6" s="1"/>
  <c r="F313" i="18"/>
  <c r="G313" i="18" s="1"/>
  <c r="CA313" i="6" s="1"/>
  <c r="F342" i="18"/>
  <c r="G342" i="18" s="1"/>
  <c r="CA342" i="6" s="1"/>
  <c r="F103" i="18"/>
  <c r="F376" i="18"/>
  <c r="F51" i="18"/>
  <c r="F25" i="18"/>
  <c r="H25" i="18" s="1"/>
  <c r="F240" i="18"/>
  <c r="H240" i="18" s="1"/>
  <c r="F155" i="18"/>
  <c r="F18" i="18"/>
  <c r="F260" i="18"/>
  <c r="G260" i="18" s="1"/>
  <c r="CA260" i="6" s="1"/>
  <c r="F85" i="18"/>
  <c r="F131" i="18"/>
  <c r="F235" i="18"/>
  <c r="H235" i="18" s="1"/>
  <c r="F228" i="18"/>
  <c r="F252" i="18"/>
  <c r="H252" i="18" s="1"/>
  <c r="F337" i="18"/>
  <c r="G337" i="18" s="1"/>
  <c r="CA337" i="6" s="1"/>
  <c r="F304" i="18"/>
  <c r="G304" i="18" s="1"/>
  <c r="CA304" i="6" s="1"/>
  <c r="F350" i="18"/>
  <c r="G350" i="18" s="1"/>
  <c r="CA350" i="6" s="1"/>
  <c r="F209" i="18"/>
  <c r="G209" i="18" s="1"/>
  <c r="CA209" i="6" s="1"/>
  <c r="F91" i="18"/>
  <c r="H91" i="18" s="1"/>
  <c r="F339" i="18"/>
  <c r="G339" i="18" s="1"/>
  <c r="CA339" i="6" s="1"/>
  <c r="F181" i="18"/>
  <c r="H181" i="18" s="1"/>
  <c r="F84" i="18"/>
  <c r="G84" i="18" s="1"/>
  <c r="CA84" i="6" s="1"/>
  <c r="F299" i="18"/>
  <c r="F289" i="18"/>
  <c r="G289" i="18" s="1"/>
  <c r="CA289" i="6" s="1"/>
  <c r="F364" i="18"/>
  <c r="G364" i="18" s="1"/>
  <c r="CA364" i="6" s="1"/>
  <c r="F134" i="18"/>
  <c r="G134" i="18" s="1"/>
  <c r="CA134" i="6" s="1"/>
  <c r="F48" i="18"/>
  <c r="G48" i="18" s="1"/>
  <c r="CA48" i="6" s="1"/>
  <c r="F162" i="18"/>
  <c r="G162" i="18" s="1"/>
  <c r="CA162" i="6" s="1"/>
  <c r="F234" i="18"/>
  <c r="F172" i="18"/>
  <c r="H172" i="18" s="1"/>
  <c r="F197" i="18"/>
  <c r="H197" i="18" s="1"/>
  <c r="F100" i="18"/>
  <c r="G100" i="18" s="1"/>
  <c r="CA100" i="6" s="1"/>
  <c r="F104" i="18"/>
  <c r="G104" i="18" s="1"/>
  <c r="CA104" i="6" s="1"/>
  <c r="F214" i="18"/>
  <c r="H214" i="18" s="1"/>
  <c r="F64" i="18"/>
  <c r="H64" i="18" s="1"/>
  <c r="F287" i="18"/>
  <c r="H287" i="18" s="1"/>
  <c r="F212" i="18"/>
  <c r="H212" i="18" s="1"/>
  <c r="F378" i="18"/>
  <c r="G378" i="18" s="1"/>
  <c r="CA378" i="6" s="1"/>
  <c r="F42" i="18"/>
  <c r="G42" i="18" s="1"/>
  <c r="CA42" i="6" s="1"/>
  <c r="F249" i="18"/>
  <c r="G249" i="18" s="1"/>
  <c r="CA249" i="6" s="1"/>
  <c r="F115" i="18"/>
  <c r="G115" i="18" s="1"/>
  <c r="CA115" i="6" s="1"/>
  <c r="F136" i="18"/>
  <c r="H136" i="18" s="1"/>
  <c r="F114" i="18"/>
  <c r="H114" i="18" s="1"/>
  <c r="F118" i="18"/>
  <c r="H118" i="18" s="1"/>
  <c r="F139" i="18"/>
  <c r="G139" i="18" s="1"/>
  <c r="CA139" i="6" s="1"/>
  <c r="F78" i="18"/>
  <c r="G78" i="18" s="1"/>
  <c r="CA78" i="6" s="1"/>
  <c r="F237" i="18"/>
  <c r="G237" i="18" s="1"/>
  <c r="CA237" i="6" s="1"/>
  <c r="F120" i="18"/>
  <c r="G120" i="18" s="1"/>
  <c r="CA120" i="6" s="1"/>
  <c r="F80" i="18"/>
  <c r="H80" i="18" s="1"/>
  <c r="F27" i="18"/>
  <c r="H27" i="18" s="1"/>
  <c r="F174" i="18"/>
  <c r="G174" i="18" s="1"/>
  <c r="CA174" i="6" s="1"/>
  <c r="F269" i="18"/>
  <c r="G269" i="18" s="1"/>
  <c r="CA269" i="6" s="1"/>
  <c r="F161" i="18"/>
  <c r="H161" i="18" s="1"/>
  <c r="F254" i="18"/>
  <c r="F56" i="18"/>
  <c r="F327" i="18"/>
  <c r="G327" i="18" s="1"/>
  <c r="CA327" i="6" s="1"/>
  <c r="F231" i="18"/>
  <c r="H231" i="18" s="1"/>
  <c r="F21" i="18"/>
  <c r="AA21" i="18" s="1"/>
  <c r="Z21" i="18" s="1"/>
  <c r="Y21" i="18" s="1"/>
  <c r="F165" i="18"/>
  <c r="H165" i="18" s="1"/>
  <c r="F37" i="18"/>
  <c r="G37" i="18" s="1"/>
  <c r="CA37" i="6" s="1"/>
  <c r="F54" i="18"/>
  <c r="F30" i="18"/>
  <c r="H30" i="18" s="1"/>
  <c r="F338" i="18"/>
  <c r="F253" i="18"/>
  <c r="G253" i="18" s="1"/>
  <c r="CA253" i="6" s="1"/>
  <c r="F144" i="18"/>
  <c r="H144" i="18" s="1"/>
  <c r="F355" i="18"/>
  <c r="AA355" i="18" s="1"/>
  <c r="Z355" i="18" s="1"/>
  <c r="Y355" i="18" s="1"/>
  <c r="F108" i="18"/>
  <c r="H108" i="18" s="1"/>
  <c r="F267" i="18"/>
  <c r="H267" i="18" s="1"/>
  <c r="Q12" i="20"/>
  <c r="Q10" i="20" s="1"/>
  <c r="AB15" i="7"/>
  <c r="Q163" i="18"/>
  <c r="P163" i="18" s="1"/>
  <c r="V163" i="18" s="1"/>
  <c r="Q315" i="18"/>
  <c r="P315" i="18" s="1"/>
  <c r="V315" i="18" s="1"/>
  <c r="Q194" i="18"/>
  <c r="P194" i="18" s="1"/>
  <c r="V194" i="18" s="1"/>
  <c r="Q153" i="18"/>
  <c r="P153" i="18" s="1"/>
  <c r="V153" i="18" s="1"/>
  <c r="Q365" i="18"/>
  <c r="P365" i="18" s="1"/>
  <c r="V365" i="18" s="1"/>
  <c r="Q74" i="18"/>
  <c r="P74" i="18" s="1"/>
  <c r="V74" i="18" s="1"/>
  <c r="Q79" i="18"/>
  <c r="P79" i="18" s="1"/>
  <c r="V79" i="18" s="1"/>
  <c r="Q303" i="18"/>
  <c r="P303" i="18" s="1"/>
  <c r="V303" i="18" s="1"/>
  <c r="Q374" i="18"/>
  <c r="P374" i="18" s="1"/>
  <c r="V374" i="18" s="1"/>
  <c r="Q190" i="18"/>
  <c r="P190" i="18" s="1"/>
  <c r="V190" i="18" s="1"/>
  <c r="Q375" i="18"/>
  <c r="P375" i="18" s="1"/>
  <c r="V375" i="18" s="1"/>
  <c r="I48" i="17"/>
  <c r="J48" i="17"/>
  <c r="BW11" i="7"/>
  <c r="BV15" i="7"/>
  <c r="BX11" i="7"/>
  <c r="AC383" i="23"/>
  <c r="AC382" i="23"/>
  <c r="AC381" i="23"/>
  <c r="J214" i="17"/>
  <c r="D39" i="19"/>
  <c r="D12" i="19"/>
  <c r="G36" i="19"/>
  <c r="D11" i="19"/>
  <c r="G35" i="19"/>
  <c r="AI16" i="7"/>
  <c r="AI11" i="20"/>
  <c r="AC258" i="24"/>
  <c r="AC320" i="24"/>
  <c r="AC286" i="24"/>
  <c r="AC361" i="24"/>
  <c r="AC291" i="24"/>
  <c r="AC251" i="24"/>
  <c r="AC334" i="24"/>
  <c r="AC371" i="24"/>
  <c r="AC275" i="24"/>
  <c r="AC290" i="24"/>
  <c r="AC229" i="24"/>
  <c r="AC242" i="24"/>
  <c r="AC202" i="24"/>
  <c r="AC308" i="24"/>
  <c r="AC281" i="24"/>
  <c r="AC193" i="24"/>
  <c r="AC168" i="24"/>
  <c r="AC313" i="24"/>
  <c r="AC135" i="24"/>
  <c r="AC238" i="24"/>
  <c r="AC314" i="24"/>
  <c r="AC333" i="24"/>
  <c r="AC201" i="24"/>
  <c r="AC237" i="24"/>
  <c r="AC219" i="24"/>
  <c r="AC326" i="24"/>
  <c r="AC350" i="24"/>
  <c r="AC183" i="24"/>
  <c r="AC277" i="24"/>
  <c r="AC157" i="24"/>
  <c r="AC179" i="24"/>
  <c r="AC224" i="24"/>
  <c r="AC379" i="24"/>
  <c r="AC316" i="24"/>
  <c r="AC252" i="24"/>
  <c r="AC234" i="24"/>
  <c r="AC323" i="24"/>
  <c r="AC143" i="24"/>
  <c r="AC358" i="24"/>
  <c r="AC338" i="24"/>
  <c r="AC196" i="24"/>
  <c r="AC352" i="24"/>
  <c r="AC298" i="24"/>
  <c r="AC360" i="24"/>
  <c r="AC231" i="24"/>
  <c r="AC146" i="24"/>
  <c r="AC374" i="24"/>
  <c r="AC175" i="24"/>
  <c r="AC270" i="24"/>
  <c r="AC368" i="24"/>
  <c r="AC180" i="24"/>
  <c r="AC204" i="24"/>
  <c r="AC357" i="24"/>
  <c r="E71" i="18"/>
  <c r="F71" i="18" s="1"/>
  <c r="G71" i="18" s="1"/>
  <c r="CA71" i="6" s="1"/>
  <c r="AG16" i="7"/>
  <c r="U75" i="20"/>
  <c r="T75" i="20" s="1"/>
  <c r="S75" i="20" s="1"/>
  <c r="R75" i="20" s="1"/>
  <c r="U367" i="20"/>
  <c r="T367" i="20" s="1"/>
  <c r="S367" i="20" s="1"/>
  <c r="R367" i="20" s="1"/>
  <c r="U148" i="20"/>
  <c r="T148" i="20" s="1"/>
  <c r="S148" i="20" s="1"/>
  <c r="R148" i="20" s="1"/>
  <c r="U342" i="20"/>
  <c r="T342" i="20" s="1"/>
  <c r="S342" i="20" s="1"/>
  <c r="R342" i="20" s="1"/>
  <c r="U193" i="20"/>
  <c r="T193" i="20" s="1"/>
  <c r="S193" i="20" s="1"/>
  <c r="R193" i="20" s="1"/>
  <c r="U245" i="20"/>
  <c r="T245" i="20" s="1"/>
  <c r="S245" i="20" s="1"/>
  <c r="R245" i="20" s="1"/>
  <c r="U167" i="20"/>
  <c r="T167" i="20" s="1"/>
  <c r="U72" i="20"/>
  <c r="T72" i="20" s="1"/>
  <c r="S72" i="20" s="1"/>
  <c r="R72" i="20" s="1"/>
  <c r="U130" i="20"/>
  <c r="T130" i="20" s="1"/>
  <c r="S130" i="20" s="1"/>
  <c r="R130" i="20" s="1"/>
  <c r="U268" i="20"/>
  <c r="T268" i="20" s="1"/>
  <c r="S268" i="20" s="1"/>
  <c r="R268" i="20" s="1"/>
  <c r="U61" i="20"/>
  <c r="T61" i="20" s="1"/>
  <c r="S61" i="20" s="1"/>
  <c r="R61" i="20" s="1"/>
  <c r="U369" i="20"/>
  <c r="T369" i="20" s="1"/>
  <c r="U307" i="20"/>
  <c r="T307" i="20" s="1"/>
  <c r="S307" i="20" s="1"/>
  <c r="R307" i="20" s="1"/>
  <c r="U126" i="20"/>
  <c r="T126" i="20" s="1"/>
  <c r="S126" i="20" s="1"/>
  <c r="R126" i="20" s="1"/>
  <c r="U320" i="20"/>
  <c r="T320" i="20" s="1"/>
  <c r="S320" i="20" s="1"/>
  <c r="R320" i="20" s="1"/>
  <c r="U133" i="20"/>
  <c r="T133" i="20" s="1"/>
  <c r="S133" i="20" s="1"/>
  <c r="R133" i="20" s="1"/>
  <c r="U55" i="20"/>
  <c r="T55" i="20" s="1"/>
  <c r="S55" i="20" s="1"/>
  <c r="R55" i="20" s="1"/>
  <c r="U17" i="20"/>
  <c r="T17" i="20" s="1"/>
  <c r="S17" i="20" s="1"/>
  <c r="R17" i="20" s="1"/>
  <c r="U170" i="20"/>
  <c r="T170" i="20" s="1"/>
  <c r="U308" i="20"/>
  <c r="T308" i="20" s="1"/>
  <c r="S308" i="20" s="1"/>
  <c r="R308" i="20" s="1"/>
  <c r="U269" i="20"/>
  <c r="T269" i="20" s="1"/>
  <c r="S269" i="20" s="1"/>
  <c r="R269" i="20" s="1"/>
  <c r="U143" i="20"/>
  <c r="T143" i="20" s="1"/>
  <c r="S143" i="20" s="1"/>
  <c r="R143" i="20" s="1"/>
  <c r="U36" i="20"/>
  <c r="T36" i="20" s="1"/>
  <c r="S36" i="20" s="1"/>
  <c r="R36" i="20" s="1"/>
  <c r="U198" i="20"/>
  <c r="T198" i="20" s="1"/>
  <c r="S198" i="20" s="1"/>
  <c r="R198" i="20" s="1"/>
  <c r="U360" i="20"/>
  <c r="T360" i="20" s="1"/>
  <c r="S360" i="20" s="1"/>
  <c r="R360" i="20" s="1"/>
  <c r="U341" i="20"/>
  <c r="T341" i="20" s="1"/>
  <c r="S341" i="20" s="1"/>
  <c r="R341" i="20" s="1"/>
  <c r="U263" i="20"/>
  <c r="T263" i="20" s="1"/>
  <c r="U88" i="20"/>
  <c r="T88" i="20" s="1"/>
  <c r="S88" i="20" s="1"/>
  <c r="R88" i="20" s="1"/>
  <c r="U114" i="20"/>
  <c r="T114" i="20" s="1"/>
  <c r="S114" i="20" s="1"/>
  <c r="R114" i="20" s="1"/>
  <c r="U252" i="20"/>
  <c r="T252" i="20" s="1"/>
  <c r="S252" i="20" s="1"/>
  <c r="R252" i="20" s="1"/>
  <c r="U93" i="20"/>
  <c r="T93" i="20" s="1"/>
  <c r="U209" i="20"/>
  <c r="T209" i="20" s="1"/>
  <c r="S209" i="20" s="1"/>
  <c r="R209" i="20" s="1"/>
  <c r="U83" i="20"/>
  <c r="T83" i="20" s="1"/>
  <c r="S83" i="20" s="1"/>
  <c r="R83" i="20" s="1"/>
  <c r="U375" i="20"/>
  <c r="T375" i="20" s="1"/>
  <c r="S375" i="20" s="1"/>
  <c r="R375" i="20" s="1"/>
  <c r="U176" i="20"/>
  <c r="T176" i="20" s="1"/>
  <c r="S176" i="20" s="1"/>
  <c r="R176" i="20" s="1"/>
  <c r="U330" i="20"/>
  <c r="T330" i="20" s="1"/>
  <c r="S330" i="20" s="1"/>
  <c r="R330" i="20" s="1"/>
  <c r="U201" i="20"/>
  <c r="T201" i="20" s="1"/>
  <c r="S201" i="20" s="1"/>
  <c r="R201" i="20" s="1"/>
  <c r="U235" i="20"/>
  <c r="T235" i="20" s="1"/>
  <c r="U58" i="20"/>
  <c r="T58" i="20" s="1"/>
  <c r="U196" i="20"/>
  <c r="T196" i="20" s="1"/>
  <c r="S196" i="20" s="1"/>
  <c r="R196" i="20" s="1"/>
  <c r="U358" i="20"/>
  <c r="T358" i="20" s="1"/>
  <c r="S358" i="20" s="1"/>
  <c r="R358" i="20" s="1"/>
  <c r="U289" i="20"/>
  <c r="T289" i="20" s="1"/>
  <c r="S289" i="20" s="1"/>
  <c r="R289" i="20" s="1"/>
  <c r="U291" i="20"/>
  <c r="T291" i="20" s="1"/>
  <c r="S291" i="20" s="1"/>
  <c r="R291" i="20" s="1"/>
  <c r="U118" i="20"/>
  <c r="T118" i="20" s="1"/>
  <c r="S118" i="20" s="1"/>
  <c r="R118" i="20" s="1"/>
  <c r="U248" i="20"/>
  <c r="T248" i="20" s="1"/>
  <c r="S248" i="20" s="1"/>
  <c r="R248" i="20" s="1"/>
  <c r="U53" i="20"/>
  <c r="T53" i="20" s="1"/>
  <c r="S53" i="20" s="1"/>
  <c r="R53" i="20" s="1"/>
  <c r="U345" i="20"/>
  <c r="T345" i="20" s="1"/>
  <c r="S345" i="20" s="1"/>
  <c r="R345" i="20" s="1"/>
  <c r="U315" i="20"/>
  <c r="T315" i="20" s="1"/>
  <c r="U162" i="20"/>
  <c r="T162" i="20" s="1"/>
  <c r="S162" i="20" s="1"/>
  <c r="R162" i="20" s="1"/>
  <c r="U300" i="20"/>
  <c r="T300" i="20" s="1"/>
  <c r="S300" i="20" s="1"/>
  <c r="R300" i="20" s="1"/>
  <c r="U125" i="20"/>
  <c r="T125" i="20" s="1"/>
  <c r="U177" i="20"/>
  <c r="T177" i="20" s="1"/>
  <c r="S177" i="20" s="1"/>
  <c r="R177" i="20" s="1"/>
  <c r="U115" i="20"/>
  <c r="T115" i="20" s="1"/>
  <c r="S115" i="20" s="1"/>
  <c r="R115" i="20" s="1"/>
  <c r="U30" i="20"/>
  <c r="T30" i="20" s="1"/>
  <c r="S30" i="20" s="1"/>
  <c r="R30" i="20" s="1"/>
  <c r="U96" i="20"/>
  <c r="T96" i="20" s="1"/>
  <c r="S96" i="20" s="1"/>
  <c r="R96" i="20" s="1"/>
  <c r="U218" i="20"/>
  <c r="T218" i="20" s="1"/>
  <c r="S218" i="20" s="1"/>
  <c r="R218" i="20" s="1"/>
  <c r="U356" i="20"/>
  <c r="T356" i="20" s="1"/>
  <c r="S356" i="20" s="1"/>
  <c r="R356" i="20" s="1"/>
  <c r="U301" i="20"/>
  <c r="T301" i="20" s="1"/>
  <c r="S301" i="20" s="1"/>
  <c r="R301" i="20" s="1"/>
  <c r="U239" i="20"/>
  <c r="T239" i="20" s="1"/>
  <c r="U84" i="20"/>
  <c r="T84" i="20" s="1"/>
  <c r="S84" i="20" s="1"/>
  <c r="R84" i="20" s="1"/>
  <c r="U278" i="20"/>
  <c r="T278" i="20" s="1"/>
  <c r="S278" i="20" s="1"/>
  <c r="R278" i="20" s="1"/>
  <c r="U65" i="20"/>
  <c r="T65" i="20" s="1"/>
  <c r="S65" i="20" s="1"/>
  <c r="R65" i="20" s="1"/>
  <c r="U373" i="20"/>
  <c r="T373" i="20" s="1"/>
  <c r="S373" i="20" s="1"/>
  <c r="R373" i="20" s="1"/>
  <c r="U295" i="20"/>
  <c r="T295" i="20" s="1"/>
  <c r="S295" i="20" s="1"/>
  <c r="R295" i="20" s="1"/>
  <c r="U136" i="20"/>
  <c r="T136" i="20" s="1"/>
  <c r="S136" i="20" s="1"/>
  <c r="R136" i="20" s="1"/>
  <c r="U322" i="20"/>
  <c r="T322" i="20" s="1"/>
  <c r="S322" i="20" s="1"/>
  <c r="R322" i="20" s="1"/>
  <c r="U185" i="20"/>
  <c r="T185" i="20" s="1"/>
  <c r="U91" i="20"/>
  <c r="T91" i="20" s="1"/>
  <c r="S91" i="20" s="1"/>
  <c r="R91" i="20" s="1"/>
  <c r="U15" i="20"/>
  <c r="U156" i="20"/>
  <c r="T156" i="20" s="1"/>
  <c r="S156" i="20" s="1"/>
  <c r="R156" i="20" s="1"/>
  <c r="U318" i="20"/>
  <c r="T318" i="20" s="1"/>
  <c r="U273" i="20"/>
  <c r="T273" i="20" s="1"/>
  <c r="S273" i="20" s="1"/>
  <c r="R273" i="20" s="1"/>
  <c r="U147" i="20"/>
  <c r="T147" i="20" s="1"/>
  <c r="S147" i="20" s="1"/>
  <c r="R147" i="20" s="1"/>
  <c r="U46" i="20"/>
  <c r="T46" i="20" s="1"/>
  <c r="S46" i="20" s="1"/>
  <c r="R46" i="20" s="1"/>
  <c r="U80" i="20"/>
  <c r="T80" i="20" s="1"/>
  <c r="S80" i="20" s="1"/>
  <c r="R80" i="20" s="1"/>
  <c r="U234" i="20"/>
  <c r="T234" i="20" s="1"/>
  <c r="S234" i="20" s="1"/>
  <c r="R234" i="20" s="1"/>
  <c r="U372" i="20"/>
  <c r="T372" i="20" s="1"/>
  <c r="S372" i="20" s="1"/>
  <c r="R372" i="20" s="1"/>
  <c r="U141" i="20"/>
  <c r="T141" i="20" s="1"/>
  <c r="S141" i="20" s="1"/>
  <c r="R141" i="20" s="1"/>
  <c r="U18" i="20"/>
  <c r="T18" i="20" s="1"/>
  <c r="U323" i="20"/>
  <c r="T323" i="20" s="1"/>
  <c r="U134" i="20"/>
  <c r="T134" i="20" s="1"/>
  <c r="S134" i="20" s="1"/>
  <c r="R134" i="20" s="1"/>
  <c r="U296" i="20"/>
  <c r="T296" i="20" s="1"/>
  <c r="S296" i="20" s="1"/>
  <c r="R296" i="20" s="1"/>
  <c r="U213" i="20"/>
  <c r="T213" i="20" s="1"/>
  <c r="S213" i="20" s="1"/>
  <c r="R213" i="20" s="1"/>
  <c r="U135" i="20"/>
  <c r="T135" i="20" s="1"/>
  <c r="S135" i="20" s="1"/>
  <c r="R135" i="20" s="1"/>
  <c r="U24" i="20"/>
  <c r="T24" i="20" s="1"/>
  <c r="S24" i="20" s="1"/>
  <c r="R24" i="20" s="1"/>
  <c r="U178" i="20"/>
  <c r="T178" i="20" s="1"/>
  <c r="S178" i="20" s="1"/>
  <c r="R178" i="20" s="1"/>
  <c r="U316" i="20"/>
  <c r="T316" i="20" s="1"/>
  <c r="U221" i="20"/>
  <c r="T221" i="20" s="1"/>
  <c r="S221" i="20" s="1"/>
  <c r="R221" i="20" s="1"/>
  <c r="U223" i="20"/>
  <c r="T223" i="20" s="1"/>
  <c r="S223" i="20" s="1"/>
  <c r="R223" i="20" s="1"/>
  <c r="U76" i="20"/>
  <c r="T76" i="20" s="1"/>
  <c r="S76" i="20" s="1"/>
  <c r="R76" i="20" s="1"/>
  <c r="U206" i="20"/>
  <c r="T206" i="20" s="1"/>
  <c r="S206" i="20" s="1"/>
  <c r="R206" i="20" s="1"/>
  <c r="U368" i="20"/>
  <c r="T368" i="20" s="1"/>
  <c r="S368" i="20" s="1"/>
  <c r="R368" i="20" s="1"/>
  <c r="U293" i="20"/>
  <c r="T293" i="20" s="1"/>
  <c r="S293" i="20" s="1"/>
  <c r="R293" i="20" s="1"/>
  <c r="U215" i="20"/>
  <c r="T215" i="20" s="1"/>
  <c r="S215" i="20" s="1"/>
  <c r="R215" i="20" s="1"/>
  <c r="U128" i="20"/>
  <c r="T128" i="20" s="1"/>
  <c r="S128" i="20" s="1"/>
  <c r="R128" i="20" s="1"/>
  <c r="U250" i="20"/>
  <c r="T250" i="20" s="1"/>
  <c r="S250" i="20" s="1"/>
  <c r="R250" i="20" s="1"/>
  <c r="U41" i="20"/>
  <c r="T41" i="20" s="1"/>
  <c r="U109" i="20"/>
  <c r="T109" i="20" s="1"/>
  <c r="S109" i="20" s="1"/>
  <c r="R109" i="20" s="1"/>
  <c r="U47" i="20"/>
  <c r="T47" i="20" s="1"/>
  <c r="S47" i="20" s="1"/>
  <c r="R47" i="20" s="1"/>
  <c r="U163" i="20"/>
  <c r="T163" i="20" s="1"/>
  <c r="S163" i="20" s="1"/>
  <c r="R163" i="20" s="1"/>
  <c r="U54" i="20"/>
  <c r="T54" i="20" s="1"/>
  <c r="S54" i="20" s="1"/>
  <c r="R54" i="20" s="1"/>
  <c r="U184" i="20"/>
  <c r="T184" i="20" s="1"/>
  <c r="U338" i="20"/>
  <c r="T338" i="20" s="1"/>
  <c r="S338" i="20" s="1"/>
  <c r="R338" i="20" s="1"/>
  <c r="U217" i="20"/>
  <c r="T217" i="20" s="1"/>
  <c r="S217" i="20" s="1"/>
  <c r="R217" i="20" s="1"/>
  <c r="U187" i="20"/>
  <c r="T187" i="20" s="1"/>
  <c r="U98" i="20"/>
  <c r="T98" i="20" s="1"/>
  <c r="S98" i="20" s="1"/>
  <c r="R98" i="20" s="1"/>
  <c r="U236" i="20"/>
  <c r="T236" i="20" s="1"/>
  <c r="S236" i="20" s="1"/>
  <c r="R236" i="20" s="1"/>
  <c r="U366" i="20"/>
  <c r="T366" i="20" s="1"/>
  <c r="S366" i="20" s="1"/>
  <c r="R366" i="20" s="1"/>
  <c r="U305" i="20"/>
  <c r="T305" i="20" s="1"/>
  <c r="S305" i="20" s="1"/>
  <c r="R305" i="20" s="1"/>
  <c r="U243" i="20"/>
  <c r="T243" i="20" s="1"/>
  <c r="S243" i="20" s="1"/>
  <c r="R243" i="20" s="1"/>
  <c r="U94" i="20"/>
  <c r="T94" i="20" s="1"/>
  <c r="S94" i="20" s="1"/>
  <c r="R94" i="20" s="1"/>
  <c r="U288" i="20"/>
  <c r="T288" i="20" s="1"/>
  <c r="S288" i="20" s="1"/>
  <c r="R288" i="20" s="1"/>
  <c r="U69" i="20"/>
  <c r="T69" i="20" s="1"/>
  <c r="U361" i="20"/>
  <c r="T361" i="20" s="1"/>
  <c r="S361" i="20" s="1"/>
  <c r="R361" i="20" s="1"/>
  <c r="U331" i="20"/>
  <c r="T331" i="20" s="1"/>
  <c r="S331" i="20" s="1"/>
  <c r="R331" i="20" s="1"/>
  <c r="U138" i="20"/>
  <c r="T138" i="20" s="1"/>
  <c r="S138" i="20" s="1"/>
  <c r="R138" i="20" s="1"/>
  <c r="U276" i="20"/>
  <c r="T276" i="20" s="1"/>
  <c r="S276" i="20" s="1"/>
  <c r="R276" i="20" s="1"/>
  <c r="U205" i="20"/>
  <c r="T205" i="20" s="1"/>
  <c r="S205" i="20" s="1"/>
  <c r="R205" i="20" s="1"/>
  <c r="U79" i="20"/>
  <c r="T79" i="20" s="1"/>
  <c r="S79" i="20" s="1"/>
  <c r="R79" i="20" s="1"/>
  <c r="U131" i="20"/>
  <c r="T131" i="20" s="1"/>
  <c r="S131" i="20" s="1"/>
  <c r="R131" i="20" s="1"/>
  <c r="U38" i="20"/>
  <c r="T38" i="20" s="1"/>
  <c r="U200" i="20"/>
  <c r="T200" i="20" s="1"/>
  <c r="S200" i="20" s="1"/>
  <c r="R200" i="20" s="1"/>
  <c r="U258" i="20"/>
  <c r="T258" i="20" s="1"/>
  <c r="S258" i="20" s="1"/>
  <c r="R258" i="20" s="1"/>
  <c r="U57" i="20"/>
  <c r="T57" i="20" s="1"/>
  <c r="S57" i="20" s="1"/>
  <c r="R57" i="20" s="1"/>
  <c r="U317" i="20"/>
  <c r="T317" i="20" s="1"/>
  <c r="S317" i="20" s="1"/>
  <c r="R317" i="20" s="1"/>
  <c r="U255" i="20"/>
  <c r="T255" i="20" s="1"/>
  <c r="S255" i="20" s="1"/>
  <c r="R255" i="20" s="1"/>
  <c r="U92" i="20"/>
  <c r="T92" i="20" s="1"/>
  <c r="S92" i="20" s="1"/>
  <c r="R92" i="20" s="1"/>
  <c r="U254" i="20"/>
  <c r="T254" i="20" s="1"/>
  <c r="S254" i="20" s="1"/>
  <c r="R254" i="20" s="1"/>
  <c r="U145" i="20"/>
  <c r="T145" i="20" s="1"/>
  <c r="U19" i="20"/>
  <c r="T19" i="20" s="1"/>
  <c r="S19" i="20" s="1"/>
  <c r="R19" i="20" s="1"/>
  <c r="U311" i="20"/>
  <c r="T311" i="20" s="1"/>
  <c r="S311" i="20" s="1"/>
  <c r="R311" i="20" s="1"/>
  <c r="U144" i="20"/>
  <c r="T144" i="20" s="1"/>
  <c r="S144" i="20" s="1"/>
  <c r="R144" i="20" s="1"/>
  <c r="U298" i="20"/>
  <c r="T298" i="20" s="1"/>
  <c r="S298" i="20" s="1"/>
  <c r="R298" i="20" s="1"/>
  <c r="U137" i="20"/>
  <c r="T137" i="20" s="1"/>
  <c r="U171" i="20"/>
  <c r="T171" i="20" s="1"/>
  <c r="S171" i="20" s="1"/>
  <c r="R171" i="20" s="1"/>
  <c r="U26" i="20"/>
  <c r="T26" i="20" s="1"/>
  <c r="S26" i="20" s="1"/>
  <c r="R26" i="20" s="1"/>
  <c r="U164" i="20"/>
  <c r="T164" i="20" s="1"/>
  <c r="U326" i="20"/>
  <c r="T326" i="20" s="1"/>
  <c r="S326" i="20" s="1"/>
  <c r="R326" i="20" s="1"/>
  <c r="U225" i="20"/>
  <c r="T225" i="20" s="1"/>
  <c r="S225" i="20" s="1"/>
  <c r="R225" i="20" s="1"/>
  <c r="U227" i="20"/>
  <c r="T227" i="20" s="1"/>
  <c r="S227" i="20" s="1"/>
  <c r="R227" i="20" s="1"/>
  <c r="U86" i="20"/>
  <c r="T86" i="20" s="1"/>
  <c r="S86" i="20" s="1"/>
  <c r="R86" i="20" s="1"/>
  <c r="U216" i="20"/>
  <c r="T216" i="20" s="1"/>
  <c r="S216" i="20" s="1"/>
  <c r="R216" i="20" s="1"/>
  <c r="U242" i="20"/>
  <c r="T242" i="20" s="1"/>
  <c r="S242" i="20" s="1"/>
  <c r="R242" i="20" s="1"/>
  <c r="U25" i="20"/>
  <c r="T25" i="20" s="1"/>
  <c r="S25" i="20" s="1"/>
  <c r="R25" i="20" s="1"/>
  <c r="U349" i="20"/>
  <c r="T349" i="20" s="1"/>
  <c r="U95" i="20"/>
  <c r="T95" i="20" s="1"/>
  <c r="S95" i="20" s="1"/>
  <c r="R95" i="20" s="1"/>
  <c r="U339" i="20"/>
  <c r="T339" i="20" s="1"/>
  <c r="S339" i="20" s="1"/>
  <c r="R339" i="20" s="1"/>
  <c r="U142" i="20"/>
  <c r="T142" i="20" s="1"/>
  <c r="S142" i="20" s="1"/>
  <c r="R142" i="20" s="1"/>
  <c r="U304" i="20"/>
  <c r="T304" i="20" s="1"/>
  <c r="S304" i="20" s="1"/>
  <c r="R304" i="20" s="1"/>
  <c r="U165" i="20"/>
  <c r="T165" i="20" s="1"/>
  <c r="S165" i="20" s="1"/>
  <c r="R165" i="20" s="1"/>
  <c r="U87" i="20"/>
  <c r="T87" i="20" s="1"/>
  <c r="S87" i="20" s="1"/>
  <c r="R87" i="20" s="1"/>
  <c r="U64" i="20"/>
  <c r="T64" i="20" s="1"/>
  <c r="S64" i="20" s="1"/>
  <c r="R64" i="20" s="1"/>
  <c r="U186" i="20"/>
  <c r="T186" i="20" s="1"/>
  <c r="U324" i="20"/>
  <c r="T324" i="20" s="1"/>
  <c r="S324" i="20" s="1"/>
  <c r="R324" i="20" s="1"/>
  <c r="U237" i="20"/>
  <c r="T237" i="20" s="1"/>
  <c r="S237" i="20" s="1"/>
  <c r="R237" i="20" s="1"/>
  <c r="U175" i="20"/>
  <c r="T175" i="20" s="1"/>
  <c r="S175" i="20" s="1"/>
  <c r="R175" i="20" s="1"/>
  <c r="U52" i="20"/>
  <c r="T52" i="20" s="1"/>
  <c r="S52" i="20" s="1"/>
  <c r="R52" i="20" s="1"/>
  <c r="U246" i="20"/>
  <c r="T246" i="20" s="1"/>
  <c r="S246" i="20" s="1"/>
  <c r="R246" i="20" s="1"/>
  <c r="U376" i="20"/>
  <c r="T376" i="20" s="1"/>
  <c r="S376" i="20" s="1"/>
  <c r="R376" i="20" s="1"/>
  <c r="U309" i="20"/>
  <c r="T309" i="20" s="1"/>
  <c r="S309" i="20" s="1"/>
  <c r="R309" i="20" s="1"/>
  <c r="U231" i="20"/>
  <c r="T231" i="20" s="1"/>
  <c r="U104" i="20"/>
  <c r="T104" i="20" s="1"/>
  <c r="S104" i="20" s="1"/>
  <c r="R104" i="20" s="1"/>
  <c r="U290" i="20"/>
  <c r="T290" i="20" s="1"/>
  <c r="S290" i="20" s="1"/>
  <c r="R290" i="20" s="1"/>
  <c r="U121" i="20"/>
  <c r="T121" i="20" s="1"/>
  <c r="S121" i="20" s="1"/>
  <c r="R121" i="20" s="1"/>
  <c r="U27" i="20"/>
  <c r="T27" i="20" s="1"/>
  <c r="S27" i="20" s="1"/>
  <c r="R27" i="20" s="1"/>
  <c r="U63" i="20"/>
  <c r="T63" i="20" s="1"/>
  <c r="U371" i="20"/>
  <c r="T371" i="20" s="1"/>
  <c r="S371" i="20" s="1"/>
  <c r="R371" i="20" s="1"/>
  <c r="U158" i="20"/>
  <c r="T158" i="20" s="1"/>
  <c r="S158" i="20" s="1"/>
  <c r="R158" i="20" s="1"/>
  <c r="U224" i="20"/>
  <c r="T224" i="20" s="1"/>
  <c r="S224" i="20" s="1"/>
  <c r="R224" i="20" s="1"/>
  <c r="U346" i="20"/>
  <c r="T346" i="20" s="1"/>
  <c r="S346" i="20" s="1"/>
  <c r="R346" i="20" s="1"/>
  <c r="U233" i="20"/>
  <c r="T233" i="20" s="1"/>
  <c r="S233" i="20" s="1"/>
  <c r="R233" i="20" s="1"/>
  <c r="U203" i="20"/>
  <c r="T203" i="20" s="1"/>
  <c r="S203" i="20" s="1"/>
  <c r="R203" i="20" s="1"/>
  <c r="U74" i="20"/>
  <c r="T74" i="20" s="1"/>
  <c r="U212" i="20"/>
  <c r="T212" i="20" s="1"/>
  <c r="S212" i="20" s="1"/>
  <c r="R212" i="20" s="1"/>
  <c r="U77" i="20"/>
  <c r="T77" i="20" s="1"/>
  <c r="S77" i="20" s="1"/>
  <c r="R77" i="20" s="1"/>
  <c r="U321" i="20"/>
  <c r="T321" i="20" s="1"/>
  <c r="U259" i="20"/>
  <c r="T259" i="20" s="1"/>
  <c r="U102" i="20"/>
  <c r="T102" i="20" s="1"/>
  <c r="S102" i="20" s="1"/>
  <c r="R102" i="20" s="1"/>
  <c r="U264" i="20"/>
  <c r="T264" i="20" s="1"/>
  <c r="S264" i="20" s="1"/>
  <c r="R264" i="20" s="1"/>
  <c r="U149" i="20"/>
  <c r="T149" i="20" s="1"/>
  <c r="S149" i="20" s="1"/>
  <c r="R149" i="20" s="1"/>
  <c r="U71" i="20"/>
  <c r="T71" i="20" s="1"/>
  <c r="S71" i="20" s="1"/>
  <c r="R71" i="20" s="1"/>
  <c r="U347" i="20"/>
  <c r="T347" i="20" s="1"/>
  <c r="S347" i="20" s="1"/>
  <c r="R347" i="20" s="1"/>
  <c r="U284" i="20"/>
  <c r="T284" i="20" s="1"/>
  <c r="S284" i="20" s="1"/>
  <c r="R284" i="20" s="1"/>
  <c r="U159" i="20"/>
  <c r="T159" i="20" s="1"/>
  <c r="S159" i="20" s="1"/>
  <c r="R159" i="20" s="1"/>
  <c r="U174" i="20"/>
  <c r="T174" i="20" s="1"/>
  <c r="S174" i="20" s="1"/>
  <c r="R174" i="20" s="1"/>
  <c r="U362" i="20"/>
  <c r="T362" i="20" s="1"/>
  <c r="S362" i="20" s="1"/>
  <c r="R362" i="20" s="1"/>
  <c r="U265" i="20"/>
  <c r="T265" i="20" s="1"/>
  <c r="S265" i="20" s="1"/>
  <c r="R265" i="20" s="1"/>
  <c r="U271" i="20"/>
  <c r="T271" i="20" s="1"/>
  <c r="S271" i="20" s="1"/>
  <c r="R271" i="20" s="1"/>
  <c r="U262" i="20"/>
  <c r="T262" i="20" s="1"/>
  <c r="S262" i="20" s="1"/>
  <c r="R262" i="20" s="1"/>
  <c r="U99" i="20"/>
  <c r="T99" i="20" s="1"/>
  <c r="S99" i="20" s="1"/>
  <c r="R99" i="20" s="1"/>
  <c r="U152" i="20"/>
  <c r="T152" i="20" s="1"/>
  <c r="S152" i="20" s="1"/>
  <c r="R152" i="20" s="1"/>
  <c r="U153" i="20"/>
  <c r="T153" i="20" s="1"/>
  <c r="S153" i="20" s="1"/>
  <c r="R153" i="20" s="1"/>
  <c r="U66" i="20"/>
  <c r="T66" i="20" s="1"/>
  <c r="S66" i="20" s="1"/>
  <c r="R66" i="20" s="1"/>
  <c r="U334" i="20"/>
  <c r="T334" i="20" s="1"/>
  <c r="S334" i="20" s="1"/>
  <c r="R334" i="20" s="1"/>
  <c r="U179" i="20"/>
  <c r="T179" i="20" s="1"/>
  <c r="U256" i="20"/>
  <c r="T256" i="20" s="1"/>
  <c r="S256" i="20" s="1"/>
  <c r="R256" i="20" s="1"/>
  <c r="U297" i="20"/>
  <c r="T297" i="20" s="1"/>
  <c r="U303" i="20"/>
  <c r="T303" i="20" s="1"/>
  <c r="S303" i="20" s="1"/>
  <c r="R303" i="20" s="1"/>
  <c r="U182" i="20"/>
  <c r="T182" i="20" s="1"/>
  <c r="U181" i="20"/>
  <c r="T181" i="20" s="1"/>
  <c r="S181" i="20" s="1"/>
  <c r="R181" i="20" s="1"/>
  <c r="U40" i="20"/>
  <c r="T40" i="20" s="1"/>
  <c r="U364" i="20"/>
  <c r="T364" i="20" s="1"/>
  <c r="S364" i="20" s="1"/>
  <c r="R364" i="20" s="1"/>
  <c r="U191" i="20"/>
  <c r="T191" i="20" s="1"/>
  <c r="U222" i="20"/>
  <c r="T222" i="20" s="1"/>
  <c r="S222" i="20" s="1"/>
  <c r="R222" i="20" s="1"/>
  <c r="U325" i="20"/>
  <c r="T325" i="20" s="1"/>
  <c r="U112" i="20"/>
  <c r="T112" i="20" s="1"/>
  <c r="S112" i="20" s="1"/>
  <c r="R112" i="20" s="1"/>
  <c r="U73" i="20"/>
  <c r="T73" i="20" s="1"/>
  <c r="U335" i="20"/>
  <c r="T335" i="20" s="1"/>
  <c r="S335" i="20" s="1"/>
  <c r="R335" i="20" s="1"/>
  <c r="U166" i="20"/>
  <c r="T166" i="20" s="1"/>
  <c r="U21" i="20"/>
  <c r="T21" i="20" s="1"/>
  <c r="S21" i="20" s="1"/>
  <c r="R21" i="20" s="1"/>
  <c r="U219" i="20"/>
  <c r="T219" i="20" s="1"/>
  <c r="S219" i="20" s="1"/>
  <c r="R219" i="20" s="1"/>
  <c r="U220" i="20"/>
  <c r="T220" i="20" s="1"/>
  <c r="S220" i="20" s="1"/>
  <c r="R220" i="20" s="1"/>
  <c r="U31" i="20"/>
  <c r="T31" i="20" s="1"/>
  <c r="S31" i="20" s="1"/>
  <c r="R31" i="20" s="1"/>
  <c r="U110" i="20"/>
  <c r="T110" i="20" s="1"/>
  <c r="S110" i="20" s="1"/>
  <c r="R110" i="20" s="1"/>
  <c r="U101" i="20"/>
  <c r="T101" i="20" s="1"/>
  <c r="S101" i="20" s="1"/>
  <c r="R101" i="20" s="1"/>
  <c r="U32" i="20"/>
  <c r="T32" i="20" s="1"/>
  <c r="S32" i="20" s="1"/>
  <c r="R32" i="20" s="1"/>
  <c r="U292" i="20"/>
  <c r="T292" i="20" s="1"/>
  <c r="S292" i="20" s="1"/>
  <c r="R292" i="20" s="1"/>
  <c r="U111" i="20"/>
  <c r="T111" i="20" s="1"/>
  <c r="S111" i="20" s="1"/>
  <c r="R111" i="20" s="1"/>
  <c r="U214" i="20"/>
  <c r="T214" i="20" s="1"/>
  <c r="S214" i="20" s="1"/>
  <c r="R214" i="20" s="1"/>
  <c r="U370" i="20"/>
  <c r="T370" i="20" s="1"/>
  <c r="S370" i="20" s="1"/>
  <c r="R370" i="20" s="1"/>
  <c r="U251" i="20"/>
  <c r="T251" i="20" s="1"/>
  <c r="S251" i="20" s="1"/>
  <c r="R251" i="20" s="1"/>
  <c r="U140" i="20"/>
  <c r="T140" i="20" s="1"/>
  <c r="S140" i="20" s="1"/>
  <c r="R140" i="20" s="1"/>
  <c r="U113" i="20"/>
  <c r="T113" i="20" s="1"/>
  <c r="S113" i="20" s="1"/>
  <c r="R113" i="20" s="1"/>
  <c r="U343" i="20"/>
  <c r="T343" i="20" s="1"/>
  <c r="S343" i="20" s="1"/>
  <c r="R343" i="20" s="1"/>
  <c r="U314" i="20"/>
  <c r="T314" i="20" s="1"/>
  <c r="S314" i="20" s="1"/>
  <c r="R314" i="20" s="1"/>
  <c r="U139" i="20"/>
  <c r="T139" i="20" s="1"/>
  <c r="S139" i="20" s="1"/>
  <c r="R139" i="20" s="1"/>
  <c r="U180" i="20"/>
  <c r="T180" i="20" s="1"/>
  <c r="S180" i="20" s="1"/>
  <c r="R180" i="20" s="1"/>
  <c r="U257" i="20"/>
  <c r="T257" i="20" s="1"/>
  <c r="S257" i="20" s="1"/>
  <c r="R257" i="20" s="1"/>
  <c r="U70" i="20"/>
  <c r="T70" i="20" s="1"/>
  <c r="U85" i="20"/>
  <c r="T85" i="20" s="1"/>
  <c r="U377" i="20"/>
  <c r="T377" i="20" s="1"/>
  <c r="S377" i="20" s="1"/>
  <c r="R377" i="20" s="1"/>
  <c r="U124" i="20"/>
  <c r="T124" i="20" s="1"/>
  <c r="S124" i="20" s="1"/>
  <c r="R124" i="20" s="1"/>
  <c r="U352" i="20"/>
  <c r="T352" i="20" s="1"/>
  <c r="U119" i="20"/>
  <c r="T119" i="20" s="1"/>
  <c r="S119" i="20" s="1"/>
  <c r="R119" i="20" s="1"/>
  <c r="U202" i="20"/>
  <c r="T202" i="20" s="1"/>
  <c r="U333" i="20"/>
  <c r="T333" i="20" s="1"/>
  <c r="S333" i="20" s="1"/>
  <c r="R333" i="20" s="1"/>
  <c r="U68" i="20"/>
  <c r="T68" i="20" s="1"/>
  <c r="U33" i="20"/>
  <c r="T33" i="20" s="1"/>
  <c r="S33" i="20" s="1"/>
  <c r="R33" i="20" s="1"/>
  <c r="U327" i="20"/>
  <c r="T327" i="20" s="1"/>
  <c r="U274" i="20"/>
  <c r="T274" i="20" s="1"/>
  <c r="S274" i="20" s="1"/>
  <c r="R274" i="20" s="1"/>
  <c r="U89" i="20"/>
  <c r="T89" i="20" s="1"/>
  <c r="S89" i="20" s="1"/>
  <c r="R89" i="20" s="1"/>
  <c r="U34" i="20"/>
  <c r="T34" i="20" s="1"/>
  <c r="S34" i="20" s="1"/>
  <c r="R34" i="20" s="1"/>
  <c r="U302" i="20"/>
  <c r="T302" i="20" s="1"/>
  <c r="S302" i="20" s="1"/>
  <c r="R302" i="20" s="1"/>
  <c r="U229" i="20"/>
  <c r="T229" i="20" s="1"/>
  <c r="S229" i="20" s="1"/>
  <c r="R229" i="20" s="1"/>
  <c r="U299" i="20"/>
  <c r="T299" i="20" s="1"/>
  <c r="S299" i="20" s="1"/>
  <c r="R299" i="20" s="1"/>
  <c r="U228" i="20"/>
  <c r="T228" i="20" s="1"/>
  <c r="S228" i="20" s="1"/>
  <c r="R228" i="20" s="1"/>
  <c r="U353" i="20"/>
  <c r="T353" i="20" s="1"/>
  <c r="S353" i="20" s="1"/>
  <c r="R353" i="20" s="1"/>
  <c r="U150" i="20"/>
  <c r="T150" i="20" s="1"/>
  <c r="S150" i="20" s="1"/>
  <c r="R150" i="20" s="1"/>
  <c r="U117" i="20"/>
  <c r="T117" i="20" s="1"/>
  <c r="S117" i="20" s="1"/>
  <c r="R117" i="20" s="1"/>
  <c r="U379" i="20"/>
  <c r="U332" i="20"/>
  <c r="T332" i="20" s="1"/>
  <c r="S332" i="20" s="1"/>
  <c r="R332" i="20" s="1"/>
  <c r="U127" i="20"/>
  <c r="T127" i="20" s="1"/>
  <c r="S127" i="20" s="1"/>
  <c r="R127" i="20" s="1"/>
  <c r="U190" i="20"/>
  <c r="T190" i="20" s="1"/>
  <c r="S190" i="20" s="1"/>
  <c r="R190" i="20" s="1"/>
  <c r="U261" i="20"/>
  <c r="T261" i="20" s="1"/>
  <c r="S261" i="20" s="1"/>
  <c r="R261" i="20" s="1"/>
  <c r="U267" i="20"/>
  <c r="T267" i="20" s="1"/>
  <c r="S267" i="20" s="1"/>
  <c r="R267" i="20" s="1"/>
  <c r="U244" i="20"/>
  <c r="T244" i="20" s="1"/>
  <c r="S244" i="20" s="1"/>
  <c r="R244" i="20" s="1"/>
  <c r="U129" i="20"/>
  <c r="T129" i="20" s="1"/>
  <c r="S129" i="20" s="1"/>
  <c r="R129" i="20" s="1"/>
  <c r="U359" i="20"/>
  <c r="T359" i="20" s="1"/>
  <c r="S359" i="20" s="1"/>
  <c r="R359" i="20" s="1"/>
  <c r="U354" i="20"/>
  <c r="T354" i="20" s="1"/>
  <c r="S354" i="20" s="1"/>
  <c r="R354" i="20" s="1"/>
  <c r="U155" i="20"/>
  <c r="T155" i="20" s="1"/>
  <c r="S155" i="20" s="1"/>
  <c r="R155" i="20" s="1"/>
  <c r="U188" i="20"/>
  <c r="T188" i="20" s="1"/>
  <c r="S188" i="20" s="1"/>
  <c r="R188" i="20" s="1"/>
  <c r="U337" i="20"/>
  <c r="T337" i="20" s="1"/>
  <c r="S337" i="20" s="1"/>
  <c r="R337" i="20" s="1"/>
  <c r="U78" i="20"/>
  <c r="T78" i="20" s="1"/>
  <c r="S78" i="20" s="1"/>
  <c r="R78" i="20" s="1"/>
  <c r="U37" i="20"/>
  <c r="T37" i="20" s="1"/>
  <c r="S37" i="20" s="1"/>
  <c r="R37" i="20" s="1"/>
  <c r="U363" i="20"/>
  <c r="T363" i="20" s="1"/>
  <c r="S363" i="20" s="1"/>
  <c r="R363" i="20" s="1"/>
  <c r="U260" i="20"/>
  <c r="T260" i="20" s="1"/>
  <c r="U161" i="20"/>
  <c r="T161" i="20" s="1"/>
  <c r="S161" i="20" s="1"/>
  <c r="R161" i="20" s="1"/>
  <c r="U199" i="20"/>
  <c r="T199" i="20" s="1"/>
  <c r="S199" i="20" s="1"/>
  <c r="R199" i="20" s="1"/>
  <c r="U210" i="20"/>
  <c r="T210" i="20" s="1"/>
  <c r="S210" i="20" s="1"/>
  <c r="R210" i="20" s="1"/>
  <c r="U285" i="20"/>
  <c r="T285" i="20" s="1"/>
  <c r="S285" i="20" s="1"/>
  <c r="R285" i="20" s="1"/>
  <c r="U108" i="20"/>
  <c r="T108" i="20" s="1"/>
  <c r="S108" i="20" s="1"/>
  <c r="R108" i="20" s="1"/>
  <c r="U49" i="20"/>
  <c r="T49" i="20" s="1"/>
  <c r="S49" i="20" s="1"/>
  <c r="R49" i="20" s="1"/>
  <c r="U279" i="20"/>
  <c r="T279" i="20" s="1"/>
  <c r="S279" i="20" s="1"/>
  <c r="R279" i="20" s="1"/>
  <c r="U282" i="20"/>
  <c r="T282" i="20" s="1"/>
  <c r="S282" i="20" s="1"/>
  <c r="R282" i="20" s="1"/>
  <c r="U146" i="20"/>
  <c r="T146" i="20" s="1"/>
  <c r="U157" i="20"/>
  <c r="T157" i="20" s="1"/>
  <c r="S157" i="20" s="1"/>
  <c r="R157" i="20" s="1"/>
  <c r="U44" i="20"/>
  <c r="T44" i="20" s="1"/>
  <c r="S44" i="20" s="1"/>
  <c r="R44" i="20" s="1"/>
  <c r="U208" i="20"/>
  <c r="T208" i="20" s="1"/>
  <c r="S208" i="20" s="1"/>
  <c r="R208" i="20" s="1"/>
  <c r="U43" i="20"/>
  <c r="T43" i="20" s="1"/>
  <c r="S43" i="20" s="1"/>
  <c r="R43" i="20" s="1"/>
  <c r="U100" i="20"/>
  <c r="T100" i="20" s="1"/>
  <c r="S100" i="20" s="1"/>
  <c r="R100" i="20" s="1"/>
  <c r="U97" i="20"/>
  <c r="T97" i="20" s="1"/>
  <c r="S97" i="20" s="1"/>
  <c r="R97" i="20" s="1"/>
  <c r="U22" i="20"/>
  <c r="T22" i="20" s="1"/>
  <c r="S22" i="20" s="1"/>
  <c r="R22" i="20" s="1"/>
  <c r="U306" i="20"/>
  <c r="T306" i="20" s="1"/>
  <c r="S306" i="20" s="1"/>
  <c r="R306" i="20" s="1"/>
  <c r="U123" i="20"/>
  <c r="T123" i="20" s="1"/>
  <c r="S123" i="20" s="1"/>
  <c r="R123" i="20" s="1"/>
  <c r="U204" i="20"/>
  <c r="T204" i="20" s="1"/>
  <c r="S204" i="20" s="1"/>
  <c r="R204" i="20" s="1"/>
  <c r="U241" i="20"/>
  <c r="T241" i="20" s="1"/>
  <c r="S241" i="20" s="1"/>
  <c r="R241" i="20" s="1"/>
  <c r="U62" i="20"/>
  <c r="T62" i="20" s="1"/>
  <c r="S62" i="20" s="1"/>
  <c r="R62" i="20" s="1"/>
  <c r="U378" i="20"/>
  <c r="T378" i="20" s="1"/>
  <c r="S378" i="20" s="1"/>
  <c r="R378" i="20" s="1"/>
  <c r="U365" i="20"/>
  <c r="T365" i="20" s="1"/>
  <c r="S365" i="20" s="1"/>
  <c r="R365" i="20" s="1"/>
  <c r="U116" i="20"/>
  <c r="T116" i="20" s="1"/>
  <c r="S116" i="20" s="1"/>
  <c r="R116" i="20" s="1"/>
  <c r="U312" i="20"/>
  <c r="T312" i="20" s="1"/>
  <c r="S312" i="20" s="1"/>
  <c r="R312" i="20" s="1"/>
  <c r="U103" i="20"/>
  <c r="T103" i="20" s="1"/>
  <c r="S103" i="20" s="1"/>
  <c r="R103" i="20" s="1"/>
  <c r="U226" i="20"/>
  <c r="T226" i="20" s="1"/>
  <c r="S226" i="20" s="1"/>
  <c r="R226" i="20" s="1"/>
  <c r="U253" i="20"/>
  <c r="T253" i="20" s="1"/>
  <c r="S253" i="20" s="1"/>
  <c r="R253" i="20" s="1"/>
  <c r="U60" i="20"/>
  <c r="T60" i="20" s="1"/>
  <c r="S60" i="20" s="1"/>
  <c r="R60" i="20" s="1"/>
  <c r="U81" i="20"/>
  <c r="T81" i="20" s="1"/>
  <c r="S81" i="20" s="1"/>
  <c r="R81" i="20" s="1"/>
  <c r="U247" i="20"/>
  <c r="T247" i="20" s="1"/>
  <c r="S247" i="20" s="1"/>
  <c r="R247" i="20" s="1"/>
  <c r="U266" i="20"/>
  <c r="T266" i="20" s="1"/>
  <c r="S266" i="20" s="1"/>
  <c r="R266" i="20" s="1"/>
  <c r="U107" i="20"/>
  <c r="T107" i="20" s="1"/>
  <c r="S107" i="20" s="1"/>
  <c r="R107" i="20" s="1"/>
  <c r="U132" i="20"/>
  <c r="T132" i="20" s="1"/>
  <c r="U328" i="20"/>
  <c r="T328" i="20" s="1"/>
  <c r="S328" i="20" s="1"/>
  <c r="R328" i="20" s="1"/>
  <c r="U313" i="20"/>
  <c r="T313" i="20" s="1"/>
  <c r="S313" i="20" s="1"/>
  <c r="R313" i="20" s="1"/>
  <c r="U82" i="20"/>
  <c r="T82" i="20" s="1"/>
  <c r="S82" i="20" s="1"/>
  <c r="R82" i="20" s="1"/>
  <c r="U29" i="20"/>
  <c r="T29" i="20" s="1"/>
  <c r="S29" i="20" s="1"/>
  <c r="R29" i="20" s="1"/>
  <c r="U275" i="20"/>
  <c r="T275" i="20" s="1"/>
  <c r="S275" i="20" s="1"/>
  <c r="R275" i="20" s="1"/>
  <c r="U272" i="20"/>
  <c r="T272" i="20" s="1"/>
  <c r="S272" i="20" s="1"/>
  <c r="R272" i="20" s="1"/>
  <c r="U23" i="20"/>
  <c r="T23" i="20" s="1"/>
  <c r="S23" i="20" s="1"/>
  <c r="R23" i="20" s="1"/>
  <c r="U154" i="20"/>
  <c r="T154" i="20" s="1"/>
  <c r="S154" i="20" s="1"/>
  <c r="R154" i="20" s="1"/>
  <c r="U173" i="20"/>
  <c r="T173" i="20" s="1"/>
  <c r="S173" i="20" s="1"/>
  <c r="R173" i="20" s="1"/>
  <c r="U20" i="20"/>
  <c r="T20" i="20" s="1"/>
  <c r="S20" i="20" s="1"/>
  <c r="R20" i="20" s="1"/>
  <c r="U344" i="20"/>
  <c r="T344" i="20" s="1"/>
  <c r="S344" i="20" s="1"/>
  <c r="R344" i="20" s="1"/>
  <c r="U281" i="20"/>
  <c r="T281" i="20" s="1"/>
  <c r="S281" i="20" s="1"/>
  <c r="R281" i="20" s="1"/>
  <c r="U351" i="20"/>
  <c r="T351" i="20" s="1"/>
  <c r="S351" i="20" s="1"/>
  <c r="R351" i="20" s="1"/>
  <c r="U270" i="20"/>
  <c r="T270" i="20" s="1"/>
  <c r="S270" i="20" s="1"/>
  <c r="R270" i="20" s="1"/>
  <c r="U51" i="20"/>
  <c r="T51" i="20" s="1"/>
  <c r="S51" i="20" s="1"/>
  <c r="R51" i="20" s="1"/>
  <c r="U192" i="20"/>
  <c r="T192" i="20" s="1"/>
  <c r="S192" i="20" s="1"/>
  <c r="R192" i="20" s="1"/>
  <c r="U169" i="20"/>
  <c r="T169" i="20" s="1"/>
  <c r="S169" i="20" s="1"/>
  <c r="R169" i="20" s="1"/>
  <c r="U42" i="20"/>
  <c r="T42" i="20" s="1"/>
  <c r="U374" i="20"/>
  <c r="T374" i="20" s="1"/>
  <c r="S374" i="20" s="1"/>
  <c r="R374" i="20" s="1"/>
  <c r="U195" i="20"/>
  <c r="T195" i="20" s="1"/>
  <c r="S195" i="20" s="1"/>
  <c r="R195" i="20" s="1"/>
  <c r="U232" i="20"/>
  <c r="T232" i="20" s="1"/>
  <c r="S232" i="20" s="1"/>
  <c r="R232" i="20" s="1"/>
  <c r="U283" i="20"/>
  <c r="T283" i="20" s="1"/>
  <c r="S283" i="20" s="1"/>
  <c r="R283" i="20" s="1"/>
  <c r="U319" i="20"/>
  <c r="T319" i="20" s="1"/>
  <c r="U286" i="20"/>
  <c r="T286" i="20" s="1"/>
  <c r="S286" i="20" s="1"/>
  <c r="R286" i="20" s="1"/>
  <c r="U197" i="20"/>
  <c r="T197" i="20" s="1"/>
  <c r="U48" i="20"/>
  <c r="T48" i="20" s="1"/>
  <c r="S48" i="20" s="1"/>
  <c r="R48" i="20" s="1"/>
  <c r="U340" i="20"/>
  <c r="T340" i="20" s="1"/>
  <c r="U207" i="20"/>
  <c r="T207" i="20" s="1"/>
  <c r="S207" i="20" s="1"/>
  <c r="R207" i="20" s="1"/>
  <c r="U230" i="20"/>
  <c r="T230" i="20" s="1"/>
  <c r="U35" i="20"/>
  <c r="T35" i="20" s="1"/>
  <c r="S35" i="20" s="1"/>
  <c r="R35" i="20" s="1"/>
  <c r="U120" i="20"/>
  <c r="T120" i="20" s="1"/>
  <c r="U59" i="20"/>
  <c r="T59" i="20" s="1"/>
  <c r="S59" i="20" s="1"/>
  <c r="R59" i="20" s="1"/>
  <c r="U172" i="20"/>
  <c r="T172" i="20" s="1"/>
  <c r="S172" i="20" s="1"/>
  <c r="R172" i="20" s="1"/>
  <c r="U336" i="20"/>
  <c r="T336" i="20" s="1"/>
  <c r="S336" i="20" s="1"/>
  <c r="R336" i="20" s="1"/>
  <c r="U151" i="20"/>
  <c r="T151" i="20" s="1"/>
  <c r="S151" i="20" s="1"/>
  <c r="R151" i="20" s="1"/>
  <c r="U90" i="20"/>
  <c r="T90" i="20" s="1"/>
  <c r="S90" i="20" s="1"/>
  <c r="R90" i="20" s="1"/>
  <c r="U45" i="20"/>
  <c r="T45" i="20" s="1"/>
  <c r="S45" i="20" s="1"/>
  <c r="R45" i="20" s="1"/>
  <c r="U355" i="20"/>
  <c r="T355" i="20" s="1"/>
  <c r="S355" i="20" s="1"/>
  <c r="R355" i="20" s="1"/>
  <c r="U280" i="20"/>
  <c r="T280" i="20" s="1"/>
  <c r="S280" i="20" s="1"/>
  <c r="R280" i="20" s="1"/>
  <c r="U39" i="20"/>
  <c r="T39" i="20" s="1"/>
  <c r="S39" i="20" s="1"/>
  <c r="R39" i="20" s="1"/>
  <c r="U194" i="20"/>
  <c r="T194" i="20" s="1"/>
  <c r="S194" i="20" s="1"/>
  <c r="R194" i="20" s="1"/>
  <c r="U189" i="20"/>
  <c r="T189" i="20" s="1"/>
  <c r="S189" i="20" s="1"/>
  <c r="R189" i="20" s="1"/>
  <c r="U28" i="20"/>
  <c r="T28" i="20" s="1"/>
  <c r="S28" i="20" s="1"/>
  <c r="R28" i="20" s="1"/>
  <c r="U16" i="20"/>
  <c r="T16" i="20" s="1"/>
  <c r="S16" i="20" s="1"/>
  <c r="R16" i="20" s="1"/>
  <c r="U183" i="20"/>
  <c r="T183" i="20" s="1"/>
  <c r="S183" i="20" s="1"/>
  <c r="R183" i="20" s="1"/>
  <c r="U106" i="20"/>
  <c r="T106" i="20" s="1"/>
  <c r="S106" i="20" s="1"/>
  <c r="R106" i="20" s="1"/>
  <c r="U310" i="20"/>
  <c r="T310" i="20" s="1"/>
  <c r="S310" i="20" s="1"/>
  <c r="R310" i="20" s="1"/>
  <c r="U67" i="20"/>
  <c r="T67" i="20" s="1"/>
  <c r="S67" i="20" s="1"/>
  <c r="R67" i="20" s="1"/>
  <c r="U168" i="20"/>
  <c r="T168" i="20" s="1"/>
  <c r="S168" i="20" s="1"/>
  <c r="R168" i="20" s="1"/>
  <c r="U249" i="20"/>
  <c r="T249" i="20" s="1"/>
  <c r="S249" i="20" s="1"/>
  <c r="R249" i="20" s="1"/>
  <c r="U50" i="20"/>
  <c r="T50" i="20" s="1"/>
  <c r="U350" i="20"/>
  <c r="T350" i="20" s="1"/>
  <c r="S350" i="20" s="1"/>
  <c r="R350" i="20" s="1"/>
  <c r="U211" i="20"/>
  <c r="T211" i="20" s="1"/>
  <c r="S211" i="20" s="1"/>
  <c r="R211" i="20" s="1"/>
  <c r="U240" i="20"/>
  <c r="T240" i="20" s="1"/>
  <c r="S240" i="20" s="1"/>
  <c r="R240" i="20" s="1"/>
  <c r="U329" i="20"/>
  <c r="T329" i="20" s="1"/>
  <c r="U122" i="20"/>
  <c r="T122" i="20" s="1"/>
  <c r="S122" i="20" s="1"/>
  <c r="R122" i="20" s="1"/>
  <c r="U294" i="20"/>
  <c r="T294" i="20" s="1"/>
  <c r="S294" i="20" s="1"/>
  <c r="R294" i="20" s="1"/>
  <c r="U277" i="20"/>
  <c r="T277" i="20" s="1"/>
  <c r="S277" i="20" s="1"/>
  <c r="R277" i="20" s="1"/>
  <c r="U56" i="20"/>
  <c r="T56" i="20" s="1"/>
  <c r="U348" i="20"/>
  <c r="T348" i="20" s="1"/>
  <c r="S348" i="20" s="1"/>
  <c r="R348" i="20" s="1"/>
  <c r="U287" i="20"/>
  <c r="T287" i="20" s="1"/>
  <c r="S287" i="20" s="1"/>
  <c r="R287" i="20" s="1"/>
  <c r="U238" i="20"/>
  <c r="T238" i="20" s="1"/>
  <c r="S238" i="20" s="1"/>
  <c r="R238" i="20" s="1"/>
  <c r="U357" i="20"/>
  <c r="T357" i="20" s="1"/>
  <c r="U160" i="20"/>
  <c r="T160" i="20" s="1"/>
  <c r="S160" i="20" s="1"/>
  <c r="R160" i="20" s="1"/>
  <c r="U105" i="20"/>
  <c r="T105" i="20" s="1"/>
  <c r="S105" i="20" s="1"/>
  <c r="R105" i="20" s="1"/>
  <c r="S15" i="18"/>
  <c r="T382" i="18"/>
  <c r="T381" i="18"/>
  <c r="T383" i="18"/>
  <c r="AF381" i="17"/>
  <c r="AD15" i="17"/>
  <c r="AF383" i="17"/>
  <c r="AF382" i="17"/>
  <c r="AI297" i="20"/>
  <c r="AH297" i="20" s="1"/>
  <c r="AG297" i="20" s="1"/>
  <c r="AF297" i="20" s="1"/>
  <c r="AI246" i="20"/>
  <c r="AH246" i="20" s="1"/>
  <c r="AG246" i="20" s="1"/>
  <c r="AF246" i="20" s="1"/>
  <c r="AI81" i="20"/>
  <c r="AH81" i="20" s="1"/>
  <c r="AG81" i="20" s="1"/>
  <c r="AF81" i="20" s="1"/>
  <c r="AI359" i="20"/>
  <c r="AH359" i="20" s="1"/>
  <c r="AG359" i="20" s="1"/>
  <c r="AF359" i="20" s="1"/>
  <c r="AI309" i="20"/>
  <c r="AH309" i="20" s="1"/>
  <c r="AG309" i="20" s="1"/>
  <c r="AF309" i="20" s="1"/>
  <c r="AI148" i="20"/>
  <c r="AH148" i="20" s="1"/>
  <c r="AG148" i="20" s="1"/>
  <c r="AF148" i="20" s="1"/>
  <c r="AI48" i="20"/>
  <c r="AH48" i="20" s="1"/>
  <c r="AG48" i="20" s="1"/>
  <c r="AF48" i="20" s="1"/>
  <c r="AI354" i="20"/>
  <c r="AH354" i="20" s="1"/>
  <c r="AI143" i="20"/>
  <c r="AH143" i="20" s="1"/>
  <c r="AG143" i="20" s="1"/>
  <c r="AF143" i="20" s="1"/>
  <c r="AI306" i="20"/>
  <c r="AH306" i="20" s="1"/>
  <c r="AI236" i="20"/>
  <c r="AH236" i="20" s="1"/>
  <c r="AI168" i="20"/>
  <c r="AH168" i="20" s="1"/>
  <c r="AG168" i="20" s="1"/>
  <c r="AF168" i="20" s="1"/>
  <c r="AI291" i="20"/>
  <c r="AH291" i="20" s="1"/>
  <c r="AG291" i="20" s="1"/>
  <c r="AF291" i="20" s="1"/>
  <c r="AI315" i="20"/>
  <c r="AH315" i="20" s="1"/>
  <c r="AG315" i="20" s="1"/>
  <c r="AF315" i="20" s="1"/>
  <c r="AI339" i="20"/>
  <c r="AH339" i="20" s="1"/>
  <c r="AG339" i="20" s="1"/>
  <c r="AF339" i="20" s="1"/>
  <c r="AI345" i="20"/>
  <c r="AH345" i="20" s="1"/>
  <c r="AG345" i="20" s="1"/>
  <c r="AF345" i="20" s="1"/>
  <c r="AI238" i="20"/>
  <c r="AH238" i="20" s="1"/>
  <c r="AG238" i="20" s="1"/>
  <c r="AF238" i="20" s="1"/>
  <c r="AI349" i="20"/>
  <c r="AH349" i="20" s="1"/>
  <c r="AG349" i="20" s="1"/>
  <c r="AF349" i="20" s="1"/>
  <c r="AI68" i="20"/>
  <c r="AH68" i="20" s="1"/>
  <c r="AG68" i="20" s="1"/>
  <c r="AF68" i="20" s="1"/>
  <c r="AI369" i="20"/>
  <c r="AH369" i="20" s="1"/>
  <c r="AG369" i="20" s="1"/>
  <c r="AF369" i="20" s="1"/>
  <c r="AI201" i="20"/>
  <c r="AH201" i="20" s="1"/>
  <c r="AG201" i="20" s="1"/>
  <c r="AF201" i="20" s="1"/>
  <c r="AI86" i="20"/>
  <c r="AH86" i="20" s="1"/>
  <c r="AG86" i="20" s="1"/>
  <c r="AF86" i="20" s="1"/>
  <c r="AI362" i="20"/>
  <c r="AH362" i="20" s="1"/>
  <c r="AI263" i="20"/>
  <c r="AH263" i="20" s="1"/>
  <c r="AG263" i="20" s="1"/>
  <c r="AF263" i="20" s="1"/>
  <c r="AI293" i="20"/>
  <c r="AH293" i="20" s="1"/>
  <c r="AG293" i="20" s="1"/>
  <c r="AF293" i="20" s="1"/>
  <c r="AI116" i="20"/>
  <c r="AH116" i="20" s="1"/>
  <c r="AG116" i="20" s="1"/>
  <c r="AF116" i="20" s="1"/>
  <c r="AI301" i="20"/>
  <c r="AH301" i="20" s="1"/>
  <c r="AG301" i="20" s="1"/>
  <c r="AF301" i="20" s="1"/>
  <c r="AI194" i="20"/>
  <c r="AH194" i="20" s="1"/>
  <c r="AG194" i="20" s="1"/>
  <c r="AF194" i="20" s="1"/>
  <c r="AI63" i="20"/>
  <c r="AH63" i="20" s="1"/>
  <c r="AG63" i="20" s="1"/>
  <c r="AF63" i="20" s="1"/>
  <c r="AI355" i="20"/>
  <c r="AH355" i="20" s="1"/>
  <c r="AG355" i="20" s="1"/>
  <c r="AF355" i="20" s="1"/>
  <c r="AI347" i="20"/>
  <c r="AH347" i="20" s="1"/>
  <c r="AG347" i="20" s="1"/>
  <c r="AF347" i="20" s="1"/>
  <c r="AI17" i="20"/>
  <c r="AH17" i="20" s="1"/>
  <c r="AG17" i="20" s="1"/>
  <c r="AF17" i="20" s="1"/>
  <c r="AI222" i="20"/>
  <c r="AH222" i="20" s="1"/>
  <c r="AG222" i="20" s="1"/>
  <c r="AF222" i="20" s="1"/>
  <c r="AI107" i="20"/>
  <c r="AH107" i="20" s="1"/>
  <c r="AG107" i="20" s="1"/>
  <c r="AF107" i="20" s="1"/>
  <c r="AI252" i="20"/>
  <c r="AH252" i="20" s="1"/>
  <c r="AG252" i="20" s="1"/>
  <c r="AF252" i="20" s="1"/>
  <c r="AI249" i="20"/>
  <c r="AH249" i="20" s="1"/>
  <c r="AI206" i="20"/>
  <c r="AH206" i="20" s="1"/>
  <c r="AG206" i="20" s="1"/>
  <c r="AF206" i="20" s="1"/>
  <c r="AI16" i="20"/>
  <c r="AH16" i="20" s="1"/>
  <c r="AG16" i="20" s="1"/>
  <c r="AF16" i="20" s="1"/>
  <c r="AI311" i="20"/>
  <c r="AH311" i="20" s="1"/>
  <c r="AG311" i="20" s="1"/>
  <c r="AF311" i="20" s="1"/>
  <c r="AI289" i="20"/>
  <c r="AH289" i="20" s="1"/>
  <c r="AG289" i="20" s="1"/>
  <c r="AF289" i="20" s="1"/>
  <c r="AI105" i="20"/>
  <c r="AH105" i="20" s="1"/>
  <c r="AG105" i="20" s="1"/>
  <c r="AF105" i="20" s="1"/>
  <c r="AI54" i="20"/>
  <c r="AH54" i="20" s="1"/>
  <c r="AG54" i="20" s="1"/>
  <c r="AF54" i="20" s="1"/>
  <c r="AI330" i="20"/>
  <c r="AH330" i="20" s="1"/>
  <c r="AG330" i="20" s="1"/>
  <c r="AF330" i="20" s="1"/>
  <c r="AI167" i="20"/>
  <c r="AH167" i="20" s="1"/>
  <c r="AI213" i="20"/>
  <c r="AH213" i="20" s="1"/>
  <c r="AG213" i="20" s="1"/>
  <c r="AF213" i="20" s="1"/>
  <c r="AI351" i="20"/>
  <c r="AH351" i="20" s="1"/>
  <c r="AG351" i="20" s="1"/>
  <c r="AF351" i="20" s="1"/>
  <c r="AI205" i="20"/>
  <c r="AH205" i="20" s="1"/>
  <c r="AG205" i="20" s="1"/>
  <c r="AF205" i="20" s="1"/>
  <c r="AI162" i="20"/>
  <c r="AH162" i="20" s="1"/>
  <c r="AG162" i="20" s="1"/>
  <c r="AF162" i="20" s="1"/>
  <c r="AI47" i="20"/>
  <c r="AH47" i="20" s="1"/>
  <c r="AI259" i="20"/>
  <c r="AH259" i="20" s="1"/>
  <c r="AG259" i="20" s="1"/>
  <c r="AF259" i="20" s="1"/>
  <c r="AI267" i="20"/>
  <c r="AH267" i="20" s="1"/>
  <c r="AG267" i="20" s="1"/>
  <c r="AF267" i="20" s="1"/>
  <c r="AI124" i="20"/>
  <c r="AH124" i="20" s="1"/>
  <c r="AG124" i="20" s="1"/>
  <c r="AF124" i="20" s="1"/>
  <c r="AI313" i="20"/>
  <c r="AH313" i="20" s="1"/>
  <c r="AG313" i="20" s="1"/>
  <c r="AF313" i="20" s="1"/>
  <c r="AI270" i="20"/>
  <c r="AH270" i="20" s="1"/>
  <c r="AG270" i="20" s="1"/>
  <c r="AF270" i="20" s="1"/>
  <c r="AI61" i="20"/>
  <c r="AH61" i="20" s="1"/>
  <c r="AG61" i="20" s="1"/>
  <c r="AF61" i="20" s="1"/>
  <c r="AI154" i="20"/>
  <c r="AH154" i="20" s="1"/>
  <c r="AG154" i="20" s="1"/>
  <c r="AF154" i="20" s="1"/>
  <c r="AI152" i="20"/>
  <c r="AH152" i="20" s="1"/>
  <c r="AG152" i="20" s="1"/>
  <c r="AF152" i="20" s="1"/>
  <c r="AI336" i="20"/>
  <c r="AH336" i="20" s="1"/>
  <c r="AI215" i="20"/>
  <c r="AH215" i="20" s="1"/>
  <c r="AG215" i="20" s="1"/>
  <c r="AF215" i="20" s="1"/>
  <c r="AI273" i="20"/>
  <c r="AH273" i="20" s="1"/>
  <c r="AG273" i="20" s="1"/>
  <c r="AF273" i="20" s="1"/>
  <c r="AI378" i="20"/>
  <c r="AH378" i="20" s="1"/>
  <c r="AG378" i="20" s="1"/>
  <c r="AF378" i="20" s="1"/>
  <c r="AI256" i="20"/>
  <c r="AH256" i="20" s="1"/>
  <c r="AG256" i="20" s="1"/>
  <c r="AF256" i="20" s="1"/>
  <c r="AI170" i="20"/>
  <c r="AH170" i="20" s="1"/>
  <c r="AG170" i="20" s="1"/>
  <c r="AF170" i="20" s="1"/>
  <c r="AI71" i="20"/>
  <c r="AH71" i="20" s="1"/>
  <c r="AG71" i="20" s="1"/>
  <c r="AF71" i="20" s="1"/>
  <c r="AI197" i="20"/>
  <c r="AH197" i="20" s="1"/>
  <c r="AI335" i="20"/>
  <c r="AH335" i="20" s="1"/>
  <c r="AG335" i="20" s="1"/>
  <c r="AF335" i="20" s="1"/>
  <c r="AI109" i="20"/>
  <c r="AH109" i="20" s="1"/>
  <c r="AG109" i="20" s="1"/>
  <c r="AF109" i="20" s="1"/>
  <c r="AI364" i="20"/>
  <c r="AH364" i="20" s="1"/>
  <c r="AG364" i="20" s="1"/>
  <c r="AF364" i="20" s="1"/>
  <c r="AI62" i="20"/>
  <c r="AH62" i="20" s="1"/>
  <c r="AG62" i="20" s="1"/>
  <c r="AF62" i="20" s="1"/>
  <c r="AI163" i="20"/>
  <c r="AH163" i="20" s="1"/>
  <c r="AG163" i="20" s="1"/>
  <c r="AF163" i="20" s="1"/>
  <c r="AI251" i="20"/>
  <c r="AH251" i="20" s="1"/>
  <c r="AG251" i="20" s="1"/>
  <c r="AF251" i="20" s="1"/>
  <c r="AI188" i="20"/>
  <c r="AH188" i="20" s="1"/>
  <c r="AG188" i="20" s="1"/>
  <c r="AF188" i="20" s="1"/>
  <c r="AI217" i="20"/>
  <c r="AH217" i="20" s="1"/>
  <c r="AG217" i="20" s="1"/>
  <c r="AF217" i="20" s="1"/>
  <c r="AI110" i="20"/>
  <c r="AH110" i="20" s="1"/>
  <c r="AG110" i="20" s="1"/>
  <c r="AF110" i="20" s="1"/>
  <c r="AI208" i="20"/>
  <c r="AH208" i="20" s="1"/>
  <c r="AI279" i="20"/>
  <c r="AH279" i="20" s="1"/>
  <c r="AG279" i="20" s="1"/>
  <c r="AF279" i="20" s="1"/>
  <c r="AI305" i="20"/>
  <c r="AH305" i="20" s="1"/>
  <c r="AG305" i="20" s="1"/>
  <c r="AF305" i="20" s="1"/>
  <c r="AI329" i="20"/>
  <c r="AH329" i="20" s="1"/>
  <c r="AI214" i="20"/>
  <c r="AH214" i="20" s="1"/>
  <c r="AG214" i="20" s="1"/>
  <c r="AF214" i="20" s="1"/>
  <c r="AI65" i="20"/>
  <c r="AH65" i="20" s="1"/>
  <c r="AG65" i="20" s="1"/>
  <c r="AF65" i="20" s="1"/>
  <c r="AI186" i="20"/>
  <c r="AH186" i="20" s="1"/>
  <c r="AG186" i="20" s="1"/>
  <c r="AF186" i="20" s="1"/>
  <c r="AI224" i="20"/>
  <c r="AH224" i="20" s="1"/>
  <c r="AG224" i="20" s="1"/>
  <c r="AF224" i="20" s="1"/>
  <c r="AI138" i="20"/>
  <c r="AH138" i="20" s="1"/>
  <c r="AG138" i="20" s="1"/>
  <c r="AF138" i="20" s="1"/>
  <c r="AI262" i="20"/>
  <c r="AH262" i="20" s="1"/>
  <c r="AG262" i="20" s="1"/>
  <c r="AF262" i="20" s="1"/>
  <c r="AI117" i="20"/>
  <c r="AH117" i="20" s="1"/>
  <c r="AG117" i="20" s="1"/>
  <c r="AF117" i="20" s="1"/>
  <c r="AI255" i="20"/>
  <c r="AH255" i="20" s="1"/>
  <c r="AG255" i="20" s="1"/>
  <c r="AF255" i="20" s="1"/>
  <c r="AI370" i="20"/>
  <c r="AH370" i="20" s="1"/>
  <c r="AG370" i="20" s="1"/>
  <c r="AF370" i="20" s="1"/>
  <c r="AI332" i="20"/>
  <c r="AH332" i="20" s="1"/>
  <c r="AG332" i="20" s="1"/>
  <c r="AF332" i="20" s="1"/>
  <c r="AI126" i="20"/>
  <c r="AH126" i="20" s="1"/>
  <c r="AG126" i="20" s="1"/>
  <c r="AF126" i="20" s="1"/>
  <c r="AI67" i="20"/>
  <c r="AH67" i="20" s="1"/>
  <c r="AG67" i="20" s="1"/>
  <c r="AF67" i="20" s="1"/>
  <c r="AI171" i="20"/>
  <c r="AH171" i="20" s="1"/>
  <c r="AG171" i="20" s="1"/>
  <c r="AF171" i="20" s="1"/>
  <c r="AI146" i="20"/>
  <c r="AH146" i="20" s="1"/>
  <c r="AG146" i="20" s="1"/>
  <c r="AF146" i="20" s="1"/>
  <c r="AI121" i="20"/>
  <c r="AH121" i="20" s="1"/>
  <c r="AG121" i="20" s="1"/>
  <c r="AF121" i="20" s="1"/>
  <c r="AI78" i="20"/>
  <c r="AH78" i="20" s="1"/>
  <c r="AG78" i="20" s="1"/>
  <c r="AF78" i="20" s="1"/>
  <c r="AI272" i="20"/>
  <c r="AH272" i="20" s="1"/>
  <c r="AG272" i="20" s="1"/>
  <c r="AF272" i="20" s="1"/>
  <c r="AI183" i="20"/>
  <c r="AH183" i="20" s="1"/>
  <c r="AG183" i="20" s="1"/>
  <c r="AF183" i="20" s="1"/>
  <c r="AI225" i="20"/>
  <c r="AH225" i="20" s="1"/>
  <c r="AG225" i="20" s="1"/>
  <c r="AF225" i="20" s="1"/>
  <c r="AI314" i="20"/>
  <c r="AH314" i="20" s="1"/>
  <c r="AI288" i="20"/>
  <c r="AH288" i="20" s="1"/>
  <c r="AG288" i="20" s="1"/>
  <c r="AF288" i="20" s="1"/>
  <c r="AI202" i="20"/>
  <c r="AH202" i="20" s="1"/>
  <c r="AG202" i="20" s="1"/>
  <c r="AF202" i="20" s="1"/>
  <c r="AI295" i="20"/>
  <c r="AH295" i="20" s="1"/>
  <c r="AG295" i="20" s="1"/>
  <c r="AF295" i="20" s="1"/>
  <c r="AI277" i="20"/>
  <c r="AH277" i="20" s="1"/>
  <c r="AG277" i="20" s="1"/>
  <c r="AF277" i="20" s="1"/>
  <c r="AI84" i="20"/>
  <c r="AH84" i="20" s="1"/>
  <c r="AG84" i="20" s="1"/>
  <c r="AF84" i="20" s="1"/>
  <c r="AI70" i="20"/>
  <c r="AH70" i="20" s="1"/>
  <c r="AG70" i="20" s="1"/>
  <c r="AF70" i="20" s="1"/>
  <c r="AI101" i="20"/>
  <c r="AH101" i="20" s="1"/>
  <c r="AG101" i="20" s="1"/>
  <c r="AF101" i="20" s="1"/>
  <c r="AI239" i="20"/>
  <c r="AH239" i="20" s="1"/>
  <c r="AG239" i="20" s="1"/>
  <c r="AF239" i="20" s="1"/>
  <c r="AI178" i="20"/>
  <c r="AH178" i="20" s="1"/>
  <c r="AG178" i="20" s="1"/>
  <c r="AF178" i="20" s="1"/>
  <c r="AI172" i="20"/>
  <c r="AH172" i="20" s="1"/>
  <c r="AG172" i="20" s="1"/>
  <c r="AF172" i="20" s="1"/>
  <c r="AI51" i="20"/>
  <c r="AH51" i="20" s="1"/>
  <c r="AG51" i="20" s="1"/>
  <c r="AF51" i="20" s="1"/>
  <c r="AI286" i="20"/>
  <c r="AH286" i="20" s="1"/>
  <c r="AG286" i="20" s="1"/>
  <c r="AF286" i="20" s="1"/>
  <c r="AI155" i="20"/>
  <c r="AH155" i="20" s="1"/>
  <c r="AG155" i="20" s="1"/>
  <c r="AF155" i="20" s="1"/>
  <c r="AI210" i="20"/>
  <c r="AH210" i="20" s="1"/>
  <c r="AG210" i="20" s="1"/>
  <c r="AF210" i="20" s="1"/>
  <c r="AI25" i="20"/>
  <c r="AH25" i="20" s="1"/>
  <c r="AI280" i="20"/>
  <c r="AH280" i="20" s="1"/>
  <c r="AG280" i="20" s="1"/>
  <c r="AF280" i="20" s="1"/>
  <c r="AI230" i="20"/>
  <c r="AH230" i="20" s="1"/>
  <c r="AG230" i="20" s="1"/>
  <c r="AF230" i="20" s="1"/>
  <c r="AI87" i="20"/>
  <c r="AH87" i="20" s="1"/>
  <c r="AG87" i="20" s="1"/>
  <c r="AF87" i="20" s="1"/>
  <c r="AI209" i="20"/>
  <c r="AH209" i="20" s="1"/>
  <c r="AG209" i="20" s="1"/>
  <c r="AF209" i="20" s="1"/>
  <c r="AI122" i="20"/>
  <c r="AH122" i="20" s="1"/>
  <c r="AG122" i="20" s="1"/>
  <c r="AF122" i="20" s="1"/>
  <c r="AI128" i="20"/>
  <c r="AH128" i="20" s="1"/>
  <c r="AG128" i="20" s="1"/>
  <c r="AF128" i="20" s="1"/>
  <c r="AI42" i="20"/>
  <c r="AH42" i="20" s="1"/>
  <c r="AG42" i="20" s="1"/>
  <c r="AF42" i="20" s="1"/>
  <c r="AI198" i="20"/>
  <c r="AH198" i="20" s="1"/>
  <c r="AG198" i="20" s="1"/>
  <c r="AF198" i="20" s="1"/>
  <c r="AI133" i="20"/>
  <c r="AH133" i="20" s="1"/>
  <c r="AG133" i="20" s="1"/>
  <c r="AF133" i="20" s="1"/>
  <c r="AI271" i="20"/>
  <c r="AH271" i="20" s="1"/>
  <c r="AG271" i="20" s="1"/>
  <c r="AF271" i="20" s="1"/>
  <c r="AI237" i="20"/>
  <c r="AH237" i="20" s="1"/>
  <c r="AI130" i="20"/>
  <c r="AH130" i="20" s="1"/>
  <c r="AG130" i="20" s="1"/>
  <c r="AF130" i="20" s="1"/>
  <c r="AI31" i="20"/>
  <c r="AH31" i="20" s="1"/>
  <c r="AI348" i="20"/>
  <c r="AH348" i="20" s="1"/>
  <c r="AG348" i="20" s="1"/>
  <c r="AF348" i="20" s="1"/>
  <c r="AI140" i="20"/>
  <c r="AH140" i="20" s="1"/>
  <c r="AG140" i="20" s="1"/>
  <c r="AF140" i="20" s="1"/>
  <c r="AI83" i="20"/>
  <c r="AH83" i="20" s="1"/>
  <c r="AG83" i="20" s="1"/>
  <c r="AF83" i="20" s="1"/>
  <c r="AI94" i="20"/>
  <c r="AH94" i="20" s="1"/>
  <c r="AG94" i="20" s="1"/>
  <c r="AF94" i="20" s="1"/>
  <c r="AI75" i="20"/>
  <c r="AH75" i="20" s="1"/>
  <c r="AG75" i="20" s="1"/>
  <c r="AF75" i="20" s="1"/>
  <c r="AI93" i="20"/>
  <c r="AH93" i="20" s="1"/>
  <c r="AG93" i="20" s="1"/>
  <c r="AF93" i="20" s="1"/>
  <c r="AI218" i="20"/>
  <c r="AH218" i="20" s="1"/>
  <c r="AG218" i="20" s="1"/>
  <c r="AF218" i="20" s="1"/>
  <c r="AI248" i="20"/>
  <c r="AH248" i="20" s="1"/>
  <c r="AG248" i="20" s="1"/>
  <c r="AF248" i="20" s="1"/>
  <c r="AI294" i="20"/>
  <c r="AH294" i="20" s="1"/>
  <c r="AG294" i="20" s="1"/>
  <c r="AF294" i="20" s="1"/>
  <c r="AI342" i="20"/>
  <c r="AH342" i="20" s="1"/>
  <c r="AG342" i="20" s="1"/>
  <c r="AF342" i="20" s="1"/>
  <c r="AI129" i="20"/>
  <c r="AH129" i="20" s="1"/>
  <c r="AG129" i="20" s="1"/>
  <c r="AF129" i="20" s="1"/>
  <c r="AI292" i="20"/>
  <c r="AH292" i="20" s="1"/>
  <c r="AG292" i="20" s="1"/>
  <c r="AF292" i="20" s="1"/>
  <c r="AI96" i="20"/>
  <c r="AH96" i="20" s="1"/>
  <c r="AG96" i="20" s="1"/>
  <c r="AF96" i="20" s="1"/>
  <c r="AI372" i="20"/>
  <c r="AH372" i="20" s="1"/>
  <c r="AG372" i="20" s="1"/>
  <c r="AF372" i="20" s="1"/>
  <c r="AI368" i="20"/>
  <c r="AH368" i="20" s="1"/>
  <c r="AG368" i="20" s="1"/>
  <c r="AF368" i="20" s="1"/>
  <c r="AI53" i="20"/>
  <c r="AH53" i="20" s="1"/>
  <c r="AG53" i="20" s="1"/>
  <c r="AF53" i="20" s="1"/>
  <c r="AI191" i="20"/>
  <c r="AH191" i="20" s="1"/>
  <c r="AG191" i="20" s="1"/>
  <c r="AF191" i="20" s="1"/>
  <c r="AI114" i="20"/>
  <c r="AH114" i="20" s="1"/>
  <c r="AG114" i="20" s="1"/>
  <c r="AF114" i="20" s="1"/>
  <c r="AI204" i="20"/>
  <c r="AH204" i="20" s="1"/>
  <c r="AG204" i="20" s="1"/>
  <c r="AF204" i="20" s="1"/>
  <c r="AI232" i="20"/>
  <c r="AH232" i="20" s="1"/>
  <c r="AG232" i="20" s="1"/>
  <c r="AF232" i="20" s="1"/>
  <c r="AI195" i="20"/>
  <c r="AH195" i="20" s="1"/>
  <c r="AG195" i="20" s="1"/>
  <c r="AF195" i="20" s="1"/>
  <c r="AI235" i="20"/>
  <c r="AH235" i="20" s="1"/>
  <c r="AI243" i="20"/>
  <c r="AH243" i="20" s="1"/>
  <c r="AG243" i="20" s="1"/>
  <c r="AF243" i="20" s="1"/>
  <c r="AI264" i="20"/>
  <c r="AH264" i="20" s="1"/>
  <c r="AG264" i="20" s="1"/>
  <c r="AF264" i="20" s="1"/>
  <c r="AI59" i="20"/>
  <c r="AH59" i="20" s="1"/>
  <c r="AG59" i="20" s="1"/>
  <c r="AF59" i="20" s="1"/>
  <c r="AI125" i="20"/>
  <c r="AH125" i="20" s="1"/>
  <c r="AG125" i="20" s="1"/>
  <c r="AF125" i="20" s="1"/>
  <c r="AI26" i="20"/>
  <c r="AH26" i="20" s="1"/>
  <c r="AG26" i="20" s="1"/>
  <c r="AF26" i="20" s="1"/>
  <c r="AI88" i="20"/>
  <c r="AH88" i="20" s="1"/>
  <c r="AG88" i="20" s="1"/>
  <c r="AF88" i="20" s="1"/>
  <c r="AI361" i="20"/>
  <c r="AH361" i="20" s="1"/>
  <c r="AG361" i="20" s="1"/>
  <c r="AF361" i="20" s="1"/>
  <c r="AI310" i="20"/>
  <c r="AH310" i="20" s="1"/>
  <c r="AG310" i="20" s="1"/>
  <c r="AF310" i="20" s="1"/>
  <c r="AI113" i="20"/>
  <c r="AH113" i="20" s="1"/>
  <c r="AG113" i="20" s="1"/>
  <c r="AF113" i="20" s="1"/>
  <c r="AI100" i="20"/>
  <c r="AH100" i="20" s="1"/>
  <c r="AG100" i="20" s="1"/>
  <c r="AF100" i="20" s="1"/>
  <c r="AI341" i="20"/>
  <c r="AH341" i="20" s="1"/>
  <c r="AG341" i="20" s="1"/>
  <c r="AF341" i="20" s="1"/>
  <c r="AI212" i="20"/>
  <c r="AH212" i="20" s="1"/>
  <c r="AG212" i="20" s="1"/>
  <c r="AF212" i="20" s="1"/>
  <c r="AI176" i="20"/>
  <c r="AH176" i="20" s="1"/>
  <c r="AI37" i="20"/>
  <c r="AH37" i="20" s="1"/>
  <c r="AG37" i="20" s="1"/>
  <c r="AF37" i="20" s="1"/>
  <c r="AI175" i="20"/>
  <c r="AH175" i="20" s="1"/>
  <c r="AG175" i="20" s="1"/>
  <c r="AF175" i="20" s="1"/>
  <c r="AI284" i="20"/>
  <c r="AH284" i="20" s="1"/>
  <c r="AG284" i="20" s="1"/>
  <c r="AF284" i="20" s="1"/>
  <c r="AI44" i="20"/>
  <c r="AH44" i="20" s="1"/>
  <c r="AG44" i="20" s="1"/>
  <c r="AF44" i="20" s="1"/>
  <c r="AI179" i="20"/>
  <c r="AH179" i="20" s="1"/>
  <c r="AG179" i="20" s="1"/>
  <c r="AF179" i="20" s="1"/>
  <c r="AI30" i="20"/>
  <c r="AH30" i="20" s="1"/>
  <c r="AG30" i="20" s="1"/>
  <c r="AF30" i="20" s="1"/>
  <c r="AI91" i="20"/>
  <c r="AH91" i="20" s="1"/>
  <c r="AG91" i="20" s="1"/>
  <c r="AF91" i="20" s="1"/>
  <c r="AI316" i="20"/>
  <c r="AH316" i="20" s="1"/>
  <c r="AG316" i="20" s="1"/>
  <c r="AF316" i="20" s="1"/>
  <c r="AI153" i="20"/>
  <c r="AH153" i="20" s="1"/>
  <c r="AG153" i="20" s="1"/>
  <c r="AF153" i="20" s="1"/>
  <c r="AI46" i="20"/>
  <c r="AH46" i="20" s="1"/>
  <c r="AG46" i="20" s="1"/>
  <c r="AF46" i="20" s="1"/>
  <c r="AI285" i="20"/>
  <c r="AH285" i="20" s="1"/>
  <c r="AG285" i="20" s="1"/>
  <c r="AF285" i="20" s="1"/>
  <c r="AI196" i="20"/>
  <c r="AH196" i="20" s="1"/>
  <c r="AG196" i="20" s="1"/>
  <c r="AF196" i="20" s="1"/>
  <c r="AI56" i="20"/>
  <c r="AH56" i="20" s="1"/>
  <c r="AG56" i="20" s="1"/>
  <c r="AF56" i="20" s="1"/>
  <c r="AI265" i="20"/>
  <c r="AH265" i="20" s="1"/>
  <c r="AG265" i="20" s="1"/>
  <c r="AF265" i="20" s="1"/>
  <c r="AI150" i="20"/>
  <c r="AH150" i="20" s="1"/>
  <c r="AI33" i="20"/>
  <c r="AH33" i="20" s="1"/>
  <c r="AG33" i="20" s="1"/>
  <c r="AF33" i="20" s="1"/>
  <c r="AI327" i="20"/>
  <c r="AH327" i="20" s="1"/>
  <c r="AG327" i="20" s="1"/>
  <c r="AF327" i="20" s="1"/>
  <c r="AI325" i="20"/>
  <c r="AH325" i="20" s="1"/>
  <c r="AG325" i="20" s="1"/>
  <c r="AF325" i="20" s="1"/>
  <c r="AI180" i="20"/>
  <c r="AH180" i="20" s="1"/>
  <c r="AG180" i="20" s="1"/>
  <c r="AF180" i="20" s="1"/>
  <c r="AI365" i="20"/>
  <c r="AH365" i="20" s="1"/>
  <c r="AG365" i="20" s="1"/>
  <c r="AF365" i="20" s="1"/>
  <c r="AI258" i="20"/>
  <c r="AH258" i="20" s="1"/>
  <c r="AG258" i="20" s="1"/>
  <c r="AF258" i="20" s="1"/>
  <c r="AI95" i="20"/>
  <c r="AH95" i="20" s="1"/>
  <c r="AG95" i="20" s="1"/>
  <c r="AF95" i="20" s="1"/>
  <c r="AI92" i="20"/>
  <c r="AH92" i="20" s="1"/>
  <c r="AG92" i="20" s="1"/>
  <c r="AF92" i="20" s="1"/>
  <c r="AI379" i="20"/>
  <c r="AI211" i="20"/>
  <c r="AH211" i="20" s="1"/>
  <c r="AG211" i="20" s="1"/>
  <c r="AF211" i="20" s="1"/>
  <c r="AI200" i="20"/>
  <c r="AH200" i="20" s="1"/>
  <c r="AG200" i="20" s="1"/>
  <c r="AF200" i="20" s="1"/>
  <c r="AI366" i="20"/>
  <c r="AH366" i="20" s="1"/>
  <c r="AG366" i="20" s="1"/>
  <c r="AF366" i="20" s="1"/>
  <c r="AI221" i="20"/>
  <c r="AH221" i="20" s="1"/>
  <c r="AG221" i="20" s="1"/>
  <c r="AF221" i="20" s="1"/>
  <c r="AI324" i="20"/>
  <c r="AH324" i="20" s="1"/>
  <c r="AG324" i="20" s="1"/>
  <c r="AF324" i="20" s="1"/>
  <c r="AI120" i="20"/>
  <c r="AH120" i="20" s="1"/>
  <c r="AG120" i="20" s="1"/>
  <c r="AF120" i="20" s="1"/>
  <c r="AI38" i="20"/>
  <c r="AH38" i="20" s="1"/>
  <c r="AG38" i="20" s="1"/>
  <c r="AF38" i="20" s="1"/>
  <c r="AI119" i="20"/>
  <c r="AH119" i="20" s="1"/>
  <c r="AG119" i="20" s="1"/>
  <c r="AF119" i="20" s="1"/>
  <c r="AI193" i="20"/>
  <c r="AH193" i="20" s="1"/>
  <c r="AG193" i="20" s="1"/>
  <c r="AF193" i="20" s="1"/>
  <c r="AI169" i="20"/>
  <c r="AH169" i="20" s="1"/>
  <c r="AG169" i="20" s="1"/>
  <c r="AF169" i="20" s="1"/>
  <c r="AI118" i="20"/>
  <c r="AH118" i="20" s="1"/>
  <c r="AG118" i="20" s="1"/>
  <c r="AF118" i="20" s="1"/>
  <c r="AI15" i="20"/>
  <c r="AI231" i="20"/>
  <c r="AH231" i="20" s="1"/>
  <c r="AI245" i="20"/>
  <c r="AH245" i="20" s="1"/>
  <c r="AG245" i="20" s="1"/>
  <c r="AF245" i="20" s="1"/>
  <c r="AI20" i="20"/>
  <c r="AH20" i="20" s="1"/>
  <c r="AG20" i="20" s="1"/>
  <c r="AF20" i="20" s="1"/>
  <c r="AI269" i="20"/>
  <c r="AH269" i="20" s="1"/>
  <c r="AG269" i="20" s="1"/>
  <c r="AF269" i="20" s="1"/>
  <c r="AI226" i="20"/>
  <c r="AH226" i="20" s="1"/>
  <c r="AG226" i="20" s="1"/>
  <c r="AF226" i="20" s="1"/>
  <c r="AI79" i="20"/>
  <c r="AH79" i="20" s="1"/>
  <c r="AG79" i="20" s="1"/>
  <c r="AF79" i="20" s="1"/>
  <c r="AI323" i="20"/>
  <c r="AH323" i="20" s="1"/>
  <c r="AI299" i="20"/>
  <c r="AH299" i="20" s="1"/>
  <c r="AG299" i="20" s="1"/>
  <c r="AF299" i="20" s="1"/>
  <c r="AI371" i="20"/>
  <c r="AH371" i="20" s="1"/>
  <c r="AG371" i="20" s="1"/>
  <c r="AF371" i="20" s="1"/>
  <c r="AI377" i="20"/>
  <c r="AH377" i="20" s="1"/>
  <c r="AG377" i="20" s="1"/>
  <c r="AF377" i="20" s="1"/>
  <c r="AI334" i="20"/>
  <c r="AH334" i="20" s="1"/>
  <c r="AG334" i="20" s="1"/>
  <c r="AF334" i="20" s="1"/>
  <c r="AI253" i="20"/>
  <c r="AH253" i="20" s="1"/>
  <c r="AG253" i="20" s="1"/>
  <c r="AF253" i="20" s="1"/>
  <c r="AI132" i="20"/>
  <c r="AH132" i="20" s="1"/>
  <c r="AG132" i="20" s="1"/>
  <c r="AF132" i="20" s="1"/>
  <c r="AI353" i="20"/>
  <c r="AH353" i="20" s="1"/>
  <c r="AG353" i="20" s="1"/>
  <c r="AF353" i="20" s="1"/>
  <c r="AI233" i="20"/>
  <c r="AH233" i="20" s="1"/>
  <c r="AG233" i="20" s="1"/>
  <c r="AF233" i="20" s="1"/>
  <c r="AI182" i="20"/>
  <c r="AH182" i="20" s="1"/>
  <c r="AG182" i="20" s="1"/>
  <c r="AF182" i="20" s="1"/>
  <c r="AI49" i="20"/>
  <c r="AH49" i="20" s="1"/>
  <c r="AG49" i="20" s="1"/>
  <c r="AF49" i="20" s="1"/>
  <c r="AI356" i="20"/>
  <c r="AH356" i="20" s="1"/>
  <c r="AG356" i="20" s="1"/>
  <c r="AF356" i="20" s="1"/>
  <c r="AI64" i="20"/>
  <c r="AH64" i="20" s="1"/>
  <c r="AG64" i="20" s="1"/>
  <c r="AF64" i="20" s="1"/>
  <c r="AI340" i="20"/>
  <c r="AH340" i="20" s="1"/>
  <c r="AG340" i="20" s="1"/>
  <c r="AF340" i="20" s="1"/>
  <c r="AI135" i="20"/>
  <c r="AH135" i="20" s="1"/>
  <c r="AG135" i="20" s="1"/>
  <c r="AF135" i="20" s="1"/>
  <c r="AI229" i="20"/>
  <c r="AH229" i="20" s="1"/>
  <c r="AG229" i="20" s="1"/>
  <c r="AF229" i="20" s="1"/>
  <c r="AI367" i="20"/>
  <c r="AH367" i="20" s="1"/>
  <c r="AG367" i="20" s="1"/>
  <c r="AF367" i="20" s="1"/>
  <c r="AI173" i="20"/>
  <c r="AH173" i="20" s="1"/>
  <c r="AG173" i="20" s="1"/>
  <c r="AF173" i="20" s="1"/>
  <c r="AI66" i="20"/>
  <c r="AH66" i="20" s="1"/>
  <c r="AG66" i="20" s="1"/>
  <c r="AF66" i="20" s="1"/>
  <c r="AI296" i="20"/>
  <c r="AH296" i="20" s="1"/>
  <c r="AG296" i="20" s="1"/>
  <c r="AF296" i="20" s="1"/>
  <c r="AI227" i="20"/>
  <c r="AH227" i="20" s="1"/>
  <c r="AG227" i="20" s="1"/>
  <c r="AF227" i="20" s="1"/>
  <c r="AI283" i="20"/>
  <c r="AH283" i="20" s="1"/>
  <c r="AG283" i="20" s="1"/>
  <c r="AF283" i="20" s="1"/>
  <c r="AI60" i="20"/>
  <c r="AH60" i="20" s="1"/>
  <c r="AI281" i="20"/>
  <c r="AH281" i="20" s="1"/>
  <c r="AG281" i="20" s="1"/>
  <c r="AF281" i="20" s="1"/>
  <c r="AI174" i="20"/>
  <c r="AH174" i="20" s="1"/>
  <c r="AG174" i="20" s="1"/>
  <c r="AF174" i="20" s="1"/>
  <c r="AI80" i="20"/>
  <c r="AH80" i="20" s="1"/>
  <c r="AG80" i="20" s="1"/>
  <c r="AF80" i="20" s="1"/>
  <c r="AI343" i="20"/>
  <c r="AH343" i="20" s="1"/>
  <c r="AG343" i="20" s="1"/>
  <c r="AF343" i="20" s="1"/>
  <c r="AI337" i="20"/>
  <c r="AH337" i="20" s="1"/>
  <c r="AG337" i="20" s="1"/>
  <c r="AF337" i="20" s="1"/>
  <c r="AI137" i="20"/>
  <c r="AH137" i="20" s="1"/>
  <c r="AI22" i="20"/>
  <c r="AH22" i="20" s="1"/>
  <c r="AG22" i="20" s="1"/>
  <c r="AF22" i="20" s="1"/>
  <c r="AI298" i="20"/>
  <c r="AH298" i="20" s="1"/>
  <c r="AG298" i="20" s="1"/>
  <c r="AF298" i="20" s="1"/>
  <c r="AI199" i="20"/>
  <c r="AH199" i="20" s="1"/>
  <c r="AG199" i="20" s="1"/>
  <c r="AF199" i="20" s="1"/>
  <c r="AI261" i="20"/>
  <c r="AH261" i="20" s="1"/>
  <c r="AG261" i="20" s="1"/>
  <c r="AF261" i="20" s="1"/>
  <c r="AI52" i="20"/>
  <c r="AH52" i="20" s="1"/>
  <c r="AG52" i="20" s="1"/>
  <c r="AF52" i="20" s="1"/>
  <c r="AI240" i="20"/>
  <c r="AH240" i="20" s="1"/>
  <c r="AG240" i="20" s="1"/>
  <c r="AF240" i="20" s="1"/>
  <c r="AI21" i="20"/>
  <c r="AH21" i="20" s="1"/>
  <c r="AG21" i="20" s="1"/>
  <c r="AF21" i="20" s="1"/>
  <c r="AI159" i="20"/>
  <c r="AH159" i="20" s="1"/>
  <c r="AG159" i="20" s="1"/>
  <c r="AF159" i="20" s="1"/>
  <c r="AI77" i="20"/>
  <c r="AH77" i="20" s="1"/>
  <c r="AG77" i="20" s="1"/>
  <c r="AF77" i="20" s="1"/>
  <c r="AI34" i="20"/>
  <c r="AH34" i="20" s="1"/>
  <c r="AG34" i="20" s="1"/>
  <c r="AF34" i="20" s="1"/>
  <c r="AI360" i="20"/>
  <c r="AH360" i="20" s="1"/>
  <c r="AG360" i="20" s="1"/>
  <c r="AF360" i="20" s="1"/>
  <c r="AI131" i="20"/>
  <c r="AH131" i="20" s="1"/>
  <c r="AG131" i="20" s="1"/>
  <c r="AF131" i="20" s="1"/>
  <c r="AI203" i="20"/>
  <c r="AH203" i="20" s="1"/>
  <c r="AG203" i="20" s="1"/>
  <c r="AF203" i="20" s="1"/>
  <c r="AI19" i="20"/>
  <c r="AH19" i="20" s="1"/>
  <c r="AG19" i="20" s="1"/>
  <c r="AF19" i="20" s="1"/>
  <c r="AI185" i="20"/>
  <c r="AH185" i="20" s="1"/>
  <c r="AG185" i="20" s="1"/>
  <c r="AF185" i="20" s="1"/>
  <c r="AI142" i="20"/>
  <c r="AH142" i="20" s="1"/>
  <c r="AG142" i="20" s="1"/>
  <c r="AF142" i="20" s="1"/>
  <c r="AI144" i="20"/>
  <c r="AH144" i="20" s="1"/>
  <c r="AG144" i="20" s="1"/>
  <c r="AF144" i="20" s="1"/>
  <c r="AI247" i="20"/>
  <c r="AH247" i="20" s="1"/>
  <c r="AG247" i="20" s="1"/>
  <c r="AF247" i="20" s="1"/>
  <c r="AI257" i="20"/>
  <c r="AH257" i="20" s="1"/>
  <c r="AG257" i="20" s="1"/>
  <c r="AF257" i="20" s="1"/>
  <c r="AI41" i="20"/>
  <c r="AH41" i="20" s="1"/>
  <c r="AI352" i="20"/>
  <c r="AH352" i="20" s="1"/>
  <c r="AI266" i="20"/>
  <c r="AH266" i="20" s="1"/>
  <c r="AG266" i="20" s="1"/>
  <c r="AF266" i="20" s="1"/>
  <c r="AI103" i="20"/>
  <c r="AH103" i="20" s="1"/>
  <c r="AG103" i="20" s="1"/>
  <c r="AF103" i="20" s="1"/>
  <c r="AI181" i="20"/>
  <c r="AH181" i="20" s="1"/>
  <c r="AG181" i="20" s="1"/>
  <c r="AF181" i="20" s="1"/>
  <c r="AI319" i="20"/>
  <c r="AH319" i="20" s="1"/>
  <c r="AG319" i="20" s="1"/>
  <c r="AF319" i="20" s="1"/>
  <c r="AI141" i="20"/>
  <c r="AH141" i="20" s="1"/>
  <c r="AG141" i="20" s="1"/>
  <c r="AF141" i="20" s="1"/>
  <c r="AI98" i="20"/>
  <c r="AH98" i="20" s="1"/>
  <c r="AG98" i="20" s="1"/>
  <c r="AF98" i="20" s="1"/>
  <c r="AI18" i="20"/>
  <c r="AH18" i="20" s="1"/>
  <c r="AG18" i="20" s="1"/>
  <c r="AF18" i="20" s="1"/>
  <c r="AI156" i="20"/>
  <c r="AH156" i="20" s="1"/>
  <c r="AG156" i="20" s="1"/>
  <c r="AF156" i="20" s="1"/>
  <c r="AI363" i="20"/>
  <c r="AH363" i="20" s="1"/>
  <c r="AG363" i="20" s="1"/>
  <c r="AF363" i="20" s="1"/>
  <c r="AI318" i="20"/>
  <c r="AH318" i="20" s="1"/>
  <c r="AG318" i="20" s="1"/>
  <c r="AF318" i="20" s="1"/>
  <c r="AI35" i="20"/>
  <c r="AH35" i="20" s="1"/>
  <c r="AG35" i="20" s="1"/>
  <c r="AF35" i="20" s="1"/>
  <c r="AI187" i="20"/>
  <c r="AH187" i="20" s="1"/>
  <c r="AG187" i="20" s="1"/>
  <c r="AF187" i="20" s="1"/>
  <c r="AI82" i="20"/>
  <c r="AH82" i="20" s="1"/>
  <c r="AG82" i="20" s="1"/>
  <c r="AF82" i="20" s="1"/>
  <c r="AI89" i="20"/>
  <c r="AH89" i="20" s="1"/>
  <c r="AG89" i="20" s="1"/>
  <c r="AF89" i="20" s="1"/>
  <c r="AI344" i="20"/>
  <c r="AH344" i="20" s="1"/>
  <c r="AG344" i="20" s="1"/>
  <c r="AF344" i="20" s="1"/>
  <c r="AI102" i="20"/>
  <c r="AH102" i="20" s="1"/>
  <c r="AG102" i="20" s="1"/>
  <c r="AF102" i="20" s="1"/>
  <c r="AI151" i="20"/>
  <c r="AH151" i="20" s="1"/>
  <c r="AG151" i="20" s="1"/>
  <c r="AF151" i="20" s="1"/>
  <c r="AI241" i="20"/>
  <c r="AH241" i="20" s="1"/>
  <c r="AG241" i="20" s="1"/>
  <c r="AF241" i="20" s="1"/>
  <c r="AI250" i="20"/>
  <c r="AH250" i="20" s="1"/>
  <c r="AI192" i="20"/>
  <c r="AH192" i="20" s="1"/>
  <c r="AI106" i="20"/>
  <c r="AH106" i="20" s="1"/>
  <c r="AG106" i="20" s="1"/>
  <c r="AF106" i="20" s="1"/>
  <c r="AI326" i="20"/>
  <c r="AH326" i="20" s="1"/>
  <c r="AG326" i="20" s="1"/>
  <c r="AF326" i="20" s="1"/>
  <c r="AI165" i="20"/>
  <c r="AH165" i="20" s="1"/>
  <c r="AG165" i="20" s="1"/>
  <c r="AF165" i="20" s="1"/>
  <c r="AI303" i="20"/>
  <c r="AH303" i="20" s="1"/>
  <c r="AG303" i="20" s="1"/>
  <c r="AF303" i="20" s="1"/>
  <c r="AI45" i="20"/>
  <c r="AH45" i="20" s="1"/>
  <c r="AG45" i="20" s="1"/>
  <c r="AF45" i="20" s="1"/>
  <c r="AI300" i="20"/>
  <c r="AH300" i="20" s="1"/>
  <c r="AG300" i="20" s="1"/>
  <c r="AF300" i="20" s="1"/>
  <c r="AI190" i="20"/>
  <c r="AH190" i="20" s="1"/>
  <c r="AG190" i="20" s="1"/>
  <c r="AF190" i="20" s="1"/>
  <c r="AI99" i="20"/>
  <c r="AH99" i="20" s="1"/>
  <c r="AG99" i="20" s="1"/>
  <c r="AF99" i="20" s="1"/>
  <c r="AI219" i="20"/>
  <c r="AH219" i="20" s="1"/>
  <c r="AG219" i="20" s="1"/>
  <c r="AF219" i="20" s="1"/>
  <c r="AI275" i="20"/>
  <c r="AH275" i="20" s="1"/>
  <c r="AG275" i="20" s="1"/>
  <c r="AF275" i="20" s="1"/>
  <c r="AI72" i="20"/>
  <c r="AH72" i="20" s="1"/>
  <c r="AG72" i="20" s="1"/>
  <c r="AF72" i="20" s="1"/>
  <c r="AI302" i="20"/>
  <c r="AH302" i="20" s="1"/>
  <c r="AG302" i="20" s="1"/>
  <c r="AF302" i="20" s="1"/>
  <c r="AI29" i="20"/>
  <c r="AH29" i="20" s="1"/>
  <c r="AG29" i="20" s="1"/>
  <c r="AF29" i="20" s="1"/>
  <c r="AI346" i="20"/>
  <c r="AH346" i="20" s="1"/>
  <c r="AG346" i="20" s="1"/>
  <c r="AF346" i="20" s="1"/>
  <c r="AI312" i="20"/>
  <c r="AH312" i="20" s="1"/>
  <c r="AG312" i="20" s="1"/>
  <c r="AF312" i="20" s="1"/>
  <c r="AI166" i="20"/>
  <c r="AH166" i="20" s="1"/>
  <c r="AG166" i="20" s="1"/>
  <c r="AF166" i="20" s="1"/>
  <c r="AI55" i="20"/>
  <c r="AH55" i="20" s="1"/>
  <c r="AG55" i="20" s="1"/>
  <c r="AF55" i="20" s="1"/>
  <c r="AI161" i="20"/>
  <c r="AH161" i="20" s="1"/>
  <c r="AG161" i="20" s="1"/>
  <c r="AF161" i="20" s="1"/>
  <c r="AI58" i="20"/>
  <c r="AH58" i="20" s="1"/>
  <c r="AG58" i="20" s="1"/>
  <c r="AF58" i="20" s="1"/>
  <c r="AI160" i="20"/>
  <c r="AH160" i="20" s="1"/>
  <c r="AG160" i="20" s="1"/>
  <c r="AF160" i="20" s="1"/>
  <c r="AI74" i="20"/>
  <c r="AH74" i="20" s="1"/>
  <c r="AI134" i="20"/>
  <c r="AH134" i="20" s="1"/>
  <c r="AG134" i="20" s="1"/>
  <c r="AF134" i="20" s="1"/>
  <c r="AI85" i="20"/>
  <c r="AH85" i="20" s="1"/>
  <c r="AG85" i="20" s="1"/>
  <c r="AF85" i="20" s="1"/>
  <c r="AI223" i="20"/>
  <c r="AH223" i="20" s="1"/>
  <c r="AG223" i="20" s="1"/>
  <c r="AF223" i="20" s="1"/>
  <c r="AI242" i="20"/>
  <c r="AH242" i="20" s="1"/>
  <c r="AI268" i="20"/>
  <c r="AH268" i="20" s="1"/>
  <c r="AG268" i="20" s="1"/>
  <c r="AF268" i="20" s="1"/>
  <c r="AI254" i="20"/>
  <c r="AH254" i="20" s="1"/>
  <c r="AG254" i="20" s="1"/>
  <c r="AF254" i="20" s="1"/>
  <c r="AI350" i="20"/>
  <c r="AH350" i="20" s="1"/>
  <c r="AG350" i="20" s="1"/>
  <c r="AF350" i="20" s="1"/>
  <c r="AI139" i="20"/>
  <c r="AH139" i="20" s="1"/>
  <c r="AG139" i="20" s="1"/>
  <c r="AF139" i="20" s="1"/>
  <c r="AI274" i="20"/>
  <c r="AH274" i="20" s="1"/>
  <c r="AG274" i="20" s="1"/>
  <c r="AF274" i="20" s="1"/>
  <c r="AI57" i="20"/>
  <c r="AH57" i="20" s="1"/>
  <c r="AG57" i="20" s="1"/>
  <c r="AF57" i="20" s="1"/>
  <c r="AI376" i="20"/>
  <c r="AH376" i="20" s="1"/>
  <c r="AG376" i="20" s="1"/>
  <c r="AF376" i="20" s="1"/>
  <c r="AI317" i="20"/>
  <c r="AH317" i="20" s="1"/>
  <c r="AG317" i="20" s="1"/>
  <c r="AF317" i="20" s="1"/>
  <c r="AI375" i="20"/>
  <c r="AH375" i="20" s="1"/>
  <c r="AG375" i="20" s="1"/>
  <c r="AF375" i="20" s="1"/>
  <c r="AI321" i="20"/>
  <c r="AH321" i="20" s="1"/>
  <c r="AG321" i="20" s="1"/>
  <c r="AF321" i="20" s="1"/>
  <c r="AI104" i="20"/>
  <c r="AH104" i="20" s="1"/>
  <c r="AG104" i="20" s="1"/>
  <c r="AF104" i="20" s="1"/>
  <c r="AI374" i="20"/>
  <c r="AH374" i="20" s="1"/>
  <c r="AI145" i="20"/>
  <c r="AH145" i="20" s="1"/>
  <c r="AG145" i="20" s="1"/>
  <c r="AF145" i="20" s="1"/>
  <c r="AI228" i="20"/>
  <c r="AH228" i="20" s="1"/>
  <c r="AG228" i="20" s="1"/>
  <c r="AF228" i="20" s="1"/>
  <c r="AI373" i="20"/>
  <c r="AH373" i="20" s="1"/>
  <c r="AG373" i="20" s="1"/>
  <c r="AF373" i="20" s="1"/>
  <c r="AI276" i="20"/>
  <c r="AH276" i="20" s="1"/>
  <c r="AG276" i="20" s="1"/>
  <c r="AF276" i="20" s="1"/>
  <c r="AI304" i="20"/>
  <c r="AH304" i="20" s="1"/>
  <c r="AG304" i="20" s="1"/>
  <c r="AF304" i="20" s="1"/>
  <c r="AI69" i="20"/>
  <c r="AH69" i="20" s="1"/>
  <c r="AG69" i="20" s="1"/>
  <c r="AF69" i="20" s="1"/>
  <c r="AI207" i="20"/>
  <c r="AH207" i="20" s="1"/>
  <c r="AG207" i="20" s="1"/>
  <c r="AF207" i="20" s="1"/>
  <c r="AI50" i="20"/>
  <c r="AH50" i="20" s="1"/>
  <c r="AG50" i="20" s="1"/>
  <c r="AF50" i="20" s="1"/>
  <c r="AI108" i="20"/>
  <c r="AH108" i="20" s="1"/>
  <c r="AG108" i="20" s="1"/>
  <c r="AF108" i="20" s="1"/>
  <c r="AI115" i="20"/>
  <c r="AH115" i="20" s="1"/>
  <c r="AG115" i="20" s="1"/>
  <c r="AF115" i="20" s="1"/>
  <c r="AI158" i="20"/>
  <c r="AH158" i="20" s="1"/>
  <c r="AG158" i="20" s="1"/>
  <c r="AF158" i="20" s="1"/>
  <c r="AI123" i="20"/>
  <c r="AH123" i="20" s="1"/>
  <c r="AG123" i="20" s="1"/>
  <c r="AF123" i="20" s="1"/>
  <c r="AI338" i="20"/>
  <c r="AH338" i="20" s="1"/>
  <c r="AG338" i="20" s="1"/>
  <c r="AF338" i="20" s="1"/>
  <c r="AI282" i="20"/>
  <c r="AH282" i="20" s="1"/>
  <c r="AG282" i="20" s="1"/>
  <c r="AF282" i="20" s="1"/>
  <c r="AI216" i="20"/>
  <c r="AH216" i="20" s="1"/>
  <c r="AG216" i="20" s="1"/>
  <c r="AF216" i="20" s="1"/>
  <c r="AI358" i="20"/>
  <c r="AH358" i="20" s="1"/>
  <c r="AG358" i="20" s="1"/>
  <c r="AF358" i="20" s="1"/>
  <c r="AI23" i="20"/>
  <c r="AH23" i="20" s="1"/>
  <c r="AG23" i="20" s="1"/>
  <c r="AF23" i="20" s="1"/>
  <c r="AI177" i="20"/>
  <c r="AH177" i="20" s="1"/>
  <c r="AG177" i="20" s="1"/>
  <c r="AF177" i="20" s="1"/>
  <c r="AI73" i="20"/>
  <c r="AH73" i="20" s="1"/>
  <c r="AG73" i="20" s="1"/>
  <c r="AF73" i="20" s="1"/>
  <c r="AI320" i="20"/>
  <c r="AH320" i="20" s="1"/>
  <c r="AG320" i="20" s="1"/>
  <c r="AF320" i="20" s="1"/>
  <c r="AI234" i="20"/>
  <c r="AH234" i="20" s="1"/>
  <c r="AG234" i="20" s="1"/>
  <c r="AF234" i="20" s="1"/>
  <c r="AI36" i="20"/>
  <c r="AH36" i="20" s="1"/>
  <c r="AG36" i="20" s="1"/>
  <c r="AF36" i="20" s="1"/>
  <c r="AI357" i="20"/>
  <c r="AH357" i="20" s="1"/>
  <c r="AG357" i="20" s="1"/>
  <c r="AF357" i="20" s="1"/>
  <c r="AI244" i="20"/>
  <c r="AH244" i="20" s="1"/>
  <c r="AG244" i="20" s="1"/>
  <c r="AF244" i="20" s="1"/>
  <c r="AI112" i="20"/>
  <c r="AH112" i="20" s="1"/>
  <c r="AG112" i="20" s="1"/>
  <c r="AF112" i="20" s="1"/>
  <c r="AI322" i="20"/>
  <c r="AH322" i="20" s="1"/>
  <c r="AG322" i="20" s="1"/>
  <c r="AF322" i="20" s="1"/>
  <c r="AI127" i="20"/>
  <c r="AH127" i="20" s="1"/>
  <c r="AG127" i="20" s="1"/>
  <c r="AF127" i="20" s="1"/>
  <c r="AI220" i="20"/>
  <c r="AH220" i="20" s="1"/>
  <c r="AG220" i="20" s="1"/>
  <c r="AF220" i="20" s="1"/>
  <c r="AI76" i="20"/>
  <c r="AH76" i="20" s="1"/>
  <c r="AI147" i="20"/>
  <c r="AH147" i="20" s="1"/>
  <c r="AG147" i="20" s="1"/>
  <c r="AF147" i="20" s="1"/>
  <c r="AI328" i="20"/>
  <c r="AH328" i="20" s="1"/>
  <c r="AG328" i="20" s="1"/>
  <c r="AF328" i="20" s="1"/>
  <c r="AI43" i="20"/>
  <c r="AH43" i="20" s="1"/>
  <c r="AG43" i="20" s="1"/>
  <c r="AF43" i="20" s="1"/>
  <c r="AI157" i="20"/>
  <c r="AH157" i="20" s="1"/>
  <c r="AG157" i="20" s="1"/>
  <c r="AF157" i="20" s="1"/>
  <c r="AI90" i="20"/>
  <c r="AH90" i="20" s="1"/>
  <c r="AG90" i="20" s="1"/>
  <c r="AF90" i="20" s="1"/>
  <c r="AI184" i="20"/>
  <c r="AH184" i="20" s="1"/>
  <c r="AG184" i="20" s="1"/>
  <c r="AF184" i="20" s="1"/>
  <c r="AI40" i="20"/>
  <c r="AH40" i="20" s="1"/>
  <c r="AG40" i="20" s="1"/>
  <c r="AF40" i="20" s="1"/>
  <c r="AI278" i="20"/>
  <c r="AH278" i="20" s="1"/>
  <c r="AG278" i="20" s="1"/>
  <c r="AF278" i="20" s="1"/>
  <c r="AI97" i="20"/>
  <c r="AH97" i="20" s="1"/>
  <c r="AG97" i="20" s="1"/>
  <c r="AF97" i="20" s="1"/>
  <c r="AI164" i="20"/>
  <c r="AH164" i="20" s="1"/>
  <c r="AG164" i="20" s="1"/>
  <c r="AF164" i="20" s="1"/>
  <c r="AI32" i="20"/>
  <c r="AH32" i="20" s="1"/>
  <c r="AG32" i="20" s="1"/>
  <c r="AF32" i="20" s="1"/>
  <c r="AI308" i="20"/>
  <c r="AH308" i="20" s="1"/>
  <c r="AG308" i="20" s="1"/>
  <c r="AF308" i="20" s="1"/>
  <c r="AI39" i="20"/>
  <c r="AH39" i="20" s="1"/>
  <c r="AG39" i="20" s="1"/>
  <c r="AF39" i="20" s="1"/>
  <c r="AI149" i="20"/>
  <c r="AH149" i="20" s="1"/>
  <c r="AG149" i="20" s="1"/>
  <c r="AF149" i="20" s="1"/>
  <c r="AI287" i="20"/>
  <c r="AH287" i="20" s="1"/>
  <c r="AG287" i="20" s="1"/>
  <c r="AF287" i="20" s="1"/>
  <c r="AI333" i="20"/>
  <c r="AH333" i="20" s="1"/>
  <c r="AG333" i="20" s="1"/>
  <c r="AF333" i="20" s="1"/>
  <c r="AI290" i="20"/>
  <c r="AH290" i="20" s="1"/>
  <c r="AG290" i="20" s="1"/>
  <c r="AF290" i="20" s="1"/>
  <c r="AI111" i="20"/>
  <c r="AH111" i="20" s="1"/>
  <c r="AG111" i="20" s="1"/>
  <c r="AF111" i="20" s="1"/>
  <c r="AI28" i="20"/>
  <c r="AH28" i="20" s="1"/>
  <c r="AG28" i="20" s="1"/>
  <c r="AF28" i="20" s="1"/>
  <c r="AI331" i="20"/>
  <c r="AH331" i="20" s="1"/>
  <c r="AG331" i="20" s="1"/>
  <c r="AF331" i="20" s="1"/>
  <c r="AI307" i="20"/>
  <c r="AH307" i="20" s="1"/>
  <c r="AG307" i="20" s="1"/>
  <c r="AF307" i="20" s="1"/>
  <c r="AI136" i="20"/>
  <c r="AH136" i="20" s="1"/>
  <c r="AG136" i="20" s="1"/>
  <c r="AF136" i="20" s="1"/>
  <c r="AI27" i="20"/>
  <c r="AH27" i="20" s="1"/>
  <c r="AG27" i="20" s="1"/>
  <c r="AF27" i="20" s="1"/>
  <c r="AI189" i="20"/>
  <c r="AH189" i="20" s="1"/>
  <c r="AG189" i="20" s="1"/>
  <c r="AF189" i="20" s="1"/>
  <c r="AI260" i="20"/>
  <c r="AH260" i="20" s="1"/>
  <c r="AG260" i="20" s="1"/>
  <c r="AF260" i="20" s="1"/>
  <c r="AI24" i="20"/>
  <c r="AH24" i="20" s="1"/>
  <c r="AG24" i="20" s="1"/>
  <c r="AF24" i="20" s="1"/>
  <c r="AH382" i="18"/>
  <c r="AH383" i="18"/>
  <c r="AG15" i="18"/>
  <c r="AH381" i="18"/>
  <c r="AM6" i="1"/>
  <c r="AM12" i="1" s="1"/>
  <c r="AK4" i="1" s="1"/>
  <c r="R11" i="19" s="1"/>
  <c r="N12" i="19" s="1"/>
  <c r="I242" i="16"/>
  <c r="H242" i="17" s="1"/>
  <c r="I242" i="17" s="1"/>
  <c r="I364" i="16"/>
  <c r="H364" i="17" s="1"/>
  <c r="J364" i="17" s="1"/>
  <c r="I381" i="15"/>
  <c r="AL12" i="1"/>
  <c r="AJ4" i="1" s="1"/>
  <c r="P11" i="19" s="1"/>
  <c r="M12" i="19" s="1"/>
  <c r="E7" i="7"/>
  <c r="A7" i="6"/>
  <c r="X9" i="1"/>
  <c r="Y11" i="1" s="1"/>
  <c r="AC58" i="25"/>
  <c r="AC45" i="25"/>
  <c r="AC109" i="25"/>
  <c r="AC131" i="25"/>
  <c r="AC43" i="25"/>
  <c r="AC19" i="25"/>
  <c r="AC121" i="25"/>
  <c r="AC123" i="25"/>
  <c r="AC23" i="25"/>
  <c r="AC28" i="25"/>
  <c r="AC54" i="25"/>
  <c r="AC51" i="25"/>
  <c r="AC33" i="25"/>
  <c r="AC68" i="25"/>
  <c r="AC32" i="25"/>
  <c r="H15" i="16"/>
  <c r="J15" i="16" s="1"/>
  <c r="G15" i="16"/>
  <c r="BY15" i="6" s="1"/>
  <c r="AA15" i="16"/>
  <c r="AL9" i="16" s="1"/>
  <c r="AM10" i="16"/>
  <c r="F383" i="16"/>
  <c r="F9" i="16"/>
  <c r="F381" i="16"/>
  <c r="F382" i="16"/>
  <c r="AK10" i="16"/>
  <c r="AK12" i="16" s="1"/>
  <c r="AK13" i="16" s="1"/>
  <c r="V15" i="17"/>
  <c r="P382" i="17"/>
  <c r="P381" i="17"/>
  <c r="P383" i="17"/>
  <c r="F15" i="17"/>
  <c r="I274" i="17"/>
  <c r="J274" i="17"/>
  <c r="J46" i="17"/>
  <c r="I46" i="17"/>
  <c r="J322" i="17"/>
  <c r="I322" i="17"/>
  <c r="J74" i="17"/>
  <c r="I74" i="17"/>
  <c r="H40" i="27"/>
  <c r="P75" i="27"/>
  <c r="G39" i="27"/>
  <c r="AE74" i="27"/>
  <c r="I76" i="17"/>
  <c r="J76" i="17"/>
  <c r="J348" i="17"/>
  <c r="I348" i="17"/>
  <c r="J333" i="17"/>
  <c r="I333" i="17"/>
  <c r="J332" i="17"/>
  <c r="I332" i="17"/>
  <c r="I277" i="17"/>
  <c r="J277" i="17"/>
  <c r="I180" i="17"/>
  <c r="J180" i="17"/>
  <c r="Y383" i="1"/>
  <c r="Y381" i="1"/>
  <c r="AL5" i="1"/>
  <c r="J143" i="17"/>
  <c r="I143" i="17"/>
  <c r="I382" i="15"/>
  <c r="I383" i="15"/>
  <c r="J296" i="17"/>
  <c r="I296" i="17"/>
  <c r="I321" i="17"/>
  <c r="J321" i="17"/>
  <c r="B7" i="6"/>
  <c r="K7" i="7"/>
  <c r="J383" i="15"/>
  <c r="J382" i="15"/>
  <c r="I365" i="17"/>
  <c r="J365" i="17"/>
  <c r="J66" i="17"/>
  <c r="I66" i="17"/>
  <c r="I29" i="17"/>
  <c r="J29" i="17"/>
  <c r="J331" i="17"/>
  <c r="I331" i="17"/>
  <c r="I292" i="17"/>
  <c r="J292" i="17"/>
  <c r="I88" i="17"/>
  <c r="J88" i="17"/>
  <c r="J166" i="17"/>
  <c r="I166" i="17"/>
  <c r="Y15" i="15"/>
  <c r="Z382" i="15"/>
  <c r="Z383" i="15"/>
  <c r="Z381" i="15"/>
  <c r="Z9" i="15"/>
  <c r="AL8" i="15"/>
  <c r="J381" i="15"/>
  <c r="J309" i="16"/>
  <c r="I309" i="16"/>
  <c r="S132" i="20"/>
  <c r="R132" i="20" s="1"/>
  <c r="S319" i="20"/>
  <c r="R319" i="20" s="1"/>
  <c r="S197" i="20"/>
  <c r="R197" i="20" s="1"/>
  <c r="S340" i="20"/>
  <c r="R340" i="20" s="1"/>
  <c r="S230" i="20"/>
  <c r="R230" i="20" s="1"/>
  <c r="S120" i="20"/>
  <c r="R120" i="20" s="1"/>
  <c r="S50" i="20"/>
  <c r="R50" i="20" s="1"/>
  <c r="S329" i="20"/>
  <c r="R329" i="20" s="1"/>
  <c r="S56" i="20"/>
  <c r="R56" i="20" s="1"/>
  <c r="S357" i="20"/>
  <c r="R357" i="20" s="1"/>
  <c r="AG231" i="20"/>
  <c r="AF231" i="20" s="1"/>
  <c r="AG352" i="20"/>
  <c r="AF352" i="20" s="1"/>
  <c r="AG250" i="20"/>
  <c r="AF250" i="20" s="1"/>
  <c r="AG74" i="20"/>
  <c r="AF74" i="20" s="1"/>
  <c r="AG242" i="20"/>
  <c r="AF242" i="20" s="1"/>
  <c r="S167" i="20"/>
  <c r="R167" i="20" s="1"/>
  <c r="S263" i="20"/>
  <c r="R263" i="20" s="1"/>
  <c r="S58" i="20"/>
  <c r="R58" i="20" s="1"/>
  <c r="S315" i="20"/>
  <c r="R315" i="20" s="1"/>
  <c r="S323" i="20"/>
  <c r="R323" i="20" s="1"/>
  <c r="S41" i="20"/>
  <c r="R41" i="20" s="1"/>
  <c r="S187" i="20"/>
  <c r="R187" i="20" s="1"/>
  <c r="S69" i="20"/>
  <c r="R69" i="20" s="1"/>
  <c r="S38" i="20"/>
  <c r="R38" i="20" s="1"/>
  <c r="S145" i="20"/>
  <c r="R145" i="20" s="1"/>
  <c r="S164" i="20"/>
  <c r="R164" i="20" s="1"/>
  <c r="S349" i="20"/>
  <c r="R349" i="20" s="1"/>
  <c r="S186" i="20"/>
  <c r="R186" i="20" s="1"/>
  <c r="S231" i="20"/>
  <c r="R231" i="20" s="1"/>
  <c r="S259" i="20"/>
  <c r="R259" i="20" s="1"/>
  <c r="AG306" i="20"/>
  <c r="AF306" i="20" s="1"/>
  <c r="AG249" i="20"/>
  <c r="AF249" i="20" s="1"/>
  <c r="AG336" i="20"/>
  <c r="AF336" i="20" s="1"/>
  <c r="AG208" i="20"/>
  <c r="AF208" i="20" s="1"/>
  <c r="AG25" i="20"/>
  <c r="AF25" i="20" s="1"/>
  <c r="AG176" i="20"/>
  <c r="AF176" i="20" s="1"/>
  <c r="D105" i="18"/>
  <c r="E105" i="18" s="1"/>
  <c r="W105" i="18"/>
  <c r="W196" i="18"/>
  <c r="D196" i="18"/>
  <c r="E196" i="18" s="1"/>
  <c r="W349" i="18"/>
  <c r="D349" i="18"/>
  <c r="E349" i="18" s="1"/>
  <c r="F349" i="18" s="1"/>
  <c r="S369" i="20"/>
  <c r="R369" i="20" s="1"/>
  <c r="S93" i="20"/>
  <c r="R93" i="20" s="1"/>
  <c r="S235" i="20"/>
  <c r="R235" i="20" s="1"/>
  <c r="S125" i="20"/>
  <c r="R125" i="20" s="1"/>
  <c r="S239" i="20"/>
  <c r="R239" i="20" s="1"/>
  <c r="S185" i="20"/>
  <c r="R185" i="20" s="1"/>
  <c r="AG236" i="20"/>
  <c r="AF236" i="20" s="1"/>
  <c r="AG237" i="20"/>
  <c r="AF237" i="20" s="1"/>
  <c r="D149" i="18"/>
  <c r="E149" i="18" s="1"/>
  <c r="W149" i="18"/>
  <c r="W210" i="18"/>
  <c r="D210" i="18"/>
  <c r="E210" i="18" s="1"/>
  <c r="D333" i="18"/>
  <c r="E333" i="18" s="1"/>
  <c r="W333" i="18"/>
  <c r="D258" i="18"/>
  <c r="E258" i="18" s="1"/>
  <c r="W258" i="18"/>
  <c r="W60" i="18"/>
  <c r="D60" i="18"/>
  <c r="E60" i="18" s="1"/>
  <c r="D288" i="18"/>
  <c r="E288" i="18" s="1"/>
  <c r="W288" i="18"/>
  <c r="W180" i="18"/>
  <c r="D180" i="18"/>
  <c r="E180" i="18" s="1"/>
  <c r="D241" i="18"/>
  <c r="E241" i="18" s="1"/>
  <c r="W241" i="18"/>
  <c r="S146" i="20"/>
  <c r="R146" i="20" s="1"/>
  <c r="S179" i="20"/>
  <c r="R179" i="20" s="1"/>
  <c r="S297" i="20"/>
  <c r="R297" i="20" s="1"/>
  <c r="S182" i="20"/>
  <c r="R182" i="20" s="1"/>
  <c r="S40" i="20"/>
  <c r="R40" i="20" s="1"/>
  <c r="S191" i="20"/>
  <c r="R191" i="20" s="1"/>
  <c r="S325" i="20"/>
  <c r="R325" i="20" s="1"/>
  <c r="S73" i="20"/>
  <c r="R73" i="20" s="1"/>
  <c r="S166" i="20"/>
  <c r="R166" i="20" s="1"/>
  <c r="S42" i="20"/>
  <c r="R42" i="20" s="1"/>
  <c r="S70" i="20"/>
  <c r="R70" i="20" s="1"/>
  <c r="S85" i="20"/>
  <c r="R85" i="20" s="1"/>
  <c r="S352" i="20"/>
  <c r="R352" i="20" s="1"/>
  <c r="S202" i="20"/>
  <c r="R202" i="20" s="1"/>
  <c r="S68" i="20"/>
  <c r="R68" i="20" s="1"/>
  <c r="S327" i="20"/>
  <c r="R327" i="20" s="1"/>
  <c r="S260" i="20"/>
  <c r="R260" i="20" s="1"/>
  <c r="AG323" i="20"/>
  <c r="AF323" i="20" s="1"/>
  <c r="AG137" i="20"/>
  <c r="AF137" i="20" s="1"/>
  <c r="AG41" i="20"/>
  <c r="AF41" i="20" s="1"/>
  <c r="AG192" i="20"/>
  <c r="AF192" i="20" s="1"/>
  <c r="AG374" i="20"/>
  <c r="AF374" i="20" s="1"/>
  <c r="AG60" i="20"/>
  <c r="AF60" i="20" s="1"/>
  <c r="AG76" i="20"/>
  <c r="AF76" i="20" s="1"/>
  <c r="D29" i="18"/>
  <c r="E29" i="18" s="1"/>
  <c r="W29" i="18"/>
  <c r="S170" i="20"/>
  <c r="R170" i="20" s="1"/>
  <c r="AG354" i="20"/>
  <c r="AF354" i="20" s="1"/>
  <c r="AG167" i="20"/>
  <c r="AF167" i="20" s="1"/>
  <c r="D166" i="18"/>
  <c r="E166" i="18" s="1"/>
  <c r="F166" i="18" s="1"/>
  <c r="W166" i="18"/>
  <c r="AA178" i="18"/>
  <c r="Z178" i="18" s="1"/>
  <c r="Y178" i="18" s="1"/>
  <c r="W272" i="18"/>
  <c r="D272" i="18"/>
  <c r="E272" i="18" s="1"/>
  <c r="D88" i="18"/>
  <c r="E88" i="18" s="1"/>
  <c r="W88" i="18"/>
  <c r="S318" i="20"/>
  <c r="R318" i="20" s="1"/>
  <c r="S18" i="20"/>
  <c r="R18" i="20" s="1"/>
  <c r="S316" i="20"/>
  <c r="R316" i="20" s="1"/>
  <c r="S184" i="20"/>
  <c r="R184" i="20" s="1"/>
  <c r="S137" i="20"/>
  <c r="R137" i="20" s="1"/>
  <c r="S63" i="20"/>
  <c r="R63" i="20" s="1"/>
  <c r="S74" i="20"/>
  <c r="R74" i="20" s="1"/>
  <c r="S321" i="20"/>
  <c r="R321" i="20" s="1"/>
  <c r="AG362" i="20"/>
  <c r="AF362" i="20" s="1"/>
  <c r="AG47" i="20"/>
  <c r="AF47" i="20" s="1"/>
  <c r="AG197" i="20"/>
  <c r="AF197" i="20" s="1"/>
  <c r="AG329" i="20"/>
  <c r="AF329" i="20" s="1"/>
  <c r="AG314" i="20"/>
  <c r="AF314" i="20" s="1"/>
  <c r="AG31" i="20"/>
  <c r="AF31" i="20" s="1"/>
  <c r="AG235" i="20"/>
  <c r="AF235" i="20" s="1"/>
  <c r="AG150" i="20"/>
  <c r="AF150" i="20" s="1"/>
  <c r="D302" i="18"/>
  <c r="E302" i="18" s="1"/>
  <c r="W302" i="18"/>
  <c r="W119" i="18"/>
  <c r="D119" i="18"/>
  <c r="E119" i="18" s="1"/>
  <c r="W227" i="18"/>
  <c r="D227" i="18"/>
  <c r="E227" i="18" s="1"/>
  <c r="F227" i="18" s="1"/>
  <c r="W363" i="18"/>
  <c r="D363" i="18"/>
  <c r="E363" i="18" s="1"/>
  <c r="D46" i="18"/>
  <c r="E46" i="18" s="1"/>
  <c r="W46" i="18"/>
  <c r="D135" i="18"/>
  <c r="E135" i="18" s="1"/>
  <c r="F135" i="18" s="1"/>
  <c r="W135" i="18"/>
  <c r="W319" i="18"/>
  <c r="D319" i="18"/>
  <c r="E319" i="18" s="1"/>
  <c r="D74" i="18"/>
  <c r="E74" i="18" s="1"/>
  <c r="W74" i="18"/>
  <c r="F111" i="18" l="1"/>
  <c r="H111" i="18" s="1"/>
  <c r="D69" i="7"/>
  <c r="F46" i="18"/>
  <c r="F258" i="18"/>
  <c r="G258" i="18" s="1"/>
  <c r="CA258" i="6" s="1"/>
  <c r="F105" i="18"/>
  <c r="AC70" i="25"/>
  <c r="AC77" i="25"/>
  <c r="AC20" i="25"/>
  <c r="AC83" i="25"/>
  <c r="AC133" i="25"/>
  <c r="AC112" i="25"/>
  <c r="AC66" i="25"/>
  <c r="AC106" i="25"/>
  <c r="AC85" i="25"/>
  <c r="AC113" i="25"/>
  <c r="AC104" i="25"/>
  <c r="AC115" i="25"/>
  <c r="AC100" i="25"/>
  <c r="AC63" i="25"/>
  <c r="AC118" i="25"/>
  <c r="F196" i="18"/>
  <c r="H196" i="18" s="1"/>
  <c r="H76" i="18"/>
  <c r="I76" i="18" s="1"/>
  <c r="B76" i="6" s="1"/>
  <c r="BA76" i="6" s="1"/>
  <c r="AA40" i="18"/>
  <c r="Z40" i="18" s="1"/>
  <c r="Y40" i="18" s="1"/>
  <c r="J65" i="19"/>
  <c r="AA54" i="18"/>
  <c r="Z54" i="18" s="1"/>
  <c r="Y54" i="18" s="1"/>
  <c r="AA228" i="18"/>
  <c r="Z228" i="18" s="1"/>
  <c r="Y228" i="18" s="1"/>
  <c r="AA75" i="18"/>
  <c r="Z75" i="18" s="1"/>
  <c r="Y75" i="18" s="1"/>
  <c r="AA280" i="18"/>
  <c r="Z280" i="18" s="1"/>
  <c r="Y280" i="18" s="1"/>
  <c r="F95" i="18"/>
  <c r="H95" i="18" s="1"/>
  <c r="I95" i="18" s="1"/>
  <c r="B95" i="6" s="1"/>
  <c r="BA95" i="6" s="1"/>
  <c r="F123" i="18"/>
  <c r="H123" i="18" s="1"/>
  <c r="I123" i="18" s="1"/>
  <c r="B123" i="6" s="1"/>
  <c r="BA123" i="6" s="1"/>
  <c r="F97" i="18"/>
  <c r="G97" i="18" s="1"/>
  <c r="CA97" i="6" s="1"/>
  <c r="F19" i="18"/>
  <c r="H19" i="18" s="1"/>
  <c r="I19" i="18" s="1"/>
  <c r="B19" i="6" s="1"/>
  <c r="BA19" i="6" s="1"/>
  <c r="F193" i="18"/>
  <c r="G193" i="18" s="1"/>
  <c r="CA193" i="6" s="1"/>
  <c r="F230" i="18"/>
  <c r="H230" i="18" s="1"/>
  <c r="I230" i="18" s="1"/>
  <c r="B230" i="6" s="1"/>
  <c r="BA230" i="6" s="1"/>
  <c r="F300" i="18"/>
  <c r="H300" i="18" s="1"/>
  <c r="J300" i="18" s="1"/>
  <c r="C300" i="6" s="1"/>
  <c r="F192" i="18"/>
  <c r="AA192" i="18" s="1"/>
  <c r="Z192" i="18" s="1"/>
  <c r="Y192" i="18" s="1"/>
  <c r="F247" i="18"/>
  <c r="H247" i="18" s="1"/>
  <c r="I247" i="18" s="1"/>
  <c r="B247" i="6" s="1"/>
  <c r="BA247" i="6" s="1"/>
  <c r="F263" i="18"/>
  <c r="G263" i="18" s="1"/>
  <c r="CA263" i="6" s="1"/>
  <c r="F320" i="18"/>
  <c r="G320" i="18" s="1"/>
  <c r="CA320" i="6" s="1"/>
  <c r="F239" i="18"/>
  <c r="H239" i="18" s="1"/>
  <c r="I239" i="18" s="1"/>
  <c r="B239" i="6" s="1"/>
  <c r="BA239" i="6" s="1"/>
  <c r="D68" i="7"/>
  <c r="AA368" i="18"/>
  <c r="Z368" i="18" s="1"/>
  <c r="Y368" i="18" s="1"/>
  <c r="AA225" i="18"/>
  <c r="Z225" i="18" s="1"/>
  <c r="Y225" i="18" s="1"/>
  <c r="AA336" i="18"/>
  <c r="Z336" i="18" s="1"/>
  <c r="Y336" i="18" s="1"/>
  <c r="F319" i="18"/>
  <c r="H319" i="18" s="1"/>
  <c r="F288" i="18"/>
  <c r="AA288" i="18" s="1"/>
  <c r="Z288" i="18" s="1"/>
  <c r="Y288" i="18" s="1"/>
  <c r="C65" i="19"/>
  <c r="G252" i="18"/>
  <c r="CA252" i="6" s="1"/>
  <c r="AA140" i="18"/>
  <c r="Z140" i="18" s="1"/>
  <c r="Y140" i="18" s="1"/>
  <c r="E11" i="19"/>
  <c r="F11" i="19" s="1"/>
  <c r="F200" i="18"/>
  <c r="H200" i="18" s="1"/>
  <c r="J200" i="18" s="1"/>
  <c r="C200" i="6" s="1"/>
  <c r="H65" i="19"/>
  <c r="AC171" i="24"/>
  <c r="AC158" i="24"/>
  <c r="AC223" i="24"/>
  <c r="AC134" i="24"/>
  <c r="AC346" i="24"/>
  <c r="AC303" i="24"/>
  <c r="AC200" i="24"/>
  <c r="AC315" i="24"/>
  <c r="AC177" i="24"/>
  <c r="AC137" i="24"/>
  <c r="AC289" i="24"/>
  <c r="AC262" i="24"/>
  <c r="AC278" i="24"/>
  <c r="AC295" i="24"/>
  <c r="AC256" i="24"/>
  <c r="AC247" i="24"/>
  <c r="AC373" i="24"/>
  <c r="AC322" i="24"/>
  <c r="AC206" i="24"/>
  <c r="AC186" i="24"/>
  <c r="AC185" i="24"/>
  <c r="AC321" i="24"/>
  <c r="AC211" i="24"/>
  <c r="AC312" i="24"/>
  <c r="AC144" i="24"/>
  <c r="AC174" i="24"/>
  <c r="AC210" i="24"/>
  <c r="AC285" i="24"/>
  <c r="AC172" i="24"/>
  <c r="AC302" i="24"/>
  <c r="AC192" i="24"/>
  <c r="AC195" i="24"/>
  <c r="AC347" i="24"/>
  <c r="AC354" i="24"/>
  <c r="AC145" i="24"/>
  <c r="AC205" i="24"/>
  <c r="AC246" i="24"/>
  <c r="AC209" i="24"/>
  <c r="AC261" i="24"/>
  <c r="AC188" i="24"/>
  <c r="AC160" i="24"/>
  <c r="AC280" i="24"/>
  <c r="AC218" i="24"/>
  <c r="AC216" i="24"/>
  <c r="AC267" i="24"/>
  <c r="AC248" i="24"/>
  <c r="AC310" i="24"/>
  <c r="AC182" i="24"/>
  <c r="AC191" i="24"/>
  <c r="AC260" i="24"/>
  <c r="AC300" i="24"/>
  <c r="AC376" i="24"/>
  <c r="AC319" i="24"/>
  <c r="AC169" i="24"/>
  <c r="AC265" i="24"/>
  <c r="AC138" i="24"/>
  <c r="AC207" i="24"/>
  <c r="AC227" i="24"/>
  <c r="AC282" i="24"/>
  <c r="AC329" i="24"/>
  <c r="AC159" i="24"/>
  <c r="AC337" i="24"/>
  <c r="AC199" i="24"/>
  <c r="AC173" i="24"/>
  <c r="AC269" i="24"/>
  <c r="AC356" i="24"/>
  <c r="AC197" i="24"/>
  <c r="AC272" i="24"/>
  <c r="AC236" i="24"/>
  <c r="AC226" i="24"/>
  <c r="AC147" i="24"/>
  <c r="AC370" i="24"/>
  <c r="AC369" i="24"/>
  <c r="AC230" i="24"/>
  <c r="AC228" i="24"/>
  <c r="AC297" i="24"/>
  <c r="AC255" i="24"/>
  <c r="AC240" i="24"/>
  <c r="AC344" i="24"/>
  <c r="AC365" i="24"/>
  <c r="AC221" i="24"/>
  <c r="AC245" i="24"/>
  <c r="AC153" i="24"/>
  <c r="AC306" i="24"/>
  <c r="AC250" i="24"/>
  <c r="AC331" i="24"/>
  <c r="G240" i="18"/>
  <c r="CA240" i="6" s="1"/>
  <c r="H21" i="18"/>
  <c r="J21" i="18" s="1"/>
  <c r="C21" i="6" s="1"/>
  <c r="G238" i="18"/>
  <c r="CA238" i="6" s="1"/>
  <c r="AC76" i="25"/>
  <c r="AC56" i="25"/>
  <c r="AC65" i="25"/>
  <c r="AC129" i="25"/>
  <c r="AC17" i="25"/>
  <c r="AC42" i="25"/>
  <c r="AC89" i="25"/>
  <c r="AC108" i="25"/>
  <c r="AC98" i="25"/>
  <c r="AC64" i="25"/>
  <c r="AC117" i="25"/>
  <c r="AC86" i="25"/>
  <c r="AC107" i="25"/>
  <c r="AC132" i="25"/>
  <c r="AC110" i="25"/>
  <c r="AC31" i="25"/>
  <c r="AC73" i="25"/>
  <c r="AC93" i="25"/>
  <c r="AC49" i="25"/>
  <c r="AC38" i="25"/>
  <c r="AC92" i="25"/>
  <c r="AC16" i="25"/>
  <c r="AC130" i="25"/>
  <c r="AC55" i="25"/>
  <c r="AC126" i="25"/>
  <c r="AC82" i="25"/>
  <c r="AC128" i="25"/>
  <c r="AC34" i="25"/>
  <c r="AC116" i="25"/>
  <c r="AC24" i="25"/>
  <c r="AC318" i="24"/>
  <c r="AC348" i="24"/>
  <c r="AC235" i="24"/>
  <c r="AC142" i="24"/>
  <c r="AC198" i="24"/>
  <c r="AC276" i="24"/>
  <c r="AC149" i="24"/>
  <c r="AC170" i="24"/>
  <c r="AC293" i="24"/>
  <c r="AC148" i="24"/>
  <c r="AC154" i="24"/>
  <c r="AC244" i="24"/>
  <c r="AC292" i="24"/>
  <c r="AC220" i="24"/>
  <c r="AC140" i="24"/>
  <c r="AC212" i="24"/>
  <c r="AC343" i="24"/>
  <c r="AC364" i="24"/>
  <c r="AC225" i="24"/>
  <c r="AC340" i="24"/>
  <c r="AC166" i="24"/>
  <c r="AC139" i="24"/>
  <c r="AC178" i="24"/>
  <c r="AC217" i="24"/>
  <c r="AC317" i="24"/>
  <c r="AC215" i="24"/>
  <c r="AC345" i="24"/>
  <c r="AC355" i="24"/>
  <c r="AC233" i="24"/>
  <c r="AC362" i="24"/>
  <c r="AC189" i="24"/>
  <c r="AC213" i="24"/>
  <c r="AC304" i="24"/>
  <c r="AC259" i="24"/>
  <c r="AC257" i="24"/>
  <c r="AC299" i="24"/>
  <c r="AC284" i="24"/>
  <c r="AC327" i="24"/>
  <c r="AC167" i="24"/>
  <c r="AC152" i="24"/>
  <c r="AC271" i="24"/>
  <c r="AC162" i="24"/>
  <c r="AC363" i="24"/>
  <c r="AC190" i="24"/>
  <c r="AC377" i="24"/>
  <c r="AC253" i="24"/>
  <c r="AC222" i="24"/>
  <c r="AC294" i="24"/>
  <c r="AC378" i="24"/>
  <c r="AC325" i="24"/>
  <c r="AC353" i="24"/>
  <c r="AC155" i="24"/>
  <c r="AC184" i="24"/>
  <c r="AC283" i="24"/>
  <c r="AC181" i="24"/>
  <c r="AC307" i="24"/>
  <c r="AC288" i="24"/>
  <c r="AC335" i="24"/>
  <c r="AC359" i="24"/>
  <c r="AC264" i="24"/>
  <c r="AC372" i="24"/>
  <c r="AC305" i="24"/>
  <c r="AA325" i="18"/>
  <c r="Z325" i="18" s="1"/>
  <c r="Y325" i="18" s="1"/>
  <c r="AC232" i="24"/>
  <c r="AC274" i="24"/>
  <c r="AC296" i="24"/>
  <c r="AC239" i="24"/>
  <c r="AC273" i="24"/>
  <c r="AC165" i="24"/>
  <c r="AC330" i="24"/>
  <c r="AC351" i="24"/>
  <c r="AC141" i="24"/>
  <c r="AC214" i="24"/>
  <c r="AC263" i="24"/>
  <c r="AC375" i="24"/>
  <c r="AC156" i="24"/>
  <c r="AC328" i="24"/>
  <c r="AC249" i="24"/>
  <c r="AC366" i="24"/>
  <c r="AC266" i="24"/>
  <c r="AC301" i="24"/>
  <c r="AC367" i="24"/>
  <c r="AC164" i="24"/>
  <c r="AC349" i="24"/>
  <c r="AC279" i="24"/>
  <c r="AC136" i="24"/>
  <c r="AC243" i="24"/>
  <c r="AC339" i="24"/>
  <c r="AC341" i="24"/>
  <c r="AC163" i="24"/>
  <c r="AC203" i="24"/>
  <c r="AC268" i="24"/>
  <c r="AC241" i="24"/>
  <c r="AC254" i="24"/>
  <c r="AC311" i="24"/>
  <c r="AC176" i="24"/>
  <c r="AC332" i="24"/>
  <c r="AC194" i="24"/>
  <c r="AC161" i="24"/>
  <c r="AC324" i="24"/>
  <c r="H249" i="18"/>
  <c r="J249" i="18" s="1"/>
  <c r="C249" i="6" s="1"/>
  <c r="H224" i="18"/>
  <c r="I224" i="18" s="1"/>
  <c r="B224" i="6" s="1"/>
  <c r="BA224" i="6" s="1"/>
  <c r="G230" i="18"/>
  <c r="CA230" i="6" s="1"/>
  <c r="AA275" i="18"/>
  <c r="Z275" i="18" s="1"/>
  <c r="Y275" i="18" s="1"/>
  <c r="AC81" i="25"/>
  <c r="AC35" i="25"/>
  <c r="AC103" i="25"/>
  <c r="AC79" i="25"/>
  <c r="AC29" i="25"/>
  <c r="AC87" i="25"/>
  <c r="AC62" i="25"/>
  <c r="AC91" i="25"/>
  <c r="AC84" i="25"/>
  <c r="AC101" i="25"/>
  <c r="AC21" i="25"/>
  <c r="AC80" i="25"/>
  <c r="AC90" i="25"/>
  <c r="AC114" i="25"/>
  <c r="AC48" i="25"/>
  <c r="AC105" i="25"/>
  <c r="AC74" i="25"/>
  <c r="AC39" i="25"/>
  <c r="AC125" i="25"/>
  <c r="AC69" i="25"/>
  <c r="AC18" i="25"/>
  <c r="AC111" i="25"/>
  <c r="AC75" i="25"/>
  <c r="AC47" i="25"/>
  <c r="AC96" i="25"/>
  <c r="AC27" i="25"/>
  <c r="AC97" i="25"/>
  <c r="AC67" i="25"/>
  <c r="AC36" i="25"/>
  <c r="AC40" i="25"/>
  <c r="AC57" i="25"/>
  <c r="AC50" i="25"/>
  <c r="AC72" i="25"/>
  <c r="AC44" i="25"/>
  <c r="AC94" i="25"/>
  <c r="AC41" i="25"/>
  <c r="AC25" i="25"/>
  <c r="AC119" i="25"/>
  <c r="AC88" i="25"/>
  <c r="AC95" i="25"/>
  <c r="AC99" i="25"/>
  <c r="AC102" i="25"/>
  <c r="AC124" i="25"/>
  <c r="AC52" i="25"/>
  <c r="AC26" i="25"/>
  <c r="AC127" i="25"/>
  <c r="AC71" i="25"/>
  <c r="AC30" i="25"/>
  <c r="AC15" i="25"/>
  <c r="AC46" i="25"/>
  <c r="AC61" i="25"/>
  <c r="AC78" i="25"/>
  <c r="AC122" i="25"/>
  <c r="AC60" i="25"/>
  <c r="AC59" i="25"/>
  <c r="AC53" i="25"/>
  <c r="AC22" i="25"/>
  <c r="AC37" i="25"/>
  <c r="AC120" i="25"/>
  <c r="AA253" i="18"/>
  <c r="Z253" i="18" s="1"/>
  <c r="Y253" i="18" s="1"/>
  <c r="G246" i="18"/>
  <c r="CA246" i="6" s="1"/>
  <c r="G20" i="18"/>
  <c r="CA20" i="6" s="1"/>
  <c r="H179" i="18"/>
  <c r="I179" i="18" s="1"/>
  <c r="B179" i="6" s="1"/>
  <c r="BA179" i="6" s="1"/>
  <c r="H54" i="18"/>
  <c r="J54" i="18" s="1"/>
  <c r="C54" i="6" s="1"/>
  <c r="AA328" i="18"/>
  <c r="Z328" i="18" s="1"/>
  <c r="Y328" i="18" s="1"/>
  <c r="AA254" i="18"/>
  <c r="Z254" i="18" s="1"/>
  <c r="Y254" i="18" s="1"/>
  <c r="AA352" i="18"/>
  <c r="Z352" i="18" s="1"/>
  <c r="Y352" i="18" s="1"/>
  <c r="AA220" i="18"/>
  <c r="Z220" i="18" s="1"/>
  <c r="Y220" i="18" s="1"/>
  <c r="AA286" i="18"/>
  <c r="Z286" i="18" s="1"/>
  <c r="Y286" i="18" s="1"/>
  <c r="AA68" i="18"/>
  <c r="Z68" i="18" s="1"/>
  <c r="Y68" i="18" s="1"/>
  <c r="G356" i="18"/>
  <c r="CA356" i="6" s="1"/>
  <c r="AA185" i="18"/>
  <c r="Z185" i="18" s="1"/>
  <c r="Y185" i="18" s="1"/>
  <c r="AA31" i="18"/>
  <c r="Z31" i="18" s="1"/>
  <c r="Y31" i="18" s="1"/>
  <c r="AA62" i="18"/>
  <c r="Z62" i="18" s="1"/>
  <c r="Y62" i="18" s="1"/>
  <c r="H87" i="18"/>
  <c r="I87" i="18" s="1"/>
  <c r="B87" i="6" s="1"/>
  <c r="BA87" i="6" s="1"/>
  <c r="G346" i="18"/>
  <c r="CA346" i="6" s="1"/>
  <c r="H280" i="18"/>
  <c r="J280" i="18" s="1"/>
  <c r="C280" i="6" s="1"/>
  <c r="G52" i="18"/>
  <c r="CA52" i="6" s="1"/>
  <c r="G99" i="18"/>
  <c r="CA99" i="6" s="1"/>
  <c r="G169" i="18"/>
  <c r="CA169" i="6" s="1"/>
  <c r="G33" i="18"/>
  <c r="CA33" i="6" s="1"/>
  <c r="G95" i="18"/>
  <c r="CA95" i="6" s="1"/>
  <c r="H305" i="18"/>
  <c r="I305" i="18" s="1"/>
  <c r="B305" i="6" s="1"/>
  <c r="BA305" i="6" s="1"/>
  <c r="H254" i="18"/>
  <c r="I254" i="18" s="1"/>
  <c r="B254" i="6" s="1"/>
  <c r="BA254" i="6" s="1"/>
  <c r="G170" i="18"/>
  <c r="CA170" i="6" s="1"/>
  <c r="H335" i="18"/>
  <c r="I335" i="18" s="1"/>
  <c r="B335" i="6" s="1"/>
  <c r="BA335" i="6" s="1"/>
  <c r="AA130" i="18"/>
  <c r="Z130" i="18" s="1"/>
  <c r="Y130" i="18" s="1"/>
  <c r="H314" i="18"/>
  <c r="J314" i="18" s="1"/>
  <c r="C314" i="6" s="1"/>
  <c r="H139" i="18"/>
  <c r="I139" i="18" s="1"/>
  <c r="B139" i="6" s="1"/>
  <c r="BA139" i="6" s="1"/>
  <c r="AA50" i="18"/>
  <c r="Z50" i="18" s="1"/>
  <c r="Y50" i="18" s="1"/>
  <c r="G64" i="18"/>
  <c r="CA64" i="6" s="1"/>
  <c r="G232" i="18"/>
  <c r="CA232" i="6" s="1"/>
  <c r="G307" i="18"/>
  <c r="CA307" i="6" s="1"/>
  <c r="G220" i="18"/>
  <c r="CA220" i="6" s="1"/>
  <c r="AA295" i="18"/>
  <c r="Z295" i="18" s="1"/>
  <c r="Y295" i="18" s="1"/>
  <c r="AA262" i="18"/>
  <c r="Z262" i="18" s="1"/>
  <c r="Y262" i="18" s="1"/>
  <c r="AA261" i="18"/>
  <c r="Z261" i="18" s="1"/>
  <c r="Y261" i="18" s="1"/>
  <c r="H83" i="18"/>
  <c r="J83" i="18" s="1"/>
  <c r="C83" i="6" s="1"/>
  <c r="G17" i="18"/>
  <c r="CA17" i="6" s="1"/>
  <c r="AA34" i="18"/>
  <c r="Z34" i="18" s="1"/>
  <c r="Y34" i="18" s="1"/>
  <c r="F88" i="18"/>
  <c r="AA88" i="18" s="1"/>
  <c r="Z88" i="18" s="1"/>
  <c r="Y88" i="18" s="1"/>
  <c r="H317" i="18"/>
  <c r="I317" i="18" s="1"/>
  <c r="B317" i="6" s="1"/>
  <c r="BA317" i="6" s="1"/>
  <c r="G126" i="18"/>
  <c r="CA126" i="6" s="1"/>
  <c r="H279" i="18"/>
  <c r="J279" i="18" s="1"/>
  <c r="C279" i="6" s="1"/>
  <c r="F29" i="18"/>
  <c r="G29" i="18" s="1"/>
  <c r="CA29" i="6" s="1"/>
  <c r="H347" i="18"/>
  <c r="I347" i="18" s="1"/>
  <c r="B347" i="6" s="1"/>
  <c r="BA347" i="6" s="1"/>
  <c r="H245" i="18"/>
  <c r="J245" i="18" s="1"/>
  <c r="C245" i="6" s="1"/>
  <c r="H211" i="18"/>
  <c r="J211" i="18" s="1"/>
  <c r="C211" i="6" s="1"/>
  <c r="AA322" i="18"/>
  <c r="Z322" i="18" s="1"/>
  <c r="Y322" i="18" s="1"/>
  <c r="H282" i="18"/>
  <c r="I282" i="18" s="1"/>
  <c r="B282" i="6" s="1"/>
  <c r="BA282" i="6" s="1"/>
  <c r="G55" i="18"/>
  <c r="CA55" i="6" s="1"/>
  <c r="AA49" i="18"/>
  <c r="Z49" i="18" s="1"/>
  <c r="Y49" i="18" s="1"/>
  <c r="G344" i="18"/>
  <c r="CA344" i="6" s="1"/>
  <c r="H244" i="18"/>
  <c r="J244" i="18" s="1"/>
  <c r="C244" i="6" s="1"/>
  <c r="G80" i="18"/>
  <c r="CA80" i="6" s="1"/>
  <c r="H289" i="18"/>
  <c r="J289" i="18" s="1"/>
  <c r="C289" i="6" s="1"/>
  <c r="H368" i="18"/>
  <c r="J368" i="18" s="1"/>
  <c r="C368" i="6" s="1"/>
  <c r="H174" i="18"/>
  <c r="I174" i="18" s="1"/>
  <c r="B174" i="6" s="1"/>
  <c r="BA174" i="6" s="1"/>
  <c r="H42" i="18"/>
  <c r="I42" i="18" s="1"/>
  <c r="B42" i="6" s="1"/>
  <c r="BA42" i="6" s="1"/>
  <c r="G61" i="18"/>
  <c r="CA61" i="6" s="1"/>
  <c r="AA22" i="18"/>
  <c r="Z22" i="18" s="1"/>
  <c r="Y22" i="18" s="1"/>
  <c r="H203" i="18"/>
  <c r="I203" i="18" s="1"/>
  <c r="B203" i="6" s="1"/>
  <c r="BA203" i="6" s="1"/>
  <c r="H294" i="18"/>
  <c r="G341" i="18"/>
  <c r="CA341" i="6" s="1"/>
  <c r="G138" i="18"/>
  <c r="CA138" i="6" s="1"/>
  <c r="G75" i="18"/>
  <c r="CA75" i="6" s="1"/>
  <c r="G355" i="18"/>
  <c r="CA355" i="6" s="1"/>
  <c r="G27" i="18"/>
  <c r="CA27" i="6" s="1"/>
  <c r="G114" i="18"/>
  <c r="CA114" i="6" s="1"/>
  <c r="H207" i="18"/>
  <c r="I207" i="18" s="1"/>
  <c r="B207" i="6" s="1"/>
  <c r="BA207" i="6" s="1"/>
  <c r="AA257" i="18"/>
  <c r="Z257" i="18" s="1"/>
  <c r="Y257" i="18" s="1"/>
  <c r="AA259" i="18"/>
  <c r="Z259" i="18" s="1"/>
  <c r="Y259" i="18" s="1"/>
  <c r="AA30" i="18"/>
  <c r="Z30" i="18" s="1"/>
  <c r="Y30" i="18" s="1"/>
  <c r="AA326" i="18"/>
  <c r="Z326" i="18" s="1"/>
  <c r="Y326" i="18" s="1"/>
  <c r="H97" i="18"/>
  <c r="J97" i="18" s="1"/>
  <c r="C97" i="6" s="1"/>
  <c r="G101" i="18"/>
  <c r="CA101" i="6" s="1"/>
  <c r="H361" i="18"/>
  <c r="J361" i="18" s="1"/>
  <c r="C361" i="6" s="1"/>
  <c r="H130" i="18"/>
  <c r="I130" i="18" s="1"/>
  <c r="B130" i="6" s="1"/>
  <c r="BA130" i="6" s="1"/>
  <c r="AA87" i="18"/>
  <c r="Z87" i="18" s="1"/>
  <c r="Y87" i="18" s="1"/>
  <c r="H168" i="18"/>
  <c r="I168" i="18" s="1"/>
  <c r="B168" i="6" s="1"/>
  <c r="BA168" i="6" s="1"/>
  <c r="H110" i="18"/>
  <c r="AA104" i="18"/>
  <c r="Z104" i="18" s="1"/>
  <c r="Y104" i="18" s="1"/>
  <c r="H100" i="18"/>
  <c r="H38" i="18"/>
  <c r="I38" i="18" s="1"/>
  <c r="B38" i="6" s="1"/>
  <c r="BA38" i="6" s="1"/>
  <c r="H354" i="18"/>
  <c r="J354" i="18" s="1"/>
  <c r="C354" i="6" s="1"/>
  <c r="AA250" i="18"/>
  <c r="Z250" i="18" s="1"/>
  <c r="Y250" i="18" s="1"/>
  <c r="H31" i="18"/>
  <c r="I31" i="18" s="1"/>
  <c r="B31" i="6" s="1"/>
  <c r="BA31" i="6" s="1"/>
  <c r="AA91" i="18"/>
  <c r="Z91" i="18" s="1"/>
  <c r="Y91" i="18" s="1"/>
  <c r="G262" i="18"/>
  <c r="CA262" i="6" s="1"/>
  <c r="H216" i="18"/>
  <c r="H362" i="18"/>
  <c r="J362" i="18" s="1"/>
  <c r="C362" i="6" s="1"/>
  <c r="H92" i="18"/>
  <c r="I92" i="18" s="1"/>
  <c r="B92" i="6" s="1"/>
  <c r="BA92" i="6" s="1"/>
  <c r="G34" i="18"/>
  <c r="CA34" i="6" s="1"/>
  <c r="H107" i="18"/>
  <c r="I107" i="18" s="1"/>
  <c r="B107" i="6" s="1"/>
  <c r="BA107" i="6" s="1"/>
  <c r="AA126" i="18"/>
  <c r="Z126" i="18" s="1"/>
  <c r="Y126" i="18" s="1"/>
  <c r="F272" i="18"/>
  <c r="G272" i="18" s="1"/>
  <c r="CA272" i="6" s="1"/>
  <c r="G182" i="18"/>
  <c r="CA182" i="6" s="1"/>
  <c r="H178" i="18"/>
  <c r="H233" i="18"/>
  <c r="J233" i="18" s="1"/>
  <c r="C233" i="6" s="1"/>
  <c r="H275" i="18"/>
  <c r="I275" i="18" s="1"/>
  <c r="B275" i="6" s="1"/>
  <c r="BA275" i="6" s="1"/>
  <c r="G171" i="18"/>
  <c r="CA171" i="6" s="1"/>
  <c r="G144" i="18"/>
  <c r="CA144" i="6" s="1"/>
  <c r="AA151" i="18"/>
  <c r="Z151" i="18" s="1"/>
  <c r="Y151" i="18" s="1"/>
  <c r="AA248" i="18"/>
  <c r="Z248" i="18" s="1"/>
  <c r="Y248" i="18" s="1"/>
  <c r="H173" i="18"/>
  <c r="I173" i="18" s="1"/>
  <c r="B173" i="6" s="1"/>
  <c r="BA173" i="6" s="1"/>
  <c r="G343" i="18"/>
  <c r="CA343" i="6" s="1"/>
  <c r="H28" i="18"/>
  <c r="J28" i="18" s="1"/>
  <c r="C28" i="6" s="1"/>
  <c r="G336" i="18"/>
  <c r="CA336" i="6" s="1"/>
  <c r="H225" i="18"/>
  <c r="J225" i="18" s="1"/>
  <c r="C225" i="6" s="1"/>
  <c r="G147" i="18"/>
  <c r="CA147" i="6" s="1"/>
  <c r="H160" i="18"/>
  <c r="I160" i="18" s="1"/>
  <c r="B160" i="6" s="1"/>
  <c r="BA160" i="6" s="1"/>
  <c r="H281" i="18"/>
  <c r="I281" i="18" s="1"/>
  <c r="B281" i="6" s="1"/>
  <c r="BA281" i="6" s="1"/>
  <c r="H322" i="18"/>
  <c r="I322" i="18" s="1"/>
  <c r="B322" i="6" s="1"/>
  <c r="BA322" i="6" s="1"/>
  <c r="AA108" i="18"/>
  <c r="Z108" i="18" s="1"/>
  <c r="Y108" i="18" s="1"/>
  <c r="AA90" i="18"/>
  <c r="Z90" i="18" s="1"/>
  <c r="Y90" i="18" s="1"/>
  <c r="AA56" i="18"/>
  <c r="Z56" i="18" s="1"/>
  <c r="Y56" i="18" s="1"/>
  <c r="AA111" i="18"/>
  <c r="Z111" i="18" s="1"/>
  <c r="Y111" i="18" s="1"/>
  <c r="AA265" i="18"/>
  <c r="Z265" i="18" s="1"/>
  <c r="Y265" i="18" s="1"/>
  <c r="AA59" i="18"/>
  <c r="Z59" i="18" s="1"/>
  <c r="Y59" i="18" s="1"/>
  <c r="AA158" i="18"/>
  <c r="Z158" i="18" s="1"/>
  <c r="Y158" i="18" s="1"/>
  <c r="AA73" i="18"/>
  <c r="Z73" i="18" s="1"/>
  <c r="Y73" i="18" s="1"/>
  <c r="AA256" i="18"/>
  <c r="Z256" i="18" s="1"/>
  <c r="Y256" i="18" s="1"/>
  <c r="AA43" i="18"/>
  <c r="Z43" i="18" s="1"/>
  <c r="Y43" i="18" s="1"/>
  <c r="AA267" i="18"/>
  <c r="Z267" i="18" s="1"/>
  <c r="Y267" i="18" s="1"/>
  <c r="G267" i="18"/>
  <c r="CA267" i="6" s="1"/>
  <c r="H157" i="18"/>
  <c r="I157" i="18" s="1"/>
  <c r="B157" i="6" s="1"/>
  <c r="BA157" i="6" s="1"/>
  <c r="G157" i="18"/>
  <c r="CA157" i="6" s="1"/>
  <c r="G338" i="18"/>
  <c r="CA338" i="6" s="1"/>
  <c r="H338" i="18"/>
  <c r="G188" i="18"/>
  <c r="CA188" i="6" s="1"/>
  <c r="AA188" i="18"/>
  <c r="Z188" i="18" s="1"/>
  <c r="Y188" i="18" s="1"/>
  <c r="H67" i="18"/>
  <c r="I67" i="18" s="1"/>
  <c r="B67" i="6" s="1"/>
  <c r="BA67" i="6" s="1"/>
  <c r="AA67" i="18"/>
  <c r="Z67" i="18" s="1"/>
  <c r="Y67" i="18" s="1"/>
  <c r="G116" i="18"/>
  <c r="CA116" i="6" s="1"/>
  <c r="H116" i="18"/>
  <c r="J116" i="18" s="1"/>
  <c r="C116" i="6" s="1"/>
  <c r="I379" i="17"/>
  <c r="H379" i="18" s="1"/>
  <c r="I379" i="18" s="1"/>
  <c r="B379" i="6" s="1"/>
  <c r="BA379" i="6" s="1"/>
  <c r="J379" i="17"/>
  <c r="AA101" i="18"/>
  <c r="Z101" i="18" s="1"/>
  <c r="Y101" i="18" s="1"/>
  <c r="AA361" i="18"/>
  <c r="Z361" i="18" s="1"/>
  <c r="Y361" i="18" s="1"/>
  <c r="H327" i="18"/>
  <c r="I327" i="18" s="1"/>
  <c r="B327" i="6" s="1"/>
  <c r="BA327" i="6" s="1"/>
  <c r="H215" i="18"/>
  <c r="J215" i="18" s="1"/>
  <c r="C215" i="6" s="1"/>
  <c r="G136" i="18"/>
  <c r="CA136" i="6" s="1"/>
  <c r="H378" i="18"/>
  <c r="I378" i="18" s="1"/>
  <c r="B378" i="6" s="1"/>
  <c r="BA378" i="6" s="1"/>
  <c r="AA287" i="18"/>
  <c r="Z287" i="18" s="1"/>
  <c r="Y287" i="18" s="1"/>
  <c r="H104" i="18"/>
  <c r="I104" i="18" s="1"/>
  <c r="B104" i="6" s="1"/>
  <c r="BA104" i="6" s="1"/>
  <c r="G172" i="18"/>
  <c r="CA172" i="6" s="1"/>
  <c r="H134" i="18"/>
  <c r="J134" i="18" s="1"/>
  <c r="C134" i="6" s="1"/>
  <c r="H220" i="18"/>
  <c r="I220" i="18" s="1"/>
  <c r="B220" i="6" s="1"/>
  <c r="BA220" i="6" s="1"/>
  <c r="G250" i="18"/>
  <c r="CA250" i="6" s="1"/>
  <c r="H84" i="18"/>
  <c r="I84" i="18" s="1"/>
  <c r="B84" i="6" s="1"/>
  <c r="BA84" i="6" s="1"/>
  <c r="H304" i="18"/>
  <c r="H63" i="18"/>
  <c r="I63" i="18" s="1"/>
  <c r="B63" i="6" s="1"/>
  <c r="BA63" i="6" s="1"/>
  <c r="H269" i="18"/>
  <c r="J269" i="18" s="1"/>
  <c r="C269" i="6" s="1"/>
  <c r="G212" i="18"/>
  <c r="CA212" i="6" s="1"/>
  <c r="G357" i="18"/>
  <c r="CA357" i="6" s="1"/>
  <c r="AA224" i="18"/>
  <c r="Z224" i="18" s="1"/>
  <c r="Y224" i="18" s="1"/>
  <c r="AA346" i="18"/>
  <c r="Z346" i="18" s="1"/>
  <c r="Y346" i="18" s="1"/>
  <c r="AA351" i="18"/>
  <c r="Z351" i="18" s="1"/>
  <c r="Y351" i="18" s="1"/>
  <c r="AA83" i="18"/>
  <c r="Z83" i="18" s="1"/>
  <c r="Y83" i="18" s="1"/>
  <c r="AA353" i="18"/>
  <c r="Z353" i="18" s="1"/>
  <c r="Y353" i="18" s="1"/>
  <c r="AA24" i="18"/>
  <c r="Z24" i="18" s="1"/>
  <c r="Y24" i="18" s="1"/>
  <c r="E8" i="25"/>
  <c r="K20" i="19" s="1"/>
  <c r="K44" i="19" s="1"/>
  <c r="E7" i="25"/>
  <c r="O383" i="24"/>
  <c r="O381" i="24"/>
  <c r="O382" i="24"/>
  <c r="F74" i="18"/>
  <c r="H74" i="18" s="1"/>
  <c r="AA97" i="18"/>
  <c r="Z97" i="18" s="1"/>
  <c r="Y97" i="18" s="1"/>
  <c r="H62" i="18"/>
  <c r="I62" i="18" s="1"/>
  <c r="B62" i="6" s="1"/>
  <c r="BA62" i="6" s="1"/>
  <c r="AA327" i="18"/>
  <c r="Z327" i="18" s="1"/>
  <c r="Y327" i="18" s="1"/>
  <c r="F119" i="18"/>
  <c r="AA119" i="18" s="1"/>
  <c r="Z119" i="18" s="1"/>
  <c r="Y119" i="18" s="1"/>
  <c r="AA168" i="18"/>
  <c r="Z168" i="18" s="1"/>
  <c r="Y168" i="18" s="1"/>
  <c r="H50" i="18"/>
  <c r="J50" i="18" s="1"/>
  <c r="C50" i="6" s="1"/>
  <c r="G287" i="18"/>
  <c r="CA287" i="6" s="1"/>
  <c r="H185" i="18"/>
  <c r="I185" i="18" s="1"/>
  <c r="B185" i="6" s="1"/>
  <c r="BA185" i="6" s="1"/>
  <c r="G351" i="18"/>
  <c r="CA351" i="6" s="1"/>
  <c r="AA52" i="18"/>
  <c r="Z52" i="18" s="1"/>
  <c r="Y52" i="18" s="1"/>
  <c r="G295" i="18"/>
  <c r="CA295" i="6" s="1"/>
  <c r="G91" i="18"/>
  <c r="CA91" i="6" s="1"/>
  <c r="G261" i="18"/>
  <c r="CA261" i="6" s="1"/>
  <c r="AA107" i="18"/>
  <c r="Z107" i="18" s="1"/>
  <c r="Y107" i="18" s="1"/>
  <c r="H222" i="18"/>
  <c r="J222" i="18" s="1"/>
  <c r="C222" i="6" s="1"/>
  <c r="AA245" i="18"/>
  <c r="Z245" i="18" s="1"/>
  <c r="Y245" i="18" s="1"/>
  <c r="H151" i="18"/>
  <c r="I151" i="18" s="1"/>
  <c r="B151" i="6" s="1"/>
  <c r="BA151" i="6" s="1"/>
  <c r="G248" i="18"/>
  <c r="CA248" i="6" s="1"/>
  <c r="G165" i="18"/>
  <c r="CA165" i="6" s="1"/>
  <c r="H77" i="18"/>
  <c r="I77" i="18" s="1"/>
  <c r="B77" i="6" s="1"/>
  <c r="BA77" i="6" s="1"/>
  <c r="G231" i="18"/>
  <c r="CA231" i="6" s="1"/>
  <c r="G254" i="18"/>
  <c r="CA254" i="6" s="1"/>
  <c r="AA269" i="18"/>
  <c r="Z269" i="18" s="1"/>
  <c r="Y269" i="18" s="1"/>
  <c r="G121" i="18"/>
  <c r="CA121" i="6" s="1"/>
  <c r="G67" i="18"/>
  <c r="CA67" i="6" s="1"/>
  <c r="G334" i="18"/>
  <c r="CA334" i="6" s="1"/>
  <c r="G284" i="18"/>
  <c r="CA284" i="6" s="1"/>
  <c r="H311" i="18"/>
  <c r="I311" i="18" s="1"/>
  <c r="B311" i="6" s="1"/>
  <c r="BA311" i="6" s="1"/>
  <c r="H162" i="18"/>
  <c r="I162" i="18" s="1"/>
  <c r="B162" i="6" s="1"/>
  <c r="BA162" i="6" s="1"/>
  <c r="H45" i="18"/>
  <c r="J45" i="18" s="1"/>
  <c r="C45" i="6" s="1"/>
  <c r="G290" i="18"/>
  <c r="CA290" i="6" s="1"/>
  <c r="G49" i="18"/>
  <c r="CA49" i="6" s="1"/>
  <c r="G235" i="18"/>
  <c r="CA235" i="6" s="1"/>
  <c r="G358" i="18"/>
  <c r="CA358" i="6" s="1"/>
  <c r="H154" i="18"/>
  <c r="J154" i="18" s="1"/>
  <c r="C154" i="6" s="1"/>
  <c r="H94" i="18"/>
  <c r="I94" i="18" s="1"/>
  <c r="B94" i="6" s="1"/>
  <c r="BA94" i="6" s="1"/>
  <c r="H243" i="18"/>
  <c r="H266" i="18"/>
  <c r="I266" i="18" s="1"/>
  <c r="B266" i="6" s="1"/>
  <c r="BA266" i="6" s="1"/>
  <c r="G156" i="18"/>
  <c r="CA156" i="6" s="1"/>
  <c r="E12" i="19"/>
  <c r="D65" i="19"/>
  <c r="H40" i="18"/>
  <c r="J40" i="18" s="1"/>
  <c r="C40" i="6" s="1"/>
  <c r="G40" i="18"/>
  <c r="CA40" i="6" s="1"/>
  <c r="H271" i="18"/>
  <c r="J271" i="18" s="1"/>
  <c r="C271" i="6" s="1"/>
  <c r="AA271" i="18"/>
  <c r="Z271" i="18" s="1"/>
  <c r="Y271" i="18" s="1"/>
  <c r="AA145" i="18"/>
  <c r="Z145" i="18" s="1"/>
  <c r="Y145" i="18" s="1"/>
  <c r="G145" i="18"/>
  <c r="CA145" i="6" s="1"/>
  <c r="H78" i="18"/>
  <c r="AA78" i="18"/>
  <c r="Z78" i="18" s="1"/>
  <c r="Y78" i="18" s="1"/>
  <c r="H352" i="18"/>
  <c r="I352" i="18" s="1"/>
  <c r="B352" i="6" s="1"/>
  <c r="BA352" i="6" s="1"/>
  <c r="G352" i="18"/>
  <c r="CA352" i="6" s="1"/>
  <c r="H146" i="18"/>
  <c r="J146" i="18" s="1"/>
  <c r="C146" i="6" s="1"/>
  <c r="AA146" i="18"/>
  <c r="Z146" i="18" s="1"/>
  <c r="Y146" i="18" s="1"/>
  <c r="H68" i="18"/>
  <c r="J68" i="18" s="1"/>
  <c r="C68" i="6" s="1"/>
  <c r="G68" i="18"/>
  <c r="CA68" i="6" s="1"/>
  <c r="AA133" i="18"/>
  <c r="Z133" i="18" s="1"/>
  <c r="Y133" i="18" s="1"/>
  <c r="G133" i="18"/>
  <c r="CA133" i="6" s="1"/>
  <c r="AA122" i="18"/>
  <c r="Z122" i="18" s="1"/>
  <c r="Y122" i="18" s="1"/>
  <c r="H122" i="18"/>
  <c r="J122" i="18" s="1"/>
  <c r="C122" i="6" s="1"/>
  <c r="F333" i="18"/>
  <c r="G333" i="18" s="1"/>
  <c r="CA333" i="6" s="1"/>
  <c r="F210" i="18"/>
  <c r="G210" i="18" s="1"/>
  <c r="CA210" i="6" s="1"/>
  <c r="H292" i="18"/>
  <c r="I292" i="18" s="1"/>
  <c r="B292" i="6" s="1"/>
  <c r="BA292" i="6" s="1"/>
  <c r="H331" i="18"/>
  <c r="J331" i="18" s="1"/>
  <c r="C331" i="6" s="1"/>
  <c r="AA173" i="18"/>
  <c r="Z173" i="18" s="1"/>
  <c r="Y173" i="18" s="1"/>
  <c r="AA33" i="18"/>
  <c r="Z33" i="18" s="1"/>
  <c r="Y33" i="18" s="1"/>
  <c r="AA311" i="18"/>
  <c r="Z311" i="18" s="1"/>
  <c r="Y311" i="18" s="1"/>
  <c r="AA282" i="18"/>
  <c r="Z282" i="18" s="1"/>
  <c r="Y282" i="18" s="1"/>
  <c r="AA160" i="18"/>
  <c r="Z160" i="18" s="1"/>
  <c r="Y160" i="18" s="1"/>
  <c r="AA347" i="18"/>
  <c r="Z347" i="18" s="1"/>
  <c r="Y347" i="18" s="1"/>
  <c r="AA243" i="18"/>
  <c r="Z243" i="18" s="1"/>
  <c r="Y243" i="18" s="1"/>
  <c r="AA279" i="18"/>
  <c r="Z279" i="18" s="1"/>
  <c r="Y279" i="18" s="1"/>
  <c r="AA28" i="18"/>
  <c r="Z28" i="18" s="1"/>
  <c r="Y28" i="18" s="1"/>
  <c r="AA344" i="18"/>
  <c r="Z344" i="18" s="1"/>
  <c r="Y344" i="18" s="1"/>
  <c r="AA156" i="18"/>
  <c r="Z156" i="18" s="1"/>
  <c r="Y156" i="18" s="1"/>
  <c r="AA356" i="18"/>
  <c r="Z356" i="18" s="1"/>
  <c r="Y356" i="18" s="1"/>
  <c r="AA64" i="18"/>
  <c r="Z64" i="18" s="1"/>
  <c r="Y64" i="18" s="1"/>
  <c r="AA143" i="18"/>
  <c r="Z143" i="18" s="1"/>
  <c r="Y143" i="18" s="1"/>
  <c r="AA81" i="18"/>
  <c r="Z81" i="18" s="1"/>
  <c r="Y81" i="18" s="1"/>
  <c r="AA217" i="18"/>
  <c r="Z217" i="18" s="1"/>
  <c r="Y217" i="18" s="1"/>
  <c r="AA41" i="18"/>
  <c r="Z41" i="18" s="1"/>
  <c r="Y41" i="18" s="1"/>
  <c r="G108" i="18"/>
  <c r="CA108" i="6" s="1"/>
  <c r="H253" i="18"/>
  <c r="I253" i="18" s="1"/>
  <c r="B253" i="6" s="1"/>
  <c r="BA253" i="6" s="1"/>
  <c r="G208" i="18"/>
  <c r="CA208" i="6" s="1"/>
  <c r="AA195" i="18"/>
  <c r="Z195" i="18" s="1"/>
  <c r="Y195" i="18" s="1"/>
  <c r="AA76" i="18"/>
  <c r="Z76" i="18" s="1"/>
  <c r="Y76" i="18" s="1"/>
  <c r="G90" i="18"/>
  <c r="CA90" i="6" s="1"/>
  <c r="H56" i="18"/>
  <c r="I56" i="18" s="1"/>
  <c r="B56" i="6" s="1"/>
  <c r="BA56" i="6" s="1"/>
  <c r="H177" i="18"/>
  <c r="J177" i="18" s="1"/>
  <c r="C177" i="6" s="1"/>
  <c r="G111" i="18"/>
  <c r="CA111" i="6" s="1"/>
  <c r="AA367" i="18"/>
  <c r="Z367" i="18" s="1"/>
  <c r="Y367" i="18" s="1"/>
  <c r="H115" i="18"/>
  <c r="J115" i="18" s="1"/>
  <c r="C115" i="6" s="1"/>
  <c r="G326" i="18"/>
  <c r="CA326" i="6" s="1"/>
  <c r="G53" i="18"/>
  <c r="CA53" i="6" s="1"/>
  <c r="H265" i="18"/>
  <c r="I265" i="18" s="1"/>
  <c r="B265" i="6" s="1"/>
  <c r="BA265" i="6" s="1"/>
  <c r="H209" i="18"/>
  <c r="J209" i="18" s="1"/>
  <c r="C209" i="6" s="1"/>
  <c r="H350" i="18"/>
  <c r="J350" i="18" s="1"/>
  <c r="C350" i="6" s="1"/>
  <c r="AA294" i="18"/>
  <c r="Z294" i="18" s="1"/>
  <c r="Y294" i="18" s="1"/>
  <c r="G59" i="18"/>
  <c r="CA59" i="6" s="1"/>
  <c r="G58" i="18"/>
  <c r="CA58" i="6" s="1"/>
  <c r="H342" i="18"/>
  <c r="J342" i="18" s="1"/>
  <c r="C342" i="6" s="1"/>
  <c r="AA321" i="18"/>
  <c r="Z321" i="18" s="1"/>
  <c r="Y321" i="18" s="1"/>
  <c r="H187" i="18"/>
  <c r="J187" i="18" s="1"/>
  <c r="C187" i="6" s="1"/>
  <c r="G368" i="18"/>
  <c r="CA368" i="6" s="1"/>
  <c r="G47" i="18"/>
  <c r="CA47" i="6" s="1"/>
  <c r="H75" i="18"/>
  <c r="I75" i="18" s="1"/>
  <c r="B75" i="6" s="1"/>
  <c r="BA75" i="6" s="1"/>
  <c r="H73" i="18"/>
  <c r="I73" i="18" s="1"/>
  <c r="B73" i="6" s="1"/>
  <c r="BA73" i="6" s="1"/>
  <c r="H256" i="18"/>
  <c r="I256" i="18" s="1"/>
  <c r="B256" i="6" s="1"/>
  <c r="BA256" i="6" s="1"/>
  <c r="H37" i="18"/>
  <c r="I37" i="18" s="1"/>
  <c r="B37" i="6" s="1"/>
  <c r="BA37" i="6" s="1"/>
  <c r="G93" i="18"/>
  <c r="CA93" i="6" s="1"/>
  <c r="AA161" i="18"/>
  <c r="Z161" i="18" s="1"/>
  <c r="Y161" i="18" s="1"/>
  <c r="H120" i="18"/>
  <c r="J120" i="18" s="1"/>
  <c r="C120" i="6" s="1"/>
  <c r="G118" i="18"/>
  <c r="CA118" i="6" s="1"/>
  <c r="G197" i="18"/>
  <c r="CA197" i="6" s="1"/>
  <c r="G36" i="18"/>
  <c r="CA36" i="6" s="1"/>
  <c r="G137" i="18"/>
  <c r="CA137" i="6" s="1"/>
  <c r="G191" i="18"/>
  <c r="CA191" i="6" s="1"/>
  <c r="AA362" i="18"/>
  <c r="Z362" i="18" s="1"/>
  <c r="Y362" i="18" s="1"/>
  <c r="AA100" i="18"/>
  <c r="Z100" i="18" s="1"/>
  <c r="Y100" i="18" s="1"/>
  <c r="AA314" i="18"/>
  <c r="Z314" i="18" s="1"/>
  <c r="Y314" i="18" s="1"/>
  <c r="AA18" i="18"/>
  <c r="Z18" i="18" s="1"/>
  <c r="Y18" i="18" s="1"/>
  <c r="AA304" i="18"/>
  <c r="Z304" i="18" s="1"/>
  <c r="Y304" i="18" s="1"/>
  <c r="AA215" i="18"/>
  <c r="Z215" i="18" s="1"/>
  <c r="Y215" i="18" s="1"/>
  <c r="AA136" i="18"/>
  <c r="Z136" i="18" s="1"/>
  <c r="Y136" i="18" s="1"/>
  <c r="AA144" i="18"/>
  <c r="Z144" i="18" s="1"/>
  <c r="Y144" i="18" s="1"/>
  <c r="AA45" i="18"/>
  <c r="Z45" i="18" s="1"/>
  <c r="Y45" i="18" s="1"/>
  <c r="AA252" i="18"/>
  <c r="Z252" i="18" s="1"/>
  <c r="Y252" i="18" s="1"/>
  <c r="AA249" i="18"/>
  <c r="Z249" i="18" s="1"/>
  <c r="Y249" i="18" s="1"/>
  <c r="AA164" i="18"/>
  <c r="Z164" i="18" s="1"/>
  <c r="Y164" i="18" s="1"/>
  <c r="AA184" i="18"/>
  <c r="Z184" i="18" s="1"/>
  <c r="Y184" i="18" s="1"/>
  <c r="AA298" i="18"/>
  <c r="Z298" i="18" s="1"/>
  <c r="Y298" i="18" s="1"/>
  <c r="H148" i="18"/>
  <c r="J148" i="18" s="1"/>
  <c r="C148" i="6" s="1"/>
  <c r="G30" i="18"/>
  <c r="CA30" i="6" s="1"/>
  <c r="G195" i="18"/>
  <c r="CA195" i="6" s="1"/>
  <c r="H329" i="18"/>
  <c r="J329" i="18" s="1"/>
  <c r="C329" i="6" s="1"/>
  <c r="H90" i="18"/>
  <c r="I90" i="18" s="1"/>
  <c r="B90" i="6" s="1"/>
  <c r="BA90" i="6" s="1"/>
  <c r="G56" i="18"/>
  <c r="CA56" i="6" s="1"/>
  <c r="H270" i="18"/>
  <c r="I270" i="18" s="1"/>
  <c r="B270" i="6" s="1"/>
  <c r="BA270" i="6" s="1"/>
  <c r="AA177" i="18"/>
  <c r="Z177" i="18" s="1"/>
  <c r="Y177" i="18" s="1"/>
  <c r="G22" i="18"/>
  <c r="CA22" i="6" s="1"/>
  <c r="AA53" i="18"/>
  <c r="Z53" i="18" s="1"/>
  <c r="Y53" i="18" s="1"/>
  <c r="AA289" i="18"/>
  <c r="Z289" i="18" s="1"/>
  <c r="Y289" i="18" s="1"/>
  <c r="H353" i="18"/>
  <c r="J353" i="18" s="1"/>
  <c r="C353" i="6" s="1"/>
  <c r="H59" i="18"/>
  <c r="J59" i="18" s="1"/>
  <c r="C59" i="6" s="1"/>
  <c r="AA342" i="18"/>
  <c r="Z342" i="18" s="1"/>
  <c r="Y342" i="18" s="1"/>
  <c r="G24" i="18"/>
  <c r="CA24" i="6" s="1"/>
  <c r="AA332" i="18"/>
  <c r="Z332" i="18" s="1"/>
  <c r="Y332" i="18" s="1"/>
  <c r="H318" i="18"/>
  <c r="J318" i="18" s="1"/>
  <c r="C318" i="6" s="1"/>
  <c r="F241" i="18"/>
  <c r="G241" i="18" s="1"/>
  <c r="CA241" i="6" s="1"/>
  <c r="G54" i="18"/>
  <c r="CA54" i="6" s="1"/>
  <c r="AA301" i="18"/>
  <c r="Z301" i="18" s="1"/>
  <c r="Y301" i="18" s="1"/>
  <c r="AA37" i="18"/>
  <c r="Z37" i="18" s="1"/>
  <c r="Y37" i="18" s="1"/>
  <c r="G202" i="18"/>
  <c r="CA202" i="6" s="1"/>
  <c r="G21" i="18"/>
  <c r="CA21" i="6" s="1"/>
  <c r="AA324" i="18"/>
  <c r="Z324" i="18" s="1"/>
  <c r="Y324" i="18" s="1"/>
  <c r="G360" i="18"/>
  <c r="CA360" i="6" s="1"/>
  <c r="G161" i="18"/>
  <c r="CA161" i="6" s="1"/>
  <c r="H70" i="18"/>
  <c r="J70" i="18" s="1"/>
  <c r="C70" i="6" s="1"/>
  <c r="AA120" i="18"/>
  <c r="Z120" i="18" s="1"/>
  <c r="Y120" i="18" s="1"/>
  <c r="H237" i="18"/>
  <c r="J237" i="18" s="1"/>
  <c r="C237" i="6" s="1"/>
  <c r="G65" i="18"/>
  <c r="CA65" i="6" s="1"/>
  <c r="AA118" i="18"/>
  <c r="Z118" i="18" s="1"/>
  <c r="Y118" i="18" s="1"/>
  <c r="AA16" i="18"/>
  <c r="Z16" i="18" s="1"/>
  <c r="Y16" i="18" s="1"/>
  <c r="AA42" i="18"/>
  <c r="Z42" i="18" s="1"/>
  <c r="Y42" i="18" s="1"/>
  <c r="G86" i="18"/>
  <c r="CA86" i="6" s="1"/>
  <c r="G214" i="18"/>
  <c r="CA214" i="6" s="1"/>
  <c r="G181" i="18"/>
  <c r="CA181" i="6" s="1"/>
  <c r="H339" i="18"/>
  <c r="I339" i="18" s="1"/>
  <c r="B339" i="6" s="1"/>
  <c r="BA339" i="6" s="1"/>
  <c r="H260" i="18"/>
  <c r="J260" i="18" s="1"/>
  <c r="C260" i="6" s="1"/>
  <c r="H330" i="18"/>
  <c r="J330" i="18" s="1"/>
  <c r="C330" i="6" s="1"/>
  <c r="G236" i="18"/>
  <c r="CA236" i="6" s="1"/>
  <c r="H370" i="18"/>
  <c r="I370" i="18" s="1"/>
  <c r="B370" i="6" s="1"/>
  <c r="BA370" i="6" s="1"/>
  <c r="G158" i="18"/>
  <c r="CA158" i="6" s="1"/>
  <c r="H152" i="18"/>
  <c r="J152" i="18" s="1"/>
  <c r="C152" i="6" s="1"/>
  <c r="H332" i="18"/>
  <c r="J332" i="18" s="1"/>
  <c r="C332" i="6" s="1"/>
  <c r="H348" i="18"/>
  <c r="J348" i="18" s="1"/>
  <c r="C348" i="6" s="1"/>
  <c r="AA150" i="18"/>
  <c r="Z150" i="18" s="1"/>
  <c r="Y150" i="18" s="1"/>
  <c r="AA364" i="18"/>
  <c r="Z364" i="18" s="1"/>
  <c r="Y364" i="18" s="1"/>
  <c r="AA162" i="18"/>
  <c r="Z162" i="18" s="1"/>
  <c r="Y162" i="18" s="1"/>
  <c r="AA331" i="18"/>
  <c r="Z331" i="18" s="1"/>
  <c r="Y331" i="18" s="1"/>
  <c r="AA357" i="18"/>
  <c r="Z357" i="18" s="1"/>
  <c r="Y357" i="18" s="1"/>
  <c r="H234" i="18"/>
  <c r="J234" i="18" s="1"/>
  <c r="C234" i="6" s="1"/>
  <c r="AA234" i="18"/>
  <c r="Z234" i="18" s="1"/>
  <c r="Y234" i="18" s="1"/>
  <c r="H48" i="18"/>
  <c r="J48" i="18" s="1"/>
  <c r="C48" i="6" s="1"/>
  <c r="AA48" i="18"/>
  <c r="Z48" i="18" s="1"/>
  <c r="Y48" i="18" s="1"/>
  <c r="AA278" i="18"/>
  <c r="Z278" i="18" s="1"/>
  <c r="Y278" i="18" s="1"/>
  <c r="H278" i="18"/>
  <c r="J278" i="18" s="1"/>
  <c r="C278" i="6" s="1"/>
  <c r="H299" i="18"/>
  <c r="I299" i="18" s="1"/>
  <c r="B299" i="6" s="1"/>
  <c r="BA299" i="6" s="1"/>
  <c r="G299" i="18"/>
  <c r="CA299" i="6" s="1"/>
  <c r="H228" i="18"/>
  <c r="I228" i="18" s="1"/>
  <c r="B228" i="6" s="1"/>
  <c r="BA228" i="6" s="1"/>
  <c r="G228" i="18"/>
  <c r="CA228" i="6" s="1"/>
  <c r="AA51" i="18"/>
  <c r="Z51" i="18" s="1"/>
  <c r="Y51" i="18" s="1"/>
  <c r="G51" i="18"/>
  <c r="CA51" i="6" s="1"/>
  <c r="H366" i="18"/>
  <c r="J366" i="18" s="1"/>
  <c r="C366" i="6" s="1"/>
  <c r="G366" i="18"/>
  <c r="CA366" i="6" s="1"/>
  <c r="H372" i="18"/>
  <c r="I372" i="18" s="1"/>
  <c r="B372" i="6" s="1"/>
  <c r="BA372" i="6" s="1"/>
  <c r="AA372" i="18"/>
  <c r="Z372" i="18" s="1"/>
  <c r="Y372" i="18" s="1"/>
  <c r="G82" i="18"/>
  <c r="CA82" i="6" s="1"/>
  <c r="AA82" i="18"/>
  <c r="Z82" i="18" s="1"/>
  <c r="Y82" i="18" s="1"/>
  <c r="F65" i="19"/>
  <c r="H355" i="18"/>
  <c r="J355" i="18" s="1"/>
  <c r="C355" i="6" s="1"/>
  <c r="AA93" i="18"/>
  <c r="Z93" i="18" s="1"/>
  <c r="Y93" i="18" s="1"/>
  <c r="G324" i="18"/>
  <c r="CA324" i="6" s="1"/>
  <c r="AA174" i="18"/>
  <c r="Z174" i="18" s="1"/>
  <c r="Y174" i="18" s="1"/>
  <c r="AA27" i="18"/>
  <c r="Z27" i="18" s="1"/>
  <c r="Y27" i="18" s="1"/>
  <c r="AA237" i="18"/>
  <c r="Z237" i="18" s="1"/>
  <c r="Y237" i="18" s="1"/>
  <c r="G16" i="18"/>
  <c r="CA16" i="6" s="1"/>
  <c r="H183" i="18"/>
  <c r="I183" i="18" s="1"/>
  <c r="B183" i="6" s="1"/>
  <c r="BA183" i="6" s="1"/>
  <c r="H340" i="18"/>
  <c r="I340" i="18" s="1"/>
  <c r="B340" i="6" s="1"/>
  <c r="BA340" i="6" s="1"/>
  <c r="G369" i="18"/>
  <c r="CA369" i="6" s="1"/>
  <c r="G234" i="18"/>
  <c r="CA234" i="6" s="1"/>
  <c r="G109" i="18"/>
  <c r="CA109" i="6" s="1"/>
  <c r="G278" i="18"/>
  <c r="CA278" i="6" s="1"/>
  <c r="G259" i="18"/>
  <c r="CA259" i="6" s="1"/>
  <c r="AA299" i="18"/>
  <c r="Z299" i="18" s="1"/>
  <c r="Y299" i="18" s="1"/>
  <c r="H219" i="18"/>
  <c r="J219" i="18" s="1"/>
  <c r="C219" i="6" s="1"/>
  <c r="AA260" i="18"/>
  <c r="Z260" i="18" s="1"/>
  <c r="Y260" i="18" s="1"/>
  <c r="H51" i="18"/>
  <c r="J51" i="18" s="1"/>
  <c r="C51" i="6" s="1"/>
  <c r="AA238" i="18"/>
  <c r="Z238" i="18" s="1"/>
  <c r="Y238" i="18" s="1"/>
  <c r="H158" i="18"/>
  <c r="J158" i="18" s="1"/>
  <c r="C158" i="6" s="1"/>
  <c r="G32" i="18"/>
  <c r="CA32" i="6" s="1"/>
  <c r="H321" i="18"/>
  <c r="I321" i="18" s="1"/>
  <c r="B321" i="6" s="1"/>
  <c r="BA321" i="6" s="1"/>
  <c r="E65" i="19"/>
  <c r="L65" i="19"/>
  <c r="AA292" i="18"/>
  <c r="Z292" i="18" s="1"/>
  <c r="Y292" i="18" s="1"/>
  <c r="AA187" i="18"/>
  <c r="Z187" i="18" s="1"/>
  <c r="Y187" i="18" s="1"/>
  <c r="AA236" i="18"/>
  <c r="Z236" i="18" s="1"/>
  <c r="Y236" i="18" s="1"/>
  <c r="AA233" i="18"/>
  <c r="Z233" i="18" s="1"/>
  <c r="Y233" i="18" s="1"/>
  <c r="AA211" i="18"/>
  <c r="Z211" i="18" s="1"/>
  <c r="Y211" i="18" s="1"/>
  <c r="AA171" i="18"/>
  <c r="Z171" i="18" s="1"/>
  <c r="Y171" i="18" s="1"/>
  <c r="AA170" i="18"/>
  <c r="Z170" i="18" s="1"/>
  <c r="Y170" i="18" s="1"/>
  <c r="AA343" i="18"/>
  <c r="Z343" i="18" s="1"/>
  <c r="Y343" i="18" s="1"/>
  <c r="AA290" i="18"/>
  <c r="Z290" i="18" s="1"/>
  <c r="Y290" i="18" s="1"/>
  <c r="AA99" i="18"/>
  <c r="Z99" i="18" s="1"/>
  <c r="Y99" i="18" s="1"/>
  <c r="AA284" i="18"/>
  <c r="Z284" i="18" s="1"/>
  <c r="Y284" i="18" s="1"/>
  <c r="AA335" i="18"/>
  <c r="Z335" i="18" s="1"/>
  <c r="Y335" i="18" s="1"/>
  <c r="AA305" i="18"/>
  <c r="Z305" i="18" s="1"/>
  <c r="Y305" i="18" s="1"/>
  <c r="AA182" i="18"/>
  <c r="Z182" i="18" s="1"/>
  <c r="Y182" i="18" s="1"/>
  <c r="AA317" i="18"/>
  <c r="Z317" i="18" s="1"/>
  <c r="Y317" i="18" s="1"/>
  <c r="AA154" i="18"/>
  <c r="Z154" i="18" s="1"/>
  <c r="Y154" i="18" s="1"/>
  <c r="AA169" i="18"/>
  <c r="Z169" i="18" s="1"/>
  <c r="Y169" i="18" s="1"/>
  <c r="AA17" i="18"/>
  <c r="Z17" i="18" s="1"/>
  <c r="Y17" i="18" s="1"/>
  <c r="AA92" i="18"/>
  <c r="Z92" i="18" s="1"/>
  <c r="Y92" i="18" s="1"/>
  <c r="AA121" i="18"/>
  <c r="Z121" i="18" s="1"/>
  <c r="Y121" i="18" s="1"/>
  <c r="AA55" i="18"/>
  <c r="Z55" i="18" s="1"/>
  <c r="Y55" i="18" s="1"/>
  <c r="AA358" i="18"/>
  <c r="Z358" i="18" s="1"/>
  <c r="Y358" i="18" s="1"/>
  <c r="AA147" i="18"/>
  <c r="Z147" i="18" s="1"/>
  <c r="Y147" i="18" s="1"/>
  <c r="AA354" i="18"/>
  <c r="Z354" i="18" s="1"/>
  <c r="Y354" i="18" s="1"/>
  <c r="AA281" i="18"/>
  <c r="Z281" i="18" s="1"/>
  <c r="Y281" i="18" s="1"/>
  <c r="AA266" i="18"/>
  <c r="Z266" i="18" s="1"/>
  <c r="Y266" i="18" s="1"/>
  <c r="AA244" i="18"/>
  <c r="Z244" i="18" s="1"/>
  <c r="Y244" i="18" s="1"/>
  <c r="AA38" i="18"/>
  <c r="Z38" i="18" s="1"/>
  <c r="Y38" i="18" s="1"/>
  <c r="AA94" i="18"/>
  <c r="Z94" i="18" s="1"/>
  <c r="Y94" i="18" s="1"/>
  <c r="AA334" i="18"/>
  <c r="Z334" i="18" s="1"/>
  <c r="Y334" i="18" s="1"/>
  <c r="I272" i="17"/>
  <c r="J272" i="17"/>
  <c r="AA109" i="18"/>
  <c r="Z109" i="18" s="1"/>
  <c r="Y109" i="18" s="1"/>
  <c r="AA370" i="18"/>
  <c r="Z370" i="18" s="1"/>
  <c r="Y370" i="18" s="1"/>
  <c r="AA207" i="18"/>
  <c r="Z207" i="18" s="1"/>
  <c r="Y207" i="18" s="1"/>
  <c r="AA369" i="18"/>
  <c r="Z369" i="18" s="1"/>
  <c r="Y369" i="18" s="1"/>
  <c r="AA191" i="18"/>
  <c r="Z191" i="18" s="1"/>
  <c r="Y191" i="18" s="1"/>
  <c r="AA341" i="18"/>
  <c r="Z341" i="18" s="1"/>
  <c r="Y341" i="18" s="1"/>
  <c r="AA165" i="18"/>
  <c r="Z165" i="18" s="1"/>
  <c r="Y165" i="18" s="1"/>
  <c r="AA84" i="18"/>
  <c r="Z84" i="18" s="1"/>
  <c r="Y84" i="18" s="1"/>
  <c r="AA338" i="18"/>
  <c r="Z338" i="18" s="1"/>
  <c r="Y338" i="18" s="1"/>
  <c r="AA77" i="18"/>
  <c r="Z77" i="18" s="1"/>
  <c r="Y77" i="18" s="1"/>
  <c r="AA378" i="18"/>
  <c r="Z378" i="18" s="1"/>
  <c r="Y378" i="18" s="1"/>
  <c r="AA80" i="18"/>
  <c r="Z80" i="18" s="1"/>
  <c r="Y80" i="18" s="1"/>
  <c r="AA70" i="18"/>
  <c r="Z70" i="18" s="1"/>
  <c r="Y70" i="18" s="1"/>
  <c r="AA36" i="18"/>
  <c r="Z36" i="18" s="1"/>
  <c r="Y36" i="18" s="1"/>
  <c r="AA47" i="18"/>
  <c r="Z47" i="18" s="1"/>
  <c r="Y47" i="18" s="1"/>
  <c r="AA212" i="18"/>
  <c r="Z212" i="18" s="1"/>
  <c r="Y212" i="18" s="1"/>
  <c r="AA134" i="18"/>
  <c r="Z134" i="18" s="1"/>
  <c r="Y134" i="18" s="1"/>
  <c r="AA307" i="18"/>
  <c r="Z307" i="18" s="1"/>
  <c r="Y307" i="18" s="1"/>
  <c r="AA115" i="18"/>
  <c r="Z115" i="18" s="1"/>
  <c r="Y115" i="18" s="1"/>
  <c r="AA172" i="18"/>
  <c r="Z172" i="18" s="1"/>
  <c r="Y172" i="18" s="1"/>
  <c r="AA32" i="18"/>
  <c r="Z32" i="18" s="1"/>
  <c r="Y32" i="18" s="1"/>
  <c r="AA240" i="18"/>
  <c r="Z240" i="18" s="1"/>
  <c r="Y240" i="18" s="1"/>
  <c r="AA340" i="18"/>
  <c r="Z340" i="18" s="1"/>
  <c r="Y340" i="18" s="1"/>
  <c r="AA138" i="18"/>
  <c r="Z138" i="18" s="1"/>
  <c r="Y138" i="18" s="1"/>
  <c r="AA216" i="18"/>
  <c r="Z216" i="18" s="1"/>
  <c r="Y216" i="18" s="1"/>
  <c r="AA139" i="18"/>
  <c r="Z139" i="18" s="1"/>
  <c r="Y139" i="18" s="1"/>
  <c r="AA232" i="18"/>
  <c r="Z232" i="18" s="1"/>
  <c r="Y232" i="18" s="1"/>
  <c r="AA157" i="18"/>
  <c r="Z157" i="18" s="1"/>
  <c r="Y157" i="18" s="1"/>
  <c r="AA152" i="18"/>
  <c r="Z152" i="18" s="1"/>
  <c r="Y152" i="18" s="1"/>
  <c r="AA235" i="18"/>
  <c r="Z235" i="18" s="1"/>
  <c r="Y235" i="18" s="1"/>
  <c r="AA179" i="18"/>
  <c r="Z179" i="18" s="1"/>
  <c r="Y179" i="18" s="1"/>
  <c r="AA20" i="18"/>
  <c r="Z20" i="18" s="1"/>
  <c r="Y20" i="18" s="1"/>
  <c r="AA110" i="18"/>
  <c r="Z110" i="18" s="1"/>
  <c r="Y110" i="18" s="1"/>
  <c r="AA360" i="18"/>
  <c r="Z360" i="18" s="1"/>
  <c r="Y360" i="18" s="1"/>
  <c r="AA350" i="18"/>
  <c r="Z350" i="18" s="1"/>
  <c r="Y350" i="18" s="1"/>
  <c r="AA63" i="18"/>
  <c r="Z63" i="18" s="1"/>
  <c r="Y63" i="18" s="1"/>
  <c r="AA183" i="18"/>
  <c r="Z183" i="18" s="1"/>
  <c r="Y183" i="18" s="1"/>
  <c r="AA209" i="18"/>
  <c r="Z209" i="18" s="1"/>
  <c r="Y209" i="18" s="1"/>
  <c r="AA181" i="18"/>
  <c r="Z181" i="18" s="1"/>
  <c r="Y181" i="18" s="1"/>
  <c r="AA58" i="18"/>
  <c r="Z58" i="18" s="1"/>
  <c r="Y58" i="18" s="1"/>
  <c r="AA114" i="18"/>
  <c r="Z114" i="18" s="1"/>
  <c r="Y114" i="18" s="1"/>
  <c r="AA214" i="18"/>
  <c r="Z214" i="18" s="1"/>
  <c r="Y214" i="18" s="1"/>
  <c r="AA330" i="18"/>
  <c r="Z330" i="18" s="1"/>
  <c r="Y330" i="18" s="1"/>
  <c r="AA197" i="18"/>
  <c r="Z197" i="18" s="1"/>
  <c r="Y197" i="18" s="1"/>
  <c r="AA231" i="18"/>
  <c r="Z231" i="18" s="1"/>
  <c r="Y231" i="18" s="1"/>
  <c r="AA242" i="18"/>
  <c r="Z242" i="18" s="1"/>
  <c r="Y242" i="18" s="1"/>
  <c r="AA277" i="18"/>
  <c r="Z277" i="18" s="1"/>
  <c r="Y277" i="18" s="1"/>
  <c r="AA208" i="18"/>
  <c r="Z208" i="18" s="1"/>
  <c r="Y208" i="18" s="1"/>
  <c r="AA274" i="18"/>
  <c r="Z274" i="18" s="1"/>
  <c r="Y274" i="18" s="1"/>
  <c r="AA348" i="18"/>
  <c r="Z348" i="18" s="1"/>
  <c r="Y348" i="18" s="1"/>
  <c r="AA201" i="18"/>
  <c r="Z201" i="18" s="1"/>
  <c r="Y201" i="18" s="1"/>
  <c r="AA26" i="18"/>
  <c r="Z26" i="18" s="1"/>
  <c r="Y26" i="18" s="1"/>
  <c r="AA309" i="18"/>
  <c r="Z309" i="18" s="1"/>
  <c r="Y309" i="18" s="1"/>
  <c r="AA205" i="18"/>
  <c r="Z205" i="18" s="1"/>
  <c r="Y205" i="18" s="1"/>
  <c r="AA176" i="18"/>
  <c r="Z176" i="18" s="1"/>
  <c r="Y176" i="18" s="1"/>
  <c r="AA251" i="18"/>
  <c r="Z251" i="18" s="1"/>
  <c r="Y251" i="18" s="1"/>
  <c r="AA66" i="18"/>
  <c r="Z66" i="18" s="1"/>
  <c r="Y66" i="18" s="1"/>
  <c r="AA69" i="18"/>
  <c r="Z69" i="18" s="1"/>
  <c r="Y69" i="18" s="1"/>
  <c r="G65" i="19"/>
  <c r="H131" i="18"/>
  <c r="J131" i="18" s="1"/>
  <c r="C131" i="6" s="1"/>
  <c r="AA131" i="18"/>
  <c r="Z131" i="18" s="1"/>
  <c r="Y131" i="18" s="1"/>
  <c r="G131" i="18"/>
  <c r="CA131" i="6" s="1"/>
  <c r="G85" i="18"/>
  <c r="CA85" i="6" s="1"/>
  <c r="H85" i="18"/>
  <c r="I85" i="18" s="1"/>
  <c r="B85" i="6" s="1"/>
  <c r="BA85" i="6" s="1"/>
  <c r="H18" i="18"/>
  <c r="J18" i="18" s="1"/>
  <c r="C18" i="6" s="1"/>
  <c r="G18" i="18"/>
  <c r="CA18" i="6" s="1"/>
  <c r="H164" i="18"/>
  <c r="I164" i="18" s="1"/>
  <c r="B164" i="6" s="1"/>
  <c r="BA164" i="6" s="1"/>
  <c r="G164" i="18"/>
  <c r="CA164" i="6" s="1"/>
  <c r="G155" i="18"/>
  <c r="CA155" i="6" s="1"/>
  <c r="H155" i="18"/>
  <c r="I155" i="18" s="1"/>
  <c r="B155" i="6" s="1"/>
  <c r="BA155" i="6" s="1"/>
  <c r="AA155" i="18"/>
  <c r="Z155" i="18" s="1"/>
  <c r="Y155" i="18" s="1"/>
  <c r="AA25" i="18"/>
  <c r="Z25" i="18" s="1"/>
  <c r="Y25" i="18" s="1"/>
  <c r="G25" i="18"/>
  <c r="CA25" i="6" s="1"/>
  <c r="H376" i="18"/>
  <c r="I376" i="18" s="1"/>
  <c r="B376" i="6" s="1"/>
  <c r="BA376" i="6" s="1"/>
  <c r="AA376" i="18"/>
  <c r="Z376" i="18" s="1"/>
  <c r="Y376" i="18" s="1"/>
  <c r="G293" i="18"/>
  <c r="CA293" i="6" s="1"/>
  <c r="AA293" i="18"/>
  <c r="Z293" i="18" s="1"/>
  <c r="Y293" i="18" s="1"/>
  <c r="H293" i="18"/>
  <c r="I293" i="18" s="1"/>
  <c r="B293" i="6" s="1"/>
  <c r="BA293" i="6" s="1"/>
  <c r="AA103" i="18"/>
  <c r="Z103" i="18" s="1"/>
  <c r="Y103" i="18" s="1"/>
  <c r="G103" i="18"/>
  <c r="CA103" i="6" s="1"/>
  <c r="H103" i="18"/>
  <c r="J103" i="18" s="1"/>
  <c r="C103" i="6" s="1"/>
  <c r="G204" i="18"/>
  <c r="CA204" i="6" s="1"/>
  <c r="H204" i="18"/>
  <c r="J204" i="18" s="1"/>
  <c r="C204" i="6" s="1"/>
  <c r="H313" i="18"/>
  <c r="J313" i="18" s="1"/>
  <c r="C313" i="6" s="1"/>
  <c r="AA313" i="18"/>
  <c r="Z313" i="18" s="1"/>
  <c r="Y313" i="18" s="1"/>
  <c r="G106" i="18"/>
  <c r="CA106" i="6" s="1"/>
  <c r="H106" i="18"/>
  <c r="I106" i="18" s="1"/>
  <c r="B106" i="6" s="1"/>
  <c r="BA106" i="6" s="1"/>
  <c r="H102" i="18"/>
  <c r="J102" i="18" s="1"/>
  <c r="C102" i="6" s="1"/>
  <c r="AA102" i="18"/>
  <c r="Z102" i="18" s="1"/>
  <c r="Y102" i="18" s="1"/>
  <c r="AA199" i="18"/>
  <c r="Z199" i="18" s="1"/>
  <c r="Y199" i="18" s="1"/>
  <c r="H199" i="18"/>
  <c r="I199" i="18" s="1"/>
  <c r="B199" i="6" s="1"/>
  <c r="BA199" i="6" s="1"/>
  <c r="H285" i="18"/>
  <c r="J285" i="18" s="1"/>
  <c r="C285" i="6" s="1"/>
  <c r="AA285" i="18"/>
  <c r="Z285" i="18" s="1"/>
  <c r="Y285" i="18" s="1"/>
  <c r="G285" i="18"/>
  <c r="CA285" i="6" s="1"/>
  <c r="H276" i="18"/>
  <c r="J276" i="18" s="1"/>
  <c r="C276" i="6" s="1"/>
  <c r="AA276" i="18"/>
  <c r="Z276" i="18" s="1"/>
  <c r="Y276" i="18" s="1"/>
  <c r="AA373" i="18"/>
  <c r="Z373" i="18" s="1"/>
  <c r="Y373" i="18" s="1"/>
  <c r="H373" i="18"/>
  <c r="I373" i="18" s="1"/>
  <c r="B373" i="6" s="1"/>
  <c r="BA373" i="6" s="1"/>
  <c r="AA377" i="18"/>
  <c r="Z377" i="18" s="1"/>
  <c r="Y377" i="18" s="1"/>
  <c r="G377" i="18"/>
  <c r="CA377" i="6" s="1"/>
  <c r="H308" i="18"/>
  <c r="I308" i="18" s="1"/>
  <c r="B308" i="6" s="1"/>
  <c r="BA308" i="6" s="1"/>
  <c r="G308" i="18"/>
  <c r="CA308" i="6" s="1"/>
  <c r="G129" i="18"/>
  <c r="CA129" i="6" s="1"/>
  <c r="AA129" i="18"/>
  <c r="Z129" i="18" s="1"/>
  <c r="Y129" i="18" s="1"/>
  <c r="AA291" i="18"/>
  <c r="Z291" i="18" s="1"/>
  <c r="Y291" i="18" s="1"/>
  <c r="H291" i="18"/>
  <c r="J291" i="18" s="1"/>
  <c r="C291" i="6" s="1"/>
  <c r="AA371" i="18"/>
  <c r="Z371" i="18" s="1"/>
  <c r="Y371" i="18" s="1"/>
  <c r="G371" i="18"/>
  <c r="CA371" i="6" s="1"/>
  <c r="H286" i="18"/>
  <c r="J286" i="18" s="1"/>
  <c r="C286" i="6" s="1"/>
  <c r="G286" i="18"/>
  <c r="CA286" i="6" s="1"/>
  <c r="H175" i="18"/>
  <c r="I175" i="18" s="1"/>
  <c r="B175" i="6" s="1"/>
  <c r="BA175" i="6" s="1"/>
  <c r="AA175" i="18"/>
  <c r="Z175" i="18" s="1"/>
  <c r="Y175" i="18" s="1"/>
  <c r="AA141" i="18"/>
  <c r="Z141" i="18" s="1"/>
  <c r="Y141" i="18" s="1"/>
  <c r="G141" i="18"/>
  <c r="CA141" i="6" s="1"/>
  <c r="H310" i="18"/>
  <c r="I310" i="18" s="1"/>
  <c r="B310" i="6" s="1"/>
  <c r="BA310" i="6" s="1"/>
  <c r="G310" i="18"/>
  <c r="CA310" i="6" s="1"/>
  <c r="V312" i="18"/>
  <c r="F312" i="18" s="1"/>
  <c r="V229" i="18"/>
  <c r="I65" i="19" s="1"/>
  <c r="H306" i="18"/>
  <c r="I306" i="18" s="1"/>
  <c r="B306" i="6" s="1"/>
  <c r="BA306" i="6" s="1"/>
  <c r="AA306" i="18"/>
  <c r="Z306" i="18" s="1"/>
  <c r="Y306" i="18" s="1"/>
  <c r="G81" i="18"/>
  <c r="CA81" i="6" s="1"/>
  <c r="H81" i="18"/>
  <c r="J81" i="18" s="1"/>
  <c r="C81" i="6" s="1"/>
  <c r="H167" i="18"/>
  <c r="J167" i="18" s="1"/>
  <c r="C167" i="6" s="1"/>
  <c r="G167" i="18"/>
  <c r="CA167" i="6" s="1"/>
  <c r="H112" i="18"/>
  <c r="I112" i="18" s="1"/>
  <c r="B112" i="6" s="1"/>
  <c r="BA112" i="6" s="1"/>
  <c r="G112" i="18"/>
  <c r="CA112" i="6" s="1"/>
  <c r="AA124" i="18"/>
  <c r="Z124" i="18" s="1"/>
  <c r="Y124" i="18" s="1"/>
  <c r="G124" i="18"/>
  <c r="CA124" i="6" s="1"/>
  <c r="H217" i="18"/>
  <c r="I217" i="18" s="1"/>
  <c r="B217" i="6" s="1"/>
  <c r="BA217" i="6" s="1"/>
  <c r="G217" i="18"/>
  <c r="CA217" i="6" s="1"/>
  <c r="G273" i="18"/>
  <c r="CA273" i="6" s="1"/>
  <c r="AA273" i="18"/>
  <c r="Z273" i="18" s="1"/>
  <c r="Y273" i="18" s="1"/>
  <c r="H57" i="18"/>
  <c r="J57" i="18" s="1"/>
  <c r="C57" i="6" s="1"/>
  <c r="AA57" i="18"/>
  <c r="Z57" i="18" s="1"/>
  <c r="Y57" i="18" s="1"/>
  <c r="AA189" i="18"/>
  <c r="Z189" i="18" s="1"/>
  <c r="Y189" i="18" s="1"/>
  <c r="G189" i="18"/>
  <c r="CA189" i="6" s="1"/>
  <c r="AA223" i="18"/>
  <c r="Z223" i="18" s="1"/>
  <c r="Y223" i="18" s="1"/>
  <c r="H223" i="18"/>
  <c r="I223" i="18" s="1"/>
  <c r="B223" i="6" s="1"/>
  <c r="BA223" i="6" s="1"/>
  <c r="H221" i="18"/>
  <c r="J221" i="18" s="1"/>
  <c r="C221" i="6" s="1"/>
  <c r="AA221" i="18"/>
  <c r="Z221" i="18" s="1"/>
  <c r="Y221" i="18" s="1"/>
  <c r="H128" i="18"/>
  <c r="J128" i="18" s="1"/>
  <c r="C128" i="6" s="1"/>
  <c r="G128" i="18"/>
  <c r="CA128" i="6" s="1"/>
  <c r="H125" i="18"/>
  <c r="I125" i="18" s="1"/>
  <c r="B125" i="6" s="1"/>
  <c r="BA125" i="6" s="1"/>
  <c r="AA125" i="18"/>
  <c r="Z125" i="18" s="1"/>
  <c r="Y125" i="18" s="1"/>
  <c r="G23" i="18"/>
  <c r="CA23" i="6" s="1"/>
  <c r="AA23" i="18"/>
  <c r="Z23" i="18" s="1"/>
  <c r="Y23" i="18" s="1"/>
  <c r="AA35" i="18"/>
  <c r="Z35" i="18" s="1"/>
  <c r="Y35" i="18" s="1"/>
  <c r="H35" i="18"/>
  <c r="J35" i="18" s="1"/>
  <c r="C35" i="6" s="1"/>
  <c r="G35" i="18"/>
  <c r="CA35" i="6" s="1"/>
  <c r="AA218" i="18"/>
  <c r="Z218" i="18" s="1"/>
  <c r="Y218" i="18" s="1"/>
  <c r="H218" i="18"/>
  <c r="I218" i="18" s="1"/>
  <c r="B218" i="6" s="1"/>
  <c r="BA218" i="6" s="1"/>
  <c r="AA359" i="18"/>
  <c r="Z359" i="18" s="1"/>
  <c r="Y359" i="18" s="1"/>
  <c r="G359" i="18"/>
  <c r="CA359" i="6" s="1"/>
  <c r="H359" i="18"/>
  <c r="J359" i="18" s="1"/>
  <c r="C359" i="6" s="1"/>
  <c r="AA297" i="18"/>
  <c r="Z297" i="18" s="1"/>
  <c r="Y297" i="18" s="1"/>
  <c r="G297" i="18"/>
  <c r="CA297" i="6" s="1"/>
  <c r="AA89" i="18"/>
  <c r="Z89" i="18" s="1"/>
  <c r="Y89" i="18" s="1"/>
  <c r="H89" i="18"/>
  <c r="I89" i="18" s="1"/>
  <c r="B89" i="6" s="1"/>
  <c r="BA89" i="6" s="1"/>
  <c r="G142" i="18"/>
  <c r="CA142" i="6" s="1"/>
  <c r="AA142" i="18"/>
  <c r="Z142" i="18" s="1"/>
  <c r="Y142" i="18" s="1"/>
  <c r="H142" i="18"/>
  <c r="I142" i="18" s="1"/>
  <c r="B142" i="6" s="1"/>
  <c r="BA142" i="6" s="1"/>
  <c r="G300" i="18"/>
  <c r="CA300" i="6" s="1"/>
  <c r="H255" i="18"/>
  <c r="J255" i="18" s="1"/>
  <c r="C255" i="6" s="1"/>
  <c r="AA255" i="18"/>
  <c r="Z255" i="18" s="1"/>
  <c r="Y255" i="18" s="1"/>
  <c r="G226" i="18"/>
  <c r="CA226" i="6" s="1"/>
  <c r="AA226" i="18"/>
  <c r="Z226" i="18" s="1"/>
  <c r="Y226" i="18" s="1"/>
  <c r="G39" i="18"/>
  <c r="CA39" i="6" s="1"/>
  <c r="AA39" i="18"/>
  <c r="Z39" i="18" s="1"/>
  <c r="Y39" i="18" s="1"/>
  <c r="G268" i="18"/>
  <c r="CA268" i="6" s="1"/>
  <c r="AA268" i="18"/>
  <c r="Z268" i="18" s="1"/>
  <c r="Y268" i="18" s="1"/>
  <c r="G184" i="18"/>
  <c r="CA184" i="6" s="1"/>
  <c r="H184" i="18"/>
  <c r="I184" i="18" s="1"/>
  <c r="B184" i="6" s="1"/>
  <c r="BA184" i="6" s="1"/>
  <c r="AA206" i="18"/>
  <c r="Z206" i="18" s="1"/>
  <c r="Y206" i="18" s="1"/>
  <c r="AA213" i="18"/>
  <c r="Z213" i="18" s="1"/>
  <c r="Y213" i="18" s="1"/>
  <c r="G213" i="18"/>
  <c r="CA213" i="6" s="1"/>
  <c r="G41" i="18"/>
  <c r="CA41" i="6" s="1"/>
  <c r="H41" i="18"/>
  <c r="I41" i="18" s="1"/>
  <c r="B41" i="6" s="1"/>
  <c r="BA41" i="6" s="1"/>
  <c r="G127" i="18"/>
  <c r="CA127" i="6" s="1"/>
  <c r="AA127" i="18"/>
  <c r="Z127" i="18" s="1"/>
  <c r="Y127" i="18" s="1"/>
  <c r="AA98" i="18"/>
  <c r="Z98" i="18" s="1"/>
  <c r="Y98" i="18" s="1"/>
  <c r="H98" i="18"/>
  <c r="J98" i="18" s="1"/>
  <c r="C98" i="6" s="1"/>
  <c r="G264" i="18"/>
  <c r="CA264" i="6" s="1"/>
  <c r="H264" i="18"/>
  <c r="J264" i="18" s="1"/>
  <c r="C264" i="6" s="1"/>
  <c r="AA345" i="18"/>
  <c r="Z345" i="18" s="1"/>
  <c r="Y345" i="18" s="1"/>
  <c r="AA247" i="18"/>
  <c r="Z247" i="18" s="1"/>
  <c r="Y247" i="18" s="1"/>
  <c r="AA283" i="18"/>
  <c r="Z283" i="18" s="1"/>
  <c r="Y283" i="18" s="1"/>
  <c r="G283" i="18"/>
  <c r="CA283" i="6" s="1"/>
  <c r="H283" i="18"/>
  <c r="J283" i="18" s="1"/>
  <c r="C283" i="6" s="1"/>
  <c r="H44" i="18"/>
  <c r="J44" i="18" s="1"/>
  <c r="C44" i="6" s="1"/>
  <c r="AA44" i="18"/>
  <c r="Z44" i="18" s="1"/>
  <c r="Y44" i="18" s="1"/>
  <c r="G316" i="18"/>
  <c r="CA316" i="6" s="1"/>
  <c r="AA316" i="18"/>
  <c r="Z316" i="18" s="1"/>
  <c r="Y316" i="18" s="1"/>
  <c r="H72" i="18"/>
  <c r="J72" i="18" s="1"/>
  <c r="C72" i="6" s="1"/>
  <c r="G72" i="18"/>
  <c r="CA72" i="6" s="1"/>
  <c r="AA72" i="18"/>
  <c r="Z72" i="18" s="1"/>
  <c r="Y72" i="18" s="1"/>
  <c r="H298" i="18"/>
  <c r="J298" i="18" s="1"/>
  <c r="C298" i="6" s="1"/>
  <c r="G298" i="18"/>
  <c r="CA298" i="6" s="1"/>
  <c r="H325" i="18"/>
  <c r="I325" i="18" s="1"/>
  <c r="B325" i="6" s="1"/>
  <c r="BA325" i="6" s="1"/>
  <c r="G325" i="18"/>
  <c r="CA325" i="6" s="1"/>
  <c r="AA186" i="18"/>
  <c r="Z186" i="18" s="1"/>
  <c r="Y186" i="18" s="1"/>
  <c r="H186" i="18"/>
  <c r="J186" i="18" s="1"/>
  <c r="C186" i="6" s="1"/>
  <c r="H132" i="18"/>
  <c r="J132" i="18" s="1"/>
  <c r="C132" i="6" s="1"/>
  <c r="G132" i="18"/>
  <c r="CA132" i="6" s="1"/>
  <c r="G140" i="18"/>
  <c r="CA140" i="6" s="1"/>
  <c r="H140" i="18"/>
  <c r="J140" i="18" s="1"/>
  <c r="C140" i="6" s="1"/>
  <c r="AA117" i="18"/>
  <c r="Z117" i="18" s="1"/>
  <c r="Y117" i="18" s="1"/>
  <c r="G117" i="18"/>
  <c r="CA117" i="6" s="1"/>
  <c r="G198" i="18"/>
  <c r="CA198" i="6" s="1"/>
  <c r="H198" i="18"/>
  <c r="J198" i="18" s="1"/>
  <c r="C198" i="6" s="1"/>
  <c r="AA96" i="18"/>
  <c r="Z96" i="18" s="1"/>
  <c r="Y96" i="18" s="1"/>
  <c r="G96" i="18"/>
  <c r="CA96" i="6" s="1"/>
  <c r="AA148" i="18"/>
  <c r="Z148" i="18" s="1"/>
  <c r="Y148" i="18" s="1"/>
  <c r="AA61" i="18"/>
  <c r="Z61" i="18" s="1"/>
  <c r="Y61" i="18" s="1"/>
  <c r="AA329" i="18"/>
  <c r="Z329" i="18" s="1"/>
  <c r="Y329" i="18" s="1"/>
  <c r="AA270" i="18"/>
  <c r="Z270" i="18" s="1"/>
  <c r="Y270" i="18" s="1"/>
  <c r="G201" i="18"/>
  <c r="CA201" i="6" s="1"/>
  <c r="F363" i="18"/>
  <c r="AA363" i="18" s="1"/>
  <c r="Z363" i="18" s="1"/>
  <c r="Y363" i="18" s="1"/>
  <c r="H26" i="18"/>
  <c r="J26" i="18" s="1"/>
  <c r="C26" i="6" s="1"/>
  <c r="AA246" i="18"/>
  <c r="Z246" i="18" s="1"/>
  <c r="Y246" i="18" s="1"/>
  <c r="H367" i="18"/>
  <c r="J367" i="18" s="1"/>
  <c r="C367" i="6" s="1"/>
  <c r="AA203" i="18"/>
  <c r="Z203" i="18" s="1"/>
  <c r="Y203" i="18" s="1"/>
  <c r="G205" i="18"/>
  <c r="CA205" i="6" s="1"/>
  <c r="H176" i="18"/>
  <c r="J176" i="18" s="1"/>
  <c r="C176" i="6" s="1"/>
  <c r="G206" i="18"/>
  <c r="CA206" i="6" s="1"/>
  <c r="G251" i="18"/>
  <c r="CA251" i="6" s="1"/>
  <c r="G376" i="18"/>
  <c r="CA376" i="6" s="1"/>
  <c r="AA116" i="18"/>
  <c r="Z116" i="18" s="1"/>
  <c r="Y116" i="18" s="1"/>
  <c r="G66" i="18"/>
  <c r="CA66" i="6" s="1"/>
  <c r="G345" i="18"/>
  <c r="CA345" i="6" s="1"/>
  <c r="H150" i="18"/>
  <c r="J150" i="18" s="1"/>
  <c r="C150" i="6" s="1"/>
  <c r="G247" i="18"/>
  <c r="CA247" i="6" s="1"/>
  <c r="AA296" i="18"/>
  <c r="Z296" i="18" s="1"/>
  <c r="Y296" i="18" s="1"/>
  <c r="H69" i="18"/>
  <c r="I69" i="18" s="1"/>
  <c r="B69" i="6" s="1"/>
  <c r="BA69" i="6" s="1"/>
  <c r="H257" i="18"/>
  <c r="I257" i="18" s="1"/>
  <c r="B257" i="6" s="1"/>
  <c r="BA257" i="6" s="1"/>
  <c r="G186" i="18"/>
  <c r="CA186" i="6" s="1"/>
  <c r="AA222" i="18"/>
  <c r="Z222" i="18" s="1"/>
  <c r="Y222" i="18" s="1"/>
  <c r="H141" i="18"/>
  <c r="J141" i="18" s="1"/>
  <c r="C141" i="6" s="1"/>
  <c r="AA132" i="18"/>
  <c r="Z132" i="18" s="1"/>
  <c r="Y132" i="18" s="1"/>
  <c r="AA198" i="18"/>
  <c r="Z198" i="18" s="1"/>
  <c r="Y198" i="18" s="1"/>
  <c r="AA318" i="18"/>
  <c r="Z318" i="18" s="1"/>
  <c r="Y318" i="18" s="1"/>
  <c r="G301" i="18"/>
  <c r="CA301" i="6" s="1"/>
  <c r="AA202" i="18"/>
  <c r="Z202" i="18" s="1"/>
  <c r="Y202" i="18" s="1"/>
  <c r="G306" i="18"/>
  <c r="CA306" i="6" s="1"/>
  <c r="G43" i="18"/>
  <c r="CA43" i="6" s="1"/>
  <c r="AA167" i="18"/>
  <c r="Z167" i="18" s="1"/>
  <c r="Y167" i="18" s="1"/>
  <c r="AA112" i="18"/>
  <c r="Z112" i="18" s="1"/>
  <c r="Y112" i="18" s="1"/>
  <c r="H124" i="18"/>
  <c r="I124" i="18" s="1"/>
  <c r="B124" i="6" s="1"/>
  <c r="BA124" i="6" s="1"/>
  <c r="AA65" i="18"/>
  <c r="Z65" i="18" s="1"/>
  <c r="Y65" i="18" s="1"/>
  <c r="AA86" i="18"/>
  <c r="Z86" i="18" s="1"/>
  <c r="Y86" i="18" s="1"/>
  <c r="G221" i="18"/>
  <c r="CA221" i="6" s="1"/>
  <c r="H328" i="18"/>
  <c r="I328" i="18" s="1"/>
  <c r="B328" i="6" s="1"/>
  <c r="BA328" i="6" s="1"/>
  <c r="AA137" i="18"/>
  <c r="Z137" i="18" s="1"/>
  <c r="Y137" i="18" s="1"/>
  <c r="AA128" i="18"/>
  <c r="Z128" i="18" s="1"/>
  <c r="Y128" i="18" s="1"/>
  <c r="H23" i="18"/>
  <c r="I23" i="18" s="1"/>
  <c r="B23" i="6" s="1"/>
  <c r="BA23" i="6" s="1"/>
  <c r="G218" i="18"/>
  <c r="CA218" i="6" s="1"/>
  <c r="G89" i="18"/>
  <c r="CA89" i="6" s="1"/>
  <c r="AA300" i="18"/>
  <c r="Z300" i="18" s="1"/>
  <c r="Y300" i="18" s="1"/>
  <c r="G255" i="18"/>
  <c r="CA255" i="6" s="1"/>
  <c r="AA85" i="18"/>
  <c r="Z85" i="18" s="1"/>
  <c r="Y85" i="18" s="1"/>
  <c r="H268" i="18"/>
  <c r="J268" i="18" s="1"/>
  <c r="C268" i="6" s="1"/>
  <c r="AA204" i="18"/>
  <c r="Z204" i="18" s="1"/>
  <c r="Y204" i="18" s="1"/>
  <c r="H127" i="18"/>
  <c r="I127" i="18" s="1"/>
  <c r="B127" i="6" s="1"/>
  <c r="BA127" i="6" s="1"/>
  <c r="AA106" i="18"/>
  <c r="Z106" i="18" s="1"/>
  <c r="Y106" i="18" s="1"/>
  <c r="G199" i="18"/>
  <c r="CA199" i="6" s="1"/>
  <c r="AA264" i="18"/>
  <c r="Z264" i="18" s="1"/>
  <c r="Y264" i="18" s="1"/>
  <c r="G373" i="18"/>
  <c r="CA373" i="6" s="1"/>
  <c r="AA308" i="18"/>
  <c r="Z308" i="18" s="1"/>
  <c r="Y308" i="18" s="1"/>
  <c r="G44" i="18"/>
  <c r="CA44" i="6" s="1"/>
  <c r="G291" i="18"/>
  <c r="CA291" i="6" s="1"/>
  <c r="G175" i="18"/>
  <c r="CA175" i="6" s="1"/>
  <c r="F302" i="18"/>
  <c r="G302" i="18" s="1"/>
  <c r="CA302" i="6" s="1"/>
  <c r="F180" i="18"/>
  <c r="H180" i="18" s="1"/>
  <c r="F60" i="18"/>
  <c r="AA60" i="18" s="1"/>
  <c r="Z60" i="18" s="1"/>
  <c r="Y60" i="18" s="1"/>
  <c r="F149" i="18"/>
  <c r="H149" i="18" s="1"/>
  <c r="AA339" i="18"/>
  <c r="Z339" i="18" s="1"/>
  <c r="Y339" i="18" s="1"/>
  <c r="AA219" i="18"/>
  <c r="Z219" i="18" s="1"/>
  <c r="Y219" i="18" s="1"/>
  <c r="H337" i="18"/>
  <c r="I337" i="18" s="1"/>
  <c r="B337" i="6" s="1"/>
  <c r="BA337" i="6" s="1"/>
  <c r="AA337" i="18"/>
  <c r="Z337" i="18" s="1"/>
  <c r="Y337" i="18" s="1"/>
  <c r="H66" i="18"/>
  <c r="I66" i="18" s="1"/>
  <c r="B66" i="6" s="1"/>
  <c r="BA66" i="6" s="1"/>
  <c r="H296" i="18"/>
  <c r="J296" i="18" s="1"/>
  <c r="C296" i="6" s="1"/>
  <c r="H143" i="18"/>
  <c r="J143" i="18" s="1"/>
  <c r="C143" i="6" s="1"/>
  <c r="H277" i="18"/>
  <c r="I277" i="18" s="1"/>
  <c r="B277" i="6" s="1"/>
  <c r="BA277" i="6" s="1"/>
  <c r="H274" i="18"/>
  <c r="J274" i="18" s="1"/>
  <c r="C274" i="6" s="1"/>
  <c r="H242" i="18"/>
  <c r="I242" i="18" s="1"/>
  <c r="B242" i="6" s="1"/>
  <c r="BA242" i="6" s="1"/>
  <c r="Q383" i="18"/>
  <c r="Q381" i="18"/>
  <c r="F79" i="18"/>
  <c r="F153" i="18"/>
  <c r="AE90" i="20"/>
  <c r="AD90" i="20" s="1"/>
  <c r="AE36" i="20"/>
  <c r="AD36" i="20" s="1"/>
  <c r="AE68" i="20"/>
  <c r="AD68" i="20" s="1"/>
  <c r="AE38" i="20"/>
  <c r="AD38" i="20" s="1"/>
  <c r="AE102" i="20"/>
  <c r="AD102" i="20" s="1"/>
  <c r="AE23" i="20"/>
  <c r="AD23" i="20" s="1"/>
  <c r="AE79" i="20"/>
  <c r="AD79" i="20" s="1"/>
  <c r="AE85" i="20"/>
  <c r="AD85" i="20" s="1"/>
  <c r="AE94" i="20"/>
  <c r="AD94" i="20" s="1"/>
  <c r="AE19" i="20"/>
  <c r="AD19" i="20" s="1"/>
  <c r="AE96" i="20"/>
  <c r="AD96" i="20" s="1"/>
  <c r="AE59" i="20"/>
  <c r="AD59" i="20" s="1"/>
  <c r="AE29" i="20"/>
  <c r="AD29" i="20" s="1"/>
  <c r="AE33" i="20"/>
  <c r="AD33" i="20" s="1"/>
  <c r="AE71" i="20"/>
  <c r="AE35" i="20"/>
  <c r="AD35" i="20" s="1"/>
  <c r="AE56" i="20"/>
  <c r="AD56" i="20" s="1"/>
  <c r="AE65" i="20"/>
  <c r="AD65" i="20" s="1"/>
  <c r="AE97" i="20"/>
  <c r="AD97" i="20" s="1"/>
  <c r="AE44" i="20"/>
  <c r="AD44" i="20" s="1"/>
  <c r="AE42" i="20"/>
  <c r="AD42" i="20" s="1"/>
  <c r="AE49" i="20"/>
  <c r="AD49" i="20" s="1"/>
  <c r="AE66" i="20"/>
  <c r="AD66" i="20" s="1"/>
  <c r="AE22" i="20"/>
  <c r="AD22" i="20" s="1"/>
  <c r="AE99" i="20"/>
  <c r="AD99" i="20" s="1"/>
  <c r="AE74" i="20"/>
  <c r="AD74" i="20" s="1"/>
  <c r="AE53" i="20"/>
  <c r="AD53" i="20" s="1"/>
  <c r="AE78" i="20"/>
  <c r="AD78" i="20" s="1"/>
  <c r="AE32" i="20"/>
  <c r="AD32" i="20" s="1"/>
  <c r="AE89" i="20"/>
  <c r="AD89" i="20" s="1"/>
  <c r="AE82" i="20"/>
  <c r="AD82" i="20" s="1"/>
  <c r="AE58" i="20"/>
  <c r="AD58" i="20" s="1"/>
  <c r="AE95" i="20"/>
  <c r="AD95" i="20" s="1"/>
  <c r="AE70" i="20"/>
  <c r="AD70" i="20" s="1"/>
  <c r="AE24" i="20"/>
  <c r="AD24" i="20" s="1"/>
  <c r="AE46" i="20"/>
  <c r="AE101" i="20"/>
  <c r="AD101" i="20" s="1"/>
  <c r="AE64" i="20"/>
  <c r="AD64" i="20" s="1"/>
  <c r="AE51" i="20"/>
  <c r="AD51" i="20" s="1"/>
  <c r="AE37" i="20"/>
  <c r="AD37" i="20" s="1"/>
  <c r="AE20" i="20"/>
  <c r="AD20" i="20" s="1"/>
  <c r="AE30" i="20"/>
  <c r="AD30" i="20" s="1"/>
  <c r="AE52" i="20"/>
  <c r="AD52" i="20" s="1"/>
  <c r="AE93" i="20"/>
  <c r="AD93" i="20" s="1"/>
  <c r="AE84" i="20"/>
  <c r="AD84" i="20" s="1"/>
  <c r="AE80" i="20"/>
  <c r="AD80" i="20" s="1"/>
  <c r="AE27" i="20"/>
  <c r="AD27" i="20" s="1"/>
  <c r="AE45" i="20"/>
  <c r="AD45" i="20" s="1"/>
  <c r="AE26" i="20"/>
  <c r="AD26" i="20" s="1"/>
  <c r="AE91" i="20"/>
  <c r="AD91" i="20" s="1"/>
  <c r="AE77" i="20"/>
  <c r="AD77" i="20" s="1"/>
  <c r="AE39" i="20"/>
  <c r="AD39" i="20" s="1"/>
  <c r="AE28" i="20"/>
  <c r="AD28" i="20" s="1"/>
  <c r="AE81" i="20"/>
  <c r="AD81" i="20" s="1"/>
  <c r="AE60" i="20"/>
  <c r="AD60" i="20" s="1"/>
  <c r="AE92" i="20"/>
  <c r="AD92" i="20" s="1"/>
  <c r="AE25" i="20"/>
  <c r="AD25" i="20" s="1"/>
  <c r="AE83" i="20"/>
  <c r="AD83" i="20" s="1"/>
  <c r="AE57" i="20"/>
  <c r="AD57" i="20" s="1"/>
  <c r="AE15" i="20"/>
  <c r="AE31" i="20"/>
  <c r="AD31" i="20" s="1"/>
  <c r="AE88" i="20"/>
  <c r="AD88" i="20" s="1"/>
  <c r="AE34" i="20"/>
  <c r="AD34" i="20" s="1"/>
  <c r="AE86" i="20"/>
  <c r="AD86" i="20" s="1"/>
  <c r="AE61" i="20"/>
  <c r="AE72" i="20"/>
  <c r="AD72" i="20" s="1"/>
  <c r="AE21" i="20"/>
  <c r="AD21" i="20" s="1"/>
  <c r="AE18" i="20"/>
  <c r="AD18" i="20" s="1"/>
  <c r="AE55" i="20"/>
  <c r="AD55" i="20" s="1"/>
  <c r="AE48" i="20"/>
  <c r="AD48" i="20" s="1"/>
  <c r="AE98" i="20"/>
  <c r="AE75" i="20"/>
  <c r="AE47" i="20"/>
  <c r="AD47" i="20" s="1"/>
  <c r="AE69" i="20"/>
  <c r="AD69" i="20" s="1"/>
  <c r="AE41" i="20"/>
  <c r="AD41" i="20" s="1"/>
  <c r="AE54" i="20"/>
  <c r="AD54" i="20" s="1"/>
  <c r="AE73" i="20"/>
  <c r="AD73" i="20" s="1"/>
  <c r="AE63" i="20"/>
  <c r="AD63" i="20" s="1"/>
  <c r="AE62" i="20"/>
  <c r="AD62" i="20" s="1"/>
  <c r="AE100" i="20"/>
  <c r="AD100" i="20" s="1"/>
  <c r="AE17" i="20"/>
  <c r="AE43" i="20"/>
  <c r="AD43" i="20" s="1"/>
  <c r="AE67" i="20"/>
  <c r="AD67" i="20" s="1"/>
  <c r="AE40" i="20"/>
  <c r="AD40" i="20" s="1"/>
  <c r="AE50" i="20"/>
  <c r="AD50" i="20" s="1"/>
  <c r="AE103" i="20"/>
  <c r="AD103" i="20" s="1"/>
  <c r="AE76" i="20"/>
  <c r="AD76" i="20" s="1"/>
  <c r="AE16" i="20"/>
  <c r="AD16" i="20" s="1"/>
  <c r="AE87" i="20"/>
  <c r="AD87" i="20" s="1"/>
  <c r="AE381" i="18"/>
  <c r="AE383" i="18"/>
  <c r="AE382" i="18"/>
  <c r="AD379" i="18"/>
  <c r="AA379" i="18" s="1"/>
  <c r="Z379" i="18" s="1"/>
  <c r="Y379" i="18" s="1"/>
  <c r="F303" i="18"/>
  <c r="F159" i="18"/>
  <c r="F113" i="18"/>
  <c r="F374" i="18"/>
  <c r="AD46" i="20"/>
  <c r="AD61" i="20"/>
  <c r="AD75" i="20"/>
  <c r="AD17" i="20"/>
  <c r="AD71" i="20"/>
  <c r="AD98" i="20"/>
  <c r="Q89" i="20"/>
  <c r="P89" i="20" s="1"/>
  <c r="V89" i="20" s="1"/>
  <c r="B89" i="20" s="1"/>
  <c r="Q97" i="20"/>
  <c r="P97" i="20" s="1"/>
  <c r="V97" i="20" s="1"/>
  <c r="B97" i="20" s="1"/>
  <c r="Q34" i="20"/>
  <c r="P34" i="20" s="1"/>
  <c r="V34" i="20" s="1"/>
  <c r="B34" i="20" s="1"/>
  <c r="Q83" i="20"/>
  <c r="P83" i="20" s="1"/>
  <c r="V83" i="20" s="1"/>
  <c r="B83" i="20" s="1"/>
  <c r="AG15" i="7"/>
  <c r="Q38" i="20"/>
  <c r="P38" i="20" s="1"/>
  <c r="V38" i="20" s="1"/>
  <c r="B38" i="20" s="1"/>
  <c r="Q68" i="20"/>
  <c r="P68" i="20" s="1"/>
  <c r="V68" i="20" s="1"/>
  <c r="B68" i="20" s="1"/>
  <c r="Q70" i="20"/>
  <c r="P70" i="20" s="1"/>
  <c r="V70" i="20" s="1"/>
  <c r="B70" i="20" s="1"/>
  <c r="Q19" i="20"/>
  <c r="P19" i="20" s="1"/>
  <c r="V19" i="20" s="1"/>
  <c r="B19" i="20" s="1"/>
  <c r="Q43" i="20"/>
  <c r="P43" i="20" s="1"/>
  <c r="V43" i="20" s="1"/>
  <c r="B43" i="20" s="1"/>
  <c r="Q79" i="20"/>
  <c r="P79" i="20" s="1"/>
  <c r="V79" i="20" s="1"/>
  <c r="B79" i="20" s="1"/>
  <c r="AE11" i="20"/>
  <c r="Q23" i="20"/>
  <c r="P23" i="20" s="1"/>
  <c r="V23" i="20" s="1"/>
  <c r="B23" i="20" s="1"/>
  <c r="Q56" i="20"/>
  <c r="P56" i="20" s="1"/>
  <c r="V56" i="20" s="1"/>
  <c r="B56" i="20" s="1"/>
  <c r="Q59" i="20"/>
  <c r="P59" i="20" s="1"/>
  <c r="V59" i="20" s="1"/>
  <c r="B59" i="20" s="1"/>
  <c r="Q53" i="20"/>
  <c r="P53" i="20" s="1"/>
  <c r="V53" i="20" s="1"/>
  <c r="B53" i="20" s="1"/>
  <c r="Q95" i="20"/>
  <c r="P95" i="20" s="1"/>
  <c r="V95" i="20" s="1"/>
  <c r="B95" i="20" s="1"/>
  <c r="Q58" i="20"/>
  <c r="P58" i="20" s="1"/>
  <c r="V58" i="20" s="1"/>
  <c r="B58" i="20" s="1"/>
  <c r="Q88" i="20"/>
  <c r="P88" i="20" s="1"/>
  <c r="Q55" i="20"/>
  <c r="P55" i="20" s="1"/>
  <c r="V55" i="20" s="1"/>
  <c r="B55" i="20" s="1"/>
  <c r="Q42" i="20"/>
  <c r="P42" i="20" s="1"/>
  <c r="V42" i="20" s="1"/>
  <c r="B42" i="20" s="1"/>
  <c r="Q72" i="20"/>
  <c r="P72" i="20" s="1"/>
  <c r="V72" i="20" s="1"/>
  <c r="B72" i="20" s="1"/>
  <c r="Q86" i="20"/>
  <c r="P86" i="20" s="1"/>
  <c r="V86" i="20" s="1"/>
  <c r="B86" i="20" s="1"/>
  <c r="Q29" i="20"/>
  <c r="P29" i="20" s="1"/>
  <c r="Q48" i="20"/>
  <c r="P48" i="20" s="1"/>
  <c r="V48" i="20" s="1"/>
  <c r="B48" i="20" s="1"/>
  <c r="Q35" i="20"/>
  <c r="P35" i="20" s="1"/>
  <c r="V35" i="20" s="1"/>
  <c r="B35" i="20" s="1"/>
  <c r="Q66" i="20"/>
  <c r="P66" i="20" s="1"/>
  <c r="V66" i="20" s="1"/>
  <c r="B66" i="20" s="1"/>
  <c r="Q27" i="20"/>
  <c r="P27" i="20" s="1"/>
  <c r="V27" i="20" s="1"/>
  <c r="B27" i="20" s="1"/>
  <c r="Q16" i="20"/>
  <c r="P16" i="20" s="1"/>
  <c r="V16" i="20" s="1"/>
  <c r="B16" i="20" s="1"/>
  <c r="Q73" i="20"/>
  <c r="P73" i="20" s="1"/>
  <c r="V73" i="20" s="1"/>
  <c r="B73" i="20" s="1"/>
  <c r="Q33" i="20"/>
  <c r="P33" i="20" s="1"/>
  <c r="V33" i="20" s="1"/>
  <c r="B33" i="20" s="1"/>
  <c r="Q47" i="20"/>
  <c r="P47" i="20" s="1"/>
  <c r="V47" i="20" s="1"/>
  <c r="B47" i="20" s="1"/>
  <c r="Q90" i="20"/>
  <c r="P90" i="20" s="1"/>
  <c r="V90" i="20" s="1"/>
  <c r="B90" i="20" s="1"/>
  <c r="Q92" i="20"/>
  <c r="P92" i="20" s="1"/>
  <c r="V92" i="20" s="1"/>
  <c r="B92" i="20" s="1"/>
  <c r="Q85" i="20"/>
  <c r="P85" i="20" s="1"/>
  <c r="V85" i="20" s="1"/>
  <c r="B85" i="20" s="1"/>
  <c r="Q102" i="20"/>
  <c r="P102" i="20" s="1"/>
  <c r="V102" i="20" s="1"/>
  <c r="B102" i="20" s="1"/>
  <c r="Q50" i="20"/>
  <c r="P50" i="20" s="1"/>
  <c r="V50" i="20" s="1"/>
  <c r="B50" i="20" s="1"/>
  <c r="Q87" i="20"/>
  <c r="P87" i="20" s="1"/>
  <c r="V87" i="20" s="1"/>
  <c r="B87" i="20" s="1"/>
  <c r="Q100" i="20"/>
  <c r="P100" i="20" s="1"/>
  <c r="V100" i="20" s="1"/>
  <c r="B100" i="20" s="1"/>
  <c r="Q99" i="20"/>
  <c r="P99" i="20" s="1"/>
  <c r="V99" i="20" s="1"/>
  <c r="B99" i="20" s="1"/>
  <c r="Q18" i="20"/>
  <c r="P18" i="20" s="1"/>
  <c r="V18" i="20" s="1"/>
  <c r="B18" i="20" s="1"/>
  <c r="Q31" i="20"/>
  <c r="P31" i="20" s="1"/>
  <c r="V31" i="20" s="1"/>
  <c r="B31" i="20" s="1"/>
  <c r="Q60" i="20"/>
  <c r="P60" i="20" s="1"/>
  <c r="Q67" i="20"/>
  <c r="P67" i="20" s="1"/>
  <c r="V67" i="20" s="1"/>
  <c r="B67" i="20" s="1"/>
  <c r="Q57" i="20"/>
  <c r="P57" i="20" s="1"/>
  <c r="V57" i="20" s="1"/>
  <c r="B57" i="20" s="1"/>
  <c r="Q54" i="20"/>
  <c r="P54" i="20" s="1"/>
  <c r="V54" i="20" s="1"/>
  <c r="B54" i="20" s="1"/>
  <c r="Q15" i="20"/>
  <c r="Q94" i="20"/>
  <c r="P94" i="20" s="1"/>
  <c r="V94" i="20" s="1"/>
  <c r="B94" i="20" s="1"/>
  <c r="Q80" i="20"/>
  <c r="P80" i="20" s="1"/>
  <c r="V80" i="20" s="1"/>
  <c r="B80" i="20" s="1"/>
  <c r="Q74" i="20"/>
  <c r="P74" i="20" s="1"/>
  <c r="V74" i="20" s="1"/>
  <c r="B74" i="20" s="1"/>
  <c r="W74" i="20" s="1"/>
  <c r="Q17" i="20"/>
  <c r="P17" i="20" s="1"/>
  <c r="V17" i="20" s="1"/>
  <c r="B17" i="20" s="1"/>
  <c r="Q62" i="20"/>
  <c r="P62" i="20" s="1"/>
  <c r="V62" i="20" s="1"/>
  <c r="B62" i="20" s="1"/>
  <c r="Q101" i="20"/>
  <c r="P101" i="20" s="1"/>
  <c r="V101" i="20" s="1"/>
  <c r="B101" i="20" s="1"/>
  <c r="Q76" i="20"/>
  <c r="P76" i="20" s="1"/>
  <c r="V76" i="20" s="1"/>
  <c r="B76" i="20" s="1"/>
  <c r="Q78" i="20"/>
  <c r="P78" i="20" s="1"/>
  <c r="V78" i="20" s="1"/>
  <c r="B78" i="20" s="1"/>
  <c r="Q40" i="20"/>
  <c r="P40" i="20" s="1"/>
  <c r="V40" i="20" s="1"/>
  <c r="B40" i="20" s="1"/>
  <c r="Q32" i="20"/>
  <c r="P32" i="20" s="1"/>
  <c r="V32" i="20" s="1"/>
  <c r="B32" i="20" s="1"/>
  <c r="Q36" i="20"/>
  <c r="P36" i="20" s="1"/>
  <c r="V36" i="20" s="1"/>
  <c r="B36" i="20" s="1"/>
  <c r="Q37" i="20"/>
  <c r="P37" i="20" s="1"/>
  <c r="V37" i="20" s="1"/>
  <c r="B37" i="20" s="1"/>
  <c r="Q20" i="20"/>
  <c r="P20" i="20" s="1"/>
  <c r="V20" i="20" s="1"/>
  <c r="B20" i="20" s="1"/>
  <c r="Q22" i="20"/>
  <c r="P22" i="20" s="1"/>
  <c r="V22" i="20" s="1"/>
  <c r="B22" i="20" s="1"/>
  <c r="Q51" i="20"/>
  <c r="P51" i="20" s="1"/>
  <c r="V51" i="20" s="1"/>
  <c r="B51" i="20" s="1"/>
  <c r="Q91" i="20"/>
  <c r="P91" i="20" s="1"/>
  <c r="V91" i="20" s="1"/>
  <c r="B91" i="20" s="1"/>
  <c r="Q26" i="20"/>
  <c r="P26" i="20" s="1"/>
  <c r="V26" i="20" s="1"/>
  <c r="B26" i="20" s="1"/>
  <c r="Q77" i="20"/>
  <c r="P77" i="20" s="1"/>
  <c r="V77" i="20" s="1"/>
  <c r="B77" i="20" s="1"/>
  <c r="Q84" i="20"/>
  <c r="P84" i="20" s="1"/>
  <c r="V84" i="20" s="1"/>
  <c r="B84" i="20" s="1"/>
  <c r="Q103" i="20"/>
  <c r="P103" i="20" s="1"/>
  <c r="V103" i="20" s="1"/>
  <c r="B103" i="20" s="1"/>
  <c r="Q61" i="20"/>
  <c r="P61" i="20" s="1"/>
  <c r="V61" i="20" s="1"/>
  <c r="B61" i="20" s="1"/>
  <c r="Q52" i="20"/>
  <c r="P52" i="20" s="1"/>
  <c r="V52" i="20" s="1"/>
  <c r="B52" i="20" s="1"/>
  <c r="Q98" i="20"/>
  <c r="P98" i="20" s="1"/>
  <c r="V98" i="20" s="1"/>
  <c r="B98" i="20" s="1"/>
  <c r="Q81" i="20"/>
  <c r="P81" i="20" s="1"/>
  <c r="V81" i="20" s="1"/>
  <c r="B81" i="20" s="1"/>
  <c r="Q82" i="20"/>
  <c r="P82" i="20" s="1"/>
  <c r="V82" i="20" s="1"/>
  <c r="B82" i="20" s="1"/>
  <c r="Q49" i="20"/>
  <c r="P49" i="20" s="1"/>
  <c r="V49" i="20" s="1"/>
  <c r="B49" i="20" s="1"/>
  <c r="Q30" i="20"/>
  <c r="P30" i="20" s="1"/>
  <c r="V30" i="20" s="1"/>
  <c r="B30" i="20" s="1"/>
  <c r="Q44" i="20"/>
  <c r="P44" i="20" s="1"/>
  <c r="V44" i="20" s="1"/>
  <c r="B44" i="20" s="1"/>
  <c r="Q96" i="20"/>
  <c r="P96" i="20" s="1"/>
  <c r="V96" i="20" s="1"/>
  <c r="B96" i="20" s="1"/>
  <c r="Q41" i="20"/>
  <c r="P41" i="20" s="1"/>
  <c r="V41" i="20" s="1"/>
  <c r="B41" i="20" s="1"/>
  <c r="Q28" i="20"/>
  <c r="P28" i="20" s="1"/>
  <c r="V28" i="20" s="1"/>
  <c r="B28" i="20" s="1"/>
  <c r="Q64" i="20"/>
  <c r="P64" i="20" s="1"/>
  <c r="V64" i="20" s="1"/>
  <c r="B64" i="20" s="1"/>
  <c r="Q39" i="20"/>
  <c r="P39" i="20" s="1"/>
  <c r="V39" i="20" s="1"/>
  <c r="B39" i="20" s="1"/>
  <c r="Q25" i="20"/>
  <c r="P25" i="20" s="1"/>
  <c r="V25" i="20" s="1"/>
  <c r="B25" i="20" s="1"/>
  <c r="Q93" i="20"/>
  <c r="P93" i="20" s="1"/>
  <c r="V93" i="20" s="1"/>
  <c r="B93" i="20" s="1"/>
  <c r="Q69" i="20"/>
  <c r="P69" i="20" s="1"/>
  <c r="V69" i="20" s="1"/>
  <c r="B69" i="20" s="1"/>
  <c r="Q46" i="20"/>
  <c r="P46" i="20" s="1"/>
  <c r="V46" i="20" s="1"/>
  <c r="B46" i="20" s="1"/>
  <c r="W46" i="20" s="1"/>
  <c r="Q71" i="20"/>
  <c r="P71" i="20" s="1"/>
  <c r="V71" i="20" s="1"/>
  <c r="B71" i="20" s="1"/>
  <c r="Q45" i="20"/>
  <c r="P45" i="20" s="1"/>
  <c r="V45" i="20" s="1"/>
  <c r="B45" i="20" s="1"/>
  <c r="Q63" i="20"/>
  <c r="P63" i="20" s="1"/>
  <c r="V63" i="20" s="1"/>
  <c r="B63" i="20" s="1"/>
  <c r="Q24" i="20"/>
  <c r="P24" i="20" s="1"/>
  <c r="V24" i="20" s="1"/>
  <c r="B24" i="20" s="1"/>
  <c r="Q21" i="20"/>
  <c r="P21" i="20" s="1"/>
  <c r="V21" i="20" s="1"/>
  <c r="B21" i="20" s="1"/>
  <c r="Q75" i="20"/>
  <c r="P75" i="20" s="1"/>
  <c r="V75" i="20" s="1"/>
  <c r="B75" i="20" s="1"/>
  <c r="Q65" i="20"/>
  <c r="P65" i="20" s="1"/>
  <c r="V65" i="20" s="1"/>
  <c r="B65" i="20" s="1"/>
  <c r="Q382" i="18"/>
  <c r="F194" i="18"/>
  <c r="F375" i="18"/>
  <c r="G379" i="17"/>
  <c r="BZ379" i="6" s="1"/>
  <c r="AA379" i="17"/>
  <c r="Q105" i="20"/>
  <c r="P105" i="20" s="1"/>
  <c r="V105" i="20" s="1"/>
  <c r="B105" i="20" s="1"/>
  <c r="Q188" i="20"/>
  <c r="P188" i="20" s="1"/>
  <c r="V188" i="20" s="1"/>
  <c r="B188" i="20" s="1"/>
  <c r="Q146" i="20"/>
  <c r="P146" i="20" s="1"/>
  <c r="V146" i="20" s="1"/>
  <c r="B146" i="20" s="1"/>
  <c r="Q107" i="20"/>
  <c r="P107" i="20" s="1"/>
  <c r="V107" i="20" s="1"/>
  <c r="B107" i="20" s="1"/>
  <c r="Q255" i="20"/>
  <c r="P255" i="20" s="1"/>
  <c r="V255" i="20" s="1"/>
  <c r="B255" i="20" s="1"/>
  <c r="Q192" i="20"/>
  <c r="P192" i="20" s="1"/>
  <c r="V192" i="20" s="1"/>
  <c r="B192" i="20" s="1"/>
  <c r="Q306" i="20"/>
  <c r="P306" i="20" s="1"/>
  <c r="V306" i="20" s="1"/>
  <c r="B306" i="20" s="1"/>
  <c r="Q123" i="20"/>
  <c r="P123" i="20" s="1"/>
  <c r="V123" i="20" s="1"/>
  <c r="B123" i="20" s="1"/>
  <c r="Q361" i="20"/>
  <c r="P361" i="20" s="1"/>
  <c r="V361" i="20" s="1"/>
  <c r="B361" i="20" s="1"/>
  <c r="Q263" i="20"/>
  <c r="P263" i="20" s="1"/>
  <c r="V263" i="20" s="1"/>
  <c r="B263" i="20" s="1"/>
  <c r="Q272" i="20"/>
  <c r="P272" i="20" s="1"/>
  <c r="Q322" i="20"/>
  <c r="P322" i="20" s="1"/>
  <c r="V322" i="20" s="1"/>
  <c r="B322" i="20" s="1"/>
  <c r="Q163" i="20"/>
  <c r="P163" i="20" s="1"/>
  <c r="V163" i="20" s="1"/>
  <c r="B163" i="20" s="1"/>
  <c r="Q182" i="20"/>
  <c r="P182" i="20" s="1"/>
  <c r="V182" i="20" s="1"/>
  <c r="B182" i="20" s="1"/>
  <c r="Q343" i="20"/>
  <c r="P343" i="20" s="1"/>
  <c r="V343" i="20" s="1"/>
  <c r="B343" i="20" s="1"/>
  <c r="Q303" i="20"/>
  <c r="P303" i="20" s="1"/>
  <c r="V303" i="20" s="1"/>
  <c r="B303" i="20" s="1"/>
  <c r="Q229" i="20"/>
  <c r="P229" i="20" s="1"/>
  <c r="V229" i="20" s="1"/>
  <c r="Q161" i="20"/>
  <c r="P161" i="20" s="1"/>
  <c r="V161" i="20" s="1"/>
  <c r="B161" i="20" s="1"/>
  <c r="Q327" i="20"/>
  <c r="P327" i="20" s="1"/>
  <c r="V327" i="20" s="1"/>
  <c r="B327" i="20" s="1"/>
  <c r="Q300" i="20"/>
  <c r="P300" i="20" s="1"/>
  <c r="V300" i="20" s="1"/>
  <c r="B300" i="20" s="1"/>
  <c r="Q286" i="20"/>
  <c r="P286" i="20" s="1"/>
  <c r="V286" i="20" s="1"/>
  <c r="B286" i="20" s="1"/>
  <c r="Q295" i="20"/>
  <c r="P295" i="20" s="1"/>
  <c r="V295" i="20" s="1"/>
  <c r="B295" i="20" s="1"/>
  <c r="Q283" i="20"/>
  <c r="P283" i="20" s="1"/>
  <c r="V283" i="20" s="1"/>
  <c r="B283" i="20" s="1"/>
  <c r="Q281" i="20"/>
  <c r="P281" i="20" s="1"/>
  <c r="V281" i="20" s="1"/>
  <c r="B281" i="20" s="1"/>
  <c r="Q148" i="20"/>
  <c r="P148" i="20" s="1"/>
  <c r="V148" i="20" s="1"/>
  <c r="B148" i="20" s="1"/>
  <c r="Q214" i="20"/>
  <c r="P214" i="20" s="1"/>
  <c r="V214" i="20" s="1"/>
  <c r="B214" i="20" s="1"/>
  <c r="Q178" i="20"/>
  <c r="P178" i="20" s="1"/>
  <c r="V178" i="20" s="1"/>
  <c r="B178" i="20" s="1"/>
  <c r="Q358" i="20"/>
  <c r="P358" i="20" s="1"/>
  <c r="V358" i="20" s="1"/>
  <c r="B358" i="20" s="1"/>
  <c r="Q136" i="20"/>
  <c r="P136" i="20" s="1"/>
  <c r="V136" i="20" s="1"/>
  <c r="B136" i="20" s="1"/>
  <c r="Q213" i="20"/>
  <c r="P213" i="20" s="1"/>
  <c r="V213" i="20" s="1"/>
  <c r="B213" i="20" s="1"/>
  <c r="Q234" i="20"/>
  <c r="P234" i="20" s="1"/>
  <c r="V234" i="20" s="1"/>
  <c r="B234" i="20" s="1"/>
  <c r="Q370" i="20"/>
  <c r="P370" i="20" s="1"/>
  <c r="V370" i="20" s="1"/>
  <c r="B370" i="20" s="1"/>
  <c r="Q293" i="20"/>
  <c r="P293" i="20" s="1"/>
  <c r="V293" i="20" s="1"/>
  <c r="B293" i="20" s="1"/>
  <c r="Q259" i="20"/>
  <c r="P259" i="20" s="1"/>
  <c r="V259" i="20" s="1"/>
  <c r="B259" i="20" s="1"/>
  <c r="Q372" i="20"/>
  <c r="P372" i="20" s="1"/>
  <c r="V372" i="20" s="1"/>
  <c r="B372" i="20" s="1"/>
  <c r="Q260" i="20"/>
  <c r="P260" i="20" s="1"/>
  <c r="V260" i="20" s="1"/>
  <c r="B260" i="20" s="1"/>
  <c r="Q316" i="20"/>
  <c r="P316" i="20" s="1"/>
  <c r="V316" i="20" s="1"/>
  <c r="B316" i="20" s="1"/>
  <c r="Q160" i="20"/>
  <c r="P160" i="20" s="1"/>
  <c r="V160" i="20" s="1"/>
  <c r="B160" i="20" s="1"/>
  <c r="Q205" i="20"/>
  <c r="P205" i="20" s="1"/>
  <c r="V205" i="20" s="1"/>
  <c r="B205" i="20" s="1"/>
  <c r="Q369" i="20"/>
  <c r="P369" i="20" s="1"/>
  <c r="V369" i="20" s="1"/>
  <c r="B369" i="20" s="1"/>
  <c r="Q297" i="20"/>
  <c r="P297" i="20" s="1"/>
  <c r="V297" i="20" s="1"/>
  <c r="B297" i="20" s="1"/>
  <c r="Q304" i="20"/>
  <c r="P304" i="20" s="1"/>
  <c r="V304" i="20" s="1"/>
  <c r="B304" i="20" s="1"/>
  <c r="Q211" i="20"/>
  <c r="P211" i="20" s="1"/>
  <c r="V211" i="20" s="1"/>
  <c r="B211" i="20" s="1"/>
  <c r="Q290" i="20"/>
  <c r="P290" i="20" s="1"/>
  <c r="V290" i="20" s="1"/>
  <c r="B290" i="20" s="1"/>
  <c r="Q368" i="20"/>
  <c r="P368" i="20" s="1"/>
  <c r="V368" i="20" s="1"/>
  <c r="B368" i="20" s="1"/>
  <c r="Q171" i="20"/>
  <c r="P171" i="20" s="1"/>
  <c r="V171" i="20" s="1"/>
  <c r="B171" i="20" s="1"/>
  <c r="Q274" i="20"/>
  <c r="P274" i="20" s="1"/>
  <c r="V274" i="20" s="1"/>
  <c r="B274" i="20" s="1"/>
  <c r="Q332" i="20"/>
  <c r="P332" i="20" s="1"/>
  <c r="V332" i="20" s="1"/>
  <c r="B332" i="20" s="1"/>
  <c r="Q244" i="20"/>
  <c r="P244" i="20" s="1"/>
  <c r="V244" i="20" s="1"/>
  <c r="B244" i="20" s="1"/>
  <c r="Q329" i="20"/>
  <c r="P329" i="20" s="1"/>
  <c r="V329" i="20" s="1"/>
  <c r="B329" i="20" s="1"/>
  <c r="Q217" i="20"/>
  <c r="P217" i="20" s="1"/>
  <c r="V217" i="20" s="1"/>
  <c r="B217" i="20" s="1"/>
  <c r="Q177" i="20"/>
  <c r="P177" i="20" s="1"/>
  <c r="V177" i="20" s="1"/>
  <c r="B177" i="20" s="1"/>
  <c r="Q215" i="20"/>
  <c r="P215" i="20" s="1"/>
  <c r="V215" i="20" s="1"/>
  <c r="B215" i="20" s="1"/>
  <c r="Q167" i="20"/>
  <c r="P167" i="20" s="1"/>
  <c r="V167" i="20" s="1"/>
  <c r="B167" i="20" s="1"/>
  <c r="Q226" i="20"/>
  <c r="P226" i="20" s="1"/>
  <c r="V226" i="20" s="1"/>
  <c r="B226" i="20" s="1"/>
  <c r="Q330" i="20"/>
  <c r="P330" i="20" s="1"/>
  <c r="V330" i="20" s="1"/>
  <c r="B330" i="20" s="1"/>
  <c r="Q239" i="20"/>
  <c r="P239" i="20" s="1"/>
  <c r="V239" i="20" s="1"/>
  <c r="B239" i="20" s="1"/>
  <c r="Q268" i="20"/>
  <c r="P268" i="20" s="1"/>
  <c r="V268" i="20" s="1"/>
  <c r="B268" i="20" s="1"/>
  <c r="Q365" i="20"/>
  <c r="P365" i="20" s="1"/>
  <c r="V365" i="20" s="1"/>
  <c r="B365" i="20" s="1"/>
  <c r="Q261" i="20"/>
  <c r="P261" i="20" s="1"/>
  <c r="V261" i="20" s="1"/>
  <c r="B261" i="20" s="1"/>
  <c r="Q119" i="20"/>
  <c r="P119" i="20" s="1"/>
  <c r="Q355" i="20"/>
  <c r="P355" i="20" s="1"/>
  <c r="V355" i="20" s="1"/>
  <c r="B355" i="20" s="1"/>
  <c r="Q170" i="20"/>
  <c r="P170" i="20" s="1"/>
  <c r="V170" i="20" s="1"/>
  <c r="B170" i="20" s="1"/>
  <c r="Q181" i="20"/>
  <c r="P181" i="20" s="1"/>
  <c r="V181" i="20" s="1"/>
  <c r="B181" i="20" s="1"/>
  <c r="Q200" i="20"/>
  <c r="P200" i="20" s="1"/>
  <c r="V200" i="20" s="1"/>
  <c r="B200" i="20" s="1"/>
  <c r="Q144" i="20"/>
  <c r="P144" i="20" s="1"/>
  <c r="V144" i="20" s="1"/>
  <c r="B144" i="20" s="1"/>
  <c r="Q302" i="20"/>
  <c r="P302" i="20" s="1"/>
  <c r="Q199" i="20"/>
  <c r="P199" i="20" s="1"/>
  <c r="V199" i="20" s="1"/>
  <c r="B199" i="20" s="1"/>
  <c r="Q252" i="20"/>
  <c r="P252" i="20" s="1"/>
  <c r="V252" i="20" s="1"/>
  <c r="B252" i="20" s="1"/>
  <c r="Q155" i="20"/>
  <c r="P155" i="20" s="1"/>
  <c r="V155" i="20" s="1"/>
  <c r="B155" i="20" s="1"/>
  <c r="Q360" i="20"/>
  <c r="P360" i="20" s="1"/>
  <c r="V360" i="20" s="1"/>
  <c r="B360" i="20" s="1"/>
  <c r="Q315" i="20"/>
  <c r="P315" i="20" s="1"/>
  <c r="V315" i="20" s="1"/>
  <c r="B315" i="20" s="1"/>
  <c r="Q173" i="20"/>
  <c r="P173" i="20" s="1"/>
  <c r="V173" i="20" s="1"/>
  <c r="B173" i="20" s="1"/>
  <c r="Q133" i="20"/>
  <c r="P133" i="20" s="1"/>
  <c r="V133" i="20" s="1"/>
  <c r="B133" i="20" s="1"/>
  <c r="Q183" i="20"/>
  <c r="P183" i="20" s="1"/>
  <c r="V183" i="20" s="1"/>
  <c r="B183" i="20" s="1"/>
  <c r="Q298" i="20"/>
  <c r="P298" i="20" s="1"/>
  <c r="V298" i="20" s="1"/>
  <c r="B298" i="20" s="1"/>
  <c r="Q245" i="20"/>
  <c r="P245" i="20" s="1"/>
  <c r="V245" i="20" s="1"/>
  <c r="B245" i="20" s="1"/>
  <c r="Q328" i="20"/>
  <c r="P328" i="20" s="1"/>
  <c r="V328" i="20" s="1"/>
  <c r="B328" i="20" s="1"/>
  <c r="Q340" i="20"/>
  <c r="P340" i="20" s="1"/>
  <c r="V340" i="20" s="1"/>
  <c r="B340" i="20" s="1"/>
  <c r="Q313" i="20"/>
  <c r="P313" i="20" s="1"/>
  <c r="V313" i="20" s="1"/>
  <c r="B313" i="20" s="1"/>
  <c r="Q139" i="20"/>
  <c r="P139" i="20" s="1"/>
  <c r="V139" i="20" s="1"/>
  <c r="B139" i="20" s="1"/>
  <c r="Q359" i="20"/>
  <c r="P359" i="20" s="1"/>
  <c r="V359" i="20" s="1"/>
  <c r="B359" i="20" s="1"/>
  <c r="Q189" i="20"/>
  <c r="P189" i="20" s="1"/>
  <c r="V189" i="20" s="1"/>
  <c r="B189" i="20" s="1"/>
  <c r="Q152" i="20"/>
  <c r="P152" i="20" s="1"/>
  <c r="V152" i="20" s="1"/>
  <c r="B152" i="20" s="1"/>
  <c r="Q246" i="20"/>
  <c r="P246" i="20" s="1"/>
  <c r="V246" i="20" s="1"/>
  <c r="B246" i="20" s="1"/>
  <c r="Q243" i="20"/>
  <c r="P243" i="20" s="1"/>
  <c r="V243" i="20" s="1"/>
  <c r="B243" i="20" s="1"/>
  <c r="Q308" i="20"/>
  <c r="P308" i="20" s="1"/>
  <c r="V308" i="20" s="1"/>
  <c r="B308" i="20" s="1"/>
  <c r="Q288" i="20"/>
  <c r="P288" i="20" s="1"/>
  <c r="V288" i="20" s="1"/>
  <c r="B288" i="20" s="1"/>
  <c r="Q342" i="20"/>
  <c r="P342" i="20" s="1"/>
  <c r="V342" i="20" s="1"/>
  <c r="B342" i="20" s="1"/>
  <c r="Q227" i="20"/>
  <c r="P227" i="20" s="1"/>
  <c r="V227" i="20" s="1"/>
  <c r="B227" i="20" s="1"/>
  <c r="Q276" i="20"/>
  <c r="P276" i="20" s="1"/>
  <c r="V276" i="20" s="1"/>
  <c r="B276" i="20" s="1"/>
  <c r="Q207" i="20"/>
  <c r="P207" i="20" s="1"/>
  <c r="V207" i="20" s="1"/>
  <c r="B207" i="20" s="1"/>
  <c r="Q233" i="20"/>
  <c r="P233" i="20" s="1"/>
  <c r="V233" i="20" s="1"/>
  <c r="B233" i="20" s="1"/>
  <c r="Q334" i="20"/>
  <c r="P334" i="20" s="1"/>
  <c r="V334" i="20" s="1"/>
  <c r="B334" i="20" s="1"/>
  <c r="Q341" i="20"/>
  <c r="P341" i="20" s="1"/>
  <c r="V341" i="20" s="1"/>
  <c r="B341" i="20" s="1"/>
  <c r="Q127" i="20"/>
  <c r="P127" i="20" s="1"/>
  <c r="V127" i="20" s="1"/>
  <c r="B127" i="20" s="1"/>
  <c r="Q378" i="20"/>
  <c r="P378" i="20" s="1"/>
  <c r="V378" i="20" s="1"/>
  <c r="B378" i="20" s="1"/>
  <c r="Q193" i="20"/>
  <c r="P193" i="20" s="1"/>
  <c r="V193" i="20" s="1"/>
  <c r="B193" i="20" s="1"/>
  <c r="Q318" i="20"/>
  <c r="P318" i="20" s="1"/>
  <c r="V318" i="20" s="1"/>
  <c r="B318" i="20" s="1"/>
  <c r="Q120" i="20"/>
  <c r="P120" i="20" s="1"/>
  <c r="V120" i="20" s="1"/>
  <c r="B120" i="20" s="1"/>
  <c r="Q269" i="20"/>
  <c r="P269" i="20" s="1"/>
  <c r="V269" i="20" s="1"/>
  <c r="B269" i="20" s="1"/>
  <c r="Q158" i="20"/>
  <c r="P158" i="20" s="1"/>
  <c r="V158" i="20" s="1"/>
  <c r="B158" i="20" s="1"/>
  <c r="Q172" i="20"/>
  <c r="P172" i="20" s="1"/>
  <c r="V172" i="20" s="1"/>
  <c r="B172" i="20" s="1"/>
  <c r="Q294" i="20"/>
  <c r="P294" i="20" s="1"/>
  <c r="V294" i="20" s="1"/>
  <c r="B294" i="20" s="1"/>
  <c r="Q292" i="20"/>
  <c r="P292" i="20" s="1"/>
  <c r="V292" i="20" s="1"/>
  <c r="B292" i="20" s="1"/>
  <c r="Q353" i="20"/>
  <c r="P353" i="20" s="1"/>
  <c r="V353" i="20" s="1"/>
  <c r="B353" i="20" s="1"/>
  <c r="Q165" i="20"/>
  <c r="P165" i="20" s="1"/>
  <c r="V165" i="20" s="1"/>
  <c r="B165" i="20" s="1"/>
  <c r="Q153" i="20"/>
  <c r="P153" i="20" s="1"/>
  <c r="V153" i="20" s="1"/>
  <c r="B153" i="20" s="1"/>
  <c r="Q137" i="20"/>
  <c r="P137" i="20" s="1"/>
  <c r="V137" i="20" s="1"/>
  <c r="B137" i="20" s="1"/>
  <c r="Q112" i="20"/>
  <c r="P112" i="20" s="1"/>
  <c r="V112" i="20" s="1"/>
  <c r="B112" i="20" s="1"/>
  <c r="Q347" i="20"/>
  <c r="P347" i="20" s="1"/>
  <c r="V347" i="20" s="1"/>
  <c r="B347" i="20" s="1"/>
  <c r="Q132" i="20"/>
  <c r="P132" i="20" s="1"/>
  <c r="V132" i="20" s="1"/>
  <c r="B132" i="20" s="1"/>
  <c r="Q242" i="20"/>
  <c r="P242" i="20" s="1"/>
  <c r="V242" i="20" s="1"/>
  <c r="B242" i="20" s="1"/>
  <c r="Q209" i="20"/>
  <c r="P209" i="20" s="1"/>
  <c r="V209" i="20" s="1"/>
  <c r="B209" i="20" s="1"/>
  <c r="Q256" i="20"/>
  <c r="P256" i="20" s="1"/>
  <c r="V256" i="20" s="1"/>
  <c r="B256" i="20" s="1"/>
  <c r="Q287" i="20"/>
  <c r="P287" i="20" s="1"/>
  <c r="V287" i="20" s="1"/>
  <c r="B287" i="20" s="1"/>
  <c r="Q364" i="20"/>
  <c r="P364" i="20" s="1"/>
  <c r="V364" i="20" s="1"/>
  <c r="B364" i="20" s="1"/>
  <c r="Q349" i="20"/>
  <c r="P349" i="20" s="1"/>
  <c r="V349" i="20" s="1"/>
  <c r="B349" i="20" s="1"/>
  <c r="W349" i="20" s="1"/>
  <c r="Q110" i="20"/>
  <c r="P110" i="20" s="1"/>
  <c r="V110" i="20" s="1"/>
  <c r="B110" i="20" s="1"/>
  <c r="Q147" i="20"/>
  <c r="P147" i="20" s="1"/>
  <c r="V147" i="20" s="1"/>
  <c r="B147" i="20" s="1"/>
  <c r="Q367" i="20"/>
  <c r="P367" i="20" s="1"/>
  <c r="V367" i="20" s="1"/>
  <c r="B367" i="20" s="1"/>
  <c r="Q162" i="20"/>
  <c r="P162" i="20" s="1"/>
  <c r="V162" i="20" s="1"/>
  <c r="B162" i="20" s="1"/>
  <c r="Q201" i="20"/>
  <c r="P201" i="20" s="1"/>
  <c r="V201" i="20" s="1"/>
  <c r="B201" i="20" s="1"/>
  <c r="Q240" i="20"/>
  <c r="P240" i="20" s="1"/>
  <c r="V240" i="20" s="1"/>
  <c r="B240" i="20" s="1"/>
  <c r="Q354" i="20"/>
  <c r="P354" i="20" s="1"/>
  <c r="V354" i="20" s="1"/>
  <c r="B354" i="20" s="1"/>
  <c r="Q247" i="20"/>
  <c r="P247" i="20" s="1"/>
  <c r="V247" i="20" s="1"/>
  <c r="B247" i="20" s="1"/>
  <c r="Q220" i="20"/>
  <c r="P220" i="20" s="1"/>
  <c r="V220" i="20" s="1"/>
  <c r="B220" i="20" s="1"/>
  <c r="Q309" i="20"/>
  <c r="P309" i="20" s="1"/>
  <c r="V309" i="20" s="1"/>
  <c r="B309" i="20" s="1"/>
  <c r="Q351" i="20"/>
  <c r="P351" i="20" s="1"/>
  <c r="V351" i="20" s="1"/>
  <c r="B351" i="20" s="1"/>
  <c r="Q130" i="20"/>
  <c r="P130" i="20" s="1"/>
  <c r="V130" i="20" s="1"/>
  <c r="B130" i="20" s="1"/>
  <c r="Q121" i="20"/>
  <c r="P121" i="20" s="1"/>
  <c r="V121" i="20" s="1"/>
  <c r="B121" i="20" s="1"/>
  <c r="Q238" i="20"/>
  <c r="P238" i="20" s="1"/>
  <c r="V238" i="20" s="1"/>
  <c r="B238" i="20" s="1"/>
  <c r="Q310" i="20"/>
  <c r="P310" i="20" s="1"/>
  <c r="V310" i="20" s="1"/>
  <c r="B310" i="20" s="1"/>
  <c r="Q253" i="20"/>
  <c r="P253" i="20" s="1"/>
  <c r="V253" i="20" s="1"/>
  <c r="B253" i="20" s="1"/>
  <c r="Q280" i="20"/>
  <c r="P280" i="20" s="1"/>
  <c r="V280" i="20" s="1"/>
  <c r="B280" i="20" s="1"/>
  <c r="Q374" i="20"/>
  <c r="P374" i="20" s="1"/>
  <c r="V374" i="20" s="1"/>
  <c r="B374" i="20" s="1"/>
  <c r="Q307" i="20"/>
  <c r="P307" i="20" s="1"/>
  <c r="V307" i="20" s="1"/>
  <c r="B307" i="20" s="1"/>
  <c r="Q248" i="20"/>
  <c r="P248" i="20" s="1"/>
  <c r="V248" i="20" s="1"/>
  <c r="B248" i="20" s="1"/>
  <c r="Q126" i="20"/>
  <c r="P126" i="20" s="1"/>
  <c r="V126" i="20" s="1"/>
  <c r="B126" i="20" s="1"/>
  <c r="Q111" i="20"/>
  <c r="P111" i="20" s="1"/>
  <c r="V111" i="20" s="1"/>
  <c r="B111" i="20" s="1"/>
  <c r="Q379" i="20"/>
  <c r="Q218" i="20"/>
  <c r="P218" i="20" s="1"/>
  <c r="V218" i="20" s="1"/>
  <c r="B218" i="20" s="1"/>
  <c r="Q237" i="20"/>
  <c r="P237" i="20" s="1"/>
  <c r="V237" i="20" s="1"/>
  <c r="B237" i="20" s="1"/>
  <c r="AI15" i="7"/>
  <c r="Q135" i="20"/>
  <c r="P135" i="20" s="1"/>
  <c r="V135" i="20" s="1"/>
  <c r="B135" i="20" s="1"/>
  <c r="W135" i="20" s="1"/>
  <c r="Q325" i="20"/>
  <c r="P325" i="20" s="1"/>
  <c r="V325" i="20" s="1"/>
  <c r="B325" i="20" s="1"/>
  <c r="Q141" i="20"/>
  <c r="P141" i="20" s="1"/>
  <c r="V141" i="20" s="1"/>
  <c r="B141" i="20" s="1"/>
  <c r="Q223" i="20"/>
  <c r="P223" i="20" s="1"/>
  <c r="V223" i="20" s="1"/>
  <c r="B223" i="20" s="1"/>
  <c r="Q344" i="20"/>
  <c r="P344" i="20" s="1"/>
  <c r="V344" i="20" s="1"/>
  <c r="B344" i="20" s="1"/>
  <c r="Q282" i="20"/>
  <c r="P282" i="20" s="1"/>
  <c r="V282" i="20" s="1"/>
  <c r="B282" i="20" s="1"/>
  <c r="Q333" i="20"/>
  <c r="P333" i="20" s="1"/>
  <c r="Q151" i="20"/>
  <c r="P151" i="20" s="1"/>
  <c r="V151" i="20" s="1"/>
  <c r="B151" i="20" s="1"/>
  <c r="Q219" i="20"/>
  <c r="P219" i="20" s="1"/>
  <c r="V219" i="20" s="1"/>
  <c r="B219" i="20" s="1"/>
  <c r="Q216" i="20"/>
  <c r="P216" i="20" s="1"/>
  <c r="V216" i="20" s="1"/>
  <c r="B216" i="20" s="1"/>
  <c r="Q154" i="20"/>
  <c r="P154" i="20" s="1"/>
  <c r="V154" i="20" s="1"/>
  <c r="B154" i="20" s="1"/>
  <c r="Q285" i="20"/>
  <c r="P285" i="20" s="1"/>
  <c r="V285" i="20" s="1"/>
  <c r="B285" i="20" s="1"/>
  <c r="Q376" i="20"/>
  <c r="P376" i="20" s="1"/>
  <c r="V376" i="20" s="1"/>
  <c r="B376" i="20" s="1"/>
  <c r="Q305" i="20"/>
  <c r="P305" i="20" s="1"/>
  <c r="V305" i="20" s="1"/>
  <c r="B305" i="20" s="1"/>
  <c r="Q273" i="20"/>
  <c r="P273" i="20" s="1"/>
  <c r="V273" i="20" s="1"/>
  <c r="B273" i="20" s="1"/>
  <c r="Q143" i="20"/>
  <c r="P143" i="20" s="1"/>
  <c r="V143" i="20" s="1"/>
  <c r="B143" i="20" s="1"/>
  <c r="Q236" i="20"/>
  <c r="P236" i="20" s="1"/>
  <c r="V236" i="20" s="1"/>
  <c r="B236" i="20" s="1"/>
  <c r="Q266" i="20"/>
  <c r="P266" i="20" s="1"/>
  <c r="V266" i="20" s="1"/>
  <c r="B266" i="20" s="1"/>
  <c r="Q159" i="20"/>
  <c r="P159" i="20" s="1"/>
  <c r="V159" i="20" s="1"/>
  <c r="B159" i="20" s="1"/>
  <c r="Q108" i="20"/>
  <c r="P108" i="20" s="1"/>
  <c r="V108" i="20" s="1"/>
  <c r="B108" i="20" s="1"/>
  <c r="Q186" i="20"/>
  <c r="P186" i="20" s="1"/>
  <c r="V186" i="20" s="1"/>
  <c r="B186" i="20" s="1"/>
  <c r="Q221" i="20"/>
  <c r="P221" i="20" s="1"/>
  <c r="V221" i="20" s="1"/>
  <c r="B221" i="20" s="1"/>
  <c r="Q345" i="20"/>
  <c r="P345" i="20" s="1"/>
  <c r="V345" i="20" s="1"/>
  <c r="B345" i="20" s="1"/>
  <c r="Q363" i="20"/>
  <c r="P363" i="20" s="1"/>
  <c r="Q157" i="20"/>
  <c r="P157" i="20" s="1"/>
  <c r="V157" i="20" s="1"/>
  <c r="B157" i="20" s="1"/>
  <c r="Q197" i="20"/>
  <c r="P197" i="20" s="1"/>
  <c r="V197" i="20" s="1"/>
  <c r="B197" i="20" s="1"/>
  <c r="Q116" i="20"/>
  <c r="P116" i="20" s="1"/>
  <c r="V116" i="20" s="1"/>
  <c r="B116" i="20" s="1"/>
  <c r="Q265" i="20"/>
  <c r="P265" i="20" s="1"/>
  <c r="V265" i="20" s="1"/>
  <c r="B265" i="20" s="1"/>
  <c r="Q291" i="20"/>
  <c r="P291" i="20" s="1"/>
  <c r="V291" i="20" s="1"/>
  <c r="B291" i="20" s="1"/>
  <c r="Q117" i="20"/>
  <c r="P117" i="20" s="1"/>
  <c r="V117" i="20" s="1"/>
  <c r="B117" i="20" s="1"/>
  <c r="Q166" i="20"/>
  <c r="P166" i="20" s="1"/>
  <c r="V166" i="20" s="1"/>
  <c r="B166" i="20" s="1"/>
  <c r="Q225" i="20"/>
  <c r="P225" i="20" s="1"/>
  <c r="V225" i="20" s="1"/>
  <c r="B225" i="20" s="1"/>
  <c r="Q275" i="20"/>
  <c r="P275" i="20" s="1"/>
  <c r="V275" i="20" s="1"/>
  <c r="B275" i="20" s="1"/>
  <c r="Q323" i="20"/>
  <c r="P323" i="20" s="1"/>
  <c r="V323" i="20" s="1"/>
  <c r="B323" i="20" s="1"/>
  <c r="Q235" i="20"/>
  <c r="P235" i="20" s="1"/>
  <c r="V235" i="20" s="1"/>
  <c r="B235" i="20" s="1"/>
  <c r="Q134" i="20"/>
  <c r="P134" i="20" s="1"/>
  <c r="V134" i="20" s="1"/>
  <c r="B134" i="20" s="1"/>
  <c r="Q169" i="20"/>
  <c r="P169" i="20" s="1"/>
  <c r="V169" i="20" s="1"/>
  <c r="B169" i="20" s="1"/>
  <c r="Q206" i="20"/>
  <c r="P206" i="20" s="1"/>
  <c r="V206" i="20" s="1"/>
  <c r="B206" i="20" s="1"/>
  <c r="Q284" i="20"/>
  <c r="P284" i="20" s="1"/>
  <c r="V284" i="20" s="1"/>
  <c r="B284" i="20" s="1"/>
  <c r="Q320" i="20"/>
  <c r="P320" i="20" s="1"/>
  <c r="V320" i="20" s="1"/>
  <c r="B320" i="20" s="1"/>
  <c r="Q319" i="20"/>
  <c r="P319" i="20" s="1"/>
  <c r="V319" i="20" s="1"/>
  <c r="B319" i="20" s="1"/>
  <c r="D319" i="20" s="1"/>
  <c r="E319" i="20" s="1"/>
  <c r="F319" i="20" s="1"/>
  <c r="Q289" i="20"/>
  <c r="P289" i="20" s="1"/>
  <c r="V289" i="20" s="1"/>
  <c r="B289" i="20" s="1"/>
  <c r="Q131" i="20"/>
  <c r="P131" i="20" s="1"/>
  <c r="V131" i="20" s="1"/>
  <c r="B131" i="20" s="1"/>
  <c r="Q106" i="20"/>
  <c r="P106" i="20" s="1"/>
  <c r="V106" i="20" s="1"/>
  <c r="B106" i="20" s="1"/>
  <c r="Q149" i="20"/>
  <c r="P149" i="20" s="1"/>
  <c r="Q377" i="20"/>
  <c r="P377" i="20" s="1"/>
  <c r="V377" i="20" s="1"/>
  <c r="B377" i="20" s="1"/>
  <c r="Q230" i="20"/>
  <c r="P230" i="20" s="1"/>
  <c r="V230" i="20" s="1"/>
  <c r="B230" i="20" s="1"/>
  <c r="Q203" i="20"/>
  <c r="P203" i="20" s="1"/>
  <c r="V203" i="20" s="1"/>
  <c r="B203" i="20" s="1"/>
  <c r="Q228" i="20"/>
  <c r="P228" i="20" s="1"/>
  <c r="V228" i="20" s="1"/>
  <c r="B228" i="20" s="1"/>
  <c r="Q338" i="20"/>
  <c r="P338" i="20" s="1"/>
  <c r="V338" i="20" s="1"/>
  <c r="B338" i="20" s="1"/>
  <c r="Q257" i="20"/>
  <c r="P257" i="20" s="1"/>
  <c r="V257" i="20" s="1"/>
  <c r="B257" i="20" s="1"/>
  <c r="Q224" i="20"/>
  <c r="P224" i="20" s="1"/>
  <c r="V224" i="20" s="1"/>
  <c r="B224" i="20" s="1"/>
  <c r="Q335" i="20"/>
  <c r="P335" i="20" s="1"/>
  <c r="V335" i="20" s="1"/>
  <c r="B335" i="20" s="1"/>
  <c r="Q337" i="20"/>
  <c r="P337" i="20" s="1"/>
  <c r="V337" i="20" s="1"/>
  <c r="B337" i="20" s="1"/>
  <c r="Q150" i="20"/>
  <c r="P150" i="20" s="1"/>
  <c r="V150" i="20" s="1"/>
  <c r="B150" i="20" s="1"/>
  <c r="Q195" i="20"/>
  <c r="P195" i="20" s="1"/>
  <c r="V195" i="20" s="1"/>
  <c r="B195" i="20" s="1"/>
  <c r="Q258" i="20"/>
  <c r="P258" i="20" s="1"/>
  <c r="V258" i="20" s="1"/>
  <c r="B258" i="20" s="1"/>
  <c r="D258" i="20" s="1"/>
  <c r="E258" i="20" s="1"/>
  <c r="F258" i="20" s="1"/>
  <c r="Q185" i="20"/>
  <c r="P185" i="20" s="1"/>
  <c r="V185" i="20" s="1"/>
  <c r="B185" i="20" s="1"/>
  <c r="Q208" i="20"/>
  <c r="P208" i="20" s="1"/>
  <c r="V208" i="20" s="1"/>
  <c r="B208" i="20" s="1"/>
  <c r="Q366" i="20"/>
  <c r="P366" i="20" s="1"/>
  <c r="V366" i="20" s="1"/>
  <c r="B366" i="20" s="1"/>
  <c r="Q321" i="20"/>
  <c r="P321" i="20" s="1"/>
  <c r="V321" i="20" s="1"/>
  <c r="B321" i="20" s="1"/>
  <c r="Q352" i="20"/>
  <c r="P352" i="20" s="1"/>
  <c r="V352" i="20" s="1"/>
  <c r="B352" i="20" s="1"/>
  <c r="Q115" i="20"/>
  <c r="P115" i="20" s="1"/>
  <c r="V115" i="20" s="1"/>
  <c r="B115" i="20" s="1"/>
  <c r="Q113" i="20"/>
  <c r="P113" i="20" s="1"/>
  <c r="V113" i="20" s="1"/>
  <c r="B113" i="20" s="1"/>
  <c r="Q254" i="20"/>
  <c r="P254" i="20" s="1"/>
  <c r="V254" i="20" s="1"/>
  <c r="B254" i="20" s="1"/>
  <c r="Q175" i="20"/>
  <c r="P175" i="20" s="1"/>
  <c r="V175" i="20" s="1"/>
  <c r="B175" i="20" s="1"/>
  <c r="Q140" i="20"/>
  <c r="P140" i="20" s="1"/>
  <c r="V140" i="20" s="1"/>
  <c r="B140" i="20" s="1"/>
  <c r="Q346" i="20"/>
  <c r="P346" i="20" s="1"/>
  <c r="V346" i="20" s="1"/>
  <c r="B346" i="20" s="1"/>
  <c r="Q301" i="20"/>
  <c r="P301" i="20" s="1"/>
  <c r="V301" i="20" s="1"/>
  <c r="B301" i="20" s="1"/>
  <c r="Q311" i="20"/>
  <c r="P311" i="20" s="1"/>
  <c r="V311" i="20" s="1"/>
  <c r="B311" i="20" s="1"/>
  <c r="Q348" i="20"/>
  <c r="P348" i="20" s="1"/>
  <c r="V348" i="20" s="1"/>
  <c r="B348" i="20" s="1"/>
  <c r="Q373" i="20"/>
  <c r="P373" i="20" s="1"/>
  <c r="V373" i="20" s="1"/>
  <c r="B373" i="20" s="1"/>
  <c r="Q222" i="20"/>
  <c r="P222" i="20" s="1"/>
  <c r="V222" i="20" s="1"/>
  <c r="B222" i="20" s="1"/>
  <c r="Q129" i="20"/>
  <c r="P129" i="20" s="1"/>
  <c r="V129" i="20" s="1"/>
  <c r="B129" i="20" s="1"/>
  <c r="Q357" i="20"/>
  <c r="P357" i="20" s="1"/>
  <c r="V357" i="20" s="1"/>
  <c r="B357" i="20" s="1"/>
  <c r="Q190" i="20"/>
  <c r="P190" i="20" s="1"/>
  <c r="V190" i="20" s="1"/>
  <c r="B190" i="20" s="1"/>
  <c r="Q176" i="20"/>
  <c r="P176" i="20" s="1"/>
  <c r="V176" i="20" s="1"/>
  <c r="B176" i="20" s="1"/>
  <c r="Q279" i="20"/>
  <c r="P279" i="20" s="1"/>
  <c r="V279" i="20" s="1"/>
  <c r="B279" i="20" s="1"/>
  <c r="Q356" i="20"/>
  <c r="P356" i="20" s="1"/>
  <c r="V356" i="20" s="1"/>
  <c r="B356" i="20" s="1"/>
  <c r="Q210" i="20"/>
  <c r="P210" i="20" s="1"/>
  <c r="Q271" i="20"/>
  <c r="P271" i="20" s="1"/>
  <c r="V271" i="20" s="1"/>
  <c r="B271" i="20" s="1"/>
  <c r="Q312" i="20"/>
  <c r="P312" i="20" s="1"/>
  <c r="V312" i="20" s="1"/>
  <c r="Q191" i="20"/>
  <c r="P191" i="20" s="1"/>
  <c r="V191" i="20" s="1"/>
  <c r="B191" i="20" s="1"/>
  <c r="Q194" i="20"/>
  <c r="P194" i="20" s="1"/>
  <c r="V194" i="20" s="1"/>
  <c r="B194" i="20" s="1"/>
  <c r="Q164" i="20"/>
  <c r="P164" i="20" s="1"/>
  <c r="V164" i="20" s="1"/>
  <c r="B164" i="20" s="1"/>
  <c r="Q299" i="20"/>
  <c r="P299" i="20" s="1"/>
  <c r="V299" i="20" s="1"/>
  <c r="B299" i="20" s="1"/>
  <c r="Q138" i="20"/>
  <c r="P138" i="20" s="1"/>
  <c r="V138" i="20" s="1"/>
  <c r="B138" i="20" s="1"/>
  <c r="Q168" i="20"/>
  <c r="P168" i="20" s="1"/>
  <c r="V168" i="20" s="1"/>
  <c r="B168" i="20" s="1"/>
  <c r="Q156" i="20"/>
  <c r="P156" i="20" s="1"/>
  <c r="V156" i="20" s="1"/>
  <c r="B156" i="20" s="1"/>
  <c r="Q267" i="20"/>
  <c r="P267" i="20" s="1"/>
  <c r="V267" i="20" s="1"/>
  <c r="B267" i="20" s="1"/>
  <c r="Q122" i="20"/>
  <c r="P122" i="20" s="1"/>
  <c r="V122" i="20" s="1"/>
  <c r="B122" i="20" s="1"/>
  <c r="Q317" i="20"/>
  <c r="P317" i="20" s="1"/>
  <c r="V317" i="20" s="1"/>
  <c r="B317" i="20" s="1"/>
  <c r="Q371" i="20"/>
  <c r="P371" i="20" s="1"/>
  <c r="V371" i="20" s="1"/>
  <c r="B371" i="20" s="1"/>
  <c r="Q202" i="20"/>
  <c r="P202" i="20" s="1"/>
  <c r="V202" i="20" s="1"/>
  <c r="B202" i="20" s="1"/>
  <c r="Q142" i="20"/>
  <c r="P142" i="20" s="1"/>
  <c r="V142" i="20" s="1"/>
  <c r="B142" i="20" s="1"/>
  <c r="Q104" i="20"/>
  <c r="P104" i="20" s="1"/>
  <c r="V104" i="20" s="1"/>
  <c r="B104" i="20" s="1"/>
  <c r="Q198" i="20"/>
  <c r="P198" i="20" s="1"/>
  <c r="V198" i="20" s="1"/>
  <c r="B198" i="20" s="1"/>
  <c r="Q187" i="20"/>
  <c r="P187" i="20" s="1"/>
  <c r="V187" i="20" s="1"/>
  <c r="B187" i="20" s="1"/>
  <c r="Q196" i="20"/>
  <c r="P196" i="20" s="1"/>
  <c r="V196" i="20" s="1"/>
  <c r="B196" i="20" s="1"/>
  <c r="Q362" i="20"/>
  <c r="P362" i="20" s="1"/>
  <c r="V362" i="20" s="1"/>
  <c r="B362" i="20" s="1"/>
  <c r="Q277" i="20"/>
  <c r="P277" i="20" s="1"/>
  <c r="V277" i="20" s="1"/>
  <c r="B277" i="20" s="1"/>
  <c r="Q264" i="20"/>
  <c r="P264" i="20" s="1"/>
  <c r="V264" i="20" s="1"/>
  <c r="B264" i="20" s="1"/>
  <c r="Q331" i="20"/>
  <c r="P331" i="20" s="1"/>
  <c r="V331" i="20" s="1"/>
  <c r="B331" i="20" s="1"/>
  <c r="Q250" i="20"/>
  <c r="P250" i="20" s="1"/>
  <c r="V250" i="20" s="1"/>
  <c r="B250" i="20" s="1"/>
  <c r="Q125" i="20"/>
  <c r="P125" i="20" s="1"/>
  <c r="V125" i="20" s="1"/>
  <c r="B125" i="20" s="1"/>
  <c r="Q118" i="20"/>
  <c r="P118" i="20" s="1"/>
  <c r="V118" i="20" s="1"/>
  <c r="B118" i="20" s="1"/>
  <c r="Q179" i="20"/>
  <c r="P179" i="20" s="1"/>
  <c r="V179" i="20" s="1"/>
  <c r="B179" i="20" s="1"/>
  <c r="Q180" i="20"/>
  <c r="P180" i="20" s="1"/>
  <c r="Q241" i="20"/>
  <c r="P241" i="20" s="1"/>
  <c r="Q232" i="20"/>
  <c r="P232" i="20" s="1"/>
  <c r="V232" i="20" s="1"/>
  <c r="B232" i="20" s="1"/>
  <c r="Q326" i="20"/>
  <c r="P326" i="20" s="1"/>
  <c r="V326" i="20" s="1"/>
  <c r="B326" i="20" s="1"/>
  <c r="Q251" i="20"/>
  <c r="P251" i="20" s="1"/>
  <c r="V251" i="20" s="1"/>
  <c r="B251" i="20" s="1"/>
  <c r="Q324" i="20"/>
  <c r="P324" i="20" s="1"/>
  <c r="V324" i="20" s="1"/>
  <c r="B324" i="20" s="1"/>
  <c r="Q109" i="20"/>
  <c r="P109" i="20" s="1"/>
  <c r="V109" i="20" s="1"/>
  <c r="B109" i="20" s="1"/>
  <c r="Q204" i="20"/>
  <c r="P204" i="20" s="1"/>
  <c r="V204" i="20" s="1"/>
  <c r="B204" i="20" s="1"/>
  <c r="Q375" i="20"/>
  <c r="P375" i="20" s="1"/>
  <c r="V375" i="20" s="1"/>
  <c r="B375" i="20" s="1"/>
  <c r="Q114" i="20"/>
  <c r="P114" i="20" s="1"/>
  <c r="V114" i="20" s="1"/>
  <c r="B114" i="20" s="1"/>
  <c r="Q145" i="20"/>
  <c r="P145" i="20" s="1"/>
  <c r="V145" i="20" s="1"/>
  <c r="B145" i="20" s="1"/>
  <c r="Q128" i="20"/>
  <c r="P128" i="20" s="1"/>
  <c r="V128" i="20" s="1"/>
  <c r="B128" i="20" s="1"/>
  <c r="Q350" i="20"/>
  <c r="P350" i="20" s="1"/>
  <c r="V350" i="20" s="1"/>
  <c r="B350" i="20" s="1"/>
  <c r="Q212" i="20"/>
  <c r="P212" i="20" s="1"/>
  <c r="V212" i="20" s="1"/>
  <c r="B212" i="20" s="1"/>
  <c r="Q249" i="20"/>
  <c r="P249" i="20" s="1"/>
  <c r="V249" i="20" s="1"/>
  <c r="B249" i="20" s="1"/>
  <c r="Q336" i="20"/>
  <c r="P336" i="20" s="1"/>
  <c r="V336" i="20" s="1"/>
  <c r="B336" i="20" s="1"/>
  <c r="Q231" i="20"/>
  <c r="P231" i="20" s="1"/>
  <c r="V231" i="20" s="1"/>
  <c r="B231" i="20" s="1"/>
  <c r="Q174" i="20"/>
  <c r="P174" i="20" s="1"/>
  <c r="V174" i="20" s="1"/>
  <c r="B174" i="20" s="1"/>
  <c r="Q124" i="20"/>
  <c r="P124" i="20" s="1"/>
  <c r="V124" i="20" s="1"/>
  <c r="B124" i="20" s="1"/>
  <c r="Q270" i="20"/>
  <c r="P270" i="20" s="1"/>
  <c r="V270" i="20" s="1"/>
  <c r="B270" i="20" s="1"/>
  <c r="Q278" i="20"/>
  <c r="P278" i="20" s="1"/>
  <c r="V278" i="20" s="1"/>
  <c r="B278" i="20" s="1"/>
  <c r="Q314" i="20"/>
  <c r="P314" i="20" s="1"/>
  <c r="V314" i="20" s="1"/>
  <c r="B314" i="20" s="1"/>
  <c r="Q339" i="20"/>
  <c r="P339" i="20" s="1"/>
  <c r="V339" i="20" s="1"/>
  <c r="B339" i="20" s="1"/>
  <c r="Q262" i="20"/>
  <c r="P262" i="20" s="1"/>
  <c r="V262" i="20" s="1"/>
  <c r="B262" i="20" s="1"/>
  <c r="Q184" i="20"/>
  <c r="P184" i="20" s="1"/>
  <c r="V184" i="20" s="1"/>
  <c r="B184" i="20" s="1"/>
  <c r="Q296" i="20"/>
  <c r="P296" i="20" s="1"/>
  <c r="V296" i="20" s="1"/>
  <c r="B296" i="20" s="1"/>
  <c r="F323" i="18"/>
  <c r="F365" i="18"/>
  <c r="F190" i="18"/>
  <c r="F315" i="18"/>
  <c r="F163" i="18"/>
  <c r="W379" i="18"/>
  <c r="AA71" i="18"/>
  <c r="Z71" i="18" s="1"/>
  <c r="Y71" i="18" s="1"/>
  <c r="G379" i="18"/>
  <c r="CA379" i="6" s="1"/>
  <c r="H71" i="18"/>
  <c r="I71" i="18" s="1"/>
  <c r="B71" i="6" s="1"/>
  <c r="BA71" i="6" s="1"/>
  <c r="M65" i="19"/>
  <c r="U382" i="20"/>
  <c r="T15" i="20"/>
  <c r="U381" i="20"/>
  <c r="U383" i="20"/>
  <c r="S381" i="18"/>
  <c r="R15" i="18"/>
  <c r="S383" i="18"/>
  <c r="S382" i="18"/>
  <c r="U12" i="22"/>
  <c r="T379" i="20"/>
  <c r="S379" i="20" s="1"/>
  <c r="R379" i="20" s="1"/>
  <c r="AH16" i="7"/>
  <c r="AN11" i="7" s="1"/>
  <c r="U11" i="22" s="1"/>
  <c r="U10" i="22" s="1"/>
  <c r="AG381" i="18"/>
  <c r="AF15" i="18"/>
  <c r="AG382" i="18"/>
  <c r="AG383" i="18"/>
  <c r="AD381" i="17"/>
  <c r="AD383" i="17"/>
  <c r="AD382" i="17"/>
  <c r="AI383" i="20"/>
  <c r="AH15" i="20"/>
  <c r="AI382" i="20"/>
  <c r="AI381" i="20"/>
  <c r="AI12" i="22"/>
  <c r="AH379" i="20"/>
  <c r="AG379" i="20" s="1"/>
  <c r="AF379" i="20" s="1"/>
  <c r="AL13" i="1"/>
  <c r="I15" i="16"/>
  <c r="I383" i="16" s="1"/>
  <c r="I364" i="17"/>
  <c r="H364" i="18" s="1"/>
  <c r="J364" i="18" s="1"/>
  <c r="C364" i="6" s="1"/>
  <c r="J242" i="17"/>
  <c r="AA11" i="1"/>
  <c r="AA5" i="1" s="1"/>
  <c r="I11" i="19" s="1"/>
  <c r="I35" i="19" s="1"/>
  <c r="AM13" i="1"/>
  <c r="Z11" i="1"/>
  <c r="Z5" i="1" s="1"/>
  <c r="H11" i="19" s="1"/>
  <c r="H35" i="19" s="1"/>
  <c r="J11" i="19"/>
  <c r="AA382" i="16"/>
  <c r="AA9" i="16"/>
  <c r="Z15" i="16"/>
  <c r="AL7" i="16" s="1"/>
  <c r="AA383" i="16"/>
  <c r="AL10" i="16"/>
  <c r="AM8" i="16"/>
  <c r="AA381" i="16"/>
  <c r="F382" i="17"/>
  <c r="AA15" i="17"/>
  <c r="G15" i="17"/>
  <c r="BZ15" i="6" s="1"/>
  <c r="AM10" i="17"/>
  <c r="F9" i="17"/>
  <c r="F383" i="17"/>
  <c r="F381" i="17"/>
  <c r="AK10" i="17"/>
  <c r="AK12" i="17" s="1"/>
  <c r="AK13" i="17" s="1"/>
  <c r="V381" i="17"/>
  <c r="V382" i="17"/>
  <c r="B64" i="19"/>
  <c r="N64" i="19" s="1"/>
  <c r="V383" i="17"/>
  <c r="G13" i="19"/>
  <c r="AB9" i="16"/>
  <c r="F11" i="16"/>
  <c r="G383" i="16"/>
  <c r="G12" i="16" s="1"/>
  <c r="G382" i="16"/>
  <c r="G381" i="16"/>
  <c r="AI380" i="22"/>
  <c r="AH380" i="22" s="1"/>
  <c r="AI320" i="22"/>
  <c r="AH320" i="22" s="1"/>
  <c r="AI253" i="22"/>
  <c r="AH253" i="22" s="1"/>
  <c r="AI273" i="22"/>
  <c r="AH273" i="22" s="1"/>
  <c r="AI24" i="22"/>
  <c r="AH24" i="22" s="1"/>
  <c r="AI82" i="22"/>
  <c r="AH82" i="22" s="1"/>
  <c r="AI293" i="22"/>
  <c r="AI325" i="22"/>
  <c r="AH325" i="22" s="1"/>
  <c r="AI375" i="22"/>
  <c r="AH375" i="22" s="1"/>
  <c r="AI348" i="22"/>
  <c r="AH348" i="22" s="1"/>
  <c r="AI126" i="22"/>
  <c r="AH126" i="22" s="1"/>
  <c r="H41" i="27"/>
  <c r="P76" i="27"/>
  <c r="AE75" i="27"/>
  <c r="Y383" i="15"/>
  <c r="AL6" i="15"/>
  <c r="AL12" i="15" s="1"/>
  <c r="X9" i="15"/>
  <c r="Y11" i="15" s="1"/>
  <c r="Y381" i="15"/>
  <c r="AM6" i="15"/>
  <c r="AM12" i="15" s="1"/>
  <c r="Y382" i="15"/>
  <c r="H309" i="17"/>
  <c r="J383" i="16"/>
  <c r="J382" i="16"/>
  <c r="J381" i="16"/>
  <c r="J76" i="18"/>
  <c r="C76" i="6" s="1"/>
  <c r="I101" i="18"/>
  <c r="B101" i="6" s="1"/>
  <c r="BA101" i="6" s="1"/>
  <c r="J101" i="18"/>
  <c r="C101" i="6" s="1"/>
  <c r="I201" i="18"/>
  <c r="B201" i="6" s="1"/>
  <c r="BA201" i="6" s="1"/>
  <c r="J201" i="18"/>
  <c r="C201" i="6" s="1"/>
  <c r="J136" i="18"/>
  <c r="C136" i="6" s="1"/>
  <c r="I136" i="18"/>
  <c r="B136" i="6" s="1"/>
  <c r="BA136" i="6" s="1"/>
  <c r="J307" i="18"/>
  <c r="C307" i="6" s="1"/>
  <c r="I307" i="18"/>
  <c r="B307" i="6" s="1"/>
  <c r="BA307" i="6" s="1"/>
  <c r="I205" i="18"/>
  <c r="B205" i="6" s="1"/>
  <c r="BA205" i="6" s="1"/>
  <c r="J205" i="18"/>
  <c r="C205" i="6" s="1"/>
  <c r="I206" i="18"/>
  <c r="B206" i="6" s="1"/>
  <c r="BA206" i="6" s="1"/>
  <c r="J206" i="18"/>
  <c r="C206" i="6" s="1"/>
  <c r="I25" i="18"/>
  <c r="B25" i="6" s="1"/>
  <c r="BA25" i="6" s="1"/>
  <c r="J25" i="18"/>
  <c r="C25" i="6" s="1"/>
  <c r="I251" i="18"/>
  <c r="B251" i="6" s="1"/>
  <c r="BA251" i="6" s="1"/>
  <c r="J251" i="18"/>
  <c r="C251" i="6" s="1"/>
  <c r="J213" i="18"/>
  <c r="C213" i="6" s="1"/>
  <c r="I213" i="18"/>
  <c r="B213" i="6" s="1"/>
  <c r="BA213" i="6" s="1"/>
  <c r="I58" i="18"/>
  <c r="B58" i="6" s="1"/>
  <c r="BA58" i="6" s="1"/>
  <c r="J58" i="18"/>
  <c r="C58" i="6" s="1"/>
  <c r="G166" i="18"/>
  <c r="CA166" i="6" s="1"/>
  <c r="AA166" i="18"/>
  <c r="Z166" i="18" s="1"/>
  <c r="Y166" i="18" s="1"/>
  <c r="H166" i="18"/>
  <c r="AH293" i="22"/>
  <c r="U119" i="22"/>
  <c r="U34" i="22"/>
  <c r="U143" i="22"/>
  <c r="U105" i="22"/>
  <c r="U44" i="22"/>
  <c r="U328" i="22"/>
  <c r="U243" i="22"/>
  <c r="U262" i="22"/>
  <c r="U201" i="22"/>
  <c r="U245" i="22"/>
  <c r="U168" i="22"/>
  <c r="U211" i="22"/>
  <c r="U90" i="22"/>
  <c r="U148" i="22"/>
  <c r="U21" i="22"/>
  <c r="U95" i="22"/>
  <c r="U257" i="22"/>
  <c r="U251" i="22"/>
  <c r="U333" i="22"/>
  <c r="U174" i="22"/>
  <c r="U352" i="22"/>
  <c r="U81" i="22"/>
  <c r="U299" i="22"/>
  <c r="U159" i="22"/>
  <c r="U202" i="22"/>
  <c r="U133" i="22"/>
  <c r="U145" i="22"/>
  <c r="U180" i="22"/>
  <c r="U127" i="22"/>
  <c r="U184" i="22"/>
  <c r="U195" i="22"/>
  <c r="U150" i="22"/>
  <c r="U170" i="22"/>
  <c r="U101" i="22"/>
  <c r="U39" i="22"/>
  <c r="U233" i="22"/>
  <c r="U291" i="22"/>
  <c r="U172" i="22"/>
  <c r="U246" i="22"/>
  <c r="U87" i="22"/>
  <c r="U25" i="22"/>
  <c r="U115" i="22"/>
  <c r="U325" i="22"/>
  <c r="U134" i="22"/>
  <c r="U248" i="22"/>
  <c r="U73" i="22"/>
  <c r="J248" i="18"/>
  <c r="C248" i="6" s="1"/>
  <c r="I248" i="18"/>
  <c r="B248" i="6" s="1"/>
  <c r="BA248" i="6" s="1"/>
  <c r="J165" i="18"/>
  <c r="C165" i="6" s="1"/>
  <c r="I165" i="18"/>
  <c r="B165" i="6" s="1"/>
  <c r="BA165" i="6" s="1"/>
  <c r="J93" i="18"/>
  <c r="C93" i="6" s="1"/>
  <c r="I93" i="18"/>
  <c r="B93" i="6" s="1"/>
  <c r="BA93" i="6" s="1"/>
  <c r="I324" i="18"/>
  <c r="B324" i="6" s="1"/>
  <c r="BA324" i="6" s="1"/>
  <c r="J324" i="18"/>
  <c r="C324" i="6" s="1"/>
  <c r="I360" i="18"/>
  <c r="B360" i="6" s="1"/>
  <c r="BA360" i="6" s="1"/>
  <c r="J360" i="18"/>
  <c r="C360" i="6" s="1"/>
  <c r="I161" i="18"/>
  <c r="B161" i="6" s="1"/>
  <c r="BA161" i="6" s="1"/>
  <c r="J161" i="18"/>
  <c r="C161" i="6" s="1"/>
  <c r="J121" i="18"/>
  <c r="C121" i="6" s="1"/>
  <c r="I121" i="18"/>
  <c r="B121" i="6" s="1"/>
  <c r="BA121" i="6" s="1"/>
  <c r="J145" i="18"/>
  <c r="C145" i="6" s="1"/>
  <c r="I145" i="18"/>
  <c r="B145" i="6" s="1"/>
  <c r="BA145" i="6" s="1"/>
  <c r="AA258" i="18"/>
  <c r="Z258" i="18" s="1"/>
  <c r="Y258" i="18" s="1"/>
  <c r="H258" i="18"/>
  <c r="J65" i="18"/>
  <c r="C65" i="6" s="1"/>
  <c r="I65" i="18"/>
  <c r="B65" i="6" s="1"/>
  <c r="BA65" i="6" s="1"/>
  <c r="I114" i="18"/>
  <c r="B114" i="6" s="1"/>
  <c r="BA114" i="6" s="1"/>
  <c r="J114" i="18"/>
  <c r="C114" i="6" s="1"/>
  <c r="J343" i="18"/>
  <c r="C343" i="6" s="1"/>
  <c r="I343" i="18"/>
  <c r="B343" i="6" s="1"/>
  <c r="BA343" i="6" s="1"/>
  <c r="J334" i="18"/>
  <c r="C334" i="6" s="1"/>
  <c r="I334" i="18"/>
  <c r="B334" i="6" s="1"/>
  <c r="BA334" i="6" s="1"/>
  <c r="I86" i="18"/>
  <c r="B86" i="6" s="1"/>
  <c r="BA86" i="6" s="1"/>
  <c r="J86" i="18"/>
  <c r="C86" i="6" s="1"/>
  <c r="J284" i="18"/>
  <c r="C284" i="6" s="1"/>
  <c r="I284" i="18"/>
  <c r="B284" i="6" s="1"/>
  <c r="BA284" i="6" s="1"/>
  <c r="J214" i="18"/>
  <c r="C214" i="6" s="1"/>
  <c r="I214" i="18"/>
  <c r="B214" i="6" s="1"/>
  <c r="BA214" i="6" s="1"/>
  <c r="J109" i="18"/>
  <c r="C109" i="6" s="1"/>
  <c r="I109" i="18"/>
  <c r="B109" i="6" s="1"/>
  <c r="BA109" i="6" s="1"/>
  <c r="I137" i="18"/>
  <c r="B137" i="6" s="1"/>
  <c r="BA137" i="6" s="1"/>
  <c r="J137" i="18"/>
  <c r="C137" i="6" s="1"/>
  <c r="J357" i="18"/>
  <c r="C357" i="6" s="1"/>
  <c r="I357" i="18"/>
  <c r="B357" i="6" s="1"/>
  <c r="BA357" i="6" s="1"/>
  <c r="J259" i="18"/>
  <c r="C259" i="6" s="1"/>
  <c r="I259" i="18"/>
  <c r="B259" i="6" s="1"/>
  <c r="BA259" i="6" s="1"/>
  <c r="I290" i="18"/>
  <c r="B290" i="6" s="1"/>
  <c r="BA290" i="6" s="1"/>
  <c r="J290" i="18"/>
  <c r="C290" i="6" s="1"/>
  <c r="J226" i="18"/>
  <c r="C226" i="6" s="1"/>
  <c r="I226" i="18"/>
  <c r="B226" i="6" s="1"/>
  <c r="BA226" i="6" s="1"/>
  <c r="I358" i="18"/>
  <c r="B358" i="6" s="1"/>
  <c r="BA358" i="6" s="1"/>
  <c r="J358" i="18"/>
  <c r="C358" i="6" s="1"/>
  <c r="I344" i="18"/>
  <c r="B344" i="6" s="1"/>
  <c r="BA344" i="6" s="1"/>
  <c r="J344" i="18"/>
  <c r="C344" i="6" s="1"/>
  <c r="I336" i="18"/>
  <c r="B336" i="6" s="1"/>
  <c r="BA336" i="6" s="1"/>
  <c r="J336" i="18"/>
  <c r="C336" i="6" s="1"/>
  <c r="AA196" i="18"/>
  <c r="Z196" i="18" s="1"/>
  <c r="Y196" i="18" s="1"/>
  <c r="G196" i="18"/>
  <c r="CA196" i="6" s="1"/>
  <c r="J236" i="18"/>
  <c r="C236" i="6" s="1"/>
  <c r="I236" i="18"/>
  <c r="B236" i="6" s="1"/>
  <c r="BA236" i="6" s="1"/>
  <c r="I147" i="18"/>
  <c r="B147" i="6" s="1"/>
  <c r="BA147" i="6" s="1"/>
  <c r="J147" i="18"/>
  <c r="C147" i="6" s="1"/>
  <c r="G105" i="18"/>
  <c r="CA105" i="6" s="1"/>
  <c r="H105" i="18"/>
  <c r="AA105" i="18"/>
  <c r="Z105" i="18" s="1"/>
  <c r="Y105" i="18" s="1"/>
  <c r="I191" i="18"/>
  <c r="B191" i="6" s="1"/>
  <c r="BA191" i="6" s="1"/>
  <c r="J191" i="18"/>
  <c r="C191" i="6" s="1"/>
  <c r="J170" i="18"/>
  <c r="C170" i="6" s="1"/>
  <c r="I170" i="18"/>
  <c r="B170" i="6" s="1"/>
  <c r="BA170" i="6" s="1"/>
  <c r="J156" i="18"/>
  <c r="C156" i="6" s="1"/>
  <c r="I156" i="18"/>
  <c r="B156" i="6" s="1"/>
  <c r="BA156" i="6" s="1"/>
  <c r="J108" i="18"/>
  <c r="C108" i="6" s="1"/>
  <c r="I108" i="18"/>
  <c r="B108" i="6" s="1"/>
  <c r="BA108" i="6" s="1"/>
  <c r="I61" i="18"/>
  <c r="B61" i="6" s="1"/>
  <c r="BA61" i="6" s="1"/>
  <c r="J61" i="18"/>
  <c r="C61" i="6" s="1"/>
  <c r="I195" i="18"/>
  <c r="B195" i="6" s="1"/>
  <c r="BA195" i="6" s="1"/>
  <c r="J195" i="18"/>
  <c r="C195" i="6" s="1"/>
  <c r="AA135" i="18"/>
  <c r="Z135" i="18" s="1"/>
  <c r="Y135" i="18" s="1"/>
  <c r="G135" i="18"/>
  <c r="CA135" i="6" s="1"/>
  <c r="H135" i="18"/>
  <c r="AA227" i="18"/>
  <c r="Z227" i="18" s="1"/>
  <c r="Y227" i="18" s="1"/>
  <c r="G227" i="18"/>
  <c r="CA227" i="6" s="1"/>
  <c r="H227" i="18"/>
  <c r="J273" i="18"/>
  <c r="C273" i="6" s="1"/>
  <c r="I273" i="18"/>
  <c r="B273" i="6" s="1"/>
  <c r="BA273" i="6" s="1"/>
  <c r="J346" i="18"/>
  <c r="C346" i="6" s="1"/>
  <c r="I346" i="18"/>
  <c r="B346" i="6" s="1"/>
  <c r="BA346" i="6" s="1"/>
  <c r="J64" i="18"/>
  <c r="C64" i="6" s="1"/>
  <c r="I64" i="18"/>
  <c r="B64" i="6" s="1"/>
  <c r="BA64" i="6" s="1"/>
  <c r="I189" i="18"/>
  <c r="B189" i="6" s="1"/>
  <c r="BA189" i="6" s="1"/>
  <c r="J189" i="18"/>
  <c r="C189" i="6" s="1"/>
  <c r="I232" i="18"/>
  <c r="B232" i="6" s="1"/>
  <c r="BA232" i="6" s="1"/>
  <c r="J232" i="18"/>
  <c r="C232" i="6" s="1"/>
  <c r="J230" i="18"/>
  <c r="C230" i="6" s="1"/>
  <c r="I297" i="18"/>
  <c r="B297" i="6" s="1"/>
  <c r="BA297" i="6" s="1"/>
  <c r="J297" i="18"/>
  <c r="C297" i="6" s="1"/>
  <c r="J33" i="18"/>
  <c r="C33" i="6" s="1"/>
  <c r="I33" i="18"/>
  <c r="B33" i="6" s="1"/>
  <c r="BA33" i="6" s="1"/>
  <c r="I371" i="18"/>
  <c r="B371" i="6" s="1"/>
  <c r="BA371" i="6" s="1"/>
  <c r="J371" i="18"/>
  <c r="C371" i="6" s="1"/>
  <c r="I30" i="18"/>
  <c r="B30" i="6" s="1"/>
  <c r="BA30" i="6" s="1"/>
  <c r="J30" i="18"/>
  <c r="C30" i="6" s="1"/>
  <c r="I208" i="18"/>
  <c r="B208" i="6" s="1"/>
  <c r="BA208" i="6" s="1"/>
  <c r="J208" i="18"/>
  <c r="C208" i="6" s="1"/>
  <c r="AA319" i="18"/>
  <c r="Z319" i="18" s="1"/>
  <c r="Y319" i="18" s="1"/>
  <c r="AA46" i="18"/>
  <c r="Z46" i="18" s="1"/>
  <c r="Y46" i="18" s="1"/>
  <c r="H46" i="18"/>
  <c r="G46" i="18"/>
  <c r="CA46" i="6" s="1"/>
  <c r="J356" i="18"/>
  <c r="C356" i="6" s="1"/>
  <c r="I356" i="18"/>
  <c r="B356" i="6" s="1"/>
  <c r="BA356" i="6" s="1"/>
  <c r="J80" i="18"/>
  <c r="C80" i="6" s="1"/>
  <c r="I80" i="18"/>
  <c r="B80" i="6" s="1"/>
  <c r="BA80" i="6" s="1"/>
  <c r="I111" i="18"/>
  <c r="B111" i="6" s="1"/>
  <c r="BA111" i="6" s="1"/>
  <c r="J111" i="18"/>
  <c r="C111" i="6" s="1"/>
  <c r="I246" i="18"/>
  <c r="B246" i="6" s="1"/>
  <c r="BA246" i="6" s="1"/>
  <c r="J246" i="18"/>
  <c r="C246" i="6" s="1"/>
  <c r="J22" i="18"/>
  <c r="C22" i="6" s="1"/>
  <c r="I22" i="18"/>
  <c r="B22" i="6" s="1"/>
  <c r="BA22" i="6" s="1"/>
  <c r="J326" i="18"/>
  <c r="C326" i="6" s="1"/>
  <c r="I326" i="18"/>
  <c r="B326" i="6" s="1"/>
  <c r="BA326" i="6" s="1"/>
  <c r="J287" i="18"/>
  <c r="C287" i="6" s="1"/>
  <c r="I287" i="18"/>
  <c r="B287" i="6" s="1"/>
  <c r="BA287" i="6" s="1"/>
  <c r="I172" i="18"/>
  <c r="B172" i="6" s="1"/>
  <c r="BA172" i="6" s="1"/>
  <c r="J172" i="18"/>
  <c r="C172" i="6" s="1"/>
  <c r="I53" i="18"/>
  <c r="B53" i="6" s="1"/>
  <c r="BA53" i="6" s="1"/>
  <c r="J53" i="18"/>
  <c r="C53" i="6" s="1"/>
  <c r="J351" i="18"/>
  <c r="C351" i="6" s="1"/>
  <c r="I351" i="18"/>
  <c r="B351" i="6" s="1"/>
  <c r="BA351" i="6" s="1"/>
  <c r="I52" i="18"/>
  <c r="B52" i="6" s="1"/>
  <c r="BA52" i="6" s="1"/>
  <c r="J52" i="18"/>
  <c r="C52" i="6" s="1"/>
  <c r="J250" i="18"/>
  <c r="C250" i="6" s="1"/>
  <c r="I250" i="18"/>
  <c r="B250" i="6" s="1"/>
  <c r="BA250" i="6" s="1"/>
  <c r="J295" i="18"/>
  <c r="C295" i="6" s="1"/>
  <c r="I295" i="18"/>
  <c r="B295" i="6" s="1"/>
  <c r="BA295" i="6" s="1"/>
  <c r="J91" i="18"/>
  <c r="C91" i="6" s="1"/>
  <c r="I91" i="18"/>
  <c r="B91" i="6" s="1"/>
  <c r="BA91" i="6" s="1"/>
  <c r="I262" i="18"/>
  <c r="B262" i="6" s="1"/>
  <c r="BA262" i="6" s="1"/>
  <c r="J262" i="18"/>
  <c r="C262" i="6" s="1"/>
  <c r="J99" i="18"/>
  <c r="C99" i="6" s="1"/>
  <c r="I99" i="18"/>
  <c r="B99" i="6" s="1"/>
  <c r="BA99" i="6" s="1"/>
  <c r="J261" i="18"/>
  <c r="C261" i="6" s="1"/>
  <c r="I261" i="18"/>
  <c r="B261" i="6" s="1"/>
  <c r="BA261" i="6" s="1"/>
  <c r="J252" i="18"/>
  <c r="C252" i="6" s="1"/>
  <c r="I252" i="18"/>
  <c r="B252" i="6" s="1"/>
  <c r="BA252" i="6" s="1"/>
  <c r="J169" i="18"/>
  <c r="C169" i="6" s="1"/>
  <c r="I169" i="18"/>
  <c r="B169" i="6" s="1"/>
  <c r="BA169" i="6" s="1"/>
  <c r="J17" i="18"/>
  <c r="C17" i="6" s="1"/>
  <c r="I17" i="18"/>
  <c r="B17" i="6" s="1"/>
  <c r="BA17" i="6" s="1"/>
  <c r="J39" i="18"/>
  <c r="C39" i="6" s="1"/>
  <c r="I39" i="18"/>
  <c r="B39" i="6" s="1"/>
  <c r="BA39" i="6" s="1"/>
  <c r="J20" i="18"/>
  <c r="C20" i="6" s="1"/>
  <c r="I20" i="18"/>
  <c r="B20" i="6" s="1"/>
  <c r="BA20" i="6" s="1"/>
  <c r="J34" i="18"/>
  <c r="C34" i="6" s="1"/>
  <c r="I34" i="18"/>
  <c r="B34" i="6" s="1"/>
  <c r="BA34" i="6" s="1"/>
  <c r="J240" i="18"/>
  <c r="C240" i="6" s="1"/>
  <c r="I240" i="18"/>
  <c r="B240" i="6" s="1"/>
  <c r="BA240" i="6" s="1"/>
  <c r="J341" i="18"/>
  <c r="C341" i="6" s="1"/>
  <c r="I341" i="18"/>
  <c r="B341" i="6" s="1"/>
  <c r="BA341" i="6" s="1"/>
  <c r="J126" i="18"/>
  <c r="C126" i="6" s="1"/>
  <c r="I126" i="18"/>
  <c r="B126" i="6" s="1"/>
  <c r="BA126" i="6" s="1"/>
  <c r="I345" i="18"/>
  <c r="B345" i="6" s="1"/>
  <c r="BA345" i="6" s="1"/>
  <c r="J345" i="18"/>
  <c r="C345" i="6" s="1"/>
  <c r="J138" i="18"/>
  <c r="C138" i="6" s="1"/>
  <c r="I138" i="18"/>
  <c r="B138" i="6" s="1"/>
  <c r="BA138" i="6" s="1"/>
  <c r="I24" i="18"/>
  <c r="B24" i="6" s="1"/>
  <c r="BA24" i="6" s="1"/>
  <c r="J24" i="18"/>
  <c r="C24" i="6" s="1"/>
  <c r="I377" i="18"/>
  <c r="B377" i="6" s="1"/>
  <c r="BA377" i="6" s="1"/>
  <c r="J377" i="18"/>
  <c r="C377" i="6" s="1"/>
  <c r="J182" i="18"/>
  <c r="C182" i="6" s="1"/>
  <c r="I182" i="18"/>
  <c r="B182" i="6" s="1"/>
  <c r="BA182" i="6" s="1"/>
  <c r="I47" i="18"/>
  <c r="B47" i="6" s="1"/>
  <c r="BA47" i="6" s="1"/>
  <c r="J47" i="18"/>
  <c r="C47" i="6" s="1"/>
  <c r="J171" i="18"/>
  <c r="C171" i="6" s="1"/>
  <c r="I171" i="18"/>
  <c r="B171" i="6" s="1"/>
  <c r="BA171" i="6" s="1"/>
  <c r="I96" i="18"/>
  <c r="B96" i="6" s="1"/>
  <c r="BA96" i="6" s="1"/>
  <c r="J96" i="18"/>
  <c r="C96" i="6" s="1"/>
  <c r="AI181" i="22"/>
  <c r="AI52" i="22"/>
  <c r="AI271" i="22"/>
  <c r="AI314" i="22"/>
  <c r="AI125" i="22"/>
  <c r="AI64" i="22"/>
  <c r="AI219" i="22"/>
  <c r="AI129" i="22"/>
  <c r="AI116" i="22"/>
  <c r="AI255" i="22"/>
  <c r="AI270" i="22"/>
  <c r="AI213" i="22"/>
  <c r="AI307" i="22"/>
  <c r="AI96" i="22"/>
  <c r="AI59" i="22"/>
  <c r="AI250" i="22"/>
  <c r="AI113" i="22"/>
  <c r="AI164" i="22"/>
  <c r="AI367" i="22"/>
  <c r="AI359" i="22"/>
  <c r="AI105" i="22"/>
  <c r="AI294" i="22"/>
  <c r="AI124" i="22"/>
  <c r="AI114" i="22"/>
  <c r="AI311" i="22"/>
  <c r="AI121" i="22"/>
  <c r="AI246" i="22"/>
  <c r="AI76" i="22"/>
  <c r="AI130" i="22"/>
  <c r="AI263" i="22"/>
  <c r="AI222" i="22"/>
  <c r="AI20" i="22"/>
  <c r="AI165" i="22"/>
  <c r="AI338" i="22"/>
  <c r="AI296" i="22"/>
  <c r="AI174" i="22"/>
  <c r="AI339" i="22"/>
  <c r="AI53" i="22"/>
  <c r="AI290" i="22"/>
  <c r="AI312" i="22"/>
  <c r="AI62" i="22"/>
  <c r="AI291" i="22"/>
  <c r="AI319" i="22"/>
  <c r="AI334" i="22"/>
  <c r="AI170" i="22"/>
  <c r="AI97" i="22"/>
  <c r="AI305" i="22"/>
  <c r="AI146" i="22"/>
  <c r="AI89" i="22"/>
  <c r="AI236" i="22"/>
  <c r="AI231" i="22"/>
  <c r="AI166" i="22"/>
  <c r="AI349" i="22"/>
  <c r="AI299" i="22"/>
  <c r="AI234" i="22"/>
  <c r="AI54" i="22"/>
  <c r="AI45" i="22"/>
  <c r="AI351" i="22"/>
  <c r="AI122" i="22"/>
  <c r="AI134" i="22"/>
  <c r="AI189" i="22"/>
  <c r="AI25" i="22"/>
  <c r="AI283" i="22"/>
  <c r="AI167" i="22"/>
  <c r="AI42" i="22"/>
  <c r="AI207" i="22"/>
  <c r="AI344" i="22"/>
  <c r="AI158" i="22"/>
  <c r="AI323" i="22"/>
  <c r="AI357" i="22"/>
  <c r="AI159" i="22"/>
  <c r="AI232" i="22"/>
  <c r="AI110" i="22"/>
  <c r="AI275" i="22"/>
  <c r="AI245" i="22"/>
  <c r="AI111" i="22"/>
  <c r="AI22" i="22"/>
  <c r="AI155" i="22"/>
  <c r="AI372" i="22"/>
  <c r="AI154" i="22"/>
  <c r="AI144" i="22"/>
  <c r="AI337" i="22"/>
  <c r="AI171" i="22"/>
  <c r="AI260" i="22"/>
  <c r="AI106" i="22"/>
  <c r="AI160" i="22"/>
  <c r="AI289" i="22"/>
  <c r="U221" i="22"/>
  <c r="U327" i="22"/>
  <c r="U176" i="22"/>
  <c r="U338" i="22"/>
  <c r="U91" i="22"/>
  <c r="U301" i="22"/>
  <c r="U247" i="22"/>
  <c r="U313" i="22"/>
  <c r="U162" i="22"/>
  <c r="U252" i="22"/>
  <c r="U61" i="22"/>
  <c r="U85" i="22"/>
  <c r="U15" i="22"/>
  <c r="U321" i="22"/>
  <c r="U59" i="22"/>
  <c r="U292" i="22"/>
  <c r="U343" i="22"/>
  <c r="U281" i="22"/>
  <c r="U371" i="22"/>
  <c r="U220" i="22"/>
  <c r="U29" i="22"/>
  <c r="U135" i="22"/>
  <c r="U329" i="22"/>
  <c r="U32" i="22"/>
  <c r="U165" i="22"/>
  <c r="U130" i="22"/>
  <c r="U207" i="22"/>
  <c r="U348" i="22"/>
  <c r="U88" i="22"/>
  <c r="U157" i="22"/>
  <c r="U154" i="22"/>
  <c r="U263" i="22"/>
  <c r="U340" i="22"/>
  <c r="U112" i="22"/>
  <c r="U318" i="22"/>
  <c r="U17" i="22"/>
  <c r="U31" i="22"/>
  <c r="U140" i="22"/>
  <c r="U193" i="22"/>
  <c r="U342" i="22"/>
  <c r="U74" i="22"/>
  <c r="U55" i="22"/>
  <c r="U164" i="22"/>
  <c r="U249" i="22"/>
  <c r="U366" i="22"/>
  <c r="U98" i="22"/>
  <c r="U60" i="22"/>
  <c r="U320" i="22"/>
  <c r="U344" i="22"/>
  <c r="U41" i="22"/>
  <c r="U227" i="22"/>
  <c r="U213" i="22"/>
  <c r="U287" i="22"/>
  <c r="U136" i="22"/>
  <c r="U237" i="22"/>
  <c r="U330" i="22"/>
  <c r="U311" i="22"/>
  <c r="U51" i="22"/>
  <c r="U128" i="22"/>
  <c r="U261" i="22"/>
  <c r="U354" i="22"/>
  <c r="U379" i="22"/>
  <c r="U289" i="22"/>
  <c r="U310" i="22"/>
  <c r="U185" i="22"/>
  <c r="U151" i="22"/>
  <c r="U260" i="22"/>
  <c r="U345" i="22"/>
  <c r="U334" i="22"/>
  <c r="U66" i="22"/>
  <c r="U294" i="22"/>
  <c r="U284" i="22"/>
  <c r="U369" i="22"/>
  <c r="U198" i="22"/>
  <c r="U331" i="22"/>
  <c r="U312" i="22"/>
  <c r="U20" i="22"/>
  <c r="U137" i="22"/>
  <c r="U254" i="22"/>
  <c r="U323" i="22"/>
  <c r="U336" i="22"/>
  <c r="U76" i="22"/>
  <c r="U129" i="22"/>
  <c r="U278" i="22"/>
  <c r="U341" i="22"/>
  <c r="U175" i="22"/>
  <c r="U33" i="22"/>
  <c r="U316" i="22"/>
  <c r="U54" i="22"/>
  <c r="U273" i="22"/>
  <c r="U155" i="22"/>
  <c r="U358" i="22"/>
  <c r="U264" i="22"/>
  <c r="U122" i="22"/>
  <c r="U365" i="22"/>
  <c r="U231" i="22"/>
  <c r="U89" i="22"/>
  <c r="U308" i="22"/>
  <c r="U78" i="22"/>
  <c r="U297" i="22"/>
  <c r="U179" i="22"/>
  <c r="U53" i="22"/>
  <c r="U256" i="22"/>
  <c r="U114" i="22"/>
  <c r="U28" i="22"/>
  <c r="U255" i="22"/>
  <c r="U113" i="22"/>
  <c r="U108" i="22"/>
  <c r="U303" i="22"/>
  <c r="U161" i="22"/>
  <c r="U75" i="22"/>
  <c r="U182" i="22"/>
  <c r="U56" i="22"/>
  <c r="U283" i="22"/>
  <c r="U125" i="22"/>
  <c r="U23" i="22"/>
  <c r="U250" i="22"/>
  <c r="U132" i="22"/>
  <c r="U359" i="22"/>
  <c r="U217" i="22"/>
  <c r="U67" i="22"/>
  <c r="U206" i="22"/>
  <c r="U80" i="22"/>
  <c r="U307" i="22"/>
  <c r="U181" i="22"/>
  <c r="U16" i="22"/>
  <c r="U242" i="22"/>
  <c r="U156" i="22"/>
  <c r="U22" i="22"/>
  <c r="U241" i="22"/>
  <c r="J267" i="18"/>
  <c r="C267" i="6" s="1"/>
  <c r="I267" i="18"/>
  <c r="B267" i="6" s="1"/>
  <c r="BA267" i="6" s="1"/>
  <c r="J95" i="18"/>
  <c r="C95" i="6" s="1"/>
  <c r="J144" i="18"/>
  <c r="C144" i="6" s="1"/>
  <c r="I144" i="18"/>
  <c r="B144" i="6" s="1"/>
  <c r="BA144" i="6" s="1"/>
  <c r="I188" i="18"/>
  <c r="B188" i="6" s="1"/>
  <c r="BA188" i="6" s="1"/>
  <c r="J188" i="18"/>
  <c r="C188" i="6" s="1"/>
  <c r="I301" i="18"/>
  <c r="B301" i="6" s="1"/>
  <c r="BA301" i="6" s="1"/>
  <c r="J301" i="18"/>
  <c r="C301" i="6" s="1"/>
  <c r="I202" i="18"/>
  <c r="B202" i="6" s="1"/>
  <c r="BA202" i="6" s="1"/>
  <c r="J202" i="18"/>
  <c r="C202" i="6" s="1"/>
  <c r="H288" i="18"/>
  <c r="J231" i="18"/>
  <c r="C231" i="6" s="1"/>
  <c r="I231" i="18"/>
  <c r="B231" i="6" s="1"/>
  <c r="BA231" i="6" s="1"/>
  <c r="I133" i="18"/>
  <c r="B133" i="6" s="1"/>
  <c r="BA133" i="6" s="1"/>
  <c r="J133" i="18"/>
  <c r="C133" i="6" s="1"/>
  <c r="J43" i="18"/>
  <c r="C43" i="6" s="1"/>
  <c r="I43" i="18"/>
  <c r="B43" i="6" s="1"/>
  <c r="BA43" i="6" s="1"/>
  <c r="J27" i="18"/>
  <c r="C27" i="6" s="1"/>
  <c r="I27" i="18"/>
  <c r="B27" i="6" s="1"/>
  <c r="BA27" i="6" s="1"/>
  <c r="J118" i="18"/>
  <c r="C118" i="6" s="1"/>
  <c r="I118" i="18"/>
  <c r="B118" i="6" s="1"/>
  <c r="BA118" i="6" s="1"/>
  <c r="J16" i="18"/>
  <c r="C16" i="6" s="1"/>
  <c r="I16" i="18"/>
  <c r="B16" i="6" s="1"/>
  <c r="BA16" i="6" s="1"/>
  <c r="I212" i="18"/>
  <c r="B212" i="6" s="1"/>
  <c r="BA212" i="6" s="1"/>
  <c r="J212" i="18"/>
  <c r="C212" i="6" s="1"/>
  <c r="I369" i="18"/>
  <c r="B369" i="6" s="1"/>
  <c r="BA369" i="6" s="1"/>
  <c r="J369" i="18"/>
  <c r="C369" i="6" s="1"/>
  <c r="J197" i="18"/>
  <c r="C197" i="6" s="1"/>
  <c r="I197" i="18"/>
  <c r="B197" i="6" s="1"/>
  <c r="BA197" i="6" s="1"/>
  <c r="I36" i="18"/>
  <c r="B36" i="6" s="1"/>
  <c r="BA36" i="6" s="1"/>
  <c r="J36" i="18"/>
  <c r="C36" i="6" s="1"/>
  <c r="I181" i="18"/>
  <c r="B181" i="6" s="1"/>
  <c r="BA181" i="6" s="1"/>
  <c r="J181" i="18"/>
  <c r="C181" i="6" s="1"/>
  <c r="J55" i="18"/>
  <c r="C55" i="6" s="1"/>
  <c r="I55" i="18"/>
  <c r="B55" i="6" s="1"/>
  <c r="BA55" i="6" s="1"/>
  <c r="J49" i="18"/>
  <c r="C49" i="6" s="1"/>
  <c r="I49" i="18"/>
  <c r="B49" i="6" s="1"/>
  <c r="BA49" i="6" s="1"/>
  <c r="I235" i="18"/>
  <c r="B235" i="6" s="1"/>
  <c r="BA235" i="6" s="1"/>
  <c r="J235" i="18"/>
  <c r="C235" i="6" s="1"/>
  <c r="H349" i="18"/>
  <c r="G349" i="18"/>
  <c r="CA349" i="6" s="1"/>
  <c r="AA349" i="18"/>
  <c r="Z349" i="18" s="1"/>
  <c r="Y349" i="18" s="1"/>
  <c r="J238" i="18"/>
  <c r="C238" i="6" s="1"/>
  <c r="I238" i="18"/>
  <c r="B238" i="6" s="1"/>
  <c r="BA238" i="6" s="1"/>
  <c r="J32" i="18"/>
  <c r="C32" i="6" s="1"/>
  <c r="I32" i="18"/>
  <c r="B32" i="6" s="1"/>
  <c r="BA32" i="6" s="1"/>
  <c r="J129" i="18"/>
  <c r="C129" i="6" s="1"/>
  <c r="I129" i="18"/>
  <c r="B129" i="6" s="1"/>
  <c r="BA129" i="6" s="1"/>
  <c r="I316" i="18"/>
  <c r="B316" i="6" s="1"/>
  <c r="BA316" i="6" s="1"/>
  <c r="J316" i="18"/>
  <c r="C316" i="6" s="1"/>
  <c r="I82" i="18"/>
  <c r="B82" i="6" s="1"/>
  <c r="BA82" i="6" s="1"/>
  <c r="J82" i="18"/>
  <c r="C82" i="6" s="1"/>
  <c r="I117" i="18"/>
  <c r="B117" i="6" s="1"/>
  <c r="BA117" i="6" s="1"/>
  <c r="J117" i="18"/>
  <c r="C117" i="6" s="1"/>
  <c r="I21" i="18" l="1"/>
  <c r="B21" i="6" s="1"/>
  <c r="BA21" i="6" s="1"/>
  <c r="H192" i="18"/>
  <c r="I192" i="18" s="1"/>
  <c r="B192" i="6" s="1"/>
  <c r="BA192" i="6" s="1"/>
  <c r="J254" i="18"/>
  <c r="C254" i="6" s="1"/>
  <c r="I368" i="18"/>
  <c r="B368" i="6" s="1"/>
  <c r="BA368" i="6" s="1"/>
  <c r="AA320" i="18"/>
  <c r="Z320" i="18" s="1"/>
  <c r="Y320" i="18" s="1"/>
  <c r="H193" i="18"/>
  <c r="I193" i="18" s="1"/>
  <c r="B193" i="6" s="1"/>
  <c r="BA193" i="6" s="1"/>
  <c r="AA200" i="18"/>
  <c r="Z200" i="18" s="1"/>
  <c r="Y200" i="18" s="1"/>
  <c r="AA193" i="18"/>
  <c r="Z193" i="18" s="1"/>
  <c r="Y193" i="18" s="1"/>
  <c r="AA95" i="18"/>
  <c r="Z95" i="18" s="1"/>
  <c r="Y95" i="18" s="1"/>
  <c r="H320" i="18"/>
  <c r="J320" i="18" s="1"/>
  <c r="C320" i="6" s="1"/>
  <c r="G288" i="18"/>
  <c r="CA288" i="6" s="1"/>
  <c r="J19" i="18"/>
  <c r="C19" i="6" s="1"/>
  <c r="J123" i="18"/>
  <c r="C123" i="6" s="1"/>
  <c r="J239" i="18"/>
  <c r="C239" i="6" s="1"/>
  <c r="G192" i="18"/>
  <c r="CA192" i="6" s="1"/>
  <c r="AA239" i="18"/>
  <c r="Z239" i="18" s="1"/>
  <c r="Y239" i="18" s="1"/>
  <c r="AA19" i="18"/>
  <c r="Z19" i="18" s="1"/>
  <c r="Y19" i="18" s="1"/>
  <c r="G200" i="18"/>
  <c r="CA200" i="6" s="1"/>
  <c r="K65" i="19"/>
  <c r="I200" i="18"/>
  <c r="B200" i="6" s="1"/>
  <c r="BA200" i="6" s="1"/>
  <c r="J139" i="18"/>
  <c r="C139" i="6" s="1"/>
  <c r="J327" i="18"/>
  <c r="C327" i="6" s="1"/>
  <c r="J87" i="18"/>
  <c r="C87" i="6" s="1"/>
  <c r="AA123" i="18"/>
  <c r="Z123" i="18" s="1"/>
  <c r="Y123" i="18" s="1"/>
  <c r="AA263" i="18"/>
  <c r="Z263" i="18" s="1"/>
  <c r="Y263" i="18" s="1"/>
  <c r="G19" i="18"/>
  <c r="CA19" i="6" s="1"/>
  <c r="G123" i="18"/>
  <c r="CA123" i="6" s="1"/>
  <c r="G239" i="18"/>
  <c r="CA239" i="6" s="1"/>
  <c r="H263" i="18"/>
  <c r="I263" i="18" s="1"/>
  <c r="B263" i="6" s="1"/>
  <c r="BA263" i="6" s="1"/>
  <c r="AA230" i="18"/>
  <c r="Z230" i="18" s="1"/>
  <c r="Y230" i="18" s="1"/>
  <c r="G319" i="18"/>
  <c r="CA319" i="6" s="1"/>
  <c r="J160" i="18"/>
  <c r="C160" i="6" s="1"/>
  <c r="I249" i="18"/>
  <c r="B249" i="6" s="1"/>
  <c r="BA249" i="6" s="1"/>
  <c r="J42" i="18"/>
  <c r="C42" i="6" s="1"/>
  <c r="I83" i="18"/>
  <c r="B83" i="6" s="1"/>
  <c r="BA83" i="6" s="1"/>
  <c r="J224" i="18"/>
  <c r="C224" i="6" s="1"/>
  <c r="I97" i="18"/>
  <c r="B97" i="6" s="1"/>
  <c r="BA97" i="6" s="1"/>
  <c r="AC382" i="24"/>
  <c r="AC383" i="24"/>
  <c r="I320" i="18"/>
  <c r="B320" i="6" s="1"/>
  <c r="BA320" i="6" s="1"/>
  <c r="I244" i="18"/>
  <c r="B244" i="6" s="1"/>
  <c r="BA244" i="6" s="1"/>
  <c r="J162" i="18"/>
  <c r="C162" i="6" s="1"/>
  <c r="J322" i="18"/>
  <c r="C322" i="6" s="1"/>
  <c r="I211" i="18"/>
  <c r="B211" i="6" s="1"/>
  <c r="BA211" i="6" s="1"/>
  <c r="I54" i="18"/>
  <c r="B54" i="6" s="1"/>
  <c r="BA54" i="6" s="1"/>
  <c r="AA272" i="18"/>
  <c r="Z272" i="18" s="1"/>
  <c r="Y272" i="18" s="1"/>
  <c r="I361" i="18"/>
  <c r="B361" i="6" s="1"/>
  <c r="BA361" i="6" s="1"/>
  <c r="J335" i="18"/>
  <c r="C335" i="6" s="1"/>
  <c r="J107" i="18"/>
  <c r="C107" i="6" s="1"/>
  <c r="J378" i="18"/>
  <c r="C378" i="6" s="1"/>
  <c r="J282" i="18"/>
  <c r="C282" i="6" s="1"/>
  <c r="J347" i="18"/>
  <c r="C347" i="6" s="1"/>
  <c r="J275" i="18"/>
  <c r="C275" i="6" s="1"/>
  <c r="H88" i="18"/>
  <c r="J88" i="18" s="1"/>
  <c r="C88" i="6" s="1"/>
  <c r="I128" i="18"/>
  <c r="B128" i="6" s="1"/>
  <c r="BA128" i="6" s="1"/>
  <c r="J67" i="18"/>
  <c r="C67" i="6" s="1"/>
  <c r="J174" i="18"/>
  <c r="C174" i="6" s="1"/>
  <c r="J179" i="18"/>
  <c r="C179" i="6" s="1"/>
  <c r="AC381" i="24"/>
  <c r="J281" i="18"/>
  <c r="C281" i="6" s="1"/>
  <c r="I331" i="18"/>
  <c r="B331" i="6" s="1"/>
  <c r="BA331" i="6" s="1"/>
  <c r="I289" i="18"/>
  <c r="B289" i="6" s="1"/>
  <c r="BA289" i="6" s="1"/>
  <c r="I187" i="18"/>
  <c r="B187" i="6" s="1"/>
  <c r="BA187" i="6" s="1"/>
  <c r="I18" i="18"/>
  <c r="B18" i="6" s="1"/>
  <c r="BA18" i="6" s="1"/>
  <c r="I280" i="18"/>
  <c r="B280" i="6" s="1"/>
  <c r="BA280" i="6" s="1"/>
  <c r="J325" i="18"/>
  <c r="C325" i="6" s="1"/>
  <c r="I286" i="18"/>
  <c r="B286" i="6" s="1"/>
  <c r="BA286" i="6" s="1"/>
  <c r="J305" i="18"/>
  <c r="C305" i="6" s="1"/>
  <c r="J203" i="18"/>
  <c r="C203" i="6" s="1"/>
  <c r="J78" i="18"/>
  <c r="C78" i="6" s="1"/>
  <c r="I78" i="18"/>
  <c r="B78" i="6" s="1"/>
  <c r="BA78" i="6" s="1"/>
  <c r="J243" i="18"/>
  <c r="C243" i="6" s="1"/>
  <c r="I243" i="18"/>
  <c r="B243" i="6" s="1"/>
  <c r="BA243" i="6" s="1"/>
  <c r="J304" i="18"/>
  <c r="C304" i="6" s="1"/>
  <c r="I304" i="18"/>
  <c r="B304" i="6" s="1"/>
  <c r="BA304" i="6" s="1"/>
  <c r="I338" i="18"/>
  <c r="B338" i="6" s="1"/>
  <c r="BA338" i="6" s="1"/>
  <c r="J338" i="18"/>
  <c r="C338" i="6" s="1"/>
  <c r="I178" i="18"/>
  <c r="B178" i="6" s="1"/>
  <c r="BA178" i="6" s="1"/>
  <c r="J178" i="18"/>
  <c r="C178" i="6" s="1"/>
  <c r="J216" i="18"/>
  <c r="C216" i="6" s="1"/>
  <c r="I216" i="18"/>
  <c r="B216" i="6" s="1"/>
  <c r="BA216" i="6" s="1"/>
  <c r="J100" i="18"/>
  <c r="C100" i="6" s="1"/>
  <c r="I100" i="18"/>
  <c r="B100" i="6" s="1"/>
  <c r="BA100" i="6" s="1"/>
  <c r="I110" i="18"/>
  <c r="B110" i="6" s="1"/>
  <c r="BA110" i="6" s="1"/>
  <c r="J110" i="18"/>
  <c r="C110" i="6" s="1"/>
  <c r="J294" i="18"/>
  <c r="C294" i="6" s="1"/>
  <c r="I294" i="18"/>
  <c r="B294" i="6" s="1"/>
  <c r="BA294" i="6" s="1"/>
  <c r="J266" i="18"/>
  <c r="C266" i="6" s="1"/>
  <c r="I225" i="18"/>
  <c r="B225" i="6" s="1"/>
  <c r="BA225" i="6" s="1"/>
  <c r="I28" i="18"/>
  <c r="B28" i="6" s="1"/>
  <c r="BA28" i="6" s="1"/>
  <c r="J173" i="18"/>
  <c r="C173" i="6" s="1"/>
  <c r="J317" i="18"/>
  <c r="C317" i="6" s="1"/>
  <c r="J92" i="18"/>
  <c r="C92" i="6" s="1"/>
  <c r="I279" i="18"/>
  <c r="B279" i="6" s="1"/>
  <c r="BA279" i="6" s="1"/>
  <c r="AA333" i="18"/>
  <c r="Z333" i="18" s="1"/>
  <c r="Y333" i="18" s="1"/>
  <c r="I120" i="18"/>
  <c r="B120" i="6" s="1"/>
  <c r="BA120" i="6" s="1"/>
  <c r="I215" i="18"/>
  <c r="B215" i="6" s="1"/>
  <c r="BA215" i="6" s="1"/>
  <c r="I314" i="18"/>
  <c r="B314" i="6" s="1"/>
  <c r="BA314" i="6" s="1"/>
  <c r="AI315" i="22"/>
  <c r="AH315" i="22" s="1"/>
  <c r="AG315" i="22" s="1"/>
  <c r="AF315" i="22" s="1"/>
  <c r="AI369" i="22"/>
  <c r="AH369" i="22" s="1"/>
  <c r="AI268" i="22"/>
  <c r="AH268" i="22" s="1"/>
  <c r="AI297" i="22"/>
  <c r="AH297" i="22" s="1"/>
  <c r="AI347" i="22"/>
  <c r="AH347" i="22" s="1"/>
  <c r="AI249" i="22"/>
  <c r="AH249" i="22" s="1"/>
  <c r="AI317" i="22"/>
  <c r="AH317" i="22" s="1"/>
  <c r="AG317" i="22" s="1"/>
  <c r="AF317" i="22" s="1"/>
  <c r="AI209" i="22"/>
  <c r="AH209" i="22" s="1"/>
  <c r="AI117" i="22"/>
  <c r="AH117" i="22" s="1"/>
  <c r="AG117" i="22" s="1"/>
  <c r="AF117" i="22" s="1"/>
  <c r="AI30" i="22"/>
  <c r="AH30" i="22" s="1"/>
  <c r="AI194" i="22"/>
  <c r="AH194" i="22" s="1"/>
  <c r="AG194" i="22" s="1"/>
  <c r="AF194" i="22" s="1"/>
  <c r="AI36" i="22"/>
  <c r="AH36" i="22" s="1"/>
  <c r="AI184" i="22"/>
  <c r="AH184" i="22" s="1"/>
  <c r="AI306" i="22"/>
  <c r="AI379" i="22"/>
  <c r="AI12" i="23" s="1"/>
  <c r="AI70" i="22"/>
  <c r="U42" i="22"/>
  <c r="T42" i="22" s="1"/>
  <c r="U124" i="22"/>
  <c r="U280" i="22"/>
  <c r="T280" i="22" s="1"/>
  <c r="U163" i="22"/>
  <c r="U118" i="22"/>
  <c r="T118" i="22" s="1"/>
  <c r="U288" i="22"/>
  <c r="U235" i="22"/>
  <c r="T235" i="22" s="1"/>
  <c r="U376" i="22"/>
  <c r="U131" i="22"/>
  <c r="T131" i="22" s="1"/>
  <c r="U86" i="22"/>
  <c r="U362" i="22"/>
  <c r="T362" i="22" s="1"/>
  <c r="U326" i="22"/>
  <c r="U71" i="22"/>
  <c r="T71" i="22" s="1"/>
  <c r="U265" i="22"/>
  <c r="U82" i="22"/>
  <c r="T82" i="22" s="1"/>
  <c r="U204" i="22"/>
  <c r="U45" i="22"/>
  <c r="T45" i="22" s="1"/>
  <c r="U360" i="22"/>
  <c r="U57" i="22"/>
  <c r="T57" i="22" s="1"/>
  <c r="U275" i="22"/>
  <c r="U357" i="22"/>
  <c r="T357" i="22" s="1"/>
  <c r="U166" i="22"/>
  <c r="U295" i="22"/>
  <c r="T295" i="22" s="1"/>
  <c r="U178" i="22"/>
  <c r="U141" i="22"/>
  <c r="T141" i="22" s="1"/>
  <c r="U47" i="22"/>
  <c r="U363" i="22"/>
  <c r="T363" i="22" s="1"/>
  <c r="U286" i="22"/>
  <c r="U70" i="22"/>
  <c r="T70" i="22" s="1"/>
  <c r="U378" i="22"/>
  <c r="U309" i="22"/>
  <c r="T309" i="22" s="1"/>
  <c r="U104" i="22"/>
  <c r="U19" i="22"/>
  <c r="U271" i="22"/>
  <c r="U116" i="22"/>
  <c r="T116" i="22" s="1"/>
  <c r="U222" i="22"/>
  <c r="U63" i="22"/>
  <c r="T63" i="22" s="1"/>
  <c r="U225" i="22"/>
  <c r="U347" i="22"/>
  <c r="T347" i="22" s="1"/>
  <c r="U196" i="22"/>
  <c r="U142" i="22"/>
  <c r="T142" i="22" s="1"/>
  <c r="U192" i="22"/>
  <c r="U49" i="22"/>
  <c r="T49" i="22" s="1"/>
  <c r="U139" i="22"/>
  <c r="U317" i="22"/>
  <c r="T317" i="22" s="1"/>
  <c r="I276" i="18"/>
  <c r="B276" i="6" s="1"/>
  <c r="BA276" i="6" s="1"/>
  <c r="J207" i="18"/>
  <c r="C207" i="6" s="1"/>
  <c r="I245" i="18"/>
  <c r="B245" i="6" s="1"/>
  <c r="BA245" i="6" s="1"/>
  <c r="H29" i="18"/>
  <c r="I29" i="18" s="1"/>
  <c r="B29" i="6" s="1"/>
  <c r="BA29" i="6" s="1"/>
  <c r="G88" i="18"/>
  <c r="CA88" i="6" s="1"/>
  <c r="H119" i="18"/>
  <c r="I119" i="18" s="1"/>
  <c r="B119" i="6" s="1"/>
  <c r="BA119" i="6" s="1"/>
  <c r="J38" i="18"/>
  <c r="C38" i="6" s="1"/>
  <c r="J164" i="18"/>
  <c r="C164" i="6" s="1"/>
  <c r="J84" i="18"/>
  <c r="C84" i="6" s="1"/>
  <c r="I204" i="18"/>
  <c r="B204" i="6" s="1"/>
  <c r="BA204" i="6" s="1"/>
  <c r="J192" i="18"/>
  <c r="C192" i="6" s="1"/>
  <c r="I260" i="18"/>
  <c r="B260" i="6" s="1"/>
  <c r="BA260" i="6" s="1"/>
  <c r="H210" i="18"/>
  <c r="I210" i="18" s="1"/>
  <c r="B210" i="6" s="1"/>
  <c r="BA210" i="6" s="1"/>
  <c r="G60" i="18"/>
  <c r="CA60" i="6" s="1"/>
  <c r="J63" i="18"/>
  <c r="C63" i="6" s="1"/>
  <c r="AA29" i="18"/>
  <c r="Z29" i="18" s="1"/>
  <c r="Y29" i="18" s="1"/>
  <c r="I141" i="18"/>
  <c r="B141" i="6" s="1"/>
  <c r="BA141" i="6" s="1"/>
  <c r="I298" i="18"/>
  <c r="B298" i="6" s="1"/>
  <c r="BA298" i="6" s="1"/>
  <c r="J184" i="18"/>
  <c r="C184" i="6" s="1"/>
  <c r="I353" i="18"/>
  <c r="B353" i="6" s="1"/>
  <c r="BA353" i="6" s="1"/>
  <c r="I362" i="18"/>
  <c r="B362" i="6" s="1"/>
  <c r="BA362" i="6" s="1"/>
  <c r="J265" i="18"/>
  <c r="C265" i="6" s="1"/>
  <c r="I354" i="18"/>
  <c r="B354" i="6" s="1"/>
  <c r="BA354" i="6" s="1"/>
  <c r="J168" i="18"/>
  <c r="C168" i="6" s="1"/>
  <c r="I177" i="18"/>
  <c r="B177" i="6" s="1"/>
  <c r="BA177" i="6" s="1"/>
  <c r="AA74" i="18"/>
  <c r="Z74" i="18" s="1"/>
  <c r="Y74" i="18" s="1"/>
  <c r="J306" i="18"/>
  <c r="C306" i="6" s="1"/>
  <c r="H241" i="18"/>
  <c r="I241" i="18" s="1"/>
  <c r="B241" i="6" s="1"/>
  <c r="BA241" i="6" s="1"/>
  <c r="I233" i="18"/>
  <c r="B233" i="6" s="1"/>
  <c r="BA233" i="6" s="1"/>
  <c r="J31" i="18"/>
  <c r="C31" i="6" s="1"/>
  <c r="J130" i="18"/>
  <c r="C130" i="6" s="1"/>
  <c r="AO16" i="7"/>
  <c r="AI26" i="22"/>
  <c r="AH26" i="22" s="1"/>
  <c r="AI239" i="22"/>
  <c r="AH239" i="22" s="1"/>
  <c r="AG239" i="22" s="1"/>
  <c r="AF239" i="22" s="1"/>
  <c r="AI360" i="22"/>
  <c r="AH360" i="22" s="1"/>
  <c r="AI137" i="22"/>
  <c r="AH137" i="22" s="1"/>
  <c r="AG137" i="22" s="1"/>
  <c r="AF137" i="22" s="1"/>
  <c r="AI179" i="22"/>
  <c r="AH179" i="22" s="1"/>
  <c r="AI69" i="22"/>
  <c r="AH69" i="22" s="1"/>
  <c r="AG69" i="22" s="1"/>
  <c r="AF69" i="22" s="1"/>
  <c r="AI68" i="22"/>
  <c r="AH68" i="22" s="1"/>
  <c r="AI99" i="22"/>
  <c r="AH99" i="22" s="1"/>
  <c r="AG99" i="22" s="1"/>
  <c r="AF99" i="22" s="1"/>
  <c r="AI31" i="22"/>
  <c r="AH31" i="22" s="1"/>
  <c r="AI143" i="22"/>
  <c r="AH143" i="22" s="1"/>
  <c r="AG143" i="22" s="1"/>
  <c r="AF143" i="22" s="1"/>
  <c r="AI172" i="22"/>
  <c r="AH172" i="22" s="1"/>
  <c r="AI153" i="22"/>
  <c r="AH153" i="22" s="1"/>
  <c r="AG153" i="22" s="1"/>
  <c r="AF153" i="22" s="1"/>
  <c r="AI262" i="22"/>
  <c r="AH262" i="22" s="1"/>
  <c r="AI204" i="22"/>
  <c r="AH204" i="22" s="1"/>
  <c r="AG204" i="22" s="1"/>
  <c r="AF204" i="22" s="1"/>
  <c r="AI93" i="22"/>
  <c r="AH93" i="22" s="1"/>
  <c r="AI346" i="22"/>
  <c r="AH346" i="22" s="1"/>
  <c r="AG346" i="22" s="1"/>
  <c r="AF346" i="22" s="1"/>
  <c r="AI192" i="22"/>
  <c r="AH192" i="22" s="1"/>
  <c r="AI247" i="22"/>
  <c r="AH247" i="22" s="1"/>
  <c r="AG247" i="22" s="1"/>
  <c r="AF247" i="22" s="1"/>
  <c r="AI211" i="22"/>
  <c r="AH211" i="22" s="1"/>
  <c r="AI326" i="22"/>
  <c r="AH326" i="22" s="1"/>
  <c r="AG326" i="22" s="1"/>
  <c r="AF326" i="22" s="1"/>
  <c r="AI115" i="22"/>
  <c r="AH115" i="22" s="1"/>
  <c r="AI333" i="22"/>
  <c r="AH333" i="22" s="1"/>
  <c r="AG333" i="22" s="1"/>
  <c r="AF333" i="22" s="1"/>
  <c r="I57" i="18"/>
  <c r="B57" i="6" s="1"/>
  <c r="BA57" i="6" s="1"/>
  <c r="J340" i="18"/>
  <c r="C340" i="6" s="1"/>
  <c r="J217" i="18"/>
  <c r="C217" i="6" s="1"/>
  <c r="J124" i="18"/>
  <c r="C124" i="6" s="1"/>
  <c r="J106" i="18"/>
  <c r="C106" i="6" s="1"/>
  <c r="I300" i="18"/>
  <c r="B300" i="6" s="1"/>
  <c r="BA300" i="6" s="1"/>
  <c r="J218" i="18"/>
  <c r="C218" i="6" s="1"/>
  <c r="I278" i="18"/>
  <c r="B278" i="6" s="1"/>
  <c r="BA278" i="6" s="1"/>
  <c r="I122" i="18"/>
  <c r="B122" i="6" s="1"/>
  <c r="BA122" i="6" s="1"/>
  <c r="J37" i="18"/>
  <c r="C37" i="6" s="1"/>
  <c r="J157" i="18"/>
  <c r="C157" i="6" s="1"/>
  <c r="J220" i="18"/>
  <c r="C220" i="6" s="1"/>
  <c r="H302" i="18"/>
  <c r="J302" i="18" s="1"/>
  <c r="C302" i="6" s="1"/>
  <c r="I329" i="18"/>
  <c r="B329" i="6" s="1"/>
  <c r="BA329" i="6" s="1"/>
  <c r="I332" i="18"/>
  <c r="B332" i="6" s="1"/>
  <c r="BA332" i="6" s="1"/>
  <c r="I350" i="18"/>
  <c r="B350" i="6" s="1"/>
  <c r="BA350" i="6" s="1"/>
  <c r="G363" i="18"/>
  <c r="CA363" i="6" s="1"/>
  <c r="J253" i="18"/>
  <c r="C253" i="6" s="1"/>
  <c r="I264" i="18"/>
  <c r="B264" i="6" s="1"/>
  <c r="BA264" i="6" s="1"/>
  <c r="J337" i="18"/>
  <c r="C337" i="6" s="1"/>
  <c r="J311" i="18"/>
  <c r="C311" i="6" s="1"/>
  <c r="I355" i="18"/>
  <c r="B355" i="6" s="1"/>
  <c r="BA355" i="6" s="1"/>
  <c r="J73" i="18"/>
  <c r="C73" i="6" s="1"/>
  <c r="I342" i="18"/>
  <c r="B342" i="6" s="1"/>
  <c r="BA342" i="6" s="1"/>
  <c r="I274" i="18"/>
  <c r="B274" i="6" s="1"/>
  <c r="BA274" i="6" s="1"/>
  <c r="H272" i="18"/>
  <c r="J272" i="18" s="1"/>
  <c r="C272" i="6" s="1"/>
  <c r="J193" i="18"/>
  <c r="C193" i="6" s="1"/>
  <c r="I222" i="18"/>
  <c r="B222" i="6" s="1"/>
  <c r="BA222" i="6" s="1"/>
  <c r="I296" i="18"/>
  <c r="B296" i="6" s="1"/>
  <c r="BA296" i="6" s="1"/>
  <c r="I134" i="18"/>
  <c r="B134" i="6" s="1"/>
  <c r="BA134" i="6" s="1"/>
  <c r="J75" i="18"/>
  <c r="C75" i="6" s="1"/>
  <c r="J104" i="18"/>
  <c r="C104" i="6" s="1"/>
  <c r="I154" i="18"/>
  <c r="B154" i="6" s="1"/>
  <c r="BA154" i="6" s="1"/>
  <c r="I269" i="18"/>
  <c r="B269" i="6" s="1"/>
  <c r="BA269" i="6" s="1"/>
  <c r="J151" i="18"/>
  <c r="C151" i="6" s="1"/>
  <c r="I116" i="18"/>
  <c r="B116" i="6" s="1"/>
  <c r="BA116" i="6" s="1"/>
  <c r="B229" i="20"/>
  <c r="W229" i="20" s="1"/>
  <c r="I283" i="18"/>
  <c r="B283" i="6" s="1"/>
  <c r="BA283" i="6" s="1"/>
  <c r="J199" i="18"/>
  <c r="C199" i="6" s="1"/>
  <c r="J94" i="18"/>
  <c r="C94" i="6" s="1"/>
  <c r="I103" i="18"/>
  <c r="B103" i="6" s="1"/>
  <c r="BA103" i="6" s="1"/>
  <c r="J142" i="18"/>
  <c r="C142" i="6" s="1"/>
  <c r="AA210" i="18"/>
  <c r="Z210" i="18" s="1"/>
  <c r="Y210" i="18" s="1"/>
  <c r="I221" i="18"/>
  <c r="B221" i="6" s="1"/>
  <c r="BA221" i="6" s="1"/>
  <c r="H60" i="18"/>
  <c r="J60" i="18" s="1"/>
  <c r="C60" i="6" s="1"/>
  <c r="I167" i="18"/>
  <c r="B167" i="6" s="1"/>
  <c r="BA167" i="6" s="1"/>
  <c r="I143" i="18"/>
  <c r="B143" i="6" s="1"/>
  <c r="BA143" i="6" s="1"/>
  <c r="J69" i="18"/>
  <c r="C69" i="6" s="1"/>
  <c r="J247" i="18"/>
  <c r="C247" i="6" s="1"/>
  <c r="J41" i="18"/>
  <c r="C41" i="6" s="1"/>
  <c r="J125" i="18"/>
  <c r="C125" i="6" s="1"/>
  <c r="J185" i="18"/>
  <c r="C185" i="6" s="1"/>
  <c r="I50" i="18"/>
  <c r="B50" i="6" s="1"/>
  <c r="BA50" i="6" s="1"/>
  <c r="AA302" i="18"/>
  <c r="Z302" i="18" s="1"/>
  <c r="Y302" i="18" s="1"/>
  <c r="G119" i="18"/>
  <c r="CA119" i="6" s="1"/>
  <c r="J62" i="18"/>
  <c r="C62" i="6" s="1"/>
  <c r="J66" i="18"/>
  <c r="C66" i="6" s="1"/>
  <c r="I176" i="18"/>
  <c r="B176" i="6" s="1"/>
  <c r="BA176" i="6" s="1"/>
  <c r="H363" i="18"/>
  <c r="J363" i="18" s="1"/>
  <c r="C363" i="6" s="1"/>
  <c r="J310" i="18"/>
  <c r="C310" i="6" s="1"/>
  <c r="J175" i="18"/>
  <c r="C175" i="6" s="1"/>
  <c r="J308" i="18"/>
  <c r="C308" i="6" s="1"/>
  <c r="I98" i="18"/>
  <c r="B98" i="6" s="1"/>
  <c r="BA98" i="6" s="1"/>
  <c r="I45" i="18"/>
  <c r="B45" i="6" s="1"/>
  <c r="BA45" i="6" s="1"/>
  <c r="J328" i="18"/>
  <c r="C328" i="6" s="1"/>
  <c r="J112" i="18"/>
  <c r="C112" i="6" s="1"/>
  <c r="J77" i="18"/>
  <c r="C77" i="6" s="1"/>
  <c r="AA241" i="18"/>
  <c r="Z241" i="18" s="1"/>
  <c r="Y241" i="18" s="1"/>
  <c r="I132" i="18"/>
  <c r="B132" i="6" s="1"/>
  <c r="BA132" i="6" s="1"/>
  <c r="L43" i="19"/>
  <c r="I291" i="18"/>
  <c r="B291" i="6" s="1"/>
  <c r="BA291" i="6" s="1"/>
  <c r="I158" i="18"/>
  <c r="B158" i="6" s="1"/>
  <c r="BA158" i="6" s="1"/>
  <c r="J370" i="18"/>
  <c r="C370" i="6" s="1"/>
  <c r="I359" i="18"/>
  <c r="B359" i="6" s="1"/>
  <c r="BA359" i="6" s="1"/>
  <c r="J299" i="18"/>
  <c r="C299" i="6" s="1"/>
  <c r="I48" i="18"/>
  <c r="B48" i="6" s="1"/>
  <c r="BA48" i="6" s="1"/>
  <c r="I237" i="18"/>
  <c r="B237" i="6" s="1"/>
  <c r="BA237" i="6" s="1"/>
  <c r="I72" i="18"/>
  <c r="B72" i="6" s="1"/>
  <c r="BA72" i="6" s="1"/>
  <c r="J277" i="18"/>
  <c r="C277" i="6" s="1"/>
  <c r="J270" i="18"/>
  <c r="C270" i="6" s="1"/>
  <c r="O10" i="25"/>
  <c r="AC10" i="25"/>
  <c r="J292" i="18"/>
  <c r="C292" i="6" s="1"/>
  <c r="J127" i="18"/>
  <c r="C127" i="6" s="1"/>
  <c r="J293" i="18"/>
  <c r="C293" i="6" s="1"/>
  <c r="I255" i="18"/>
  <c r="B255" i="6" s="1"/>
  <c r="BA255" i="6" s="1"/>
  <c r="I348" i="18"/>
  <c r="B348" i="6" s="1"/>
  <c r="BA348" i="6" s="1"/>
  <c r="J90" i="18"/>
  <c r="C90" i="6" s="1"/>
  <c r="G74" i="18"/>
  <c r="CA74" i="6" s="1"/>
  <c r="I313" i="18"/>
  <c r="B313" i="6" s="1"/>
  <c r="BA313" i="6" s="1"/>
  <c r="I268" i="18"/>
  <c r="B268" i="6" s="1"/>
  <c r="BA268" i="6" s="1"/>
  <c r="I234" i="18"/>
  <c r="B234" i="6" s="1"/>
  <c r="BA234" i="6" s="1"/>
  <c r="I70" i="18"/>
  <c r="B70" i="6" s="1"/>
  <c r="BA70" i="6" s="1"/>
  <c r="I68" i="18"/>
  <c r="B68" i="6" s="1"/>
  <c r="BA68" i="6" s="1"/>
  <c r="J372" i="18"/>
  <c r="C372" i="6" s="1"/>
  <c r="I366" i="18"/>
  <c r="B366" i="6" s="1"/>
  <c r="BA366" i="6" s="1"/>
  <c r="I219" i="18"/>
  <c r="B219" i="6" s="1"/>
  <c r="BA219" i="6" s="1"/>
  <c r="J339" i="18"/>
  <c r="C339" i="6" s="1"/>
  <c r="I35" i="18"/>
  <c r="B35" i="6" s="1"/>
  <c r="BA35" i="6" s="1"/>
  <c r="I40" i="18"/>
  <c r="B40" i="6" s="1"/>
  <c r="BA40" i="6" s="1"/>
  <c r="I186" i="18"/>
  <c r="B186" i="6" s="1"/>
  <c r="BA186" i="6" s="1"/>
  <c r="J321" i="18"/>
  <c r="C321" i="6" s="1"/>
  <c r="J376" i="18"/>
  <c r="C376" i="6" s="1"/>
  <c r="I367" i="18"/>
  <c r="B367" i="6" s="1"/>
  <c r="BA367" i="6" s="1"/>
  <c r="J256" i="18"/>
  <c r="C256" i="6" s="1"/>
  <c r="I150" i="18"/>
  <c r="B150" i="6" s="1"/>
  <c r="BA150" i="6" s="1"/>
  <c r="I59" i="18"/>
  <c r="B59" i="6" s="1"/>
  <c r="BA59" i="6" s="1"/>
  <c r="I209" i="18"/>
  <c r="B209" i="6" s="1"/>
  <c r="BA209" i="6" s="1"/>
  <c r="I152" i="18"/>
  <c r="B152" i="6" s="1"/>
  <c r="BA152" i="6" s="1"/>
  <c r="J373" i="18"/>
  <c r="C373" i="6" s="1"/>
  <c r="I330" i="18"/>
  <c r="B330" i="6" s="1"/>
  <c r="BA330" i="6" s="1"/>
  <c r="I51" i="18"/>
  <c r="B51" i="6" s="1"/>
  <c r="BA51" i="6" s="1"/>
  <c r="J228" i="18"/>
  <c r="C228" i="6" s="1"/>
  <c r="G149" i="18"/>
  <c r="CA149" i="6" s="1"/>
  <c r="H333" i="18"/>
  <c r="J333" i="18" s="1"/>
  <c r="C333" i="6" s="1"/>
  <c r="J183" i="18"/>
  <c r="C183" i="6" s="1"/>
  <c r="J352" i="18"/>
  <c r="C352" i="6" s="1"/>
  <c r="I271" i="18"/>
  <c r="B271" i="6" s="1"/>
  <c r="BA271" i="6" s="1"/>
  <c r="I146" i="18"/>
  <c r="B146" i="6" s="1"/>
  <c r="BA146" i="6" s="1"/>
  <c r="I318" i="18"/>
  <c r="B318" i="6" s="1"/>
  <c r="BA318" i="6" s="1"/>
  <c r="I115" i="18"/>
  <c r="B115" i="6" s="1"/>
  <c r="BA115" i="6" s="1"/>
  <c r="J56" i="18"/>
  <c r="C56" i="6" s="1"/>
  <c r="I148" i="18"/>
  <c r="B148" i="6" s="1"/>
  <c r="BA148" i="6" s="1"/>
  <c r="J37" i="19"/>
  <c r="F12" i="19"/>
  <c r="I140" i="18"/>
  <c r="B140" i="6" s="1"/>
  <c r="BA140" i="6" s="1"/>
  <c r="I285" i="18"/>
  <c r="B285" i="6" s="1"/>
  <c r="BA285" i="6" s="1"/>
  <c r="J155" i="18"/>
  <c r="C155" i="6" s="1"/>
  <c r="I131" i="18"/>
  <c r="B131" i="6" s="1"/>
  <c r="BA131" i="6" s="1"/>
  <c r="J89" i="18"/>
  <c r="C89" i="6" s="1"/>
  <c r="J223" i="18"/>
  <c r="C223" i="6" s="1"/>
  <c r="I81" i="18"/>
  <c r="B81" i="6" s="1"/>
  <c r="BA81" i="6" s="1"/>
  <c r="I198" i="18"/>
  <c r="B198" i="6" s="1"/>
  <c r="BA198" i="6" s="1"/>
  <c r="J257" i="18"/>
  <c r="C257" i="6" s="1"/>
  <c r="I26" i="18"/>
  <c r="B26" i="6" s="1"/>
  <c r="BA26" i="6" s="1"/>
  <c r="I44" i="18"/>
  <c r="B44" i="6" s="1"/>
  <c r="BA44" i="6" s="1"/>
  <c r="I102" i="18"/>
  <c r="B102" i="6" s="1"/>
  <c r="BA102" i="6" s="1"/>
  <c r="J85" i="18"/>
  <c r="C85" i="6" s="1"/>
  <c r="J23" i="18"/>
  <c r="C23" i="6" s="1"/>
  <c r="AA149" i="18"/>
  <c r="Z149" i="18" s="1"/>
  <c r="Y149" i="18" s="1"/>
  <c r="G180" i="18"/>
  <c r="CA180" i="6" s="1"/>
  <c r="AI352" i="22"/>
  <c r="AH352" i="22" s="1"/>
  <c r="AG352" i="22" s="1"/>
  <c r="AF352" i="22" s="1"/>
  <c r="AI135" i="22"/>
  <c r="AH135" i="22" s="1"/>
  <c r="AI61" i="22"/>
  <c r="AH61" i="22" s="1"/>
  <c r="AG61" i="22" s="1"/>
  <c r="AF61" i="22" s="1"/>
  <c r="AI361" i="22"/>
  <c r="AH361" i="22" s="1"/>
  <c r="AI200" i="22"/>
  <c r="AH200" i="22" s="1"/>
  <c r="AG200" i="22" s="1"/>
  <c r="AF200" i="22" s="1"/>
  <c r="AI16" i="22"/>
  <c r="AH16" i="22" s="1"/>
  <c r="AI199" i="22"/>
  <c r="AH199" i="22" s="1"/>
  <c r="AG199" i="22" s="1"/>
  <c r="AF199" i="22" s="1"/>
  <c r="AI18" i="22"/>
  <c r="AH18" i="22" s="1"/>
  <c r="AG18" i="22" s="1"/>
  <c r="AF18" i="22" s="1"/>
  <c r="AI23" i="22"/>
  <c r="AH23" i="22" s="1"/>
  <c r="AG23" i="22" s="1"/>
  <c r="AF23" i="22" s="1"/>
  <c r="AI162" i="22"/>
  <c r="AH162" i="22" s="1"/>
  <c r="AI316" i="22"/>
  <c r="AH316" i="22" s="1"/>
  <c r="AG316" i="22" s="1"/>
  <c r="AF316" i="22" s="1"/>
  <c r="AI51" i="22"/>
  <c r="AH51" i="22" s="1"/>
  <c r="AI330" i="22"/>
  <c r="AH330" i="22" s="1"/>
  <c r="AG330" i="22" s="1"/>
  <c r="AF330" i="22" s="1"/>
  <c r="AI321" i="22"/>
  <c r="AH321" i="22" s="1"/>
  <c r="AI205" i="22"/>
  <c r="AH205" i="22" s="1"/>
  <c r="AG205" i="22" s="1"/>
  <c r="AF205" i="22" s="1"/>
  <c r="AI80" i="22"/>
  <c r="AH80" i="22" s="1"/>
  <c r="AI363" i="22"/>
  <c r="AH363" i="22" s="1"/>
  <c r="AG363" i="22" s="1"/>
  <c r="AF363" i="22" s="1"/>
  <c r="AI72" i="22"/>
  <c r="AH72" i="22" s="1"/>
  <c r="AI374" i="22"/>
  <c r="AH374" i="22" s="1"/>
  <c r="AG374" i="22" s="1"/>
  <c r="AF374" i="22" s="1"/>
  <c r="AI365" i="22"/>
  <c r="AH365" i="22" s="1"/>
  <c r="AI201" i="22"/>
  <c r="AH201" i="22" s="1"/>
  <c r="AI156" i="22"/>
  <c r="AH156" i="22" s="1"/>
  <c r="AI279" i="22"/>
  <c r="AH279" i="22" s="1"/>
  <c r="AI131" i="22"/>
  <c r="AH131" i="22" s="1"/>
  <c r="AI281" i="22"/>
  <c r="AH281" i="22" s="1"/>
  <c r="AI56" i="22"/>
  <c r="AH56" i="22" s="1"/>
  <c r="AI132" i="22"/>
  <c r="AH132" i="22" s="1"/>
  <c r="AG132" i="22" s="1"/>
  <c r="AF132" i="22" s="1"/>
  <c r="AI350" i="22"/>
  <c r="AH350" i="22" s="1"/>
  <c r="AI49" i="22"/>
  <c r="AH49" i="22" s="1"/>
  <c r="AG49" i="22" s="1"/>
  <c r="AF49" i="22" s="1"/>
  <c r="AI345" i="22"/>
  <c r="AH345" i="22" s="1"/>
  <c r="AI120" i="22"/>
  <c r="AH120" i="22" s="1"/>
  <c r="AG120" i="22" s="1"/>
  <c r="AF120" i="22" s="1"/>
  <c r="AI169" i="22"/>
  <c r="AH169" i="22" s="1"/>
  <c r="AI264" i="22"/>
  <c r="AH264" i="22" s="1"/>
  <c r="AI79" i="22"/>
  <c r="AH79" i="22" s="1"/>
  <c r="AI229" i="22"/>
  <c r="AH229" i="22" s="1"/>
  <c r="AI178" i="22"/>
  <c r="AH178" i="22" s="1"/>
  <c r="AI185" i="22"/>
  <c r="AH185" i="22" s="1"/>
  <c r="AG185" i="22" s="1"/>
  <c r="AF185" i="22" s="1"/>
  <c r="AI21" i="22"/>
  <c r="AH21" i="22" s="1"/>
  <c r="AI327" i="22"/>
  <c r="AH327" i="22" s="1"/>
  <c r="AI195" i="22"/>
  <c r="AH195" i="22" s="1"/>
  <c r="AI287" i="22"/>
  <c r="AH287" i="22" s="1"/>
  <c r="AG287" i="22" s="1"/>
  <c r="AF287" i="22" s="1"/>
  <c r="AI238" i="22"/>
  <c r="AH238" i="22" s="1"/>
  <c r="AI373" i="22"/>
  <c r="AH373" i="22" s="1"/>
  <c r="AG373" i="22" s="1"/>
  <c r="AF373" i="22" s="1"/>
  <c r="AI376" i="22"/>
  <c r="AH376" i="22" s="1"/>
  <c r="AI355" i="22"/>
  <c r="AH355" i="22" s="1"/>
  <c r="AG355" i="22" s="1"/>
  <c r="AF355" i="22" s="1"/>
  <c r="AI127" i="22"/>
  <c r="AH127" i="22" s="1"/>
  <c r="AI100" i="22"/>
  <c r="AH100" i="22" s="1"/>
  <c r="AI47" i="22"/>
  <c r="AI190" i="22"/>
  <c r="AH190" i="22" s="1"/>
  <c r="AI197" i="22"/>
  <c r="AI136" i="22"/>
  <c r="AH136" i="22" s="1"/>
  <c r="AI33" i="22"/>
  <c r="AI173" i="22"/>
  <c r="AH173" i="22" s="1"/>
  <c r="AI112" i="22"/>
  <c r="AI331" i="22"/>
  <c r="AH331" i="22" s="1"/>
  <c r="AI202" i="22"/>
  <c r="AI86" i="22"/>
  <c r="AH86" i="22" s="1"/>
  <c r="AI77" i="22"/>
  <c r="AI254" i="22"/>
  <c r="AH254" i="22" s="1"/>
  <c r="AI261" i="22"/>
  <c r="AI81" i="22"/>
  <c r="AH81" i="22" s="1"/>
  <c r="AI371" i="22"/>
  <c r="AI206" i="22"/>
  <c r="AH206" i="22" s="1"/>
  <c r="AI298" i="22"/>
  <c r="AI225" i="22"/>
  <c r="AH225" i="22" s="1"/>
  <c r="AI212" i="22"/>
  <c r="AI48" i="22"/>
  <c r="AH48" i="22" s="1"/>
  <c r="AI366" i="22"/>
  <c r="AI138" i="22"/>
  <c r="AH138" i="22" s="1"/>
  <c r="AI123" i="22"/>
  <c r="AI276" i="22"/>
  <c r="AH276" i="22" s="1"/>
  <c r="AI58" i="22"/>
  <c r="AI223" i="22"/>
  <c r="AH223" i="22" s="1"/>
  <c r="AI177" i="22"/>
  <c r="AI75" i="22"/>
  <c r="AH75" i="22" s="1"/>
  <c r="AI228" i="22"/>
  <c r="AI309" i="22"/>
  <c r="AH309" i="22" s="1"/>
  <c r="AI175" i="22"/>
  <c r="AI193" i="22"/>
  <c r="AH193" i="22" s="1"/>
  <c r="AI318" i="22"/>
  <c r="AI180" i="22"/>
  <c r="AH180" i="22" s="1"/>
  <c r="AI103" i="22"/>
  <c r="AI208" i="22"/>
  <c r="AH208" i="22" s="1"/>
  <c r="AI38" i="22"/>
  <c r="AI235" i="22"/>
  <c r="AH235" i="22" s="1"/>
  <c r="AI221" i="22"/>
  <c r="AI55" i="22"/>
  <c r="AH55" i="22" s="1"/>
  <c r="AI224" i="22"/>
  <c r="AI353" i="22"/>
  <c r="AH353" i="22" s="1"/>
  <c r="AI187" i="22"/>
  <c r="AI237" i="22"/>
  <c r="AH237" i="22" s="1"/>
  <c r="AI378" i="22"/>
  <c r="AI218" i="22"/>
  <c r="AH218" i="22" s="1"/>
  <c r="AI145" i="22"/>
  <c r="AI324" i="22"/>
  <c r="AH324" i="22" s="1"/>
  <c r="AI335" i="22"/>
  <c r="AI286" i="22"/>
  <c r="AH286" i="22" s="1"/>
  <c r="AI203" i="22"/>
  <c r="AI215" i="22"/>
  <c r="AH215" i="22" s="1"/>
  <c r="AI214" i="22"/>
  <c r="AI98" i="22"/>
  <c r="AH98" i="22" s="1"/>
  <c r="AI336" i="22"/>
  <c r="AI252" i="22"/>
  <c r="AH252" i="22" s="1"/>
  <c r="AI102" i="22"/>
  <c r="AI29" i="22"/>
  <c r="AH29" i="22" s="1"/>
  <c r="AI32" i="22"/>
  <c r="AI251" i="22"/>
  <c r="AH251" i="22" s="1"/>
  <c r="AI186" i="22"/>
  <c r="AI340" i="22"/>
  <c r="AH340" i="22" s="1"/>
  <c r="AI73" i="22"/>
  <c r="AI28" i="22"/>
  <c r="AH28" i="22" s="1"/>
  <c r="AI151" i="22"/>
  <c r="AI150" i="22"/>
  <c r="AH150" i="22" s="1"/>
  <c r="AI141" i="22"/>
  <c r="AI272" i="22"/>
  <c r="AH272" i="22" s="1"/>
  <c r="AI278" i="22"/>
  <c r="AI44" i="22"/>
  <c r="AH44" i="22" s="1"/>
  <c r="AI269" i="22"/>
  <c r="AI39" i="22"/>
  <c r="AH39" i="22" s="1"/>
  <c r="AI41" i="22"/>
  <c r="AI230" i="22"/>
  <c r="AH230" i="22" s="1"/>
  <c r="AI60" i="22"/>
  <c r="AI157" i="22"/>
  <c r="AH157" i="22" s="1"/>
  <c r="AI362" i="22"/>
  <c r="AI57" i="22"/>
  <c r="AH57" i="22" s="1"/>
  <c r="AI182" i="22"/>
  <c r="AI149" i="22"/>
  <c r="AH149" i="22" s="1"/>
  <c r="AI322" i="22"/>
  <c r="AI88" i="22"/>
  <c r="AH88" i="22" s="1"/>
  <c r="AI265" i="22"/>
  <c r="AI67" i="22"/>
  <c r="AH67" i="22" s="1"/>
  <c r="AI101" i="22"/>
  <c r="AI274" i="22"/>
  <c r="AH274" i="22" s="1"/>
  <c r="AI343" i="22"/>
  <c r="AI217" i="22"/>
  <c r="AH217" i="22" s="1"/>
  <c r="AI19" i="22"/>
  <c r="AI364" i="22"/>
  <c r="AH364" i="22" s="1"/>
  <c r="AI226" i="22"/>
  <c r="AM16" i="7"/>
  <c r="U236" i="22"/>
  <c r="U100" i="22"/>
  <c r="U302" i="22"/>
  <c r="U111" i="22"/>
  <c r="U209" i="22"/>
  <c r="U58" i="22"/>
  <c r="U349" i="22"/>
  <c r="U94" i="22"/>
  <c r="U304" i="22"/>
  <c r="U97" i="22"/>
  <c r="U219" i="22"/>
  <c r="U68" i="22"/>
  <c r="U270" i="22"/>
  <c r="U102" i="22"/>
  <c r="U177" i="22"/>
  <c r="U267" i="22"/>
  <c r="U84" i="22"/>
  <c r="U62" i="22"/>
  <c r="U144" i="22"/>
  <c r="U306" i="22"/>
  <c r="U187" i="22"/>
  <c r="U269" i="22"/>
  <c r="U110" i="22"/>
  <c r="U123" i="22"/>
  <c r="U232" i="22"/>
  <c r="U205" i="22"/>
  <c r="U298" i="22"/>
  <c r="U46" i="22"/>
  <c r="U147" i="22"/>
  <c r="T147" i="22" s="1"/>
  <c r="U224" i="22"/>
  <c r="T224" i="22" s="1"/>
  <c r="U229" i="22"/>
  <c r="T229" i="22" s="1"/>
  <c r="U322" i="22"/>
  <c r="T322" i="22" s="1"/>
  <c r="U38" i="22"/>
  <c r="T38" i="22" s="1"/>
  <c r="U171" i="22"/>
  <c r="T171" i="22" s="1"/>
  <c r="U24" i="22"/>
  <c r="T24" i="22" s="1"/>
  <c r="U93" i="22"/>
  <c r="U218" i="22"/>
  <c r="T218" i="22" s="1"/>
  <c r="U199" i="22"/>
  <c r="T199" i="22" s="1"/>
  <c r="U276" i="22"/>
  <c r="T276" i="22" s="1"/>
  <c r="U48" i="22"/>
  <c r="T48" i="22" s="1"/>
  <c r="U149" i="22"/>
  <c r="T149" i="22" s="1"/>
  <c r="U210" i="22"/>
  <c r="T210" i="22" s="1"/>
  <c r="U223" i="22"/>
  <c r="T223" i="22" s="1"/>
  <c r="U332" i="22"/>
  <c r="U72" i="22"/>
  <c r="T72" i="22" s="1"/>
  <c r="U173" i="22"/>
  <c r="T173" i="22" s="1"/>
  <c r="U146" i="22"/>
  <c r="T146" i="22" s="1"/>
  <c r="U268" i="22"/>
  <c r="T268" i="22" s="1"/>
  <c r="U109" i="22"/>
  <c r="T109" i="22" s="1"/>
  <c r="U183" i="22"/>
  <c r="T183" i="22" s="1"/>
  <c r="U377" i="22"/>
  <c r="T377" i="22" s="1"/>
  <c r="U226" i="22"/>
  <c r="U188" i="22"/>
  <c r="T188" i="22" s="1"/>
  <c r="U230" i="22"/>
  <c r="T230" i="22" s="1"/>
  <c r="U103" i="22"/>
  <c r="T103" i="22" s="1"/>
  <c r="U169" i="22"/>
  <c r="T169" i="22" s="1"/>
  <c r="U355" i="22"/>
  <c r="T355" i="22" s="1"/>
  <c r="U152" i="22"/>
  <c r="T152" i="22" s="1"/>
  <c r="U203" i="22"/>
  <c r="T203" i="22" s="1"/>
  <c r="U35" i="22"/>
  <c r="U126" i="22"/>
  <c r="T126" i="22" s="1"/>
  <c r="U351" i="22"/>
  <c r="T351" i="22" s="1"/>
  <c r="U370" i="22"/>
  <c r="T370" i="22" s="1"/>
  <c r="U364" i="22"/>
  <c r="T364" i="22" s="1"/>
  <c r="U77" i="22"/>
  <c r="T77" i="22" s="1"/>
  <c r="U279" i="22"/>
  <c r="T279" i="22" s="1"/>
  <c r="U96" i="22"/>
  <c r="T96" i="22" s="1"/>
  <c r="U194" i="22"/>
  <c r="U43" i="22"/>
  <c r="T43" i="22" s="1"/>
  <c r="U266" i="22"/>
  <c r="T266" i="22" s="1"/>
  <c r="U375" i="22"/>
  <c r="T375" i="22" s="1"/>
  <c r="U356" i="22"/>
  <c r="T356" i="22" s="1"/>
  <c r="U64" i="22"/>
  <c r="T64" i="22" s="1"/>
  <c r="U197" i="22"/>
  <c r="T197" i="22" s="1"/>
  <c r="U290" i="22"/>
  <c r="T290" i="22" s="1"/>
  <c r="U367" i="22"/>
  <c r="U380" i="22"/>
  <c r="T380" i="22" s="1"/>
  <c r="U120" i="22"/>
  <c r="T120" i="22" s="1"/>
  <c r="U189" i="22"/>
  <c r="T189" i="22" s="1"/>
  <c r="U314" i="22"/>
  <c r="T314" i="22" s="1"/>
  <c r="U167" i="22"/>
  <c r="T167" i="22" s="1"/>
  <c r="U244" i="22"/>
  <c r="T244" i="22" s="1"/>
  <c r="U361" i="22"/>
  <c r="T361" i="22" s="1"/>
  <c r="U350" i="22"/>
  <c r="U50" i="22"/>
  <c r="T50" i="22" s="1"/>
  <c r="U191" i="22"/>
  <c r="T191" i="22" s="1"/>
  <c r="U300" i="22"/>
  <c r="T300" i="22" s="1"/>
  <c r="U353" i="22"/>
  <c r="T353" i="22" s="1"/>
  <c r="U374" i="22"/>
  <c r="T374" i="22" s="1"/>
  <c r="U106" i="22"/>
  <c r="T106" i="22" s="1"/>
  <c r="U215" i="22"/>
  <c r="T215" i="22" s="1"/>
  <c r="U324" i="22"/>
  <c r="U346" i="22"/>
  <c r="T346" i="22" s="1"/>
  <c r="U253" i="22"/>
  <c r="T253" i="22" s="1"/>
  <c r="U277" i="22"/>
  <c r="U208" i="22"/>
  <c r="T208" i="22" s="1"/>
  <c r="U200" i="22"/>
  <c r="T200" i="22" s="1"/>
  <c r="U138" i="22"/>
  <c r="T138" i="22" s="1"/>
  <c r="U228" i="22"/>
  <c r="U69" i="22"/>
  <c r="T69" i="22" s="1"/>
  <c r="U239" i="22"/>
  <c r="T239" i="22" s="1"/>
  <c r="U337" i="22"/>
  <c r="T337" i="22" s="1"/>
  <c r="U186" i="22"/>
  <c r="U372" i="22"/>
  <c r="T372" i="22" s="1"/>
  <c r="U117" i="22"/>
  <c r="T117" i="22" s="1"/>
  <c r="U319" i="22"/>
  <c r="T319" i="22" s="1"/>
  <c r="U40" i="22"/>
  <c r="U234" i="22"/>
  <c r="T234" i="22" s="1"/>
  <c r="U83" i="22"/>
  <c r="T83" i="22" s="1"/>
  <c r="U37" i="22"/>
  <c r="T37" i="22" s="1"/>
  <c r="U79" i="22"/>
  <c r="U305" i="22"/>
  <c r="T305" i="22" s="1"/>
  <c r="U26" i="22"/>
  <c r="T26" i="22" s="1"/>
  <c r="U212" i="22"/>
  <c r="T212" i="22" s="1"/>
  <c r="U190" i="22"/>
  <c r="U259" i="22"/>
  <c r="T259" i="22" s="1"/>
  <c r="U272" i="22"/>
  <c r="T272" i="22" s="1"/>
  <c r="U373" i="22"/>
  <c r="T373" i="22" s="1"/>
  <c r="U65" i="22"/>
  <c r="U214" i="22"/>
  <c r="T214" i="22" s="1"/>
  <c r="U315" i="22"/>
  <c r="T315" i="22" s="1"/>
  <c r="U296" i="22"/>
  <c r="T296" i="22" s="1"/>
  <c r="U36" i="22"/>
  <c r="U121" i="22"/>
  <c r="T121" i="22" s="1"/>
  <c r="U238" i="22"/>
  <c r="T238" i="22" s="1"/>
  <c r="U339" i="22"/>
  <c r="T339" i="22" s="1"/>
  <c r="U160" i="22"/>
  <c r="U293" i="22"/>
  <c r="T293" i="22" s="1"/>
  <c r="U258" i="22"/>
  <c r="T258" i="22" s="1"/>
  <c r="U335" i="22"/>
  <c r="T335" i="22" s="1"/>
  <c r="U107" i="22"/>
  <c r="U216" i="22"/>
  <c r="T216" i="22" s="1"/>
  <c r="U285" i="22"/>
  <c r="T285" i="22" s="1"/>
  <c r="U282" i="22"/>
  <c r="T282" i="22" s="1"/>
  <c r="U30" i="22"/>
  <c r="U99" i="22"/>
  <c r="T99" i="22" s="1"/>
  <c r="U240" i="22"/>
  <c r="T240" i="22" s="1"/>
  <c r="U153" i="22"/>
  <c r="T153" i="22" s="1"/>
  <c r="U18" i="22"/>
  <c r="U92" i="22"/>
  <c r="T92" i="22" s="1"/>
  <c r="U52" i="22"/>
  <c r="T52" i="22" s="1"/>
  <c r="U158" i="22"/>
  <c r="T158" i="22" s="1"/>
  <c r="U368" i="22"/>
  <c r="U274" i="22"/>
  <c r="T274" i="22" s="1"/>
  <c r="U27" i="22"/>
  <c r="T27" i="22" s="1"/>
  <c r="P379" i="20"/>
  <c r="V379" i="20" s="1"/>
  <c r="B379" i="20" s="1"/>
  <c r="W89" i="20"/>
  <c r="D89" i="20"/>
  <c r="E89" i="20" s="1"/>
  <c r="F89" i="20" s="1"/>
  <c r="AA89" i="20" s="1"/>
  <c r="Z89" i="20" s="1"/>
  <c r="Y89" i="20" s="1"/>
  <c r="W32" i="20"/>
  <c r="D32" i="20"/>
  <c r="E32" i="20" s="1"/>
  <c r="F32" i="20" s="1"/>
  <c r="AA32" i="20" s="1"/>
  <c r="Z32" i="20" s="1"/>
  <c r="Y32" i="20" s="1"/>
  <c r="AH21" i="7"/>
  <c r="V60" i="20"/>
  <c r="B60" i="20" s="1"/>
  <c r="W60" i="20" s="1"/>
  <c r="AA180" i="18"/>
  <c r="Z180" i="18" s="1"/>
  <c r="Y180" i="18" s="1"/>
  <c r="J242" i="18"/>
  <c r="C242" i="6" s="1"/>
  <c r="G312" i="18"/>
  <c r="CA312" i="6" s="1"/>
  <c r="AA312" i="18"/>
  <c r="Z312" i="18" s="1"/>
  <c r="Y312" i="18" s="1"/>
  <c r="H312" i="18"/>
  <c r="B312" i="20"/>
  <c r="W312" i="20" s="1"/>
  <c r="F229" i="18"/>
  <c r="D214" i="20"/>
  <c r="E214" i="20" s="1"/>
  <c r="F214" i="20" s="1"/>
  <c r="G214" i="20" s="1"/>
  <c r="CB214" i="6" s="1"/>
  <c r="W214" i="20"/>
  <c r="W281" i="20"/>
  <c r="D281" i="20"/>
  <c r="E281" i="20" s="1"/>
  <c r="F281" i="20" s="1"/>
  <c r="W295" i="20"/>
  <c r="D295" i="20"/>
  <c r="E295" i="20" s="1"/>
  <c r="F295" i="20" s="1"/>
  <c r="D300" i="20"/>
  <c r="E300" i="20" s="1"/>
  <c r="F300" i="20" s="1"/>
  <c r="H300" i="20" s="1"/>
  <c r="W300" i="20"/>
  <c r="W161" i="20"/>
  <c r="D161" i="20"/>
  <c r="E161" i="20" s="1"/>
  <c r="F161" i="20" s="1"/>
  <c r="H161" i="20" s="1"/>
  <c r="W303" i="20"/>
  <c r="D303" i="20"/>
  <c r="E303" i="20" s="1"/>
  <c r="F303" i="20" s="1"/>
  <c r="G303" i="20" s="1"/>
  <c r="CB303" i="6" s="1"/>
  <c r="W182" i="20"/>
  <c r="D182" i="20"/>
  <c r="E182" i="20" s="1"/>
  <c r="F182" i="20" s="1"/>
  <c r="H182" i="20" s="1"/>
  <c r="W322" i="20"/>
  <c r="D322" i="20"/>
  <c r="E322" i="20" s="1"/>
  <c r="F322" i="20" s="1"/>
  <c r="H322" i="20" s="1"/>
  <c r="D263" i="20"/>
  <c r="E263" i="20" s="1"/>
  <c r="F263" i="20" s="1"/>
  <c r="H263" i="20" s="1"/>
  <c r="W263" i="20"/>
  <c r="D123" i="20"/>
  <c r="E123" i="20" s="1"/>
  <c r="F123" i="20" s="1"/>
  <c r="W123" i="20"/>
  <c r="W192" i="20"/>
  <c r="D192" i="20"/>
  <c r="E192" i="20" s="1"/>
  <c r="F192" i="20" s="1"/>
  <c r="H192" i="20" s="1"/>
  <c r="D107" i="20"/>
  <c r="E107" i="20" s="1"/>
  <c r="F107" i="20" s="1"/>
  <c r="G107" i="20" s="1"/>
  <c r="CB107" i="6" s="1"/>
  <c r="W107" i="20"/>
  <c r="D188" i="20"/>
  <c r="E188" i="20" s="1"/>
  <c r="F188" i="20" s="1"/>
  <c r="W188" i="20"/>
  <c r="W75" i="20"/>
  <c r="D75" i="20"/>
  <c r="E75" i="20" s="1"/>
  <c r="F75" i="20" s="1"/>
  <c r="AA75" i="20" s="1"/>
  <c r="Z75" i="20" s="1"/>
  <c r="Y75" i="20" s="1"/>
  <c r="D24" i="20"/>
  <c r="E24" i="20" s="1"/>
  <c r="F24" i="20" s="1"/>
  <c r="H24" i="20" s="1"/>
  <c r="W24" i="20"/>
  <c r="D45" i="20"/>
  <c r="E45" i="20" s="1"/>
  <c r="F45" i="20" s="1"/>
  <c r="H45" i="20" s="1"/>
  <c r="W45" i="20"/>
  <c r="W93" i="20"/>
  <c r="D93" i="20"/>
  <c r="E93" i="20" s="1"/>
  <c r="F93" i="20" s="1"/>
  <c r="D39" i="20"/>
  <c r="E39" i="20" s="1"/>
  <c r="F39" i="20" s="1"/>
  <c r="AA39" i="20" s="1"/>
  <c r="Z39" i="20" s="1"/>
  <c r="Y39" i="20" s="1"/>
  <c r="W39" i="20"/>
  <c r="D28" i="20"/>
  <c r="E28" i="20" s="1"/>
  <c r="F28" i="20" s="1"/>
  <c r="W28" i="20"/>
  <c r="W96" i="20"/>
  <c r="D96" i="20"/>
  <c r="E96" i="20" s="1"/>
  <c r="F96" i="20" s="1"/>
  <c r="AA96" i="20" s="1"/>
  <c r="Z96" i="20" s="1"/>
  <c r="Y96" i="20" s="1"/>
  <c r="W30" i="20"/>
  <c r="D30" i="20"/>
  <c r="E30" i="20" s="1"/>
  <c r="F30" i="20" s="1"/>
  <c r="AA30" i="20" s="1"/>
  <c r="Z30" i="20" s="1"/>
  <c r="Y30" i="20" s="1"/>
  <c r="W82" i="20"/>
  <c r="D82" i="20"/>
  <c r="E82" i="20" s="1"/>
  <c r="F82" i="20" s="1"/>
  <c r="H82" i="20" s="1"/>
  <c r="D98" i="20"/>
  <c r="E98" i="20" s="1"/>
  <c r="F98" i="20" s="1"/>
  <c r="W98" i="20"/>
  <c r="W61" i="20"/>
  <c r="D61" i="20"/>
  <c r="E61" i="20" s="1"/>
  <c r="F61" i="20" s="1"/>
  <c r="H61" i="20" s="1"/>
  <c r="D84" i="20"/>
  <c r="E84" i="20" s="1"/>
  <c r="F84" i="20" s="1"/>
  <c r="H84" i="20" s="1"/>
  <c r="W84" i="20"/>
  <c r="D26" i="20"/>
  <c r="E26" i="20" s="1"/>
  <c r="F26" i="20" s="1"/>
  <c r="G26" i="20" s="1"/>
  <c r="CB26" i="6" s="1"/>
  <c r="W26" i="20"/>
  <c r="W51" i="20"/>
  <c r="D51" i="20"/>
  <c r="E51" i="20" s="1"/>
  <c r="F51" i="20" s="1"/>
  <c r="AA51" i="20" s="1"/>
  <c r="Z51" i="20" s="1"/>
  <c r="Y51" i="20" s="1"/>
  <c r="W20" i="20"/>
  <c r="D20" i="20"/>
  <c r="E20" i="20" s="1"/>
  <c r="F20" i="20" s="1"/>
  <c r="AA20" i="20" s="1"/>
  <c r="Z20" i="20" s="1"/>
  <c r="Y20" i="20" s="1"/>
  <c r="W36" i="20"/>
  <c r="D36" i="20"/>
  <c r="E36" i="20" s="1"/>
  <c r="F36" i="20" s="1"/>
  <c r="AA36" i="20" s="1"/>
  <c r="Z36" i="20" s="1"/>
  <c r="Y36" i="20" s="1"/>
  <c r="W40" i="20"/>
  <c r="D40" i="20"/>
  <c r="E40" i="20" s="1"/>
  <c r="F40" i="20" s="1"/>
  <c r="G40" i="20" s="1"/>
  <c r="CB40" i="6" s="1"/>
  <c r="D76" i="20"/>
  <c r="E76" i="20" s="1"/>
  <c r="F76" i="20" s="1"/>
  <c r="W76" i="20"/>
  <c r="D62" i="20"/>
  <c r="E62" i="20" s="1"/>
  <c r="F62" i="20" s="1"/>
  <c r="G62" i="20" s="1"/>
  <c r="CB62" i="6" s="1"/>
  <c r="W62" i="20"/>
  <c r="W94" i="20"/>
  <c r="D94" i="20"/>
  <c r="E94" i="20" s="1"/>
  <c r="F94" i="20" s="1"/>
  <c r="G94" i="20" s="1"/>
  <c r="CB94" i="6" s="1"/>
  <c r="D54" i="20"/>
  <c r="E54" i="20" s="1"/>
  <c r="F54" i="20" s="1"/>
  <c r="W54" i="20"/>
  <c r="W67" i="20"/>
  <c r="D67" i="20"/>
  <c r="E67" i="20" s="1"/>
  <c r="F67" i="20" s="1"/>
  <c r="G67" i="20" s="1"/>
  <c r="CB67" i="6" s="1"/>
  <c r="D31" i="20"/>
  <c r="E31" i="20" s="1"/>
  <c r="F31" i="20" s="1"/>
  <c r="W31" i="20"/>
  <c r="D99" i="20"/>
  <c r="E99" i="20" s="1"/>
  <c r="F99" i="20" s="1"/>
  <c r="G99" i="20" s="1"/>
  <c r="CB99" i="6" s="1"/>
  <c r="W99" i="20"/>
  <c r="D87" i="20"/>
  <c r="E87" i="20" s="1"/>
  <c r="F87" i="20" s="1"/>
  <c r="W87" i="20"/>
  <c r="D102" i="20"/>
  <c r="E102" i="20" s="1"/>
  <c r="F102" i="20" s="1"/>
  <c r="G102" i="20" s="1"/>
  <c r="CB102" i="6" s="1"/>
  <c r="W102" i="20"/>
  <c r="D92" i="20"/>
  <c r="E92" i="20" s="1"/>
  <c r="F92" i="20" s="1"/>
  <c r="H92" i="20" s="1"/>
  <c r="W92" i="20"/>
  <c r="W47" i="20"/>
  <c r="D47" i="20"/>
  <c r="E47" i="20" s="1"/>
  <c r="F47" i="20" s="1"/>
  <c r="G47" i="20" s="1"/>
  <c r="CB47" i="6" s="1"/>
  <c r="D73" i="20"/>
  <c r="E73" i="20" s="1"/>
  <c r="F73" i="20" s="1"/>
  <c r="W73" i="20"/>
  <c r="D27" i="20"/>
  <c r="E27" i="20" s="1"/>
  <c r="F27" i="20" s="1"/>
  <c r="H27" i="20" s="1"/>
  <c r="W27" i="20"/>
  <c r="D35" i="20"/>
  <c r="E35" i="20" s="1"/>
  <c r="F35" i="20" s="1"/>
  <c r="AA35" i="20" s="1"/>
  <c r="Z35" i="20" s="1"/>
  <c r="Y35" i="20" s="1"/>
  <c r="W35" i="20"/>
  <c r="AH20" i="7"/>
  <c r="V29" i="20"/>
  <c r="B29" i="20" s="1"/>
  <c r="D29" i="20" s="1"/>
  <c r="E29" i="20" s="1"/>
  <c r="F29" i="20" s="1"/>
  <c r="D72" i="20"/>
  <c r="E72" i="20" s="1"/>
  <c r="F72" i="20" s="1"/>
  <c r="H72" i="20" s="1"/>
  <c r="W72" i="20"/>
  <c r="D55" i="20"/>
  <c r="E55" i="20" s="1"/>
  <c r="F55" i="20" s="1"/>
  <c r="H55" i="20" s="1"/>
  <c r="W55" i="20"/>
  <c r="W58" i="20"/>
  <c r="D58" i="20"/>
  <c r="E58" i="20" s="1"/>
  <c r="F58" i="20" s="1"/>
  <c r="G58" i="20" s="1"/>
  <c r="CB58" i="6" s="1"/>
  <c r="D53" i="20"/>
  <c r="E53" i="20" s="1"/>
  <c r="F53" i="20" s="1"/>
  <c r="W53" i="20"/>
  <c r="D56" i="20"/>
  <c r="E56" i="20" s="1"/>
  <c r="F56" i="20" s="1"/>
  <c r="G56" i="20" s="1"/>
  <c r="CB56" i="6" s="1"/>
  <c r="W56" i="20"/>
  <c r="D43" i="20"/>
  <c r="E43" i="20" s="1"/>
  <c r="F43" i="20" s="1"/>
  <c r="AA43" i="20" s="1"/>
  <c r="Z43" i="20" s="1"/>
  <c r="Y43" i="20" s="1"/>
  <c r="W43" i="20"/>
  <c r="D70" i="20"/>
  <c r="E70" i="20" s="1"/>
  <c r="F70" i="20" s="1"/>
  <c r="G70" i="20" s="1"/>
  <c r="CB70" i="6" s="1"/>
  <c r="W70" i="20"/>
  <c r="W38" i="20"/>
  <c r="D38" i="20"/>
  <c r="E38" i="20" s="1"/>
  <c r="F38" i="20" s="1"/>
  <c r="AA38" i="20" s="1"/>
  <c r="Z38" i="20" s="1"/>
  <c r="Y38" i="20" s="1"/>
  <c r="D83" i="20"/>
  <c r="E83" i="20" s="1"/>
  <c r="F83" i="20" s="1"/>
  <c r="AA83" i="20" s="1"/>
  <c r="Z83" i="20" s="1"/>
  <c r="Y83" i="20" s="1"/>
  <c r="W83" i="20"/>
  <c r="D97" i="20"/>
  <c r="E97" i="20" s="1"/>
  <c r="F97" i="20" s="1"/>
  <c r="AA97" i="20" s="1"/>
  <c r="Z97" i="20" s="1"/>
  <c r="Y97" i="20" s="1"/>
  <c r="W97" i="20"/>
  <c r="D184" i="20"/>
  <c r="E184" i="20" s="1"/>
  <c r="F184" i="20" s="1"/>
  <c r="H184" i="20" s="1"/>
  <c r="W184" i="20"/>
  <c r="W339" i="20"/>
  <c r="D339" i="20"/>
  <c r="E339" i="20" s="1"/>
  <c r="F339" i="20" s="1"/>
  <c r="D278" i="20"/>
  <c r="E278" i="20" s="1"/>
  <c r="F278" i="20" s="1"/>
  <c r="H278" i="20" s="1"/>
  <c r="W278" i="20"/>
  <c r="W124" i="20"/>
  <c r="D124" i="20"/>
  <c r="E124" i="20" s="1"/>
  <c r="F124" i="20" s="1"/>
  <c r="H124" i="20" s="1"/>
  <c r="D231" i="20"/>
  <c r="E231" i="20" s="1"/>
  <c r="F231" i="20" s="1"/>
  <c r="H231" i="20" s="1"/>
  <c r="W231" i="20"/>
  <c r="W249" i="20"/>
  <c r="D249" i="20"/>
  <c r="E249" i="20" s="1"/>
  <c r="F249" i="20" s="1"/>
  <c r="D350" i="20"/>
  <c r="E350" i="20" s="1"/>
  <c r="F350" i="20" s="1"/>
  <c r="W350" i="20"/>
  <c r="D145" i="20"/>
  <c r="E145" i="20" s="1"/>
  <c r="F145" i="20" s="1"/>
  <c r="G145" i="20" s="1"/>
  <c r="CB145" i="6" s="1"/>
  <c r="W145" i="20"/>
  <c r="D375" i="20"/>
  <c r="E375" i="20" s="1"/>
  <c r="F375" i="20" s="1"/>
  <c r="W375" i="20"/>
  <c r="D109" i="20"/>
  <c r="E109" i="20" s="1"/>
  <c r="F109" i="20" s="1"/>
  <c r="G109" i="20" s="1"/>
  <c r="CB109" i="6" s="1"/>
  <c r="W109" i="20"/>
  <c r="D251" i="20"/>
  <c r="E251" i="20" s="1"/>
  <c r="F251" i="20" s="1"/>
  <c r="H251" i="20" s="1"/>
  <c r="W251" i="20"/>
  <c r="D232" i="20"/>
  <c r="E232" i="20" s="1"/>
  <c r="F232" i="20" s="1"/>
  <c r="W232" i="20"/>
  <c r="V180" i="20"/>
  <c r="B180" i="20" s="1"/>
  <c r="AH25" i="7"/>
  <c r="D118" i="20"/>
  <c r="E118" i="20" s="1"/>
  <c r="F118" i="20" s="1"/>
  <c r="H118" i="20" s="1"/>
  <c r="W118" i="20"/>
  <c r="W250" i="20"/>
  <c r="D250" i="20"/>
  <c r="E250" i="20" s="1"/>
  <c r="F250" i="20" s="1"/>
  <c r="G250" i="20" s="1"/>
  <c r="CB250" i="6" s="1"/>
  <c r="W264" i="20"/>
  <c r="D264" i="20"/>
  <c r="E264" i="20" s="1"/>
  <c r="F264" i="20" s="1"/>
  <c r="G264" i="20" s="1"/>
  <c r="CB264" i="6" s="1"/>
  <c r="W362" i="20"/>
  <c r="D362" i="20"/>
  <c r="E362" i="20" s="1"/>
  <c r="F362" i="20" s="1"/>
  <c r="H362" i="20" s="1"/>
  <c r="W187" i="20"/>
  <c r="D187" i="20"/>
  <c r="E187" i="20" s="1"/>
  <c r="F187" i="20" s="1"/>
  <c r="H187" i="20" s="1"/>
  <c r="D104" i="20"/>
  <c r="E104" i="20" s="1"/>
  <c r="F104" i="20" s="1"/>
  <c r="G104" i="20" s="1"/>
  <c r="CB104" i="6" s="1"/>
  <c r="W104" i="20"/>
  <c r="W202" i="20"/>
  <c r="D202" i="20"/>
  <c r="E202" i="20" s="1"/>
  <c r="F202" i="20" s="1"/>
  <c r="G202" i="20" s="1"/>
  <c r="CB202" i="6" s="1"/>
  <c r="W317" i="20"/>
  <c r="D317" i="20"/>
  <c r="E317" i="20" s="1"/>
  <c r="F317" i="20" s="1"/>
  <c r="H317" i="20" s="1"/>
  <c r="D267" i="20"/>
  <c r="E267" i="20" s="1"/>
  <c r="F267" i="20" s="1"/>
  <c r="W267" i="20"/>
  <c r="W168" i="20"/>
  <c r="D168" i="20"/>
  <c r="E168" i="20" s="1"/>
  <c r="F168" i="20" s="1"/>
  <c r="D299" i="20"/>
  <c r="E299" i="20" s="1"/>
  <c r="F299" i="20" s="1"/>
  <c r="G299" i="20" s="1"/>
  <c r="CB299" i="6" s="1"/>
  <c r="W299" i="20"/>
  <c r="W194" i="20"/>
  <c r="D194" i="20"/>
  <c r="E194" i="20" s="1"/>
  <c r="F194" i="20" s="1"/>
  <c r="G194" i="20" s="1"/>
  <c r="CB194" i="6" s="1"/>
  <c r="D312" i="20"/>
  <c r="E312" i="20" s="1"/>
  <c r="F312" i="20" s="1"/>
  <c r="G312" i="20" s="1"/>
  <c r="CB312" i="6" s="1"/>
  <c r="V210" i="20"/>
  <c r="AH26" i="7"/>
  <c r="W279" i="20"/>
  <c r="D279" i="20"/>
  <c r="E279" i="20" s="1"/>
  <c r="F279" i="20" s="1"/>
  <c r="W190" i="20"/>
  <c r="D190" i="20"/>
  <c r="E190" i="20" s="1"/>
  <c r="F190" i="20" s="1"/>
  <c r="G190" i="20" s="1"/>
  <c r="CB190" i="6" s="1"/>
  <c r="D129" i="20"/>
  <c r="E129" i="20" s="1"/>
  <c r="F129" i="20" s="1"/>
  <c r="G129" i="20" s="1"/>
  <c r="CB129" i="6" s="1"/>
  <c r="W129" i="20"/>
  <c r="D373" i="20"/>
  <c r="E373" i="20" s="1"/>
  <c r="F373" i="20" s="1"/>
  <c r="H373" i="20" s="1"/>
  <c r="W373" i="20"/>
  <c r="W311" i="20"/>
  <c r="D311" i="20"/>
  <c r="E311" i="20" s="1"/>
  <c r="F311" i="20" s="1"/>
  <c r="G311" i="20" s="1"/>
  <c r="CB311" i="6" s="1"/>
  <c r="D346" i="20"/>
  <c r="E346" i="20" s="1"/>
  <c r="F346" i="20" s="1"/>
  <c r="G346" i="20" s="1"/>
  <c r="CB346" i="6" s="1"/>
  <c r="W346" i="20"/>
  <c r="D175" i="20"/>
  <c r="E175" i="20" s="1"/>
  <c r="F175" i="20" s="1"/>
  <c r="H175" i="20" s="1"/>
  <c r="W175" i="20"/>
  <c r="D113" i="20"/>
  <c r="E113" i="20" s="1"/>
  <c r="F113" i="20" s="1"/>
  <c r="G113" i="20" s="1"/>
  <c r="CB113" i="6" s="1"/>
  <c r="W113" i="20"/>
  <c r="W352" i="20"/>
  <c r="D352" i="20"/>
  <c r="E352" i="20" s="1"/>
  <c r="F352" i="20" s="1"/>
  <c r="W366" i="20"/>
  <c r="D366" i="20"/>
  <c r="E366" i="20" s="1"/>
  <c r="F366" i="20" s="1"/>
  <c r="G366" i="20" s="1"/>
  <c r="CB366" i="6" s="1"/>
  <c r="W185" i="20"/>
  <c r="D185" i="20"/>
  <c r="E185" i="20" s="1"/>
  <c r="F185" i="20" s="1"/>
  <c r="H185" i="20" s="1"/>
  <c r="W195" i="20"/>
  <c r="D195" i="20"/>
  <c r="E195" i="20" s="1"/>
  <c r="F195" i="20" s="1"/>
  <c r="G195" i="20" s="1"/>
  <c r="CB195" i="6" s="1"/>
  <c r="W337" i="20"/>
  <c r="D337" i="20"/>
  <c r="E337" i="20" s="1"/>
  <c r="F337" i="20" s="1"/>
  <c r="G337" i="20" s="1"/>
  <c r="CB337" i="6" s="1"/>
  <c r="D224" i="20"/>
  <c r="E224" i="20" s="1"/>
  <c r="F224" i="20" s="1"/>
  <c r="G224" i="20" s="1"/>
  <c r="CB224" i="6" s="1"/>
  <c r="W224" i="20"/>
  <c r="W338" i="20"/>
  <c r="D338" i="20"/>
  <c r="E338" i="20" s="1"/>
  <c r="F338" i="20" s="1"/>
  <c r="H338" i="20" s="1"/>
  <c r="D203" i="20"/>
  <c r="E203" i="20" s="1"/>
  <c r="F203" i="20" s="1"/>
  <c r="H203" i="20" s="1"/>
  <c r="W203" i="20"/>
  <c r="D377" i="20"/>
  <c r="E377" i="20" s="1"/>
  <c r="F377" i="20" s="1"/>
  <c r="H377" i="20" s="1"/>
  <c r="W377" i="20"/>
  <c r="D106" i="20"/>
  <c r="E106" i="20" s="1"/>
  <c r="F106" i="20" s="1"/>
  <c r="G106" i="20" s="1"/>
  <c r="CB106" i="6" s="1"/>
  <c r="W106" i="20"/>
  <c r="D289" i="20"/>
  <c r="E289" i="20" s="1"/>
  <c r="F289" i="20" s="1"/>
  <c r="W289" i="20"/>
  <c r="D320" i="20"/>
  <c r="E320" i="20" s="1"/>
  <c r="F320" i="20" s="1"/>
  <c r="H320" i="20" s="1"/>
  <c r="W320" i="20"/>
  <c r="D206" i="20"/>
  <c r="E206" i="20" s="1"/>
  <c r="F206" i="20" s="1"/>
  <c r="W206" i="20"/>
  <c r="W134" i="20"/>
  <c r="D134" i="20"/>
  <c r="E134" i="20" s="1"/>
  <c r="F134" i="20" s="1"/>
  <c r="W323" i="20"/>
  <c r="D323" i="20"/>
  <c r="E323" i="20" s="1"/>
  <c r="F323" i="20" s="1"/>
  <c r="W225" i="20"/>
  <c r="D225" i="20"/>
  <c r="E225" i="20" s="1"/>
  <c r="F225" i="20" s="1"/>
  <c r="D117" i="20"/>
  <c r="E117" i="20" s="1"/>
  <c r="F117" i="20" s="1"/>
  <c r="G117" i="20" s="1"/>
  <c r="CB117" i="6" s="1"/>
  <c r="W117" i="20"/>
  <c r="W265" i="20"/>
  <c r="D265" i="20"/>
  <c r="E265" i="20" s="1"/>
  <c r="F265" i="20" s="1"/>
  <c r="G265" i="20" s="1"/>
  <c r="CB265" i="6" s="1"/>
  <c r="W197" i="20"/>
  <c r="D197" i="20"/>
  <c r="E197" i="20" s="1"/>
  <c r="F197" i="20" s="1"/>
  <c r="V363" i="20"/>
  <c r="B363" i="20" s="1"/>
  <c r="D363" i="20" s="1"/>
  <c r="E363" i="20" s="1"/>
  <c r="F363" i="20" s="1"/>
  <c r="AH31" i="7"/>
  <c r="W221" i="20"/>
  <c r="D221" i="20"/>
  <c r="E221" i="20" s="1"/>
  <c r="F221" i="20" s="1"/>
  <c r="G221" i="20" s="1"/>
  <c r="CB221" i="6" s="1"/>
  <c r="D108" i="20"/>
  <c r="E108" i="20" s="1"/>
  <c r="F108" i="20" s="1"/>
  <c r="W108" i="20"/>
  <c r="D266" i="20"/>
  <c r="E266" i="20" s="1"/>
  <c r="F266" i="20" s="1"/>
  <c r="H266" i="20" s="1"/>
  <c r="W266" i="20"/>
  <c r="D143" i="20"/>
  <c r="E143" i="20" s="1"/>
  <c r="F143" i="20" s="1"/>
  <c r="G143" i="20" s="1"/>
  <c r="CB143" i="6" s="1"/>
  <c r="W143" i="20"/>
  <c r="D305" i="20"/>
  <c r="E305" i="20" s="1"/>
  <c r="F305" i="20" s="1"/>
  <c r="G305" i="20" s="1"/>
  <c r="CB305" i="6" s="1"/>
  <c r="W305" i="20"/>
  <c r="D285" i="20"/>
  <c r="E285" i="20" s="1"/>
  <c r="F285" i="20" s="1"/>
  <c r="W285" i="20"/>
  <c r="W216" i="20"/>
  <c r="D216" i="20"/>
  <c r="E216" i="20" s="1"/>
  <c r="F216" i="20" s="1"/>
  <c r="D151" i="20"/>
  <c r="E151" i="20" s="1"/>
  <c r="F151" i="20" s="1"/>
  <c r="G151" i="20" s="1"/>
  <c r="CB151" i="6" s="1"/>
  <c r="W151" i="20"/>
  <c r="D282" i="20"/>
  <c r="E282" i="20" s="1"/>
  <c r="F282" i="20" s="1"/>
  <c r="W282" i="20"/>
  <c r="D223" i="20"/>
  <c r="E223" i="20" s="1"/>
  <c r="F223" i="20" s="1"/>
  <c r="W223" i="20"/>
  <c r="D325" i="20"/>
  <c r="E325" i="20" s="1"/>
  <c r="F325" i="20" s="1"/>
  <c r="H325" i="20" s="1"/>
  <c r="W325" i="20"/>
  <c r="W218" i="20"/>
  <c r="D218" i="20"/>
  <c r="E218" i="20" s="1"/>
  <c r="F218" i="20" s="1"/>
  <c r="W111" i="20"/>
  <c r="D111" i="20"/>
  <c r="E111" i="20" s="1"/>
  <c r="F111" i="20" s="1"/>
  <c r="W248" i="20"/>
  <c r="D248" i="20"/>
  <c r="E248" i="20" s="1"/>
  <c r="F248" i="20" s="1"/>
  <c r="H248" i="20" s="1"/>
  <c r="W374" i="20"/>
  <c r="D374" i="20"/>
  <c r="E374" i="20" s="1"/>
  <c r="F374" i="20" s="1"/>
  <c r="G374" i="20" s="1"/>
  <c r="CB374" i="6" s="1"/>
  <c r="W253" i="20"/>
  <c r="D253" i="20"/>
  <c r="E253" i="20" s="1"/>
  <c r="F253" i="20" s="1"/>
  <c r="G253" i="20" s="1"/>
  <c r="CB253" i="6" s="1"/>
  <c r="D238" i="20"/>
  <c r="E238" i="20" s="1"/>
  <c r="F238" i="20" s="1"/>
  <c r="W238" i="20"/>
  <c r="W130" i="20"/>
  <c r="D130" i="20"/>
  <c r="E130" i="20" s="1"/>
  <c r="F130" i="20" s="1"/>
  <c r="G130" i="20" s="1"/>
  <c r="CB130" i="6" s="1"/>
  <c r="D309" i="20"/>
  <c r="E309" i="20" s="1"/>
  <c r="F309" i="20" s="1"/>
  <c r="G309" i="20" s="1"/>
  <c r="CB309" i="6" s="1"/>
  <c r="W309" i="20"/>
  <c r="W247" i="20"/>
  <c r="D247" i="20"/>
  <c r="E247" i="20" s="1"/>
  <c r="F247" i="20" s="1"/>
  <c r="H247" i="20" s="1"/>
  <c r="W240" i="20"/>
  <c r="D240" i="20"/>
  <c r="E240" i="20" s="1"/>
  <c r="F240" i="20" s="1"/>
  <c r="H240" i="20" s="1"/>
  <c r="D162" i="20"/>
  <c r="E162" i="20" s="1"/>
  <c r="F162" i="20" s="1"/>
  <c r="G162" i="20" s="1"/>
  <c r="CB162" i="6" s="1"/>
  <c r="W162" i="20"/>
  <c r="W147" i="20"/>
  <c r="D147" i="20"/>
  <c r="E147" i="20" s="1"/>
  <c r="F147" i="20" s="1"/>
  <c r="D287" i="20"/>
  <c r="E287" i="20" s="1"/>
  <c r="F287" i="20" s="1"/>
  <c r="H287" i="20" s="1"/>
  <c r="W287" i="20"/>
  <c r="W209" i="20"/>
  <c r="D209" i="20"/>
  <c r="E209" i="20" s="1"/>
  <c r="F209" i="20" s="1"/>
  <c r="H209" i="20" s="1"/>
  <c r="W132" i="20"/>
  <c r="D132" i="20"/>
  <c r="E132" i="20" s="1"/>
  <c r="F132" i="20" s="1"/>
  <c r="G132" i="20" s="1"/>
  <c r="CB132" i="6" s="1"/>
  <c r="W112" i="20"/>
  <c r="D112" i="20"/>
  <c r="E112" i="20" s="1"/>
  <c r="F112" i="20" s="1"/>
  <c r="G112" i="20" s="1"/>
  <c r="CB112" i="6" s="1"/>
  <c r="W153" i="20"/>
  <c r="D153" i="20"/>
  <c r="E153" i="20" s="1"/>
  <c r="F153" i="20" s="1"/>
  <c r="G153" i="20" s="1"/>
  <c r="CB153" i="6" s="1"/>
  <c r="D353" i="20"/>
  <c r="E353" i="20" s="1"/>
  <c r="F353" i="20" s="1"/>
  <c r="G353" i="20" s="1"/>
  <c r="CB353" i="6" s="1"/>
  <c r="W353" i="20"/>
  <c r="W294" i="20"/>
  <c r="D294" i="20"/>
  <c r="E294" i="20" s="1"/>
  <c r="F294" i="20" s="1"/>
  <c r="D158" i="20"/>
  <c r="E158" i="20" s="1"/>
  <c r="F158" i="20" s="1"/>
  <c r="G158" i="20" s="1"/>
  <c r="CB158" i="6" s="1"/>
  <c r="W158" i="20"/>
  <c r="W120" i="20"/>
  <c r="D120" i="20"/>
  <c r="E120" i="20" s="1"/>
  <c r="F120" i="20" s="1"/>
  <c r="W193" i="20"/>
  <c r="D193" i="20"/>
  <c r="E193" i="20" s="1"/>
  <c r="F193" i="20" s="1"/>
  <c r="D127" i="20"/>
  <c r="E127" i="20" s="1"/>
  <c r="F127" i="20" s="1"/>
  <c r="G127" i="20" s="1"/>
  <c r="CB127" i="6" s="1"/>
  <c r="W127" i="20"/>
  <c r="D334" i="20"/>
  <c r="E334" i="20" s="1"/>
  <c r="F334" i="20" s="1"/>
  <c r="H334" i="20" s="1"/>
  <c r="W334" i="20"/>
  <c r="W207" i="20"/>
  <c r="D207" i="20"/>
  <c r="E207" i="20" s="1"/>
  <c r="F207" i="20" s="1"/>
  <c r="W243" i="20"/>
  <c r="D243" i="20"/>
  <c r="E243" i="20" s="1"/>
  <c r="F243" i="20" s="1"/>
  <c r="W152" i="20"/>
  <c r="D152" i="20"/>
  <c r="E152" i="20" s="1"/>
  <c r="F152" i="20" s="1"/>
  <c r="W359" i="20"/>
  <c r="D359" i="20"/>
  <c r="E359" i="20" s="1"/>
  <c r="F359" i="20" s="1"/>
  <c r="H359" i="20" s="1"/>
  <c r="W313" i="20"/>
  <c r="D313" i="20"/>
  <c r="E313" i="20" s="1"/>
  <c r="F313" i="20" s="1"/>
  <c r="G313" i="20" s="1"/>
  <c r="CB313" i="6" s="1"/>
  <c r="D328" i="20"/>
  <c r="E328" i="20" s="1"/>
  <c r="F328" i="20" s="1"/>
  <c r="W328" i="20"/>
  <c r="W298" i="20"/>
  <c r="D298" i="20"/>
  <c r="E298" i="20" s="1"/>
  <c r="F298" i="20" s="1"/>
  <c r="H298" i="20" s="1"/>
  <c r="D133" i="20"/>
  <c r="E133" i="20" s="1"/>
  <c r="F133" i="20" s="1"/>
  <c r="G133" i="20" s="1"/>
  <c r="CB133" i="6" s="1"/>
  <c r="W133" i="20"/>
  <c r="W315" i="20"/>
  <c r="D315" i="20"/>
  <c r="E315" i="20" s="1"/>
  <c r="F315" i="20" s="1"/>
  <c r="G315" i="20" s="1"/>
  <c r="CB315" i="6" s="1"/>
  <c r="W155" i="20"/>
  <c r="D155" i="20"/>
  <c r="E155" i="20" s="1"/>
  <c r="F155" i="20" s="1"/>
  <c r="H155" i="20" s="1"/>
  <c r="W199" i="20"/>
  <c r="D199" i="20"/>
  <c r="E199" i="20" s="1"/>
  <c r="F199" i="20" s="1"/>
  <c r="G199" i="20" s="1"/>
  <c r="CB199" i="6" s="1"/>
  <c r="D144" i="20"/>
  <c r="E144" i="20" s="1"/>
  <c r="F144" i="20" s="1"/>
  <c r="H144" i="20" s="1"/>
  <c r="W144" i="20"/>
  <c r="W181" i="20"/>
  <c r="D181" i="20"/>
  <c r="E181" i="20" s="1"/>
  <c r="F181" i="20" s="1"/>
  <c r="H181" i="20" s="1"/>
  <c r="W355" i="20"/>
  <c r="D355" i="20"/>
  <c r="E355" i="20" s="1"/>
  <c r="F355" i="20" s="1"/>
  <c r="G355" i="20" s="1"/>
  <c r="CB355" i="6" s="1"/>
  <c r="D261" i="20"/>
  <c r="E261" i="20" s="1"/>
  <c r="F261" i="20" s="1"/>
  <c r="W261" i="20"/>
  <c r="D268" i="20"/>
  <c r="E268" i="20" s="1"/>
  <c r="F268" i="20" s="1"/>
  <c r="W268" i="20"/>
  <c r="W330" i="20"/>
  <c r="D330" i="20"/>
  <c r="E330" i="20" s="1"/>
  <c r="F330" i="20" s="1"/>
  <c r="G330" i="20" s="1"/>
  <c r="CB330" i="6" s="1"/>
  <c r="W167" i="20"/>
  <c r="D167" i="20"/>
  <c r="E167" i="20" s="1"/>
  <c r="F167" i="20" s="1"/>
  <c r="W177" i="20"/>
  <c r="D177" i="20"/>
  <c r="E177" i="20" s="1"/>
  <c r="F177" i="20" s="1"/>
  <c r="G177" i="20" s="1"/>
  <c r="CB177" i="6" s="1"/>
  <c r="D329" i="20"/>
  <c r="E329" i="20" s="1"/>
  <c r="F329" i="20" s="1"/>
  <c r="G329" i="20" s="1"/>
  <c r="CB329" i="6" s="1"/>
  <c r="W329" i="20"/>
  <c r="W332" i="20"/>
  <c r="D332" i="20"/>
  <c r="E332" i="20" s="1"/>
  <c r="F332" i="20" s="1"/>
  <c r="G332" i="20" s="1"/>
  <c r="CB332" i="6" s="1"/>
  <c r="W171" i="20"/>
  <c r="D171" i="20"/>
  <c r="E171" i="20" s="1"/>
  <c r="F171" i="20" s="1"/>
  <c r="G171" i="20" s="1"/>
  <c r="CB171" i="6" s="1"/>
  <c r="D290" i="20"/>
  <c r="E290" i="20" s="1"/>
  <c r="F290" i="20" s="1"/>
  <c r="W290" i="20"/>
  <c r="W304" i="20"/>
  <c r="D304" i="20"/>
  <c r="E304" i="20" s="1"/>
  <c r="F304" i="20" s="1"/>
  <c r="G304" i="20" s="1"/>
  <c r="CB304" i="6" s="1"/>
  <c r="W369" i="20"/>
  <c r="D369" i="20"/>
  <c r="E369" i="20" s="1"/>
  <c r="F369" i="20" s="1"/>
  <c r="H369" i="20" s="1"/>
  <c r="D160" i="20"/>
  <c r="E160" i="20" s="1"/>
  <c r="F160" i="20" s="1"/>
  <c r="H160" i="20" s="1"/>
  <c r="W160" i="20"/>
  <c r="W260" i="20"/>
  <c r="D260" i="20"/>
  <c r="E260" i="20" s="1"/>
  <c r="F260" i="20" s="1"/>
  <c r="G260" i="20" s="1"/>
  <c r="CB260" i="6" s="1"/>
  <c r="W259" i="20"/>
  <c r="D259" i="20"/>
  <c r="E259" i="20" s="1"/>
  <c r="F259" i="20" s="1"/>
  <c r="H259" i="20" s="1"/>
  <c r="D370" i="20"/>
  <c r="E370" i="20" s="1"/>
  <c r="F370" i="20" s="1"/>
  <c r="H370" i="20" s="1"/>
  <c r="W370" i="20"/>
  <c r="W213" i="20"/>
  <c r="D213" i="20"/>
  <c r="E213" i="20" s="1"/>
  <c r="F213" i="20" s="1"/>
  <c r="W358" i="20"/>
  <c r="D358" i="20"/>
  <c r="E358" i="20" s="1"/>
  <c r="F358" i="20" s="1"/>
  <c r="G358" i="20" s="1"/>
  <c r="CB358" i="6" s="1"/>
  <c r="W296" i="20"/>
  <c r="D296" i="20"/>
  <c r="E296" i="20" s="1"/>
  <c r="F296" i="20" s="1"/>
  <c r="D262" i="20"/>
  <c r="E262" i="20" s="1"/>
  <c r="F262" i="20" s="1"/>
  <c r="G262" i="20" s="1"/>
  <c r="CB262" i="6" s="1"/>
  <c r="W262" i="20"/>
  <c r="D314" i="20"/>
  <c r="E314" i="20" s="1"/>
  <c r="F314" i="20" s="1"/>
  <c r="W314" i="20"/>
  <c r="D270" i="20"/>
  <c r="E270" i="20" s="1"/>
  <c r="F270" i="20" s="1"/>
  <c r="G270" i="20" s="1"/>
  <c r="CB270" i="6" s="1"/>
  <c r="W270" i="20"/>
  <c r="W174" i="20"/>
  <c r="D174" i="20"/>
  <c r="E174" i="20" s="1"/>
  <c r="F174" i="20" s="1"/>
  <c r="H174" i="20" s="1"/>
  <c r="D336" i="20"/>
  <c r="E336" i="20" s="1"/>
  <c r="F336" i="20" s="1"/>
  <c r="H336" i="20" s="1"/>
  <c r="W336" i="20"/>
  <c r="D212" i="20"/>
  <c r="E212" i="20" s="1"/>
  <c r="F212" i="20" s="1"/>
  <c r="H212" i="20" s="1"/>
  <c r="W212" i="20"/>
  <c r="W128" i="20"/>
  <c r="D128" i="20"/>
  <c r="E128" i="20" s="1"/>
  <c r="F128" i="20" s="1"/>
  <c r="G128" i="20" s="1"/>
  <c r="CB128" i="6" s="1"/>
  <c r="W114" i="20"/>
  <c r="D114" i="20"/>
  <c r="E114" i="20" s="1"/>
  <c r="F114" i="20" s="1"/>
  <c r="H114" i="20" s="1"/>
  <c r="D204" i="20"/>
  <c r="E204" i="20" s="1"/>
  <c r="F204" i="20" s="1"/>
  <c r="G204" i="20" s="1"/>
  <c r="CB204" i="6" s="1"/>
  <c r="W204" i="20"/>
  <c r="W324" i="20"/>
  <c r="D324" i="20"/>
  <c r="E324" i="20" s="1"/>
  <c r="F324" i="20" s="1"/>
  <c r="G324" i="20" s="1"/>
  <c r="CB324" i="6" s="1"/>
  <c r="W326" i="20"/>
  <c r="D326" i="20"/>
  <c r="E326" i="20" s="1"/>
  <c r="F326" i="20" s="1"/>
  <c r="G326" i="20" s="1"/>
  <c r="CB326" i="6" s="1"/>
  <c r="V241" i="20"/>
  <c r="B241" i="20" s="1"/>
  <c r="W241" i="20" s="1"/>
  <c r="AH27" i="7"/>
  <c r="D179" i="20"/>
  <c r="E179" i="20" s="1"/>
  <c r="F179" i="20" s="1"/>
  <c r="W179" i="20"/>
  <c r="W125" i="20"/>
  <c r="D125" i="20"/>
  <c r="E125" i="20" s="1"/>
  <c r="F125" i="20" s="1"/>
  <c r="G125" i="20" s="1"/>
  <c r="CB125" i="6" s="1"/>
  <c r="W331" i="20"/>
  <c r="D331" i="20"/>
  <c r="E331" i="20" s="1"/>
  <c r="F331" i="20" s="1"/>
  <c r="D277" i="20"/>
  <c r="E277" i="20" s="1"/>
  <c r="F277" i="20" s="1"/>
  <c r="H277" i="20" s="1"/>
  <c r="W277" i="20"/>
  <c r="D198" i="20"/>
  <c r="E198" i="20" s="1"/>
  <c r="F198" i="20" s="1"/>
  <c r="G198" i="20" s="1"/>
  <c r="CB198" i="6" s="1"/>
  <c r="W198" i="20"/>
  <c r="D142" i="20"/>
  <c r="E142" i="20" s="1"/>
  <c r="F142" i="20" s="1"/>
  <c r="G142" i="20" s="1"/>
  <c r="CB142" i="6" s="1"/>
  <c r="W142" i="20"/>
  <c r="D371" i="20"/>
  <c r="E371" i="20" s="1"/>
  <c r="F371" i="20" s="1"/>
  <c r="H371" i="20" s="1"/>
  <c r="W371" i="20"/>
  <c r="D122" i="20"/>
  <c r="E122" i="20" s="1"/>
  <c r="F122" i="20" s="1"/>
  <c r="H122" i="20" s="1"/>
  <c r="W122" i="20"/>
  <c r="W156" i="20"/>
  <c r="D156" i="20"/>
  <c r="E156" i="20" s="1"/>
  <c r="F156" i="20" s="1"/>
  <c r="W138" i="20"/>
  <c r="D138" i="20"/>
  <c r="E138" i="20" s="1"/>
  <c r="F138" i="20" s="1"/>
  <c r="D164" i="20"/>
  <c r="E164" i="20" s="1"/>
  <c r="F164" i="20" s="1"/>
  <c r="W164" i="20"/>
  <c r="D191" i="20"/>
  <c r="E191" i="20" s="1"/>
  <c r="F191" i="20" s="1"/>
  <c r="W191" i="20"/>
  <c r="D271" i="20"/>
  <c r="E271" i="20" s="1"/>
  <c r="F271" i="20" s="1"/>
  <c r="W271" i="20"/>
  <c r="D356" i="20"/>
  <c r="E356" i="20" s="1"/>
  <c r="F356" i="20" s="1"/>
  <c r="G356" i="20" s="1"/>
  <c r="CB356" i="6" s="1"/>
  <c r="W356" i="20"/>
  <c r="D176" i="20"/>
  <c r="E176" i="20" s="1"/>
  <c r="F176" i="20" s="1"/>
  <c r="G176" i="20" s="1"/>
  <c r="CB176" i="6" s="1"/>
  <c r="W176" i="20"/>
  <c r="D357" i="20"/>
  <c r="E357" i="20" s="1"/>
  <c r="F357" i="20" s="1"/>
  <c r="G357" i="20" s="1"/>
  <c r="CB357" i="6" s="1"/>
  <c r="W357" i="20"/>
  <c r="W222" i="20"/>
  <c r="D222" i="20"/>
  <c r="E222" i="20" s="1"/>
  <c r="F222" i="20" s="1"/>
  <c r="G222" i="20" s="1"/>
  <c r="CB222" i="6" s="1"/>
  <c r="W348" i="20"/>
  <c r="D348" i="20"/>
  <c r="E348" i="20" s="1"/>
  <c r="F348" i="20" s="1"/>
  <c r="W301" i="20"/>
  <c r="D301" i="20"/>
  <c r="E301" i="20" s="1"/>
  <c r="F301" i="20" s="1"/>
  <c r="W140" i="20"/>
  <c r="D140" i="20"/>
  <c r="E140" i="20" s="1"/>
  <c r="F140" i="20" s="1"/>
  <c r="D254" i="20"/>
  <c r="E254" i="20" s="1"/>
  <c r="F254" i="20" s="1"/>
  <c r="G254" i="20" s="1"/>
  <c r="CB254" i="6" s="1"/>
  <c r="W254" i="20"/>
  <c r="W115" i="20"/>
  <c r="D115" i="20"/>
  <c r="E115" i="20" s="1"/>
  <c r="F115" i="20" s="1"/>
  <c r="W321" i="20"/>
  <c r="D321" i="20"/>
  <c r="E321" i="20" s="1"/>
  <c r="F321" i="20" s="1"/>
  <c r="D208" i="20"/>
  <c r="E208" i="20" s="1"/>
  <c r="F208" i="20" s="1"/>
  <c r="H208" i="20" s="1"/>
  <c r="W208" i="20"/>
  <c r="W150" i="20"/>
  <c r="D150" i="20"/>
  <c r="E150" i="20" s="1"/>
  <c r="F150" i="20" s="1"/>
  <c r="W335" i="20"/>
  <c r="D335" i="20"/>
  <c r="E335" i="20" s="1"/>
  <c r="F335" i="20" s="1"/>
  <c r="W257" i="20"/>
  <c r="D257" i="20"/>
  <c r="E257" i="20" s="1"/>
  <c r="F257" i="20" s="1"/>
  <c r="D228" i="20"/>
  <c r="E228" i="20" s="1"/>
  <c r="F228" i="20" s="1"/>
  <c r="W228" i="20"/>
  <c r="D230" i="20"/>
  <c r="E230" i="20" s="1"/>
  <c r="F230" i="20" s="1"/>
  <c r="G230" i="20" s="1"/>
  <c r="CB230" i="6" s="1"/>
  <c r="W230" i="20"/>
  <c r="V149" i="20"/>
  <c r="B149" i="20" s="1"/>
  <c r="W149" i="20" s="1"/>
  <c r="AH24" i="7"/>
  <c r="D131" i="20"/>
  <c r="E131" i="20" s="1"/>
  <c r="F131" i="20" s="1"/>
  <c r="H131" i="20" s="1"/>
  <c r="W131" i="20"/>
  <c r="D284" i="20"/>
  <c r="E284" i="20" s="1"/>
  <c r="F284" i="20" s="1"/>
  <c r="W284" i="20"/>
  <c r="W169" i="20"/>
  <c r="D169" i="20"/>
  <c r="E169" i="20" s="1"/>
  <c r="F169" i="20" s="1"/>
  <c r="H169" i="20" s="1"/>
  <c r="W235" i="20"/>
  <c r="D235" i="20"/>
  <c r="E235" i="20" s="1"/>
  <c r="F235" i="20" s="1"/>
  <c r="H235" i="20" s="1"/>
  <c r="W275" i="20"/>
  <c r="D275" i="20"/>
  <c r="E275" i="20" s="1"/>
  <c r="F275" i="20" s="1"/>
  <c r="G275" i="20" s="1"/>
  <c r="CB275" i="6" s="1"/>
  <c r="D291" i="20"/>
  <c r="E291" i="20" s="1"/>
  <c r="F291" i="20" s="1"/>
  <c r="H291" i="20" s="1"/>
  <c r="W291" i="20"/>
  <c r="D116" i="20"/>
  <c r="E116" i="20" s="1"/>
  <c r="F116" i="20" s="1"/>
  <c r="G116" i="20" s="1"/>
  <c r="CB116" i="6" s="1"/>
  <c r="W116" i="20"/>
  <c r="W157" i="20"/>
  <c r="D157" i="20"/>
  <c r="E157" i="20" s="1"/>
  <c r="F157" i="20" s="1"/>
  <c r="H157" i="20" s="1"/>
  <c r="D345" i="20"/>
  <c r="E345" i="20" s="1"/>
  <c r="F345" i="20" s="1"/>
  <c r="H345" i="20" s="1"/>
  <c r="W345" i="20"/>
  <c r="D186" i="20"/>
  <c r="E186" i="20" s="1"/>
  <c r="F186" i="20" s="1"/>
  <c r="W186" i="20"/>
  <c r="D159" i="20"/>
  <c r="E159" i="20" s="1"/>
  <c r="F159" i="20" s="1"/>
  <c r="G159" i="20" s="1"/>
  <c r="CB159" i="6" s="1"/>
  <c r="W159" i="20"/>
  <c r="D236" i="20"/>
  <c r="E236" i="20" s="1"/>
  <c r="F236" i="20" s="1"/>
  <c r="H236" i="20" s="1"/>
  <c r="W236" i="20"/>
  <c r="W273" i="20"/>
  <c r="D273" i="20"/>
  <c r="E273" i="20" s="1"/>
  <c r="F273" i="20" s="1"/>
  <c r="H273" i="20" s="1"/>
  <c r="W376" i="20"/>
  <c r="D376" i="20"/>
  <c r="E376" i="20" s="1"/>
  <c r="F376" i="20" s="1"/>
  <c r="W154" i="20"/>
  <c r="D154" i="20"/>
  <c r="E154" i="20" s="1"/>
  <c r="F154" i="20" s="1"/>
  <c r="W219" i="20"/>
  <c r="D219" i="20"/>
  <c r="E219" i="20" s="1"/>
  <c r="F219" i="20" s="1"/>
  <c r="AH30" i="7"/>
  <c r="V333" i="20"/>
  <c r="B333" i="20" s="1"/>
  <c r="W333" i="20" s="1"/>
  <c r="W344" i="20"/>
  <c r="D344" i="20"/>
  <c r="E344" i="20" s="1"/>
  <c r="F344" i="20" s="1"/>
  <c r="D141" i="20"/>
  <c r="E141" i="20" s="1"/>
  <c r="F141" i="20" s="1"/>
  <c r="G141" i="20" s="1"/>
  <c r="CB141" i="6" s="1"/>
  <c r="W141" i="20"/>
  <c r="D237" i="20"/>
  <c r="E237" i="20" s="1"/>
  <c r="F237" i="20" s="1"/>
  <c r="G237" i="20" s="1"/>
  <c r="CB237" i="6" s="1"/>
  <c r="W237" i="20"/>
  <c r="D126" i="20"/>
  <c r="E126" i="20" s="1"/>
  <c r="F126" i="20" s="1"/>
  <c r="H126" i="20" s="1"/>
  <c r="W126" i="20"/>
  <c r="D307" i="20"/>
  <c r="E307" i="20" s="1"/>
  <c r="F307" i="20" s="1"/>
  <c r="G307" i="20" s="1"/>
  <c r="CB307" i="6" s="1"/>
  <c r="W307" i="20"/>
  <c r="W280" i="20"/>
  <c r="D280" i="20"/>
  <c r="E280" i="20" s="1"/>
  <c r="F280" i="20" s="1"/>
  <c r="G280" i="20" s="1"/>
  <c r="CB280" i="6" s="1"/>
  <c r="W310" i="20"/>
  <c r="D310" i="20"/>
  <c r="E310" i="20" s="1"/>
  <c r="F310" i="20" s="1"/>
  <c r="G310" i="20" s="1"/>
  <c r="CB310" i="6" s="1"/>
  <c r="W121" i="20"/>
  <c r="D121" i="20"/>
  <c r="E121" i="20" s="1"/>
  <c r="F121" i="20" s="1"/>
  <c r="D351" i="20"/>
  <c r="E351" i="20" s="1"/>
  <c r="F351" i="20" s="1"/>
  <c r="G351" i="20" s="1"/>
  <c r="CB351" i="6" s="1"/>
  <c r="W351" i="20"/>
  <c r="W220" i="20"/>
  <c r="D220" i="20"/>
  <c r="E220" i="20" s="1"/>
  <c r="F220" i="20" s="1"/>
  <c r="H220" i="20" s="1"/>
  <c r="D354" i="20"/>
  <c r="E354" i="20" s="1"/>
  <c r="F354" i="20" s="1"/>
  <c r="H354" i="20" s="1"/>
  <c r="W354" i="20"/>
  <c r="W201" i="20"/>
  <c r="D201" i="20"/>
  <c r="E201" i="20" s="1"/>
  <c r="F201" i="20" s="1"/>
  <c r="H201" i="20" s="1"/>
  <c r="D367" i="20"/>
  <c r="E367" i="20" s="1"/>
  <c r="F367" i="20" s="1"/>
  <c r="G367" i="20" s="1"/>
  <c r="CB367" i="6" s="1"/>
  <c r="W367" i="20"/>
  <c r="W110" i="20"/>
  <c r="D110" i="20"/>
  <c r="E110" i="20" s="1"/>
  <c r="F110" i="20" s="1"/>
  <c r="H110" i="20" s="1"/>
  <c r="D364" i="20"/>
  <c r="E364" i="20" s="1"/>
  <c r="F364" i="20" s="1"/>
  <c r="G364" i="20" s="1"/>
  <c r="CB364" i="6" s="1"/>
  <c r="W364" i="20"/>
  <c r="W256" i="20"/>
  <c r="D256" i="20"/>
  <c r="E256" i="20" s="1"/>
  <c r="F256" i="20" s="1"/>
  <c r="W242" i="20"/>
  <c r="D242" i="20"/>
  <c r="E242" i="20" s="1"/>
  <c r="F242" i="20" s="1"/>
  <c r="G242" i="20" s="1"/>
  <c r="CB242" i="6" s="1"/>
  <c r="W347" i="20"/>
  <c r="D347" i="20"/>
  <c r="E347" i="20" s="1"/>
  <c r="F347" i="20" s="1"/>
  <c r="G347" i="20" s="1"/>
  <c r="CB347" i="6" s="1"/>
  <c r="W137" i="20"/>
  <c r="D137" i="20"/>
  <c r="E137" i="20" s="1"/>
  <c r="F137" i="20" s="1"/>
  <c r="G137" i="20" s="1"/>
  <c r="CB137" i="6" s="1"/>
  <c r="W165" i="20"/>
  <c r="D165" i="20"/>
  <c r="E165" i="20" s="1"/>
  <c r="F165" i="20" s="1"/>
  <c r="H165" i="20" s="1"/>
  <c r="D292" i="20"/>
  <c r="E292" i="20" s="1"/>
  <c r="F292" i="20" s="1"/>
  <c r="W292" i="20"/>
  <c r="D172" i="20"/>
  <c r="E172" i="20" s="1"/>
  <c r="F172" i="20" s="1"/>
  <c r="H172" i="20" s="1"/>
  <c r="W172" i="20"/>
  <c r="D269" i="20"/>
  <c r="E269" i="20" s="1"/>
  <c r="F269" i="20" s="1"/>
  <c r="W269" i="20"/>
  <c r="W318" i="20"/>
  <c r="D318" i="20"/>
  <c r="E318" i="20" s="1"/>
  <c r="F318" i="20" s="1"/>
  <c r="H318" i="20" s="1"/>
  <c r="D378" i="20"/>
  <c r="E378" i="20" s="1"/>
  <c r="F378" i="20" s="1"/>
  <c r="G378" i="20" s="1"/>
  <c r="CB378" i="6" s="1"/>
  <c r="W378" i="20"/>
  <c r="W341" i="20"/>
  <c r="D341" i="20"/>
  <c r="E341" i="20" s="1"/>
  <c r="F341" i="20" s="1"/>
  <c r="G341" i="20" s="1"/>
  <c r="CB341" i="6" s="1"/>
  <c r="D233" i="20"/>
  <c r="E233" i="20" s="1"/>
  <c r="F233" i="20" s="1"/>
  <c r="G233" i="20" s="1"/>
  <c r="CB233" i="6" s="1"/>
  <c r="W233" i="20"/>
  <c r="D276" i="20"/>
  <c r="E276" i="20" s="1"/>
  <c r="F276" i="20" s="1"/>
  <c r="H276" i="20" s="1"/>
  <c r="W276" i="20"/>
  <c r="W342" i="20"/>
  <c r="D342" i="20"/>
  <c r="E342" i="20" s="1"/>
  <c r="F342" i="20" s="1"/>
  <c r="G342" i="20" s="1"/>
  <c r="CB342" i="6" s="1"/>
  <c r="D308" i="20"/>
  <c r="E308" i="20" s="1"/>
  <c r="F308" i="20" s="1"/>
  <c r="H308" i="20" s="1"/>
  <c r="W308" i="20"/>
  <c r="D246" i="20"/>
  <c r="E246" i="20" s="1"/>
  <c r="F246" i="20" s="1"/>
  <c r="G246" i="20" s="1"/>
  <c r="CB246" i="6" s="1"/>
  <c r="W246" i="20"/>
  <c r="W189" i="20"/>
  <c r="D189" i="20"/>
  <c r="E189" i="20" s="1"/>
  <c r="F189" i="20" s="1"/>
  <c r="D139" i="20"/>
  <c r="E139" i="20" s="1"/>
  <c r="F139" i="20" s="1"/>
  <c r="W139" i="20"/>
  <c r="D340" i="20"/>
  <c r="E340" i="20" s="1"/>
  <c r="F340" i="20" s="1"/>
  <c r="G340" i="20" s="1"/>
  <c r="CB340" i="6" s="1"/>
  <c r="W340" i="20"/>
  <c r="W245" i="20"/>
  <c r="D245" i="20"/>
  <c r="E245" i="20" s="1"/>
  <c r="F245" i="20" s="1"/>
  <c r="G245" i="20" s="1"/>
  <c r="CB245" i="6" s="1"/>
  <c r="D183" i="20"/>
  <c r="E183" i="20" s="1"/>
  <c r="F183" i="20" s="1"/>
  <c r="G183" i="20" s="1"/>
  <c r="CB183" i="6" s="1"/>
  <c r="W183" i="20"/>
  <c r="D173" i="20"/>
  <c r="E173" i="20" s="1"/>
  <c r="F173" i="20" s="1"/>
  <c r="H173" i="20" s="1"/>
  <c r="W173" i="20"/>
  <c r="W360" i="20"/>
  <c r="D360" i="20"/>
  <c r="E360" i="20" s="1"/>
  <c r="F360" i="20" s="1"/>
  <c r="D252" i="20"/>
  <c r="E252" i="20" s="1"/>
  <c r="F252" i="20" s="1"/>
  <c r="H252" i="20" s="1"/>
  <c r="W252" i="20"/>
  <c r="V302" i="20"/>
  <c r="B302" i="20" s="1"/>
  <c r="AH29" i="7"/>
  <c r="W200" i="20"/>
  <c r="D200" i="20"/>
  <c r="E200" i="20" s="1"/>
  <c r="F200" i="20" s="1"/>
  <c r="G200" i="20" s="1"/>
  <c r="CB200" i="6" s="1"/>
  <c r="W170" i="20"/>
  <c r="D170" i="20"/>
  <c r="E170" i="20" s="1"/>
  <c r="F170" i="20" s="1"/>
  <c r="G170" i="20" s="1"/>
  <c r="CB170" i="6" s="1"/>
  <c r="V119" i="20"/>
  <c r="B119" i="20" s="1"/>
  <c r="D119" i="20" s="1"/>
  <c r="E119" i="20" s="1"/>
  <c r="F119" i="20" s="1"/>
  <c r="AH23" i="7"/>
  <c r="D365" i="20"/>
  <c r="E365" i="20" s="1"/>
  <c r="F365" i="20" s="1"/>
  <c r="G365" i="20" s="1"/>
  <c r="CB365" i="6" s="1"/>
  <c r="W365" i="20"/>
  <c r="D239" i="20"/>
  <c r="E239" i="20" s="1"/>
  <c r="F239" i="20" s="1"/>
  <c r="G239" i="20" s="1"/>
  <c r="CB239" i="6" s="1"/>
  <c r="W239" i="20"/>
  <c r="W226" i="20"/>
  <c r="D226" i="20"/>
  <c r="E226" i="20" s="1"/>
  <c r="F226" i="20" s="1"/>
  <c r="G226" i="20" s="1"/>
  <c r="CB226" i="6" s="1"/>
  <c r="W215" i="20"/>
  <c r="D215" i="20"/>
  <c r="E215" i="20" s="1"/>
  <c r="F215" i="20" s="1"/>
  <c r="D217" i="20"/>
  <c r="E217" i="20" s="1"/>
  <c r="F217" i="20" s="1"/>
  <c r="W217" i="20"/>
  <c r="W244" i="20"/>
  <c r="D244" i="20"/>
  <c r="E244" i="20" s="1"/>
  <c r="F244" i="20" s="1"/>
  <c r="H244" i="20" s="1"/>
  <c r="D274" i="20"/>
  <c r="E274" i="20" s="1"/>
  <c r="F274" i="20" s="1"/>
  <c r="H274" i="20" s="1"/>
  <c r="W274" i="20"/>
  <c r="D368" i="20"/>
  <c r="E368" i="20" s="1"/>
  <c r="F368" i="20" s="1"/>
  <c r="G368" i="20" s="1"/>
  <c r="CB368" i="6" s="1"/>
  <c r="W368" i="20"/>
  <c r="W211" i="20"/>
  <c r="D211" i="20"/>
  <c r="E211" i="20" s="1"/>
  <c r="F211" i="20" s="1"/>
  <c r="D297" i="20"/>
  <c r="E297" i="20" s="1"/>
  <c r="F297" i="20" s="1"/>
  <c r="G297" i="20" s="1"/>
  <c r="CB297" i="6" s="1"/>
  <c r="W297" i="20"/>
  <c r="W205" i="20"/>
  <c r="D205" i="20"/>
  <c r="E205" i="20" s="1"/>
  <c r="F205" i="20" s="1"/>
  <c r="D316" i="20"/>
  <c r="E316" i="20" s="1"/>
  <c r="F316" i="20" s="1"/>
  <c r="W316" i="20"/>
  <c r="W372" i="20"/>
  <c r="D372" i="20"/>
  <c r="E372" i="20" s="1"/>
  <c r="F372" i="20" s="1"/>
  <c r="G372" i="20" s="1"/>
  <c r="CB372" i="6" s="1"/>
  <c r="D293" i="20"/>
  <c r="E293" i="20" s="1"/>
  <c r="F293" i="20" s="1"/>
  <c r="W293" i="20"/>
  <c r="W234" i="20"/>
  <c r="D234" i="20"/>
  <c r="E234" i="20" s="1"/>
  <c r="F234" i="20" s="1"/>
  <c r="D136" i="20"/>
  <c r="E136" i="20" s="1"/>
  <c r="F136" i="20" s="1"/>
  <c r="H136" i="20" s="1"/>
  <c r="W136" i="20"/>
  <c r="D178" i="20"/>
  <c r="E178" i="20" s="1"/>
  <c r="F178" i="20" s="1"/>
  <c r="G178" i="20" s="1"/>
  <c r="CB178" i="6" s="1"/>
  <c r="W178" i="20"/>
  <c r="W148" i="20"/>
  <c r="D148" i="20"/>
  <c r="E148" i="20" s="1"/>
  <c r="F148" i="20" s="1"/>
  <c r="D283" i="20"/>
  <c r="E283" i="20" s="1"/>
  <c r="F283" i="20" s="1"/>
  <c r="G283" i="20" s="1"/>
  <c r="CB283" i="6" s="1"/>
  <c r="W283" i="20"/>
  <c r="D286" i="20"/>
  <c r="E286" i="20" s="1"/>
  <c r="F286" i="20" s="1"/>
  <c r="W286" i="20"/>
  <c r="D327" i="20"/>
  <c r="E327" i="20" s="1"/>
  <c r="F327" i="20" s="1"/>
  <c r="H327" i="20" s="1"/>
  <c r="W327" i="20"/>
  <c r="D229" i="20"/>
  <c r="E229" i="20" s="1"/>
  <c r="F229" i="20" s="1"/>
  <c r="G229" i="20" s="1"/>
  <c r="CB229" i="6" s="1"/>
  <c r="W343" i="20"/>
  <c r="D343" i="20"/>
  <c r="E343" i="20" s="1"/>
  <c r="F343" i="20" s="1"/>
  <c r="H343" i="20" s="1"/>
  <c r="W163" i="20"/>
  <c r="D163" i="20"/>
  <c r="E163" i="20" s="1"/>
  <c r="F163" i="20" s="1"/>
  <c r="G163" i="20" s="1"/>
  <c r="CB163" i="6" s="1"/>
  <c r="AH28" i="7"/>
  <c r="V272" i="20"/>
  <c r="B272" i="20" s="1"/>
  <c r="W272" i="20" s="1"/>
  <c r="W361" i="20"/>
  <c r="D361" i="20"/>
  <c r="E361" i="20" s="1"/>
  <c r="F361" i="20" s="1"/>
  <c r="W306" i="20"/>
  <c r="D306" i="20"/>
  <c r="E306" i="20" s="1"/>
  <c r="F306" i="20" s="1"/>
  <c r="G306" i="20" s="1"/>
  <c r="CB306" i="6" s="1"/>
  <c r="D255" i="20"/>
  <c r="E255" i="20" s="1"/>
  <c r="F255" i="20" s="1"/>
  <c r="G255" i="20" s="1"/>
  <c r="CB255" i="6" s="1"/>
  <c r="W255" i="20"/>
  <c r="W146" i="20"/>
  <c r="D146" i="20"/>
  <c r="E146" i="20" s="1"/>
  <c r="F146" i="20" s="1"/>
  <c r="D105" i="20"/>
  <c r="E105" i="20" s="1"/>
  <c r="F105" i="20" s="1"/>
  <c r="W105" i="20"/>
  <c r="D65" i="20"/>
  <c r="E65" i="20" s="1"/>
  <c r="F65" i="20" s="1"/>
  <c r="W65" i="20"/>
  <c r="W21" i="20"/>
  <c r="D21" i="20"/>
  <c r="E21" i="20" s="1"/>
  <c r="F21" i="20" s="1"/>
  <c r="D63" i="20"/>
  <c r="E63" i="20" s="1"/>
  <c r="F63" i="20" s="1"/>
  <c r="H63" i="20" s="1"/>
  <c r="W63" i="20"/>
  <c r="D71" i="20"/>
  <c r="E71" i="20" s="1"/>
  <c r="F71" i="20" s="1"/>
  <c r="W71" i="20"/>
  <c r="W69" i="20"/>
  <c r="D69" i="20"/>
  <c r="E69" i="20" s="1"/>
  <c r="F69" i="20" s="1"/>
  <c r="G69" i="20" s="1"/>
  <c r="CB69" i="6" s="1"/>
  <c r="W25" i="20"/>
  <c r="D25" i="20"/>
  <c r="E25" i="20" s="1"/>
  <c r="F25" i="20" s="1"/>
  <c r="G25" i="20" s="1"/>
  <c r="CB25" i="6" s="1"/>
  <c r="D64" i="20"/>
  <c r="E64" i="20" s="1"/>
  <c r="F64" i="20" s="1"/>
  <c r="W64" i="20"/>
  <c r="W41" i="20"/>
  <c r="D41" i="20"/>
  <c r="E41" i="20" s="1"/>
  <c r="F41" i="20" s="1"/>
  <c r="H41" i="20" s="1"/>
  <c r="W44" i="20"/>
  <c r="D44" i="20"/>
  <c r="E44" i="20" s="1"/>
  <c r="F44" i="20" s="1"/>
  <c r="W49" i="20"/>
  <c r="D49" i="20"/>
  <c r="E49" i="20" s="1"/>
  <c r="F49" i="20" s="1"/>
  <c r="H49" i="20" s="1"/>
  <c r="D81" i="20"/>
  <c r="E81" i="20" s="1"/>
  <c r="F81" i="20" s="1"/>
  <c r="AA81" i="20" s="1"/>
  <c r="Z81" i="20" s="1"/>
  <c r="Y81" i="20" s="1"/>
  <c r="W81" i="20"/>
  <c r="W52" i="20"/>
  <c r="D52" i="20"/>
  <c r="E52" i="20" s="1"/>
  <c r="F52" i="20" s="1"/>
  <c r="AA52" i="20" s="1"/>
  <c r="Z52" i="20" s="1"/>
  <c r="Y52" i="20" s="1"/>
  <c r="W103" i="20"/>
  <c r="D103" i="20"/>
  <c r="E103" i="20" s="1"/>
  <c r="F103" i="20" s="1"/>
  <c r="D77" i="20"/>
  <c r="E77" i="20" s="1"/>
  <c r="F77" i="20" s="1"/>
  <c r="G77" i="20" s="1"/>
  <c r="CB77" i="6" s="1"/>
  <c r="W77" i="20"/>
  <c r="W91" i="20"/>
  <c r="D91" i="20"/>
  <c r="E91" i="20" s="1"/>
  <c r="F91" i="20" s="1"/>
  <c r="AA91" i="20" s="1"/>
  <c r="Z91" i="20" s="1"/>
  <c r="Y91" i="20" s="1"/>
  <c r="D22" i="20"/>
  <c r="E22" i="20" s="1"/>
  <c r="F22" i="20" s="1"/>
  <c r="H22" i="20" s="1"/>
  <c r="W22" i="20"/>
  <c r="W37" i="20"/>
  <c r="D37" i="20"/>
  <c r="E37" i="20" s="1"/>
  <c r="F37" i="20" s="1"/>
  <c r="G37" i="20" s="1"/>
  <c r="CB37" i="6" s="1"/>
  <c r="D78" i="20"/>
  <c r="E78" i="20" s="1"/>
  <c r="F78" i="20" s="1"/>
  <c r="AA78" i="20" s="1"/>
  <c r="Z78" i="20" s="1"/>
  <c r="Y78" i="20" s="1"/>
  <c r="W78" i="20"/>
  <c r="D101" i="20"/>
  <c r="E101" i="20" s="1"/>
  <c r="F101" i="20" s="1"/>
  <c r="AA101" i="20" s="1"/>
  <c r="Z101" i="20" s="1"/>
  <c r="Y101" i="20" s="1"/>
  <c r="W101" i="20"/>
  <c r="W17" i="20"/>
  <c r="D17" i="20"/>
  <c r="E17" i="20" s="1"/>
  <c r="F17" i="20" s="1"/>
  <c r="AA17" i="20" s="1"/>
  <c r="Z17" i="20" s="1"/>
  <c r="Y17" i="20" s="1"/>
  <c r="D80" i="20"/>
  <c r="E80" i="20" s="1"/>
  <c r="F80" i="20" s="1"/>
  <c r="AA80" i="20" s="1"/>
  <c r="Z80" i="20" s="1"/>
  <c r="Y80" i="20" s="1"/>
  <c r="W80" i="20"/>
  <c r="W57" i="20"/>
  <c r="D57" i="20"/>
  <c r="E57" i="20" s="1"/>
  <c r="F57" i="20" s="1"/>
  <c r="D18" i="20"/>
  <c r="E18" i="20" s="1"/>
  <c r="F18" i="20" s="1"/>
  <c r="AA18" i="20" s="1"/>
  <c r="Z18" i="20" s="1"/>
  <c r="Y18" i="20" s="1"/>
  <c r="W18" i="20"/>
  <c r="D100" i="20"/>
  <c r="E100" i="20" s="1"/>
  <c r="F100" i="20" s="1"/>
  <c r="G100" i="20" s="1"/>
  <c r="CB100" i="6" s="1"/>
  <c r="W100" i="20"/>
  <c r="W50" i="20"/>
  <c r="D50" i="20"/>
  <c r="E50" i="20" s="1"/>
  <c r="F50" i="20" s="1"/>
  <c r="G50" i="20" s="1"/>
  <c r="CB50" i="6" s="1"/>
  <c r="W85" i="20"/>
  <c r="D85" i="20"/>
  <c r="E85" i="20" s="1"/>
  <c r="F85" i="20" s="1"/>
  <c r="H85" i="20" s="1"/>
  <c r="D90" i="20"/>
  <c r="E90" i="20" s="1"/>
  <c r="F90" i="20" s="1"/>
  <c r="G90" i="20" s="1"/>
  <c r="CB90" i="6" s="1"/>
  <c r="W90" i="20"/>
  <c r="W33" i="20"/>
  <c r="D33" i="20"/>
  <c r="E33" i="20" s="1"/>
  <c r="F33" i="20" s="1"/>
  <c r="H33" i="20" s="1"/>
  <c r="W16" i="20"/>
  <c r="D16" i="20"/>
  <c r="E16" i="20" s="1"/>
  <c r="F16" i="20" s="1"/>
  <c r="H16" i="20" s="1"/>
  <c r="W66" i="20"/>
  <c r="D66" i="20"/>
  <c r="E66" i="20" s="1"/>
  <c r="F66" i="20" s="1"/>
  <c r="AA66" i="20" s="1"/>
  <c r="Z66" i="20" s="1"/>
  <c r="Y66" i="20" s="1"/>
  <c r="W48" i="20"/>
  <c r="D48" i="20"/>
  <c r="E48" i="20" s="1"/>
  <c r="F48" i="20" s="1"/>
  <c r="D86" i="20"/>
  <c r="E86" i="20" s="1"/>
  <c r="F86" i="20" s="1"/>
  <c r="AA86" i="20" s="1"/>
  <c r="Z86" i="20" s="1"/>
  <c r="Y86" i="20" s="1"/>
  <c r="W86" i="20"/>
  <c r="W42" i="20"/>
  <c r="D42" i="20"/>
  <c r="E42" i="20" s="1"/>
  <c r="F42" i="20" s="1"/>
  <c r="G42" i="20" s="1"/>
  <c r="CB42" i="6" s="1"/>
  <c r="V88" i="20"/>
  <c r="B88" i="20" s="1"/>
  <c r="D88" i="20" s="1"/>
  <c r="E88" i="20" s="1"/>
  <c r="F88" i="20" s="1"/>
  <c r="AH22" i="7"/>
  <c r="W95" i="20"/>
  <c r="D95" i="20"/>
  <c r="E95" i="20" s="1"/>
  <c r="F95" i="20" s="1"/>
  <c r="AA95" i="20" s="1"/>
  <c r="Z95" i="20" s="1"/>
  <c r="Y95" i="20" s="1"/>
  <c r="W59" i="20"/>
  <c r="D59" i="20"/>
  <c r="E59" i="20" s="1"/>
  <c r="F59" i="20" s="1"/>
  <c r="D23" i="20"/>
  <c r="E23" i="20" s="1"/>
  <c r="F23" i="20" s="1"/>
  <c r="G23" i="20" s="1"/>
  <c r="CB23" i="6" s="1"/>
  <c r="W23" i="20"/>
  <c r="D79" i="20"/>
  <c r="E79" i="20" s="1"/>
  <c r="F79" i="20" s="1"/>
  <c r="AA79" i="20" s="1"/>
  <c r="Z79" i="20" s="1"/>
  <c r="Y79" i="20" s="1"/>
  <c r="W79" i="20"/>
  <c r="W19" i="20"/>
  <c r="D19" i="20"/>
  <c r="E19" i="20" s="1"/>
  <c r="F19" i="20" s="1"/>
  <c r="G19" i="20" s="1"/>
  <c r="CB19" i="6" s="1"/>
  <c r="W68" i="20"/>
  <c r="D68" i="20"/>
  <c r="E68" i="20" s="1"/>
  <c r="F68" i="20" s="1"/>
  <c r="D34" i="20"/>
  <c r="E34" i="20" s="1"/>
  <c r="F34" i="20" s="1"/>
  <c r="H34" i="20" s="1"/>
  <c r="W34" i="20"/>
  <c r="H315" i="18"/>
  <c r="G315" i="18"/>
  <c r="CA315" i="6" s="1"/>
  <c r="AA315" i="18"/>
  <c r="Z315" i="18" s="1"/>
  <c r="Y315" i="18" s="1"/>
  <c r="G365" i="18"/>
  <c r="CA365" i="6" s="1"/>
  <c r="AA365" i="18"/>
  <c r="Z365" i="18" s="1"/>
  <c r="Y365" i="18" s="1"/>
  <c r="AH15" i="7"/>
  <c r="Q12" i="22"/>
  <c r="G194" i="18"/>
  <c r="CA194" i="6" s="1"/>
  <c r="H194" i="18"/>
  <c r="AA194" i="18"/>
  <c r="Z194" i="18" s="1"/>
  <c r="Y194" i="18" s="1"/>
  <c r="Q382" i="20"/>
  <c r="Q383" i="20"/>
  <c r="Q381" i="20"/>
  <c r="H365" i="18"/>
  <c r="AA374" i="18"/>
  <c r="Z374" i="18" s="1"/>
  <c r="Y374" i="18" s="1"/>
  <c r="H374" i="18"/>
  <c r="G374" i="18"/>
  <c r="CA374" i="6" s="1"/>
  <c r="AA159" i="18"/>
  <c r="Z159" i="18" s="1"/>
  <c r="Y159" i="18" s="1"/>
  <c r="H159" i="18"/>
  <c r="G159" i="18"/>
  <c r="CA159" i="6" s="1"/>
  <c r="H79" i="18"/>
  <c r="G79" i="18"/>
  <c r="CA79" i="6" s="1"/>
  <c r="AA79" i="18"/>
  <c r="Z79" i="18" s="1"/>
  <c r="Y79" i="18" s="1"/>
  <c r="AA163" i="18"/>
  <c r="Z163" i="18" s="1"/>
  <c r="Y163" i="18" s="1"/>
  <c r="G163" i="18"/>
  <c r="CA163" i="6" s="1"/>
  <c r="H163" i="18"/>
  <c r="AA190" i="18"/>
  <c r="Z190" i="18" s="1"/>
  <c r="Y190" i="18" s="1"/>
  <c r="G190" i="18"/>
  <c r="CA190" i="6" s="1"/>
  <c r="H190" i="18"/>
  <c r="H323" i="18"/>
  <c r="AA323" i="18"/>
  <c r="Z323" i="18" s="1"/>
  <c r="Y323" i="18" s="1"/>
  <c r="G323" i="18"/>
  <c r="CA323" i="6" s="1"/>
  <c r="Z379" i="17"/>
  <c r="AL10" i="17"/>
  <c r="G375" i="18"/>
  <c r="CA375" i="6" s="1"/>
  <c r="H375" i="18"/>
  <c r="AA375" i="18"/>
  <c r="Z375" i="18" s="1"/>
  <c r="Y375" i="18" s="1"/>
  <c r="AE114" i="20"/>
  <c r="AD114" i="20" s="1"/>
  <c r="AE119" i="20"/>
  <c r="AD119" i="20" s="1"/>
  <c r="AE336" i="20"/>
  <c r="AD336" i="20" s="1"/>
  <c r="AE201" i="20"/>
  <c r="AD201" i="20" s="1"/>
  <c r="AE178" i="20"/>
  <c r="AD178" i="20" s="1"/>
  <c r="AE318" i="20"/>
  <c r="AD318" i="20" s="1"/>
  <c r="AE269" i="20"/>
  <c r="AD269" i="20" s="1"/>
  <c r="AE361" i="20"/>
  <c r="AD361" i="20" s="1"/>
  <c r="AE104" i="20"/>
  <c r="AD104" i="20" s="1"/>
  <c r="AE228" i="20"/>
  <c r="AD228" i="20" s="1"/>
  <c r="AE301" i="20"/>
  <c r="AD301" i="20" s="1"/>
  <c r="AE167" i="20"/>
  <c r="AD167" i="20" s="1"/>
  <c r="AE136" i="20"/>
  <c r="AD136" i="20" s="1"/>
  <c r="AE145" i="20"/>
  <c r="AD145" i="20" s="1"/>
  <c r="AE333" i="20"/>
  <c r="AD333" i="20" s="1"/>
  <c r="AE142" i="20"/>
  <c r="AD142" i="20" s="1"/>
  <c r="AE323" i="20"/>
  <c r="AD323" i="20" s="1"/>
  <c r="AE168" i="20"/>
  <c r="AD168" i="20" s="1"/>
  <c r="AE206" i="20"/>
  <c r="AD206" i="20" s="1"/>
  <c r="AE284" i="20"/>
  <c r="AD284" i="20" s="1"/>
  <c r="AE337" i="20"/>
  <c r="AD337" i="20" s="1"/>
  <c r="AE278" i="20"/>
  <c r="AD278" i="20" s="1"/>
  <c r="AE171" i="20"/>
  <c r="AD171" i="20" s="1"/>
  <c r="AE316" i="20"/>
  <c r="AD316" i="20" s="1"/>
  <c r="AE373" i="20"/>
  <c r="AD373" i="20" s="1"/>
  <c r="AE266" i="20"/>
  <c r="AD266" i="20" s="1"/>
  <c r="AE342" i="20"/>
  <c r="AD342" i="20" s="1"/>
  <c r="AE192" i="20"/>
  <c r="AD192" i="20" s="1"/>
  <c r="AE348" i="20"/>
  <c r="AD348" i="20" s="1"/>
  <c r="AE146" i="20"/>
  <c r="AD146" i="20" s="1"/>
  <c r="AE281" i="20"/>
  <c r="AD281" i="20" s="1"/>
  <c r="AE210" i="20"/>
  <c r="AD210" i="20" s="1"/>
  <c r="AE116" i="20"/>
  <c r="AD116" i="20" s="1"/>
  <c r="AE174" i="20"/>
  <c r="AD174" i="20" s="1"/>
  <c r="AE159" i="20"/>
  <c r="AD159" i="20" s="1"/>
  <c r="AE123" i="20"/>
  <c r="AD123" i="20" s="1"/>
  <c r="AE189" i="20"/>
  <c r="AD189" i="20" s="1"/>
  <c r="AE226" i="20"/>
  <c r="AD226" i="20" s="1"/>
  <c r="AE135" i="20"/>
  <c r="AD135" i="20" s="1"/>
  <c r="AE268" i="20"/>
  <c r="AD268" i="20" s="1"/>
  <c r="AE344" i="20"/>
  <c r="AD344" i="20" s="1"/>
  <c r="AE175" i="20"/>
  <c r="AD175" i="20" s="1"/>
  <c r="AE366" i="20"/>
  <c r="AD366" i="20" s="1"/>
  <c r="AE248" i="20"/>
  <c r="AD248" i="20" s="1"/>
  <c r="AE239" i="20"/>
  <c r="AD239" i="20" s="1"/>
  <c r="AE112" i="20"/>
  <c r="AD112" i="20" s="1"/>
  <c r="AE204" i="20"/>
  <c r="AD204" i="20" s="1"/>
  <c r="AE165" i="20"/>
  <c r="AD165" i="20" s="1"/>
  <c r="AE247" i="20"/>
  <c r="AD247" i="20" s="1"/>
  <c r="AE182" i="20"/>
  <c r="AD182" i="20" s="1"/>
  <c r="AE144" i="20"/>
  <c r="AD144" i="20" s="1"/>
  <c r="AE137" i="20"/>
  <c r="AD137" i="20" s="1"/>
  <c r="AE325" i="20"/>
  <c r="AD325" i="20" s="1"/>
  <c r="AE311" i="20"/>
  <c r="AD311" i="20" s="1"/>
  <c r="AE371" i="20"/>
  <c r="AD371" i="20" s="1"/>
  <c r="AE176" i="20"/>
  <c r="AD176" i="20" s="1"/>
  <c r="AE297" i="20"/>
  <c r="AD297" i="20" s="1"/>
  <c r="AE370" i="20"/>
  <c r="AD370" i="20" s="1"/>
  <c r="AE375" i="20"/>
  <c r="AD375" i="20" s="1"/>
  <c r="AE109" i="20"/>
  <c r="AD109" i="20" s="1"/>
  <c r="AE329" i="20"/>
  <c r="AD329" i="20" s="1"/>
  <c r="AE230" i="20"/>
  <c r="AD230" i="20" s="1"/>
  <c r="AE219" i="20"/>
  <c r="AD219" i="20" s="1"/>
  <c r="AE196" i="20"/>
  <c r="AD196" i="20" s="1"/>
  <c r="AE141" i="20"/>
  <c r="AD141" i="20" s="1"/>
  <c r="AE218" i="20"/>
  <c r="AD218" i="20" s="1"/>
  <c r="AE294" i="20"/>
  <c r="AD294" i="20" s="1"/>
  <c r="AE232" i="20"/>
  <c r="AD232" i="20" s="1"/>
  <c r="AE356" i="20"/>
  <c r="AD356" i="20" s="1"/>
  <c r="AE295" i="20"/>
  <c r="AD295" i="20" s="1"/>
  <c r="AE328" i="20"/>
  <c r="AD328" i="20" s="1"/>
  <c r="AE188" i="20"/>
  <c r="AD188" i="20" s="1"/>
  <c r="AE369" i="20"/>
  <c r="AD369" i="20" s="1"/>
  <c r="AE298" i="20"/>
  <c r="AD298" i="20" s="1"/>
  <c r="AE277" i="20"/>
  <c r="AD277" i="20" s="1"/>
  <c r="AE150" i="20"/>
  <c r="AD150" i="20" s="1"/>
  <c r="AE153" i="20"/>
  <c r="AD153" i="20" s="1"/>
  <c r="AE315" i="20"/>
  <c r="AD315" i="20" s="1"/>
  <c r="AE256" i="20"/>
  <c r="AD256" i="20" s="1"/>
  <c r="AE274" i="20"/>
  <c r="AD274" i="20" s="1"/>
  <c r="AE276" i="20"/>
  <c r="AD276" i="20" s="1"/>
  <c r="AE186" i="20"/>
  <c r="AD186" i="20" s="1"/>
  <c r="AE187" i="20"/>
  <c r="AD187" i="20" s="1"/>
  <c r="AE349" i="20"/>
  <c r="AD349" i="20" s="1"/>
  <c r="AE340" i="20"/>
  <c r="AD340" i="20" s="1"/>
  <c r="AE110" i="20"/>
  <c r="AD110" i="20" s="1"/>
  <c r="AE322" i="20"/>
  <c r="AD322" i="20" s="1"/>
  <c r="AE259" i="20"/>
  <c r="AD259" i="20" s="1"/>
  <c r="AE299" i="20"/>
  <c r="AD299" i="20" s="1"/>
  <c r="AE197" i="20"/>
  <c r="AD197" i="20" s="1"/>
  <c r="AE115" i="20"/>
  <c r="AD115" i="20" s="1"/>
  <c r="AE358" i="20"/>
  <c r="AD358" i="20" s="1"/>
  <c r="AE264" i="20"/>
  <c r="AD264" i="20" s="1"/>
  <c r="AE273" i="20"/>
  <c r="AD273" i="20" s="1"/>
  <c r="AE130" i="20"/>
  <c r="AD130" i="20" s="1"/>
  <c r="AE231" i="20"/>
  <c r="AD231" i="20" s="1"/>
  <c r="AE124" i="20"/>
  <c r="AD124" i="20" s="1"/>
  <c r="AE296" i="20"/>
  <c r="AD296" i="20" s="1"/>
  <c r="AE138" i="20"/>
  <c r="AD138" i="20" s="1"/>
  <c r="AE335" i="20"/>
  <c r="AD335" i="20" s="1"/>
  <c r="AE107" i="20"/>
  <c r="AD107" i="20" s="1"/>
  <c r="AE313" i="20"/>
  <c r="AD313" i="20" s="1"/>
  <c r="AE213" i="20"/>
  <c r="AD213" i="20" s="1"/>
  <c r="AE202" i="20"/>
  <c r="AD202" i="20" s="1"/>
  <c r="AE147" i="20"/>
  <c r="AD147" i="20" s="1"/>
  <c r="AE151" i="20"/>
  <c r="AD151" i="20" s="1"/>
  <c r="AE211" i="20"/>
  <c r="AD211" i="20" s="1"/>
  <c r="AE320" i="20"/>
  <c r="AD320" i="20" s="1"/>
  <c r="AE121" i="20"/>
  <c r="AD121" i="20" s="1"/>
  <c r="AE198" i="20"/>
  <c r="AD198" i="20" s="1"/>
  <c r="AE350" i="20"/>
  <c r="AD350" i="20" s="1"/>
  <c r="AE275" i="20"/>
  <c r="AD275" i="20" s="1"/>
  <c r="AE125" i="20"/>
  <c r="AD125" i="20" s="1"/>
  <c r="AE158" i="20"/>
  <c r="AD158" i="20" s="1"/>
  <c r="AE244" i="20"/>
  <c r="AD244" i="20" s="1"/>
  <c r="AE157" i="20"/>
  <c r="AD157" i="20" s="1"/>
  <c r="AE263" i="20"/>
  <c r="AD263" i="20" s="1"/>
  <c r="AE161" i="20"/>
  <c r="AD161" i="20" s="1"/>
  <c r="AE317" i="20"/>
  <c r="AD317" i="20" s="1"/>
  <c r="AE177" i="20"/>
  <c r="AD177" i="20" s="1"/>
  <c r="AE194" i="20"/>
  <c r="AD194" i="20" s="1"/>
  <c r="AE193" i="20"/>
  <c r="AD193" i="20" s="1"/>
  <c r="AE179" i="20"/>
  <c r="AD179" i="20" s="1"/>
  <c r="AE172" i="20"/>
  <c r="AD172" i="20" s="1"/>
  <c r="AE331" i="20"/>
  <c r="AD331" i="20" s="1"/>
  <c r="AE293" i="20"/>
  <c r="AD293" i="20" s="1"/>
  <c r="AE265" i="20"/>
  <c r="AD265" i="20" s="1"/>
  <c r="AE190" i="20"/>
  <c r="AD190" i="20" s="1"/>
  <c r="AE304" i="20"/>
  <c r="AD304" i="20" s="1"/>
  <c r="AE255" i="20"/>
  <c r="AD255" i="20" s="1"/>
  <c r="AE292" i="20"/>
  <c r="AD292" i="20" s="1"/>
  <c r="AE154" i="20"/>
  <c r="AD154" i="20" s="1"/>
  <c r="AE250" i="20"/>
  <c r="AD250" i="20" s="1"/>
  <c r="AE258" i="20"/>
  <c r="AD258" i="20" s="1"/>
  <c r="AA258" i="20" s="1"/>
  <c r="Z258" i="20" s="1"/>
  <c r="Y258" i="20" s="1"/>
  <c r="AE195" i="20"/>
  <c r="AD195" i="20" s="1"/>
  <c r="AE163" i="20"/>
  <c r="AD163" i="20" s="1"/>
  <c r="AE257" i="20"/>
  <c r="AD257" i="20" s="1"/>
  <c r="AE240" i="20"/>
  <c r="AD240" i="20" s="1"/>
  <c r="AE303" i="20"/>
  <c r="AD303" i="20" s="1"/>
  <c r="AE364" i="20"/>
  <c r="AD364" i="20" s="1"/>
  <c r="AE363" i="20"/>
  <c r="AD363" i="20" s="1"/>
  <c r="AE341" i="20"/>
  <c r="AD341" i="20" s="1"/>
  <c r="AE160" i="20"/>
  <c r="AD160" i="20" s="1"/>
  <c r="AE217" i="20"/>
  <c r="AD217" i="20" s="1"/>
  <c r="AE338" i="20"/>
  <c r="AD338" i="20" s="1"/>
  <c r="AE249" i="20"/>
  <c r="AD249" i="20" s="1"/>
  <c r="AE287" i="20"/>
  <c r="AD287" i="20" s="1"/>
  <c r="AE251" i="20"/>
  <c r="AD251" i="20" s="1"/>
  <c r="AE290" i="20"/>
  <c r="AD290" i="20" s="1"/>
  <c r="AE314" i="20"/>
  <c r="AD314" i="20" s="1"/>
  <c r="AE351" i="20"/>
  <c r="AD351" i="20" s="1"/>
  <c r="AE120" i="20"/>
  <c r="AD120" i="20" s="1"/>
  <c r="AE372" i="20"/>
  <c r="AD372" i="20" s="1"/>
  <c r="AE285" i="20"/>
  <c r="AD285" i="20" s="1"/>
  <c r="AE378" i="20"/>
  <c r="AD378" i="20" s="1"/>
  <c r="AE326" i="20"/>
  <c r="AD326" i="20" s="1"/>
  <c r="AE152" i="20"/>
  <c r="AD152" i="20" s="1"/>
  <c r="AE289" i="20"/>
  <c r="AD289" i="20" s="1"/>
  <c r="AE162" i="20"/>
  <c r="AD162" i="20" s="1"/>
  <c r="AE238" i="20"/>
  <c r="AD238" i="20" s="1"/>
  <c r="AE108" i="20"/>
  <c r="AD108" i="20" s="1"/>
  <c r="AE312" i="20"/>
  <c r="AD312" i="20" s="1"/>
  <c r="AE321" i="20"/>
  <c r="AD321" i="20" s="1"/>
  <c r="AE367" i="20"/>
  <c r="AD367" i="20" s="1"/>
  <c r="AE302" i="20"/>
  <c r="AD302" i="20" s="1"/>
  <c r="AE355" i="20"/>
  <c r="AD355" i="20" s="1"/>
  <c r="AE229" i="20"/>
  <c r="AD229" i="20" s="1"/>
  <c r="AE353" i="20"/>
  <c r="AD353" i="20" s="1"/>
  <c r="AE310" i="20"/>
  <c r="AD310" i="20" s="1"/>
  <c r="AE300" i="20"/>
  <c r="AD300" i="20" s="1"/>
  <c r="AE319" i="20"/>
  <c r="AD319" i="20" s="1"/>
  <c r="AE183" i="20"/>
  <c r="AD183" i="20" s="1"/>
  <c r="AE374" i="20"/>
  <c r="AD374" i="20" s="1"/>
  <c r="AE368" i="20"/>
  <c r="AD368" i="20" s="1"/>
  <c r="AE105" i="20"/>
  <c r="AD105" i="20" s="1"/>
  <c r="AE242" i="20"/>
  <c r="AD242" i="20" s="1"/>
  <c r="AE307" i="20"/>
  <c r="AD307" i="20" s="1"/>
  <c r="AE306" i="20"/>
  <c r="AD306" i="20" s="1"/>
  <c r="AE260" i="20"/>
  <c r="AD260" i="20" s="1"/>
  <c r="AE346" i="20"/>
  <c r="AD346" i="20" s="1"/>
  <c r="AE166" i="20"/>
  <c r="AD166" i="20" s="1"/>
  <c r="AE155" i="20"/>
  <c r="AD155" i="20" s="1"/>
  <c r="AE164" i="20"/>
  <c r="AD164" i="20" s="1"/>
  <c r="AE365" i="20"/>
  <c r="AD365" i="20" s="1"/>
  <c r="AE200" i="20"/>
  <c r="AD200" i="20" s="1"/>
  <c r="AE143" i="20"/>
  <c r="AD143" i="20" s="1"/>
  <c r="AE359" i="20"/>
  <c r="AD359" i="20" s="1"/>
  <c r="AE117" i="20"/>
  <c r="AD117" i="20" s="1"/>
  <c r="AE241" i="20"/>
  <c r="AD241" i="20" s="1"/>
  <c r="AE207" i="20"/>
  <c r="AD207" i="20" s="1"/>
  <c r="AE235" i="20"/>
  <c r="AD235" i="20" s="1"/>
  <c r="AE149" i="20"/>
  <c r="AD149" i="20" s="1"/>
  <c r="AE330" i="20"/>
  <c r="AD330" i="20" s="1"/>
  <c r="AE271" i="20"/>
  <c r="AD271" i="20" s="1"/>
  <c r="AE352" i="20"/>
  <c r="AD352" i="20" s="1"/>
  <c r="AE181" i="20"/>
  <c r="AD181" i="20" s="1"/>
  <c r="AE279" i="20"/>
  <c r="AD279" i="20" s="1"/>
  <c r="AE128" i="20"/>
  <c r="AD128" i="20" s="1"/>
  <c r="AE343" i="20"/>
  <c r="AD343" i="20" s="1"/>
  <c r="AE148" i="20"/>
  <c r="AD148" i="20" s="1"/>
  <c r="AE288" i="20"/>
  <c r="AD288" i="20" s="1"/>
  <c r="AE345" i="20"/>
  <c r="AD345" i="20" s="1"/>
  <c r="AE223" i="20"/>
  <c r="AD223" i="20" s="1"/>
  <c r="AE286" i="20"/>
  <c r="AD286" i="20" s="1"/>
  <c r="AE180" i="20"/>
  <c r="AD180" i="20" s="1"/>
  <c r="AE221" i="20"/>
  <c r="AD221" i="20" s="1"/>
  <c r="AE377" i="20"/>
  <c r="AD377" i="20" s="1"/>
  <c r="AE212" i="20"/>
  <c r="AD212" i="20" s="1"/>
  <c r="AE199" i="20"/>
  <c r="AD199" i="20" s="1"/>
  <c r="AE262" i="20"/>
  <c r="AD262" i="20" s="1"/>
  <c r="AE327" i="20"/>
  <c r="AD327" i="20" s="1"/>
  <c r="AE111" i="20"/>
  <c r="AD111" i="20" s="1"/>
  <c r="AE209" i="20"/>
  <c r="AD209" i="20" s="1"/>
  <c r="AE270" i="20"/>
  <c r="AD270" i="20" s="1"/>
  <c r="AE245" i="20"/>
  <c r="AD245" i="20" s="1"/>
  <c r="AE220" i="20"/>
  <c r="AD220" i="20" s="1"/>
  <c r="AE215" i="20"/>
  <c r="AD215" i="20" s="1"/>
  <c r="AE224" i="20"/>
  <c r="AD224" i="20" s="1"/>
  <c r="AE309" i="20"/>
  <c r="AD309" i="20" s="1"/>
  <c r="AE339" i="20"/>
  <c r="AD339" i="20" s="1"/>
  <c r="AE122" i="20"/>
  <c r="AD122" i="20" s="1"/>
  <c r="AE222" i="20"/>
  <c r="AD222" i="20" s="1"/>
  <c r="AE134" i="20"/>
  <c r="AD134" i="20" s="1"/>
  <c r="AE308" i="20"/>
  <c r="AD308" i="20" s="1"/>
  <c r="AE216" i="20"/>
  <c r="AD216" i="20" s="1"/>
  <c r="AE253" i="20"/>
  <c r="AD253" i="20" s="1"/>
  <c r="AE113" i="20"/>
  <c r="AD113" i="20" s="1"/>
  <c r="AE334" i="20"/>
  <c r="AD334" i="20" s="1"/>
  <c r="AE252" i="20"/>
  <c r="AD252" i="20" s="1"/>
  <c r="AE305" i="20"/>
  <c r="AD305" i="20" s="1"/>
  <c r="AE133" i="20"/>
  <c r="AD133" i="20" s="1"/>
  <c r="AE129" i="20"/>
  <c r="AD129" i="20" s="1"/>
  <c r="AE227" i="20"/>
  <c r="AD227" i="20" s="1"/>
  <c r="AE280" i="20"/>
  <c r="AD280" i="20" s="1"/>
  <c r="AE106" i="20"/>
  <c r="AD106" i="20" s="1"/>
  <c r="AE139" i="20"/>
  <c r="AD139" i="20" s="1"/>
  <c r="AE236" i="20"/>
  <c r="AD236" i="20" s="1"/>
  <c r="AE170" i="20"/>
  <c r="AD170" i="20" s="1"/>
  <c r="AE246" i="20"/>
  <c r="AD246" i="20" s="1"/>
  <c r="AE203" i="20"/>
  <c r="AD203" i="20" s="1"/>
  <c r="AE357" i="20"/>
  <c r="AD357" i="20" s="1"/>
  <c r="AE234" i="20"/>
  <c r="AD234" i="20" s="1"/>
  <c r="AE208" i="20"/>
  <c r="AD208" i="20" s="1"/>
  <c r="AE243" i="20"/>
  <c r="AD243" i="20" s="1"/>
  <c r="AE379" i="20"/>
  <c r="AE12" i="22" s="1"/>
  <c r="AE233" i="20"/>
  <c r="AD233" i="20" s="1"/>
  <c r="AE127" i="20"/>
  <c r="AD127" i="20" s="1"/>
  <c r="AE283" i="20"/>
  <c r="AD283" i="20" s="1"/>
  <c r="AE173" i="20"/>
  <c r="AD173" i="20" s="1"/>
  <c r="AE282" i="20"/>
  <c r="AD282" i="20" s="1"/>
  <c r="AE191" i="20"/>
  <c r="AD191" i="20" s="1"/>
  <c r="AE347" i="20"/>
  <c r="AD347" i="20" s="1"/>
  <c r="AE205" i="20"/>
  <c r="AD205" i="20" s="1"/>
  <c r="AE291" i="20"/>
  <c r="AD291" i="20" s="1"/>
  <c r="AE184" i="20"/>
  <c r="AD184" i="20" s="1"/>
  <c r="AE131" i="20"/>
  <c r="AD131" i="20" s="1"/>
  <c r="AE140" i="20"/>
  <c r="AD140" i="20" s="1"/>
  <c r="AE225" i="20"/>
  <c r="AD225" i="20" s="1"/>
  <c r="AE267" i="20"/>
  <c r="AD267" i="20" s="1"/>
  <c r="AE261" i="20"/>
  <c r="AD261" i="20" s="1"/>
  <c r="AE118" i="20"/>
  <c r="AD118" i="20" s="1"/>
  <c r="AE332" i="20"/>
  <c r="AD332" i="20" s="1"/>
  <c r="AE126" i="20"/>
  <c r="AD126" i="20" s="1"/>
  <c r="AE272" i="20"/>
  <c r="AD272" i="20" s="1"/>
  <c r="AE132" i="20"/>
  <c r="AD132" i="20" s="1"/>
  <c r="AE169" i="20"/>
  <c r="AD169" i="20" s="1"/>
  <c r="AE254" i="20"/>
  <c r="AD254" i="20" s="1"/>
  <c r="AE237" i="20"/>
  <c r="AD237" i="20" s="1"/>
  <c r="AE156" i="20"/>
  <c r="AD156" i="20" s="1"/>
  <c r="AE324" i="20"/>
  <c r="AD324" i="20" s="1"/>
  <c r="AE360" i="20"/>
  <c r="AD360" i="20" s="1"/>
  <c r="AE376" i="20"/>
  <c r="AD376" i="20" s="1"/>
  <c r="AE354" i="20"/>
  <c r="AD354" i="20" s="1"/>
  <c r="AE362" i="20"/>
  <c r="AD362" i="20" s="1"/>
  <c r="AE214" i="20"/>
  <c r="AD214" i="20" s="1"/>
  <c r="AE185" i="20"/>
  <c r="AD185" i="20" s="1"/>
  <c r="H113" i="18"/>
  <c r="AA113" i="18"/>
  <c r="Z113" i="18" s="1"/>
  <c r="Y113" i="18" s="1"/>
  <c r="G113" i="18"/>
  <c r="CA113" i="6" s="1"/>
  <c r="AA303" i="18"/>
  <c r="Z303" i="18" s="1"/>
  <c r="Y303" i="18" s="1"/>
  <c r="H303" i="18"/>
  <c r="G303" i="18"/>
  <c r="CA303" i="6" s="1"/>
  <c r="AA153" i="18"/>
  <c r="Z153" i="18" s="1"/>
  <c r="Y153" i="18" s="1"/>
  <c r="H153" i="18"/>
  <c r="G153" i="18"/>
  <c r="CA153" i="6" s="1"/>
  <c r="J71" i="18"/>
  <c r="C71" i="6" s="1"/>
  <c r="J379" i="18"/>
  <c r="C379" i="6" s="1"/>
  <c r="D40" i="19"/>
  <c r="D13" i="19"/>
  <c r="G37" i="19"/>
  <c r="R381" i="18"/>
  <c r="R383" i="18"/>
  <c r="R382" i="18"/>
  <c r="P15" i="18"/>
  <c r="T383" i="20"/>
  <c r="T382" i="20"/>
  <c r="S15" i="20"/>
  <c r="T381" i="20"/>
  <c r="AI198" i="22"/>
  <c r="AH198" i="22" s="1"/>
  <c r="AG198" i="22" s="1"/>
  <c r="AF198" i="22" s="1"/>
  <c r="AI71" i="22"/>
  <c r="AH71" i="22" s="1"/>
  <c r="AG71" i="22" s="1"/>
  <c r="AF71" i="22" s="1"/>
  <c r="AI140" i="22"/>
  <c r="AH140" i="22" s="1"/>
  <c r="AG140" i="22" s="1"/>
  <c r="AF140" i="22" s="1"/>
  <c r="AI288" i="22"/>
  <c r="AH288" i="22" s="1"/>
  <c r="AG288" i="22" s="1"/>
  <c r="AF288" i="22" s="1"/>
  <c r="AI285" i="22"/>
  <c r="AH285" i="22" s="1"/>
  <c r="AI358" i="22"/>
  <c r="AH358" i="22" s="1"/>
  <c r="AG358" i="22" s="1"/>
  <c r="AF358" i="22" s="1"/>
  <c r="AI282" i="22"/>
  <c r="AH282" i="22" s="1"/>
  <c r="AI27" i="22"/>
  <c r="AH27" i="22" s="1"/>
  <c r="AG27" i="22" s="1"/>
  <c r="AF27" i="22" s="1"/>
  <c r="AI128" i="22"/>
  <c r="AH128" i="22" s="1"/>
  <c r="AG128" i="22" s="1"/>
  <c r="AF128" i="22" s="1"/>
  <c r="AI292" i="22"/>
  <c r="AH292" i="22" s="1"/>
  <c r="AG292" i="22" s="1"/>
  <c r="AF292" i="22" s="1"/>
  <c r="AI241" i="22"/>
  <c r="AH241" i="22" s="1"/>
  <c r="AI84" i="22"/>
  <c r="AH84" i="22" s="1"/>
  <c r="AG84" i="22" s="1"/>
  <c r="AF84" i="22" s="1"/>
  <c r="AI277" i="22"/>
  <c r="AH277" i="22" s="1"/>
  <c r="AG277" i="22" s="1"/>
  <c r="AF277" i="22" s="1"/>
  <c r="AI63" i="22"/>
  <c r="AH63" i="22" s="1"/>
  <c r="AG63" i="22" s="1"/>
  <c r="AF63" i="22" s="1"/>
  <c r="AI133" i="22"/>
  <c r="AH133" i="22" s="1"/>
  <c r="AG133" i="22" s="1"/>
  <c r="AF133" i="22" s="1"/>
  <c r="AI354" i="22"/>
  <c r="AH354" i="22" s="1"/>
  <c r="AG354" i="22" s="1"/>
  <c r="AF354" i="22" s="1"/>
  <c r="AI104" i="22"/>
  <c r="AH104" i="22" s="1"/>
  <c r="AG104" i="22" s="1"/>
  <c r="AF104" i="22" s="1"/>
  <c r="AI95" i="22"/>
  <c r="AH95" i="22" s="1"/>
  <c r="AG95" i="22" s="1"/>
  <c r="AF95" i="22" s="1"/>
  <c r="AI161" i="22"/>
  <c r="AH161" i="22" s="1"/>
  <c r="AG161" i="22" s="1"/>
  <c r="AF161" i="22" s="1"/>
  <c r="AI43" i="22"/>
  <c r="AH43" i="22" s="1"/>
  <c r="AG43" i="22" s="1"/>
  <c r="AF43" i="22" s="1"/>
  <c r="AI34" i="22"/>
  <c r="AH34" i="22" s="1"/>
  <c r="AI40" i="22"/>
  <c r="AH40" i="22" s="1"/>
  <c r="AG40" i="22" s="1"/>
  <c r="AF40" i="22" s="1"/>
  <c r="AI329" i="22"/>
  <c r="AH329" i="22" s="1"/>
  <c r="AG329" i="22" s="1"/>
  <c r="AF329" i="22" s="1"/>
  <c r="AI107" i="22"/>
  <c r="AH107" i="22" s="1"/>
  <c r="AG107" i="22" s="1"/>
  <c r="AF107" i="22" s="1"/>
  <c r="AI191" i="22"/>
  <c r="AH191" i="22" s="1"/>
  <c r="AG191" i="22" s="1"/>
  <c r="AF191" i="22" s="1"/>
  <c r="AI308" i="22"/>
  <c r="AH308" i="22" s="1"/>
  <c r="AG308" i="22" s="1"/>
  <c r="AF308" i="22" s="1"/>
  <c r="AI65" i="22"/>
  <c r="AH65" i="22" s="1"/>
  <c r="AG65" i="22" s="1"/>
  <c r="AF65" i="22" s="1"/>
  <c r="AI74" i="22"/>
  <c r="AH74" i="22" s="1"/>
  <c r="AG74" i="22" s="1"/>
  <c r="AF74" i="22" s="1"/>
  <c r="AI46" i="22"/>
  <c r="AH46" i="22" s="1"/>
  <c r="AG46" i="22" s="1"/>
  <c r="AF46" i="22" s="1"/>
  <c r="AI210" i="22"/>
  <c r="AH210" i="22" s="1"/>
  <c r="AG210" i="22" s="1"/>
  <c r="AF210" i="22" s="1"/>
  <c r="AI259" i="22"/>
  <c r="AH259" i="22" s="1"/>
  <c r="AI280" i="22"/>
  <c r="AH280" i="22" s="1"/>
  <c r="AG280" i="22" s="1"/>
  <c r="AF280" i="22" s="1"/>
  <c r="AI85" i="22"/>
  <c r="AH85" i="22" s="1"/>
  <c r="AI142" i="22"/>
  <c r="AH142" i="22" s="1"/>
  <c r="AG142" i="22" s="1"/>
  <c r="AF142" i="22" s="1"/>
  <c r="AI313" i="22"/>
  <c r="AH313" i="22" s="1"/>
  <c r="AG313" i="22" s="1"/>
  <c r="AF313" i="22" s="1"/>
  <c r="AI163" i="22"/>
  <c r="AH163" i="22" s="1"/>
  <c r="AG163" i="22" s="1"/>
  <c r="AF163" i="22" s="1"/>
  <c r="AI300" i="22"/>
  <c r="AH300" i="22" s="1"/>
  <c r="AG300" i="22" s="1"/>
  <c r="AF300" i="22" s="1"/>
  <c r="AI342" i="22"/>
  <c r="AH342" i="22" s="1"/>
  <c r="AG342" i="22" s="1"/>
  <c r="AF342" i="22" s="1"/>
  <c r="AI220" i="22"/>
  <c r="AH220" i="22" s="1"/>
  <c r="AI66" i="22"/>
  <c r="AH66" i="22" s="1"/>
  <c r="AG66" i="22" s="1"/>
  <c r="AF66" i="22" s="1"/>
  <c r="AI332" i="22"/>
  <c r="AH332" i="22" s="1"/>
  <c r="AG332" i="22" s="1"/>
  <c r="AF332" i="22" s="1"/>
  <c r="AI370" i="22"/>
  <c r="AH370" i="22" s="1"/>
  <c r="AG370" i="22" s="1"/>
  <c r="AF370" i="22" s="1"/>
  <c r="AI248" i="22"/>
  <c r="AH248" i="22" s="1"/>
  <c r="AG248" i="22" s="1"/>
  <c r="AF248" i="22" s="1"/>
  <c r="AI267" i="22"/>
  <c r="AH267" i="22" s="1"/>
  <c r="AG267" i="22" s="1"/>
  <c r="AF267" i="22" s="1"/>
  <c r="AI109" i="22"/>
  <c r="AH109" i="22" s="1"/>
  <c r="AG109" i="22" s="1"/>
  <c r="AF109" i="22" s="1"/>
  <c r="AI183" i="22"/>
  <c r="AH183" i="22" s="1"/>
  <c r="AG183" i="22" s="1"/>
  <c r="AF183" i="22" s="1"/>
  <c r="AI92" i="22"/>
  <c r="AH92" i="22" s="1"/>
  <c r="AI240" i="22"/>
  <c r="AH240" i="22" s="1"/>
  <c r="AG240" i="22" s="1"/>
  <c r="AF240" i="22" s="1"/>
  <c r="AI301" i="22"/>
  <c r="AH301" i="22" s="1"/>
  <c r="AI310" i="22"/>
  <c r="AH310" i="22" s="1"/>
  <c r="AG310" i="22" s="1"/>
  <c r="AF310" i="22" s="1"/>
  <c r="AI119" i="22"/>
  <c r="AH119" i="22" s="1"/>
  <c r="AG119" i="22" s="1"/>
  <c r="AF119" i="22" s="1"/>
  <c r="AI188" i="22"/>
  <c r="AH188" i="22" s="1"/>
  <c r="AG188" i="22" s="1"/>
  <c r="AF188" i="22" s="1"/>
  <c r="AI15" i="22"/>
  <c r="AH15" i="22" s="1"/>
  <c r="AI244" i="22"/>
  <c r="AH244" i="22" s="1"/>
  <c r="AG244" i="22" s="1"/>
  <c r="AF244" i="22" s="1"/>
  <c r="AI257" i="22"/>
  <c r="AH257" i="22" s="1"/>
  <c r="AI266" i="22"/>
  <c r="AH266" i="22" s="1"/>
  <c r="AG266" i="22" s="1"/>
  <c r="AF266" i="22" s="1"/>
  <c r="AI139" i="22"/>
  <c r="AH139" i="22" s="1"/>
  <c r="AG139" i="22" s="1"/>
  <c r="AF139" i="22" s="1"/>
  <c r="AI176" i="22"/>
  <c r="AH176" i="22" s="1"/>
  <c r="AG176" i="22" s="1"/>
  <c r="AF176" i="22" s="1"/>
  <c r="AI216" i="22"/>
  <c r="AH216" i="22" s="1"/>
  <c r="AI78" i="22"/>
  <c r="AH78" i="22" s="1"/>
  <c r="AG78" i="22" s="1"/>
  <c r="AF78" i="22" s="1"/>
  <c r="AI35" i="22"/>
  <c r="AH35" i="22" s="1"/>
  <c r="AG35" i="22" s="1"/>
  <c r="AF35" i="22" s="1"/>
  <c r="AI233" i="22"/>
  <c r="AH233" i="22" s="1"/>
  <c r="AG233" i="22" s="1"/>
  <c r="AF233" i="22" s="1"/>
  <c r="AI147" i="22"/>
  <c r="AH147" i="22" s="1"/>
  <c r="AI302" i="22"/>
  <c r="AH302" i="22" s="1"/>
  <c r="AG302" i="22" s="1"/>
  <c r="AF302" i="22" s="1"/>
  <c r="AI148" i="22"/>
  <c r="AH148" i="22" s="1"/>
  <c r="AI341" i="22"/>
  <c r="AH341" i="22" s="1"/>
  <c r="AG341" i="22" s="1"/>
  <c r="AF341" i="22" s="1"/>
  <c r="AI242" i="22"/>
  <c r="AH242" i="22" s="1"/>
  <c r="AG242" i="22" s="1"/>
  <c r="AF242" i="22" s="1"/>
  <c r="AI83" i="22"/>
  <c r="AH83" i="22" s="1"/>
  <c r="AG83" i="22" s="1"/>
  <c r="AF83" i="22" s="1"/>
  <c r="AI284" i="22"/>
  <c r="AH284" i="22" s="1"/>
  <c r="AG284" i="22" s="1"/>
  <c r="AF284" i="22" s="1"/>
  <c r="AI196" i="22"/>
  <c r="AH196" i="22" s="1"/>
  <c r="AG196" i="22" s="1"/>
  <c r="AF196" i="22" s="1"/>
  <c r="AI17" i="22"/>
  <c r="AH17" i="22" s="1"/>
  <c r="AG17" i="22" s="1"/>
  <c r="AF17" i="22" s="1"/>
  <c r="AI90" i="22"/>
  <c r="AH90" i="22" s="1"/>
  <c r="AG90" i="22" s="1"/>
  <c r="AF90" i="22" s="1"/>
  <c r="AI91" i="22"/>
  <c r="AH91" i="22" s="1"/>
  <c r="AI303" i="22"/>
  <c r="AH303" i="22" s="1"/>
  <c r="AG303" i="22" s="1"/>
  <c r="AF303" i="22" s="1"/>
  <c r="AI356" i="22"/>
  <c r="AH356" i="22" s="1"/>
  <c r="AG356" i="22" s="1"/>
  <c r="AF356" i="22" s="1"/>
  <c r="AI168" i="22"/>
  <c r="AH168" i="22" s="1"/>
  <c r="AG168" i="22" s="1"/>
  <c r="AF168" i="22" s="1"/>
  <c r="AI37" i="22"/>
  <c r="AH37" i="22" s="1"/>
  <c r="AG37" i="22" s="1"/>
  <c r="AF37" i="22" s="1"/>
  <c r="AI94" i="22"/>
  <c r="AH94" i="22" s="1"/>
  <c r="AG94" i="22" s="1"/>
  <c r="AF94" i="22" s="1"/>
  <c r="AI258" i="22"/>
  <c r="AH258" i="22" s="1"/>
  <c r="AG258" i="22" s="1"/>
  <c r="AF258" i="22" s="1"/>
  <c r="AI243" i="22"/>
  <c r="AH243" i="22" s="1"/>
  <c r="AG243" i="22" s="1"/>
  <c r="AF243" i="22" s="1"/>
  <c r="AI328" i="22"/>
  <c r="AH328" i="22" s="1"/>
  <c r="AI50" i="22"/>
  <c r="AH50" i="22" s="1"/>
  <c r="AG50" i="22" s="1"/>
  <c r="AF50" i="22" s="1"/>
  <c r="AI295" i="22"/>
  <c r="AH295" i="22" s="1"/>
  <c r="AG295" i="22" s="1"/>
  <c r="AF295" i="22" s="1"/>
  <c r="AI256" i="22"/>
  <c r="AH256" i="22" s="1"/>
  <c r="AG256" i="22" s="1"/>
  <c r="AF256" i="22" s="1"/>
  <c r="AI87" i="22"/>
  <c r="AH87" i="22" s="1"/>
  <c r="AG87" i="22" s="1"/>
  <c r="AF87" i="22" s="1"/>
  <c r="AI368" i="22"/>
  <c r="AH368" i="22" s="1"/>
  <c r="AG368" i="22" s="1"/>
  <c r="AF368" i="22" s="1"/>
  <c r="AI152" i="22"/>
  <c r="AH152" i="22" s="1"/>
  <c r="AI377" i="22"/>
  <c r="AH377" i="22" s="1"/>
  <c r="AG377" i="22" s="1"/>
  <c r="AF377" i="22" s="1"/>
  <c r="AI227" i="22"/>
  <c r="AH227" i="22" s="1"/>
  <c r="AI108" i="22"/>
  <c r="AH108" i="22" s="1"/>
  <c r="AG108" i="22" s="1"/>
  <c r="AF108" i="22" s="1"/>
  <c r="AI304" i="22"/>
  <c r="AH304" i="22" s="1"/>
  <c r="AI118" i="22"/>
  <c r="AH118" i="22" s="1"/>
  <c r="AG118" i="22" s="1"/>
  <c r="AF118" i="22" s="1"/>
  <c r="AF381" i="18"/>
  <c r="AF383" i="18"/>
  <c r="AF382" i="18"/>
  <c r="AD15" i="18"/>
  <c r="AG15" i="20"/>
  <c r="AH381" i="20"/>
  <c r="AH383" i="20"/>
  <c r="AH382" i="20"/>
  <c r="H15" i="17"/>
  <c r="J15" i="17" s="1"/>
  <c r="I364" i="18"/>
  <c r="B364" i="6" s="1"/>
  <c r="BA364" i="6" s="1"/>
  <c r="I382" i="16"/>
  <c r="I381" i="16"/>
  <c r="D46" i="20"/>
  <c r="E46" i="20" s="1"/>
  <c r="F46" i="20" s="1"/>
  <c r="AA46" i="20" s="1"/>
  <c r="Z46" i="20" s="1"/>
  <c r="Y46" i="20" s="1"/>
  <c r="W319" i="20"/>
  <c r="W258" i="20"/>
  <c r="D349" i="20"/>
  <c r="E349" i="20" s="1"/>
  <c r="F349" i="20" s="1"/>
  <c r="D135" i="20"/>
  <c r="E135" i="20" s="1"/>
  <c r="F135" i="20" s="1"/>
  <c r="G135" i="20" s="1"/>
  <c r="CB135" i="6" s="1"/>
  <c r="D74" i="20"/>
  <c r="E74" i="20" s="1"/>
  <c r="F74" i="20" s="1"/>
  <c r="G74" i="20" s="1"/>
  <c r="CB74" i="6" s="1"/>
  <c r="F11" i="17"/>
  <c r="AB9" i="17"/>
  <c r="G14" i="19"/>
  <c r="J38" i="19" s="1"/>
  <c r="G381" i="17"/>
  <c r="G383" i="17"/>
  <c r="G12" i="17" s="1"/>
  <c r="G382" i="17"/>
  <c r="C7" i="6"/>
  <c r="Q7" i="7"/>
  <c r="Z15" i="17"/>
  <c r="AA381" i="17"/>
  <c r="AA383" i="17"/>
  <c r="AM8" i="17"/>
  <c r="AL9" i="17"/>
  <c r="AA382" i="17"/>
  <c r="AA9" i="17"/>
  <c r="Z9" i="16"/>
  <c r="Z382" i="16"/>
  <c r="Z381" i="16"/>
  <c r="Y15" i="16"/>
  <c r="AL5" i="16" s="1"/>
  <c r="AL11" i="16" s="1"/>
  <c r="AJ3" i="16" s="1"/>
  <c r="O13" i="19" s="1"/>
  <c r="AL8" i="16"/>
  <c r="Z383" i="16"/>
  <c r="H42" i="27"/>
  <c r="G41" i="27" s="1"/>
  <c r="AE76" i="27"/>
  <c r="P77" i="27"/>
  <c r="G40" i="27" s="1"/>
  <c r="AL13" i="15"/>
  <c r="AJ4" i="15"/>
  <c r="P12" i="19" s="1"/>
  <c r="AK4" i="15"/>
  <c r="R12" i="19" s="1"/>
  <c r="N13" i="19" s="1"/>
  <c r="AM13" i="15"/>
  <c r="AA11" i="15"/>
  <c r="AA5" i="15" s="1"/>
  <c r="I12" i="19" s="1"/>
  <c r="J12" i="19"/>
  <c r="Z11" i="15"/>
  <c r="Z5" i="15" s="1"/>
  <c r="H12" i="19" s="1"/>
  <c r="J309" i="17"/>
  <c r="I309" i="17"/>
  <c r="J349" i="18"/>
  <c r="C349" i="6" s="1"/>
  <c r="I349" i="18"/>
  <c r="B349" i="6" s="1"/>
  <c r="BA349" i="6" s="1"/>
  <c r="W288" i="20"/>
  <c r="D288" i="20"/>
  <c r="E288" i="20" s="1"/>
  <c r="F288" i="20" s="1"/>
  <c r="T22" i="22"/>
  <c r="T242" i="22"/>
  <c r="T181" i="22"/>
  <c r="T80" i="22"/>
  <c r="T67" i="22"/>
  <c r="T359" i="22"/>
  <c r="T250" i="22"/>
  <c r="T125" i="22"/>
  <c r="T56" i="22"/>
  <c r="T75" i="22"/>
  <c r="T303" i="22"/>
  <c r="T113" i="22"/>
  <c r="T28" i="22"/>
  <c r="T256" i="22"/>
  <c r="T179" i="22"/>
  <c r="T78" i="22"/>
  <c r="T89" i="22"/>
  <c r="T365" i="22"/>
  <c r="T264" i="22"/>
  <c r="T155" i="22"/>
  <c r="T54" i="22"/>
  <c r="T33" i="22"/>
  <c r="T341" i="22"/>
  <c r="T129" i="22"/>
  <c r="T336" i="22"/>
  <c r="T254" i="22"/>
  <c r="T20" i="22"/>
  <c r="T331" i="22"/>
  <c r="T369" i="22"/>
  <c r="T294" i="22"/>
  <c r="T334" i="22"/>
  <c r="T260" i="22"/>
  <c r="T185" i="22"/>
  <c r="T289" i="22"/>
  <c r="T354" i="22"/>
  <c r="T128" i="22"/>
  <c r="T311" i="22"/>
  <c r="T237" i="22"/>
  <c r="T368" i="22"/>
  <c r="T18" i="22"/>
  <c r="T30" i="22"/>
  <c r="T107" i="22"/>
  <c r="T160" i="22"/>
  <c r="T36" i="22"/>
  <c r="T65" i="22"/>
  <c r="T190" i="22"/>
  <c r="T79" i="22"/>
  <c r="T40" i="22"/>
  <c r="T186" i="22"/>
  <c r="T228" i="22"/>
  <c r="T277" i="22"/>
  <c r="AH226" i="22"/>
  <c r="AH19" i="22"/>
  <c r="AH343" i="22"/>
  <c r="AH101" i="22"/>
  <c r="AH265" i="22"/>
  <c r="AH322" i="22"/>
  <c r="AH182" i="22"/>
  <c r="AH362" i="22"/>
  <c r="AH60" i="22"/>
  <c r="AH41" i="22"/>
  <c r="AH269" i="22"/>
  <c r="AH278" i="22"/>
  <c r="AH141" i="22"/>
  <c r="AH151" i="22"/>
  <c r="AH73" i="22"/>
  <c r="AH186" i="22"/>
  <c r="AH32" i="22"/>
  <c r="AH102" i="22"/>
  <c r="AH336" i="22"/>
  <c r="AH214" i="22"/>
  <c r="AH203" i="22"/>
  <c r="AH335" i="22"/>
  <c r="AH145" i="22"/>
  <c r="AH378" i="22"/>
  <c r="AH187" i="22"/>
  <c r="AH224" i="22"/>
  <c r="AH221" i="22"/>
  <c r="AH38" i="22"/>
  <c r="AH103" i="22"/>
  <c r="AH318" i="22"/>
  <c r="AH175" i="22"/>
  <c r="AH228" i="22"/>
  <c r="AH177" i="22"/>
  <c r="AH58" i="22"/>
  <c r="AH123" i="22"/>
  <c r="AH366" i="22"/>
  <c r="AH212" i="22"/>
  <c r="AH298" i="22"/>
  <c r="AH371" i="22"/>
  <c r="AH261" i="22"/>
  <c r="AH77" i="22"/>
  <c r="AH202" i="22"/>
  <c r="AH112" i="22"/>
  <c r="AH33" i="22"/>
  <c r="AH197" i="22"/>
  <c r="AH47" i="22"/>
  <c r="I302" i="18"/>
  <c r="B302" i="6" s="1"/>
  <c r="BA302" i="6" s="1"/>
  <c r="D227" i="20"/>
  <c r="E227" i="20" s="1"/>
  <c r="F227" i="20" s="1"/>
  <c r="W227" i="20"/>
  <c r="J46" i="18"/>
  <c r="C46" i="6" s="1"/>
  <c r="I46" i="18"/>
  <c r="B46" i="6" s="1"/>
  <c r="BA46" i="6" s="1"/>
  <c r="J319" i="18"/>
  <c r="C319" i="6" s="1"/>
  <c r="I319" i="18"/>
  <c r="B319" i="6" s="1"/>
  <c r="BA319" i="6" s="1"/>
  <c r="AG285" i="22"/>
  <c r="AF285" i="22" s="1"/>
  <c r="AG15" i="22"/>
  <c r="AG56" i="22"/>
  <c r="AF56" i="22" s="1"/>
  <c r="AG172" i="22"/>
  <c r="AF172" i="22" s="1"/>
  <c r="AG281" i="22"/>
  <c r="AF281" i="22" s="1"/>
  <c r="AG82" i="22"/>
  <c r="AF82" i="22" s="1"/>
  <c r="AG279" i="22"/>
  <c r="AF279" i="22" s="1"/>
  <c r="AG262" i="22"/>
  <c r="AF262" i="22" s="1"/>
  <c r="AG93" i="22"/>
  <c r="AF93" i="22" s="1"/>
  <c r="AG304" i="22"/>
  <c r="AF304" i="22" s="1"/>
  <c r="J227" i="18"/>
  <c r="C227" i="6" s="1"/>
  <c r="I227" i="18"/>
  <c r="B227" i="6" s="1"/>
  <c r="BA227" i="6" s="1"/>
  <c r="J105" i="18"/>
  <c r="C105" i="6" s="1"/>
  <c r="I105" i="18"/>
  <c r="B105" i="6" s="1"/>
  <c r="BA105" i="6" s="1"/>
  <c r="J196" i="18"/>
  <c r="C196" i="6" s="1"/>
  <c r="I196" i="18"/>
  <c r="B196" i="6" s="1"/>
  <c r="BA196" i="6" s="1"/>
  <c r="I258" i="18"/>
  <c r="B258" i="6" s="1"/>
  <c r="BA258" i="6" s="1"/>
  <c r="J258" i="18"/>
  <c r="C258" i="6" s="1"/>
  <c r="I180" i="18"/>
  <c r="B180" i="6" s="1"/>
  <c r="BA180" i="6" s="1"/>
  <c r="J180" i="18"/>
  <c r="C180" i="6" s="1"/>
  <c r="T324" i="22"/>
  <c r="T350" i="22"/>
  <c r="T367" i="22"/>
  <c r="T194" i="22"/>
  <c r="T35" i="22"/>
  <c r="T226" i="22"/>
  <c r="T332" i="22"/>
  <c r="T93" i="22"/>
  <c r="T46" i="22"/>
  <c r="T298" i="22"/>
  <c r="T205" i="22"/>
  <c r="T232" i="22"/>
  <c r="T123" i="22"/>
  <c r="T110" i="22"/>
  <c r="T269" i="22"/>
  <c r="T187" i="22"/>
  <c r="T306" i="22"/>
  <c r="T144" i="22"/>
  <c r="T62" i="22"/>
  <c r="T84" i="22"/>
  <c r="T267" i="22"/>
  <c r="T177" i="22"/>
  <c r="T102" i="22"/>
  <c r="T270" i="22"/>
  <c r="T68" i="22"/>
  <c r="T219" i="22"/>
  <c r="T97" i="22"/>
  <c r="T304" i="22"/>
  <c r="T94" i="22"/>
  <c r="T349" i="22"/>
  <c r="T58" i="22"/>
  <c r="T209" i="22"/>
  <c r="T111" i="22"/>
  <c r="T302" i="22"/>
  <c r="T100" i="22"/>
  <c r="T236" i="22"/>
  <c r="AG92" i="22"/>
  <c r="AF92" i="22" s="1"/>
  <c r="AG26" i="22"/>
  <c r="AF26" i="22" s="1"/>
  <c r="AG376" i="22"/>
  <c r="AF376" i="22" s="1"/>
  <c r="AG36" i="22"/>
  <c r="AF36" i="22" s="1"/>
  <c r="AG238" i="22"/>
  <c r="AF238" i="22" s="1"/>
  <c r="AG360" i="22"/>
  <c r="AF360" i="22" s="1"/>
  <c r="AG348" i="22"/>
  <c r="AF348" i="22" s="1"/>
  <c r="AG195" i="22"/>
  <c r="AF195" i="22" s="1"/>
  <c r="AG327" i="22"/>
  <c r="AF327" i="22" s="1"/>
  <c r="AG21" i="22"/>
  <c r="AF21" i="22" s="1"/>
  <c r="AG179" i="22"/>
  <c r="AF179" i="22" s="1"/>
  <c r="AG375" i="22"/>
  <c r="AF375" i="22" s="1"/>
  <c r="AG178" i="22"/>
  <c r="AF178" i="22" s="1"/>
  <c r="AG229" i="22"/>
  <c r="AF229" i="22" s="1"/>
  <c r="AG30" i="22"/>
  <c r="AF30" i="22" s="1"/>
  <c r="AG79" i="22"/>
  <c r="AF79" i="22" s="1"/>
  <c r="AG68" i="22"/>
  <c r="AF68" i="22" s="1"/>
  <c r="AG264" i="22"/>
  <c r="AF264" i="22" s="1"/>
  <c r="AG325" i="22"/>
  <c r="AF325" i="22" s="1"/>
  <c r="AG169" i="22"/>
  <c r="AF169" i="22" s="1"/>
  <c r="AG31" i="22"/>
  <c r="AF31" i="22" s="1"/>
  <c r="AG293" i="22"/>
  <c r="AF293" i="22" s="1"/>
  <c r="AG350" i="22"/>
  <c r="AF350" i="22" s="1"/>
  <c r="AG209" i="22"/>
  <c r="AF209" i="22" s="1"/>
  <c r="AG34" i="22"/>
  <c r="AF34" i="22" s="1"/>
  <c r="AG91" i="22"/>
  <c r="AF91" i="22" s="1"/>
  <c r="AG259" i="22"/>
  <c r="AF259" i="22" s="1"/>
  <c r="AG85" i="22"/>
  <c r="AF85" i="22" s="1"/>
  <c r="AG328" i="22"/>
  <c r="AF328" i="22" s="1"/>
  <c r="AG268" i="22"/>
  <c r="AF268" i="22" s="1"/>
  <c r="AG16" i="22"/>
  <c r="AF16" i="22" s="1"/>
  <c r="AG115" i="22"/>
  <c r="AF115" i="22" s="1"/>
  <c r="AG380" i="22"/>
  <c r="AF380" i="22" s="1"/>
  <c r="AG361" i="22"/>
  <c r="AF361" i="22" s="1"/>
  <c r="H18" i="20"/>
  <c r="W196" i="20"/>
  <c r="D196" i="20"/>
  <c r="E196" i="20" s="1"/>
  <c r="F196" i="20" s="1"/>
  <c r="G192" i="20"/>
  <c r="CB192" i="6" s="1"/>
  <c r="J288" i="18"/>
  <c r="C288" i="6" s="1"/>
  <c r="I288" i="18"/>
  <c r="B288" i="6" s="1"/>
  <c r="BA288" i="6" s="1"/>
  <c r="T241" i="22"/>
  <c r="T156" i="22"/>
  <c r="T16" i="22"/>
  <c r="T307" i="22"/>
  <c r="T206" i="22"/>
  <c r="T217" i="22"/>
  <c r="T132" i="22"/>
  <c r="T23" i="22"/>
  <c r="T283" i="22"/>
  <c r="T182" i="22"/>
  <c r="T161" i="22"/>
  <c r="T108" i="22"/>
  <c r="T255" i="22"/>
  <c r="T114" i="22"/>
  <c r="T53" i="22"/>
  <c r="T297" i="22"/>
  <c r="T308" i="22"/>
  <c r="T231" i="22"/>
  <c r="T122" i="22"/>
  <c r="T358" i="22"/>
  <c r="T273" i="22"/>
  <c r="T316" i="22"/>
  <c r="T175" i="22"/>
  <c r="T278" i="22"/>
  <c r="T76" i="22"/>
  <c r="T323" i="22"/>
  <c r="T137" i="22"/>
  <c r="T312" i="22"/>
  <c r="T198" i="22"/>
  <c r="T284" i="22"/>
  <c r="T66" i="22"/>
  <c r="T345" i="22"/>
  <c r="T151" i="22"/>
  <c r="T310" i="22"/>
  <c r="AN16" i="7"/>
  <c r="AT11" i="7" s="1"/>
  <c r="U11" i="23" s="1"/>
  <c r="T379" i="22"/>
  <c r="U12" i="23"/>
  <c r="T261" i="22"/>
  <c r="T51" i="22"/>
  <c r="T330" i="22"/>
  <c r="T136" i="22"/>
  <c r="T287" i="22"/>
  <c r="T213" i="22"/>
  <c r="T227" i="22"/>
  <c r="T41" i="22"/>
  <c r="T344" i="22"/>
  <c r="T320" i="22"/>
  <c r="T60" i="22"/>
  <c r="T98" i="22"/>
  <c r="T366" i="22"/>
  <c r="T249" i="22"/>
  <c r="T164" i="22"/>
  <c r="T55" i="22"/>
  <c r="T74" i="22"/>
  <c r="T342" i="22"/>
  <c r="T193" i="22"/>
  <c r="T140" i="22"/>
  <c r="T31" i="22"/>
  <c r="T17" i="22"/>
  <c r="T318" i="22"/>
  <c r="T112" i="22"/>
  <c r="T340" i="22"/>
  <c r="T263" i="22"/>
  <c r="T154" i="22"/>
  <c r="T157" i="22"/>
  <c r="T88" i="22"/>
  <c r="T348" i="22"/>
  <c r="T207" i="22"/>
  <c r="T130" i="22"/>
  <c r="T165" i="22"/>
  <c r="T32" i="22"/>
  <c r="T329" i="22"/>
  <c r="T135" i="22"/>
  <c r="T29" i="22"/>
  <c r="T220" i="22"/>
  <c r="T371" i="22"/>
  <c r="T281" i="22"/>
  <c r="T343" i="22"/>
  <c r="T292" i="22"/>
  <c r="T59" i="22"/>
  <c r="T321" i="22"/>
  <c r="T15" i="22"/>
  <c r="T85" i="22"/>
  <c r="T61" i="22"/>
  <c r="T252" i="22"/>
  <c r="T162" i="22"/>
  <c r="T313" i="22"/>
  <c r="T247" i="22"/>
  <c r="T301" i="22"/>
  <c r="T91" i="22"/>
  <c r="T338" i="22"/>
  <c r="T176" i="22"/>
  <c r="T327" i="22"/>
  <c r="T221" i="22"/>
  <c r="AH289" i="22"/>
  <c r="AH160" i="22"/>
  <c r="AH106" i="22"/>
  <c r="AH260" i="22"/>
  <c r="AH171" i="22"/>
  <c r="AH337" i="22"/>
  <c r="AH144" i="22"/>
  <c r="AH154" i="22"/>
  <c r="AH372" i="22"/>
  <c r="AH155" i="22"/>
  <c r="AH22" i="22"/>
  <c r="AH111" i="22"/>
  <c r="AH245" i="22"/>
  <c r="AH275" i="22"/>
  <c r="AH110" i="22"/>
  <c r="AH232" i="22"/>
  <c r="AH159" i="22"/>
  <c r="AH357" i="22"/>
  <c r="AH323" i="22"/>
  <c r="AH158" i="22"/>
  <c r="AH344" i="22"/>
  <c r="AH207" i="22"/>
  <c r="AH42" i="22"/>
  <c r="AH167" i="22"/>
  <c r="AH283" i="22"/>
  <c r="AH25" i="22"/>
  <c r="AH189" i="22"/>
  <c r="AH134" i="22"/>
  <c r="AH122" i="22"/>
  <c r="AH351" i="22"/>
  <c r="AH45" i="22"/>
  <c r="AH54" i="22"/>
  <c r="AH234" i="22"/>
  <c r="AH299" i="22"/>
  <c r="AH349" i="22"/>
  <c r="AH166" i="22"/>
  <c r="AH231" i="22"/>
  <c r="AH236" i="22"/>
  <c r="AH89" i="22"/>
  <c r="AH146" i="22"/>
  <c r="AH305" i="22"/>
  <c r="AH97" i="22"/>
  <c r="AH170" i="22"/>
  <c r="AH334" i="22"/>
  <c r="AH319" i="22"/>
  <c r="AH291" i="22"/>
  <c r="AH62" i="22"/>
  <c r="AH312" i="22"/>
  <c r="AH290" i="22"/>
  <c r="AH53" i="22"/>
  <c r="AH339" i="22"/>
  <c r="AH174" i="22"/>
  <c r="AH296" i="22"/>
  <c r="AH338" i="22"/>
  <c r="AH165" i="22"/>
  <c r="AH20" i="22"/>
  <c r="AH222" i="22"/>
  <c r="AH263" i="22"/>
  <c r="AH130" i="22"/>
  <c r="AH76" i="22"/>
  <c r="AH246" i="22"/>
  <c r="AH121" i="22"/>
  <c r="AH311" i="22"/>
  <c r="AH114" i="22"/>
  <c r="AH124" i="22"/>
  <c r="AH294" i="22"/>
  <c r="AH105" i="22"/>
  <c r="AH359" i="22"/>
  <c r="AH367" i="22"/>
  <c r="AH164" i="22"/>
  <c r="AH113" i="22"/>
  <c r="AH250" i="22"/>
  <c r="AH59" i="22"/>
  <c r="AH96" i="22"/>
  <c r="AH307" i="22"/>
  <c r="AH213" i="22"/>
  <c r="AH270" i="22"/>
  <c r="AH255" i="22"/>
  <c r="AH116" i="22"/>
  <c r="AH129" i="22"/>
  <c r="AH219" i="22"/>
  <c r="AH64" i="22"/>
  <c r="AH125" i="22"/>
  <c r="AH70" i="22"/>
  <c r="AH314" i="22"/>
  <c r="AH379" i="22"/>
  <c r="AH271" i="22"/>
  <c r="AH306" i="22"/>
  <c r="AH52" i="22"/>
  <c r="AH181" i="22"/>
  <c r="AG301" i="22"/>
  <c r="AF301" i="22" s="1"/>
  <c r="AG282" i="22"/>
  <c r="AF282" i="22" s="1"/>
  <c r="AG257" i="22"/>
  <c r="AF257" i="22" s="1"/>
  <c r="AG241" i="22"/>
  <c r="AF241" i="22" s="1"/>
  <c r="AG216" i="22"/>
  <c r="AF216" i="22" s="1"/>
  <c r="AG147" i="22"/>
  <c r="AF147" i="22" s="1"/>
  <c r="AG148" i="22"/>
  <c r="AF148" i="22" s="1"/>
  <c r="AG131" i="22"/>
  <c r="AF131" i="22" s="1"/>
  <c r="AG201" i="22"/>
  <c r="AF201" i="22" s="1"/>
  <c r="AG24" i="22"/>
  <c r="AF24" i="22" s="1"/>
  <c r="AG365" i="22"/>
  <c r="AF365" i="22" s="1"/>
  <c r="AG249" i="22"/>
  <c r="AF249" i="22" s="1"/>
  <c r="AG72" i="22"/>
  <c r="AF72" i="22" s="1"/>
  <c r="AG273" i="22"/>
  <c r="AF273" i="22" s="1"/>
  <c r="AG80" i="22"/>
  <c r="AF80" i="22" s="1"/>
  <c r="AG347" i="22"/>
  <c r="AF347" i="22" s="1"/>
  <c r="AG321" i="22"/>
  <c r="AF321" i="22" s="1"/>
  <c r="AG192" i="22"/>
  <c r="AF192" i="22" s="1"/>
  <c r="AG253" i="22"/>
  <c r="AF253" i="22" s="1"/>
  <c r="AG51" i="22"/>
  <c r="AF51" i="22" s="1"/>
  <c r="AG297" i="22"/>
  <c r="AF297" i="22" s="1"/>
  <c r="AG162" i="22"/>
  <c r="AF162" i="22" s="1"/>
  <c r="AG211" i="22"/>
  <c r="AF211" i="22" s="1"/>
  <c r="AG320" i="22"/>
  <c r="AF320" i="22" s="1"/>
  <c r="AG152" i="22"/>
  <c r="AF152" i="22" s="1"/>
  <c r="AG227" i="22"/>
  <c r="AF227" i="22" s="1"/>
  <c r="J135" i="18"/>
  <c r="C135" i="6" s="1"/>
  <c r="I135" i="18"/>
  <c r="B135" i="6" s="1"/>
  <c r="BA135" i="6" s="1"/>
  <c r="G319" i="20"/>
  <c r="CB319" i="6" s="1"/>
  <c r="AA319" i="20"/>
  <c r="Z319" i="20" s="1"/>
  <c r="Y319" i="20" s="1"/>
  <c r="J74" i="18"/>
  <c r="C74" i="6" s="1"/>
  <c r="I74" i="18"/>
  <c r="B74" i="6" s="1"/>
  <c r="BA74" i="6" s="1"/>
  <c r="G105" i="20"/>
  <c r="CB105" i="6" s="1"/>
  <c r="I149" i="18"/>
  <c r="B149" i="6" s="1"/>
  <c r="BA149" i="6" s="1"/>
  <c r="J149" i="18"/>
  <c r="C149" i="6" s="1"/>
  <c r="G258" i="20"/>
  <c r="CB258" i="6" s="1"/>
  <c r="T73" i="22"/>
  <c r="T248" i="22"/>
  <c r="T139" i="22"/>
  <c r="T134" i="22"/>
  <c r="T325" i="22"/>
  <c r="T192" i="22"/>
  <c r="T115" i="22"/>
  <c r="T25" i="22"/>
  <c r="T196" i="22"/>
  <c r="T87" i="22"/>
  <c r="T246" i="22"/>
  <c r="T225" i="22"/>
  <c r="T172" i="22"/>
  <c r="T291" i="22"/>
  <c r="T222" i="22"/>
  <c r="T233" i="22"/>
  <c r="T39" i="22"/>
  <c r="T271" i="22"/>
  <c r="T101" i="22"/>
  <c r="T170" i="22"/>
  <c r="T104" i="22"/>
  <c r="T150" i="22"/>
  <c r="T195" i="22"/>
  <c r="T378" i="22"/>
  <c r="T184" i="22"/>
  <c r="T127" i="22"/>
  <c r="T286" i="22"/>
  <c r="T180" i="22"/>
  <c r="T145" i="22"/>
  <c r="T47" i="22"/>
  <c r="T133" i="22"/>
  <c r="T202" i="22"/>
  <c r="T178" i="22"/>
  <c r="T159" i="22"/>
  <c r="T299" i="22"/>
  <c r="T166" i="22"/>
  <c r="T81" i="22"/>
  <c r="T352" i="22"/>
  <c r="T275" i="22"/>
  <c r="T174" i="22"/>
  <c r="T333" i="22"/>
  <c r="T360" i="22"/>
  <c r="T251" i="22"/>
  <c r="T257" i="22"/>
  <c r="T204" i="22"/>
  <c r="T95" i="22"/>
  <c r="T21" i="22"/>
  <c r="T265" i="22"/>
  <c r="T148" i="22"/>
  <c r="T90" i="22"/>
  <c r="T326" i="22"/>
  <c r="T211" i="22"/>
  <c r="T168" i="22"/>
  <c r="T86" i="22"/>
  <c r="T245" i="22"/>
  <c r="T201" i="22"/>
  <c r="T376" i="22"/>
  <c r="T262" i="22"/>
  <c r="T243" i="22"/>
  <c r="T288" i="22"/>
  <c r="T328" i="22"/>
  <c r="T44" i="22"/>
  <c r="T163" i="22"/>
  <c r="T105" i="22"/>
  <c r="T143" i="22"/>
  <c r="T124" i="22"/>
  <c r="T34" i="22"/>
  <c r="T119" i="22"/>
  <c r="AG127" i="22"/>
  <c r="AF127" i="22" s="1"/>
  <c r="AG126" i="22"/>
  <c r="AF126" i="22" s="1"/>
  <c r="AG345" i="22"/>
  <c r="AF345" i="22" s="1"/>
  <c r="AG156" i="22"/>
  <c r="AF156" i="22" s="1"/>
  <c r="AG220" i="22"/>
  <c r="AF220" i="22" s="1"/>
  <c r="AG369" i="22"/>
  <c r="AF369" i="22" s="1"/>
  <c r="AG135" i="22"/>
  <c r="AF135" i="22" s="1"/>
  <c r="J166" i="18"/>
  <c r="C166" i="6" s="1"/>
  <c r="I166" i="18"/>
  <c r="B166" i="6" s="1"/>
  <c r="BA166" i="6" s="1"/>
  <c r="W166" i="20"/>
  <c r="D166" i="20"/>
  <c r="E166" i="20" s="1"/>
  <c r="F166" i="20" s="1"/>
  <c r="J263" i="18" l="1"/>
  <c r="C263" i="6" s="1"/>
  <c r="G377" i="20"/>
  <c r="CB377" i="6" s="1"/>
  <c r="U381" i="22"/>
  <c r="AA63" i="20"/>
  <c r="Z63" i="20" s="1"/>
  <c r="Y63" i="20" s="1"/>
  <c r="T19" i="22"/>
  <c r="H249" i="20"/>
  <c r="J249" i="20" s="1"/>
  <c r="H297" i="20"/>
  <c r="I297" i="20" s="1"/>
  <c r="G317" i="20"/>
  <c r="CB317" i="6" s="1"/>
  <c r="G320" i="20"/>
  <c r="CB320" i="6" s="1"/>
  <c r="G20" i="20"/>
  <c r="CB20" i="6" s="1"/>
  <c r="H162" i="20"/>
  <c r="G161" i="20"/>
  <c r="CB161" i="6" s="1"/>
  <c r="I333" i="18"/>
  <c r="B333" i="6" s="1"/>
  <c r="BA333" i="6" s="1"/>
  <c r="AA264" i="20"/>
  <c r="Z264" i="20" s="1"/>
  <c r="Y264" i="20" s="1"/>
  <c r="H30" i="20"/>
  <c r="I30" i="20" s="1"/>
  <c r="I88" i="18"/>
  <c r="B88" i="6" s="1"/>
  <c r="BA88" i="6" s="1"/>
  <c r="S4" i="6" s="1"/>
  <c r="AA250" i="20"/>
  <c r="Z250" i="20" s="1"/>
  <c r="Y250" i="20" s="1"/>
  <c r="G276" i="20"/>
  <c r="CB276" i="6" s="1"/>
  <c r="G172" i="20"/>
  <c r="CB172" i="6" s="1"/>
  <c r="G336" i="20"/>
  <c r="CB336" i="6" s="1"/>
  <c r="G182" i="20"/>
  <c r="CB182" i="6" s="1"/>
  <c r="G236" i="20"/>
  <c r="CB236" i="6" s="1"/>
  <c r="G277" i="20"/>
  <c r="CB277" i="6" s="1"/>
  <c r="I363" i="18"/>
  <c r="B363" i="6" s="1"/>
  <c r="BA363" i="6" s="1"/>
  <c r="AL4" i="6" s="1"/>
  <c r="G124" i="20"/>
  <c r="CB124" i="6" s="1"/>
  <c r="G308" i="20"/>
  <c r="CB308" i="6" s="1"/>
  <c r="AA40" i="20"/>
  <c r="Z40" i="20" s="1"/>
  <c r="Y40" i="20" s="1"/>
  <c r="AA370" i="20"/>
  <c r="Z370" i="20" s="1"/>
  <c r="Y370" i="20" s="1"/>
  <c r="H211" i="20"/>
  <c r="J211" i="20" s="1"/>
  <c r="G86" i="20"/>
  <c r="CB86" i="6" s="1"/>
  <c r="G81" i="20"/>
  <c r="CB81" i="6" s="1"/>
  <c r="J29" i="18"/>
  <c r="C29" i="6" s="1"/>
  <c r="H361" i="20"/>
  <c r="I361" i="20" s="1"/>
  <c r="AA206" i="20"/>
  <c r="Z206" i="20" s="1"/>
  <c r="Y206" i="20" s="1"/>
  <c r="H289" i="20"/>
  <c r="I289" i="20" s="1"/>
  <c r="AA281" i="20"/>
  <c r="Z281" i="20" s="1"/>
  <c r="Y281" i="20" s="1"/>
  <c r="H133" i="20"/>
  <c r="I133" i="20" s="1"/>
  <c r="G289" i="20"/>
  <c r="CB289" i="6" s="1"/>
  <c r="H20" i="20"/>
  <c r="J20" i="20" s="1"/>
  <c r="W29" i="20"/>
  <c r="H100" i="20"/>
  <c r="J100" i="20" s="1"/>
  <c r="G136" i="20"/>
  <c r="CB136" i="6" s="1"/>
  <c r="G212" i="20"/>
  <c r="CB212" i="6" s="1"/>
  <c r="G38" i="20"/>
  <c r="CB38" i="6" s="1"/>
  <c r="H75" i="20"/>
  <c r="H117" i="20"/>
  <c r="J117" i="20" s="1"/>
  <c r="G82" i="20"/>
  <c r="CB82" i="6" s="1"/>
  <c r="G96" i="20"/>
  <c r="CB96" i="6" s="1"/>
  <c r="G362" i="20"/>
  <c r="CB362" i="6" s="1"/>
  <c r="G249" i="20"/>
  <c r="CB249" i="6" s="1"/>
  <c r="G322" i="20"/>
  <c r="CB322" i="6" s="1"/>
  <c r="I60" i="18"/>
  <c r="B60" i="6" s="1"/>
  <c r="BA60" i="6" s="1"/>
  <c r="Q4" i="6" s="1"/>
  <c r="AA131" i="20"/>
  <c r="Z131" i="20" s="1"/>
  <c r="Y131" i="20" s="1"/>
  <c r="AA282" i="20"/>
  <c r="Z282" i="20" s="1"/>
  <c r="Y282" i="20" s="1"/>
  <c r="AA334" i="20"/>
  <c r="Z334" i="20" s="1"/>
  <c r="Y334" i="20" s="1"/>
  <c r="AA202" i="20"/>
  <c r="Z202" i="20" s="1"/>
  <c r="Y202" i="20" s="1"/>
  <c r="AA274" i="20"/>
  <c r="Z274" i="20" s="1"/>
  <c r="Y274" i="20" s="1"/>
  <c r="H78" i="20"/>
  <c r="I78" i="20" s="1"/>
  <c r="H216" i="20"/>
  <c r="I216" i="20" s="1"/>
  <c r="U383" i="22"/>
  <c r="J119" i="18"/>
  <c r="C119" i="6" s="1"/>
  <c r="AA90" i="20"/>
  <c r="Z90" i="20" s="1"/>
  <c r="Y90" i="20" s="1"/>
  <c r="J241" i="18"/>
  <c r="C241" i="6" s="1"/>
  <c r="AA271" i="20"/>
  <c r="Z271" i="20" s="1"/>
  <c r="Y271" i="20" s="1"/>
  <c r="AA261" i="20"/>
  <c r="Z261" i="20" s="1"/>
  <c r="Y261" i="20" s="1"/>
  <c r="AA182" i="20"/>
  <c r="Z182" i="20" s="1"/>
  <c r="Y182" i="20" s="1"/>
  <c r="H283" i="20"/>
  <c r="I283" i="20" s="1"/>
  <c r="G78" i="20"/>
  <c r="CB78" i="6" s="1"/>
  <c r="G79" i="20"/>
  <c r="CB79" i="6" s="1"/>
  <c r="W88" i="20"/>
  <c r="G34" i="20"/>
  <c r="CB34" i="6" s="1"/>
  <c r="H101" i="20"/>
  <c r="I101" i="20" s="1"/>
  <c r="I272" i="18"/>
  <c r="B272" i="6" s="1"/>
  <c r="BA272" i="6" s="1"/>
  <c r="AF4" i="6" s="1"/>
  <c r="AA22" i="20"/>
  <c r="Z22" i="20" s="1"/>
  <c r="Y22" i="20" s="1"/>
  <c r="AA77" i="20"/>
  <c r="Z77" i="20" s="1"/>
  <c r="Y77" i="20" s="1"/>
  <c r="AA350" i="20"/>
  <c r="Z350" i="20" s="1"/>
  <c r="Y350" i="20" s="1"/>
  <c r="H68" i="20"/>
  <c r="J68" i="20" s="1"/>
  <c r="H204" i="20"/>
  <c r="I204" i="20" s="1"/>
  <c r="G286" i="20"/>
  <c r="CB286" i="6" s="1"/>
  <c r="AA286" i="20"/>
  <c r="Z286" i="20" s="1"/>
  <c r="Y286" i="20" s="1"/>
  <c r="G293" i="20"/>
  <c r="CB293" i="6" s="1"/>
  <c r="AA293" i="20"/>
  <c r="Z293" i="20" s="1"/>
  <c r="Y293" i="20" s="1"/>
  <c r="G316" i="20"/>
  <c r="CB316" i="6" s="1"/>
  <c r="H316" i="20"/>
  <c r="J316" i="20" s="1"/>
  <c r="G217" i="20"/>
  <c r="CB217" i="6" s="1"/>
  <c r="H217" i="20"/>
  <c r="I217" i="20" s="1"/>
  <c r="D302" i="20"/>
  <c r="E302" i="20" s="1"/>
  <c r="F302" i="20" s="1"/>
  <c r="G302" i="20" s="1"/>
  <c r="CB302" i="6" s="1"/>
  <c r="W302" i="20"/>
  <c r="H292" i="20"/>
  <c r="I292" i="20" s="1"/>
  <c r="G292" i="20"/>
  <c r="CB292" i="6" s="1"/>
  <c r="H237" i="20"/>
  <c r="I237" i="20" s="1"/>
  <c r="AA237" i="20"/>
  <c r="Z237" i="20" s="1"/>
  <c r="Y237" i="20" s="1"/>
  <c r="H191" i="20"/>
  <c r="I191" i="20" s="1"/>
  <c r="G191" i="20"/>
  <c r="CB191" i="6" s="1"/>
  <c r="H164" i="20"/>
  <c r="J164" i="20" s="1"/>
  <c r="G164" i="20"/>
  <c r="CB164" i="6" s="1"/>
  <c r="H142" i="20"/>
  <c r="I142" i="20" s="1"/>
  <c r="AA142" i="20"/>
  <c r="Z142" i="20" s="1"/>
  <c r="Y142" i="20" s="1"/>
  <c r="H179" i="20"/>
  <c r="I179" i="20" s="1"/>
  <c r="AA179" i="20"/>
  <c r="Z179" i="20" s="1"/>
  <c r="Y179" i="20" s="1"/>
  <c r="H314" i="20"/>
  <c r="I314" i="20" s="1"/>
  <c r="G314" i="20"/>
  <c r="CB314" i="6" s="1"/>
  <c r="H290" i="20"/>
  <c r="I290" i="20" s="1"/>
  <c r="G290" i="20"/>
  <c r="CB290" i="6" s="1"/>
  <c r="G268" i="20"/>
  <c r="CB268" i="6" s="1"/>
  <c r="H268" i="20"/>
  <c r="J268" i="20" s="1"/>
  <c r="H328" i="20"/>
  <c r="J328" i="20" s="1"/>
  <c r="G328" i="20"/>
  <c r="CB328" i="6" s="1"/>
  <c r="G238" i="20"/>
  <c r="CB238" i="6" s="1"/>
  <c r="AA238" i="20"/>
  <c r="Z238" i="20" s="1"/>
  <c r="Y238" i="20" s="1"/>
  <c r="G223" i="20"/>
  <c r="CB223" i="6" s="1"/>
  <c r="H223" i="20"/>
  <c r="J223" i="20" s="1"/>
  <c r="G282" i="20"/>
  <c r="CB282" i="6" s="1"/>
  <c r="H282" i="20"/>
  <c r="J282" i="20" s="1"/>
  <c r="G285" i="20"/>
  <c r="CB285" i="6" s="1"/>
  <c r="AA285" i="20"/>
  <c r="Z285" i="20" s="1"/>
  <c r="Y285" i="20" s="1"/>
  <c r="H143" i="20"/>
  <c r="J143" i="20" s="1"/>
  <c r="AA143" i="20"/>
  <c r="Z143" i="20" s="1"/>
  <c r="Y143" i="20" s="1"/>
  <c r="G108" i="20"/>
  <c r="CB108" i="6" s="1"/>
  <c r="H108" i="20"/>
  <c r="I108" i="20" s="1"/>
  <c r="G206" i="20"/>
  <c r="CB206" i="6" s="1"/>
  <c r="H206" i="20"/>
  <c r="J206" i="20" s="1"/>
  <c r="G373" i="20"/>
  <c r="CB373" i="6" s="1"/>
  <c r="AA373" i="20"/>
  <c r="Z373" i="20" s="1"/>
  <c r="Y373" i="20" s="1"/>
  <c r="B210" i="20"/>
  <c r="H66" i="19"/>
  <c r="H168" i="20"/>
  <c r="I168" i="20" s="1"/>
  <c r="G168" i="20"/>
  <c r="CB168" i="6" s="1"/>
  <c r="G339" i="20"/>
  <c r="CB339" i="6" s="1"/>
  <c r="H339" i="20"/>
  <c r="I339" i="20" s="1"/>
  <c r="AA47" i="20"/>
  <c r="Z47" i="20" s="1"/>
  <c r="Y47" i="20" s="1"/>
  <c r="H47" i="20"/>
  <c r="J47" i="20" s="1"/>
  <c r="H67" i="20"/>
  <c r="J67" i="20" s="1"/>
  <c r="AA67" i="20"/>
  <c r="Z67" i="20" s="1"/>
  <c r="Y67" i="20" s="1"/>
  <c r="H36" i="20"/>
  <c r="J36" i="20" s="1"/>
  <c r="G36" i="20"/>
  <c r="CB36" i="6" s="1"/>
  <c r="G61" i="20"/>
  <c r="CB61" i="6" s="1"/>
  <c r="AA61" i="20"/>
  <c r="Z61" i="20" s="1"/>
  <c r="Y61" i="20" s="1"/>
  <c r="H93" i="20"/>
  <c r="J93" i="20" s="1"/>
  <c r="G93" i="20"/>
  <c r="CB93" i="6" s="1"/>
  <c r="H295" i="20"/>
  <c r="J295" i="20" s="1"/>
  <c r="G295" i="20"/>
  <c r="CB295" i="6" s="1"/>
  <c r="G281" i="20"/>
  <c r="CB281" i="6" s="1"/>
  <c r="H281" i="20"/>
  <c r="I281" i="20" s="1"/>
  <c r="H262" i="20"/>
  <c r="J262" i="20" s="1"/>
  <c r="W119" i="20"/>
  <c r="AA345" i="20"/>
  <c r="Z345" i="20" s="1"/>
  <c r="Y345" i="20" s="1"/>
  <c r="H307" i="20"/>
  <c r="J307" i="20" s="1"/>
  <c r="G334" i="20"/>
  <c r="CB334" i="6" s="1"/>
  <c r="H202" i="20"/>
  <c r="I202" i="20" s="1"/>
  <c r="G325" i="20"/>
  <c r="CB325" i="6" s="1"/>
  <c r="H233" i="20"/>
  <c r="I233" i="20" s="1"/>
  <c r="G131" i="20"/>
  <c r="CB131" i="6" s="1"/>
  <c r="AA108" i="20"/>
  <c r="Z108" i="20" s="1"/>
  <c r="Y108" i="20" s="1"/>
  <c r="H106" i="20"/>
  <c r="J106" i="20" s="1"/>
  <c r="H264" i="20"/>
  <c r="J264" i="20" s="1"/>
  <c r="G371" i="20"/>
  <c r="CB371" i="6" s="1"/>
  <c r="H38" i="20"/>
  <c r="J38" i="20" s="1"/>
  <c r="G187" i="20"/>
  <c r="CB187" i="6" s="1"/>
  <c r="H141" i="20"/>
  <c r="I141" i="20" s="1"/>
  <c r="G30" i="20"/>
  <c r="CB30" i="6" s="1"/>
  <c r="G75" i="20"/>
  <c r="CB75" i="6" s="1"/>
  <c r="G160" i="20"/>
  <c r="CB160" i="6" s="1"/>
  <c r="AA194" i="20"/>
  <c r="Z194" i="20" s="1"/>
  <c r="Y194" i="20" s="1"/>
  <c r="AA353" i="20"/>
  <c r="Z353" i="20" s="1"/>
  <c r="Y353" i="20" s="1"/>
  <c r="H230" i="20"/>
  <c r="J230" i="20" s="1"/>
  <c r="D149" i="20"/>
  <c r="E149" i="20" s="1"/>
  <c r="F149" i="20" s="1"/>
  <c r="AA149" i="20" s="1"/>
  <c r="Z149" i="20" s="1"/>
  <c r="Y149" i="20" s="1"/>
  <c r="G51" i="20"/>
  <c r="CB51" i="6" s="1"/>
  <c r="AA82" i="20"/>
  <c r="Z82" i="20" s="1"/>
  <c r="Y82" i="20" s="1"/>
  <c r="H96" i="20"/>
  <c r="I96" i="20" s="1"/>
  <c r="AA93" i="20"/>
  <c r="Z93" i="20" s="1"/>
  <c r="Y93" i="20" s="1"/>
  <c r="AA192" i="20"/>
  <c r="Z192" i="20" s="1"/>
  <c r="Y192" i="20" s="1"/>
  <c r="AA191" i="20"/>
  <c r="Z191" i="20" s="1"/>
  <c r="Y191" i="20" s="1"/>
  <c r="G179" i="20"/>
  <c r="CB179" i="6" s="1"/>
  <c r="H250" i="20"/>
  <c r="I250" i="20" s="1"/>
  <c r="W363" i="20"/>
  <c r="H305" i="20"/>
  <c r="J305" i="20" s="1"/>
  <c r="G291" i="20"/>
  <c r="CB291" i="6" s="1"/>
  <c r="G287" i="20"/>
  <c r="CB287" i="6" s="1"/>
  <c r="J210" i="18"/>
  <c r="C210" i="6" s="1"/>
  <c r="AA362" i="20"/>
  <c r="Z362" i="20" s="1"/>
  <c r="Y362" i="20" s="1"/>
  <c r="AA129" i="20"/>
  <c r="Z129" i="20" s="1"/>
  <c r="Y129" i="20" s="1"/>
  <c r="AA339" i="20"/>
  <c r="Z339" i="20" s="1"/>
  <c r="Y339" i="20" s="1"/>
  <c r="AA270" i="20"/>
  <c r="Z270" i="20" s="1"/>
  <c r="Y270" i="20" s="1"/>
  <c r="AA262" i="20"/>
  <c r="Z262" i="20" s="1"/>
  <c r="Y262" i="20" s="1"/>
  <c r="AA289" i="20"/>
  <c r="Z289" i="20" s="1"/>
  <c r="Y289" i="20" s="1"/>
  <c r="AA249" i="20"/>
  <c r="Z249" i="20" s="1"/>
  <c r="Y249" i="20" s="1"/>
  <c r="AA161" i="20"/>
  <c r="Z161" i="20" s="1"/>
  <c r="Y161" i="20" s="1"/>
  <c r="AA295" i="20"/>
  <c r="Z295" i="20" s="1"/>
  <c r="Y295" i="20" s="1"/>
  <c r="AA233" i="20"/>
  <c r="Z233" i="20" s="1"/>
  <c r="Y233" i="20" s="1"/>
  <c r="AA308" i="20"/>
  <c r="Z308" i="20" s="1"/>
  <c r="Y308" i="20" s="1"/>
  <c r="AA368" i="20"/>
  <c r="Z368" i="20" s="1"/>
  <c r="Y368" i="20" s="1"/>
  <c r="AA198" i="20"/>
  <c r="Z198" i="20" s="1"/>
  <c r="Y198" i="20" s="1"/>
  <c r="AA320" i="20"/>
  <c r="Z320" i="20" s="1"/>
  <c r="Y320" i="20" s="1"/>
  <c r="AA151" i="20"/>
  <c r="Z151" i="20" s="1"/>
  <c r="Y151" i="20" s="1"/>
  <c r="AA175" i="20"/>
  <c r="Z175" i="20" s="1"/>
  <c r="Y175" i="20" s="1"/>
  <c r="AA168" i="20"/>
  <c r="Z168" i="20" s="1"/>
  <c r="Y168" i="20" s="1"/>
  <c r="H64" i="20"/>
  <c r="I64" i="20" s="1"/>
  <c r="AA64" i="20"/>
  <c r="Z64" i="20" s="1"/>
  <c r="Y64" i="20" s="1"/>
  <c r="AA71" i="20"/>
  <c r="Z71" i="20" s="1"/>
  <c r="Y71" i="20" s="1"/>
  <c r="H71" i="20"/>
  <c r="I71" i="20" s="1"/>
  <c r="G65" i="20"/>
  <c r="CB65" i="6" s="1"/>
  <c r="AA65" i="20"/>
  <c r="Z65" i="20" s="1"/>
  <c r="Y65" i="20" s="1"/>
  <c r="H139" i="20"/>
  <c r="J139" i="20" s="1"/>
  <c r="G139" i="20"/>
  <c r="CB139" i="6" s="1"/>
  <c r="G186" i="20"/>
  <c r="CB186" i="6" s="1"/>
  <c r="H186" i="20"/>
  <c r="J186" i="20" s="1"/>
  <c r="H284" i="20"/>
  <c r="J284" i="20" s="1"/>
  <c r="G284" i="20"/>
  <c r="CB284" i="6" s="1"/>
  <c r="H228" i="20"/>
  <c r="I228" i="20" s="1"/>
  <c r="G228" i="20"/>
  <c r="CB228" i="6" s="1"/>
  <c r="H261" i="20"/>
  <c r="J261" i="20" s="1"/>
  <c r="G261" i="20"/>
  <c r="CB261" i="6" s="1"/>
  <c r="G203" i="20"/>
  <c r="CB203" i="6" s="1"/>
  <c r="AA203" i="20"/>
  <c r="Z203" i="20" s="1"/>
  <c r="Y203" i="20" s="1"/>
  <c r="H224" i="20"/>
  <c r="I224" i="20" s="1"/>
  <c r="AA224" i="20"/>
  <c r="Z224" i="20" s="1"/>
  <c r="Y224" i="20" s="1"/>
  <c r="H58" i="20"/>
  <c r="I58" i="20" s="1"/>
  <c r="AA58" i="20"/>
  <c r="Z58" i="20" s="1"/>
  <c r="Y58" i="20" s="1"/>
  <c r="H94" i="20"/>
  <c r="I94" i="20" s="1"/>
  <c r="AA94" i="20"/>
  <c r="Z94" i="20" s="1"/>
  <c r="Y94" i="20" s="1"/>
  <c r="AA208" i="20"/>
  <c r="Z208" i="20" s="1"/>
  <c r="Y208" i="20" s="1"/>
  <c r="AA303" i="20"/>
  <c r="Z303" i="20" s="1"/>
  <c r="Y303" i="20" s="1"/>
  <c r="AA317" i="20"/>
  <c r="Z317" i="20" s="1"/>
  <c r="Y317" i="20" s="1"/>
  <c r="AA325" i="20"/>
  <c r="Z325" i="20" s="1"/>
  <c r="Y325" i="20" s="1"/>
  <c r="AA269" i="20"/>
  <c r="Z269" i="20" s="1"/>
  <c r="Y269" i="20" s="1"/>
  <c r="H59" i="20"/>
  <c r="I59" i="20" s="1"/>
  <c r="H148" i="20"/>
  <c r="J148" i="20" s="1"/>
  <c r="H219" i="20"/>
  <c r="J219" i="20" s="1"/>
  <c r="H154" i="20"/>
  <c r="J154" i="20" s="1"/>
  <c r="H348" i="20"/>
  <c r="J348" i="20" s="1"/>
  <c r="H152" i="20"/>
  <c r="I152" i="20" s="1"/>
  <c r="H329" i="20"/>
  <c r="I329" i="20" s="1"/>
  <c r="G43" i="20"/>
  <c r="CB43" i="6" s="1"/>
  <c r="G17" i="20"/>
  <c r="CB17" i="6" s="1"/>
  <c r="AA263" i="20"/>
  <c r="Z263" i="20" s="1"/>
  <c r="Y263" i="20" s="1"/>
  <c r="H253" i="20"/>
  <c r="J253" i="20" s="1"/>
  <c r="H40" i="20"/>
  <c r="J40" i="20" s="1"/>
  <c r="H176" i="20"/>
  <c r="I176" i="20" s="1"/>
  <c r="D60" i="20"/>
  <c r="E60" i="20" s="1"/>
  <c r="F60" i="20" s="1"/>
  <c r="H60" i="20" s="1"/>
  <c r="H269" i="20"/>
  <c r="J269" i="20" s="1"/>
  <c r="AA134" i="20"/>
  <c r="Z134" i="20" s="1"/>
  <c r="Y134" i="20" s="1"/>
  <c r="AB4" i="6"/>
  <c r="H112" i="20"/>
  <c r="J112" i="20" s="1"/>
  <c r="G55" i="20"/>
  <c r="CB55" i="6" s="1"/>
  <c r="H355" i="20"/>
  <c r="I355" i="20" s="1"/>
  <c r="H104" i="20"/>
  <c r="J104" i="20" s="1"/>
  <c r="H304" i="20"/>
  <c r="I304" i="20" s="1"/>
  <c r="G181" i="20"/>
  <c r="CB181" i="6" s="1"/>
  <c r="AA225" i="20"/>
  <c r="Z225" i="20" s="1"/>
  <c r="Y225" i="20" s="1"/>
  <c r="AA188" i="20"/>
  <c r="Z188" i="20" s="1"/>
  <c r="Y188" i="20" s="1"/>
  <c r="AA123" i="20"/>
  <c r="Z123" i="20" s="1"/>
  <c r="Y123" i="20" s="1"/>
  <c r="U382" i="22"/>
  <c r="AA189" i="20"/>
  <c r="Z189" i="20" s="1"/>
  <c r="Y189" i="20" s="1"/>
  <c r="AA121" i="20"/>
  <c r="Z121" i="20" s="1"/>
  <c r="Y121" i="20" s="1"/>
  <c r="AA195" i="20"/>
  <c r="Z195" i="20" s="1"/>
  <c r="Y195" i="20" s="1"/>
  <c r="AA366" i="20"/>
  <c r="Z366" i="20" s="1"/>
  <c r="Y366" i="20" s="1"/>
  <c r="H306" i="20"/>
  <c r="I306" i="20" s="1"/>
  <c r="AA169" i="20"/>
  <c r="Z169" i="20" s="1"/>
  <c r="Y169" i="20" s="1"/>
  <c r="G185" i="20"/>
  <c r="CB185" i="6" s="1"/>
  <c r="AA125" i="20"/>
  <c r="Z125" i="20" s="1"/>
  <c r="Y125" i="20" s="1"/>
  <c r="G114" i="20"/>
  <c r="CB114" i="6" s="1"/>
  <c r="H326" i="20"/>
  <c r="I326" i="20" s="1"/>
  <c r="H366" i="20"/>
  <c r="J366" i="20" s="1"/>
  <c r="H177" i="20"/>
  <c r="J177" i="20" s="1"/>
  <c r="AA110" i="20"/>
  <c r="Z110" i="20" s="1"/>
  <c r="Y110" i="20" s="1"/>
  <c r="H200" i="20"/>
  <c r="I200" i="20" s="1"/>
  <c r="H51" i="20"/>
  <c r="I51" i="20" s="1"/>
  <c r="H97" i="20"/>
  <c r="I97" i="20" s="1"/>
  <c r="G231" i="20"/>
  <c r="CB231" i="6" s="1"/>
  <c r="H35" i="20"/>
  <c r="J35" i="20" s="1"/>
  <c r="H32" i="20"/>
  <c r="J32" i="20" s="1"/>
  <c r="L66" i="19"/>
  <c r="AC237" i="25"/>
  <c r="AC172" i="25"/>
  <c r="AC373" i="25"/>
  <c r="AC166" i="25"/>
  <c r="AC376" i="25"/>
  <c r="AC185" i="25"/>
  <c r="AC179" i="25"/>
  <c r="AC338" i="25"/>
  <c r="AC134" i="25"/>
  <c r="AC279" i="25"/>
  <c r="AC276" i="25"/>
  <c r="AC244" i="25"/>
  <c r="AC274" i="25"/>
  <c r="AC216" i="25"/>
  <c r="AC247" i="25"/>
  <c r="AC357" i="25"/>
  <c r="AC283" i="25"/>
  <c r="AC229" i="25"/>
  <c r="AC260" i="25"/>
  <c r="AC351" i="25"/>
  <c r="AC234" i="25"/>
  <c r="AC251" i="25"/>
  <c r="AC246" i="25"/>
  <c r="AC264" i="25"/>
  <c r="AC364" i="25"/>
  <c r="AC212" i="25"/>
  <c r="AC226" i="25"/>
  <c r="AC258" i="25"/>
  <c r="AC270" i="25"/>
  <c r="AC363" i="25"/>
  <c r="AC253" i="25"/>
  <c r="AC210" i="25"/>
  <c r="AC354" i="25"/>
  <c r="AC298" i="25"/>
  <c r="AC202" i="25"/>
  <c r="AC167" i="25"/>
  <c r="AC275" i="25"/>
  <c r="AC282" i="25"/>
  <c r="AC248" i="25"/>
  <c r="AC316" i="25"/>
  <c r="AC268" i="25"/>
  <c r="AC225" i="25"/>
  <c r="AC196" i="25"/>
  <c r="AC252" i="25"/>
  <c r="AC221" i="25"/>
  <c r="AC170" i="25"/>
  <c r="AC181" i="25"/>
  <c r="AC168" i="25"/>
  <c r="AC217" i="25"/>
  <c r="AC281" i="25"/>
  <c r="AC204" i="25"/>
  <c r="AC192" i="25"/>
  <c r="AC350" i="25"/>
  <c r="AC155" i="25"/>
  <c r="AC359" i="25"/>
  <c r="AC233" i="25"/>
  <c r="AC335" i="25"/>
  <c r="AC262" i="25"/>
  <c r="AC318" i="25"/>
  <c r="AC190" i="25"/>
  <c r="AC368" i="25"/>
  <c r="AC278" i="25"/>
  <c r="AC153" i="25"/>
  <c r="AC184" i="25"/>
  <c r="AC277" i="25"/>
  <c r="AC227" i="25"/>
  <c r="AC211" i="25"/>
  <c r="AC344" i="25"/>
  <c r="AC322" i="25"/>
  <c r="AC219" i="25"/>
  <c r="AC222" i="25"/>
  <c r="AC342" i="25"/>
  <c r="AC349" i="25"/>
  <c r="AC297" i="25"/>
  <c r="AC379" i="25"/>
  <c r="AC147" i="25"/>
  <c r="AC378" i="25"/>
  <c r="AC163" i="25"/>
  <c r="AC284" i="25"/>
  <c r="AC263" i="25"/>
  <c r="AC141" i="25"/>
  <c r="AC240" i="25"/>
  <c r="AC144" i="25"/>
  <c r="AC326" i="25"/>
  <c r="AC255" i="25"/>
  <c r="AC301" i="25"/>
  <c r="AC305" i="25"/>
  <c r="AC308" i="25"/>
  <c r="AC306" i="25"/>
  <c r="AC156" i="25"/>
  <c r="AC197" i="25"/>
  <c r="AC329" i="25"/>
  <c r="AC309" i="25"/>
  <c r="AC374" i="25"/>
  <c r="AC140" i="25"/>
  <c r="AC334" i="25"/>
  <c r="AC328" i="25"/>
  <c r="AC311" i="25"/>
  <c r="AC362" i="25"/>
  <c r="AC293" i="25"/>
  <c r="AC307" i="25"/>
  <c r="AC173" i="25"/>
  <c r="AC331" i="25"/>
  <c r="AC340" i="25"/>
  <c r="AC201" i="25"/>
  <c r="AC157" i="25"/>
  <c r="AC175" i="25"/>
  <c r="AC352" i="25"/>
  <c r="AC203" i="25"/>
  <c r="AC280" i="25"/>
  <c r="AC286" i="25"/>
  <c r="AC151" i="25"/>
  <c r="AC161" i="25"/>
  <c r="AC158" i="25"/>
  <c r="AC323" i="25"/>
  <c r="AC370" i="25"/>
  <c r="AC200" i="25"/>
  <c r="AC171" i="25"/>
  <c r="AC164" i="25"/>
  <c r="AC209" i="25"/>
  <c r="AC321" i="25"/>
  <c r="AC218" i="25"/>
  <c r="AC299" i="25"/>
  <c r="AC290" i="25"/>
  <c r="AC303" i="25"/>
  <c r="AC337" i="25"/>
  <c r="AC183" i="25"/>
  <c r="AC315" i="25"/>
  <c r="AC272" i="25"/>
  <c r="AC149" i="25"/>
  <c r="AC317" i="25"/>
  <c r="AC198" i="25"/>
  <c r="AC228" i="25"/>
  <c r="AC353" i="25"/>
  <c r="AC287" i="25"/>
  <c r="AC289" i="25"/>
  <c r="AC178" i="25"/>
  <c r="AC291" i="25"/>
  <c r="AC189" i="25"/>
  <c r="AC194" i="25"/>
  <c r="AC343" i="25"/>
  <c r="AC232" i="25"/>
  <c r="AC169" i="25"/>
  <c r="AC300" i="25"/>
  <c r="AC273" i="25"/>
  <c r="AC148" i="25"/>
  <c r="AC267" i="25"/>
  <c r="AC177" i="25"/>
  <c r="AC215" i="25"/>
  <c r="AC213" i="25"/>
  <c r="AC236" i="25"/>
  <c r="AC199" i="25"/>
  <c r="AC261" i="25"/>
  <c r="AC333" i="25"/>
  <c r="AC285" i="25"/>
  <c r="AC187" i="25"/>
  <c r="AC346" i="25"/>
  <c r="AC304" i="25"/>
  <c r="AC347" i="25"/>
  <c r="AC302" i="25"/>
  <c r="AC150" i="25"/>
  <c r="AC139" i="25"/>
  <c r="AC135" i="25"/>
  <c r="AC360" i="25"/>
  <c r="AC345" i="25"/>
  <c r="AC136" i="25"/>
  <c r="AC266" i="25"/>
  <c r="AC339" i="25"/>
  <c r="AC241" i="25"/>
  <c r="AC288" i="25"/>
  <c r="AC188" i="25"/>
  <c r="AC295" i="25"/>
  <c r="AC205" i="25"/>
  <c r="AC375" i="25"/>
  <c r="AC327" i="25"/>
  <c r="AC245" i="25"/>
  <c r="AC294" i="25"/>
  <c r="AC356" i="25"/>
  <c r="AC320" i="25"/>
  <c r="AC292" i="25"/>
  <c r="AC271" i="25"/>
  <c r="AC186" i="25"/>
  <c r="AC176" i="25"/>
  <c r="AC310" i="25"/>
  <c r="AC142" i="25"/>
  <c r="AC365" i="25"/>
  <c r="AC254" i="25"/>
  <c r="AC369" i="25"/>
  <c r="AC336" i="25"/>
  <c r="AC207" i="25"/>
  <c r="AC174" i="25"/>
  <c r="AC224" i="25"/>
  <c r="AC314" i="25"/>
  <c r="AC358" i="25"/>
  <c r="AC265" i="25"/>
  <c r="AC138" i="25"/>
  <c r="AC231" i="25"/>
  <c r="AC230" i="25"/>
  <c r="AC324" i="25"/>
  <c r="AC143" i="25"/>
  <c r="AC355" i="25"/>
  <c r="AC146" i="25"/>
  <c r="AC208" i="25"/>
  <c r="AC325" i="25"/>
  <c r="AC256" i="25"/>
  <c r="AC330" i="25"/>
  <c r="AC312" i="25"/>
  <c r="AC377" i="25"/>
  <c r="AC152" i="25"/>
  <c r="AC243" i="25"/>
  <c r="AC159" i="25"/>
  <c r="AC250" i="25"/>
  <c r="AC249" i="25"/>
  <c r="AC367" i="25"/>
  <c r="AC137" i="25"/>
  <c r="AC319" i="25"/>
  <c r="AC162" i="25"/>
  <c r="AC214" i="25"/>
  <c r="AC220" i="25"/>
  <c r="AC296" i="25"/>
  <c r="AC348" i="25"/>
  <c r="AC191" i="25"/>
  <c r="AC165" i="25"/>
  <c r="AC182" i="25"/>
  <c r="AC180" i="25"/>
  <c r="AC160" i="25"/>
  <c r="AC238" i="25"/>
  <c r="AC332" i="25"/>
  <c r="AC313" i="25"/>
  <c r="AC341" i="25"/>
  <c r="AC371" i="25"/>
  <c r="AC366" i="25"/>
  <c r="AC195" i="25"/>
  <c r="AC259" i="25"/>
  <c r="AC361" i="25"/>
  <c r="AC206" i="25"/>
  <c r="AC145" i="25"/>
  <c r="AC223" i="25"/>
  <c r="AC257" i="25"/>
  <c r="AC193" i="25"/>
  <c r="AC269" i="25"/>
  <c r="AC154" i="25"/>
  <c r="AC239" i="25"/>
  <c r="AC242" i="25"/>
  <c r="AC372" i="25"/>
  <c r="AC235" i="25"/>
  <c r="BE13" i="7"/>
  <c r="O147" i="25"/>
  <c r="O149" i="25"/>
  <c r="AG72" i="7" s="1"/>
  <c r="O219" i="25"/>
  <c r="O297" i="25"/>
  <c r="O354" i="25"/>
  <c r="O181" i="25"/>
  <c r="O316" i="25"/>
  <c r="O315" i="25"/>
  <c r="O142" i="25"/>
  <c r="O185" i="25"/>
  <c r="O262" i="25"/>
  <c r="O310" i="25"/>
  <c r="O163" i="25"/>
  <c r="O226" i="25"/>
  <c r="O323" i="25"/>
  <c r="O332" i="25"/>
  <c r="O379" i="25"/>
  <c r="C44" i="19" s="1"/>
  <c r="C33" i="19" s="1"/>
  <c r="O300" i="25"/>
  <c r="O307" i="25"/>
  <c r="O230" i="25"/>
  <c r="O176" i="25"/>
  <c r="O324" i="25"/>
  <c r="O263" i="25"/>
  <c r="O189" i="25"/>
  <c r="O143" i="25"/>
  <c r="O347" i="25"/>
  <c r="O216" i="25"/>
  <c r="O195" i="25"/>
  <c r="O356" i="25"/>
  <c r="O301" i="25"/>
  <c r="O222" i="25"/>
  <c r="O155" i="25"/>
  <c r="O156" i="25"/>
  <c r="O174" i="25"/>
  <c r="O217" i="25"/>
  <c r="O276" i="25"/>
  <c r="O346" i="25"/>
  <c r="O214" i="25"/>
  <c r="O234" i="25"/>
  <c r="O360" i="25"/>
  <c r="O145" i="25"/>
  <c r="O250" i="25"/>
  <c r="O296" i="25"/>
  <c r="O141" i="25"/>
  <c r="O205" i="25"/>
  <c r="O313" i="25"/>
  <c r="O321" i="25"/>
  <c r="O361" i="25"/>
  <c r="O265" i="25"/>
  <c r="O280" i="25"/>
  <c r="O152" i="25"/>
  <c r="O299" i="25"/>
  <c r="O252" i="25"/>
  <c r="O151" i="25"/>
  <c r="O363" i="25"/>
  <c r="AG79" i="7" s="1"/>
  <c r="O238" i="25"/>
  <c r="O229" i="25"/>
  <c r="O187" i="25"/>
  <c r="O314" i="25"/>
  <c r="O224" i="25"/>
  <c r="O136" i="25"/>
  <c r="O138" i="25"/>
  <c r="O213" i="25"/>
  <c r="O200" i="25"/>
  <c r="O372" i="25"/>
  <c r="O254" i="25"/>
  <c r="O358" i="25"/>
  <c r="O253" i="25"/>
  <c r="O341" i="25"/>
  <c r="O351" i="25"/>
  <c r="O203" i="25"/>
  <c r="O275" i="25"/>
  <c r="O322" i="25"/>
  <c r="O173" i="25"/>
  <c r="O325" i="25"/>
  <c r="O180" i="25"/>
  <c r="AG73" i="7" s="1"/>
  <c r="O165" i="25"/>
  <c r="O339" i="25"/>
  <c r="O231" i="25"/>
  <c r="O367" i="25"/>
  <c r="O236" i="25"/>
  <c r="O349" i="25"/>
  <c r="O197" i="25"/>
  <c r="O334" i="25"/>
  <c r="O227" i="25"/>
  <c r="O365" i="25"/>
  <c r="O246" i="25"/>
  <c r="O345" i="25"/>
  <c r="O284" i="25"/>
  <c r="O370" i="25"/>
  <c r="O257" i="25"/>
  <c r="O191" i="25"/>
  <c r="O290" i="25"/>
  <c r="O175" i="25"/>
  <c r="O287" i="25"/>
  <c r="O161" i="25"/>
  <c r="O245" i="25"/>
  <c r="O178" i="25"/>
  <c r="O184" i="25"/>
  <c r="O327" i="25"/>
  <c r="O292" i="25"/>
  <c r="O376" i="25"/>
  <c r="O268" i="25"/>
  <c r="O209" i="25"/>
  <c r="O264" i="25"/>
  <c r="O330" i="25"/>
  <c r="O211" i="25"/>
  <c r="O271" i="25"/>
  <c r="O368" i="25"/>
  <c r="O308" i="25"/>
  <c r="O340" i="25"/>
  <c r="O208" i="25"/>
  <c r="O159" i="25"/>
  <c r="O285" i="25"/>
  <c r="O302" i="25"/>
  <c r="AG77" i="7" s="1"/>
  <c r="O244" i="25"/>
  <c r="O221" i="25"/>
  <c r="O228" i="25"/>
  <c r="O344" i="25"/>
  <c r="O146" i="25"/>
  <c r="O167" i="25"/>
  <c r="O137" i="25"/>
  <c r="O182" i="25"/>
  <c r="O235" i="25"/>
  <c r="O378" i="25"/>
  <c r="O303" i="25"/>
  <c r="O311" i="25"/>
  <c r="O177" i="25"/>
  <c r="O362" i="25"/>
  <c r="O272" i="25"/>
  <c r="AG76" i="7" s="1"/>
  <c r="O350" i="25"/>
  <c r="O218" i="25"/>
  <c r="O179" i="25"/>
  <c r="O225" i="25"/>
  <c r="O343" i="25"/>
  <c r="O281" i="25"/>
  <c r="O355" i="25"/>
  <c r="O202" i="25"/>
  <c r="O329" i="25"/>
  <c r="O305" i="25"/>
  <c r="O377" i="25"/>
  <c r="O289" i="25"/>
  <c r="O207" i="25"/>
  <c r="O306" i="25"/>
  <c r="O160" i="25"/>
  <c r="O366" i="25"/>
  <c r="O220" i="25"/>
  <c r="O215" i="25"/>
  <c r="O144" i="25"/>
  <c r="O249" i="25"/>
  <c r="O190" i="25"/>
  <c r="O337" i="25"/>
  <c r="O150" i="25"/>
  <c r="O312" i="25"/>
  <c r="O293" i="25"/>
  <c r="O373" i="25"/>
  <c r="O242" i="25"/>
  <c r="O183" i="25"/>
  <c r="O279" i="25"/>
  <c r="O140" i="25"/>
  <c r="O338" i="25"/>
  <c r="O212" i="25"/>
  <c r="O237" i="25"/>
  <c r="O170" i="25"/>
  <c r="O169" i="25"/>
  <c r="O243" i="25"/>
  <c r="O148" i="25"/>
  <c r="O255" i="25"/>
  <c r="O172" i="25"/>
  <c r="O288" i="25"/>
  <c r="O168" i="25"/>
  <c r="O267" i="25"/>
  <c r="O352" i="25"/>
  <c r="O258" i="25"/>
  <c r="O348" i="25"/>
  <c r="O247" i="25"/>
  <c r="O374" i="25"/>
  <c r="O286" i="25"/>
  <c r="O336" i="25"/>
  <c r="O201" i="25"/>
  <c r="O154" i="25"/>
  <c r="O233" i="25"/>
  <c r="O139" i="25"/>
  <c r="O295" i="25"/>
  <c r="O192" i="25"/>
  <c r="O335" i="25"/>
  <c r="O277" i="25"/>
  <c r="O357" i="25"/>
  <c r="O318" i="25"/>
  <c r="O342" i="25"/>
  <c r="O194" i="25"/>
  <c r="O304" i="25"/>
  <c r="O186" i="25"/>
  <c r="O251" i="25"/>
  <c r="O164" i="25"/>
  <c r="O319" i="25"/>
  <c r="O157" i="25"/>
  <c r="O199" i="25"/>
  <c r="O371" i="25"/>
  <c r="O333" i="25"/>
  <c r="AG78" i="7" s="1"/>
  <c r="O317" i="25"/>
  <c r="O232" i="25"/>
  <c r="O223" i="25"/>
  <c r="O269" i="25"/>
  <c r="O278" i="25"/>
  <c r="O239" i="25"/>
  <c r="O364" i="25"/>
  <c r="O294" i="25"/>
  <c r="O196" i="25"/>
  <c r="O261" i="25"/>
  <c r="O171" i="25"/>
  <c r="O274" i="25"/>
  <c r="O210" i="25"/>
  <c r="AG74" i="7" s="1"/>
  <c r="O282" i="25"/>
  <c r="O153" i="25"/>
  <c r="O158" i="25"/>
  <c r="O259" i="25"/>
  <c r="O206" i="25"/>
  <c r="O331" i="25"/>
  <c r="O134" i="25"/>
  <c r="O273" i="25"/>
  <c r="O198" i="25"/>
  <c r="O298" i="25"/>
  <c r="O283" i="25"/>
  <c r="O241" i="25"/>
  <c r="AG75" i="7" s="1"/>
  <c r="O359" i="25"/>
  <c r="O256" i="25"/>
  <c r="O135" i="25"/>
  <c r="O266" i="25"/>
  <c r="O270" i="25"/>
  <c r="O166" i="25"/>
  <c r="O204" i="25"/>
  <c r="O309" i="25"/>
  <c r="O320" i="25"/>
  <c r="O162" i="25"/>
  <c r="O260" i="25"/>
  <c r="O193" i="25"/>
  <c r="O291" i="25"/>
  <c r="O369" i="25"/>
  <c r="O248" i="25"/>
  <c r="O353" i="25"/>
  <c r="O240" i="25"/>
  <c r="O375" i="25"/>
  <c r="O326" i="25"/>
  <c r="O328" i="25"/>
  <c r="O188" i="25"/>
  <c r="O23" i="25"/>
  <c r="O103" i="25"/>
  <c r="O57" i="25"/>
  <c r="O110" i="25"/>
  <c r="O93" i="25"/>
  <c r="O111" i="25"/>
  <c r="O55" i="25"/>
  <c r="O34" i="25"/>
  <c r="O108" i="25"/>
  <c r="O95" i="25"/>
  <c r="O89" i="25"/>
  <c r="O106" i="25"/>
  <c r="O98" i="25"/>
  <c r="O28" i="25"/>
  <c r="O80" i="25"/>
  <c r="O82" i="25"/>
  <c r="O100" i="25"/>
  <c r="O129" i="25"/>
  <c r="O69" i="25"/>
  <c r="O47" i="25"/>
  <c r="O19" i="25"/>
  <c r="O61" i="25"/>
  <c r="O132" i="25"/>
  <c r="O44" i="25"/>
  <c r="O124" i="25"/>
  <c r="O41" i="25"/>
  <c r="O78" i="25"/>
  <c r="O86" i="25"/>
  <c r="O87" i="25"/>
  <c r="O115" i="25"/>
  <c r="O104" i="25"/>
  <c r="O16" i="25"/>
  <c r="O99" i="25"/>
  <c r="O76" i="25"/>
  <c r="O120" i="25"/>
  <c r="O127" i="25"/>
  <c r="O31" i="25"/>
  <c r="O49" i="25"/>
  <c r="O30" i="25"/>
  <c r="O105" i="25"/>
  <c r="O36" i="25"/>
  <c r="O130" i="25"/>
  <c r="O18" i="25"/>
  <c r="O133" i="25"/>
  <c r="O45" i="25"/>
  <c r="O90" i="25"/>
  <c r="O46" i="25"/>
  <c r="O43" i="25"/>
  <c r="O25" i="25"/>
  <c r="O70" i="25"/>
  <c r="O128" i="25"/>
  <c r="O65" i="25"/>
  <c r="O74" i="25"/>
  <c r="O79" i="25"/>
  <c r="O50" i="25"/>
  <c r="O101" i="25"/>
  <c r="O54" i="25"/>
  <c r="O67" i="25"/>
  <c r="O77" i="25"/>
  <c r="O66" i="25"/>
  <c r="O64" i="25"/>
  <c r="O15" i="25"/>
  <c r="O84" i="25"/>
  <c r="O112" i="25"/>
  <c r="O56" i="25"/>
  <c r="O88" i="25"/>
  <c r="AG70" i="7" s="1"/>
  <c r="O22" i="25"/>
  <c r="O63" i="25"/>
  <c r="O59" i="25"/>
  <c r="O114" i="25"/>
  <c r="O131" i="25"/>
  <c r="O118" i="25"/>
  <c r="O60" i="25"/>
  <c r="AG69" i="7" s="1"/>
  <c r="O72" i="25"/>
  <c r="O37" i="25"/>
  <c r="O117" i="25"/>
  <c r="O123" i="25"/>
  <c r="O51" i="25"/>
  <c r="O40" i="25"/>
  <c r="O121" i="25"/>
  <c r="O102" i="25"/>
  <c r="O33" i="25"/>
  <c r="O29" i="25"/>
  <c r="AG68" i="7" s="1"/>
  <c r="O42" i="25"/>
  <c r="O126" i="25"/>
  <c r="O75" i="25"/>
  <c r="O39" i="25"/>
  <c r="O83" i="25"/>
  <c r="O26" i="25"/>
  <c r="O58" i="25"/>
  <c r="O24" i="25"/>
  <c r="O53" i="25"/>
  <c r="O38" i="25"/>
  <c r="O125" i="25"/>
  <c r="O52" i="25"/>
  <c r="O81" i="25"/>
  <c r="O109" i="25"/>
  <c r="O20" i="25"/>
  <c r="O68" i="25"/>
  <c r="O91" i="25"/>
  <c r="O85" i="25"/>
  <c r="O27" i="25"/>
  <c r="O35" i="25"/>
  <c r="O17" i="25"/>
  <c r="O107" i="25"/>
  <c r="O48" i="25"/>
  <c r="O116" i="25"/>
  <c r="O113" i="25"/>
  <c r="O94" i="25"/>
  <c r="O92" i="25"/>
  <c r="O71" i="25"/>
  <c r="O96" i="25"/>
  <c r="O21" i="25"/>
  <c r="O62" i="25"/>
  <c r="O119" i="25"/>
  <c r="AG71" i="7" s="1"/>
  <c r="O32" i="25"/>
  <c r="O73" i="25"/>
  <c r="O97" i="25"/>
  <c r="O122" i="25"/>
  <c r="H275" i="20"/>
  <c r="I275" i="20" s="1"/>
  <c r="G174" i="20"/>
  <c r="CB174" i="6" s="1"/>
  <c r="H341" i="20"/>
  <c r="I341" i="20" s="1"/>
  <c r="H42" i="20"/>
  <c r="I42" i="20" s="1"/>
  <c r="H313" i="20"/>
  <c r="I313" i="20" s="1"/>
  <c r="G369" i="20"/>
  <c r="CB369" i="6" s="1"/>
  <c r="H324" i="20"/>
  <c r="I324" i="20" s="1"/>
  <c r="H19" i="20"/>
  <c r="J19" i="20" s="1"/>
  <c r="H221" i="20"/>
  <c r="I221" i="20" s="1"/>
  <c r="AA211" i="20"/>
  <c r="Z211" i="20" s="1"/>
  <c r="Y211" i="20" s="1"/>
  <c r="G251" i="20"/>
  <c r="CB251" i="6" s="1"/>
  <c r="AA132" i="20"/>
  <c r="Z132" i="20" s="1"/>
  <c r="Y132" i="20" s="1"/>
  <c r="H25" i="20"/>
  <c r="I25" i="20" s="1"/>
  <c r="H109" i="20"/>
  <c r="I109" i="20" s="1"/>
  <c r="AA374" i="20"/>
  <c r="Z374" i="20" s="1"/>
  <c r="Y374" i="20" s="1"/>
  <c r="G235" i="20"/>
  <c r="CB235" i="6" s="1"/>
  <c r="H245" i="20"/>
  <c r="J245" i="20" s="1"/>
  <c r="AA154" i="20"/>
  <c r="Z154" i="20" s="1"/>
  <c r="Y154" i="20" s="1"/>
  <c r="AA278" i="20"/>
  <c r="Z278" i="20" s="1"/>
  <c r="Y278" i="20" s="1"/>
  <c r="AA338" i="20"/>
  <c r="Z338" i="20" s="1"/>
  <c r="Y338" i="20" s="1"/>
  <c r="G273" i="20"/>
  <c r="CB273" i="6" s="1"/>
  <c r="G300" i="20"/>
  <c r="CB300" i="6" s="1"/>
  <c r="G89" i="20"/>
  <c r="CB89" i="6" s="1"/>
  <c r="G184" i="20"/>
  <c r="CB184" i="6" s="1"/>
  <c r="J66" i="19"/>
  <c r="H367" i="20"/>
  <c r="I367" i="20" s="1"/>
  <c r="H271" i="20"/>
  <c r="I271" i="20" s="1"/>
  <c r="H36" i="19"/>
  <c r="I36" i="19"/>
  <c r="E13" i="19"/>
  <c r="H170" i="20"/>
  <c r="J170" i="20" s="1"/>
  <c r="H195" i="20"/>
  <c r="J195" i="20" s="1"/>
  <c r="G33" i="20"/>
  <c r="CB33" i="6" s="1"/>
  <c r="AA85" i="20"/>
  <c r="Z85" i="20" s="1"/>
  <c r="Y85" i="20" s="1"/>
  <c r="G169" i="20"/>
  <c r="CB169" i="6" s="1"/>
  <c r="H43" i="20"/>
  <c r="I43" i="20" s="1"/>
  <c r="H125" i="20"/>
  <c r="I125" i="20" s="1"/>
  <c r="AA55" i="20"/>
  <c r="Z55" i="20" s="1"/>
  <c r="Y55" i="20" s="1"/>
  <c r="H70" i="20"/>
  <c r="I70" i="20" s="1"/>
  <c r="AA42" i="20"/>
  <c r="Z42" i="20" s="1"/>
  <c r="Y42" i="20" s="1"/>
  <c r="D272" i="20"/>
  <c r="E272" i="20" s="1"/>
  <c r="F272" i="20" s="1"/>
  <c r="AA369" i="20"/>
  <c r="Z369" i="20" s="1"/>
  <c r="Y369" i="20" s="1"/>
  <c r="AA342" i="20"/>
  <c r="Z342" i="20" s="1"/>
  <c r="Y342" i="20" s="1"/>
  <c r="AA104" i="20"/>
  <c r="Z104" i="20" s="1"/>
  <c r="Y104" i="20" s="1"/>
  <c r="G95" i="20"/>
  <c r="CB95" i="6" s="1"/>
  <c r="H199" i="20"/>
  <c r="J199" i="20" s="1"/>
  <c r="H52" i="20"/>
  <c r="I52" i="20" s="1"/>
  <c r="AA69" i="20"/>
  <c r="Z69" i="20" s="1"/>
  <c r="Y69" i="20" s="1"/>
  <c r="AA128" i="20"/>
  <c r="Z128" i="20" s="1"/>
  <c r="Y128" i="20" s="1"/>
  <c r="H91" i="20"/>
  <c r="I91" i="20" s="1"/>
  <c r="AA315" i="20"/>
  <c r="Z315" i="20" s="1"/>
  <c r="Y315" i="20" s="1"/>
  <c r="G244" i="20"/>
  <c r="CB244" i="6" s="1"/>
  <c r="H214" i="20"/>
  <c r="I214" i="20" s="1"/>
  <c r="H81" i="20"/>
  <c r="I81" i="20" s="1"/>
  <c r="G361" i="20"/>
  <c r="CB361" i="6" s="1"/>
  <c r="H280" i="20"/>
  <c r="I280" i="20" s="1"/>
  <c r="D333" i="20"/>
  <c r="E333" i="20" s="1"/>
  <c r="F333" i="20" s="1"/>
  <c r="G333" i="20" s="1"/>
  <c r="CB333" i="6" s="1"/>
  <c r="H222" i="20"/>
  <c r="I222" i="20" s="1"/>
  <c r="G59" i="20"/>
  <c r="CB59" i="6" s="1"/>
  <c r="AA68" i="20"/>
  <c r="Z68" i="20" s="1"/>
  <c r="Y68" i="20" s="1"/>
  <c r="G72" i="20"/>
  <c r="CB72" i="6" s="1"/>
  <c r="AA102" i="20"/>
  <c r="Z102" i="20" s="1"/>
  <c r="Y102" i="20" s="1"/>
  <c r="G165" i="20"/>
  <c r="CB165" i="6" s="1"/>
  <c r="H137" i="20"/>
  <c r="I137" i="20" s="1"/>
  <c r="AA49" i="20"/>
  <c r="Z49" i="20" s="1"/>
  <c r="Y49" i="20" s="1"/>
  <c r="G92" i="20"/>
  <c r="CB92" i="6" s="1"/>
  <c r="H89" i="20"/>
  <c r="J89" i="20" s="1"/>
  <c r="G32" i="20"/>
  <c r="CB32" i="6" s="1"/>
  <c r="M66" i="19"/>
  <c r="C66" i="19"/>
  <c r="AA220" i="20"/>
  <c r="Z220" i="20" s="1"/>
  <c r="Y220" i="20" s="1"/>
  <c r="AA296" i="20"/>
  <c r="Z296" i="20" s="1"/>
  <c r="Y296" i="20" s="1"/>
  <c r="AA358" i="20"/>
  <c r="Z358" i="20" s="1"/>
  <c r="Y358" i="20" s="1"/>
  <c r="AI383" i="22"/>
  <c r="G22" i="20"/>
  <c r="CB22" i="6" s="1"/>
  <c r="AA23" i="20"/>
  <c r="Z23" i="20" s="1"/>
  <c r="Y23" i="20" s="1"/>
  <c r="H77" i="20"/>
  <c r="J77" i="20" s="1"/>
  <c r="G18" i="20"/>
  <c r="CB18" i="6" s="1"/>
  <c r="H80" i="20"/>
  <c r="J80" i="20" s="1"/>
  <c r="AA183" i="20"/>
  <c r="Z183" i="20" s="1"/>
  <c r="Y183" i="20" s="1"/>
  <c r="AA186" i="20"/>
  <c r="Z186" i="20" s="1"/>
  <c r="Y186" i="20" s="1"/>
  <c r="H178" i="20"/>
  <c r="I178" i="20" s="1"/>
  <c r="AA291" i="20"/>
  <c r="Z291" i="20" s="1"/>
  <c r="Y291" i="20" s="1"/>
  <c r="AA176" i="20"/>
  <c r="Z176" i="20" s="1"/>
  <c r="Y176" i="20" s="1"/>
  <c r="H116" i="20"/>
  <c r="I116" i="20" s="1"/>
  <c r="D241" i="20"/>
  <c r="E241" i="20" s="1"/>
  <c r="F241" i="20" s="1"/>
  <c r="H241" i="20" s="1"/>
  <c r="G271" i="20"/>
  <c r="CB271" i="6" s="1"/>
  <c r="G208" i="20"/>
  <c r="CB208" i="6" s="1"/>
  <c r="G64" i="20"/>
  <c r="CB64" i="6" s="1"/>
  <c r="D66" i="19"/>
  <c r="E66" i="19"/>
  <c r="AA349" i="20"/>
  <c r="Z349" i="20" s="1"/>
  <c r="Y349" i="20" s="1"/>
  <c r="AE381" i="20"/>
  <c r="AA354" i="20"/>
  <c r="Z354" i="20" s="1"/>
  <c r="Y354" i="20" s="1"/>
  <c r="AA254" i="20"/>
  <c r="Z254" i="20" s="1"/>
  <c r="Y254" i="20" s="1"/>
  <c r="AA173" i="20"/>
  <c r="Z173" i="20" s="1"/>
  <c r="Y173" i="20" s="1"/>
  <c r="AA127" i="20"/>
  <c r="Z127" i="20" s="1"/>
  <c r="Y127" i="20" s="1"/>
  <c r="AA246" i="20"/>
  <c r="Z246" i="20" s="1"/>
  <c r="Y246" i="20" s="1"/>
  <c r="AA236" i="20"/>
  <c r="Z236" i="20" s="1"/>
  <c r="Y236" i="20" s="1"/>
  <c r="AA106" i="20"/>
  <c r="Z106" i="20" s="1"/>
  <c r="Y106" i="20" s="1"/>
  <c r="AA252" i="20"/>
  <c r="Z252" i="20" s="1"/>
  <c r="Y252" i="20" s="1"/>
  <c r="AA122" i="20"/>
  <c r="Z122" i="20" s="1"/>
  <c r="Y122" i="20" s="1"/>
  <c r="AA377" i="20"/>
  <c r="Z377" i="20" s="1"/>
  <c r="Y377" i="20" s="1"/>
  <c r="AA164" i="20"/>
  <c r="Z164" i="20" s="1"/>
  <c r="Y164" i="20" s="1"/>
  <c r="AA162" i="20"/>
  <c r="Z162" i="20" s="1"/>
  <c r="Y162" i="20" s="1"/>
  <c r="AA287" i="20"/>
  <c r="Z287" i="20" s="1"/>
  <c r="Y287" i="20" s="1"/>
  <c r="AA292" i="20"/>
  <c r="Z292" i="20" s="1"/>
  <c r="Y292" i="20" s="1"/>
  <c r="AA124" i="20"/>
  <c r="Z124" i="20" s="1"/>
  <c r="Y124" i="20" s="1"/>
  <c r="AA322" i="20"/>
  <c r="Z322" i="20" s="1"/>
  <c r="Y322" i="20" s="1"/>
  <c r="AA187" i="20"/>
  <c r="Z187" i="20" s="1"/>
  <c r="Y187" i="20" s="1"/>
  <c r="AA371" i="20"/>
  <c r="Z371" i="20" s="1"/>
  <c r="Y371" i="20" s="1"/>
  <c r="AA116" i="20"/>
  <c r="Z116" i="20" s="1"/>
  <c r="Y116" i="20" s="1"/>
  <c r="AA336" i="20"/>
  <c r="Z336" i="20" s="1"/>
  <c r="Y336" i="20" s="1"/>
  <c r="AE382" i="20"/>
  <c r="AA341" i="20"/>
  <c r="Z341" i="20" s="1"/>
  <c r="Y341" i="20" s="1"/>
  <c r="AA157" i="20"/>
  <c r="Z157" i="20" s="1"/>
  <c r="Y157" i="20" s="1"/>
  <c r="AA326" i="20"/>
  <c r="Z326" i="20" s="1"/>
  <c r="Y326" i="20" s="1"/>
  <c r="AA114" i="20"/>
  <c r="Z114" i="20" s="1"/>
  <c r="Y114" i="20" s="1"/>
  <c r="AA330" i="20"/>
  <c r="Z330" i="20" s="1"/>
  <c r="Y330" i="20" s="1"/>
  <c r="AA153" i="20"/>
  <c r="Z153" i="20" s="1"/>
  <c r="Y153" i="20" s="1"/>
  <c r="AA248" i="20"/>
  <c r="Z248" i="20" s="1"/>
  <c r="Y248" i="20" s="1"/>
  <c r="AA48" i="20"/>
  <c r="Z48" i="20" s="1"/>
  <c r="Y48" i="20" s="1"/>
  <c r="G48" i="20"/>
  <c r="CB48" i="6" s="1"/>
  <c r="AA16" i="20"/>
  <c r="Z16" i="20" s="1"/>
  <c r="Y16" i="20" s="1"/>
  <c r="G16" i="20"/>
  <c r="CB16" i="6" s="1"/>
  <c r="AA37" i="20"/>
  <c r="Z37" i="20" s="1"/>
  <c r="Y37" i="20" s="1"/>
  <c r="H37" i="20"/>
  <c r="I37" i="20" s="1"/>
  <c r="G103" i="20"/>
  <c r="CB103" i="6" s="1"/>
  <c r="H103" i="20"/>
  <c r="I103" i="20" s="1"/>
  <c r="AA103" i="20"/>
  <c r="Z103" i="20" s="1"/>
  <c r="Y103" i="20" s="1"/>
  <c r="G41" i="20"/>
  <c r="CB41" i="6" s="1"/>
  <c r="AA41" i="20"/>
  <c r="Z41" i="20" s="1"/>
  <c r="Y41" i="20" s="1"/>
  <c r="H146" i="20"/>
  <c r="I146" i="20" s="1"/>
  <c r="AA146" i="20"/>
  <c r="Z146" i="20" s="1"/>
  <c r="Y146" i="20" s="1"/>
  <c r="G148" i="20"/>
  <c r="CB148" i="6" s="1"/>
  <c r="AA148" i="20"/>
  <c r="Z148" i="20" s="1"/>
  <c r="Y148" i="20" s="1"/>
  <c r="AA372" i="20"/>
  <c r="Z372" i="20" s="1"/>
  <c r="Y372" i="20" s="1"/>
  <c r="H372" i="20"/>
  <c r="J372" i="20" s="1"/>
  <c r="AA360" i="20"/>
  <c r="Z360" i="20" s="1"/>
  <c r="Y360" i="20" s="1"/>
  <c r="G360" i="20"/>
  <c r="CB360" i="6" s="1"/>
  <c r="H189" i="20"/>
  <c r="I189" i="20" s="1"/>
  <c r="G189" i="20"/>
  <c r="CB189" i="6" s="1"/>
  <c r="AA347" i="20"/>
  <c r="Z347" i="20" s="1"/>
  <c r="Y347" i="20" s="1"/>
  <c r="H347" i="20"/>
  <c r="J347" i="20" s="1"/>
  <c r="H256" i="20"/>
  <c r="J256" i="20" s="1"/>
  <c r="G256" i="20"/>
  <c r="CB256" i="6" s="1"/>
  <c r="G219" i="20"/>
  <c r="CB219" i="6" s="1"/>
  <c r="AA219" i="20"/>
  <c r="Z219" i="20" s="1"/>
  <c r="Y219" i="20" s="1"/>
  <c r="AA376" i="20"/>
  <c r="Z376" i="20" s="1"/>
  <c r="Y376" i="20" s="1"/>
  <c r="G376" i="20"/>
  <c r="CB376" i="6" s="1"/>
  <c r="G257" i="20"/>
  <c r="CB257" i="6" s="1"/>
  <c r="H257" i="20"/>
  <c r="I257" i="20" s="1"/>
  <c r="H335" i="20"/>
  <c r="J335" i="20" s="1"/>
  <c r="AA335" i="20"/>
  <c r="Z335" i="20" s="1"/>
  <c r="Y335" i="20" s="1"/>
  <c r="G115" i="20"/>
  <c r="CB115" i="6" s="1"/>
  <c r="AA115" i="20"/>
  <c r="Z115" i="20" s="1"/>
  <c r="Y115" i="20" s="1"/>
  <c r="H140" i="20"/>
  <c r="I140" i="20" s="1"/>
  <c r="AA140" i="20"/>
  <c r="Z140" i="20" s="1"/>
  <c r="Y140" i="20" s="1"/>
  <c r="AA348" i="20"/>
  <c r="Z348" i="20" s="1"/>
  <c r="Y348" i="20" s="1"/>
  <c r="G348" i="20"/>
  <c r="CB348" i="6" s="1"/>
  <c r="H156" i="20"/>
  <c r="I156" i="20" s="1"/>
  <c r="AA156" i="20"/>
  <c r="Z156" i="20" s="1"/>
  <c r="Y156" i="20" s="1"/>
  <c r="G156" i="20"/>
  <c r="CB156" i="6" s="1"/>
  <c r="H331" i="20"/>
  <c r="I331" i="20" s="1"/>
  <c r="AA331" i="20"/>
  <c r="Z331" i="20" s="1"/>
  <c r="Y331" i="20" s="1"/>
  <c r="H296" i="20"/>
  <c r="J296" i="20" s="1"/>
  <c r="G296" i="20"/>
  <c r="CB296" i="6" s="1"/>
  <c r="G213" i="20"/>
  <c r="CB213" i="6" s="1"/>
  <c r="AA213" i="20"/>
  <c r="Z213" i="20" s="1"/>
  <c r="Y213" i="20" s="1"/>
  <c r="AA260" i="20"/>
  <c r="Z260" i="20" s="1"/>
  <c r="Y260" i="20" s="1"/>
  <c r="AA332" i="20"/>
  <c r="Z332" i="20" s="1"/>
  <c r="Y332" i="20" s="1"/>
  <c r="H332" i="20"/>
  <c r="J332" i="20" s="1"/>
  <c r="G167" i="20"/>
  <c r="CB167" i="6" s="1"/>
  <c r="H167" i="20"/>
  <c r="I167" i="20" s="1"/>
  <c r="AA359" i="20"/>
  <c r="Z359" i="20" s="1"/>
  <c r="Y359" i="20" s="1"/>
  <c r="G152" i="20"/>
  <c r="CB152" i="6" s="1"/>
  <c r="AA152" i="20"/>
  <c r="Z152" i="20" s="1"/>
  <c r="Y152" i="20" s="1"/>
  <c r="H243" i="20"/>
  <c r="J243" i="20" s="1"/>
  <c r="G243" i="20"/>
  <c r="CB243" i="6" s="1"/>
  <c r="G207" i="20"/>
  <c r="CB207" i="6" s="1"/>
  <c r="H207" i="20"/>
  <c r="I207" i="20" s="1"/>
  <c r="G193" i="20"/>
  <c r="CB193" i="6" s="1"/>
  <c r="H193" i="20"/>
  <c r="I193" i="20" s="1"/>
  <c r="AA120" i="20"/>
  <c r="Z120" i="20" s="1"/>
  <c r="Y120" i="20" s="1"/>
  <c r="H120" i="20"/>
  <c r="I120" i="20" s="1"/>
  <c r="G120" i="20"/>
  <c r="CB120" i="6" s="1"/>
  <c r="H294" i="20"/>
  <c r="I294" i="20" s="1"/>
  <c r="AA294" i="20"/>
  <c r="Z294" i="20" s="1"/>
  <c r="Y294" i="20" s="1"/>
  <c r="G294" i="20"/>
  <c r="CB294" i="6" s="1"/>
  <c r="G209" i="20"/>
  <c r="CB209" i="6" s="1"/>
  <c r="AA209" i="20"/>
  <c r="Z209" i="20" s="1"/>
  <c r="Y209" i="20" s="1"/>
  <c r="G147" i="20"/>
  <c r="CB147" i="6" s="1"/>
  <c r="AA147" i="20"/>
  <c r="Z147" i="20" s="1"/>
  <c r="Y147" i="20" s="1"/>
  <c r="AA240" i="20"/>
  <c r="Z240" i="20" s="1"/>
  <c r="Y240" i="20" s="1"/>
  <c r="G240" i="20"/>
  <c r="CB240" i="6" s="1"/>
  <c r="G247" i="20"/>
  <c r="CB247" i="6" s="1"/>
  <c r="AA247" i="20"/>
  <c r="Z247" i="20" s="1"/>
  <c r="Y247" i="20" s="1"/>
  <c r="AA130" i="20"/>
  <c r="Z130" i="20" s="1"/>
  <c r="Y130" i="20" s="1"/>
  <c r="G111" i="20"/>
  <c r="CB111" i="6" s="1"/>
  <c r="AA111" i="20"/>
  <c r="Z111" i="20" s="1"/>
  <c r="Y111" i="20" s="1"/>
  <c r="H218" i="20"/>
  <c r="I218" i="20" s="1"/>
  <c r="G218" i="20"/>
  <c r="CB218" i="6" s="1"/>
  <c r="G216" i="20"/>
  <c r="CB216" i="6" s="1"/>
  <c r="AA216" i="20"/>
  <c r="Z216" i="20" s="1"/>
  <c r="Y216" i="20" s="1"/>
  <c r="H197" i="20"/>
  <c r="I197" i="20" s="1"/>
  <c r="G197" i="20"/>
  <c r="CB197" i="6" s="1"/>
  <c r="H265" i="20"/>
  <c r="I265" i="20" s="1"/>
  <c r="AA265" i="20"/>
  <c r="Z265" i="20" s="1"/>
  <c r="Y265" i="20" s="1"/>
  <c r="H225" i="20"/>
  <c r="J225" i="20" s="1"/>
  <c r="G225" i="20"/>
  <c r="CB225" i="6" s="1"/>
  <c r="AA323" i="20"/>
  <c r="Z323" i="20" s="1"/>
  <c r="Y323" i="20" s="1"/>
  <c r="H134" i="20"/>
  <c r="I134" i="20" s="1"/>
  <c r="G134" i="20"/>
  <c r="CB134" i="6" s="1"/>
  <c r="H337" i="20"/>
  <c r="J337" i="20" s="1"/>
  <c r="AA337" i="20"/>
  <c r="Z337" i="20" s="1"/>
  <c r="Y337" i="20" s="1"/>
  <c r="AA352" i="20"/>
  <c r="Z352" i="20" s="1"/>
  <c r="Y352" i="20" s="1"/>
  <c r="H352" i="20"/>
  <c r="I352" i="20" s="1"/>
  <c r="G279" i="20"/>
  <c r="CB279" i="6" s="1"/>
  <c r="AA279" i="20"/>
  <c r="Z279" i="20" s="1"/>
  <c r="Y279" i="20" s="1"/>
  <c r="H299" i="20"/>
  <c r="J299" i="20" s="1"/>
  <c r="AA299" i="20"/>
  <c r="Z299" i="20" s="1"/>
  <c r="Y299" i="20" s="1"/>
  <c r="H267" i="20"/>
  <c r="J267" i="20" s="1"/>
  <c r="AA267" i="20"/>
  <c r="Z267" i="20" s="1"/>
  <c r="Y267" i="20" s="1"/>
  <c r="D180" i="20"/>
  <c r="E180" i="20" s="1"/>
  <c r="F180" i="20" s="1"/>
  <c r="G180" i="20" s="1"/>
  <c r="CB180" i="6" s="1"/>
  <c r="W180" i="20"/>
  <c r="G232" i="20"/>
  <c r="CB232" i="6" s="1"/>
  <c r="H232" i="20"/>
  <c r="I232" i="20" s="1"/>
  <c r="AA232" i="20"/>
  <c r="Z232" i="20" s="1"/>
  <c r="Y232" i="20" s="1"/>
  <c r="G375" i="20"/>
  <c r="CB375" i="6" s="1"/>
  <c r="AA375" i="20"/>
  <c r="Z375" i="20" s="1"/>
  <c r="Y375" i="20" s="1"/>
  <c r="G350" i="20"/>
  <c r="CB350" i="6" s="1"/>
  <c r="H350" i="20"/>
  <c r="I350" i="20" s="1"/>
  <c r="H83" i="20"/>
  <c r="I83" i="20" s="1"/>
  <c r="G83" i="20"/>
  <c r="CB83" i="6" s="1"/>
  <c r="AA56" i="20"/>
  <c r="Z56" i="20" s="1"/>
  <c r="Y56" i="20" s="1"/>
  <c r="H56" i="20"/>
  <c r="I56" i="20" s="1"/>
  <c r="G53" i="20"/>
  <c r="CB53" i="6" s="1"/>
  <c r="AA53" i="20"/>
  <c r="Z53" i="20" s="1"/>
  <c r="Y53" i="20" s="1"/>
  <c r="G27" i="20"/>
  <c r="CB27" i="6" s="1"/>
  <c r="AA27" i="20"/>
  <c r="Z27" i="20" s="1"/>
  <c r="Y27" i="20" s="1"/>
  <c r="H73" i="20"/>
  <c r="I73" i="20" s="1"/>
  <c r="AA73" i="20"/>
  <c r="Z73" i="20" s="1"/>
  <c r="Y73" i="20" s="1"/>
  <c r="AA87" i="20"/>
  <c r="Z87" i="20" s="1"/>
  <c r="Y87" i="20" s="1"/>
  <c r="H87" i="20"/>
  <c r="J87" i="20" s="1"/>
  <c r="AA99" i="20"/>
  <c r="Z99" i="20" s="1"/>
  <c r="Y99" i="20" s="1"/>
  <c r="H99" i="20"/>
  <c r="I99" i="20" s="1"/>
  <c r="G31" i="20"/>
  <c r="CB31" i="6" s="1"/>
  <c r="H31" i="20"/>
  <c r="J31" i="20" s="1"/>
  <c r="G54" i="20"/>
  <c r="CB54" i="6" s="1"/>
  <c r="H54" i="20"/>
  <c r="I54" i="20" s="1"/>
  <c r="AA54" i="20"/>
  <c r="Z54" i="20" s="1"/>
  <c r="Y54" i="20" s="1"/>
  <c r="AA62" i="20"/>
  <c r="Z62" i="20" s="1"/>
  <c r="Y62" i="20" s="1"/>
  <c r="H62" i="20"/>
  <c r="I62" i="20" s="1"/>
  <c r="G76" i="20"/>
  <c r="CB76" i="6" s="1"/>
  <c r="AA76" i="20"/>
  <c r="Z76" i="20" s="1"/>
  <c r="Y76" i="20" s="1"/>
  <c r="H76" i="20"/>
  <c r="I76" i="20" s="1"/>
  <c r="H26" i="20"/>
  <c r="J26" i="20" s="1"/>
  <c r="AA26" i="20"/>
  <c r="Z26" i="20" s="1"/>
  <c r="Y26" i="20" s="1"/>
  <c r="AA84" i="20"/>
  <c r="Z84" i="20" s="1"/>
  <c r="Y84" i="20" s="1"/>
  <c r="G84" i="20"/>
  <c r="CB84" i="6" s="1"/>
  <c r="G98" i="20"/>
  <c r="CB98" i="6" s="1"/>
  <c r="AA98" i="20"/>
  <c r="Z98" i="20" s="1"/>
  <c r="Y98" i="20" s="1"/>
  <c r="AA28" i="20"/>
  <c r="Z28" i="20" s="1"/>
  <c r="Y28" i="20" s="1"/>
  <c r="H28" i="20"/>
  <c r="I28" i="20" s="1"/>
  <c r="H39" i="20"/>
  <c r="J39" i="20" s="1"/>
  <c r="G39" i="20"/>
  <c r="CB39" i="6" s="1"/>
  <c r="G45" i="20"/>
  <c r="CB45" i="6" s="1"/>
  <c r="AA45" i="20"/>
  <c r="Z45" i="20" s="1"/>
  <c r="Y45" i="20" s="1"/>
  <c r="G24" i="20"/>
  <c r="CB24" i="6" s="1"/>
  <c r="AA24" i="20"/>
  <c r="Z24" i="20" s="1"/>
  <c r="Y24" i="20" s="1"/>
  <c r="H188" i="20"/>
  <c r="I188" i="20" s="1"/>
  <c r="G188" i="20"/>
  <c r="CB188" i="6" s="1"/>
  <c r="H123" i="20"/>
  <c r="J123" i="20" s="1"/>
  <c r="G123" i="20"/>
  <c r="CB123" i="6" s="1"/>
  <c r="W379" i="20"/>
  <c r="D379" i="20"/>
  <c r="E379" i="20" s="1"/>
  <c r="F379" i="20" s="1"/>
  <c r="G379" i="20" s="1"/>
  <c r="CB379" i="6" s="1"/>
  <c r="G66" i="20"/>
  <c r="CB66" i="6" s="1"/>
  <c r="H66" i="20"/>
  <c r="J66" i="20" s="1"/>
  <c r="AA50" i="20"/>
  <c r="Z50" i="20" s="1"/>
  <c r="Y50" i="20" s="1"/>
  <c r="H50" i="20"/>
  <c r="J50" i="20" s="1"/>
  <c r="AA57" i="20"/>
  <c r="Z57" i="20" s="1"/>
  <c r="Y57" i="20" s="1"/>
  <c r="G57" i="20"/>
  <c r="CB57" i="6" s="1"/>
  <c r="AA44" i="20"/>
  <c r="Z44" i="20" s="1"/>
  <c r="Y44" i="20" s="1"/>
  <c r="H44" i="20"/>
  <c r="I44" i="20" s="1"/>
  <c r="G44" i="20"/>
  <c r="CB44" i="6" s="1"/>
  <c r="H21" i="20"/>
  <c r="I21" i="20" s="1"/>
  <c r="G21" i="20"/>
  <c r="CB21" i="6" s="1"/>
  <c r="AA343" i="20"/>
  <c r="Z343" i="20" s="1"/>
  <c r="Y343" i="20" s="1"/>
  <c r="G343" i="20"/>
  <c r="CB343" i="6" s="1"/>
  <c r="G234" i="20"/>
  <c r="CB234" i="6" s="1"/>
  <c r="H234" i="20"/>
  <c r="I234" i="20" s="1"/>
  <c r="AA205" i="20"/>
  <c r="Z205" i="20" s="1"/>
  <c r="Y205" i="20" s="1"/>
  <c r="G205" i="20"/>
  <c r="CB205" i="6" s="1"/>
  <c r="G215" i="20"/>
  <c r="CB215" i="6" s="1"/>
  <c r="AA215" i="20"/>
  <c r="Z215" i="20" s="1"/>
  <c r="Y215" i="20" s="1"/>
  <c r="H215" i="20"/>
  <c r="J215" i="20" s="1"/>
  <c r="H121" i="20"/>
  <c r="J121" i="20" s="1"/>
  <c r="G121" i="20"/>
  <c r="CB121" i="6" s="1"/>
  <c r="AA310" i="20"/>
  <c r="Z310" i="20" s="1"/>
  <c r="Y310" i="20" s="1"/>
  <c r="H310" i="20"/>
  <c r="I310" i="20" s="1"/>
  <c r="G344" i="20"/>
  <c r="CB344" i="6" s="1"/>
  <c r="AA344" i="20"/>
  <c r="Z344" i="20" s="1"/>
  <c r="Y344" i="20" s="1"/>
  <c r="G150" i="20"/>
  <c r="CB150" i="6" s="1"/>
  <c r="H150" i="20"/>
  <c r="J150" i="20" s="1"/>
  <c r="G321" i="20"/>
  <c r="CB321" i="6" s="1"/>
  <c r="AA321" i="20"/>
  <c r="Z321" i="20" s="1"/>
  <c r="Y321" i="20" s="1"/>
  <c r="G301" i="20"/>
  <c r="CB301" i="6" s="1"/>
  <c r="AA301" i="20"/>
  <c r="Z301" i="20" s="1"/>
  <c r="Y301" i="20" s="1"/>
  <c r="H138" i="20"/>
  <c r="J138" i="20" s="1"/>
  <c r="AA138" i="20"/>
  <c r="Z138" i="20" s="1"/>
  <c r="Y138" i="20" s="1"/>
  <c r="AA171" i="20"/>
  <c r="Z171" i="20" s="1"/>
  <c r="Y171" i="20" s="1"/>
  <c r="AA33" i="20"/>
  <c r="Z33" i="20" s="1"/>
  <c r="Y33" i="20" s="1"/>
  <c r="G85" i="20"/>
  <c r="CB85" i="6" s="1"/>
  <c r="H17" i="20"/>
  <c r="I17" i="20" s="1"/>
  <c r="H330" i="20"/>
  <c r="J330" i="20" s="1"/>
  <c r="H342" i="20"/>
  <c r="J342" i="20" s="1"/>
  <c r="H95" i="20"/>
  <c r="J95" i="20" s="1"/>
  <c r="AA19" i="20"/>
  <c r="Z19" i="20" s="1"/>
  <c r="Y19" i="20" s="1"/>
  <c r="H213" i="20"/>
  <c r="J213" i="20" s="1"/>
  <c r="AA199" i="20"/>
  <c r="Z199" i="20" s="1"/>
  <c r="Y199" i="20" s="1"/>
  <c r="H260" i="20"/>
  <c r="I260" i="20" s="1"/>
  <c r="G259" i="20"/>
  <c r="CB259" i="6" s="1"/>
  <c r="H376" i="20"/>
  <c r="J376" i="20" s="1"/>
  <c r="G52" i="20"/>
  <c r="CB52" i="6" s="1"/>
  <c r="AA304" i="20"/>
  <c r="Z304" i="20" s="1"/>
  <c r="Y304" i="20" s="1"/>
  <c r="H171" i="20"/>
  <c r="I171" i="20" s="1"/>
  <c r="G298" i="20"/>
  <c r="CB298" i="6" s="1"/>
  <c r="G331" i="20"/>
  <c r="CB331" i="6" s="1"/>
  <c r="H69" i="20"/>
  <c r="I69" i="20" s="1"/>
  <c r="H128" i="20"/>
  <c r="I128" i="20" s="1"/>
  <c r="AA221" i="20"/>
  <c r="Z221" i="20" s="1"/>
  <c r="Y221" i="20" s="1"/>
  <c r="G323" i="20"/>
  <c r="CB323" i="6" s="1"/>
  <c r="G91" i="20"/>
  <c r="CB91" i="6" s="1"/>
  <c r="AA177" i="20"/>
  <c r="Z177" i="20" s="1"/>
  <c r="Y177" i="20" s="1"/>
  <c r="H358" i="20"/>
  <c r="I358" i="20" s="1"/>
  <c r="G201" i="20"/>
  <c r="CB201" i="6" s="1"/>
  <c r="H360" i="20"/>
  <c r="J360" i="20" s="1"/>
  <c r="H130" i="20"/>
  <c r="I130" i="20" s="1"/>
  <c r="G211" i="20"/>
  <c r="CB211" i="6" s="1"/>
  <c r="AA244" i="20"/>
  <c r="Z244" i="20" s="1"/>
  <c r="Y244" i="20" s="1"/>
  <c r="G110" i="20"/>
  <c r="CB110" i="6" s="1"/>
  <c r="G220" i="20"/>
  <c r="CB220" i="6" s="1"/>
  <c r="H132" i="20"/>
  <c r="J132" i="20" s="1"/>
  <c r="H226" i="20"/>
  <c r="J226" i="20" s="1"/>
  <c r="AA25" i="20"/>
  <c r="Z25" i="20" s="1"/>
  <c r="Y25" i="20" s="1"/>
  <c r="AA200" i="20"/>
  <c r="Z200" i="20" s="1"/>
  <c r="Y200" i="20" s="1"/>
  <c r="H205" i="20"/>
  <c r="J205" i="20" s="1"/>
  <c r="AA361" i="20"/>
  <c r="Z361" i="20" s="1"/>
  <c r="Y361" i="20" s="1"/>
  <c r="G318" i="20"/>
  <c r="CB318" i="6" s="1"/>
  <c r="H344" i="20"/>
  <c r="J344" i="20" s="1"/>
  <c r="G335" i="20"/>
  <c r="CB335" i="6" s="1"/>
  <c r="AA181" i="20"/>
  <c r="Z181" i="20" s="1"/>
  <c r="Y181" i="20" s="1"/>
  <c r="AA256" i="20"/>
  <c r="Z256" i="20" s="1"/>
  <c r="Y256" i="20" s="1"/>
  <c r="G157" i="20"/>
  <c r="CB157" i="6" s="1"/>
  <c r="AA235" i="20"/>
  <c r="Z235" i="20" s="1"/>
  <c r="Y235" i="20" s="1"/>
  <c r="AA245" i="20"/>
  <c r="Z245" i="20" s="1"/>
  <c r="Y245" i="20" s="1"/>
  <c r="AA59" i="20"/>
  <c r="Z59" i="20" s="1"/>
  <c r="Y59" i="20" s="1"/>
  <c r="G68" i="20"/>
  <c r="CB68" i="6" s="1"/>
  <c r="G352" i="20"/>
  <c r="CB352" i="6" s="1"/>
  <c r="G154" i="20"/>
  <c r="CB154" i="6" s="1"/>
  <c r="G146" i="20"/>
  <c r="CB146" i="6" s="1"/>
  <c r="H115" i="20"/>
  <c r="I115" i="20" s="1"/>
  <c r="G248" i="20"/>
  <c r="CB248" i="6" s="1"/>
  <c r="AA165" i="20"/>
  <c r="Z165" i="20" s="1"/>
  <c r="Y165" i="20" s="1"/>
  <c r="AA137" i="20"/>
  <c r="Z137" i="20" s="1"/>
  <c r="Y137" i="20" s="1"/>
  <c r="G138" i="20"/>
  <c r="CB138" i="6" s="1"/>
  <c r="H147" i="20"/>
  <c r="I147" i="20" s="1"/>
  <c r="H279" i="20"/>
  <c r="J279" i="20" s="1"/>
  <c r="G49" i="20"/>
  <c r="CB49" i="6" s="1"/>
  <c r="G155" i="20"/>
  <c r="CB155" i="6" s="1"/>
  <c r="G359" i="20"/>
  <c r="CB359" i="6" s="1"/>
  <c r="H242" i="20"/>
  <c r="I242" i="20" s="1"/>
  <c r="H311" i="20"/>
  <c r="I311" i="20" s="1"/>
  <c r="G338" i="20"/>
  <c r="CB338" i="6" s="1"/>
  <c r="H301" i="20"/>
  <c r="I301" i="20" s="1"/>
  <c r="AA193" i="20"/>
  <c r="Z193" i="20" s="1"/>
  <c r="Y193" i="20" s="1"/>
  <c r="AA190" i="20"/>
  <c r="Z190" i="20" s="1"/>
  <c r="Y190" i="20" s="1"/>
  <c r="H48" i="20"/>
  <c r="J48" i="20" s="1"/>
  <c r="AA257" i="20"/>
  <c r="Z257" i="20" s="1"/>
  <c r="Y257" i="20" s="1"/>
  <c r="G140" i="20"/>
  <c r="CB140" i="6" s="1"/>
  <c r="H111" i="20"/>
  <c r="I111" i="20" s="1"/>
  <c r="AA21" i="20"/>
  <c r="Z21" i="20" s="1"/>
  <c r="Y21" i="20" s="1"/>
  <c r="H321" i="20"/>
  <c r="J321" i="20" s="1"/>
  <c r="H57" i="20"/>
  <c r="I57" i="20" s="1"/>
  <c r="AA185" i="20"/>
  <c r="Z185" i="20" s="1"/>
  <c r="Y185" i="20" s="1"/>
  <c r="AA324" i="20"/>
  <c r="Z324" i="20" s="1"/>
  <c r="Y324" i="20" s="1"/>
  <c r="AA243" i="20"/>
  <c r="Z243" i="20" s="1"/>
  <c r="Y243" i="20" s="1"/>
  <c r="AA234" i="20"/>
  <c r="Z234" i="20" s="1"/>
  <c r="Y234" i="20" s="1"/>
  <c r="AA170" i="20"/>
  <c r="Z170" i="20" s="1"/>
  <c r="Y170" i="20" s="1"/>
  <c r="AA280" i="20"/>
  <c r="Z280" i="20" s="1"/>
  <c r="Y280" i="20" s="1"/>
  <c r="AA253" i="20"/>
  <c r="Z253" i="20" s="1"/>
  <c r="Y253" i="20" s="1"/>
  <c r="AA222" i="20"/>
  <c r="Z222" i="20" s="1"/>
  <c r="Y222" i="20" s="1"/>
  <c r="AA207" i="20"/>
  <c r="Z207" i="20" s="1"/>
  <c r="Y207" i="20" s="1"/>
  <c r="AA155" i="20"/>
  <c r="Z155" i="20" s="1"/>
  <c r="Y155" i="20" s="1"/>
  <c r="AA306" i="20"/>
  <c r="Z306" i="20" s="1"/>
  <c r="Y306" i="20" s="1"/>
  <c r="AA242" i="20"/>
  <c r="Z242" i="20" s="1"/>
  <c r="Y242" i="20" s="1"/>
  <c r="AA355" i="20"/>
  <c r="Z355" i="20" s="1"/>
  <c r="Y355" i="20" s="1"/>
  <c r="AA163" i="20"/>
  <c r="Z163" i="20" s="1"/>
  <c r="Y163" i="20" s="1"/>
  <c r="AA275" i="20"/>
  <c r="Z275" i="20" s="1"/>
  <c r="Y275" i="20" s="1"/>
  <c r="AA313" i="20"/>
  <c r="Z313" i="20" s="1"/>
  <c r="Y313" i="20" s="1"/>
  <c r="AA273" i="20"/>
  <c r="Z273" i="20" s="1"/>
  <c r="Y273" i="20" s="1"/>
  <c r="AA197" i="20"/>
  <c r="Z197" i="20" s="1"/>
  <c r="Y197" i="20" s="1"/>
  <c r="AA259" i="20"/>
  <c r="Z259" i="20" s="1"/>
  <c r="Y259" i="20" s="1"/>
  <c r="AA150" i="20"/>
  <c r="Z150" i="20" s="1"/>
  <c r="Y150" i="20" s="1"/>
  <c r="AA298" i="20"/>
  <c r="Z298" i="20" s="1"/>
  <c r="Y298" i="20" s="1"/>
  <c r="AA218" i="20"/>
  <c r="Z218" i="20" s="1"/>
  <c r="Y218" i="20" s="1"/>
  <c r="AA311" i="20"/>
  <c r="Z311" i="20" s="1"/>
  <c r="Y311" i="20" s="1"/>
  <c r="AA112" i="20"/>
  <c r="Z112" i="20" s="1"/>
  <c r="Y112" i="20" s="1"/>
  <c r="AA226" i="20"/>
  <c r="Z226" i="20" s="1"/>
  <c r="Y226" i="20" s="1"/>
  <c r="AA174" i="20"/>
  <c r="Z174" i="20" s="1"/>
  <c r="Y174" i="20" s="1"/>
  <c r="AA167" i="20"/>
  <c r="Z167" i="20" s="1"/>
  <c r="Y167" i="20" s="1"/>
  <c r="AA318" i="20"/>
  <c r="Z318" i="20" s="1"/>
  <c r="Y318" i="20" s="1"/>
  <c r="AA201" i="20"/>
  <c r="Z201" i="20" s="1"/>
  <c r="Y201" i="20" s="1"/>
  <c r="AA118" i="20"/>
  <c r="Z118" i="20" s="1"/>
  <c r="Y118" i="20" s="1"/>
  <c r="AA251" i="20"/>
  <c r="Z251" i="20" s="1"/>
  <c r="Y251" i="20" s="1"/>
  <c r="AA109" i="20"/>
  <c r="Z109" i="20" s="1"/>
  <c r="Y109" i="20" s="1"/>
  <c r="AA145" i="20"/>
  <c r="Z145" i="20" s="1"/>
  <c r="Y145" i="20" s="1"/>
  <c r="AA184" i="20"/>
  <c r="Z184" i="20" s="1"/>
  <c r="Y184" i="20" s="1"/>
  <c r="AA107" i="20"/>
  <c r="Z107" i="20" s="1"/>
  <c r="Y107" i="20" s="1"/>
  <c r="AA300" i="20"/>
  <c r="Z300" i="20" s="1"/>
  <c r="Y300" i="20" s="1"/>
  <c r="AA105" i="20"/>
  <c r="Z105" i="20" s="1"/>
  <c r="Y105" i="20" s="1"/>
  <c r="AA255" i="20"/>
  <c r="Z255" i="20" s="1"/>
  <c r="Y255" i="20" s="1"/>
  <c r="AA229" i="20"/>
  <c r="Z229" i="20" s="1"/>
  <c r="Y229" i="20" s="1"/>
  <c r="AA327" i="20"/>
  <c r="Z327" i="20" s="1"/>
  <c r="Y327" i="20" s="1"/>
  <c r="AA283" i="20"/>
  <c r="Z283" i="20" s="1"/>
  <c r="Y283" i="20" s="1"/>
  <c r="AA136" i="20"/>
  <c r="Z136" i="20" s="1"/>
  <c r="Y136" i="20" s="1"/>
  <c r="AA297" i="20"/>
  <c r="Z297" i="20" s="1"/>
  <c r="Y297" i="20" s="1"/>
  <c r="AA217" i="20"/>
  <c r="Z217" i="20" s="1"/>
  <c r="Y217" i="20" s="1"/>
  <c r="AA239" i="20"/>
  <c r="Z239" i="20" s="1"/>
  <c r="Y239" i="20" s="1"/>
  <c r="AA365" i="20"/>
  <c r="Z365" i="20" s="1"/>
  <c r="Y365" i="20" s="1"/>
  <c r="AA340" i="20"/>
  <c r="Z340" i="20" s="1"/>
  <c r="Y340" i="20" s="1"/>
  <c r="AA139" i="20"/>
  <c r="Z139" i="20" s="1"/>
  <c r="Y139" i="20" s="1"/>
  <c r="AA276" i="20"/>
  <c r="Z276" i="20" s="1"/>
  <c r="Y276" i="20" s="1"/>
  <c r="AA378" i="20"/>
  <c r="Z378" i="20" s="1"/>
  <c r="Y378" i="20" s="1"/>
  <c r="AA172" i="20"/>
  <c r="Z172" i="20" s="1"/>
  <c r="Y172" i="20" s="1"/>
  <c r="AA364" i="20"/>
  <c r="Z364" i="20" s="1"/>
  <c r="Y364" i="20" s="1"/>
  <c r="AA351" i="20"/>
  <c r="Z351" i="20" s="1"/>
  <c r="Y351" i="20" s="1"/>
  <c r="AA126" i="20"/>
  <c r="Z126" i="20" s="1"/>
  <c r="Y126" i="20" s="1"/>
  <c r="AA141" i="20"/>
  <c r="Z141" i="20" s="1"/>
  <c r="Y141" i="20" s="1"/>
  <c r="AA159" i="20"/>
  <c r="Z159" i="20" s="1"/>
  <c r="Y159" i="20" s="1"/>
  <c r="AA284" i="20"/>
  <c r="Z284" i="20" s="1"/>
  <c r="Y284" i="20" s="1"/>
  <c r="AA230" i="20"/>
  <c r="Z230" i="20" s="1"/>
  <c r="Y230" i="20" s="1"/>
  <c r="AA357" i="20"/>
  <c r="Z357" i="20" s="1"/>
  <c r="Y357" i="20" s="1"/>
  <c r="AA356" i="20"/>
  <c r="Z356" i="20" s="1"/>
  <c r="Y356" i="20" s="1"/>
  <c r="AA277" i="20"/>
  <c r="Z277" i="20" s="1"/>
  <c r="Y277" i="20" s="1"/>
  <c r="AA204" i="20"/>
  <c r="Z204" i="20" s="1"/>
  <c r="Y204" i="20" s="1"/>
  <c r="AA212" i="20"/>
  <c r="Z212" i="20" s="1"/>
  <c r="Y212" i="20" s="1"/>
  <c r="AA160" i="20"/>
  <c r="Z160" i="20" s="1"/>
  <c r="Y160" i="20" s="1"/>
  <c r="AA329" i="20"/>
  <c r="Z329" i="20" s="1"/>
  <c r="Y329" i="20" s="1"/>
  <c r="AA144" i="20"/>
  <c r="Z144" i="20" s="1"/>
  <c r="Y144" i="20" s="1"/>
  <c r="AA133" i="20"/>
  <c r="Z133" i="20" s="1"/>
  <c r="Y133" i="20" s="1"/>
  <c r="AA158" i="20"/>
  <c r="Z158" i="20" s="1"/>
  <c r="Y158" i="20" s="1"/>
  <c r="AA309" i="20"/>
  <c r="Z309" i="20" s="1"/>
  <c r="Y309" i="20" s="1"/>
  <c r="AA305" i="20"/>
  <c r="Z305" i="20" s="1"/>
  <c r="Y305" i="20" s="1"/>
  <c r="AA266" i="20"/>
  <c r="Z266" i="20" s="1"/>
  <c r="Y266" i="20" s="1"/>
  <c r="AA117" i="20"/>
  <c r="Z117" i="20" s="1"/>
  <c r="Y117" i="20" s="1"/>
  <c r="AA113" i="20"/>
  <c r="Z113" i="20" s="1"/>
  <c r="Y113" i="20" s="1"/>
  <c r="AA346" i="20"/>
  <c r="Z346" i="20" s="1"/>
  <c r="Y346" i="20" s="1"/>
  <c r="H151" i="20"/>
  <c r="I151" i="20" s="1"/>
  <c r="G274" i="20"/>
  <c r="CB274" i="6" s="1"/>
  <c r="G173" i="20"/>
  <c r="CB173" i="6" s="1"/>
  <c r="H239" i="20"/>
  <c r="I239" i="20" s="1"/>
  <c r="G345" i="20"/>
  <c r="CB345" i="6" s="1"/>
  <c r="G269" i="20"/>
  <c r="CB269" i="6" s="1"/>
  <c r="AA307" i="20"/>
  <c r="Z307" i="20" s="1"/>
  <c r="Y307" i="20" s="1"/>
  <c r="AA70" i="20"/>
  <c r="Z70" i="20" s="1"/>
  <c r="Y70" i="20" s="1"/>
  <c r="H270" i="20"/>
  <c r="J270" i="20" s="1"/>
  <c r="AA100" i="20"/>
  <c r="Z100" i="20" s="1"/>
  <c r="Y100" i="20" s="1"/>
  <c r="H356" i="20"/>
  <c r="I356" i="20" s="1"/>
  <c r="H198" i="20"/>
  <c r="I198" i="20" s="1"/>
  <c r="G63" i="20"/>
  <c r="CB63" i="6" s="1"/>
  <c r="H255" i="20"/>
  <c r="I255" i="20" s="1"/>
  <c r="H129" i="20"/>
  <c r="I129" i="20" s="1"/>
  <c r="H346" i="20"/>
  <c r="J346" i="20" s="1"/>
  <c r="AA290" i="20"/>
  <c r="Z290" i="20" s="1"/>
  <c r="Y290" i="20" s="1"/>
  <c r="G87" i="20"/>
  <c r="CB87" i="6" s="1"/>
  <c r="H86" i="20"/>
  <c r="J86" i="20" s="1"/>
  <c r="H145" i="20"/>
  <c r="I145" i="20" s="1"/>
  <c r="H368" i="20"/>
  <c r="I368" i="20" s="1"/>
  <c r="G118" i="20"/>
  <c r="CB118" i="6" s="1"/>
  <c r="G263" i="20"/>
  <c r="CB263" i="6" s="1"/>
  <c r="H238" i="20"/>
  <c r="J238" i="20" s="1"/>
  <c r="G122" i="20"/>
  <c r="CB122" i="6" s="1"/>
  <c r="G354" i="20"/>
  <c r="CB354" i="6" s="1"/>
  <c r="G267" i="20"/>
  <c r="CB267" i="6" s="1"/>
  <c r="H353" i="20"/>
  <c r="I353" i="20" s="1"/>
  <c r="AA34" i="20"/>
  <c r="Z34" i="20" s="1"/>
  <c r="Y34" i="20" s="1"/>
  <c r="H340" i="20"/>
  <c r="I340" i="20" s="1"/>
  <c r="AA314" i="20"/>
  <c r="Z314" i="20" s="1"/>
  <c r="Y314" i="20" s="1"/>
  <c r="AA214" i="20"/>
  <c r="Z214" i="20" s="1"/>
  <c r="Y214" i="20" s="1"/>
  <c r="G101" i="20"/>
  <c r="CB101" i="6" s="1"/>
  <c r="AA31" i="20"/>
  <c r="Z31" i="20" s="1"/>
  <c r="Y31" i="20" s="1"/>
  <c r="G266" i="20"/>
  <c r="CB266" i="6" s="1"/>
  <c r="AA312" i="20"/>
  <c r="Z312" i="20" s="1"/>
  <c r="Y312" i="20" s="1"/>
  <c r="G175" i="20"/>
  <c r="CB175" i="6" s="1"/>
  <c r="H254" i="20"/>
  <c r="I254" i="20" s="1"/>
  <c r="H98" i="20"/>
  <c r="I98" i="20" s="1"/>
  <c r="AA223" i="20"/>
  <c r="Z223" i="20" s="1"/>
  <c r="Y223" i="20" s="1"/>
  <c r="H351" i="20"/>
  <c r="J351" i="20" s="1"/>
  <c r="H23" i="20"/>
  <c r="I23" i="20" s="1"/>
  <c r="AA328" i="20"/>
  <c r="Z328" i="20" s="1"/>
  <c r="Y328" i="20" s="1"/>
  <c r="AA268" i="20"/>
  <c r="Z268" i="20" s="1"/>
  <c r="Y268" i="20" s="1"/>
  <c r="AA367" i="20"/>
  <c r="Z367" i="20" s="1"/>
  <c r="Y367" i="20" s="1"/>
  <c r="G126" i="20"/>
  <c r="CB126" i="6" s="1"/>
  <c r="G97" i="20"/>
  <c r="CB97" i="6" s="1"/>
  <c r="H90" i="20"/>
  <c r="I90" i="20" s="1"/>
  <c r="G327" i="20"/>
  <c r="CB327" i="6" s="1"/>
  <c r="G73" i="20"/>
  <c r="CB73" i="6" s="1"/>
  <c r="G278" i="20"/>
  <c r="CB278" i="6" s="1"/>
  <c r="AA72" i="20"/>
  <c r="Z72" i="20" s="1"/>
  <c r="Y72" i="20" s="1"/>
  <c r="H102" i="20"/>
  <c r="J102" i="20" s="1"/>
  <c r="H246" i="20"/>
  <c r="J246" i="20" s="1"/>
  <c r="AA316" i="20"/>
  <c r="Z316" i="20" s="1"/>
  <c r="Y316" i="20" s="1"/>
  <c r="G80" i="20"/>
  <c r="CB80" i="6" s="1"/>
  <c r="H285" i="20"/>
  <c r="I285" i="20" s="1"/>
  <c r="H183" i="20"/>
  <c r="J183" i="20" s="1"/>
  <c r="H127" i="20"/>
  <c r="I127" i="20" s="1"/>
  <c r="G71" i="20"/>
  <c r="CB71" i="6" s="1"/>
  <c r="H158" i="20"/>
  <c r="J158" i="20" s="1"/>
  <c r="AA231" i="20"/>
  <c r="Z231" i="20" s="1"/>
  <c r="Y231" i="20" s="1"/>
  <c r="AA92" i="20"/>
  <c r="Z92" i="20" s="1"/>
  <c r="Y92" i="20" s="1"/>
  <c r="H293" i="20"/>
  <c r="J293" i="20" s="1"/>
  <c r="AA178" i="20"/>
  <c r="Z178" i="20" s="1"/>
  <c r="Y178" i="20" s="1"/>
  <c r="H65" i="20"/>
  <c r="I65" i="20" s="1"/>
  <c r="H53" i="20"/>
  <c r="I53" i="20" s="1"/>
  <c r="G252" i="20"/>
  <c r="CB252" i="6" s="1"/>
  <c r="H357" i="20"/>
  <c r="I357" i="20" s="1"/>
  <c r="G28" i="20"/>
  <c r="CB28" i="6" s="1"/>
  <c r="AA228" i="20"/>
  <c r="Z228" i="20" s="1"/>
  <c r="Y228" i="20" s="1"/>
  <c r="G35" i="20"/>
  <c r="CB35" i="6" s="1"/>
  <c r="H286" i="20"/>
  <c r="J286" i="20" s="1"/>
  <c r="G370" i="20"/>
  <c r="CB370" i="6" s="1"/>
  <c r="H107" i="20"/>
  <c r="I107" i="20" s="1"/>
  <c r="H378" i="20"/>
  <c r="I378" i="20" s="1"/>
  <c r="G144" i="20"/>
  <c r="CB144" i="6" s="1"/>
  <c r="I66" i="19"/>
  <c r="F66" i="19"/>
  <c r="K66" i="19"/>
  <c r="G66" i="19"/>
  <c r="AA229" i="18"/>
  <c r="Z229" i="18" s="1"/>
  <c r="Y229" i="18" s="1"/>
  <c r="G229" i="18"/>
  <c r="CA229" i="6" s="1"/>
  <c r="H229" i="18"/>
  <c r="I312" i="18"/>
  <c r="J312" i="18"/>
  <c r="C312" i="6" s="1"/>
  <c r="AE383" i="20"/>
  <c r="Y379" i="17"/>
  <c r="AL6" i="17" s="1"/>
  <c r="AL8" i="17"/>
  <c r="J190" i="18"/>
  <c r="C190" i="6" s="1"/>
  <c r="I190" i="18"/>
  <c r="J79" i="18"/>
  <c r="C79" i="6" s="1"/>
  <c r="I79" i="18"/>
  <c r="J159" i="18"/>
  <c r="C159" i="6" s="1"/>
  <c r="I159" i="18"/>
  <c r="I194" i="18"/>
  <c r="J194" i="18"/>
  <c r="C194" i="6" s="1"/>
  <c r="Q10" i="22"/>
  <c r="Q184" i="22" s="1"/>
  <c r="AM15" i="7"/>
  <c r="Q160" i="22"/>
  <c r="J315" i="18"/>
  <c r="C315" i="6" s="1"/>
  <c r="I315" i="18"/>
  <c r="I153" i="18"/>
  <c r="J153" i="18"/>
  <c r="C153" i="6" s="1"/>
  <c r="I303" i="18"/>
  <c r="J303" i="18"/>
  <c r="C303" i="6" s="1"/>
  <c r="I113" i="18"/>
  <c r="J113" i="18"/>
  <c r="C113" i="6" s="1"/>
  <c r="I375" i="18"/>
  <c r="J375" i="18"/>
  <c r="C375" i="6" s="1"/>
  <c r="I323" i="18"/>
  <c r="J323" i="18"/>
  <c r="C323" i="6" s="1"/>
  <c r="J163" i="18"/>
  <c r="C163" i="6" s="1"/>
  <c r="I163" i="18"/>
  <c r="I374" i="18"/>
  <c r="J374" i="18"/>
  <c r="C374" i="6" s="1"/>
  <c r="J365" i="18"/>
  <c r="C365" i="6" s="1"/>
  <c r="I365" i="18"/>
  <c r="AD379" i="20"/>
  <c r="D14" i="19"/>
  <c r="G38" i="19"/>
  <c r="I15" i="17"/>
  <c r="I382" i="17" s="1"/>
  <c r="G46" i="20"/>
  <c r="CB46" i="6" s="1"/>
  <c r="P383" i="18"/>
  <c r="P381" i="18"/>
  <c r="V15" i="18"/>
  <c r="P382" i="18"/>
  <c r="AI382" i="22"/>
  <c r="AI381" i="22"/>
  <c r="S383" i="20"/>
  <c r="S382" i="20"/>
  <c r="S381" i="20"/>
  <c r="R15" i="20"/>
  <c r="AD383" i="18"/>
  <c r="AD381" i="18"/>
  <c r="AD382" i="18"/>
  <c r="AG381" i="20"/>
  <c r="AF15" i="20"/>
  <c r="AG383" i="20"/>
  <c r="AG382" i="20"/>
  <c r="H364" i="20"/>
  <c r="I364" i="20" s="1"/>
  <c r="AA135" i="20"/>
  <c r="Z135" i="20" s="1"/>
  <c r="Y135" i="20" s="1"/>
  <c r="H46" i="20"/>
  <c r="I46" i="20" s="1"/>
  <c r="M13" i="19"/>
  <c r="H258" i="20"/>
  <c r="I258" i="20" s="1"/>
  <c r="AA74" i="20"/>
  <c r="Z74" i="20" s="1"/>
  <c r="Y74" i="20" s="1"/>
  <c r="AK4" i="6"/>
  <c r="H349" i="20"/>
  <c r="J349" i="20" s="1"/>
  <c r="G349" i="20"/>
  <c r="CB349" i="6" s="1"/>
  <c r="H135" i="20"/>
  <c r="I135" i="20" s="1"/>
  <c r="H105" i="20"/>
  <c r="I105" i="20" s="1"/>
  <c r="H319" i="20"/>
  <c r="I319" i="20" s="1"/>
  <c r="P4" i="6"/>
  <c r="Y383" i="16"/>
  <c r="Y381" i="16"/>
  <c r="Y382" i="16"/>
  <c r="X9" i="16"/>
  <c r="Z11" i="16" s="1"/>
  <c r="Z5" i="16" s="1"/>
  <c r="H13" i="19" s="1"/>
  <c r="H37" i="19" s="1"/>
  <c r="AM6" i="16"/>
  <c r="AM12" i="16" s="1"/>
  <c r="AL6" i="16"/>
  <c r="AL12" i="16" s="1"/>
  <c r="Z381" i="17"/>
  <c r="Z9" i="17"/>
  <c r="Y15" i="17"/>
  <c r="Z382" i="17"/>
  <c r="AL7" i="17"/>
  <c r="Z383" i="17"/>
  <c r="W7" i="7"/>
  <c r="D7" i="6"/>
  <c r="U10" i="23"/>
  <c r="H43" i="27"/>
  <c r="G42" i="27" s="1"/>
  <c r="AE77" i="27"/>
  <c r="P78" i="27"/>
  <c r="AA4" i="6"/>
  <c r="AH383" i="22"/>
  <c r="V4" i="6"/>
  <c r="J382" i="17"/>
  <c r="J383" i="17"/>
  <c r="J381" i="17"/>
  <c r="AD4" i="6"/>
  <c r="AE4" i="6"/>
  <c r="T4" i="6"/>
  <c r="Y4" i="6"/>
  <c r="AG4" i="6"/>
  <c r="H309" i="18"/>
  <c r="G119" i="20"/>
  <c r="CB119" i="6" s="1"/>
  <c r="AA119" i="20"/>
  <c r="Z119" i="20" s="1"/>
  <c r="Y119" i="20" s="1"/>
  <c r="H119" i="20"/>
  <c r="J85" i="20"/>
  <c r="I85" i="20"/>
  <c r="I173" i="20"/>
  <c r="J173" i="20"/>
  <c r="I320" i="20"/>
  <c r="J320" i="20"/>
  <c r="J274" i="20"/>
  <c r="I274" i="20"/>
  <c r="J185" i="20"/>
  <c r="I185" i="20"/>
  <c r="J336" i="20"/>
  <c r="I336" i="20"/>
  <c r="J313" i="20"/>
  <c r="J297" i="20"/>
  <c r="I369" i="20"/>
  <c r="J369" i="20"/>
  <c r="J108" i="20"/>
  <c r="J161" i="20"/>
  <c r="I161" i="20"/>
  <c r="S42" i="22"/>
  <c r="R42" i="22" s="1"/>
  <c r="S124" i="22"/>
  <c r="R124" i="22" s="1"/>
  <c r="S105" i="22"/>
  <c r="R105" i="22" s="1"/>
  <c r="S163" i="22"/>
  <c r="R163" i="22" s="1"/>
  <c r="S44" i="22"/>
  <c r="R44" i="22" s="1"/>
  <c r="S118" i="22"/>
  <c r="R118" i="22" s="1"/>
  <c r="S328" i="22"/>
  <c r="R328" i="22" s="1"/>
  <c r="S245" i="22"/>
  <c r="R245" i="22" s="1"/>
  <c r="S86" i="22"/>
  <c r="R86" i="22" s="1"/>
  <c r="S211" i="22"/>
  <c r="R211" i="22" s="1"/>
  <c r="S326" i="22"/>
  <c r="R326" i="22" s="1"/>
  <c r="S178" i="22"/>
  <c r="R178" i="22" s="1"/>
  <c r="S202" i="22"/>
  <c r="R202" i="22" s="1"/>
  <c r="S141" i="22"/>
  <c r="R141" i="22" s="1"/>
  <c r="S363" i="22"/>
  <c r="R363" i="22" s="1"/>
  <c r="S127" i="22"/>
  <c r="R127" i="22" s="1"/>
  <c r="S184" i="22"/>
  <c r="R184" i="22" s="1"/>
  <c r="S195" i="22"/>
  <c r="R195" i="22" s="1"/>
  <c r="S170" i="22"/>
  <c r="R170" i="22" s="1"/>
  <c r="S101" i="22"/>
  <c r="R101" i="22" s="1"/>
  <c r="I212" i="20"/>
  <c r="J212" i="20"/>
  <c r="I298" i="20"/>
  <c r="J298" i="20"/>
  <c r="J236" i="20"/>
  <c r="I236" i="20"/>
  <c r="J187" i="20"/>
  <c r="I187" i="20"/>
  <c r="J84" i="20"/>
  <c r="I84" i="20"/>
  <c r="AA88" i="20"/>
  <c r="Z88" i="20" s="1"/>
  <c r="Y88" i="20" s="1"/>
  <c r="G88" i="20"/>
  <c r="CB88" i="6" s="1"/>
  <c r="J160" i="20"/>
  <c r="I160" i="20"/>
  <c r="I277" i="20"/>
  <c r="J277" i="20"/>
  <c r="I110" i="20"/>
  <c r="J110" i="20"/>
  <c r="J220" i="20"/>
  <c r="I220" i="20"/>
  <c r="I318" i="20"/>
  <c r="J318" i="20"/>
  <c r="AG306" i="22"/>
  <c r="AF306" i="22" s="1"/>
  <c r="AI21" i="23"/>
  <c r="AI23" i="23"/>
  <c r="AI63" i="23"/>
  <c r="AI40" i="23"/>
  <c r="AG255" i="22"/>
  <c r="AF255" i="22" s="1"/>
  <c r="AG270" i="22"/>
  <c r="AF270" i="22" s="1"/>
  <c r="AG213" i="22"/>
  <c r="AF213" i="22" s="1"/>
  <c r="AG62" i="22"/>
  <c r="AF62" i="22" s="1"/>
  <c r="AG319" i="22"/>
  <c r="AF319" i="22" s="1"/>
  <c r="AG170" i="22"/>
  <c r="AF170" i="22" s="1"/>
  <c r="AG54" i="22"/>
  <c r="AF54" i="22" s="1"/>
  <c r="AG45" i="22"/>
  <c r="AF45" i="22" s="1"/>
  <c r="AG351" i="22"/>
  <c r="AF351" i="22" s="1"/>
  <c r="AG171" i="22"/>
  <c r="AF171" i="22" s="1"/>
  <c r="AG160" i="22"/>
  <c r="AF160" i="22" s="1"/>
  <c r="S327" i="22"/>
  <c r="R327" i="22" s="1"/>
  <c r="S338" i="22"/>
  <c r="R338" i="22" s="1"/>
  <c r="S313" i="22"/>
  <c r="R313" i="22" s="1"/>
  <c r="S162" i="22"/>
  <c r="R162" i="22" s="1"/>
  <c r="S252" i="22"/>
  <c r="R252" i="22" s="1"/>
  <c r="S61" i="22"/>
  <c r="R61" i="22" s="1"/>
  <c r="S292" i="22"/>
  <c r="R292" i="22" s="1"/>
  <c r="S343" i="22"/>
  <c r="R343" i="22" s="1"/>
  <c r="S135" i="22"/>
  <c r="R135" i="22" s="1"/>
  <c r="S32" i="22"/>
  <c r="R32" i="22" s="1"/>
  <c r="S165" i="22"/>
  <c r="R165" i="22" s="1"/>
  <c r="S130" i="22"/>
  <c r="R130" i="22" s="1"/>
  <c r="S207" i="22"/>
  <c r="R207" i="22" s="1"/>
  <c r="S348" i="22"/>
  <c r="R348" i="22" s="1"/>
  <c r="S88" i="22"/>
  <c r="R88" i="22" s="1"/>
  <c r="S157" i="22"/>
  <c r="R157" i="22" s="1"/>
  <c r="S154" i="22"/>
  <c r="R154" i="22" s="1"/>
  <c r="S263" i="22"/>
  <c r="R263" i="22" s="1"/>
  <c r="S340" i="22"/>
  <c r="R340" i="22" s="1"/>
  <c r="S112" i="22"/>
  <c r="R112" i="22" s="1"/>
  <c r="S318" i="22"/>
  <c r="R318" i="22" s="1"/>
  <c r="S17" i="22"/>
  <c r="R17" i="22" s="1"/>
  <c r="S31" i="22"/>
  <c r="R31" i="22" s="1"/>
  <c r="S140" i="22"/>
  <c r="R140" i="22" s="1"/>
  <c r="S193" i="22"/>
  <c r="R193" i="22" s="1"/>
  <c r="S342" i="22"/>
  <c r="R342" i="22" s="1"/>
  <c r="S74" i="22"/>
  <c r="R74" i="22" s="1"/>
  <c r="S55" i="22"/>
  <c r="R55" i="22" s="1"/>
  <c r="S164" i="22"/>
  <c r="R164" i="22" s="1"/>
  <c r="S249" i="22"/>
  <c r="R249" i="22" s="1"/>
  <c r="S366" i="22"/>
  <c r="R366" i="22" s="1"/>
  <c r="S98" i="22"/>
  <c r="R98" i="22" s="1"/>
  <c r="S60" i="22"/>
  <c r="R60" i="22" s="1"/>
  <c r="S227" i="22"/>
  <c r="R227" i="22" s="1"/>
  <c r="S213" i="22"/>
  <c r="R213" i="22" s="1"/>
  <c r="S287" i="22"/>
  <c r="R287" i="22" s="1"/>
  <c r="S310" i="22"/>
  <c r="R310" i="22" s="1"/>
  <c r="S284" i="22"/>
  <c r="R284" i="22" s="1"/>
  <c r="S76" i="22"/>
  <c r="R76" i="22" s="1"/>
  <c r="S175" i="22"/>
  <c r="R175" i="22" s="1"/>
  <c r="S316" i="22"/>
  <c r="R316" i="22" s="1"/>
  <c r="S273" i="22"/>
  <c r="R273" i="22" s="1"/>
  <c r="S358" i="22"/>
  <c r="R358" i="22" s="1"/>
  <c r="S122" i="22"/>
  <c r="R122" i="22" s="1"/>
  <c r="S231" i="22"/>
  <c r="R231" i="22" s="1"/>
  <c r="S308" i="22"/>
  <c r="R308" i="22" s="1"/>
  <c r="S297" i="22"/>
  <c r="R297" i="22" s="1"/>
  <c r="S53" i="22"/>
  <c r="R53" i="22" s="1"/>
  <c r="S114" i="22"/>
  <c r="R114" i="22" s="1"/>
  <c r="S255" i="22"/>
  <c r="R255" i="22" s="1"/>
  <c r="S108" i="22"/>
  <c r="R108" i="22" s="1"/>
  <c r="S161" i="22"/>
  <c r="R161" i="22" s="1"/>
  <c r="S182" i="22"/>
  <c r="R182" i="22" s="1"/>
  <c r="S283" i="22"/>
  <c r="R283" i="22" s="1"/>
  <c r="S23" i="22"/>
  <c r="R23" i="22" s="1"/>
  <c r="S132" i="22"/>
  <c r="R132" i="22" s="1"/>
  <c r="S217" i="22"/>
  <c r="R217" i="22" s="1"/>
  <c r="S206" i="22"/>
  <c r="R206" i="22" s="1"/>
  <c r="S307" i="22"/>
  <c r="R307" i="22" s="1"/>
  <c r="S16" i="22"/>
  <c r="R16" i="22" s="1"/>
  <c r="S156" i="22"/>
  <c r="R156" i="22" s="1"/>
  <c r="S241" i="22"/>
  <c r="R241" i="22" s="1"/>
  <c r="J45" i="20"/>
  <c r="I45" i="20"/>
  <c r="J373" i="20"/>
  <c r="I373" i="20"/>
  <c r="J308" i="20"/>
  <c r="I308" i="20"/>
  <c r="J192" i="20"/>
  <c r="I192" i="20"/>
  <c r="I40" i="20"/>
  <c r="J278" i="20"/>
  <c r="I278" i="20"/>
  <c r="J248" i="20"/>
  <c r="I248" i="20"/>
  <c r="AA196" i="20"/>
  <c r="Z196" i="20" s="1"/>
  <c r="Y196" i="20" s="1"/>
  <c r="H196" i="20"/>
  <c r="G196" i="20"/>
  <c r="CB196" i="6" s="1"/>
  <c r="H74" i="20"/>
  <c r="J165" i="20"/>
  <c r="I165" i="20"/>
  <c r="AA363" i="20"/>
  <c r="Z363" i="20" s="1"/>
  <c r="Y363" i="20" s="1"/>
  <c r="G363" i="20"/>
  <c r="CB363" i="6" s="1"/>
  <c r="J359" i="20"/>
  <c r="I359" i="20"/>
  <c r="J16" i="20"/>
  <c r="I16" i="20"/>
  <c r="S349" i="22"/>
  <c r="R349" i="22" s="1"/>
  <c r="S94" i="22"/>
  <c r="R94" i="22" s="1"/>
  <c r="S304" i="22"/>
  <c r="R304" i="22" s="1"/>
  <c r="S97" i="22"/>
  <c r="R97" i="22" s="1"/>
  <c r="S68" i="22"/>
  <c r="R68" i="22" s="1"/>
  <c r="S102" i="22"/>
  <c r="R102" i="22" s="1"/>
  <c r="S267" i="22"/>
  <c r="R267" i="22" s="1"/>
  <c r="S62" i="22"/>
  <c r="R62" i="22" s="1"/>
  <c r="S306" i="22"/>
  <c r="R306" i="22" s="1"/>
  <c r="S187" i="22"/>
  <c r="R187" i="22" s="1"/>
  <c r="S110" i="22"/>
  <c r="R110" i="22" s="1"/>
  <c r="S123" i="22"/>
  <c r="R123" i="22" s="1"/>
  <c r="S232" i="22"/>
  <c r="R232" i="22" s="1"/>
  <c r="S268" i="22"/>
  <c r="R268" i="22" s="1"/>
  <c r="S183" i="22"/>
  <c r="R183" i="22" s="1"/>
  <c r="S188" i="22"/>
  <c r="R188" i="22" s="1"/>
  <c r="S230" i="22"/>
  <c r="R230" i="22" s="1"/>
  <c r="S355" i="22"/>
  <c r="R355" i="22" s="1"/>
  <c r="S35" i="22"/>
  <c r="R35" i="22" s="1"/>
  <c r="S351" i="22"/>
  <c r="R351" i="22" s="1"/>
  <c r="S279" i="22"/>
  <c r="R279" i="22" s="1"/>
  <c r="S194" i="22"/>
  <c r="R194" i="22" s="1"/>
  <c r="S43" i="22"/>
  <c r="R43" i="22" s="1"/>
  <c r="S375" i="22"/>
  <c r="R375" i="22" s="1"/>
  <c r="I203" i="20"/>
  <c r="J203" i="20"/>
  <c r="I27" i="20"/>
  <c r="J27" i="20"/>
  <c r="I276" i="20"/>
  <c r="J276" i="20"/>
  <c r="I338" i="20"/>
  <c r="J338" i="20"/>
  <c r="I273" i="20"/>
  <c r="J273" i="20"/>
  <c r="J300" i="20"/>
  <c r="I300" i="20"/>
  <c r="J61" i="20"/>
  <c r="I61" i="20"/>
  <c r="I343" i="20"/>
  <c r="J343" i="20"/>
  <c r="I247" i="20"/>
  <c r="J247" i="20"/>
  <c r="I284" i="20"/>
  <c r="I144" i="20"/>
  <c r="J144" i="20"/>
  <c r="J184" i="20"/>
  <c r="I184" i="20"/>
  <c r="I24" i="20"/>
  <c r="J24" i="20"/>
  <c r="AH381" i="22"/>
  <c r="AG100" i="22"/>
  <c r="AF100" i="22" s="1"/>
  <c r="AG33" i="22"/>
  <c r="AF33" i="22" s="1"/>
  <c r="AG173" i="22"/>
  <c r="AF173" i="22" s="1"/>
  <c r="AG112" i="22"/>
  <c r="AF112" i="22" s="1"/>
  <c r="AG331" i="22"/>
  <c r="AF331" i="22" s="1"/>
  <c r="AG202" i="22"/>
  <c r="AF202" i="22" s="1"/>
  <c r="AG86" i="22"/>
  <c r="AF86" i="22" s="1"/>
  <c r="AG77" i="22"/>
  <c r="AF77" i="22" s="1"/>
  <c r="AG371" i="22"/>
  <c r="AF371" i="22" s="1"/>
  <c r="AG298" i="22"/>
  <c r="AF298" i="22" s="1"/>
  <c r="AG225" i="22"/>
  <c r="AF225" i="22" s="1"/>
  <c r="AG212" i="22"/>
  <c r="AF212" i="22" s="1"/>
  <c r="AG48" i="22"/>
  <c r="AF48" i="22" s="1"/>
  <c r="AG366" i="22"/>
  <c r="AF366" i="22" s="1"/>
  <c r="AG138" i="22"/>
  <c r="AF138" i="22" s="1"/>
  <c r="AG123" i="22"/>
  <c r="AF123" i="22" s="1"/>
  <c r="AG276" i="22"/>
  <c r="AF276" i="22" s="1"/>
  <c r="AG58" i="22"/>
  <c r="AF58" i="22" s="1"/>
  <c r="AG223" i="22"/>
  <c r="AF223" i="22" s="1"/>
  <c r="AG177" i="22"/>
  <c r="AF177" i="22" s="1"/>
  <c r="AG75" i="22"/>
  <c r="AF75" i="22" s="1"/>
  <c r="AG228" i="22"/>
  <c r="AF228" i="22" s="1"/>
  <c r="AG309" i="22"/>
  <c r="AF309" i="22" s="1"/>
  <c r="AG175" i="22"/>
  <c r="AF175" i="22" s="1"/>
  <c r="AG193" i="22"/>
  <c r="AF193" i="22" s="1"/>
  <c r="AG318" i="22"/>
  <c r="AF318" i="22" s="1"/>
  <c r="AG180" i="22"/>
  <c r="AF180" i="22" s="1"/>
  <c r="AG103" i="22"/>
  <c r="AF103" i="22" s="1"/>
  <c r="AG208" i="22"/>
  <c r="AF208" i="22" s="1"/>
  <c r="AG38" i="22"/>
  <c r="AF38" i="22" s="1"/>
  <c r="AG235" i="22"/>
  <c r="AF235" i="22" s="1"/>
  <c r="AG221" i="22"/>
  <c r="AF221" i="22" s="1"/>
  <c r="AG55" i="22"/>
  <c r="AF55" i="22" s="1"/>
  <c r="AG353" i="22"/>
  <c r="AF353" i="22" s="1"/>
  <c r="AG187" i="22"/>
  <c r="AF187" i="22" s="1"/>
  <c r="AG378" i="22"/>
  <c r="AF378" i="22" s="1"/>
  <c r="AG218" i="22"/>
  <c r="AF218" i="22" s="1"/>
  <c r="AG145" i="22"/>
  <c r="AF145" i="22" s="1"/>
  <c r="AG324" i="22"/>
  <c r="AF324" i="22" s="1"/>
  <c r="AG203" i="22"/>
  <c r="AF203" i="22" s="1"/>
  <c r="AG215" i="22"/>
  <c r="AF215" i="22" s="1"/>
  <c r="AG214" i="22"/>
  <c r="AF214" i="22" s="1"/>
  <c r="AG98" i="22"/>
  <c r="AF98" i="22" s="1"/>
  <c r="AG336" i="22"/>
  <c r="AF336" i="22" s="1"/>
  <c r="AG252" i="22"/>
  <c r="AF252" i="22" s="1"/>
  <c r="AG102" i="22"/>
  <c r="AF102" i="22" s="1"/>
  <c r="AG32" i="22"/>
  <c r="AF32" i="22" s="1"/>
  <c r="AG73" i="22"/>
  <c r="AF73" i="22" s="1"/>
  <c r="AG28" i="22"/>
  <c r="AF28" i="22" s="1"/>
  <c r="AG151" i="22"/>
  <c r="AF151" i="22" s="1"/>
  <c r="AG150" i="22"/>
  <c r="AF150" i="22" s="1"/>
  <c r="AG141" i="22"/>
  <c r="AF141" i="22" s="1"/>
  <c r="AG272" i="22"/>
  <c r="AF272" i="22" s="1"/>
  <c r="AG278" i="22"/>
  <c r="AF278" i="22" s="1"/>
  <c r="AG44" i="22"/>
  <c r="AF44" i="22" s="1"/>
  <c r="AG269" i="22"/>
  <c r="AF269" i="22" s="1"/>
  <c r="AG39" i="22"/>
  <c r="AF39" i="22" s="1"/>
  <c r="AG41" i="22"/>
  <c r="AF41" i="22" s="1"/>
  <c r="AG230" i="22"/>
  <c r="AF230" i="22" s="1"/>
  <c r="AG60" i="22"/>
  <c r="AF60" i="22" s="1"/>
  <c r="AG157" i="22"/>
  <c r="AF157" i="22" s="1"/>
  <c r="AG362" i="22"/>
  <c r="AF362" i="22" s="1"/>
  <c r="AG57" i="22"/>
  <c r="AF57" i="22" s="1"/>
  <c r="AG182" i="22"/>
  <c r="AF182" i="22" s="1"/>
  <c r="AG149" i="22"/>
  <c r="AF149" i="22" s="1"/>
  <c r="AG322" i="22"/>
  <c r="AF322" i="22" s="1"/>
  <c r="AG88" i="22"/>
  <c r="AF88" i="22" s="1"/>
  <c r="AG265" i="22"/>
  <c r="AF265" i="22" s="1"/>
  <c r="AG67" i="22"/>
  <c r="AF67" i="22" s="1"/>
  <c r="AG101" i="22"/>
  <c r="AF101" i="22" s="1"/>
  <c r="AG274" i="22"/>
  <c r="AF274" i="22" s="1"/>
  <c r="AG343" i="22"/>
  <c r="AF343" i="22" s="1"/>
  <c r="AG226" i="22"/>
  <c r="AF226" i="22" s="1"/>
  <c r="S346" i="22"/>
  <c r="R346" i="22" s="1"/>
  <c r="S208" i="22"/>
  <c r="R208" i="22" s="1"/>
  <c r="S200" i="22"/>
  <c r="R200" i="22" s="1"/>
  <c r="S138" i="22"/>
  <c r="R138" i="22" s="1"/>
  <c r="S239" i="22"/>
  <c r="R239" i="22" s="1"/>
  <c r="S372" i="22"/>
  <c r="R372" i="22" s="1"/>
  <c r="S319" i="22"/>
  <c r="R319" i="22" s="1"/>
  <c r="S234" i="22"/>
  <c r="R234" i="22" s="1"/>
  <c r="S83" i="22"/>
  <c r="R83" i="22" s="1"/>
  <c r="S37" i="22"/>
  <c r="R37" i="22" s="1"/>
  <c r="S272" i="22"/>
  <c r="R272" i="22" s="1"/>
  <c r="S373" i="22"/>
  <c r="R373" i="22" s="1"/>
  <c r="S65" i="22"/>
  <c r="R65" i="22" s="1"/>
  <c r="S214" i="22"/>
  <c r="R214" i="22" s="1"/>
  <c r="S315" i="22"/>
  <c r="R315" i="22" s="1"/>
  <c r="S296" i="22"/>
  <c r="R296" i="22" s="1"/>
  <c r="S36" i="22"/>
  <c r="R36" i="22" s="1"/>
  <c r="S121" i="22"/>
  <c r="R121" i="22" s="1"/>
  <c r="S238" i="22"/>
  <c r="R238" i="22" s="1"/>
  <c r="S339" i="22"/>
  <c r="R339" i="22" s="1"/>
  <c r="S160" i="22"/>
  <c r="R160" i="22" s="1"/>
  <c r="S293" i="22"/>
  <c r="R293" i="22" s="1"/>
  <c r="S258" i="22"/>
  <c r="R258" i="22" s="1"/>
  <c r="S335" i="22"/>
  <c r="R335" i="22" s="1"/>
  <c r="S107" i="22"/>
  <c r="R107" i="22" s="1"/>
  <c r="S216" i="22"/>
  <c r="R216" i="22" s="1"/>
  <c r="S285" i="22"/>
  <c r="R285" i="22" s="1"/>
  <c r="S282" i="22"/>
  <c r="R282" i="22" s="1"/>
  <c r="S30" i="22"/>
  <c r="R30" i="22" s="1"/>
  <c r="S99" i="22"/>
  <c r="R99" i="22" s="1"/>
  <c r="S240" i="22"/>
  <c r="R240" i="22" s="1"/>
  <c r="S153" i="22"/>
  <c r="R153" i="22" s="1"/>
  <c r="S18" i="22"/>
  <c r="R18" i="22" s="1"/>
  <c r="S92" i="22"/>
  <c r="R92" i="22" s="1"/>
  <c r="S158" i="22"/>
  <c r="R158" i="22" s="1"/>
  <c r="S368" i="22"/>
  <c r="R368" i="22" s="1"/>
  <c r="S311" i="22"/>
  <c r="R311" i="22" s="1"/>
  <c r="S128" i="22"/>
  <c r="R128" i="22" s="1"/>
  <c r="S289" i="22"/>
  <c r="R289" i="22" s="1"/>
  <c r="S260" i="22"/>
  <c r="R260" i="22" s="1"/>
  <c r="S294" i="22"/>
  <c r="R294" i="22" s="1"/>
  <c r="S369" i="22"/>
  <c r="R369" i="22" s="1"/>
  <c r="S331" i="22"/>
  <c r="R331" i="22" s="1"/>
  <c r="S336" i="22"/>
  <c r="R336" i="22" s="1"/>
  <c r="S54" i="22"/>
  <c r="R54" i="22" s="1"/>
  <c r="S155" i="22"/>
  <c r="R155" i="22" s="1"/>
  <c r="S264" i="22"/>
  <c r="R264" i="22" s="1"/>
  <c r="S365" i="22"/>
  <c r="R365" i="22" s="1"/>
  <c r="S89" i="22"/>
  <c r="R89" i="22" s="1"/>
  <c r="S78" i="22"/>
  <c r="R78" i="22" s="1"/>
  <c r="S179" i="22"/>
  <c r="R179" i="22" s="1"/>
  <c r="S256" i="22"/>
  <c r="R256" i="22" s="1"/>
  <c r="S28" i="22"/>
  <c r="R28" i="22" s="1"/>
  <c r="S113" i="22"/>
  <c r="R113" i="22" s="1"/>
  <c r="S303" i="22"/>
  <c r="R303" i="22" s="1"/>
  <c r="S75" i="22"/>
  <c r="R75" i="22" s="1"/>
  <c r="S56" i="22"/>
  <c r="R56" i="22" s="1"/>
  <c r="S125" i="22"/>
  <c r="R125" i="22" s="1"/>
  <c r="S250" i="22"/>
  <c r="R250" i="22" s="1"/>
  <c r="S359" i="22"/>
  <c r="R359" i="22" s="1"/>
  <c r="S67" i="22"/>
  <c r="R67" i="22" s="1"/>
  <c r="S80" i="22"/>
  <c r="R80" i="22" s="1"/>
  <c r="S181" i="22"/>
  <c r="R181" i="22" s="1"/>
  <c r="S242" i="22"/>
  <c r="R242" i="22" s="1"/>
  <c r="S22" i="22"/>
  <c r="R22" i="22" s="1"/>
  <c r="I172" i="20"/>
  <c r="J172" i="20"/>
  <c r="J33" i="20"/>
  <c r="I33" i="20"/>
  <c r="J169" i="20"/>
  <c r="I169" i="20"/>
  <c r="I174" i="20"/>
  <c r="J174" i="20"/>
  <c r="I345" i="20"/>
  <c r="J345" i="20"/>
  <c r="J55" i="20"/>
  <c r="I55" i="20"/>
  <c r="I334" i="20"/>
  <c r="J334" i="20"/>
  <c r="H29" i="20"/>
  <c r="G29" i="20"/>
  <c r="CB29" i="6" s="1"/>
  <c r="AA29" i="20"/>
  <c r="Z29" i="20" s="1"/>
  <c r="Y29" i="20" s="1"/>
  <c r="H166" i="20"/>
  <c r="AA166" i="20"/>
  <c r="Z166" i="20" s="1"/>
  <c r="Y166" i="20" s="1"/>
  <c r="G166" i="20"/>
  <c r="CB166" i="6" s="1"/>
  <c r="I325" i="20"/>
  <c r="J325" i="20"/>
  <c r="I182" i="20"/>
  <c r="J182" i="20"/>
  <c r="J136" i="20"/>
  <c r="I136" i="20"/>
  <c r="I114" i="20"/>
  <c r="J114" i="20"/>
  <c r="I63" i="20"/>
  <c r="J63" i="20"/>
  <c r="I131" i="20"/>
  <c r="J131" i="20"/>
  <c r="S119" i="22"/>
  <c r="R119" i="22" s="1"/>
  <c r="S34" i="22"/>
  <c r="R34" i="22" s="1"/>
  <c r="S143" i="22"/>
  <c r="R143" i="22" s="1"/>
  <c r="S280" i="22"/>
  <c r="R280" i="22" s="1"/>
  <c r="S288" i="22"/>
  <c r="R288" i="22" s="1"/>
  <c r="S243" i="22"/>
  <c r="R243" i="22" s="1"/>
  <c r="S235" i="22"/>
  <c r="R235" i="22" s="1"/>
  <c r="S262" i="22"/>
  <c r="R262" i="22" s="1"/>
  <c r="S376" i="22"/>
  <c r="R376" i="22" s="1"/>
  <c r="S201" i="22"/>
  <c r="R201" i="22" s="1"/>
  <c r="S131" i="22"/>
  <c r="R131" i="22" s="1"/>
  <c r="S168" i="22"/>
  <c r="R168" i="22" s="1"/>
  <c r="S362" i="22"/>
  <c r="R362" i="22" s="1"/>
  <c r="S90" i="22"/>
  <c r="R90" i="22" s="1"/>
  <c r="S71" i="22"/>
  <c r="R71" i="22" s="1"/>
  <c r="S148" i="22"/>
  <c r="R148" i="22" s="1"/>
  <c r="S265" i="22"/>
  <c r="R265" i="22" s="1"/>
  <c r="S21" i="22"/>
  <c r="R21" i="22" s="1"/>
  <c r="S82" i="22"/>
  <c r="R82" i="22" s="1"/>
  <c r="S95" i="22"/>
  <c r="R95" i="22" s="1"/>
  <c r="S204" i="22"/>
  <c r="R204" i="22" s="1"/>
  <c r="S257" i="22"/>
  <c r="R257" i="22" s="1"/>
  <c r="S45" i="22"/>
  <c r="R45" i="22" s="1"/>
  <c r="S251" i="22"/>
  <c r="R251" i="22" s="1"/>
  <c r="S360" i="22"/>
  <c r="R360" i="22" s="1"/>
  <c r="S333" i="22"/>
  <c r="R333" i="22" s="1"/>
  <c r="S57" i="22"/>
  <c r="R57" i="22" s="1"/>
  <c r="S174" i="22"/>
  <c r="R174" i="22" s="1"/>
  <c r="S275" i="22"/>
  <c r="R275" i="22" s="1"/>
  <c r="S352" i="22"/>
  <c r="R352" i="22" s="1"/>
  <c r="S357" i="22"/>
  <c r="R357" i="22" s="1"/>
  <c r="S81" i="22"/>
  <c r="R81" i="22" s="1"/>
  <c r="S166" i="22"/>
  <c r="R166" i="22" s="1"/>
  <c r="S299" i="22"/>
  <c r="R299" i="22" s="1"/>
  <c r="S295" i="22"/>
  <c r="R295" i="22" s="1"/>
  <c r="S159" i="22"/>
  <c r="R159" i="22" s="1"/>
  <c r="S133" i="22"/>
  <c r="R133" i="22" s="1"/>
  <c r="S47" i="22"/>
  <c r="R47" i="22" s="1"/>
  <c r="S145" i="22"/>
  <c r="R145" i="22" s="1"/>
  <c r="S180" i="22"/>
  <c r="R180" i="22" s="1"/>
  <c r="S286" i="22"/>
  <c r="R286" i="22" s="1"/>
  <c r="S70" i="22"/>
  <c r="R70" i="22" s="1"/>
  <c r="S378" i="22"/>
  <c r="R378" i="22" s="1"/>
  <c r="S309" i="22"/>
  <c r="R309" i="22" s="1"/>
  <c r="S150" i="22"/>
  <c r="R150" i="22" s="1"/>
  <c r="S104" i="22"/>
  <c r="R104" i="22" s="1"/>
  <c r="S271" i="22"/>
  <c r="R271" i="22" s="1"/>
  <c r="S39" i="22"/>
  <c r="R39" i="22" s="1"/>
  <c r="S116" i="22"/>
  <c r="R116" i="22" s="1"/>
  <c r="S233" i="22"/>
  <c r="R233" i="22" s="1"/>
  <c r="S222" i="22"/>
  <c r="R222" i="22" s="1"/>
  <c r="S291" i="22"/>
  <c r="R291" i="22" s="1"/>
  <c r="S63" i="22"/>
  <c r="R63" i="22" s="1"/>
  <c r="S172" i="22"/>
  <c r="R172" i="22" s="1"/>
  <c r="S225" i="22"/>
  <c r="R225" i="22" s="1"/>
  <c r="S246" i="22"/>
  <c r="R246" i="22" s="1"/>
  <c r="S347" i="22"/>
  <c r="R347" i="22" s="1"/>
  <c r="S87" i="22"/>
  <c r="R87" i="22" s="1"/>
  <c r="S196" i="22"/>
  <c r="R196" i="22" s="1"/>
  <c r="S25" i="22"/>
  <c r="R25" i="22" s="1"/>
  <c r="S142" i="22"/>
  <c r="R142" i="22" s="1"/>
  <c r="S115" i="22"/>
  <c r="R115" i="22" s="1"/>
  <c r="S192" i="22"/>
  <c r="R192" i="22" s="1"/>
  <c r="S325" i="22"/>
  <c r="R325" i="22" s="1"/>
  <c r="S49" i="22"/>
  <c r="R49" i="22" s="1"/>
  <c r="S134" i="22"/>
  <c r="R134" i="22" s="1"/>
  <c r="S139" i="22"/>
  <c r="R139" i="22" s="1"/>
  <c r="S248" i="22"/>
  <c r="R248" i="22" s="1"/>
  <c r="S317" i="22"/>
  <c r="R317" i="22" s="1"/>
  <c r="S73" i="22"/>
  <c r="R73" i="22" s="1"/>
  <c r="I259" i="20"/>
  <c r="J259" i="20"/>
  <c r="I371" i="20"/>
  <c r="J371" i="20"/>
  <c r="I317" i="20"/>
  <c r="J317" i="20"/>
  <c r="I41" i="20"/>
  <c r="J41" i="20"/>
  <c r="J30" i="20"/>
  <c r="I118" i="20"/>
  <c r="J118" i="20"/>
  <c r="I201" i="20"/>
  <c r="J201" i="20"/>
  <c r="J263" i="20"/>
  <c r="I263" i="20"/>
  <c r="J122" i="20"/>
  <c r="I122" i="20"/>
  <c r="I240" i="20"/>
  <c r="J240" i="20"/>
  <c r="I354" i="20"/>
  <c r="J354" i="20"/>
  <c r="I244" i="20"/>
  <c r="J244" i="20"/>
  <c r="I34" i="20"/>
  <c r="J34" i="20"/>
  <c r="J377" i="20"/>
  <c r="I377" i="20"/>
  <c r="J251" i="20"/>
  <c r="I251" i="20"/>
  <c r="I266" i="20"/>
  <c r="J266" i="20"/>
  <c r="J175" i="20"/>
  <c r="I175" i="20"/>
  <c r="AG181" i="22"/>
  <c r="AF181" i="22" s="1"/>
  <c r="AG184" i="22"/>
  <c r="AF184" i="22" s="1"/>
  <c r="AG52" i="22"/>
  <c r="AF52" i="22" s="1"/>
  <c r="AG271" i="22"/>
  <c r="AF271" i="22" s="1"/>
  <c r="AG379" i="22"/>
  <c r="AF379" i="22" s="1"/>
  <c r="AG314" i="22"/>
  <c r="AF314" i="22" s="1"/>
  <c r="AG70" i="22"/>
  <c r="AF70" i="22" s="1"/>
  <c r="AG125" i="22"/>
  <c r="AF125" i="22" s="1"/>
  <c r="AG64" i="22"/>
  <c r="AF64" i="22" s="1"/>
  <c r="AG219" i="22"/>
  <c r="AF219" i="22" s="1"/>
  <c r="AG129" i="22"/>
  <c r="AF129" i="22" s="1"/>
  <c r="AG116" i="22"/>
  <c r="AF116" i="22" s="1"/>
  <c r="AG307" i="22"/>
  <c r="AF307" i="22" s="1"/>
  <c r="AG96" i="22"/>
  <c r="AF96" i="22" s="1"/>
  <c r="AG59" i="22"/>
  <c r="AF59" i="22" s="1"/>
  <c r="AG250" i="22"/>
  <c r="AF250" i="22" s="1"/>
  <c r="AG113" i="22"/>
  <c r="AF113" i="22" s="1"/>
  <c r="AG164" i="22"/>
  <c r="AF164" i="22" s="1"/>
  <c r="AG367" i="22"/>
  <c r="AF367" i="22" s="1"/>
  <c r="AG359" i="22"/>
  <c r="AF359" i="22" s="1"/>
  <c r="AG105" i="22"/>
  <c r="AF105" i="22" s="1"/>
  <c r="AG294" i="22"/>
  <c r="AF294" i="22" s="1"/>
  <c r="AG124" i="22"/>
  <c r="AF124" i="22" s="1"/>
  <c r="AG114" i="22"/>
  <c r="AF114" i="22" s="1"/>
  <c r="AG311" i="22"/>
  <c r="AF311" i="22" s="1"/>
  <c r="AG121" i="22"/>
  <c r="AF121" i="22" s="1"/>
  <c r="AG246" i="22"/>
  <c r="AF246" i="22" s="1"/>
  <c r="AG76" i="22"/>
  <c r="AF76" i="22" s="1"/>
  <c r="AG130" i="22"/>
  <c r="AF130" i="22" s="1"/>
  <c r="AG263" i="22"/>
  <c r="AF263" i="22" s="1"/>
  <c r="AG222" i="22"/>
  <c r="AF222" i="22" s="1"/>
  <c r="AG20" i="22"/>
  <c r="AF20" i="22" s="1"/>
  <c r="AG165" i="22"/>
  <c r="AF165" i="22" s="1"/>
  <c r="AG338" i="22"/>
  <c r="AF338" i="22" s="1"/>
  <c r="AG296" i="22"/>
  <c r="AF296" i="22" s="1"/>
  <c r="AG174" i="22"/>
  <c r="AF174" i="22" s="1"/>
  <c r="AG339" i="22"/>
  <c r="AF339" i="22" s="1"/>
  <c r="AG53" i="22"/>
  <c r="AF53" i="22" s="1"/>
  <c r="AG290" i="22"/>
  <c r="AF290" i="22" s="1"/>
  <c r="AG312" i="22"/>
  <c r="AF312" i="22" s="1"/>
  <c r="AG291" i="22"/>
  <c r="AF291" i="22" s="1"/>
  <c r="AG334" i="22"/>
  <c r="AF334" i="22" s="1"/>
  <c r="AG97" i="22"/>
  <c r="AF97" i="22" s="1"/>
  <c r="AG305" i="22"/>
  <c r="AF305" i="22" s="1"/>
  <c r="AG146" i="22"/>
  <c r="AF146" i="22" s="1"/>
  <c r="AG89" i="22"/>
  <c r="AF89" i="22" s="1"/>
  <c r="AG236" i="22"/>
  <c r="AF236" i="22" s="1"/>
  <c r="AG231" i="22"/>
  <c r="AF231" i="22" s="1"/>
  <c r="AG166" i="22"/>
  <c r="AF166" i="22" s="1"/>
  <c r="AG349" i="22"/>
  <c r="AF349" i="22" s="1"/>
  <c r="AG299" i="22"/>
  <c r="AF299" i="22" s="1"/>
  <c r="AG234" i="22"/>
  <c r="AF234" i="22" s="1"/>
  <c r="AG122" i="22"/>
  <c r="AF122" i="22" s="1"/>
  <c r="AG134" i="22"/>
  <c r="AF134" i="22" s="1"/>
  <c r="AG189" i="22"/>
  <c r="AF189" i="22" s="1"/>
  <c r="AG25" i="22"/>
  <c r="AF25" i="22" s="1"/>
  <c r="AG283" i="22"/>
  <c r="AF283" i="22" s="1"/>
  <c r="AG167" i="22"/>
  <c r="AF167" i="22" s="1"/>
  <c r="AG42" i="22"/>
  <c r="AF42" i="22" s="1"/>
  <c r="AG207" i="22"/>
  <c r="AF207" i="22" s="1"/>
  <c r="AG344" i="22"/>
  <c r="AF344" i="22" s="1"/>
  <c r="AG158" i="22"/>
  <c r="AF158" i="22" s="1"/>
  <c r="AG323" i="22"/>
  <c r="AF323" i="22" s="1"/>
  <c r="AG357" i="22"/>
  <c r="AF357" i="22" s="1"/>
  <c r="AG159" i="22"/>
  <c r="AF159" i="22" s="1"/>
  <c r="AG232" i="22"/>
  <c r="AF232" i="22" s="1"/>
  <c r="AG110" i="22"/>
  <c r="AF110" i="22" s="1"/>
  <c r="AG275" i="22"/>
  <c r="AF275" i="22" s="1"/>
  <c r="AG245" i="22"/>
  <c r="AF245" i="22" s="1"/>
  <c r="AG111" i="22"/>
  <c r="AF111" i="22" s="1"/>
  <c r="AG22" i="22"/>
  <c r="AF22" i="22" s="1"/>
  <c r="AG155" i="22"/>
  <c r="AF155" i="22" s="1"/>
  <c r="AG372" i="22"/>
  <c r="AF372" i="22" s="1"/>
  <c r="AG154" i="22"/>
  <c r="AF154" i="22" s="1"/>
  <c r="AG144" i="22"/>
  <c r="AF144" i="22" s="1"/>
  <c r="AG337" i="22"/>
  <c r="AF337" i="22" s="1"/>
  <c r="AG260" i="22"/>
  <c r="AF260" i="22" s="1"/>
  <c r="AG106" i="22"/>
  <c r="AF106" i="22" s="1"/>
  <c r="AG289" i="22"/>
  <c r="AF289" i="22" s="1"/>
  <c r="S221" i="22"/>
  <c r="R221" i="22" s="1"/>
  <c r="S176" i="22"/>
  <c r="R176" i="22" s="1"/>
  <c r="S91" i="22"/>
  <c r="R91" i="22" s="1"/>
  <c r="S301" i="22"/>
  <c r="R301" i="22" s="1"/>
  <c r="S247" i="22"/>
  <c r="R247" i="22" s="1"/>
  <c r="S85" i="22"/>
  <c r="R85" i="22" s="1"/>
  <c r="T382" i="22"/>
  <c r="S15" i="22"/>
  <c r="T383" i="22"/>
  <c r="S321" i="22"/>
  <c r="R321" i="22" s="1"/>
  <c r="S59" i="22"/>
  <c r="R59" i="22" s="1"/>
  <c r="S281" i="22"/>
  <c r="R281" i="22" s="1"/>
  <c r="S371" i="22"/>
  <c r="R371" i="22" s="1"/>
  <c r="S220" i="22"/>
  <c r="R220" i="22" s="1"/>
  <c r="S29" i="22"/>
  <c r="R29" i="22" s="1"/>
  <c r="S329" i="22"/>
  <c r="R329" i="22" s="1"/>
  <c r="S320" i="22"/>
  <c r="R320" i="22" s="1"/>
  <c r="S344" i="22"/>
  <c r="R344" i="22" s="1"/>
  <c r="S41" i="22"/>
  <c r="R41" i="22" s="1"/>
  <c r="S136" i="22"/>
  <c r="R136" i="22" s="1"/>
  <c r="S330" i="22"/>
  <c r="R330" i="22" s="1"/>
  <c r="S51" i="22"/>
  <c r="R51" i="22" s="1"/>
  <c r="S261" i="22"/>
  <c r="R261" i="22" s="1"/>
  <c r="AS16" i="7"/>
  <c r="U202" i="23"/>
  <c r="U261" i="23"/>
  <c r="U284" i="23"/>
  <c r="U339" i="23"/>
  <c r="U119" i="23"/>
  <c r="U141" i="23"/>
  <c r="U86" i="23"/>
  <c r="U105" i="23"/>
  <c r="U160" i="23"/>
  <c r="U123" i="23"/>
  <c r="U374" i="23"/>
  <c r="U256" i="23"/>
  <c r="U65" i="23"/>
  <c r="U88" i="23"/>
  <c r="U163" i="23"/>
  <c r="U85" i="23"/>
  <c r="U80" i="23"/>
  <c r="U100" i="23"/>
  <c r="U159" i="23"/>
  <c r="U198" i="23"/>
  <c r="U127" i="23"/>
  <c r="U25" i="23"/>
  <c r="U308" i="23"/>
  <c r="U87" i="23"/>
  <c r="U158" i="23"/>
  <c r="U177" i="23"/>
  <c r="U137" i="23"/>
  <c r="U375" i="23"/>
  <c r="U294" i="23"/>
  <c r="U342" i="23"/>
  <c r="U361" i="23"/>
  <c r="U53" i="23"/>
  <c r="U188" i="23"/>
  <c r="U267" i="23"/>
  <c r="U110" i="23"/>
  <c r="U321" i="23"/>
  <c r="U344" i="23"/>
  <c r="U117" i="23"/>
  <c r="U293" i="23"/>
  <c r="U316" i="23"/>
  <c r="U106" i="23"/>
  <c r="U331" i="23"/>
  <c r="U103" i="23"/>
  <c r="U174" i="23"/>
  <c r="U61" i="23"/>
  <c r="U274" i="23"/>
  <c r="U84" i="23"/>
  <c r="U301" i="23"/>
  <c r="U143" i="23"/>
  <c r="U353" i="23"/>
  <c r="U77" i="23"/>
  <c r="U132" i="23"/>
  <c r="U349" i="23"/>
  <c r="U147" i="23"/>
  <c r="U290" i="23"/>
  <c r="S379" i="22"/>
  <c r="R379" i="22" s="1"/>
  <c r="S151" i="22"/>
  <c r="R151" i="22" s="1"/>
  <c r="S345" i="22"/>
  <c r="R345" i="22" s="1"/>
  <c r="S66" i="22"/>
  <c r="R66" i="22" s="1"/>
  <c r="S198" i="22"/>
  <c r="R198" i="22" s="1"/>
  <c r="S312" i="22"/>
  <c r="R312" i="22" s="1"/>
  <c r="S137" i="22"/>
  <c r="R137" i="22" s="1"/>
  <c r="S323" i="22"/>
  <c r="R323" i="22" s="1"/>
  <c r="S278" i="22"/>
  <c r="R278" i="22" s="1"/>
  <c r="J22" i="20"/>
  <c r="I22" i="20"/>
  <c r="I124" i="20"/>
  <c r="J124" i="20"/>
  <c r="I82" i="20"/>
  <c r="J82" i="20"/>
  <c r="I181" i="20"/>
  <c r="J181" i="20"/>
  <c r="I157" i="20"/>
  <c r="J157" i="20"/>
  <c r="J235" i="20"/>
  <c r="I235" i="20"/>
  <c r="I126" i="20"/>
  <c r="J126" i="20"/>
  <c r="J327" i="20"/>
  <c r="I327" i="20"/>
  <c r="I362" i="20"/>
  <c r="J362" i="20"/>
  <c r="J209" i="20"/>
  <c r="I209" i="20"/>
  <c r="I72" i="20"/>
  <c r="J72" i="20"/>
  <c r="I18" i="20"/>
  <c r="J18" i="20"/>
  <c r="I49" i="20"/>
  <c r="J49" i="20"/>
  <c r="J155" i="20"/>
  <c r="I155" i="20"/>
  <c r="I249" i="20"/>
  <c r="S236" i="22"/>
  <c r="R236" i="22" s="1"/>
  <c r="S100" i="22"/>
  <c r="R100" i="22" s="1"/>
  <c r="S302" i="22"/>
  <c r="R302" i="22" s="1"/>
  <c r="S111" i="22"/>
  <c r="R111" i="22" s="1"/>
  <c r="S209" i="22"/>
  <c r="R209" i="22" s="1"/>
  <c r="S58" i="22"/>
  <c r="R58" i="22" s="1"/>
  <c r="S219" i="22"/>
  <c r="R219" i="22" s="1"/>
  <c r="S270" i="22"/>
  <c r="R270" i="22" s="1"/>
  <c r="S177" i="22"/>
  <c r="R177" i="22" s="1"/>
  <c r="S84" i="22"/>
  <c r="R84" i="22" s="1"/>
  <c r="S144" i="22"/>
  <c r="R144" i="22" s="1"/>
  <c r="S269" i="22"/>
  <c r="R269" i="22" s="1"/>
  <c r="S205" i="22"/>
  <c r="R205" i="22" s="1"/>
  <c r="S298" i="22"/>
  <c r="R298" i="22" s="1"/>
  <c r="S46" i="22"/>
  <c r="R46" i="22" s="1"/>
  <c r="S147" i="22"/>
  <c r="R147" i="22" s="1"/>
  <c r="S224" i="22"/>
  <c r="R224" i="22" s="1"/>
  <c r="S229" i="22"/>
  <c r="R229" i="22" s="1"/>
  <c r="S322" i="22"/>
  <c r="R322" i="22" s="1"/>
  <c r="S38" i="22"/>
  <c r="R38" i="22" s="1"/>
  <c r="S171" i="22"/>
  <c r="R171" i="22" s="1"/>
  <c r="S24" i="22"/>
  <c r="R24" i="22" s="1"/>
  <c r="S93" i="22"/>
  <c r="R93" i="22" s="1"/>
  <c r="S218" i="22"/>
  <c r="R218" i="22" s="1"/>
  <c r="S199" i="22"/>
  <c r="R199" i="22" s="1"/>
  <c r="S276" i="22"/>
  <c r="R276" i="22" s="1"/>
  <c r="S48" i="22"/>
  <c r="R48" i="22" s="1"/>
  <c r="S149" i="22"/>
  <c r="R149" i="22" s="1"/>
  <c r="S210" i="22"/>
  <c r="R210" i="22" s="1"/>
  <c r="S223" i="22"/>
  <c r="R223" i="22" s="1"/>
  <c r="S332" i="22"/>
  <c r="R332" i="22" s="1"/>
  <c r="S72" i="22"/>
  <c r="R72" i="22" s="1"/>
  <c r="S173" i="22"/>
  <c r="R173" i="22" s="1"/>
  <c r="S146" i="22"/>
  <c r="R146" i="22" s="1"/>
  <c r="S109" i="22"/>
  <c r="R109" i="22" s="1"/>
  <c r="S377" i="22"/>
  <c r="R377" i="22" s="1"/>
  <c r="S226" i="22"/>
  <c r="R226" i="22" s="1"/>
  <c r="S103" i="22"/>
  <c r="R103" i="22" s="1"/>
  <c r="S169" i="22"/>
  <c r="R169" i="22" s="1"/>
  <c r="S152" i="22"/>
  <c r="R152" i="22" s="1"/>
  <c r="S203" i="22"/>
  <c r="R203" i="22" s="1"/>
  <c r="S126" i="22"/>
  <c r="R126" i="22" s="1"/>
  <c r="S370" i="22"/>
  <c r="R370" i="22" s="1"/>
  <c r="S364" i="22"/>
  <c r="R364" i="22" s="1"/>
  <c r="S77" i="22"/>
  <c r="R77" i="22" s="1"/>
  <c r="S96" i="22"/>
  <c r="R96" i="22" s="1"/>
  <c r="S266" i="22"/>
  <c r="R266" i="22" s="1"/>
  <c r="S356" i="22"/>
  <c r="R356" i="22" s="1"/>
  <c r="S64" i="22"/>
  <c r="R64" i="22" s="1"/>
  <c r="S197" i="22"/>
  <c r="R197" i="22" s="1"/>
  <c r="S290" i="22"/>
  <c r="R290" i="22" s="1"/>
  <c r="S367" i="22"/>
  <c r="R367" i="22" s="1"/>
  <c r="S380" i="22"/>
  <c r="R380" i="22" s="1"/>
  <c r="S120" i="22"/>
  <c r="R120" i="22" s="1"/>
  <c r="S189" i="22"/>
  <c r="R189" i="22" s="1"/>
  <c r="S314" i="22"/>
  <c r="R314" i="22" s="1"/>
  <c r="S167" i="22"/>
  <c r="R167" i="22" s="1"/>
  <c r="S244" i="22"/>
  <c r="R244" i="22" s="1"/>
  <c r="S361" i="22"/>
  <c r="R361" i="22" s="1"/>
  <c r="S350" i="22"/>
  <c r="R350" i="22" s="1"/>
  <c r="S50" i="22"/>
  <c r="R50" i="22" s="1"/>
  <c r="S191" i="22"/>
  <c r="R191" i="22" s="1"/>
  <c r="S300" i="22"/>
  <c r="R300" i="22" s="1"/>
  <c r="S353" i="22"/>
  <c r="R353" i="22" s="1"/>
  <c r="S374" i="22"/>
  <c r="R374" i="22" s="1"/>
  <c r="S106" i="22"/>
  <c r="R106" i="22" s="1"/>
  <c r="S215" i="22"/>
  <c r="R215" i="22" s="1"/>
  <c r="S324" i="22"/>
  <c r="R324" i="22" s="1"/>
  <c r="J231" i="20"/>
  <c r="I231" i="20"/>
  <c r="J92" i="20"/>
  <c r="I92" i="20"/>
  <c r="J322" i="20"/>
  <c r="I322" i="20"/>
  <c r="I291" i="20"/>
  <c r="J291" i="20"/>
  <c r="I252" i="20"/>
  <c r="J252" i="20"/>
  <c r="I287" i="20"/>
  <c r="J287" i="20"/>
  <c r="I261" i="20"/>
  <c r="J370" i="20"/>
  <c r="I370" i="20"/>
  <c r="J208" i="20"/>
  <c r="I208" i="20"/>
  <c r="AH382" i="22"/>
  <c r="AF15" i="22"/>
  <c r="AA227" i="20"/>
  <c r="Z227" i="20" s="1"/>
  <c r="Y227" i="20" s="1"/>
  <c r="G227" i="20"/>
  <c r="CB227" i="6" s="1"/>
  <c r="H227" i="20"/>
  <c r="O4" i="6"/>
  <c r="AG47" i="22"/>
  <c r="AF47" i="22" s="1"/>
  <c r="AG190" i="22"/>
  <c r="AF190" i="22" s="1"/>
  <c r="AG197" i="22"/>
  <c r="AF197" i="22" s="1"/>
  <c r="AG136" i="22"/>
  <c r="AF136" i="22" s="1"/>
  <c r="AG254" i="22"/>
  <c r="AF254" i="22" s="1"/>
  <c r="AG261" i="22"/>
  <c r="AF261" i="22" s="1"/>
  <c r="AG81" i="22"/>
  <c r="AF81" i="22" s="1"/>
  <c r="AG206" i="22"/>
  <c r="AF206" i="22" s="1"/>
  <c r="AG224" i="22"/>
  <c r="AF224" i="22" s="1"/>
  <c r="AG237" i="22"/>
  <c r="AF237" i="22" s="1"/>
  <c r="AG335" i="22"/>
  <c r="AF335" i="22" s="1"/>
  <c r="AG286" i="22"/>
  <c r="AF286" i="22" s="1"/>
  <c r="AG29" i="22"/>
  <c r="AF29" i="22" s="1"/>
  <c r="AG251" i="22"/>
  <c r="AF251" i="22" s="1"/>
  <c r="AG186" i="22"/>
  <c r="AF186" i="22" s="1"/>
  <c r="AG340" i="22"/>
  <c r="AF340" i="22" s="1"/>
  <c r="AG217" i="22"/>
  <c r="AF217" i="22" s="1"/>
  <c r="AG19" i="22"/>
  <c r="AF19" i="22" s="1"/>
  <c r="AG364" i="22"/>
  <c r="AF364" i="22" s="1"/>
  <c r="S253" i="22"/>
  <c r="R253" i="22" s="1"/>
  <c r="S277" i="22"/>
  <c r="R277" i="22" s="1"/>
  <c r="S228" i="22"/>
  <c r="R228" i="22" s="1"/>
  <c r="S69" i="22"/>
  <c r="R69" i="22" s="1"/>
  <c r="S337" i="22"/>
  <c r="R337" i="22" s="1"/>
  <c r="S186" i="22"/>
  <c r="R186" i="22" s="1"/>
  <c r="S117" i="22"/>
  <c r="R117" i="22" s="1"/>
  <c r="S40" i="22"/>
  <c r="R40" i="22" s="1"/>
  <c r="S79" i="22"/>
  <c r="R79" i="22" s="1"/>
  <c r="S305" i="22"/>
  <c r="R305" i="22" s="1"/>
  <c r="S26" i="22"/>
  <c r="R26" i="22" s="1"/>
  <c r="S212" i="22"/>
  <c r="R212" i="22" s="1"/>
  <c r="S190" i="22"/>
  <c r="R190" i="22" s="1"/>
  <c r="S259" i="22"/>
  <c r="R259" i="22" s="1"/>
  <c r="S52" i="22"/>
  <c r="R52" i="22" s="1"/>
  <c r="S274" i="22"/>
  <c r="R274" i="22" s="1"/>
  <c r="S27" i="22"/>
  <c r="R27" i="22" s="1"/>
  <c r="S237" i="22"/>
  <c r="R237" i="22" s="1"/>
  <c r="S354" i="22"/>
  <c r="R354" i="22" s="1"/>
  <c r="S185" i="22"/>
  <c r="R185" i="22" s="1"/>
  <c r="S334" i="22"/>
  <c r="R334" i="22" s="1"/>
  <c r="S20" i="22"/>
  <c r="R20" i="22" s="1"/>
  <c r="S254" i="22"/>
  <c r="R254" i="22" s="1"/>
  <c r="S129" i="22"/>
  <c r="R129" i="22" s="1"/>
  <c r="S341" i="22"/>
  <c r="R341" i="22" s="1"/>
  <c r="S33" i="22"/>
  <c r="R33" i="22" s="1"/>
  <c r="G288" i="20"/>
  <c r="CB288" i="6" s="1"/>
  <c r="H288" i="20"/>
  <c r="AA288" i="20"/>
  <c r="Z288" i="20" s="1"/>
  <c r="Y288" i="20" s="1"/>
  <c r="AI45" i="23" l="1"/>
  <c r="AI95" i="23"/>
  <c r="AH95" i="23" s="1"/>
  <c r="AI15" i="23"/>
  <c r="AI67" i="23"/>
  <c r="AI16" i="23"/>
  <c r="AI97" i="23"/>
  <c r="AI50" i="23"/>
  <c r="AI30" i="23"/>
  <c r="U125" i="23"/>
  <c r="U338" i="23"/>
  <c r="T338" i="23" s="1"/>
  <c r="U148" i="23"/>
  <c r="U365" i="23"/>
  <c r="T365" i="23" s="1"/>
  <c r="U207" i="23"/>
  <c r="U114" i="23"/>
  <c r="T114" i="23" s="1"/>
  <c r="U205" i="23"/>
  <c r="U196" i="23"/>
  <c r="T196" i="23" s="1"/>
  <c r="U54" i="23"/>
  <c r="U275" i="23"/>
  <c r="T275" i="23" s="1"/>
  <c r="U47" i="23"/>
  <c r="U151" i="23"/>
  <c r="T151" i="23" s="1"/>
  <c r="U364" i="23"/>
  <c r="U222" i="23"/>
  <c r="T222" i="23" s="1"/>
  <c r="U24" i="23"/>
  <c r="U241" i="23"/>
  <c r="T241" i="23" s="1"/>
  <c r="U99" i="23"/>
  <c r="U265" i="23"/>
  <c r="T265" i="23" s="1"/>
  <c r="U320" i="23"/>
  <c r="U72" i="23"/>
  <c r="T72" i="23" s="1"/>
  <c r="U319" i="23"/>
  <c r="U59" i="23"/>
  <c r="T59" i="23" s="1"/>
  <c r="U292" i="23"/>
  <c r="U150" i="23"/>
  <c r="T150" i="23" s="1"/>
  <c r="U351" i="23"/>
  <c r="U169" i="23"/>
  <c r="T169" i="23" s="1"/>
  <c r="U27" i="23"/>
  <c r="U224" i="23"/>
  <c r="T224" i="23" s="1"/>
  <c r="U144" i="23"/>
  <c r="U251" i="23"/>
  <c r="T251" i="23" s="1"/>
  <c r="U217" i="23"/>
  <c r="U75" i="23"/>
  <c r="T75" i="23" s="1"/>
  <c r="U329" i="23"/>
  <c r="U21" i="23"/>
  <c r="T21" i="23" s="1"/>
  <c r="U23" i="23"/>
  <c r="U236" i="23"/>
  <c r="T236" i="23" s="1"/>
  <c r="U94" i="23"/>
  <c r="U263" i="23"/>
  <c r="T263" i="23" s="1"/>
  <c r="U113" i="23"/>
  <c r="U334" i="23"/>
  <c r="T334" i="23" s="1"/>
  <c r="U372" i="23"/>
  <c r="U367" i="23"/>
  <c r="T367" i="23" s="1"/>
  <c r="U311" i="23"/>
  <c r="U63" i="23"/>
  <c r="T63" i="23" s="1"/>
  <c r="U166" i="23"/>
  <c r="U164" i="23"/>
  <c r="T164" i="23" s="1"/>
  <c r="U22" i="23"/>
  <c r="U223" i="23"/>
  <c r="T223" i="23" s="1"/>
  <c r="U41" i="23"/>
  <c r="U262" i="23"/>
  <c r="T262" i="23" s="1"/>
  <c r="U96" i="23"/>
  <c r="U255" i="23"/>
  <c r="T255" i="23" s="1"/>
  <c r="U358" i="23"/>
  <c r="U89" i="23"/>
  <c r="T89" i="23" s="1"/>
  <c r="U310" i="23"/>
  <c r="U73" i="23"/>
  <c r="T73" i="23" s="1"/>
  <c r="U128" i="23"/>
  <c r="U40" i="23"/>
  <c r="T40" i="23" s="1"/>
  <c r="U257" i="23"/>
  <c r="U115" i="23"/>
  <c r="T115" i="23" s="1"/>
  <c r="U280" i="23"/>
  <c r="U130" i="23"/>
  <c r="T130" i="23" s="1"/>
  <c r="U355" i="23"/>
  <c r="U39" i="23"/>
  <c r="T39" i="23" s="1"/>
  <c r="U46" i="23"/>
  <c r="U328" i="23"/>
  <c r="T328" i="23" s="1"/>
  <c r="U101" i="23"/>
  <c r="U252" i="23"/>
  <c r="T252" i="23" s="1"/>
  <c r="U185" i="23"/>
  <c r="U43" i="23"/>
  <c r="T43" i="23" s="1"/>
  <c r="U240" i="23"/>
  <c r="U58" i="23"/>
  <c r="T58" i="23" s="1"/>
  <c r="U283" i="23"/>
  <c r="J75" i="20"/>
  <c r="I75" i="20"/>
  <c r="I162" i="20"/>
  <c r="J162" i="20"/>
  <c r="S19" i="22"/>
  <c r="R19" i="22" s="1"/>
  <c r="T381" i="22"/>
  <c r="U376" i="23"/>
  <c r="U289" i="23"/>
  <c r="U55" i="23"/>
  <c r="U226" i="23"/>
  <c r="U211" i="23"/>
  <c r="U78" i="23"/>
  <c r="U220" i="23"/>
  <c r="U378" i="23"/>
  <c r="U197" i="23"/>
  <c r="U363" i="23"/>
  <c r="U138" i="23"/>
  <c r="U15" i="23"/>
  <c r="U229" i="23"/>
  <c r="T229" i="23" s="1"/>
  <c r="U29" i="23"/>
  <c r="U238" i="23"/>
  <c r="T238" i="23" s="1"/>
  <c r="U167" i="23"/>
  <c r="U76" i="23"/>
  <c r="T76" i="23" s="1"/>
  <c r="U194" i="23"/>
  <c r="U179" i="23"/>
  <c r="U104" i="23"/>
  <c r="U346" i="23"/>
  <c r="U42" i="23"/>
  <c r="U165" i="23"/>
  <c r="U219" i="23"/>
  <c r="U176" i="23"/>
  <c r="U121" i="23"/>
  <c r="U191" i="23"/>
  <c r="U192" i="23"/>
  <c r="U35" i="23"/>
  <c r="U327" i="23"/>
  <c r="U300" i="23"/>
  <c r="U64" i="23"/>
  <c r="U246" i="23"/>
  <c r="U230" i="23"/>
  <c r="U32" i="23"/>
  <c r="U340" i="23"/>
  <c r="U317" i="23"/>
  <c r="U187" i="23"/>
  <c r="U136" i="23"/>
  <c r="U26" i="23"/>
  <c r="U305" i="23"/>
  <c r="U286" i="23"/>
  <c r="U215" i="23"/>
  <c r="U201" i="23"/>
  <c r="U153" i="23"/>
  <c r="U17" i="23"/>
  <c r="U326" i="23"/>
  <c r="U287" i="23"/>
  <c r="U228" i="23"/>
  <c r="U50" i="23"/>
  <c r="U354" i="23"/>
  <c r="U142" i="23"/>
  <c r="U71" i="23"/>
  <c r="U44" i="23"/>
  <c r="P160" i="22"/>
  <c r="V160" i="22" s="1"/>
  <c r="B160" i="22" s="1"/>
  <c r="W160" i="22" s="1"/>
  <c r="AI72" i="23"/>
  <c r="AI18" i="23"/>
  <c r="AI70" i="23"/>
  <c r="AI24" i="23"/>
  <c r="AH24" i="23" s="1"/>
  <c r="AI55" i="23"/>
  <c r="J64" i="20"/>
  <c r="J58" i="20"/>
  <c r="J285" i="20"/>
  <c r="I117" i="20"/>
  <c r="J228" i="20"/>
  <c r="J281" i="20"/>
  <c r="I264" i="20"/>
  <c r="J78" i="20"/>
  <c r="AI57" i="23"/>
  <c r="AI92" i="23"/>
  <c r="AI20" i="23"/>
  <c r="AH20" i="23" s="1"/>
  <c r="AI79" i="23"/>
  <c r="AI58" i="23"/>
  <c r="AH58" i="23" s="1"/>
  <c r="AI53" i="23"/>
  <c r="AI49" i="23"/>
  <c r="AH49" i="23" s="1"/>
  <c r="AI62" i="23"/>
  <c r="AI76" i="23"/>
  <c r="AH76" i="23" s="1"/>
  <c r="AI84" i="23"/>
  <c r="AI32" i="23"/>
  <c r="AH32" i="23" s="1"/>
  <c r="AI36" i="23"/>
  <c r="AI19" i="23"/>
  <c r="AH19" i="23" s="1"/>
  <c r="AI88" i="23"/>
  <c r="AI87" i="23"/>
  <c r="AH87" i="23" s="1"/>
  <c r="AI71" i="23"/>
  <c r="AI37" i="23"/>
  <c r="AH37" i="23" s="1"/>
  <c r="J116" i="20"/>
  <c r="J294" i="20"/>
  <c r="J94" i="20"/>
  <c r="J217" i="20"/>
  <c r="J25" i="20"/>
  <c r="I148" i="20"/>
  <c r="J224" i="20"/>
  <c r="I139" i="20"/>
  <c r="H363" i="20"/>
  <c r="I363" i="20" s="1"/>
  <c r="I154" i="20"/>
  <c r="J152" i="20"/>
  <c r="H88" i="20"/>
  <c r="J88" i="20" s="1"/>
  <c r="J141" i="20"/>
  <c r="J275" i="20"/>
  <c r="I164" i="20"/>
  <c r="J292" i="20"/>
  <c r="J168" i="20"/>
  <c r="J216" i="20"/>
  <c r="I20" i="20"/>
  <c r="I305" i="20"/>
  <c r="J250" i="20"/>
  <c r="I68" i="20"/>
  <c r="I143" i="20"/>
  <c r="I211" i="20"/>
  <c r="I36" i="20"/>
  <c r="J361" i="20"/>
  <c r="I253" i="20"/>
  <c r="J290" i="20"/>
  <c r="J289" i="20"/>
  <c r="J176" i="20"/>
  <c r="J200" i="20"/>
  <c r="J133" i="20"/>
  <c r="I328" i="20"/>
  <c r="J142" i="20"/>
  <c r="J314" i="20"/>
  <c r="J237" i="20"/>
  <c r="I106" i="20"/>
  <c r="J283" i="20"/>
  <c r="I67" i="20"/>
  <c r="I295" i="20"/>
  <c r="J179" i="20"/>
  <c r="J191" i="20"/>
  <c r="I93" i="20"/>
  <c r="H149" i="20"/>
  <c r="J149" i="20" s="1"/>
  <c r="H302" i="20"/>
  <c r="J302" i="20" s="1"/>
  <c r="I100" i="20"/>
  <c r="I262" i="20"/>
  <c r="I381" i="17"/>
  <c r="J339" i="20"/>
  <c r="I316" i="20"/>
  <c r="J96" i="20"/>
  <c r="J51" i="20"/>
  <c r="J101" i="20"/>
  <c r="I47" i="20"/>
  <c r="J341" i="20"/>
  <c r="J111" i="20"/>
  <c r="I282" i="20"/>
  <c r="I230" i="20"/>
  <c r="J304" i="20"/>
  <c r="J233" i="20"/>
  <c r="J202" i="20"/>
  <c r="J204" i="20"/>
  <c r="AA241" i="20"/>
  <c r="Z241" i="20" s="1"/>
  <c r="Y241" i="20" s="1"/>
  <c r="J257" i="20"/>
  <c r="J71" i="20"/>
  <c r="G149" i="20"/>
  <c r="CB149" i="6" s="1"/>
  <c r="AA302" i="20"/>
  <c r="Z302" i="20" s="1"/>
  <c r="Y302" i="20" s="1"/>
  <c r="H272" i="20"/>
  <c r="I272" i="20" s="1"/>
  <c r="J21" i="20"/>
  <c r="J340" i="20"/>
  <c r="J42" i="20"/>
  <c r="J222" i="20"/>
  <c r="J43" i="20"/>
  <c r="I195" i="20"/>
  <c r="I35" i="20"/>
  <c r="I348" i="20"/>
  <c r="I206" i="20"/>
  <c r="I268" i="20"/>
  <c r="I219" i="20"/>
  <c r="J128" i="20"/>
  <c r="I38" i="20"/>
  <c r="J134" i="20"/>
  <c r="J329" i="20"/>
  <c r="I186" i="20"/>
  <c r="I183" i="20"/>
  <c r="I279" i="20"/>
  <c r="J59" i="20"/>
  <c r="I223" i="20"/>
  <c r="I177" i="20"/>
  <c r="I104" i="20"/>
  <c r="I307" i="20"/>
  <c r="I48" i="20"/>
  <c r="J28" i="20"/>
  <c r="I332" i="20"/>
  <c r="J97" i="20"/>
  <c r="I66" i="20"/>
  <c r="J81" i="20"/>
  <c r="J130" i="20"/>
  <c r="J145" i="20"/>
  <c r="J326" i="20"/>
  <c r="I269" i="20"/>
  <c r="J57" i="20"/>
  <c r="J56" i="20"/>
  <c r="J178" i="20"/>
  <c r="J109" i="20"/>
  <c r="I199" i="20"/>
  <c r="W210" i="20"/>
  <c r="D210" i="20"/>
  <c r="E210" i="20" s="1"/>
  <c r="F210" i="20" s="1"/>
  <c r="AU16" i="7"/>
  <c r="Q135" i="22"/>
  <c r="Q368" i="22"/>
  <c r="AA60" i="20"/>
  <c r="Z60" i="20" s="1"/>
  <c r="Y60" i="20" s="1"/>
  <c r="I77" i="20"/>
  <c r="I245" i="20"/>
  <c r="J306" i="20"/>
  <c r="J44" i="20"/>
  <c r="AA180" i="20"/>
  <c r="Z180" i="20" s="1"/>
  <c r="Y180" i="20" s="1"/>
  <c r="I150" i="20"/>
  <c r="I50" i="20"/>
  <c r="J65" i="20"/>
  <c r="J310" i="20"/>
  <c r="J137" i="20"/>
  <c r="I347" i="20"/>
  <c r="I344" i="20"/>
  <c r="J280" i="20"/>
  <c r="I226" i="20"/>
  <c r="I31" i="20"/>
  <c r="I267" i="20"/>
  <c r="J91" i="20"/>
  <c r="J331" i="20"/>
  <c r="J171" i="20"/>
  <c r="I19" i="20"/>
  <c r="I243" i="20"/>
  <c r="G241" i="20"/>
  <c r="CB241" i="6" s="1"/>
  <c r="AA379" i="20"/>
  <c r="Z379" i="20" s="1"/>
  <c r="Y379" i="20" s="1"/>
  <c r="J167" i="20"/>
  <c r="J76" i="20"/>
  <c r="J115" i="20"/>
  <c r="J367" i="20"/>
  <c r="I372" i="20"/>
  <c r="J350" i="20"/>
  <c r="I296" i="20"/>
  <c r="I342" i="20"/>
  <c r="J17" i="20"/>
  <c r="J271" i="20"/>
  <c r="G60" i="20"/>
  <c r="CB60" i="6" s="1"/>
  <c r="J98" i="20"/>
  <c r="J221" i="20"/>
  <c r="I366" i="20"/>
  <c r="I112" i="20"/>
  <c r="I32" i="20"/>
  <c r="J324" i="20"/>
  <c r="J356" i="20"/>
  <c r="J355" i="20"/>
  <c r="J140" i="20"/>
  <c r="J232" i="20"/>
  <c r="I351" i="20"/>
  <c r="J214" i="20"/>
  <c r="I360" i="20"/>
  <c r="J52" i="20"/>
  <c r="I121" i="20"/>
  <c r="J189" i="20"/>
  <c r="J193" i="20"/>
  <c r="J311" i="20"/>
  <c r="I270" i="20"/>
  <c r="J125" i="20"/>
  <c r="H180" i="20"/>
  <c r="I180" i="20" s="1"/>
  <c r="U149" i="23"/>
  <c r="T149" i="23" s="1"/>
  <c r="U315" i="23"/>
  <c r="U90" i="23"/>
  <c r="T90" i="23" s="1"/>
  <c r="U208" i="23"/>
  <c r="U139" i="23"/>
  <c r="T139" i="23" s="1"/>
  <c r="U200" i="23"/>
  <c r="U281" i="23"/>
  <c r="T281" i="23" s="1"/>
  <c r="U213" i="23"/>
  <c r="U379" i="23"/>
  <c r="AT16" i="7" s="1"/>
  <c r="AZ11" i="7" s="1"/>
  <c r="U11" i="24" s="1"/>
  <c r="U154" i="23"/>
  <c r="U272" i="23"/>
  <c r="T272" i="23" s="1"/>
  <c r="U227" i="23"/>
  <c r="U288" i="23"/>
  <c r="T288" i="23" s="1"/>
  <c r="U369" i="23"/>
  <c r="U91" i="23"/>
  <c r="T91" i="23" s="1"/>
  <c r="U152" i="23"/>
  <c r="U233" i="23"/>
  <c r="T233" i="23" s="1"/>
  <c r="U350" i="23"/>
  <c r="U48" i="23"/>
  <c r="T48" i="23" s="1"/>
  <c r="U129" i="23"/>
  <c r="U214" i="23"/>
  <c r="T214" i="23" s="1"/>
  <c r="U279" i="23"/>
  <c r="U356" i="23"/>
  <c r="T356" i="23" s="1"/>
  <c r="U303" i="23"/>
  <c r="U38" i="23"/>
  <c r="T38" i="23" s="1"/>
  <c r="U180" i="23"/>
  <c r="U306" i="23"/>
  <c r="T306" i="23" s="1"/>
  <c r="U182" i="23"/>
  <c r="U247" i="23"/>
  <c r="T247" i="23" s="1"/>
  <c r="U324" i="23"/>
  <c r="U239" i="23"/>
  <c r="T239" i="23" s="1"/>
  <c r="U102" i="23"/>
  <c r="U244" i="23"/>
  <c r="T244" i="23" s="1"/>
  <c r="U370" i="23"/>
  <c r="U270" i="23"/>
  <c r="T270" i="23" s="1"/>
  <c r="U335" i="23"/>
  <c r="U49" i="23"/>
  <c r="T49" i="23" s="1"/>
  <c r="U134" i="23"/>
  <c r="U199" i="23"/>
  <c r="T199" i="23" s="1"/>
  <c r="U276" i="23"/>
  <c r="U30" i="23"/>
  <c r="T30" i="23" s="1"/>
  <c r="U95" i="23"/>
  <c r="U172" i="23"/>
  <c r="T172" i="23" s="1"/>
  <c r="U253" i="23"/>
  <c r="U330" i="23"/>
  <c r="T330" i="23" s="1"/>
  <c r="U36" i="23"/>
  <c r="U111" i="23"/>
  <c r="T111" i="23" s="1"/>
  <c r="U269" i="23"/>
  <c r="U52" i="23"/>
  <c r="T52" i="23" s="1"/>
  <c r="U178" i="23"/>
  <c r="U118" i="23"/>
  <c r="T118" i="23" s="1"/>
  <c r="U183" i="23"/>
  <c r="U260" i="23"/>
  <c r="T260" i="23" s="1"/>
  <c r="U175" i="23"/>
  <c r="U333" i="23"/>
  <c r="T333" i="23" s="1"/>
  <c r="U116" i="23"/>
  <c r="U242" i="23"/>
  <c r="T242" i="23" s="1"/>
  <c r="U206" i="23"/>
  <c r="U271" i="23"/>
  <c r="T271" i="23" s="1"/>
  <c r="U348" i="23"/>
  <c r="U70" i="23"/>
  <c r="T70" i="23" s="1"/>
  <c r="U135" i="23"/>
  <c r="U212" i="23"/>
  <c r="T212" i="23" s="1"/>
  <c r="U325" i="23"/>
  <c r="U31" i="23"/>
  <c r="T31" i="23" s="1"/>
  <c r="U108" i="23"/>
  <c r="U189" i="23"/>
  <c r="T189" i="23" s="1"/>
  <c r="U266" i="23"/>
  <c r="U67" i="23"/>
  <c r="T67" i="23" s="1"/>
  <c r="U273" i="23"/>
  <c r="U359" i="23"/>
  <c r="T359" i="23" s="1"/>
  <c r="U126" i="23"/>
  <c r="U268" i="23"/>
  <c r="T268" i="23" s="1"/>
  <c r="U157" i="23"/>
  <c r="U234" i="23"/>
  <c r="T234" i="23" s="1"/>
  <c r="U131" i="23"/>
  <c r="U209" i="23"/>
  <c r="T209" i="23" s="1"/>
  <c r="U56" i="23"/>
  <c r="U190" i="23"/>
  <c r="T190" i="23" s="1"/>
  <c r="U332" i="23"/>
  <c r="U245" i="23"/>
  <c r="T245" i="23" s="1"/>
  <c r="U322" i="23"/>
  <c r="U28" i="23"/>
  <c r="T28" i="23" s="1"/>
  <c r="U109" i="23"/>
  <c r="U186" i="23"/>
  <c r="T186" i="23" s="1"/>
  <c r="U307" i="23"/>
  <c r="U368" i="23"/>
  <c r="T368" i="23" s="1"/>
  <c r="U82" i="23"/>
  <c r="U171" i="23"/>
  <c r="T171" i="23" s="1"/>
  <c r="U232" i="23"/>
  <c r="U313" i="23"/>
  <c r="T313" i="23" s="1"/>
  <c r="U302" i="23"/>
  <c r="U145" i="23"/>
  <c r="T145" i="23" s="1"/>
  <c r="U231" i="23"/>
  <c r="U357" i="23"/>
  <c r="T357" i="23" s="1"/>
  <c r="U140" i="23"/>
  <c r="U93" i="23"/>
  <c r="T93" i="23" s="1"/>
  <c r="U170" i="23"/>
  <c r="U366" i="23"/>
  <c r="T366" i="23" s="1"/>
  <c r="U81" i="23"/>
  <c r="U295" i="23"/>
  <c r="T295" i="23" s="1"/>
  <c r="U62" i="23"/>
  <c r="U204" i="23"/>
  <c r="T204" i="23" s="1"/>
  <c r="U181" i="23"/>
  <c r="U258" i="23"/>
  <c r="T258" i="23" s="1"/>
  <c r="U347" i="23"/>
  <c r="U45" i="23"/>
  <c r="T45" i="23" s="1"/>
  <c r="U122" i="23"/>
  <c r="U243" i="23"/>
  <c r="T243" i="23" s="1"/>
  <c r="U304" i="23"/>
  <c r="U18" i="23"/>
  <c r="T18" i="23" s="1"/>
  <c r="U107" i="23"/>
  <c r="U168" i="23"/>
  <c r="T168" i="23" s="1"/>
  <c r="U249" i="23"/>
  <c r="U323" i="23"/>
  <c r="T323" i="23" s="1"/>
  <c r="U162" i="23"/>
  <c r="U248" i="23"/>
  <c r="T248" i="23" s="1"/>
  <c r="U19" i="23"/>
  <c r="U161" i="23"/>
  <c r="T161" i="23" s="1"/>
  <c r="U285" i="23"/>
  <c r="U362" i="23"/>
  <c r="T362" i="23" s="1"/>
  <c r="U68" i="23"/>
  <c r="U98" i="23"/>
  <c r="T98" i="23" s="1"/>
  <c r="U312" i="23"/>
  <c r="U83" i="23"/>
  <c r="T83" i="23" s="1"/>
  <c r="U225" i="23"/>
  <c r="U373" i="23"/>
  <c r="T373" i="23" s="1"/>
  <c r="U79" i="23"/>
  <c r="U156" i="23"/>
  <c r="T156" i="23" s="1"/>
  <c r="U237" i="23"/>
  <c r="U314" i="23"/>
  <c r="T314" i="23" s="1"/>
  <c r="U20" i="23"/>
  <c r="U133" i="23"/>
  <c r="T133" i="23" s="1"/>
  <c r="U210" i="23"/>
  <c r="U299" i="23"/>
  <c r="T299" i="23" s="1"/>
  <c r="U360" i="23"/>
  <c r="U74" i="23"/>
  <c r="T74" i="23" s="1"/>
  <c r="U195" i="23"/>
  <c r="U34" i="23"/>
  <c r="T34" i="23" s="1"/>
  <c r="U120" i="23"/>
  <c r="U254" i="23"/>
  <c r="T254" i="23" s="1"/>
  <c r="U33" i="23"/>
  <c r="U221" i="23"/>
  <c r="T221" i="23" s="1"/>
  <c r="U298" i="23"/>
  <c r="U259" i="23"/>
  <c r="T259" i="23" s="1"/>
  <c r="U337" i="23"/>
  <c r="U184" i="23"/>
  <c r="T184" i="23" s="1"/>
  <c r="U318" i="23"/>
  <c r="U97" i="23"/>
  <c r="T97" i="23" s="1"/>
  <c r="U309" i="23"/>
  <c r="U16" i="23"/>
  <c r="U92" i="23"/>
  <c r="U173" i="23"/>
  <c r="T173" i="23" s="1"/>
  <c r="U250" i="23"/>
  <c r="U371" i="23"/>
  <c r="T371" i="23" s="1"/>
  <c r="U69" i="23"/>
  <c r="U146" i="23"/>
  <c r="T146" i="23" s="1"/>
  <c r="U235" i="23"/>
  <c r="U296" i="23"/>
  <c r="T296" i="23" s="1"/>
  <c r="U377" i="23"/>
  <c r="U341" i="23"/>
  <c r="T341" i="23" s="1"/>
  <c r="U124" i="23"/>
  <c r="U218" i="23"/>
  <c r="T218" i="23" s="1"/>
  <c r="U336" i="23"/>
  <c r="U203" i="23"/>
  <c r="T203" i="23" s="1"/>
  <c r="U264" i="23"/>
  <c r="U345" i="23"/>
  <c r="T345" i="23" s="1"/>
  <c r="U277" i="23"/>
  <c r="U60" i="23"/>
  <c r="T60" i="23" s="1"/>
  <c r="U282" i="23"/>
  <c r="U37" i="23"/>
  <c r="T37" i="23" s="1"/>
  <c r="U291" i="23"/>
  <c r="U352" i="23"/>
  <c r="T352" i="23" s="1"/>
  <c r="U66" i="23"/>
  <c r="U155" i="23"/>
  <c r="T155" i="23" s="1"/>
  <c r="U216" i="23"/>
  <c r="U297" i="23"/>
  <c r="T297" i="23" s="1"/>
  <c r="U51" i="23"/>
  <c r="U112" i="23"/>
  <c r="T112" i="23" s="1"/>
  <c r="U193" i="23"/>
  <c r="U278" i="23"/>
  <c r="T278" i="23" s="1"/>
  <c r="U343" i="23"/>
  <c r="U57" i="23"/>
  <c r="T57" i="23" s="1"/>
  <c r="J239" i="20"/>
  <c r="P368" i="22"/>
  <c r="V368" i="22" s="1"/>
  <c r="B368" i="22" s="1"/>
  <c r="D368" i="22" s="1"/>
  <c r="E368" i="22" s="1"/>
  <c r="F368" i="22" s="1"/>
  <c r="I215" i="20"/>
  <c r="J378" i="20"/>
  <c r="H379" i="20"/>
  <c r="J379" i="20" s="1"/>
  <c r="J54" i="20"/>
  <c r="J242" i="20"/>
  <c r="I246" i="20"/>
  <c r="J90" i="20"/>
  <c r="P135" i="22"/>
  <c r="V135" i="22" s="1"/>
  <c r="B135" i="22" s="1"/>
  <c r="AI43" i="23"/>
  <c r="AI96" i="23"/>
  <c r="AH96" i="23" s="1"/>
  <c r="AI26" i="23"/>
  <c r="AI29" i="23"/>
  <c r="AH29" i="23" s="1"/>
  <c r="AI74" i="23"/>
  <c r="AI89" i="23"/>
  <c r="AH89" i="23" s="1"/>
  <c r="AI66" i="23"/>
  <c r="AI69" i="23"/>
  <c r="AH69" i="23" s="1"/>
  <c r="AI22" i="23"/>
  <c r="AI85" i="23"/>
  <c r="AH85" i="23" s="1"/>
  <c r="AI42" i="23"/>
  <c r="AI65" i="23"/>
  <c r="AH65" i="23" s="1"/>
  <c r="AI77" i="23"/>
  <c r="AI52" i="23"/>
  <c r="AI64" i="23"/>
  <c r="AI101" i="23"/>
  <c r="AH101" i="23" s="1"/>
  <c r="AI35" i="23"/>
  <c r="AI61" i="23"/>
  <c r="AI48" i="23"/>
  <c r="AI81" i="23"/>
  <c r="AH81" i="23" s="1"/>
  <c r="AI34" i="23"/>
  <c r="AI78" i="23"/>
  <c r="AI56" i="23"/>
  <c r="AI31" i="23"/>
  <c r="AI33" i="23"/>
  <c r="AI86" i="23"/>
  <c r="AI98" i="23"/>
  <c r="AI90" i="23"/>
  <c r="AI103" i="23"/>
  <c r="AI54" i="23"/>
  <c r="AI27" i="23"/>
  <c r="AI68" i="23"/>
  <c r="AI51" i="23"/>
  <c r="AI93" i="23"/>
  <c r="J99" i="20"/>
  <c r="I299" i="20"/>
  <c r="I87" i="20"/>
  <c r="I337" i="20"/>
  <c r="J198" i="20"/>
  <c r="Q315" i="22"/>
  <c r="P315" i="22" s="1"/>
  <c r="V315" i="22" s="1"/>
  <c r="B315" i="22" s="1"/>
  <c r="Q155" i="22"/>
  <c r="Q79" i="22"/>
  <c r="P79" i="22" s="1"/>
  <c r="V79" i="22" s="1"/>
  <c r="B79" i="22" s="1"/>
  <c r="AI11" i="23"/>
  <c r="AC383" i="25"/>
  <c r="AC381" i="25"/>
  <c r="AC382" i="25"/>
  <c r="O382" i="25"/>
  <c r="O383" i="25"/>
  <c r="O381" i="25"/>
  <c r="E14" i="19"/>
  <c r="F14" i="19" s="1"/>
  <c r="J207" i="20"/>
  <c r="J53" i="20"/>
  <c r="I158" i="20"/>
  <c r="I80" i="20"/>
  <c r="I123" i="20"/>
  <c r="H333" i="20"/>
  <c r="I333" i="20" s="1"/>
  <c r="I132" i="20"/>
  <c r="I376" i="20"/>
  <c r="J70" i="20"/>
  <c r="J265" i="20"/>
  <c r="I89" i="20"/>
  <c r="J156" i="20"/>
  <c r="I138" i="20"/>
  <c r="I102" i="20"/>
  <c r="J73" i="20"/>
  <c r="I335" i="20"/>
  <c r="J188" i="20"/>
  <c r="J260" i="20"/>
  <c r="G272" i="20"/>
  <c r="CB272" i="6" s="1"/>
  <c r="J151" i="20"/>
  <c r="I170" i="20"/>
  <c r="F13" i="19"/>
  <c r="J107" i="20"/>
  <c r="J197" i="20"/>
  <c r="J120" i="20"/>
  <c r="J357" i="20"/>
  <c r="J301" i="20"/>
  <c r="I225" i="20"/>
  <c r="J37" i="20"/>
  <c r="J146" i="20"/>
  <c r="I256" i="20"/>
  <c r="AA333" i="20"/>
  <c r="Z333" i="20" s="1"/>
  <c r="Y333" i="20" s="1"/>
  <c r="I26" i="20"/>
  <c r="J358" i="20"/>
  <c r="I86" i="20"/>
  <c r="I321" i="20"/>
  <c r="J103" i="20"/>
  <c r="I286" i="20"/>
  <c r="J218" i="20"/>
  <c r="J234" i="20"/>
  <c r="J147" i="20"/>
  <c r="J352" i="20"/>
  <c r="I39" i="20"/>
  <c r="J62" i="20"/>
  <c r="J69" i="20"/>
  <c r="I95" i="20"/>
  <c r="AA272" i="20"/>
  <c r="Z272" i="20" s="1"/>
  <c r="Y272" i="20" s="1"/>
  <c r="P155" i="22"/>
  <c r="V155" i="22" s="1"/>
  <c r="B155" i="22" s="1"/>
  <c r="D155" i="22" s="1"/>
  <c r="E155" i="22" s="1"/>
  <c r="F155" i="22" s="1"/>
  <c r="J127" i="20"/>
  <c r="I205" i="20"/>
  <c r="J83" i="20"/>
  <c r="J368" i="20"/>
  <c r="J129" i="20"/>
  <c r="I213" i="20"/>
  <c r="I330" i="20"/>
  <c r="I293" i="20"/>
  <c r="J23" i="20"/>
  <c r="J254" i="20"/>
  <c r="I238" i="20"/>
  <c r="I346" i="20"/>
  <c r="J255" i="20"/>
  <c r="J353" i="20"/>
  <c r="J229" i="18"/>
  <c r="C229" i="6" s="1"/>
  <c r="I229" i="18"/>
  <c r="AL12" i="17"/>
  <c r="AJ4" i="17" s="1"/>
  <c r="P14" i="19" s="1"/>
  <c r="B312" i="6"/>
  <c r="BA312" i="6" s="1"/>
  <c r="H312" i="20"/>
  <c r="B365" i="6"/>
  <c r="BA365" i="6" s="1"/>
  <c r="H365" i="20"/>
  <c r="B163" i="6"/>
  <c r="BA163" i="6" s="1"/>
  <c r="H163" i="20"/>
  <c r="B315" i="6"/>
  <c r="BA315" i="6" s="1"/>
  <c r="H315" i="20"/>
  <c r="Q15" i="22"/>
  <c r="Q324" i="22"/>
  <c r="P324" i="22" s="1"/>
  <c r="V324" i="22" s="1"/>
  <c r="B324" i="22" s="1"/>
  <c r="Q203" i="22"/>
  <c r="P203" i="22" s="1"/>
  <c r="V203" i="22" s="1"/>
  <c r="B203" i="22" s="1"/>
  <c r="B194" i="6"/>
  <c r="BA194" i="6" s="1"/>
  <c r="H194" i="20"/>
  <c r="P184" i="22"/>
  <c r="V184" i="22" s="1"/>
  <c r="B184" i="22" s="1"/>
  <c r="W184" i="22" s="1"/>
  <c r="B374" i="6"/>
  <c r="BA374" i="6" s="1"/>
  <c r="H374" i="20"/>
  <c r="B323" i="6"/>
  <c r="BA323" i="6" s="1"/>
  <c r="AJ4" i="6" s="1"/>
  <c r="H323" i="20"/>
  <c r="B375" i="6"/>
  <c r="BA375" i="6" s="1"/>
  <c r="H375" i="20"/>
  <c r="B113" i="6"/>
  <c r="BA113" i="6" s="1"/>
  <c r="U4" i="6" s="1"/>
  <c r="H113" i="20"/>
  <c r="B303" i="6"/>
  <c r="BA303" i="6" s="1"/>
  <c r="AH4" i="6" s="1"/>
  <c r="H303" i="20"/>
  <c r="B153" i="6"/>
  <c r="BA153" i="6" s="1"/>
  <c r="W4" i="6" s="1"/>
  <c r="H153" i="20"/>
  <c r="Q209" i="22"/>
  <c r="P209" i="22" s="1"/>
  <c r="V209" i="22" s="1"/>
  <c r="B209" i="22" s="1"/>
  <c r="Q266" i="22"/>
  <c r="P266" i="22" s="1"/>
  <c r="V266" i="22" s="1"/>
  <c r="B266" i="22" s="1"/>
  <c r="Q345" i="22"/>
  <c r="P345" i="22" s="1"/>
  <c r="V345" i="22" s="1"/>
  <c r="B345" i="22" s="1"/>
  <c r="Q332" i="22"/>
  <c r="P332" i="22" s="1"/>
  <c r="V332" i="22" s="1"/>
  <c r="B332" i="22" s="1"/>
  <c r="Q261" i="22"/>
  <c r="P261" i="22" s="1"/>
  <c r="V261" i="22" s="1"/>
  <c r="B261" i="22" s="1"/>
  <c r="Q350" i="22"/>
  <c r="P350" i="22" s="1"/>
  <c r="V350" i="22" s="1"/>
  <c r="B350" i="22" s="1"/>
  <c r="Q188" i="22"/>
  <c r="P188" i="22" s="1"/>
  <c r="V188" i="22" s="1"/>
  <c r="B188" i="22" s="1"/>
  <c r="Q57" i="22"/>
  <c r="P57" i="22" s="1"/>
  <c r="V57" i="22" s="1"/>
  <c r="B57" i="22" s="1"/>
  <c r="Q177" i="22"/>
  <c r="P177" i="22" s="1"/>
  <c r="V177" i="22" s="1"/>
  <c r="B177" i="22" s="1"/>
  <c r="Q90" i="22"/>
  <c r="P90" i="22" s="1"/>
  <c r="V90" i="22" s="1"/>
  <c r="B90" i="22" s="1"/>
  <c r="Q269" i="22"/>
  <c r="P269" i="22" s="1"/>
  <c r="V269" i="22" s="1"/>
  <c r="B269" i="22" s="1"/>
  <c r="Q117" i="22"/>
  <c r="P117" i="22" s="1"/>
  <c r="V117" i="22" s="1"/>
  <c r="B117" i="22" s="1"/>
  <c r="Q299" i="22"/>
  <c r="P299" i="22" s="1"/>
  <c r="V299" i="22" s="1"/>
  <c r="B299" i="22" s="1"/>
  <c r="Q166" i="22"/>
  <c r="P166" i="22" s="1"/>
  <c r="V166" i="22" s="1"/>
  <c r="B166" i="22" s="1"/>
  <c r="Q156" i="22"/>
  <c r="P156" i="22" s="1"/>
  <c r="V156" i="22" s="1"/>
  <c r="B156" i="22" s="1"/>
  <c r="Q124" i="22"/>
  <c r="P124" i="22" s="1"/>
  <c r="V124" i="22" s="1"/>
  <c r="B124" i="22" s="1"/>
  <c r="Q154" i="22"/>
  <c r="P154" i="22" s="1"/>
  <c r="V154" i="22" s="1"/>
  <c r="B154" i="22" s="1"/>
  <c r="Q192" i="22"/>
  <c r="P192" i="22" s="1"/>
  <c r="V192" i="22" s="1"/>
  <c r="B192" i="22" s="1"/>
  <c r="Q202" i="22"/>
  <c r="P202" i="22" s="1"/>
  <c r="V202" i="22" s="1"/>
  <c r="B202" i="22" s="1"/>
  <c r="Q288" i="22"/>
  <c r="P288" i="22" s="1"/>
  <c r="V288" i="22" s="1"/>
  <c r="B288" i="22" s="1"/>
  <c r="Q48" i="22"/>
  <c r="P48" i="22" s="1"/>
  <c r="V48" i="22" s="1"/>
  <c r="B48" i="22" s="1"/>
  <c r="Q158" i="22"/>
  <c r="P158" i="22" s="1"/>
  <c r="V158" i="22" s="1"/>
  <c r="B158" i="22" s="1"/>
  <c r="Q312" i="22"/>
  <c r="P312" i="22" s="1"/>
  <c r="V312" i="22" s="1"/>
  <c r="B312" i="22" s="1"/>
  <c r="Q335" i="22"/>
  <c r="P335" i="22" s="1"/>
  <c r="V335" i="22" s="1"/>
  <c r="B335" i="22" s="1"/>
  <c r="Q354" i="22"/>
  <c r="P354" i="22" s="1"/>
  <c r="V354" i="22" s="1"/>
  <c r="B354" i="22" s="1"/>
  <c r="Q33" i="22"/>
  <c r="P33" i="22" s="1"/>
  <c r="V33" i="22" s="1"/>
  <c r="B33" i="22" s="1"/>
  <c r="Q321" i="22"/>
  <c r="P321" i="22" s="1"/>
  <c r="V321" i="22" s="1"/>
  <c r="B321" i="22" s="1"/>
  <c r="Q280" i="22"/>
  <c r="P280" i="22" s="1"/>
  <c r="V280" i="22" s="1"/>
  <c r="B280" i="22" s="1"/>
  <c r="Q278" i="22"/>
  <c r="P278" i="22" s="1"/>
  <c r="V278" i="22" s="1"/>
  <c r="B278" i="22" s="1"/>
  <c r="Q137" i="22"/>
  <c r="P137" i="22" s="1"/>
  <c r="V137" i="22" s="1"/>
  <c r="B137" i="22" s="1"/>
  <c r="Q205" i="22"/>
  <c r="P205" i="22" s="1"/>
  <c r="V205" i="22" s="1"/>
  <c r="B205" i="22" s="1"/>
  <c r="Q258" i="22"/>
  <c r="P258" i="22" s="1"/>
  <c r="V258" i="22" s="1"/>
  <c r="B258" i="22" s="1"/>
  <c r="Q81" i="22"/>
  <c r="P81" i="22" s="1"/>
  <c r="V81" i="22" s="1"/>
  <c r="B81" i="22" s="1"/>
  <c r="Q214" i="22"/>
  <c r="P214" i="22" s="1"/>
  <c r="V214" i="22" s="1"/>
  <c r="B214" i="22" s="1"/>
  <c r="Q59" i="22"/>
  <c r="P59" i="22" s="1"/>
  <c r="V59" i="22" s="1"/>
  <c r="B59" i="22" s="1"/>
  <c r="Q129" i="22"/>
  <c r="P129" i="22" s="1"/>
  <c r="V129" i="22" s="1"/>
  <c r="B129" i="22" s="1"/>
  <c r="Q127" i="22"/>
  <c r="P127" i="22" s="1"/>
  <c r="V127" i="22" s="1"/>
  <c r="B127" i="22" s="1"/>
  <c r="Q296" i="22"/>
  <c r="P296" i="22" s="1"/>
  <c r="V296" i="22" s="1"/>
  <c r="B296" i="22" s="1"/>
  <c r="Q176" i="22"/>
  <c r="P176" i="22" s="1"/>
  <c r="V176" i="22" s="1"/>
  <c r="B176" i="22" s="1"/>
  <c r="Q167" i="22"/>
  <c r="P167" i="22" s="1"/>
  <c r="V167" i="22" s="1"/>
  <c r="B167" i="22" s="1"/>
  <c r="Q338" i="22"/>
  <c r="P338" i="22" s="1"/>
  <c r="V338" i="22" s="1"/>
  <c r="B338" i="22" s="1"/>
  <c r="Q113" i="22"/>
  <c r="P113" i="22" s="1"/>
  <c r="V113" i="22" s="1"/>
  <c r="B113" i="22" s="1"/>
  <c r="Q253" i="22"/>
  <c r="P253" i="22" s="1"/>
  <c r="V253" i="22" s="1"/>
  <c r="B253" i="22" s="1"/>
  <c r="Q73" i="22"/>
  <c r="P73" i="22" s="1"/>
  <c r="V73" i="22" s="1"/>
  <c r="B73" i="22" s="1"/>
  <c r="Q150" i="22"/>
  <c r="P150" i="22" s="1"/>
  <c r="V150" i="22" s="1"/>
  <c r="B150" i="22" s="1"/>
  <c r="Q43" i="22"/>
  <c r="P43" i="22" s="1"/>
  <c r="V43" i="22" s="1"/>
  <c r="B43" i="22" s="1"/>
  <c r="Q247" i="22"/>
  <c r="P247" i="22" s="1"/>
  <c r="V247" i="22" s="1"/>
  <c r="B247" i="22" s="1"/>
  <c r="Q237" i="22"/>
  <c r="P237" i="22" s="1"/>
  <c r="V237" i="22" s="1"/>
  <c r="B237" i="22" s="1"/>
  <c r="Q120" i="22"/>
  <c r="P120" i="22" s="1"/>
  <c r="V120" i="22" s="1"/>
  <c r="B120" i="22" s="1"/>
  <c r="Q45" i="22"/>
  <c r="P45" i="22" s="1"/>
  <c r="V45" i="22" s="1"/>
  <c r="B45" i="22" s="1"/>
  <c r="Q123" i="22"/>
  <c r="P123" i="22" s="1"/>
  <c r="V123" i="22" s="1"/>
  <c r="B123" i="22" s="1"/>
  <c r="Q108" i="22"/>
  <c r="P108" i="22" s="1"/>
  <c r="V108" i="22" s="1"/>
  <c r="B108" i="22" s="1"/>
  <c r="Q290" i="22"/>
  <c r="P290" i="22" s="1"/>
  <c r="V290" i="22" s="1"/>
  <c r="B290" i="22" s="1"/>
  <c r="Q196" i="22"/>
  <c r="P196" i="22" s="1"/>
  <c r="V196" i="22" s="1"/>
  <c r="B196" i="22" s="1"/>
  <c r="Q327" i="22"/>
  <c r="P327" i="22" s="1"/>
  <c r="V327" i="22" s="1"/>
  <c r="B327" i="22" s="1"/>
  <c r="Q189" i="22"/>
  <c r="P189" i="22" s="1"/>
  <c r="V189" i="22" s="1"/>
  <c r="B189" i="22" s="1"/>
  <c r="Q370" i="22"/>
  <c r="P370" i="22" s="1"/>
  <c r="V370" i="22" s="1"/>
  <c r="B370" i="22" s="1"/>
  <c r="Q114" i="22"/>
  <c r="P114" i="22" s="1"/>
  <c r="V114" i="22" s="1"/>
  <c r="B114" i="22" s="1"/>
  <c r="Q193" i="22"/>
  <c r="P193" i="22" s="1"/>
  <c r="V193" i="22" s="1"/>
  <c r="B193" i="22" s="1"/>
  <c r="Q174" i="22"/>
  <c r="P174" i="22" s="1"/>
  <c r="V174" i="22" s="1"/>
  <c r="B174" i="22" s="1"/>
  <c r="Q25" i="22"/>
  <c r="P25" i="22" s="1"/>
  <c r="V25" i="22" s="1"/>
  <c r="B25" i="22" s="1"/>
  <c r="Q272" i="22"/>
  <c r="P272" i="22" s="1"/>
  <c r="AO15" i="7"/>
  <c r="AE326" i="22"/>
  <c r="AD326" i="22" s="1"/>
  <c r="AE229" i="22"/>
  <c r="AD229" i="22" s="1"/>
  <c r="AE225" i="22"/>
  <c r="AD225" i="22" s="1"/>
  <c r="AE296" i="22"/>
  <c r="AD296" i="22" s="1"/>
  <c r="AE199" i="22"/>
  <c r="AD199" i="22" s="1"/>
  <c r="AE196" i="22"/>
  <c r="AD196" i="22" s="1"/>
  <c r="AE227" i="22"/>
  <c r="AD227" i="22" s="1"/>
  <c r="AE66" i="22"/>
  <c r="AD66" i="22" s="1"/>
  <c r="AE305" i="22"/>
  <c r="AD305" i="22" s="1"/>
  <c r="AE344" i="22"/>
  <c r="AD344" i="22" s="1"/>
  <c r="AE183" i="22"/>
  <c r="AD183" i="22" s="1"/>
  <c r="AE29" i="22"/>
  <c r="AD29" i="22" s="1"/>
  <c r="AE79" i="22"/>
  <c r="AD79" i="22" s="1"/>
  <c r="AE267" i="22"/>
  <c r="AD267" i="22" s="1"/>
  <c r="AE374" i="22"/>
  <c r="AD374" i="22" s="1"/>
  <c r="AE127" i="22"/>
  <c r="AD127" i="22" s="1"/>
  <c r="AE330" i="22"/>
  <c r="AD330" i="22" s="1"/>
  <c r="AE121" i="22"/>
  <c r="AD121" i="22" s="1"/>
  <c r="AE75" i="22"/>
  <c r="AD75" i="22" s="1"/>
  <c r="AE310" i="22"/>
  <c r="AD310" i="22" s="1"/>
  <c r="AE259" i="22"/>
  <c r="AD259" i="22" s="1"/>
  <c r="AE140" i="22"/>
  <c r="AD140" i="22" s="1"/>
  <c r="AE98" i="22"/>
  <c r="AD98" i="22" s="1"/>
  <c r="AE81" i="22"/>
  <c r="AD81" i="22" s="1"/>
  <c r="AE365" i="22"/>
  <c r="AD365" i="22" s="1"/>
  <c r="AE68" i="22"/>
  <c r="AD68" i="22" s="1"/>
  <c r="AE99" i="22"/>
  <c r="AD99" i="22" s="1"/>
  <c r="AE303" i="22"/>
  <c r="AD303" i="22" s="1"/>
  <c r="AE125" i="22"/>
  <c r="AD125" i="22" s="1"/>
  <c r="AE148" i="22"/>
  <c r="AD148" i="22" s="1"/>
  <c r="AE352" i="22"/>
  <c r="AD352" i="22" s="1"/>
  <c r="AE274" i="22"/>
  <c r="AD274" i="22" s="1"/>
  <c r="AE289" i="22"/>
  <c r="AD289" i="22" s="1"/>
  <c r="AE104" i="22"/>
  <c r="AD104" i="22" s="1"/>
  <c r="AE268" i="22"/>
  <c r="AD268" i="22" s="1"/>
  <c r="AE294" i="22"/>
  <c r="AD294" i="22" s="1"/>
  <c r="AE85" i="22"/>
  <c r="AD85" i="22" s="1"/>
  <c r="AE216" i="22"/>
  <c r="AD216" i="22" s="1"/>
  <c r="AE342" i="22"/>
  <c r="AD342" i="22" s="1"/>
  <c r="AE204" i="22"/>
  <c r="AD204" i="22" s="1"/>
  <c r="AE328" i="22"/>
  <c r="AD328" i="22" s="1"/>
  <c r="AE21" i="22"/>
  <c r="AD21" i="22" s="1"/>
  <c r="AE152" i="22"/>
  <c r="AD152" i="22" s="1"/>
  <c r="AE44" i="22"/>
  <c r="AD44" i="22" s="1"/>
  <c r="AE266" i="22"/>
  <c r="AD266" i="22" s="1"/>
  <c r="AE234" i="22"/>
  <c r="AD234" i="22" s="1"/>
  <c r="AE265" i="22"/>
  <c r="AD265" i="22" s="1"/>
  <c r="AE96" i="22"/>
  <c r="AD96" i="22" s="1"/>
  <c r="AE236" i="22"/>
  <c r="AD236" i="22" s="1"/>
  <c r="AE235" i="22"/>
  <c r="AD235" i="22" s="1"/>
  <c r="AE74" i="22"/>
  <c r="AD74" i="22" s="1"/>
  <c r="AE135" i="22"/>
  <c r="AD135" i="22" s="1"/>
  <c r="AE230" i="22"/>
  <c r="AD230" i="22" s="1"/>
  <c r="AE261" i="22"/>
  <c r="AD261" i="22" s="1"/>
  <c r="AE348" i="22"/>
  <c r="AD348" i="22" s="1"/>
  <c r="AE347" i="22"/>
  <c r="AD347" i="22" s="1"/>
  <c r="AE122" i="22"/>
  <c r="AD122" i="22" s="1"/>
  <c r="AE42" i="22"/>
  <c r="AD42" i="22" s="1"/>
  <c r="AE307" i="22"/>
  <c r="AD307" i="22" s="1"/>
  <c r="AE97" i="22"/>
  <c r="AD97" i="22" s="1"/>
  <c r="AE180" i="22"/>
  <c r="AD180" i="22" s="1"/>
  <c r="AE69" i="22"/>
  <c r="AD69" i="22" s="1"/>
  <c r="AE380" i="22"/>
  <c r="AD380" i="22" s="1"/>
  <c r="AE243" i="22"/>
  <c r="AD243" i="22" s="1"/>
  <c r="AE33" i="22"/>
  <c r="AD33" i="22" s="1"/>
  <c r="AE203" i="22"/>
  <c r="AD203" i="22" s="1"/>
  <c r="AE329" i="22"/>
  <c r="AD329" i="22" s="1"/>
  <c r="AE319" i="22"/>
  <c r="AD319" i="22" s="1"/>
  <c r="AE37" i="22"/>
  <c r="AD37" i="22" s="1"/>
  <c r="AE124" i="22"/>
  <c r="AD124" i="22" s="1"/>
  <c r="AE232" i="22"/>
  <c r="AD232" i="22" s="1"/>
  <c r="AE372" i="22"/>
  <c r="AD372" i="22" s="1"/>
  <c r="AE102" i="22"/>
  <c r="AD102" i="22" s="1"/>
  <c r="AE242" i="22"/>
  <c r="AD242" i="22" s="1"/>
  <c r="AE56" i="22"/>
  <c r="AD56" i="22" s="1"/>
  <c r="AE151" i="22"/>
  <c r="AD151" i="22" s="1"/>
  <c r="AE182" i="22"/>
  <c r="AD182" i="22" s="1"/>
  <c r="AE277" i="22"/>
  <c r="AD277" i="22" s="1"/>
  <c r="AE172" i="22"/>
  <c r="AD172" i="22" s="1"/>
  <c r="AE43" i="22"/>
  <c r="AD43" i="22" s="1"/>
  <c r="AE82" i="22"/>
  <c r="AD82" i="22" s="1"/>
  <c r="AE157" i="22"/>
  <c r="AD157" i="22" s="1"/>
  <c r="AE128" i="22"/>
  <c r="AD128" i="22" s="1"/>
  <c r="AE46" i="22"/>
  <c r="AD46" i="22" s="1"/>
  <c r="AE276" i="22"/>
  <c r="AD276" i="22" s="1"/>
  <c r="AE255" i="22"/>
  <c r="AD255" i="22" s="1"/>
  <c r="AE379" i="22"/>
  <c r="AE12" i="23" s="1"/>
  <c r="AE320" i="22"/>
  <c r="AD320" i="22" s="1"/>
  <c r="AE361" i="22"/>
  <c r="AD361" i="22" s="1"/>
  <c r="AE114" i="22"/>
  <c r="AD114" i="22" s="1"/>
  <c r="AE200" i="22"/>
  <c r="AD200" i="22" s="1"/>
  <c r="Q89" i="22"/>
  <c r="P89" i="22" s="1"/>
  <c r="V89" i="22" s="1"/>
  <c r="B89" i="22" s="1"/>
  <c r="Q68" i="22"/>
  <c r="P68" i="22" s="1"/>
  <c r="V68" i="22" s="1"/>
  <c r="B68" i="22" s="1"/>
  <c r="Q318" i="22"/>
  <c r="P318" i="22" s="1"/>
  <c r="V318" i="22" s="1"/>
  <c r="B318" i="22" s="1"/>
  <c r="Q206" i="22"/>
  <c r="P206" i="22" s="1"/>
  <c r="V206" i="22" s="1"/>
  <c r="B206" i="22" s="1"/>
  <c r="Q52" i="22"/>
  <c r="P52" i="22" s="1"/>
  <c r="V52" i="22" s="1"/>
  <c r="B52" i="22" s="1"/>
  <c r="Q161" i="22"/>
  <c r="P161" i="22" s="1"/>
  <c r="V161" i="22" s="1"/>
  <c r="B161" i="22" s="1"/>
  <c r="Q83" i="22"/>
  <c r="P83" i="22" s="1"/>
  <c r="V83" i="22" s="1"/>
  <c r="B83" i="22" s="1"/>
  <c r="Q295" i="22"/>
  <c r="P295" i="22" s="1"/>
  <c r="V295" i="22" s="1"/>
  <c r="B295" i="22" s="1"/>
  <c r="Q344" i="22"/>
  <c r="P344" i="22" s="1"/>
  <c r="V344" i="22" s="1"/>
  <c r="B344" i="22" s="1"/>
  <c r="Q27" i="22"/>
  <c r="P27" i="22" s="1"/>
  <c r="V27" i="22" s="1"/>
  <c r="B27" i="22" s="1"/>
  <c r="Q294" i="22"/>
  <c r="P294" i="22" s="1"/>
  <c r="V294" i="22" s="1"/>
  <c r="B294" i="22" s="1"/>
  <c r="Q319" i="22"/>
  <c r="P319" i="22" s="1"/>
  <c r="V319" i="22" s="1"/>
  <c r="B319" i="22" s="1"/>
  <c r="Q259" i="22"/>
  <c r="P259" i="22" s="1"/>
  <c r="V259" i="22" s="1"/>
  <c r="B259" i="22" s="1"/>
  <c r="Q31" i="22"/>
  <c r="P31" i="22" s="1"/>
  <c r="V31" i="22" s="1"/>
  <c r="B31" i="22" s="1"/>
  <c r="Q270" i="22"/>
  <c r="P270" i="22" s="1"/>
  <c r="V270" i="22" s="1"/>
  <c r="B270" i="22" s="1"/>
  <c r="Q240" i="22"/>
  <c r="P240" i="22" s="1"/>
  <c r="V240" i="22" s="1"/>
  <c r="B240" i="22" s="1"/>
  <c r="Q82" i="22"/>
  <c r="P82" i="22" s="1"/>
  <c r="V82" i="22" s="1"/>
  <c r="B82" i="22" s="1"/>
  <c r="Q71" i="22"/>
  <c r="P71" i="22" s="1"/>
  <c r="V71" i="22" s="1"/>
  <c r="B71" i="22" s="1"/>
  <c r="Q159" i="22"/>
  <c r="P159" i="22" s="1"/>
  <c r="V159" i="22" s="1"/>
  <c r="B159" i="22" s="1"/>
  <c r="Q343" i="22"/>
  <c r="P343" i="22" s="1"/>
  <c r="V343" i="22" s="1"/>
  <c r="B343" i="22" s="1"/>
  <c r="Q369" i="22"/>
  <c r="P369" i="22" s="1"/>
  <c r="V369" i="22" s="1"/>
  <c r="B369" i="22" s="1"/>
  <c r="Q362" i="22"/>
  <c r="P362" i="22" s="1"/>
  <c r="V362" i="22" s="1"/>
  <c r="B362" i="22" s="1"/>
  <c r="Q325" i="22"/>
  <c r="P325" i="22" s="1"/>
  <c r="V325" i="22" s="1"/>
  <c r="B325" i="22" s="1"/>
  <c r="Q346" i="22"/>
  <c r="P346" i="22" s="1"/>
  <c r="V346" i="22" s="1"/>
  <c r="B346" i="22" s="1"/>
  <c r="Q195" i="22"/>
  <c r="P195" i="22" s="1"/>
  <c r="V195" i="22" s="1"/>
  <c r="B195" i="22" s="1"/>
  <c r="Q355" i="22"/>
  <c r="P355" i="22" s="1"/>
  <c r="V355" i="22" s="1"/>
  <c r="B355" i="22" s="1"/>
  <c r="Q306" i="22"/>
  <c r="P306" i="22" s="1"/>
  <c r="V306" i="22" s="1"/>
  <c r="B306" i="22" s="1"/>
  <c r="Q110" i="22"/>
  <c r="P110" i="22" s="1"/>
  <c r="V110" i="22" s="1"/>
  <c r="B110" i="22" s="1"/>
  <c r="Q35" i="22"/>
  <c r="P35" i="22" s="1"/>
  <c r="V35" i="22" s="1"/>
  <c r="B35" i="22" s="1"/>
  <c r="Q132" i="22"/>
  <c r="P132" i="22" s="1"/>
  <c r="V132" i="22" s="1"/>
  <c r="B132" i="22" s="1"/>
  <c r="Q34" i="22"/>
  <c r="P34" i="22" s="1"/>
  <c r="V34" i="22" s="1"/>
  <c r="B34" i="22" s="1"/>
  <c r="Q70" i="22"/>
  <c r="P70" i="22" s="1"/>
  <c r="V70" i="22" s="1"/>
  <c r="B70" i="22" s="1"/>
  <c r="Q342" i="22"/>
  <c r="P342" i="22" s="1"/>
  <c r="V342" i="22" s="1"/>
  <c r="B342" i="22" s="1"/>
  <c r="Q66" i="22"/>
  <c r="P66" i="22" s="1"/>
  <c r="V66" i="22" s="1"/>
  <c r="B66" i="22" s="1"/>
  <c r="Q92" i="22"/>
  <c r="P92" i="22" s="1"/>
  <c r="V92" i="22" s="1"/>
  <c r="B92" i="22" s="1"/>
  <c r="Q54" i="22"/>
  <c r="P54" i="22" s="1"/>
  <c r="V54" i="22" s="1"/>
  <c r="B54" i="22" s="1"/>
  <c r="Q282" i="22"/>
  <c r="P282" i="22" s="1"/>
  <c r="V282" i="22" s="1"/>
  <c r="B282" i="22" s="1"/>
  <c r="Q373" i="22"/>
  <c r="P373" i="22" s="1"/>
  <c r="V373" i="22" s="1"/>
  <c r="B373" i="22" s="1"/>
  <c r="Q366" i="22"/>
  <c r="P366" i="22" s="1"/>
  <c r="V366" i="22" s="1"/>
  <c r="B366" i="22" s="1"/>
  <c r="Q208" i="22"/>
  <c r="P208" i="22" s="1"/>
  <c r="V208" i="22" s="1"/>
  <c r="B208" i="22" s="1"/>
  <c r="Q116" i="22"/>
  <c r="P116" i="22" s="1"/>
  <c r="V116" i="22" s="1"/>
  <c r="B116" i="22" s="1"/>
  <c r="Q29" i="22"/>
  <c r="P29" i="22" s="1"/>
  <c r="Q365" i="22"/>
  <c r="P365" i="22" s="1"/>
  <c r="V365" i="22" s="1"/>
  <c r="B365" i="22" s="1"/>
  <c r="Q262" i="22"/>
  <c r="P262" i="22" s="1"/>
  <c r="V262" i="22" s="1"/>
  <c r="B262" i="22" s="1"/>
  <c r="Q248" i="22"/>
  <c r="P248" i="22" s="1"/>
  <c r="V248" i="22" s="1"/>
  <c r="B248" i="22" s="1"/>
  <c r="Q187" i="22"/>
  <c r="P187" i="22" s="1"/>
  <c r="V187" i="22" s="1"/>
  <c r="B187" i="22" s="1"/>
  <c r="Q88" i="22"/>
  <c r="P88" i="22" s="1"/>
  <c r="Q212" i="22"/>
  <c r="P212" i="22" s="1"/>
  <c r="V212" i="22" s="1"/>
  <c r="B212" i="22" s="1"/>
  <c r="Q201" i="22"/>
  <c r="P201" i="22" s="1"/>
  <c r="V201" i="22" s="1"/>
  <c r="B201" i="22" s="1"/>
  <c r="Q140" i="22"/>
  <c r="P140" i="22" s="1"/>
  <c r="V140" i="22" s="1"/>
  <c r="B140" i="22" s="1"/>
  <c r="Q268" i="22"/>
  <c r="P268" i="22" s="1"/>
  <c r="V268" i="22" s="1"/>
  <c r="B268" i="22" s="1"/>
  <c r="Q213" i="22"/>
  <c r="P213" i="22" s="1"/>
  <c r="V213" i="22" s="1"/>
  <c r="B213" i="22" s="1"/>
  <c r="Q235" i="22"/>
  <c r="P235" i="22" s="1"/>
  <c r="V235" i="22" s="1"/>
  <c r="B235" i="22" s="1"/>
  <c r="Q328" i="22"/>
  <c r="P328" i="22" s="1"/>
  <c r="V328" i="22" s="1"/>
  <c r="B328" i="22" s="1"/>
  <c r="Q265" i="22"/>
  <c r="P265" i="22" s="1"/>
  <c r="V265" i="22" s="1"/>
  <c r="B265" i="22" s="1"/>
  <c r="Q56" i="22"/>
  <c r="P56" i="22" s="1"/>
  <c r="V56" i="22" s="1"/>
  <c r="B56" i="22" s="1"/>
  <c r="Q331" i="22"/>
  <c r="P331" i="22" s="1"/>
  <c r="V331" i="22" s="1"/>
  <c r="B331" i="22" s="1"/>
  <c r="Q244" i="22"/>
  <c r="P244" i="22" s="1"/>
  <c r="V244" i="22" s="1"/>
  <c r="B244" i="22" s="1"/>
  <c r="Q134" i="22"/>
  <c r="P134" i="22" s="1"/>
  <c r="V134" i="22" s="1"/>
  <c r="B134" i="22" s="1"/>
  <c r="Q130" i="22"/>
  <c r="P130" i="22" s="1"/>
  <c r="V130" i="22" s="1"/>
  <c r="B130" i="22" s="1"/>
  <c r="Q334" i="22"/>
  <c r="P334" i="22" s="1"/>
  <c r="V334" i="22" s="1"/>
  <c r="B334" i="22" s="1"/>
  <c r="Q246" i="22"/>
  <c r="P246" i="22" s="1"/>
  <c r="V246" i="22" s="1"/>
  <c r="B246" i="22" s="1"/>
  <c r="Q95" i="22"/>
  <c r="P95" i="22" s="1"/>
  <c r="V95" i="22" s="1"/>
  <c r="B95" i="22" s="1"/>
  <c r="Q40" i="22"/>
  <c r="P40" i="22" s="1"/>
  <c r="V40" i="22" s="1"/>
  <c r="B40" i="22" s="1"/>
  <c r="Q352" i="22"/>
  <c r="P352" i="22" s="1"/>
  <c r="V352" i="22" s="1"/>
  <c r="B352" i="22" s="1"/>
  <c r="Q303" i="22"/>
  <c r="P303" i="22" s="1"/>
  <c r="V303" i="22" s="1"/>
  <c r="B303" i="22" s="1"/>
  <c r="Q302" i="22"/>
  <c r="P302" i="22" s="1"/>
  <c r="Q125" i="22"/>
  <c r="P125" i="22" s="1"/>
  <c r="V125" i="22" s="1"/>
  <c r="B125" i="22" s="1"/>
  <c r="Q128" i="22"/>
  <c r="P128" i="22" s="1"/>
  <c r="V128" i="22" s="1"/>
  <c r="B128" i="22" s="1"/>
  <c r="AE19" i="22"/>
  <c r="AD19" i="22" s="1"/>
  <c r="AE50" i="22"/>
  <c r="AD50" i="22" s="1"/>
  <c r="AE302" i="22"/>
  <c r="AD302" i="22" s="1"/>
  <c r="AE362" i="22"/>
  <c r="AD362" i="22" s="1"/>
  <c r="AE20" i="22"/>
  <c r="AD20" i="22" s="1"/>
  <c r="AE224" i="22"/>
  <c r="AD224" i="22" s="1"/>
  <c r="AE293" i="22"/>
  <c r="AD293" i="22" s="1"/>
  <c r="AE16" i="22"/>
  <c r="AD16" i="22" s="1"/>
  <c r="AE123" i="22"/>
  <c r="AD123" i="22" s="1"/>
  <c r="AE45" i="22"/>
  <c r="AD45" i="22" s="1"/>
  <c r="AE132" i="22"/>
  <c r="AD132" i="22" s="1"/>
  <c r="AE272" i="22"/>
  <c r="AD272" i="22" s="1"/>
  <c r="AE271" i="22"/>
  <c r="AD271" i="22" s="1"/>
  <c r="AE154" i="22"/>
  <c r="AD154" i="22" s="1"/>
  <c r="AE17" i="22"/>
  <c r="AD17" i="22" s="1"/>
  <c r="AE219" i="22"/>
  <c r="AD219" i="22" s="1"/>
  <c r="AE345" i="22"/>
  <c r="AD345" i="22" s="1"/>
  <c r="AE316" i="22"/>
  <c r="AD316" i="22" s="1"/>
  <c r="AE218" i="22"/>
  <c r="AD218" i="22" s="1"/>
  <c r="AE325" i="22"/>
  <c r="AD325" i="22" s="1"/>
  <c r="AE146" i="22"/>
  <c r="AD146" i="22" s="1"/>
  <c r="AE349" i="22"/>
  <c r="AD349" i="22" s="1"/>
  <c r="AE358" i="22"/>
  <c r="AD358" i="22" s="1"/>
  <c r="AE155" i="22"/>
  <c r="AD155" i="22" s="1"/>
  <c r="AE186" i="22"/>
  <c r="AD186" i="22" s="1"/>
  <c r="AE25" i="22"/>
  <c r="AD25" i="22" s="1"/>
  <c r="AE165" i="22"/>
  <c r="AD165" i="22" s="1"/>
  <c r="AE252" i="22"/>
  <c r="AD252" i="22" s="1"/>
  <c r="AE360" i="22"/>
  <c r="AD360" i="22" s="1"/>
  <c r="AE214" i="22"/>
  <c r="AD214" i="22" s="1"/>
  <c r="AE309" i="22"/>
  <c r="AD309" i="22" s="1"/>
  <c r="AE332" i="22"/>
  <c r="AD332" i="22" s="1"/>
  <c r="AE331" i="22"/>
  <c r="AD331" i="22" s="1"/>
  <c r="AE61" i="22"/>
  <c r="AD61" i="22" s="1"/>
  <c r="AE201" i="22"/>
  <c r="AD201" i="22" s="1"/>
  <c r="AE192" i="22"/>
  <c r="AD192" i="22" s="1"/>
  <c r="AE92" i="22"/>
  <c r="AD92" i="22" s="1"/>
  <c r="AE231" i="22"/>
  <c r="AD231" i="22" s="1"/>
  <c r="AE338" i="22"/>
  <c r="AD338" i="22" s="1"/>
  <c r="AE187" i="22"/>
  <c r="AD187" i="22" s="1"/>
  <c r="AE166" i="22"/>
  <c r="AD166" i="22" s="1"/>
  <c r="AE322" i="22"/>
  <c r="AD322" i="22" s="1"/>
  <c r="AE167" i="22"/>
  <c r="AD167" i="22" s="1"/>
  <c r="AE264" i="22"/>
  <c r="AD264" i="22" s="1"/>
  <c r="AE134" i="22"/>
  <c r="AD134" i="22" s="1"/>
  <c r="AE143" i="22"/>
  <c r="AD143" i="22" s="1"/>
  <c r="AE323" i="22"/>
  <c r="AD323" i="22" s="1"/>
  <c r="AE53" i="22"/>
  <c r="AD53" i="22" s="1"/>
  <c r="AE254" i="22"/>
  <c r="AD254" i="22" s="1"/>
  <c r="AE301" i="22"/>
  <c r="AD301" i="22" s="1"/>
  <c r="AE23" i="22"/>
  <c r="AD23" i="22" s="1"/>
  <c r="AE163" i="22"/>
  <c r="AD163" i="22" s="1"/>
  <c r="AE288" i="22"/>
  <c r="AD288" i="22" s="1"/>
  <c r="AE191" i="22"/>
  <c r="AD191" i="22" s="1"/>
  <c r="AE334" i="22"/>
  <c r="AD334" i="22" s="1"/>
  <c r="AE40" i="22"/>
  <c r="AD40" i="22" s="1"/>
  <c r="AE308" i="22"/>
  <c r="AD308" i="22" s="1"/>
  <c r="AE87" i="22"/>
  <c r="AD87" i="22" s="1"/>
  <c r="AE28" i="22"/>
  <c r="AD28" i="22" s="1"/>
  <c r="AE88" i="22"/>
  <c r="AD88" i="22" s="1"/>
  <c r="AE67" i="22"/>
  <c r="AD67" i="22" s="1"/>
  <c r="AE145" i="22"/>
  <c r="AD145" i="22" s="1"/>
  <c r="AE279" i="22"/>
  <c r="AD279" i="22" s="1"/>
  <c r="AE258" i="22"/>
  <c r="AD258" i="22" s="1"/>
  <c r="AE78" i="22"/>
  <c r="AD78" i="22" s="1"/>
  <c r="AE131" i="22"/>
  <c r="AD131" i="22" s="1"/>
  <c r="AE80" i="22"/>
  <c r="AD80" i="22" s="1"/>
  <c r="AE158" i="22"/>
  <c r="AD158" i="22" s="1"/>
  <c r="AE36" i="22"/>
  <c r="AD36" i="22" s="1"/>
  <c r="AE110" i="22"/>
  <c r="AD110" i="22" s="1"/>
  <c r="AE189" i="22"/>
  <c r="AD189" i="22" s="1"/>
  <c r="AE73" i="22"/>
  <c r="AD73" i="22" s="1"/>
  <c r="AE160" i="22"/>
  <c r="AD160" i="22" s="1"/>
  <c r="AE63" i="22"/>
  <c r="AD63" i="22" s="1"/>
  <c r="AE299" i="22"/>
  <c r="AD299" i="22" s="1"/>
  <c r="AE217" i="22"/>
  <c r="AD217" i="22" s="1"/>
  <c r="AE112" i="22"/>
  <c r="AD112" i="22" s="1"/>
  <c r="AE335" i="22"/>
  <c r="AD335" i="22" s="1"/>
  <c r="AE318" i="22"/>
  <c r="AD318" i="22" s="1"/>
  <c r="AE237" i="22"/>
  <c r="AD237" i="22" s="1"/>
  <c r="AE286" i="22"/>
  <c r="AD286" i="22" s="1"/>
  <c r="AE164" i="22"/>
  <c r="AD164" i="22" s="1"/>
  <c r="AE34" i="22"/>
  <c r="AD34" i="22" s="1"/>
  <c r="AE282" i="22"/>
  <c r="AD282" i="22" s="1"/>
  <c r="AE35" i="22"/>
  <c r="AD35" i="22" s="1"/>
  <c r="AE113" i="22"/>
  <c r="AD113" i="22" s="1"/>
  <c r="AE100" i="22"/>
  <c r="AD100" i="22" s="1"/>
  <c r="AE373" i="22"/>
  <c r="AD373" i="22" s="1"/>
  <c r="AE346" i="22"/>
  <c r="AD346" i="22" s="1"/>
  <c r="AE190" i="22"/>
  <c r="AD190" i="22" s="1"/>
  <c r="AE324" i="22"/>
  <c r="AD324" i="22" s="1"/>
  <c r="AE194" i="22"/>
  <c r="AD194" i="22" s="1"/>
  <c r="Q379" i="22"/>
  <c r="Q104" i="22"/>
  <c r="P104" i="22" s="1"/>
  <c r="V104" i="22" s="1"/>
  <c r="B104" i="22" s="1"/>
  <c r="Q77" i="22"/>
  <c r="P77" i="22" s="1"/>
  <c r="V77" i="22" s="1"/>
  <c r="B77" i="22" s="1"/>
  <c r="Q218" i="22"/>
  <c r="P218" i="22" s="1"/>
  <c r="V218" i="22" s="1"/>
  <c r="B218" i="22" s="1"/>
  <c r="Q364" i="22"/>
  <c r="P364" i="22" s="1"/>
  <c r="V364" i="22" s="1"/>
  <c r="B364" i="22" s="1"/>
  <c r="Q239" i="22"/>
  <c r="P239" i="22" s="1"/>
  <c r="V239" i="22" s="1"/>
  <c r="B239" i="22" s="1"/>
  <c r="Q138" i="22"/>
  <c r="P138" i="22" s="1"/>
  <c r="V138" i="22" s="1"/>
  <c r="B138" i="22" s="1"/>
  <c r="Q16" i="22"/>
  <c r="P16" i="22" s="1"/>
  <c r="V16" i="22" s="1"/>
  <c r="B16" i="22" s="1"/>
  <c r="Q217" i="22"/>
  <c r="P217" i="22" s="1"/>
  <c r="V217" i="22" s="1"/>
  <c r="B217" i="22" s="1"/>
  <c r="Q194" i="22"/>
  <c r="P194" i="22" s="1"/>
  <c r="V194" i="22" s="1"/>
  <c r="B194" i="22" s="1"/>
  <c r="Q39" i="22"/>
  <c r="P39" i="22" s="1"/>
  <c r="V39" i="22" s="1"/>
  <c r="B39" i="22" s="1"/>
  <c r="Q84" i="22"/>
  <c r="P84" i="22" s="1"/>
  <c r="V84" i="22" s="1"/>
  <c r="B84" i="22" s="1"/>
  <c r="Q61" i="22"/>
  <c r="P61" i="22" s="1"/>
  <c r="V61" i="22" s="1"/>
  <c r="B61" i="22" s="1"/>
  <c r="Q375" i="22"/>
  <c r="P375" i="22" s="1"/>
  <c r="V375" i="22" s="1"/>
  <c r="B375" i="22" s="1"/>
  <c r="Q276" i="22"/>
  <c r="P276" i="22" s="1"/>
  <c r="V276" i="22" s="1"/>
  <c r="B276" i="22" s="1"/>
  <c r="Q308" i="22"/>
  <c r="P308" i="22" s="1"/>
  <c r="V308" i="22" s="1"/>
  <c r="B308" i="22" s="1"/>
  <c r="Q304" i="22"/>
  <c r="P304" i="22" s="1"/>
  <c r="V304" i="22" s="1"/>
  <c r="B304" i="22" s="1"/>
  <c r="Q63" i="22"/>
  <c r="P63" i="22" s="1"/>
  <c r="V63" i="22" s="1"/>
  <c r="B63" i="22" s="1"/>
  <c r="Q37" i="22"/>
  <c r="P37" i="22" s="1"/>
  <c r="V37" i="22" s="1"/>
  <c r="B37" i="22" s="1"/>
  <c r="Q141" i="22"/>
  <c r="P141" i="22" s="1"/>
  <c r="V141" i="22" s="1"/>
  <c r="B141" i="22" s="1"/>
  <c r="Q143" i="22"/>
  <c r="P143" i="22" s="1"/>
  <c r="V143" i="22" s="1"/>
  <c r="B143" i="22" s="1"/>
  <c r="Q329" i="22"/>
  <c r="P329" i="22" s="1"/>
  <c r="V329" i="22" s="1"/>
  <c r="B329" i="22" s="1"/>
  <c r="Q283" i="22"/>
  <c r="P283" i="22" s="1"/>
  <c r="V283" i="22" s="1"/>
  <c r="B283" i="22" s="1"/>
  <c r="Q263" i="22"/>
  <c r="P263" i="22" s="1"/>
  <c r="V263" i="22" s="1"/>
  <c r="B263" i="22" s="1"/>
  <c r="Q162" i="22"/>
  <c r="P162" i="22" s="1"/>
  <c r="V162" i="22" s="1"/>
  <c r="B162" i="22" s="1"/>
  <c r="Q96" i="22"/>
  <c r="P96" i="22" s="1"/>
  <c r="V96" i="22" s="1"/>
  <c r="B96" i="22" s="1"/>
  <c r="Q257" i="22"/>
  <c r="P257" i="22" s="1"/>
  <c r="V257" i="22" s="1"/>
  <c r="B257" i="22" s="1"/>
  <c r="Q307" i="22"/>
  <c r="P307" i="22" s="1"/>
  <c r="V307" i="22" s="1"/>
  <c r="B307" i="22" s="1"/>
  <c r="Q231" i="22"/>
  <c r="P231" i="22" s="1"/>
  <c r="V231" i="22" s="1"/>
  <c r="B231" i="22" s="1"/>
  <c r="Q378" i="22"/>
  <c r="P378" i="22" s="1"/>
  <c r="V378" i="22" s="1"/>
  <c r="B378" i="22" s="1"/>
  <c r="Q234" i="22"/>
  <c r="P234" i="22" s="1"/>
  <c r="V234" i="22" s="1"/>
  <c r="B234" i="22" s="1"/>
  <c r="Q363" i="22"/>
  <c r="P363" i="22" s="1"/>
  <c r="Q374" i="22"/>
  <c r="P374" i="22" s="1"/>
  <c r="V374" i="22" s="1"/>
  <c r="B374" i="22" s="1"/>
  <c r="Q148" i="22"/>
  <c r="P148" i="22" s="1"/>
  <c r="V148" i="22" s="1"/>
  <c r="B148" i="22" s="1"/>
  <c r="Q17" i="22"/>
  <c r="P17" i="22" s="1"/>
  <c r="V17" i="22" s="1"/>
  <c r="B17" i="22" s="1"/>
  <c r="Q122" i="22"/>
  <c r="P122" i="22" s="1"/>
  <c r="V122" i="22" s="1"/>
  <c r="B122" i="22" s="1"/>
  <c r="Q181" i="22"/>
  <c r="P181" i="22" s="1"/>
  <c r="V181" i="22" s="1"/>
  <c r="B181" i="22" s="1"/>
  <c r="Q215" i="22"/>
  <c r="P215" i="22" s="1"/>
  <c r="V215" i="22" s="1"/>
  <c r="B215" i="22" s="1"/>
  <c r="Q305" i="22"/>
  <c r="P305" i="22" s="1"/>
  <c r="V305" i="22" s="1"/>
  <c r="B305" i="22" s="1"/>
  <c r="Q36" i="22"/>
  <c r="P36" i="22" s="1"/>
  <c r="V36" i="22" s="1"/>
  <c r="B36" i="22" s="1"/>
  <c r="Q250" i="22"/>
  <c r="P250" i="22" s="1"/>
  <c r="V250" i="22" s="1"/>
  <c r="B250" i="22" s="1"/>
  <c r="Q320" i="22"/>
  <c r="P320" i="22" s="1"/>
  <c r="V320" i="22" s="1"/>
  <c r="B320" i="22" s="1"/>
  <c r="Q271" i="22"/>
  <c r="P271" i="22" s="1"/>
  <c r="V271" i="22" s="1"/>
  <c r="B271" i="22" s="1"/>
  <c r="Q297" i="22"/>
  <c r="P297" i="22" s="1"/>
  <c r="V297" i="22" s="1"/>
  <c r="B297" i="22" s="1"/>
  <c r="Q300" i="22"/>
  <c r="P300" i="22" s="1"/>
  <c r="V300" i="22" s="1"/>
  <c r="B300" i="22" s="1"/>
  <c r="Q94" i="22"/>
  <c r="P94" i="22" s="1"/>
  <c r="V94" i="22" s="1"/>
  <c r="B94" i="22" s="1"/>
  <c r="Q210" i="22"/>
  <c r="P210" i="22" s="1"/>
  <c r="Q74" i="22"/>
  <c r="P74" i="22" s="1"/>
  <c r="V74" i="22" s="1"/>
  <c r="B74" i="22" s="1"/>
  <c r="Q243" i="22"/>
  <c r="P243" i="22" s="1"/>
  <c r="V243" i="22" s="1"/>
  <c r="B243" i="22" s="1"/>
  <c r="Q336" i="22"/>
  <c r="P336" i="22" s="1"/>
  <c r="V336" i="22" s="1"/>
  <c r="B336" i="22" s="1"/>
  <c r="Q311" i="22"/>
  <c r="P311" i="22" s="1"/>
  <c r="V311" i="22" s="1"/>
  <c r="B311" i="22" s="1"/>
  <c r="Q197" i="22"/>
  <c r="P197" i="22" s="1"/>
  <c r="V197" i="22" s="1"/>
  <c r="B197" i="22" s="1"/>
  <c r="Q75" i="22"/>
  <c r="P75" i="22" s="1"/>
  <c r="V75" i="22" s="1"/>
  <c r="B75" i="22" s="1"/>
  <c r="Q226" i="22"/>
  <c r="P226" i="22" s="1"/>
  <c r="V226" i="22" s="1"/>
  <c r="B226" i="22" s="1"/>
  <c r="Q380" i="22"/>
  <c r="P380" i="22" s="1"/>
  <c r="V380" i="22" s="1"/>
  <c r="Q151" i="22"/>
  <c r="P151" i="22" s="1"/>
  <c r="V151" i="22" s="1"/>
  <c r="B151" i="22" s="1"/>
  <c r="Q255" i="22"/>
  <c r="P255" i="22" s="1"/>
  <c r="V255" i="22" s="1"/>
  <c r="B255" i="22" s="1"/>
  <c r="Q103" i="22"/>
  <c r="P103" i="22" s="1"/>
  <c r="V103" i="22" s="1"/>
  <c r="B103" i="22" s="1"/>
  <c r="Q204" i="22"/>
  <c r="P204" i="22" s="1"/>
  <c r="V204" i="22" s="1"/>
  <c r="B204" i="22" s="1"/>
  <c r="Q241" i="22"/>
  <c r="P241" i="22" s="1"/>
  <c r="Q281" i="22"/>
  <c r="P281" i="22" s="1"/>
  <c r="V281" i="22" s="1"/>
  <c r="B281" i="22" s="1"/>
  <c r="Q146" i="22"/>
  <c r="P146" i="22" s="1"/>
  <c r="V146" i="22" s="1"/>
  <c r="B146" i="22" s="1"/>
  <c r="Q179" i="22"/>
  <c r="P179" i="22" s="1"/>
  <c r="V179" i="22" s="1"/>
  <c r="B179" i="22" s="1"/>
  <c r="Q153" i="22"/>
  <c r="P153" i="22" s="1"/>
  <c r="V153" i="22" s="1"/>
  <c r="B153" i="22" s="1"/>
  <c r="Q24" i="22"/>
  <c r="P24" i="22" s="1"/>
  <c r="V24" i="22" s="1"/>
  <c r="B24" i="22" s="1"/>
  <c r="Q340" i="22"/>
  <c r="P340" i="22" s="1"/>
  <c r="V340" i="22" s="1"/>
  <c r="B340" i="22" s="1"/>
  <c r="Q326" i="22"/>
  <c r="P326" i="22" s="1"/>
  <c r="V326" i="22" s="1"/>
  <c r="B326" i="22" s="1"/>
  <c r="Q223" i="22"/>
  <c r="P223" i="22" s="1"/>
  <c r="V223" i="22" s="1"/>
  <c r="B223" i="22" s="1"/>
  <c r="Q107" i="22"/>
  <c r="P107" i="22" s="1"/>
  <c r="V107" i="22" s="1"/>
  <c r="B107" i="22" s="1"/>
  <c r="Q191" i="22"/>
  <c r="P191" i="22" s="1"/>
  <c r="V191" i="22" s="1"/>
  <c r="B191" i="22" s="1"/>
  <c r="Q293" i="22"/>
  <c r="P293" i="22" s="1"/>
  <c r="V293" i="22" s="1"/>
  <c r="B293" i="22" s="1"/>
  <c r="Q227" i="22"/>
  <c r="P227" i="22" s="1"/>
  <c r="V227" i="22" s="1"/>
  <c r="Q23" i="22"/>
  <c r="P23" i="22" s="1"/>
  <c r="V23" i="22" s="1"/>
  <c r="B23" i="22" s="1"/>
  <c r="Q171" i="22"/>
  <c r="P171" i="22" s="1"/>
  <c r="V171" i="22" s="1"/>
  <c r="B171" i="22" s="1"/>
  <c r="Q287" i="22"/>
  <c r="P287" i="22" s="1"/>
  <c r="V287" i="22" s="1"/>
  <c r="B287" i="22" s="1"/>
  <c r="Q219" i="22"/>
  <c r="P219" i="22" s="1"/>
  <c r="V219" i="22" s="1"/>
  <c r="B219" i="22" s="1"/>
  <c r="Q76" i="22"/>
  <c r="P76" i="22" s="1"/>
  <c r="V76" i="22" s="1"/>
  <c r="B76" i="22" s="1"/>
  <c r="Q98" i="22"/>
  <c r="P98" i="22" s="1"/>
  <c r="V98" i="22" s="1"/>
  <c r="B98" i="22" s="1"/>
  <c r="Q286" i="22"/>
  <c r="P286" i="22" s="1"/>
  <c r="V286" i="22" s="1"/>
  <c r="B286" i="22" s="1"/>
  <c r="Q168" i="22"/>
  <c r="P168" i="22" s="1"/>
  <c r="V168" i="22" s="1"/>
  <c r="B168" i="22" s="1"/>
  <c r="Q69" i="22"/>
  <c r="P69" i="22" s="1"/>
  <c r="V69" i="22" s="1"/>
  <c r="B69" i="22" s="1"/>
  <c r="Q251" i="22"/>
  <c r="P251" i="22" s="1"/>
  <c r="V251" i="22" s="1"/>
  <c r="B251" i="22" s="1"/>
  <c r="Q360" i="22"/>
  <c r="P360" i="22" s="1"/>
  <c r="V360" i="22" s="1"/>
  <c r="B360" i="22" s="1"/>
  <c r="Q211" i="22"/>
  <c r="P211" i="22" s="1"/>
  <c r="V211" i="22" s="1"/>
  <c r="B211" i="22" s="1"/>
  <c r="Q163" i="22"/>
  <c r="P163" i="22" s="1"/>
  <c r="V163" i="22" s="1"/>
  <c r="B163" i="22" s="1"/>
  <c r="Q232" i="22"/>
  <c r="P232" i="22" s="1"/>
  <c r="V232" i="22" s="1"/>
  <c r="B232" i="22" s="1"/>
  <c r="Q49" i="22"/>
  <c r="P49" i="22" s="1"/>
  <c r="V49" i="22" s="1"/>
  <c r="B49" i="22" s="1"/>
  <c r="Q164" i="22"/>
  <c r="P164" i="22" s="1"/>
  <c r="V164" i="22" s="1"/>
  <c r="B164" i="22" s="1"/>
  <c r="Q136" i="22"/>
  <c r="P136" i="22" s="1"/>
  <c r="V136" i="22" s="1"/>
  <c r="B136" i="22" s="1"/>
  <c r="Q264" i="22"/>
  <c r="P264" i="22" s="1"/>
  <c r="V264" i="22" s="1"/>
  <c r="B264" i="22" s="1"/>
  <c r="Q53" i="22"/>
  <c r="P53" i="22" s="1"/>
  <c r="V53" i="22" s="1"/>
  <c r="B53" i="22" s="1"/>
  <c r="Q377" i="22"/>
  <c r="P377" i="22" s="1"/>
  <c r="V377" i="22" s="1"/>
  <c r="B377" i="22" s="1"/>
  <c r="Q139" i="22"/>
  <c r="P139" i="22" s="1"/>
  <c r="V139" i="22" s="1"/>
  <c r="B139" i="22" s="1"/>
  <c r="Q106" i="22"/>
  <c r="P106" i="22" s="1"/>
  <c r="V106" i="22" s="1"/>
  <c r="B106" i="22" s="1"/>
  <c r="Q236" i="22"/>
  <c r="P236" i="22" s="1"/>
  <c r="V236" i="22" s="1"/>
  <c r="B236" i="22" s="1"/>
  <c r="Q169" i="22"/>
  <c r="P169" i="22" s="1"/>
  <c r="V169" i="22" s="1"/>
  <c r="B169" i="22" s="1"/>
  <c r="Q256" i="22"/>
  <c r="P256" i="22" s="1"/>
  <c r="V256" i="22" s="1"/>
  <c r="B256" i="22" s="1"/>
  <c r="Q230" i="22"/>
  <c r="P230" i="22" s="1"/>
  <c r="V230" i="22" s="1"/>
  <c r="B230" i="22" s="1"/>
  <c r="Q72" i="22"/>
  <c r="P72" i="22" s="1"/>
  <c r="V72" i="22" s="1"/>
  <c r="B72" i="22" s="1"/>
  <c r="Q252" i="22"/>
  <c r="P252" i="22" s="1"/>
  <c r="V252" i="22" s="1"/>
  <c r="B252" i="22" s="1"/>
  <c r="Q216" i="22"/>
  <c r="P216" i="22" s="1"/>
  <c r="V216" i="22" s="1"/>
  <c r="B216" i="22" s="1"/>
  <c r="Q112" i="22"/>
  <c r="P112" i="22" s="1"/>
  <c r="V112" i="22" s="1"/>
  <c r="B112" i="22" s="1"/>
  <c r="Q85" i="22"/>
  <c r="P85" i="22" s="1"/>
  <c r="V85" i="22" s="1"/>
  <c r="B85" i="22" s="1"/>
  <c r="Q313" i="22"/>
  <c r="P313" i="22" s="1"/>
  <c r="V313" i="22" s="1"/>
  <c r="B313" i="22" s="1"/>
  <c r="Q51" i="22"/>
  <c r="P51" i="22" s="1"/>
  <c r="V51" i="22" s="1"/>
  <c r="B51" i="22" s="1"/>
  <c r="Q28" i="22"/>
  <c r="P28" i="22" s="1"/>
  <c r="V28" i="22" s="1"/>
  <c r="B28" i="22" s="1"/>
  <c r="Q175" i="22"/>
  <c r="P175" i="22" s="1"/>
  <c r="V175" i="22" s="1"/>
  <c r="B175" i="22" s="1"/>
  <c r="AE108" i="22"/>
  <c r="AD108" i="22" s="1"/>
  <c r="AE107" i="22"/>
  <c r="AD107" i="22" s="1"/>
  <c r="AE311" i="22"/>
  <c r="AD311" i="22" s="1"/>
  <c r="AE86" i="22"/>
  <c r="AD86" i="22" s="1"/>
  <c r="AE181" i="22"/>
  <c r="AD181" i="22" s="1"/>
  <c r="AE273" i="22"/>
  <c r="AD273" i="22" s="1"/>
  <c r="AE366" i="22"/>
  <c r="AD366" i="22" s="1"/>
  <c r="AE72" i="22"/>
  <c r="AD72" i="22" s="1"/>
  <c r="AE103" i="22"/>
  <c r="AD103" i="22" s="1"/>
  <c r="AE198" i="22"/>
  <c r="AD198" i="22" s="1"/>
  <c r="AE101" i="22"/>
  <c r="AD101" i="22" s="1"/>
  <c r="AE353" i="22"/>
  <c r="AD353" i="22" s="1"/>
  <c r="AE297" i="22"/>
  <c r="AD297" i="22" s="1"/>
  <c r="AE31" i="22"/>
  <c r="AD31" i="22" s="1"/>
  <c r="AE343" i="22"/>
  <c r="AD343" i="22" s="1"/>
  <c r="AE213" i="22"/>
  <c r="AD213" i="22" s="1"/>
  <c r="AE142" i="22"/>
  <c r="AD142" i="22" s="1"/>
  <c r="AE105" i="22"/>
  <c r="AD105" i="22" s="1"/>
  <c r="AE370" i="22"/>
  <c r="AD370" i="22" s="1"/>
  <c r="AE170" i="22"/>
  <c r="AD170" i="22" s="1"/>
  <c r="AE356" i="22"/>
  <c r="AD356" i="22" s="1"/>
  <c r="AE117" i="22"/>
  <c r="AD117" i="22" s="1"/>
  <c r="AE376" i="22"/>
  <c r="AD376" i="22" s="1"/>
  <c r="AE244" i="22"/>
  <c r="AD244" i="22" s="1"/>
  <c r="AE339" i="22"/>
  <c r="AD339" i="22" s="1"/>
  <c r="AE223" i="22"/>
  <c r="AD223" i="22" s="1"/>
  <c r="AE238" i="22"/>
  <c r="AD238" i="22" s="1"/>
  <c r="AE317" i="22"/>
  <c r="AD317" i="22" s="1"/>
  <c r="AE84" i="22"/>
  <c r="AD84" i="22" s="1"/>
  <c r="AE367" i="22"/>
  <c r="AD367" i="22" s="1"/>
  <c r="AE350" i="22"/>
  <c r="AD350" i="22" s="1"/>
  <c r="AE24" i="22"/>
  <c r="AD24" i="22" s="1"/>
  <c r="AE119" i="22"/>
  <c r="AD119" i="22" s="1"/>
  <c r="AE22" i="22"/>
  <c r="AD22" i="22" s="1"/>
  <c r="AE245" i="22"/>
  <c r="AD245" i="22" s="1"/>
  <c r="AE139" i="22"/>
  <c r="AD139" i="22" s="1"/>
  <c r="AE246" i="22"/>
  <c r="AD246" i="22" s="1"/>
  <c r="AE177" i="22"/>
  <c r="AD177" i="22" s="1"/>
  <c r="AE55" i="22"/>
  <c r="AD55" i="22" s="1"/>
  <c r="AE64" i="22"/>
  <c r="AD64" i="22" s="1"/>
  <c r="AE312" i="22"/>
  <c r="AD312" i="22" s="1"/>
  <c r="AE212" i="22"/>
  <c r="AD212" i="22" s="1"/>
  <c r="AE369" i="22"/>
  <c r="AD369" i="22" s="1"/>
  <c r="AE149" i="22"/>
  <c r="AD149" i="22" s="1"/>
  <c r="AE171" i="22"/>
  <c r="AD171" i="22" s="1"/>
  <c r="AE169" i="22"/>
  <c r="AD169" i="22" s="1"/>
  <c r="AE111" i="22"/>
  <c r="AD111" i="22" s="1"/>
  <c r="AE94" i="22"/>
  <c r="AD94" i="22" s="1"/>
  <c r="AE359" i="22"/>
  <c r="AD359" i="22" s="1"/>
  <c r="AE89" i="22"/>
  <c r="AD89" i="22" s="1"/>
  <c r="AE357" i="22"/>
  <c r="AD357" i="22" s="1"/>
  <c r="AE354" i="22"/>
  <c r="AD354" i="22" s="1"/>
  <c r="AE337" i="22"/>
  <c r="AD337" i="22" s="1"/>
  <c r="AE248" i="22"/>
  <c r="AD248" i="22" s="1"/>
  <c r="AE106" i="22"/>
  <c r="AD106" i="22" s="1"/>
  <c r="AE137" i="22"/>
  <c r="AD137" i="22" s="1"/>
  <c r="AE341" i="22"/>
  <c r="AD341" i="22" s="1"/>
  <c r="AE257" i="22"/>
  <c r="AD257" i="22" s="1"/>
  <c r="AE291" i="22"/>
  <c r="AD291" i="22" s="1"/>
  <c r="AE210" i="22"/>
  <c r="AD210" i="22" s="1"/>
  <c r="AE285" i="22"/>
  <c r="AD285" i="22" s="1"/>
  <c r="AE38" i="22"/>
  <c r="AD38" i="22" s="1"/>
  <c r="AE321" i="22"/>
  <c r="AD321" i="22" s="1"/>
  <c r="AE39" i="22"/>
  <c r="AD39" i="22" s="1"/>
  <c r="AE304" i="22"/>
  <c r="AD304" i="22" s="1"/>
  <c r="AE221" i="22"/>
  <c r="AD221" i="22" s="1"/>
  <c r="AE298" i="22"/>
  <c r="AD298" i="22" s="1"/>
  <c r="AE51" i="22"/>
  <c r="AD51" i="22" s="1"/>
  <c r="AE206" i="22"/>
  <c r="AD206" i="22" s="1"/>
  <c r="AE247" i="22"/>
  <c r="AD247" i="22" s="1"/>
  <c r="AE150" i="22"/>
  <c r="AD150" i="22" s="1"/>
  <c r="AE226" i="22"/>
  <c r="AD226" i="22" s="1"/>
  <c r="AE209" i="22"/>
  <c r="AD209" i="22" s="1"/>
  <c r="AE120" i="22"/>
  <c r="AD120" i="22" s="1"/>
  <c r="AE275" i="22"/>
  <c r="AD275" i="22" s="1"/>
  <c r="AE306" i="22"/>
  <c r="AD306" i="22" s="1"/>
  <c r="AE193" i="22"/>
  <c r="AD193" i="22" s="1"/>
  <c r="AE27" i="22"/>
  <c r="AD27" i="22" s="1"/>
  <c r="AE58" i="22"/>
  <c r="AD58" i="22" s="1"/>
  <c r="AE262" i="22"/>
  <c r="AD262" i="22" s="1"/>
  <c r="AE179" i="22"/>
  <c r="AD179" i="22" s="1"/>
  <c r="AE141" i="22"/>
  <c r="AD141" i="22" s="1"/>
  <c r="AE52" i="22"/>
  <c r="AD52" i="22" s="1"/>
  <c r="AE159" i="22"/>
  <c r="AD159" i="22" s="1"/>
  <c r="AE253" i="22"/>
  <c r="AD253" i="22" s="1"/>
  <c r="AE115" i="22"/>
  <c r="AD115" i="22" s="1"/>
  <c r="AE270" i="22"/>
  <c r="AD270" i="22" s="1"/>
  <c r="AE233" i="22"/>
  <c r="AD233" i="22" s="1"/>
  <c r="AE95" i="22"/>
  <c r="AD95" i="22" s="1"/>
  <c r="AE83" i="22"/>
  <c r="AD83" i="22" s="1"/>
  <c r="AE129" i="22"/>
  <c r="AD129" i="22" s="1"/>
  <c r="AE340" i="22"/>
  <c r="AD340" i="22" s="1"/>
  <c r="Q55" i="22"/>
  <c r="P55" i="22" s="1"/>
  <c r="V55" i="22" s="1"/>
  <c r="B55" i="22" s="1"/>
  <c r="Q347" i="22"/>
  <c r="P347" i="22" s="1"/>
  <c r="V347" i="22" s="1"/>
  <c r="B347" i="22" s="1"/>
  <c r="Q310" i="22"/>
  <c r="P310" i="22" s="1"/>
  <c r="V310" i="22" s="1"/>
  <c r="B310" i="22" s="1"/>
  <c r="Q292" i="22"/>
  <c r="P292" i="22" s="1"/>
  <c r="V292" i="22" s="1"/>
  <c r="B292" i="22" s="1"/>
  <c r="Q38" i="22"/>
  <c r="P38" i="22" s="1"/>
  <c r="V38" i="22" s="1"/>
  <c r="B38" i="22" s="1"/>
  <c r="Q50" i="22"/>
  <c r="P50" i="22" s="1"/>
  <c r="V50" i="22" s="1"/>
  <c r="B50" i="22" s="1"/>
  <c r="Q145" i="22"/>
  <c r="P145" i="22" s="1"/>
  <c r="V145" i="22" s="1"/>
  <c r="B145" i="22" s="1"/>
  <c r="Q289" i="22"/>
  <c r="P289" i="22" s="1"/>
  <c r="V289" i="22" s="1"/>
  <c r="B289" i="22" s="1"/>
  <c r="Q170" i="22"/>
  <c r="P170" i="22" s="1"/>
  <c r="V170" i="22" s="1"/>
  <c r="B170" i="22" s="1"/>
  <c r="Q284" i="22"/>
  <c r="P284" i="22" s="1"/>
  <c r="V284" i="22" s="1"/>
  <c r="B284" i="22" s="1"/>
  <c r="Q357" i="22"/>
  <c r="P357" i="22" s="1"/>
  <c r="V357" i="22" s="1"/>
  <c r="B357" i="22" s="1"/>
  <c r="Q182" i="22"/>
  <c r="P182" i="22" s="1"/>
  <c r="V182" i="22" s="1"/>
  <c r="B182" i="22" s="1"/>
  <c r="Q78" i="22"/>
  <c r="P78" i="22" s="1"/>
  <c r="V78" i="22" s="1"/>
  <c r="B78" i="22" s="1"/>
  <c r="Q101" i="22"/>
  <c r="P101" i="22" s="1"/>
  <c r="V101" i="22" s="1"/>
  <c r="B101" i="22" s="1"/>
  <c r="Q309" i="22"/>
  <c r="P309" i="22" s="1"/>
  <c r="V309" i="22" s="1"/>
  <c r="B309" i="22" s="1"/>
  <c r="Q173" i="22"/>
  <c r="P173" i="22" s="1"/>
  <c r="V173" i="22" s="1"/>
  <c r="B173" i="22" s="1"/>
  <c r="Q222" i="22"/>
  <c r="P222" i="22" s="1"/>
  <c r="V222" i="22" s="1"/>
  <c r="B222" i="22" s="1"/>
  <c r="Q109" i="22"/>
  <c r="P109" i="22" s="1"/>
  <c r="V109" i="22" s="1"/>
  <c r="B109" i="22" s="1"/>
  <c r="Q337" i="22"/>
  <c r="P337" i="22" s="1"/>
  <c r="V337" i="22" s="1"/>
  <c r="B337" i="22" s="1"/>
  <c r="Q62" i="22"/>
  <c r="P62" i="22" s="1"/>
  <c r="V62" i="22" s="1"/>
  <c r="B62" i="22" s="1"/>
  <c r="Q32" i="22"/>
  <c r="P32" i="22" s="1"/>
  <c r="V32" i="22" s="1"/>
  <c r="B32" i="22" s="1"/>
  <c r="Q91" i="22"/>
  <c r="P91" i="22" s="1"/>
  <c r="V91" i="22" s="1"/>
  <c r="B91" i="22" s="1"/>
  <c r="Q185" i="22"/>
  <c r="P185" i="22" s="1"/>
  <c r="V185" i="22" s="1"/>
  <c r="B185" i="22" s="1"/>
  <c r="Q330" i="22"/>
  <c r="P330" i="22" s="1"/>
  <c r="V330" i="22" s="1"/>
  <c r="B330" i="22" s="1"/>
  <c r="Q221" i="22"/>
  <c r="P221" i="22" s="1"/>
  <c r="V221" i="22" s="1"/>
  <c r="B221" i="22" s="1"/>
  <c r="Q372" i="22"/>
  <c r="P372" i="22" s="1"/>
  <c r="V372" i="22" s="1"/>
  <c r="B372" i="22" s="1"/>
  <c r="Q254" i="22"/>
  <c r="P254" i="22" s="1"/>
  <c r="V254" i="22" s="1"/>
  <c r="B254" i="22" s="1"/>
  <c r="Q238" i="22"/>
  <c r="P238" i="22" s="1"/>
  <c r="V238" i="22" s="1"/>
  <c r="B238" i="22" s="1"/>
  <c r="Q356" i="22"/>
  <c r="P356" i="22" s="1"/>
  <c r="V356" i="22" s="1"/>
  <c r="B356" i="22" s="1"/>
  <c r="Q228" i="22"/>
  <c r="P228" i="22" s="1"/>
  <c r="V228" i="22" s="1"/>
  <c r="B228" i="22" s="1"/>
  <c r="Q20" i="22"/>
  <c r="P20" i="22" s="1"/>
  <c r="V20" i="22" s="1"/>
  <c r="B20" i="22" s="1"/>
  <c r="Q317" i="22"/>
  <c r="P317" i="22" s="1"/>
  <c r="V317" i="22" s="1"/>
  <c r="B317" i="22" s="1"/>
  <c r="Q58" i="22"/>
  <c r="P58" i="22" s="1"/>
  <c r="V58" i="22" s="1"/>
  <c r="B58" i="22" s="1"/>
  <c r="Q93" i="22"/>
  <c r="P93" i="22" s="1"/>
  <c r="V93" i="22" s="1"/>
  <c r="B93" i="22" s="1"/>
  <c r="Q361" i="22"/>
  <c r="P361" i="22" s="1"/>
  <c r="V361" i="22" s="1"/>
  <c r="B361" i="22" s="1"/>
  <c r="Q220" i="22"/>
  <c r="P220" i="22" s="1"/>
  <c r="V220" i="22" s="1"/>
  <c r="B220" i="22" s="1"/>
  <c r="Q119" i="22"/>
  <c r="P119" i="22" s="1"/>
  <c r="Q41" i="22"/>
  <c r="P41" i="22" s="1"/>
  <c r="V41" i="22" s="1"/>
  <c r="B41" i="22" s="1"/>
  <c r="Q147" i="22"/>
  <c r="P147" i="22" s="1"/>
  <c r="V147" i="22" s="1"/>
  <c r="B147" i="22" s="1"/>
  <c r="Q64" i="22"/>
  <c r="P64" i="22" s="1"/>
  <c r="V64" i="22" s="1"/>
  <c r="B64" i="22" s="1"/>
  <c r="Q245" i="22"/>
  <c r="P245" i="22" s="1"/>
  <c r="V245" i="22" s="1"/>
  <c r="B245" i="22" s="1"/>
  <c r="Q273" i="22"/>
  <c r="P273" i="22" s="1"/>
  <c r="V273" i="22" s="1"/>
  <c r="B273" i="22" s="1"/>
  <c r="Q121" i="22"/>
  <c r="P121" i="22" s="1"/>
  <c r="V121" i="22" s="1"/>
  <c r="B121" i="22" s="1"/>
  <c r="Q47" i="22"/>
  <c r="P47" i="22" s="1"/>
  <c r="V47" i="22" s="1"/>
  <c r="B47" i="22" s="1"/>
  <c r="Q229" i="22"/>
  <c r="P229" i="22" s="1"/>
  <c r="V229" i="22" s="1"/>
  <c r="B229" i="22" s="1"/>
  <c r="Q157" i="22"/>
  <c r="P157" i="22" s="1"/>
  <c r="V157" i="22" s="1"/>
  <c r="B157" i="22" s="1"/>
  <c r="Q133" i="22"/>
  <c r="P133" i="22" s="1"/>
  <c r="V133" i="22" s="1"/>
  <c r="B133" i="22" s="1"/>
  <c r="Q267" i="22"/>
  <c r="P267" i="22" s="1"/>
  <c r="V267" i="22" s="1"/>
  <c r="B267" i="22" s="1"/>
  <c r="Q233" i="22"/>
  <c r="P233" i="22" s="1"/>
  <c r="V233" i="22" s="1"/>
  <c r="B233" i="22" s="1"/>
  <c r="Q67" i="22"/>
  <c r="P67" i="22" s="1"/>
  <c r="V67" i="22" s="1"/>
  <c r="B67" i="22" s="1"/>
  <c r="Q316" i="22"/>
  <c r="P316" i="22" s="1"/>
  <c r="V316" i="22" s="1"/>
  <c r="B316" i="22" s="1"/>
  <c r="Q131" i="22"/>
  <c r="P131" i="22" s="1"/>
  <c r="V131" i="22" s="1"/>
  <c r="B131" i="22" s="1"/>
  <c r="Q65" i="22"/>
  <c r="P65" i="22" s="1"/>
  <c r="V65" i="22" s="1"/>
  <c r="B65" i="22" s="1"/>
  <c r="Q314" i="22"/>
  <c r="P314" i="22" s="1"/>
  <c r="V314" i="22" s="1"/>
  <c r="B314" i="22" s="1"/>
  <c r="Q144" i="22"/>
  <c r="P144" i="22" s="1"/>
  <c r="V144" i="22" s="1"/>
  <c r="B144" i="22" s="1"/>
  <c r="Q200" i="22"/>
  <c r="P200" i="22" s="1"/>
  <c r="V200" i="22" s="1"/>
  <c r="B200" i="22" s="1"/>
  <c r="Q351" i="22"/>
  <c r="P351" i="22" s="1"/>
  <c r="V351" i="22" s="1"/>
  <c r="B351" i="22" s="1"/>
  <c r="Q274" i="22"/>
  <c r="P274" i="22" s="1"/>
  <c r="V274" i="22" s="1"/>
  <c r="B274" i="22" s="1"/>
  <c r="Q26" i="22"/>
  <c r="P26" i="22" s="1"/>
  <c r="V26" i="22" s="1"/>
  <c r="B26" i="22" s="1"/>
  <c r="Q322" i="22"/>
  <c r="P322" i="22" s="1"/>
  <c r="V322" i="22" s="1"/>
  <c r="B322" i="22" s="1"/>
  <c r="Q102" i="22"/>
  <c r="P102" i="22" s="1"/>
  <c r="V102" i="22" s="1"/>
  <c r="B102" i="22" s="1"/>
  <c r="Q207" i="22"/>
  <c r="P207" i="22" s="1"/>
  <c r="V207" i="22" s="1"/>
  <c r="B207" i="22" s="1"/>
  <c r="Q80" i="22"/>
  <c r="P80" i="22" s="1"/>
  <c r="V80" i="22" s="1"/>
  <c r="B80" i="22" s="1"/>
  <c r="Q105" i="22"/>
  <c r="P105" i="22" s="1"/>
  <c r="V105" i="22" s="1"/>
  <c r="B105" i="22" s="1"/>
  <c r="Q301" i="22"/>
  <c r="P301" i="22" s="1"/>
  <c r="V301" i="22" s="1"/>
  <c r="B301" i="22" s="1"/>
  <c r="Q349" i="22"/>
  <c r="P349" i="22" s="1"/>
  <c r="V349" i="22" s="1"/>
  <c r="B349" i="22" s="1"/>
  <c r="Q198" i="22"/>
  <c r="P198" i="22" s="1"/>
  <c r="V198" i="22" s="1"/>
  <c r="B198" i="22" s="1"/>
  <c r="Q190" i="22"/>
  <c r="P190" i="22" s="1"/>
  <c r="V190" i="22" s="1"/>
  <c r="B190" i="22" s="1"/>
  <c r="Q242" i="22"/>
  <c r="P242" i="22" s="1"/>
  <c r="V242" i="22" s="1"/>
  <c r="B242" i="22" s="1"/>
  <c r="AE173" i="22"/>
  <c r="AD173" i="22" s="1"/>
  <c r="AE260" i="22"/>
  <c r="AD260" i="22" s="1"/>
  <c r="AE144" i="22"/>
  <c r="AD144" i="22" s="1"/>
  <c r="AE239" i="22"/>
  <c r="AD239" i="22" s="1"/>
  <c r="AE222" i="22"/>
  <c r="AD222" i="22" s="1"/>
  <c r="AE378" i="22"/>
  <c r="AD378" i="22" s="1"/>
  <c r="AE138" i="22"/>
  <c r="AD138" i="22" s="1"/>
  <c r="AE41" i="22"/>
  <c r="AD41" i="22" s="1"/>
  <c r="AE256" i="22"/>
  <c r="AD256" i="22" s="1"/>
  <c r="AE287" i="22"/>
  <c r="AD287" i="22" s="1"/>
  <c r="AE174" i="22"/>
  <c r="AD174" i="22" s="1"/>
  <c r="AE176" i="22"/>
  <c r="AD176" i="22" s="1"/>
  <c r="AE93" i="22"/>
  <c r="AD93" i="22" s="1"/>
  <c r="AE249" i="22"/>
  <c r="AD249" i="22" s="1"/>
  <c r="AE220" i="22"/>
  <c r="AD220" i="22" s="1"/>
  <c r="AE250" i="22"/>
  <c r="AD250" i="22" s="1"/>
  <c r="AE240" i="22"/>
  <c r="AD240" i="22" s="1"/>
  <c r="AE315" i="22"/>
  <c r="AD315" i="22" s="1"/>
  <c r="AE215" i="22"/>
  <c r="AD215" i="22" s="1"/>
  <c r="AE156" i="22"/>
  <c r="AD156" i="22" s="1"/>
  <c r="AE161" i="22"/>
  <c r="AD161" i="22" s="1"/>
  <c r="AE263" i="22"/>
  <c r="AD263" i="22" s="1"/>
  <c r="AE133" i="22"/>
  <c r="AD133" i="22" s="1"/>
  <c r="AE32" i="22"/>
  <c r="AD32" i="22" s="1"/>
  <c r="AE300" i="22"/>
  <c r="AD300" i="22" s="1"/>
  <c r="AE280" i="22"/>
  <c r="AD280" i="22" s="1"/>
  <c r="AE375" i="22"/>
  <c r="AD375" i="22" s="1"/>
  <c r="AE278" i="22"/>
  <c r="AD278" i="22" s="1"/>
  <c r="AE60" i="22"/>
  <c r="AD60" i="22" s="1"/>
  <c r="AE59" i="22"/>
  <c r="AD59" i="22" s="1"/>
  <c r="AE327" i="22"/>
  <c r="AD327" i="22" s="1"/>
  <c r="AE185" i="22"/>
  <c r="AD185" i="22" s="1"/>
  <c r="AE208" i="22"/>
  <c r="AD208" i="22" s="1"/>
  <c r="AE47" i="22"/>
  <c r="AD47" i="22" s="1"/>
  <c r="AE26" i="22"/>
  <c r="AD26" i="22" s="1"/>
  <c r="AE76" i="22"/>
  <c r="AD76" i="22" s="1"/>
  <c r="AE91" i="22"/>
  <c r="AD91" i="22" s="1"/>
  <c r="AE70" i="22"/>
  <c r="AD70" i="22" s="1"/>
  <c r="AE188" i="22"/>
  <c r="AD188" i="22" s="1"/>
  <c r="AE90" i="22"/>
  <c r="AD90" i="22" s="1"/>
  <c r="AE197" i="22"/>
  <c r="AD197" i="22" s="1"/>
  <c r="AE49" i="22"/>
  <c r="AD49" i="22" s="1"/>
  <c r="AE371" i="22"/>
  <c r="AD371" i="22" s="1"/>
  <c r="AE295" i="22"/>
  <c r="AD295" i="22" s="1"/>
  <c r="AE48" i="22"/>
  <c r="AD48" i="22" s="1"/>
  <c r="AE251" i="22"/>
  <c r="AD251" i="22" s="1"/>
  <c r="AE168" i="22"/>
  <c r="AD168" i="22" s="1"/>
  <c r="AE71" i="22"/>
  <c r="AD71" i="22" s="1"/>
  <c r="AE147" i="22"/>
  <c r="AD147" i="22" s="1"/>
  <c r="AE178" i="22"/>
  <c r="AD178" i="22" s="1"/>
  <c r="AE65" i="22"/>
  <c r="AD65" i="22" s="1"/>
  <c r="AE30" i="22"/>
  <c r="AD30" i="22" s="1"/>
  <c r="AE77" i="22"/>
  <c r="AD77" i="22" s="1"/>
  <c r="AE281" i="22"/>
  <c r="AD281" i="22" s="1"/>
  <c r="AE195" i="22"/>
  <c r="AD195" i="22" s="1"/>
  <c r="AE290" i="22"/>
  <c r="AD290" i="22" s="1"/>
  <c r="AE18" i="22"/>
  <c r="AD18" i="22" s="1"/>
  <c r="AE118" i="22"/>
  <c r="AD118" i="22" s="1"/>
  <c r="AE136" i="22"/>
  <c r="AD136" i="22" s="1"/>
  <c r="AE292" i="22"/>
  <c r="AD292" i="22" s="1"/>
  <c r="AE162" i="22"/>
  <c r="AD162" i="22" s="1"/>
  <c r="AE184" i="22"/>
  <c r="AD184" i="22" s="1"/>
  <c r="AE54" i="22"/>
  <c r="AD54" i="22" s="1"/>
  <c r="AE241" i="22"/>
  <c r="AD241" i="22" s="1"/>
  <c r="AE228" i="22"/>
  <c r="AD228" i="22" s="1"/>
  <c r="AE57" i="22"/>
  <c r="AD57" i="22" s="1"/>
  <c r="AE284" i="22"/>
  <c r="AD284" i="22" s="1"/>
  <c r="AE205" i="22"/>
  <c r="AD205" i="22" s="1"/>
  <c r="AE313" i="22"/>
  <c r="AD313" i="22" s="1"/>
  <c r="AE336" i="22"/>
  <c r="AD336" i="22" s="1"/>
  <c r="AE175" i="22"/>
  <c r="AD175" i="22" s="1"/>
  <c r="AE283" i="22"/>
  <c r="AD283" i="22" s="1"/>
  <c r="AE314" i="22"/>
  <c r="AD314" i="22" s="1"/>
  <c r="AE153" i="22"/>
  <c r="AD153" i="22" s="1"/>
  <c r="AE364" i="22"/>
  <c r="AD364" i="22" s="1"/>
  <c r="AE363" i="22"/>
  <c r="AD363" i="22" s="1"/>
  <c r="AE202" i="22"/>
  <c r="AD202" i="22" s="1"/>
  <c r="AE116" i="22"/>
  <c r="AD116" i="22" s="1"/>
  <c r="AE211" i="22"/>
  <c r="AD211" i="22" s="1"/>
  <c r="AE351" i="22"/>
  <c r="AD351" i="22" s="1"/>
  <c r="AE333" i="22"/>
  <c r="AD333" i="22" s="1"/>
  <c r="AE15" i="22"/>
  <c r="AD15" i="22" s="1"/>
  <c r="AE126" i="22"/>
  <c r="AD126" i="22" s="1"/>
  <c r="AE377" i="22"/>
  <c r="AD377" i="22" s="1"/>
  <c r="AE130" i="22"/>
  <c r="AD130" i="22" s="1"/>
  <c r="AE269" i="22"/>
  <c r="AD269" i="22" s="1"/>
  <c r="AE368" i="22"/>
  <c r="AD368" i="22" s="1"/>
  <c r="AE62" i="22"/>
  <c r="AD62" i="22" s="1"/>
  <c r="AE207" i="22"/>
  <c r="AD207" i="22" s="1"/>
  <c r="AE109" i="22"/>
  <c r="AD109" i="22" s="1"/>
  <c r="AE355" i="22"/>
  <c r="AD355" i="22" s="1"/>
  <c r="Q260" i="22"/>
  <c r="P260" i="22" s="1"/>
  <c r="V260" i="22" s="1"/>
  <c r="B260" i="22" s="1"/>
  <c r="Q118" i="22"/>
  <c r="P118" i="22" s="1"/>
  <c r="V118" i="22" s="1"/>
  <c r="B118" i="22" s="1"/>
  <c r="Q99" i="22"/>
  <c r="P99" i="22" s="1"/>
  <c r="V99" i="22" s="1"/>
  <c r="B99" i="22" s="1"/>
  <c r="Q165" i="22"/>
  <c r="P165" i="22" s="1"/>
  <c r="V165" i="22" s="1"/>
  <c r="B165" i="22" s="1"/>
  <c r="Q18" i="22"/>
  <c r="P18" i="22" s="1"/>
  <c r="V18" i="22" s="1"/>
  <c r="B18" i="22" s="1"/>
  <c r="Q298" i="22"/>
  <c r="P298" i="22" s="1"/>
  <c r="V298" i="22" s="1"/>
  <c r="B298" i="22" s="1"/>
  <c r="Q367" i="22"/>
  <c r="P367" i="22" s="1"/>
  <c r="V367" i="22" s="1"/>
  <c r="B367" i="22" s="1"/>
  <c r="Q376" i="22"/>
  <c r="P376" i="22" s="1"/>
  <c r="V376" i="22" s="1"/>
  <c r="B376" i="22" s="1"/>
  <c r="Q178" i="22"/>
  <c r="P178" i="22" s="1"/>
  <c r="V178" i="22" s="1"/>
  <c r="B178" i="22" s="1"/>
  <c r="Q199" i="22"/>
  <c r="P199" i="22" s="1"/>
  <c r="V199" i="22" s="1"/>
  <c r="B199" i="22" s="1"/>
  <c r="Q180" i="22"/>
  <c r="P180" i="22" s="1"/>
  <c r="Q339" i="22"/>
  <c r="P339" i="22" s="1"/>
  <c r="V339" i="22" s="1"/>
  <c r="B339" i="22" s="1"/>
  <c r="Q224" i="22"/>
  <c r="P224" i="22" s="1"/>
  <c r="V224" i="22" s="1"/>
  <c r="B224" i="22" s="1"/>
  <c r="Q291" i="22"/>
  <c r="P291" i="22" s="1"/>
  <c r="V291" i="22" s="1"/>
  <c r="B291" i="22" s="1"/>
  <c r="Q44" i="22"/>
  <c r="P44" i="22" s="1"/>
  <c r="V44" i="22" s="1"/>
  <c r="B44" i="22" s="1"/>
  <c r="Q30" i="22"/>
  <c r="P30" i="22" s="1"/>
  <c r="V30" i="22" s="1"/>
  <c r="B30" i="22" s="1"/>
  <c r="Q60" i="22"/>
  <c r="P60" i="22" s="1"/>
  <c r="Q149" i="22"/>
  <c r="P149" i="22" s="1"/>
  <c r="Q333" i="22"/>
  <c r="P333" i="22" s="1"/>
  <c r="Q348" i="22"/>
  <c r="P348" i="22" s="1"/>
  <c r="V348" i="22" s="1"/>
  <c r="B348" i="22" s="1"/>
  <c r="Q323" i="22"/>
  <c r="P323" i="22" s="1"/>
  <c r="V323" i="22" s="1"/>
  <c r="B323" i="22" s="1"/>
  <c r="Q100" i="22"/>
  <c r="P100" i="22" s="1"/>
  <c r="V100" i="22" s="1"/>
  <c r="B100" i="22" s="1"/>
  <c r="Q183" i="22"/>
  <c r="P183" i="22" s="1"/>
  <c r="V183" i="22" s="1"/>
  <c r="B183" i="22" s="1"/>
  <c r="Q353" i="22"/>
  <c r="P353" i="22" s="1"/>
  <c r="V353" i="22" s="1"/>
  <c r="B353" i="22" s="1"/>
  <c r="Q249" i="22"/>
  <c r="P249" i="22" s="1"/>
  <c r="V249" i="22" s="1"/>
  <c r="B249" i="22" s="1"/>
  <c r="Q97" i="22"/>
  <c r="P97" i="22" s="1"/>
  <c r="V97" i="22" s="1"/>
  <c r="B97" i="22" s="1"/>
  <c r="Q46" i="22"/>
  <c r="P46" i="22" s="1"/>
  <c r="V46" i="22" s="1"/>
  <c r="B46" i="22" s="1"/>
  <c r="Q275" i="22"/>
  <c r="P275" i="22" s="1"/>
  <c r="V275" i="22" s="1"/>
  <c r="B275" i="22" s="1"/>
  <c r="Q279" i="22"/>
  <c r="P279" i="22" s="1"/>
  <c r="V279" i="22" s="1"/>
  <c r="B279" i="22" s="1"/>
  <c r="Q42" i="22"/>
  <c r="P42" i="22" s="1"/>
  <c r="V42" i="22" s="1"/>
  <c r="B42" i="22" s="1"/>
  <c r="Q371" i="22"/>
  <c r="P371" i="22" s="1"/>
  <c r="V371" i="22" s="1"/>
  <c r="B371" i="22" s="1"/>
  <c r="Q126" i="22"/>
  <c r="P126" i="22" s="1"/>
  <c r="V126" i="22" s="1"/>
  <c r="B126" i="22" s="1"/>
  <c r="Q277" i="22"/>
  <c r="P277" i="22" s="1"/>
  <c r="V277" i="22" s="1"/>
  <c r="B277" i="22" s="1"/>
  <c r="Q359" i="22"/>
  <c r="P359" i="22" s="1"/>
  <c r="V359" i="22" s="1"/>
  <c r="B359" i="22" s="1"/>
  <c r="Q285" i="22"/>
  <c r="P285" i="22" s="1"/>
  <c r="V285" i="22" s="1"/>
  <c r="B285" i="22" s="1"/>
  <c r="Q358" i="22"/>
  <c r="P358" i="22" s="1"/>
  <c r="V358" i="22" s="1"/>
  <c r="B358" i="22" s="1"/>
  <c r="Q22" i="22"/>
  <c r="P22" i="22" s="1"/>
  <c r="V22" i="22" s="1"/>
  <c r="B22" i="22" s="1"/>
  <c r="Q186" i="22"/>
  <c r="P186" i="22" s="1"/>
  <c r="V186" i="22" s="1"/>
  <c r="B186" i="22" s="1"/>
  <c r="Q172" i="22"/>
  <c r="P172" i="22" s="1"/>
  <c r="V172" i="22" s="1"/>
  <c r="B172" i="22" s="1"/>
  <c r="Q111" i="22"/>
  <c r="P111" i="22" s="1"/>
  <c r="V111" i="22" s="1"/>
  <c r="B111" i="22" s="1"/>
  <c r="Q19" i="22"/>
  <c r="P19" i="22" s="1"/>
  <c r="V19" i="22" s="1"/>
  <c r="B19" i="22" s="1"/>
  <c r="Q115" i="22"/>
  <c r="P115" i="22" s="1"/>
  <c r="V115" i="22" s="1"/>
  <c r="B115" i="22" s="1"/>
  <c r="Q142" i="22"/>
  <c r="P142" i="22" s="1"/>
  <c r="V142" i="22" s="1"/>
  <c r="B142" i="22" s="1"/>
  <c r="Q152" i="22"/>
  <c r="P152" i="22" s="1"/>
  <c r="V152" i="22" s="1"/>
  <c r="B152" i="22" s="1"/>
  <c r="Q87" i="22"/>
  <c r="P87" i="22" s="1"/>
  <c r="V87" i="22" s="1"/>
  <c r="B87" i="22" s="1"/>
  <c r="Q21" i="22"/>
  <c r="P21" i="22" s="1"/>
  <c r="V21" i="22" s="1"/>
  <c r="B21" i="22" s="1"/>
  <c r="Q225" i="22"/>
  <c r="P225" i="22" s="1"/>
  <c r="V225" i="22" s="1"/>
  <c r="B225" i="22" s="1"/>
  <c r="Q341" i="22"/>
  <c r="P341" i="22" s="1"/>
  <c r="V341" i="22" s="1"/>
  <c r="B341" i="22" s="1"/>
  <c r="Q86" i="22"/>
  <c r="P86" i="22" s="1"/>
  <c r="V86" i="22" s="1"/>
  <c r="B86" i="22" s="1"/>
  <c r="B159" i="6"/>
  <c r="BA159" i="6" s="1"/>
  <c r="H159" i="20"/>
  <c r="B79" i="6"/>
  <c r="BA79" i="6" s="1"/>
  <c r="R4" i="6" s="1"/>
  <c r="H79" i="20"/>
  <c r="B190" i="6"/>
  <c r="BA190" i="6" s="1"/>
  <c r="H190" i="20"/>
  <c r="I383" i="17"/>
  <c r="AI313" i="23"/>
  <c r="AH313" i="23" s="1"/>
  <c r="AI153" i="23"/>
  <c r="AH153" i="23" s="1"/>
  <c r="AI236" i="23"/>
  <c r="AH236" i="23" s="1"/>
  <c r="AI329" i="23"/>
  <c r="AH329" i="23" s="1"/>
  <c r="AI358" i="23"/>
  <c r="AH358" i="23" s="1"/>
  <c r="AI372" i="23"/>
  <c r="AH372" i="23" s="1"/>
  <c r="AI133" i="23"/>
  <c r="AH133" i="23" s="1"/>
  <c r="AI315" i="23"/>
  <c r="AH315" i="23" s="1"/>
  <c r="AI60" i="23"/>
  <c r="AH60" i="23" s="1"/>
  <c r="AI328" i="23"/>
  <c r="AH328" i="23" s="1"/>
  <c r="AI190" i="23"/>
  <c r="AH190" i="23" s="1"/>
  <c r="AI117" i="23"/>
  <c r="AH117" i="23" s="1"/>
  <c r="AI75" i="23"/>
  <c r="AH75" i="23" s="1"/>
  <c r="I349" i="20"/>
  <c r="J319" i="20"/>
  <c r="J135" i="20"/>
  <c r="R383" i="20"/>
  <c r="P15" i="20"/>
  <c r="R382" i="20"/>
  <c r="R381" i="20"/>
  <c r="AI47" i="23"/>
  <c r="AH47" i="23" s="1"/>
  <c r="AI83" i="23"/>
  <c r="AH83" i="23" s="1"/>
  <c r="AI203" i="23"/>
  <c r="AH203" i="23" s="1"/>
  <c r="AI110" i="23"/>
  <c r="AH110" i="23" s="1"/>
  <c r="AI204" i="23"/>
  <c r="AH204" i="23" s="1"/>
  <c r="AI197" i="23"/>
  <c r="AH197" i="23" s="1"/>
  <c r="AI377" i="23"/>
  <c r="AH377" i="23" s="1"/>
  <c r="AI271" i="23"/>
  <c r="AH271" i="23" s="1"/>
  <c r="AI274" i="23"/>
  <c r="AH274" i="23" s="1"/>
  <c r="AI214" i="23"/>
  <c r="AH214" i="23" s="1"/>
  <c r="AI106" i="23"/>
  <c r="AH106" i="23" s="1"/>
  <c r="AI28" i="23"/>
  <c r="AH28" i="23" s="1"/>
  <c r="AI198" i="23"/>
  <c r="AH198" i="23" s="1"/>
  <c r="AI229" i="23"/>
  <c r="AH229" i="23" s="1"/>
  <c r="AI91" i="23"/>
  <c r="AH91" i="23" s="1"/>
  <c r="AI212" i="23"/>
  <c r="AH212" i="23" s="1"/>
  <c r="AI320" i="23"/>
  <c r="AH320" i="23" s="1"/>
  <c r="AI258" i="23"/>
  <c r="AH258" i="23" s="1"/>
  <c r="AI334" i="23"/>
  <c r="AH334" i="23" s="1"/>
  <c r="AI151" i="23"/>
  <c r="AH151" i="23" s="1"/>
  <c r="AI292" i="23"/>
  <c r="AH292" i="23" s="1"/>
  <c r="AI161" i="23"/>
  <c r="AH161" i="23" s="1"/>
  <c r="AI253" i="23"/>
  <c r="AH253" i="23" s="1"/>
  <c r="AI248" i="23"/>
  <c r="AH248" i="23" s="1"/>
  <c r="AI39" i="23"/>
  <c r="AH39" i="23" s="1"/>
  <c r="AI131" i="23"/>
  <c r="AH131" i="23" s="1"/>
  <c r="AI123" i="23"/>
  <c r="AH123" i="23" s="1"/>
  <c r="AI38" i="23"/>
  <c r="AH38" i="23" s="1"/>
  <c r="AI365" i="23"/>
  <c r="AH365" i="23" s="1"/>
  <c r="AI215" i="23"/>
  <c r="AH215" i="23" s="1"/>
  <c r="AI289" i="23"/>
  <c r="AI312" i="23"/>
  <c r="AH312" i="23" s="1"/>
  <c r="AI370" i="23"/>
  <c r="AH370" i="23" s="1"/>
  <c r="AI230" i="23"/>
  <c r="AH230" i="23" s="1"/>
  <c r="AI206" i="23"/>
  <c r="AH206" i="23" s="1"/>
  <c r="AI164" i="23"/>
  <c r="AH164" i="23" s="1"/>
  <c r="AI17" i="23"/>
  <c r="AH17" i="23" s="1"/>
  <c r="AI342" i="23"/>
  <c r="AH342" i="23" s="1"/>
  <c r="AI362" i="23"/>
  <c r="AH362" i="23" s="1"/>
  <c r="AI100" i="23"/>
  <c r="AH100" i="23" s="1"/>
  <c r="AI336" i="23"/>
  <c r="AH336" i="23" s="1"/>
  <c r="AI205" i="23"/>
  <c r="AH205" i="23" s="1"/>
  <c r="AI352" i="23"/>
  <c r="AH352" i="23" s="1"/>
  <c r="AI155" i="23"/>
  <c r="AH155" i="23" s="1"/>
  <c r="AI180" i="23"/>
  <c r="AH180" i="23" s="1"/>
  <c r="AI303" i="23"/>
  <c r="AH303" i="23" s="1"/>
  <c r="AI301" i="23"/>
  <c r="AH301" i="23" s="1"/>
  <c r="AI240" i="23"/>
  <c r="AH240" i="23" s="1"/>
  <c r="AI366" i="23"/>
  <c r="AH366" i="23" s="1"/>
  <c r="AI307" i="23"/>
  <c r="AH307" i="23" s="1"/>
  <c r="AI346" i="23"/>
  <c r="AH346" i="23" s="1"/>
  <c r="AI244" i="23"/>
  <c r="AH244" i="23" s="1"/>
  <c r="AI189" i="23"/>
  <c r="AH189" i="23" s="1"/>
  <c r="AI168" i="23"/>
  <c r="AH168" i="23" s="1"/>
  <c r="AI359" i="23"/>
  <c r="AH359" i="23" s="1"/>
  <c r="AI264" i="23"/>
  <c r="AH264" i="23" s="1"/>
  <c r="AI245" i="23"/>
  <c r="AH245" i="23" s="1"/>
  <c r="AI343" i="23"/>
  <c r="AH343" i="23" s="1"/>
  <c r="AI182" i="23"/>
  <c r="AH182" i="23" s="1"/>
  <c r="AI73" i="23"/>
  <c r="AH73" i="23" s="1"/>
  <c r="AI114" i="23"/>
  <c r="AH114" i="23" s="1"/>
  <c r="AI102" i="23"/>
  <c r="AH102" i="23" s="1"/>
  <c r="AI138" i="23"/>
  <c r="AH138" i="23" s="1"/>
  <c r="AI116" i="23"/>
  <c r="AH116" i="23" s="1"/>
  <c r="AI44" i="23"/>
  <c r="AH44" i="23" s="1"/>
  <c r="AI82" i="23"/>
  <c r="AH82" i="23" s="1"/>
  <c r="AI310" i="23"/>
  <c r="AH310" i="23" s="1"/>
  <c r="AI170" i="23"/>
  <c r="AH170" i="23" s="1"/>
  <c r="AI137" i="23"/>
  <c r="AH137" i="23" s="1"/>
  <c r="AI295" i="23"/>
  <c r="AH295" i="23" s="1"/>
  <c r="AI349" i="23"/>
  <c r="AH349" i="23" s="1"/>
  <c r="AI200" i="23"/>
  <c r="AH200" i="23" s="1"/>
  <c r="AI294" i="23"/>
  <c r="AH294" i="23" s="1"/>
  <c r="AI41" i="23"/>
  <c r="AH41" i="23" s="1"/>
  <c r="AI364" i="23"/>
  <c r="AH364" i="23" s="1"/>
  <c r="AI275" i="23"/>
  <c r="AH275" i="23" s="1"/>
  <c r="AI94" i="23"/>
  <c r="AH94" i="23" s="1"/>
  <c r="AI293" i="23"/>
  <c r="AH293" i="23" s="1"/>
  <c r="AI247" i="23"/>
  <c r="AH247" i="23" s="1"/>
  <c r="AI80" i="23"/>
  <c r="AH80" i="23" s="1"/>
  <c r="AI261" i="23"/>
  <c r="AH261" i="23" s="1"/>
  <c r="AI59" i="23"/>
  <c r="AH59" i="23" s="1"/>
  <c r="AI124" i="23"/>
  <c r="AH124" i="23" s="1"/>
  <c r="AI25" i="23"/>
  <c r="AH25" i="23" s="1"/>
  <c r="AI99" i="23"/>
  <c r="AH99" i="23" s="1"/>
  <c r="AI118" i="23"/>
  <c r="AH118" i="23" s="1"/>
  <c r="AI298" i="23"/>
  <c r="AH298" i="23" s="1"/>
  <c r="AI241" i="23"/>
  <c r="AH241" i="23" s="1"/>
  <c r="AI105" i="23"/>
  <c r="AH105" i="23" s="1"/>
  <c r="AI178" i="23"/>
  <c r="AH178" i="23" s="1"/>
  <c r="AI196" i="23"/>
  <c r="AH196" i="23" s="1"/>
  <c r="AI181" i="23"/>
  <c r="AH181" i="23" s="1"/>
  <c r="AI129" i="23"/>
  <c r="AH129" i="23" s="1"/>
  <c r="AI255" i="23"/>
  <c r="AH255" i="23" s="1"/>
  <c r="AI162" i="23"/>
  <c r="AI120" i="23"/>
  <c r="AH120" i="23" s="1"/>
  <c r="AI357" i="23"/>
  <c r="AH357" i="23" s="1"/>
  <c r="AI299" i="23"/>
  <c r="AH299" i="23" s="1"/>
  <c r="AI159" i="23"/>
  <c r="AH159" i="23" s="1"/>
  <c r="AI211" i="23"/>
  <c r="AH211" i="23" s="1"/>
  <c r="AI46" i="23"/>
  <c r="AH46" i="23" s="1"/>
  <c r="AI325" i="23"/>
  <c r="AH325" i="23" s="1"/>
  <c r="V383" i="18"/>
  <c r="V381" i="18"/>
  <c r="B65" i="19"/>
  <c r="N65" i="19" s="1"/>
  <c r="V382" i="18"/>
  <c r="AF382" i="20"/>
  <c r="AD15" i="20"/>
  <c r="AF381" i="20"/>
  <c r="AF383" i="20"/>
  <c r="J258" i="20"/>
  <c r="J364" i="20"/>
  <c r="J46" i="20"/>
  <c r="J105" i="20"/>
  <c r="Y383" i="17"/>
  <c r="Y382" i="17"/>
  <c r="Y381" i="17"/>
  <c r="AL5" i="17"/>
  <c r="AL11" i="17" s="1"/>
  <c r="X9" i="17"/>
  <c r="AM6" i="17"/>
  <c r="AM12" i="17" s="1"/>
  <c r="AM13" i="16"/>
  <c r="AK4" i="16"/>
  <c r="R13" i="19" s="1"/>
  <c r="N14" i="19" s="1"/>
  <c r="AJ4" i="16"/>
  <c r="P13" i="19" s="1"/>
  <c r="AL13" i="16"/>
  <c r="J13" i="19"/>
  <c r="AA11" i="16"/>
  <c r="AA5" i="16" s="1"/>
  <c r="I13" i="19" s="1"/>
  <c r="Y11" i="16"/>
  <c r="P79" i="27"/>
  <c r="AV57" i="27"/>
  <c r="AE78" i="27"/>
  <c r="AE79" i="27"/>
  <c r="AX57" i="27"/>
  <c r="I309" i="18"/>
  <c r="J309" i="18"/>
  <c r="C309" i="6" s="1"/>
  <c r="D160" i="22"/>
  <c r="E160" i="22" s="1"/>
  <c r="F160" i="22" s="1"/>
  <c r="AG382" i="22"/>
  <c r="I60" i="20"/>
  <c r="J60" i="20"/>
  <c r="T290" i="23"/>
  <c r="T147" i="23"/>
  <c r="T349" i="23"/>
  <c r="T132" i="23"/>
  <c r="T77" i="23"/>
  <c r="T353" i="23"/>
  <c r="T143" i="23"/>
  <c r="T301" i="23"/>
  <c r="T84" i="23"/>
  <c r="T274" i="23"/>
  <c r="T61" i="23"/>
  <c r="T174" i="23"/>
  <c r="T103" i="23"/>
  <c r="T331" i="23"/>
  <c r="T106" i="23"/>
  <c r="T316" i="23"/>
  <c r="T293" i="23"/>
  <c r="T117" i="23"/>
  <c r="T283" i="23"/>
  <c r="T240" i="23"/>
  <c r="T185" i="23"/>
  <c r="T101" i="23"/>
  <c r="T46" i="23"/>
  <c r="T355" i="23"/>
  <c r="T280" i="23"/>
  <c r="T257" i="23"/>
  <c r="T128" i="23"/>
  <c r="T310" i="23"/>
  <c r="T358" i="23"/>
  <c r="T96" i="23"/>
  <c r="T41" i="23"/>
  <c r="T22" i="23"/>
  <c r="T166" i="23"/>
  <c r="T311" i="23"/>
  <c r="T372" i="23"/>
  <c r="T113" i="23"/>
  <c r="T94" i="23"/>
  <c r="T23" i="23"/>
  <c r="T329" i="23"/>
  <c r="T217" i="23"/>
  <c r="T144" i="23"/>
  <c r="T27" i="23"/>
  <c r="T351" i="23"/>
  <c r="T292" i="23"/>
  <c r="T319" i="23"/>
  <c r="T320" i="23"/>
  <c r="T99" i="23"/>
  <c r="T24" i="23"/>
  <c r="T364" i="23"/>
  <c r="T47" i="23"/>
  <c r="T54" i="23"/>
  <c r="T205" i="23"/>
  <c r="T207" i="23"/>
  <c r="T148" i="23"/>
  <c r="T125" i="23"/>
  <c r="J29" i="20"/>
  <c r="I29" i="20"/>
  <c r="J241" i="20"/>
  <c r="I241" i="20"/>
  <c r="I379" i="20"/>
  <c r="J74" i="20"/>
  <c r="I74" i="20"/>
  <c r="J196" i="20"/>
  <c r="I196" i="20"/>
  <c r="AH26" i="23"/>
  <c r="AH92" i="23"/>
  <c r="AH30" i="23"/>
  <c r="AH40" i="23"/>
  <c r="AH79" i="23"/>
  <c r="AH50" i="23"/>
  <c r="AH42" i="23"/>
  <c r="AH77" i="23"/>
  <c r="AH64" i="23"/>
  <c r="AH62" i="23"/>
  <c r="AH16" i="23"/>
  <c r="AH61" i="23"/>
  <c r="AH48" i="23"/>
  <c r="AH34" i="23"/>
  <c r="AH56" i="23"/>
  <c r="AH31" i="23"/>
  <c r="AH289" i="23"/>
  <c r="AH162" i="23"/>
  <c r="I88" i="20"/>
  <c r="AG381" i="22"/>
  <c r="T376" i="23"/>
  <c r="T289" i="23"/>
  <c r="T55" i="23"/>
  <c r="T226" i="23"/>
  <c r="T211" i="23"/>
  <c r="T78" i="23"/>
  <c r="T220" i="23"/>
  <c r="T378" i="23"/>
  <c r="T197" i="23"/>
  <c r="T363" i="23"/>
  <c r="T138" i="23"/>
  <c r="U381" i="23"/>
  <c r="T15" i="23"/>
  <c r="T29" i="23"/>
  <c r="T167" i="23"/>
  <c r="T194" i="23"/>
  <c r="T344" i="23"/>
  <c r="T179" i="23"/>
  <c r="T321" i="23"/>
  <c r="T104" i="23"/>
  <c r="T110" i="23"/>
  <c r="T346" i="23"/>
  <c r="T267" i="23"/>
  <c r="T42" i="23"/>
  <c r="T188" i="23"/>
  <c r="T165" i="23"/>
  <c r="T53" i="23"/>
  <c r="T219" i="23"/>
  <c r="T361" i="23"/>
  <c r="T176" i="23"/>
  <c r="T342" i="23"/>
  <c r="T121" i="23"/>
  <c r="T294" i="23"/>
  <c r="T191" i="23"/>
  <c r="T375" i="23"/>
  <c r="T192" i="23"/>
  <c r="T137" i="23"/>
  <c r="T35" i="23"/>
  <c r="T177" i="23"/>
  <c r="T327" i="23"/>
  <c r="T158" i="23"/>
  <c r="T300" i="23"/>
  <c r="T87" i="23"/>
  <c r="T64" i="23"/>
  <c r="T308" i="23"/>
  <c r="T246" i="23"/>
  <c r="T25" i="23"/>
  <c r="T230" i="23"/>
  <c r="T127" i="23"/>
  <c r="T32" i="23"/>
  <c r="T198" i="23"/>
  <c r="T340" i="23"/>
  <c r="T159" i="23"/>
  <c r="T317" i="23"/>
  <c r="T100" i="23"/>
  <c r="T187" i="23"/>
  <c r="T80" i="23"/>
  <c r="T136" i="23"/>
  <c r="T85" i="23"/>
  <c r="T26" i="23"/>
  <c r="T163" i="23"/>
  <c r="T305" i="23"/>
  <c r="T88" i="23"/>
  <c r="T286" i="23"/>
  <c r="T65" i="23"/>
  <c r="T215" i="23"/>
  <c r="T256" i="23"/>
  <c r="T201" i="23"/>
  <c r="T374" i="23"/>
  <c r="T153" i="23"/>
  <c r="T123" i="23"/>
  <c r="T17" i="23"/>
  <c r="T160" i="23"/>
  <c r="T326" i="23"/>
  <c r="T105" i="23"/>
  <c r="T287" i="23"/>
  <c r="T86" i="23"/>
  <c r="T228" i="23"/>
  <c r="T141" i="23"/>
  <c r="T50" i="23"/>
  <c r="T119" i="23"/>
  <c r="T354" i="23"/>
  <c r="T339" i="23"/>
  <c r="T142" i="23"/>
  <c r="T284" i="23"/>
  <c r="T71" i="23"/>
  <c r="T261" i="23"/>
  <c r="T44" i="23"/>
  <c r="T202" i="23"/>
  <c r="S382" i="22"/>
  <c r="S383" i="22"/>
  <c r="R15" i="22"/>
  <c r="J288" i="20"/>
  <c r="I288" i="20"/>
  <c r="I227" i="20"/>
  <c r="J227" i="20"/>
  <c r="AF383" i="22"/>
  <c r="AF381" i="22"/>
  <c r="AF382" i="22"/>
  <c r="AG383" i="22"/>
  <c r="T315" i="23"/>
  <c r="T208" i="23"/>
  <c r="T200" i="23"/>
  <c r="T213" i="23"/>
  <c r="U12" i="24"/>
  <c r="T154" i="23"/>
  <c r="T227" i="23"/>
  <c r="T369" i="23"/>
  <c r="T152" i="23"/>
  <c r="T350" i="23"/>
  <c r="T129" i="23"/>
  <c r="T279" i="23"/>
  <c r="T303" i="23"/>
  <c r="T180" i="23"/>
  <c r="T182" i="23"/>
  <c r="T324" i="23"/>
  <c r="T102" i="23"/>
  <c r="T370" i="23"/>
  <c r="T335" i="23"/>
  <c r="T134" i="23"/>
  <c r="T276" i="23"/>
  <c r="T95" i="23"/>
  <c r="T253" i="23"/>
  <c r="T36" i="23"/>
  <c r="T269" i="23"/>
  <c r="T178" i="23"/>
  <c r="T183" i="23"/>
  <c r="T175" i="23"/>
  <c r="T116" i="23"/>
  <c r="T206" i="23"/>
  <c r="T348" i="23"/>
  <c r="T135" i="23"/>
  <c r="T325" i="23"/>
  <c r="T108" i="23"/>
  <c r="T266" i="23"/>
  <c r="T273" i="23"/>
  <c r="T126" i="23"/>
  <c r="T157" i="23"/>
  <c r="T131" i="23"/>
  <c r="T56" i="23"/>
  <c r="T332" i="23"/>
  <c r="T322" i="23"/>
  <c r="T109" i="23"/>
  <c r="T307" i="23"/>
  <c r="T82" i="23"/>
  <c r="T232" i="23"/>
  <c r="T302" i="23"/>
  <c r="T231" i="23"/>
  <c r="T140" i="23"/>
  <c r="T170" i="23"/>
  <c r="T81" i="23"/>
  <c r="T62" i="23"/>
  <c r="T181" i="23"/>
  <c r="T347" i="23"/>
  <c r="T122" i="23"/>
  <c r="T304" i="23"/>
  <c r="T107" i="23"/>
  <c r="T249" i="23"/>
  <c r="T162" i="23"/>
  <c r="T19" i="23"/>
  <c r="T285" i="23"/>
  <c r="T68" i="23"/>
  <c r="T312" i="23"/>
  <c r="T225" i="23"/>
  <c r="T79" i="23"/>
  <c r="T237" i="23"/>
  <c r="T20" i="23"/>
  <c r="T210" i="23"/>
  <c r="T360" i="23"/>
  <c r="T195" i="23"/>
  <c r="T120" i="23"/>
  <c r="T33" i="23"/>
  <c r="T298" i="23"/>
  <c r="T337" i="23"/>
  <c r="T318" i="23"/>
  <c r="T309" i="23"/>
  <c r="T92" i="23"/>
  <c r="T250" i="23"/>
  <c r="T69" i="23"/>
  <c r="T235" i="23"/>
  <c r="T377" i="23"/>
  <c r="T124" i="23"/>
  <c r="T336" i="23"/>
  <c r="T264" i="23"/>
  <c r="T277" i="23"/>
  <c r="T282" i="23"/>
  <c r="T291" i="23"/>
  <c r="T66" i="23"/>
  <c r="T216" i="23"/>
  <c r="T51" i="23"/>
  <c r="T193" i="23"/>
  <c r="T343" i="23"/>
  <c r="I166" i="20"/>
  <c r="J166" i="20"/>
  <c r="J363" i="20"/>
  <c r="AH43" i="23"/>
  <c r="AH57" i="23"/>
  <c r="AH72" i="23"/>
  <c r="AH74" i="23"/>
  <c r="AH66" i="23"/>
  <c r="AH22" i="23"/>
  <c r="AH18" i="23"/>
  <c r="AH53" i="23"/>
  <c r="AH97" i="23"/>
  <c r="AH52" i="23"/>
  <c r="AH63" i="23"/>
  <c r="AH35" i="23"/>
  <c r="AH70" i="23"/>
  <c r="AH84" i="23"/>
  <c r="AH67" i="23"/>
  <c r="AH78" i="23"/>
  <c r="AH23" i="23"/>
  <c r="AH36" i="23"/>
  <c r="AH15" i="23"/>
  <c r="AH33" i="23"/>
  <c r="AH86" i="23"/>
  <c r="AH98" i="23"/>
  <c r="AH88" i="23"/>
  <c r="AH90" i="23"/>
  <c r="AH103" i="23"/>
  <c r="AH54" i="23"/>
  <c r="AH21" i="23"/>
  <c r="AH27" i="23"/>
  <c r="AH71" i="23"/>
  <c r="AH68" i="23"/>
  <c r="AH45" i="23"/>
  <c r="AH51" i="23"/>
  <c r="AH93" i="23"/>
  <c r="AH55" i="23"/>
  <c r="J119" i="20"/>
  <c r="I119" i="20"/>
  <c r="W155" i="22" l="1"/>
  <c r="U383" i="23"/>
  <c r="T16" i="23"/>
  <c r="T379" i="23"/>
  <c r="S379" i="23" s="1"/>
  <c r="R379" i="23" s="1"/>
  <c r="S381" i="22"/>
  <c r="U382" i="23"/>
  <c r="I149" i="20"/>
  <c r="J180" i="20"/>
  <c r="I302" i="20"/>
  <c r="J272" i="20"/>
  <c r="W368" i="22"/>
  <c r="J333" i="20"/>
  <c r="X4" i="6"/>
  <c r="AA210" i="20"/>
  <c r="Z210" i="20" s="1"/>
  <c r="Y210" i="20" s="1"/>
  <c r="G210" i="20"/>
  <c r="CB210" i="6" s="1"/>
  <c r="H210" i="20"/>
  <c r="W79" i="22"/>
  <c r="D79" i="22"/>
  <c r="E79" i="22" s="1"/>
  <c r="F79" i="22" s="1"/>
  <c r="G79" i="22" s="1"/>
  <c r="CC79" i="6" s="1"/>
  <c r="D315" i="22"/>
  <c r="E315" i="22" s="1"/>
  <c r="F315" i="22" s="1"/>
  <c r="AA315" i="22" s="1"/>
  <c r="Z315" i="22" s="1"/>
  <c r="Y315" i="22" s="1"/>
  <c r="W315" i="22"/>
  <c r="W203" i="22"/>
  <c r="D203" i="22"/>
  <c r="E203" i="22" s="1"/>
  <c r="F203" i="22" s="1"/>
  <c r="AA203" i="22" s="1"/>
  <c r="Z203" i="22" s="1"/>
  <c r="Y203" i="22" s="1"/>
  <c r="AI268" i="23"/>
  <c r="AH268" i="23" s="1"/>
  <c r="AI115" i="23"/>
  <c r="AH115" i="23" s="1"/>
  <c r="AG115" i="23" s="1"/>
  <c r="AF115" i="23" s="1"/>
  <c r="AI199" i="23"/>
  <c r="AH199" i="23" s="1"/>
  <c r="AI283" i="23"/>
  <c r="AH283" i="23" s="1"/>
  <c r="AG283" i="23" s="1"/>
  <c r="AF283" i="23" s="1"/>
  <c r="AI327" i="23"/>
  <c r="AH327" i="23" s="1"/>
  <c r="AI252" i="23"/>
  <c r="AH252" i="23" s="1"/>
  <c r="AG252" i="23" s="1"/>
  <c r="AF252" i="23" s="1"/>
  <c r="AI306" i="23"/>
  <c r="AH306" i="23" s="1"/>
  <c r="AI368" i="23"/>
  <c r="AH368" i="23" s="1"/>
  <c r="AI216" i="23"/>
  <c r="AH216" i="23" s="1"/>
  <c r="AI149" i="23"/>
  <c r="AH149" i="23" s="1"/>
  <c r="AG149" i="23" s="1"/>
  <c r="AF149" i="23" s="1"/>
  <c r="AI356" i="23"/>
  <c r="AH356" i="23" s="1"/>
  <c r="AI231" i="23"/>
  <c r="AH231" i="23" s="1"/>
  <c r="AG231" i="23" s="1"/>
  <c r="AF231" i="23" s="1"/>
  <c r="AI338" i="23"/>
  <c r="AH338" i="23" s="1"/>
  <c r="AI119" i="23"/>
  <c r="AH119" i="23" s="1"/>
  <c r="AG119" i="23" s="1"/>
  <c r="AF119" i="23" s="1"/>
  <c r="AI201" i="23"/>
  <c r="AH201" i="23" s="1"/>
  <c r="AI108" i="23"/>
  <c r="AH108" i="23" s="1"/>
  <c r="AG108" i="23" s="1"/>
  <c r="AF108" i="23" s="1"/>
  <c r="AI166" i="23"/>
  <c r="AH166" i="23" s="1"/>
  <c r="AI242" i="23"/>
  <c r="AH242" i="23" s="1"/>
  <c r="AI376" i="23"/>
  <c r="AH376" i="23" s="1"/>
  <c r="AI279" i="23"/>
  <c r="AH279" i="23" s="1"/>
  <c r="AG279" i="23" s="1"/>
  <c r="AF279" i="23" s="1"/>
  <c r="AI109" i="23"/>
  <c r="AH109" i="23" s="1"/>
  <c r="AI259" i="23"/>
  <c r="AH259" i="23" s="1"/>
  <c r="AG259" i="23" s="1"/>
  <c r="AF259" i="23" s="1"/>
  <c r="AI144" i="23"/>
  <c r="AH144" i="23" s="1"/>
  <c r="AI147" i="23"/>
  <c r="AH147" i="23" s="1"/>
  <c r="AG147" i="23" s="1"/>
  <c r="AF147" i="23" s="1"/>
  <c r="AI112" i="23"/>
  <c r="AH112" i="23" s="1"/>
  <c r="AI238" i="23"/>
  <c r="AH238" i="23" s="1"/>
  <c r="AG238" i="23" s="1"/>
  <c r="AF238" i="23" s="1"/>
  <c r="AI194" i="23"/>
  <c r="AH194" i="23" s="1"/>
  <c r="AI287" i="23"/>
  <c r="AH287" i="23" s="1"/>
  <c r="AG287" i="23" s="1"/>
  <c r="AF287" i="23" s="1"/>
  <c r="AI224" i="23"/>
  <c r="AH224" i="23" s="1"/>
  <c r="AI213" i="23"/>
  <c r="AH213" i="23" s="1"/>
  <c r="AG213" i="23" s="1"/>
  <c r="AF213" i="23" s="1"/>
  <c r="AI163" i="23"/>
  <c r="AH163" i="23" s="1"/>
  <c r="AI121" i="23"/>
  <c r="AH121" i="23" s="1"/>
  <c r="AG121" i="23" s="1"/>
  <c r="AF121" i="23" s="1"/>
  <c r="AI340" i="23"/>
  <c r="AH340" i="23" s="1"/>
  <c r="AI284" i="23"/>
  <c r="AH284" i="23" s="1"/>
  <c r="AG284" i="23" s="1"/>
  <c r="AF284" i="23" s="1"/>
  <c r="AI234" i="23"/>
  <c r="AH234" i="23" s="1"/>
  <c r="AI278" i="23"/>
  <c r="AH278" i="23" s="1"/>
  <c r="AG278" i="23" s="1"/>
  <c r="AF278" i="23" s="1"/>
  <c r="AI146" i="23"/>
  <c r="AH146" i="23" s="1"/>
  <c r="AI272" i="23"/>
  <c r="AH272" i="23" s="1"/>
  <c r="AG272" i="23" s="1"/>
  <c r="AF272" i="23" s="1"/>
  <c r="AI363" i="23"/>
  <c r="AH363" i="23" s="1"/>
  <c r="AI319" i="23"/>
  <c r="AH319" i="23" s="1"/>
  <c r="AG319" i="23" s="1"/>
  <c r="AF319" i="23" s="1"/>
  <c r="AI309" i="23"/>
  <c r="AH309" i="23" s="1"/>
  <c r="AI305" i="23"/>
  <c r="AH305" i="23" s="1"/>
  <c r="AG305" i="23" s="1"/>
  <c r="AF305" i="23" s="1"/>
  <c r="AI246" i="23"/>
  <c r="AH246" i="23" s="1"/>
  <c r="AI202" i="23"/>
  <c r="AH202" i="23" s="1"/>
  <c r="AG202" i="23" s="1"/>
  <c r="AF202" i="23" s="1"/>
  <c r="AI378" i="23"/>
  <c r="AH378" i="23" s="1"/>
  <c r="AI135" i="23"/>
  <c r="AH135" i="23" s="1"/>
  <c r="AG135" i="23" s="1"/>
  <c r="AF135" i="23" s="1"/>
  <c r="AI145" i="23"/>
  <c r="AH145" i="23" s="1"/>
  <c r="AI341" i="23"/>
  <c r="AH341" i="23" s="1"/>
  <c r="AG341" i="23" s="1"/>
  <c r="AF341" i="23" s="1"/>
  <c r="AI276" i="23"/>
  <c r="AH276" i="23" s="1"/>
  <c r="AI150" i="23"/>
  <c r="AH150" i="23" s="1"/>
  <c r="AG150" i="23" s="1"/>
  <c r="AF150" i="23" s="1"/>
  <c r="AI219" i="23"/>
  <c r="AH219" i="23" s="1"/>
  <c r="AI267" i="23"/>
  <c r="AH267" i="23" s="1"/>
  <c r="AG267" i="23" s="1"/>
  <c r="AF267" i="23" s="1"/>
  <c r="AI143" i="23"/>
  <c r="AH143" i="23" s="1"/>
  <c r="AI262" i="23"/>
  <c r="AH262" i="23" s="1"/>
  <c r="AG262" i="23" s="1"/>
  <c r="AF262" i="23" s="1"/>
  <c r="AI249" i="23"/>
  <c r="AH249" i="23" s="1"/>
  <c r="AI156" i="23"/>
  <c r="AH156" i="23" s="1"/>
  <c r="AG156" i="23" s="1"/>
  <c r="AF156" i="23" s="1"/>
  <c r="AI218" i="23"/>
  <c r="AH218" i="23" s="1"/>
  <c r="AI173" i="23"/>
  <c r="AH173" i="23" s="1"/>
  <c r="AG173" i="23" s="1"/>
  <c r="AF173" i="23" s="1"/>
  <c r="AI192" i="23"/>
  <c r="AH192" i="23" s="1"/>
  <c r="AI191" i="23"/>
  <c r="AH191" i="23" s="1"/>
  <c r="AG191" i="23" s="1"/>
  <c r="AF191" i="23" s="1"/>
  <c r="AI285" i="23"/>
  <c r="AH285" i="23" s="1"/>
  <c r="AI177" i="23"/>
  <c r="AH177" i="23" s="1"/>
  <c r="AG177" i="23" s="1"/>
  <c r="AF177" i="23" s="1"/>
  <c r="AI353" i="23"/>
  <c r="AH353" i="23" s="1"/>
  <c r="AI148" i="23"/>
  <c r="AH148" i="23" s="1"/>
  <c r="AG148" i="23" s="1"/>
  <c r="AF148" i="23" s="1"/>
  <c r="AI330" i="23"/>
  <c r="AH330" i="23" s="1"/>
  <c r="AI291" i="23"/>
  <c r="AH291" i="23" s="1"/>
  <c r="AG291" i="23" s="1"/>
  <c r="AF291" i="23" s="1"/>
  <c r="AI122" i="23"/>
  <c r="AH122" i="23" s="1"/>
  <c r="AI254" i="23"/>
  <c r="AH254" i="23" s="1"/>
  <c r="AG254" i="23" s="1"/>
  <c r="AF254" i="23" s="1"/>
  <c r="AI134" i="23"/>
  <c r="AH134" i="23" s="1"/>
  <c r="AI360" i="23"/>
  <c r="AH360" i="23" s="1"/>
  <c r="AG360" i="23" s="1"/>
  <c r="AF360" i="23" s="1"/>
  <c r="AI263" i="23"/>
  <c r="AH263" i="23" s="1"/>
  <c r="AI174" i="23"/>
  <c r="AH174" i="23" s="1"/>
  <c r="AG174" i="23" s="1"/>
  <c r="AF174" i="23" s="1"/>
  <c r="AI322" i="23"/>
  <c r="AH322" i="23" s="1"/>
  <c r="AI270" i="23"/>
  <c r="AH270" i="23" s="1"/>
  <c r="AG270" i="23" s="1"/>
  <c r="AF270" i="23" s="1"/>
  <c r="AI160" i="23"/>
  <c r="AH160" i="23" s="1"/>
  <c r="AI139" i="23"/>
  <c r="AH139" i="23" s="1"/>
  <c r="AG139" i="23" s="1"/>
  <c r="AF139" i="23" s="1"/>
  <c r="AI107" i="23"/>
  <c r="AH107" i="23" s="1"/>
  <c r="AI302" i="23"/>
  <c r="AH302" i="23" s="1"/>
  <c r="AG302" i="23" s="1"/>
  <c r="AF302" i="23" s="1"/>
  <c r="AI308" i="23"/>
  <c r="AH308" i="23" s="1"/>
  <c r="AI288" i="23"/>
  <c r="AH288" i="23" s="1"/>
  <c r="AG288" i="23" s="1"/>
  <c r="AF288" i="23" s="1"/>
  <c r="AI208" i="23"/>
  <c r="AH208" i="23" s="1"/>
  <c r="AI256" i="23"/>
  <c r="AH256" i="23" s="1"/>
  <c r="AG256" i="23" s="1"/>
  <c r="AF256" i="23" s="1"/>
  <c r="AI269" i="23"/>
  <c r="AH269" i="23" s="1"/>
  <c r="AI257" i="23"/>
  <c r="AH257" i="23" s="1"/>
  <c r="AG257" i="23" s="1"/>
  <c r="AF257" i="23" s="1"/>
  <c r="AI324" i="23"/>
  <c r="AH324" i="23" s="1"/>
  <c r="AI361" i="23"/>
  <c r="AH361" i="23" s="1"/>
  <c r="AG361" i="23" s="1"/>
  <c r="AF361" i="23" s="1"/>
  <c r="AI369" i="23"/>
  <c r="AH369" i="23" s="1"/>
  <c r="AI374" i="23"/>
  <c r="AH374" i="23" s="1"/>
  <c r="AG374" i="23" s="1"/>
  <c r="AF374" i="23" s="1"/>
  <c r="AI317" i="23"/>
  <c r="AH317" i="23" s="1"/>
  <c r="AI281" i="23"/>
  <c r="AH281" i="23" s="1"/>
  <c r="AG281" i="23" s="1"/>
  <c r="AF281" i="23" s="1"/>
  <c r="AI157" i="23"/>
  <c r="AH157" i="23" s="1"/>
  <c r="AI350" i="23"/>
  <c r="AH350" i="23" s="1"/>
  <c r="AG350" i="23" s="1"/>
  <c r="AF350" i="23" s="1"/>
  <c r="AI265" i="23"/>
  <c r="AH265" i="23" s="1"/>
  <c r="AI172" i="23"/>
  <c r="AH172" i="23" s="1"/>
  <c r="AG172" i="23" s="1"/>
  <c r="AF172" i="23" s="1"/>
  <c r="AI152" i="23"/>
  <c r="AH152" i="23" s="1"/>
  <c r="AI154" i="23"/>
  <c r="AH154" i="23" s="1"/>
  <c r="AG154" i="23" s="1"/>
  <c r="AF154" i="23" s="1"/>
  <c r="AI235" i="23"/>
  <c r="AH235" i="23" s="1"/>
  <c r="AI127" i="23"/>
  <c r="AH127" i="23" s="1"/>
  <c r="AG127" i="23" s="1"/>
  <c r="AF127" i="23" s="1"/>
  <c r="AI323" i="23"/>
  <c r="AH323" i="23" s="1"/>
  <c r="AI113" i="23"/>
  <c r="AH113" i="23" s="1"/>
  <c r="AG113" i="23" s="1"/>
  <c r="AF113" i="23" s="1"/>
  <c r="AI225" i="23"/>
  <c r="AH225" i="23" s="1"/>
  <c r="AI136" i="23"/>
  <c r="AH136" i="23" s="1"/>
  <c r="AG136" i="23" s="1"/>
  <c r="AF136" i="23" s="1"/>
  <c r="AI125" i="23"/>
  <c r="AH125" i="23" s="1"/>
  <c r="AI351" i="23"/>
  <c r="AH351" i="23" s="1"/>
  <c r="AG351" i="23" s="1"/>
  <c r="AF351" i="23" s="1"/>
  <c r="AI221" i="23"/>
  <c r="AH221" i="23" s="1"/>
  <c r="AI379" i="23"/>
  <c r="AI167" i="23"/>
  <c r="AH167" i="23" s="1"/>
  <c r="AI227" i="23"/>
  <c r="AH227" i="23" s="1"/>
  <c r="AG227" i="23" s="1"/>
  <c r="AF227" i="23" s="1"/>
  <c r="AI223" i="23"/>
  <c r="AH223" i="23" s="1"/>
  <c r="AI209" i="23"/>
  <c r="AH209" i="23" s="1"/>
  <c r="AG209" i="23" s="1"/>
  <c r="AF209" i="23" s="1"/>
  <c r="AI184" i="23"/>
  <c r="AH184" i="23" s="1"/>
  <c r="AI251" i="23"/>
  <c r="AH251" i="23" s="1"/>
  <c r="AG251" i="23" s="1"/>
  <c r="AF251" i="23" s="1"/>
  <c r="AI277" i="23"/>
  <c r="AH277" i="23" s="1"/>
  <c r="AI332" i="23"/>
  <c r="AH332" i="23" s="1"/>
  <c r="AG332" i="23" s="1"/>
  <c r="AF332" i="23" s="1"/>
  <c r="AI175" i="23"/>
  <c r="AH175" i="23" s="1"/>
  <c r="AI373" i="23"/>
  <c r="AH373" i="23" s="1"/>
  <c r="AG373" i="23" s="1"/>
  <c r="AF373" i="23" s="1"/>
  <c r="AI207" i="23"/>
  <c r="AH207" i="23" s="1"/>
  <c r="AI337" i="23"/>
  <c r="AH337" i="23" s="1"/>
  <c r="AG337" i="23" s="1"/>
  <c r="AF337" i="23" s="1"/>
  <c r="AI347" i="23"/>
  <c r="AH347" i="23" s="1"/>
  <c r="AI326" i="23"/>
  <c r="AH326" i="23" s="1"/>
  <c r="AG326" i="23" s="1"/>
  <c r="AF326" i="23" s="1"/>
  <c r="AI273" i="23"/>
  <c r="AH273" i="23" s="1"/>
  <c r="AI104" i="23"/>
  <c r="AI237" i="23"/>
  <c r="AH237" i="23" s="1"/>
  <c r="AI354" i="23"/>
  <c r="AH354" i="23" s="1"/>
  <c r="AG354" i="23" s="1"/>
  <c r="AF354" i="23" s="1"/>
  <c r="AI250" i="23"/>
  <c r="AH250" i="23" s="1"/>
  <c r="AI318" i="23"/>
  <c r="AH318" i="23" s="1"/>
  <c r="AG318" i="23" s="1"/>
  <c r="AF318" i="23" s="1"/>
  <c r="AI193" i="23"/>
  <c r="AH193" i="23" s="1"/>
  <c r="AI260" i="23"/>
  <c r="AH260" i="23" s="1"/>
  <c r="AG260" i="23" s="1"/>
  <c r="AF260" i="23" s="1"/>
  <c r="AI233" i="23"/>
  <c r="AH233" i="23" s="1"/>
  <c r="AI187" i="23"/>
  <c r="AH187" i="23" s="1"/>
  <c r="AG187" i="23" s="1"/>
  <c r="AF187" i="23" s="1"/>
  <c r="AI210" i="23"/>
  <c r="AH210" i="23" s="1"/>
  <c r="AI141" i="23"/>
  <c r="AH141" i="23" s="1"/>
  <c r="AG141" i="23" s="1"/>
  <c r="AF141" i="23" s="1"/>
  <c r="AI321" i="23"/>
  <c r="AH321" i="23" s="1"/>
  <c r="AI126" i="23"/>
  <c r="AH126" i="23" s="1"/>
  <c r="AG126" i="23" s="1"/>
  <c r="AF126" i="23" s="1"/>
  <c r="AI232" i="23"/>
  <c r="AH232" i="23" s="1"/>
  <c r="AI345" i="23"/>
  <c r="AH345" i="23" s="1"/>
  <c r="AG345" i="23" s="1"/>
  <c r="AF345" i="23" s="1"/>
  <c r="AI314" i="23"/>
  <c r="AH314" i="23" s="1"/>
  <c r="AI339" i="23"/>
  <c r="AH339" i="23" s="1"/>
  <c r="AG339" i="23" s="1"/>
  <c r="AF339" i="23" s="1"/>
  <c r="AI286" i="23"/>
  <c r="AH286" i="23" s="1"/>
  <c r="AI142" i="23"/>
  <c r="AH142" i="23" s="1"/>
  <c r="AG142" i="23" s="1"/>
  <c r="AF142" i="23" s="1"/>
  <c r="AI171" i="23"/>
  <c r="AH171" i="23" s="1"/>
  <c r="AI243" i="23"/>
  <c r="AH243" i="23" s="1"/>
  <c r="AG243" i="23" s="1"/>
  <c r="AF243" i="23" s="1"/>
  <c r="AI304" i="23"/>
  <c r="AH304" i="23" s="1"/>
  <c r="AI367" i="23"/>
  <c r="AH367" i="23" s="1"/>
  <c r="AG367" i="23" s="1"/>
  <c r="AF367" i="23" s="1"/>
  <c r="AI266" i="23"/>
  <c r="AH266" i="23" s="1"/>
  <c r="AI228" i="23"/>
  <c r="AH228" i="23" s="1"/>
  <c r="AG228" i="23" s="1"/>
  <c r="AF228" i="23" s="1"/>
  <c r="AI290" i="23"/>
  <c r="AH290" i="23" s="1"/>
  <c r="AI132" i="23"/>
  <c r="AH132" i="23" s="1"/>
  <c r="AG132" i="23" s="1"/>
  <c r="AF132" i="23" s="1"/>
  <c r="AI344" i="23"/>
  <c r="AH344" i="23" s="1"/>
  <c r="AI355" i="23"/>
  <c r="AH355" i="23" s="1"/>
  <c r="AI311" i="23"/>
  <c r="AH311" i="23" s="1"/>
  <c r="AI217" i="23"/>
  <c r="AH217" i="23" s="1"/>
  <c r="AI316" i="23"/>
  <c r="AH316" i="23" s="1"/>
  <c r="AI158" i="23"/>
  <c r="AH158" i="23" s="1"/>
  <c r="AG158" i="23" s="1"/>
  <c r="AF158" i="23" s="1"/>
  <c r="AI185" i="23"/>
  <c r="AH185" i="23" s="1"/>
  <c r="AI348" i="23"/>
  <c r="AH348" i="23" s="1"/>
  <c r="AG348" i="23" s="1"/>
  <c r="AF348" i="23" s="1"/>
  <c r="AI282" i="23"/>
  <c r="AH282" i="23" s="1"/>
  <c r="AI128" i="23"/>
  <c r="AH128" i="23" s="1"/>
  <c r="AG128" i="23" s="1"/>
  <c r="AF128" i="23" s="1"/>
  <c r="AI169" i="23"/>
  <c r="AH169" i="23" s="1"/>
  <c r="AI140" i="23"/>
  <c r="AH140" i="23" s="1"/>
  <c r="AG140" i="23" s="1"/>
  <c r="AF140" i="23" s="1"/>
  <c r="AI331" i="23"/>
  <c r="AH331" i="23" s="1"/>
  <c r="AI111" i="23"/>
  <c r="AH111" i="23" s="1"/>
  <c r="AG111" i="23" s="1"/>
  <c r="AF111" i="23" s="1"/>
  <c r="AI130" i="23"/>
  <c r="AH130" i="23" s="1"/>
  <c r="AI226" i="23"/>
  <c r="AH226" i="23" s="1"/>
  <c r="AG226" i="23" s="1"/>
  <c r="AF226" i="23" s="1"/>
  <c r="AI179" i="23"/>
  <c r="AH179" i="23" s="1"/>
  <c r="AI176" i="23"/>
  <c r="AH176" i="23" s="1"/>
  <c r="AG176" i="23" s="1"/>
  <c r="AF176" i="23" s="1"/>
  <c r="AI239" i="23"/>
  <c r="AH239" i="23" s="1"/>
  <c r="AI333" i="23"/>
  <c r="AH333" i="23" s="1"/>
  <c r="AG333" i="23" s="1"/>
  <c r="AF333" i="23" s="1"/>
  <c r="AI335" i="23"/>
  <c r="AH335" i="23" s="1"/>
  <c r="AI183" i="23"/>
  <c r="AH183" i="23" s="1"/>
  <c r="AG183" i="23" s="1"/>
  <c r="AF183" i="23" s="1"/>
  <c r="AI165" i="23"/>
  <c r="AH165" i="23" s="1"/>
  <c r="AI188" i="23"/>
  <c r="AH188" i="23" s="1"/>
  <c r="AG188" i="23" s="1"/>
  <c r="AF188" i="23" s="1"/>
  <c r="AI296" i="23"/>
  <c r="AH296" i="23" s="1"/>
  <c r="AI300" i="23"/>
  <c r="AH300" i="23" s="1"/>
  <c r="AG300" i="23" s="1"/>
  <c r="AF300" i="23" s="1"/>
  <c r="AI195" i="23"/>
  <c r="AH195" i="23" s="1"/>
  <c r="AI280" i="23"/>
  <c r="AH280" i="23" s="1"/>
  <c r="AG280" i="23" s="1"/>
  <c r="AF280" i="23" s="1"/>
  <c r="AI375" i="23"/>
  <c r="AH375" i="23" s="1"/>
  <c r="AI186" i="23"/>
  <c r="AH186" i="23" s="1"/>
  <c r="AG186" i="23" s="1"/>
  <c r="AF186" i="23" s="1"/>
  <c r="AI222" i="23"/>
  <c r="AH222" i="23" s="1"/>
  <c r="AI220" i="23"/>
  <c r="AH220" i="23" s="1"/>
  <c r="AG220" i="23" s="1"/>
  <c r="AF220" i="23" s="1"/>
  <c r="AI371" i="23"/>
  <c r="AH371" i="23" s="1"/>
  <c r="AI297" i="23"/>
  <c r="AH297" i="23" s="1"/>
  <c r="AG297" i="23" s="1"/>
  <c r="AF297" i="23" s="1"/>
  <c r="L44" i="19"/>
  <c r="D184" i="22"/>
  <c r="E184" i="22" s="1"/>
  <c r="F184" i="22" s="1"/>
  <c r="G184" i="22" s="1"/>
  <c r="CC184" i="6" s="1"/>
  <c r="I37" i="19"/>
  <c r="Z4" i="6"/>
  <c r="B229" i="6"/>
  <c r="BA229" i="6" s="1"/>
  <c r="AC4" i="6" s="1"/>
  <c r="H229" i="20"/>
  <c r="I312" i="20"/>
  <c r="J312" i="20"/>
  <c r="D21" i="22"/>
  <c r="E21" i="22" s="1"/>
  <c r="F21" i="22" s="1"/>
  <c r="G21" i="22" s="1"/>
  <c r="CC21" i="6" s="1"/>
  <c r="W21" i="22"/>
  <c r="D115" i="22"/>
  <c r="E115" i="22" s="1"/>
  <c r="F115" i="22" s="1"/>
  <c r="G115" i="22" s="1"/>
  <c r="CC115" i="6" s="1"/>
  <c r="W115" i="22"/>
  <c r="W186" i="22"/>
  <c r="D186" i="22"/>
  <c r="E186" i="22" s="1"/>
  <c r="F186" i="22" s="1"/>
  <c r="H186" i="22" s="1"/>
  <c r="W359" i="22"/>
  <c r="D359" i="22"/>
  <c r="E359" i="22" s="1"/>
  <c r="F359" i="22" s="1"/>
  <c r="G359" i="22" s="1"/>
  <c r="CC359" i="6" s="1"/>
  <c r="D42" i="22"/>
  <c r="E42" i="22" s="1"/>
  <c r="F42" i="22" s="1"/>
  <c r="G42" i="22" s="1"/>
  <c r="CC42" i="6" s="1"/>
  <c r="W42" i="22"/>
  <c r="D353" i="22"/>
  <c r="E353" i="22" s="1"/>
  <c r="F353" i="22" s="1"/>
  <c r="H353" i="22" s="1"/>
  <c r="W353" i="22"/>
  <c r="W86" i="22"/>
  <c r="D86" i="22"/>
  <c r="E86" i="22" s="1"/>
  <c r="F86" i="22" s="1"/>
  <c r="AA86" i="22" s="1"/>
  <c r="Z86" i="22" s="1"/>
  <c r="Y86" i="22" s="1"/>
  <c r="D225" i="22"/>
  <c r="E225" i="22" s="1"/>
  <c r="F225" i="22" s="1"/>
  <c r="G225" i="22" s="1"/>
  <c r="CC225" i="6" s="1"/>
  <c r="W225" i="22"/>
  <c r="D87" i="22"/>
  <c r="E87" i="22" s="1"/>
  <c r="F87" i="22" s="1"/>
  <c r="W87" i="22"/>
  <c r="D142" i="22"/>
  <c r="E142" i="22" s="1"/>
  <c r="F142" i="22" s="1"/>
  <c r="AA142" i="22" s="1"/>
  <c r="Z142" i="22" s="1"/>
  <c r="Y142" i="22" s="1"/>
  <c r="W142" i="22"/>
  <c r="W19" i="22"/>
  <c r="D19" i="22"/>
  <c r="E19" i="22" s="1"/>
  <c r="F19" i="22" s="1"/>
  <c r="H19" i="22" s="1"/>
  <c r="W172" i="22"/>
  <c r="D172" i="22"/>
  <c r="E172" i="22" s="1"/>
  <c r="F172" i="22" s="1"/>
  <c r="G172" i="22" s="1"/>
  <c r="CC172" i="6" s="1"/>
  <c r="D22" i="22"/>
  <c r="E22" i="22" s="1"/>
  <c r="F22" i="22" s="1"/>
  <c r="G22" i="22" s="1"/>
  <c r="CC22" i="6" s="1"/>
  <c r="W22" i="22"/>
  <c r="W285" i="22"/>
  <c r="D285" i="22"/>
  <c r="E285" i="22" s="1"/>
  <c r="F285" i="22" s="1"/>
  <c r="AA285" i="22" s="1"/>
  <c r="Z285" i="22" s="1"/>
  <c r="Y285" i="22" s="1"/>
  <c r="W277" i="22"/>
  <c r="D277" i="22"/>
  <c r="E277" i="22" s="1"/>
  <c r="F277" i="22" s="1"/>
  <c r="AA277" i="22" s="1"/>
  <c r="Z277" i="22" s="1"/>
  <c r="Y277" i="22" s="1"/>
  <c r="D371" i="22"/>
  <c r="E371" i="22" s="1"/>
  <c r="F371" i="22" s="1"/>
  <c r="AA371" i="22" s="1"/>
  <c r="Z371" i="22" s="1"/>
  <c r="Y371" i="22" s="1"/>
  <c r="W371" i="22"/>
  <c r="W279" i="22"/>
  <c r="D279" i="22"/>
  <c r="E279" i="22" s="1"/>
  <c r="F279" i="22" s="1"/>
  <c r="H279" i="22" s="1"/>
  <c r="D249" i="22"/>
  <c r="E249" i="22" s="1"/>
  <c r="F249" i="22" s="1"/>
  <c r="W249" i="22"/>
  <c r="D183" i="22"/>
  <c r="E183" i="22" s="1"/>
  <c r="F183" i="22" s="1"/>
  <c r="W183" i="22"/>
  <c r="W323" i="22"/>
  <c r="D323" i="22"/>
  <c r="E323" i="22" s="1"/>
  <c r="F323" i="22" s="1"/>
  <c r="AA323" i="22" s="1"/>
  <c r="Z323" i="22" s="1"/>
  <c r="Y323" i="22" s="1"/>
  <c r="AH42" i="7"/>
  <c r="V333" i="22"/>
  <c r="B333" i="22" s="1"/>
  <c r="D333" i="22" s="1"/>
  <c r="E333" i="22" s="1"/>
  <c r="F333" i="22" s="1"/>
  <c r="V60" i="22"/>
  <c r="B60" i="22" s="1"/>
  <c r="W60" i="22" s="1"/>
  <c r="AH33" i="7"/>
  <c r="W44" i="22"/>
  <c r="D44" i="22"/>
  <c r="E44" i="22" s="1"/>
  <c r="F44" i="22" s="1"/>
  <c r="G44" i="22" s="1"/>
  <c r="CC44" i="6" s="1"/>
  <c r="D224" i="22"/>
  <c r="E224" i="22" s="1"/>
  <c r="F224" i="22" s="1"/>
  <c r="AA224" i="22" s="1"/>
  <c r="Z224" i="22" s="1"/>
  <c r="Y224" i="22" s="1"/>
  <c r="W224" i="22"/>
  <c r="AH37" i="7"/>
  <c r="V180" i="22"/>
  <c r="B180" i="22" s="1"/>
  <c r="D180" i="22" s="1"/>
  <c r="E180" i="22" s="1"/>
  <c r="F180" i="22" s="1"/>
  <c r="D178" i="22"/>
  <c r="E178" i="22" s="1"/>
  <c r="F178" i="22" s="1"/>
  <c r="G178" i="22" s="1"/>
  <c r="CC178" i="6" s="1"/>
  <c r="W178" i="22"/>
  <c r="W367" i="22"/>
  <c r="D367" i="22"/>
  <c r="E367" i="22" s="1"/>
  <c r="F367" i="22" s="1"/>
  <c r="AA367" i="22" s="1"/>
  <c r="Z367" i="22" s="1"/>
  <c r="Y367" i="22" s="1"/>
  <c r="W18" i="22"/>
  <c r="D18" i="22"/>
  <c r="E18" i="22" s="1"/>
  <c r="F18" i="22" s="1"/>
  <c r="G18" i="22" s="1"/>
  <c r="CC18" i="6" s="1"/>
  <c r="D99" i="22"/>
  <c r="E99" i="22" s="1"/>
  <c r="F99" i="22" s="1"/>
  <c r="H99" i="22" s="1"/>
  <c r="W99" i="22"/>
  <c r="D260" i="22"/>
  <c r="E260" i="22" s="1"/>
  <c r="F260" i="22" s="1"/>
  <c r="W260" i="22"/>
  <c r="D242" i="22"/>
  <c r="E242" i="22" s="1"/>
  <c r="F242" i="22" s="1"/>
  <c r="W242" i="22"/>
  <c r="W198" i="22"/>
  <c r="D198" i="22"/>
  <c r="E198" i="22" s="1"/>
  <c r="F198" i="22" s="1"/>
  <c r="AA198" i="22" s="1"/>
  <c r="Z198" i="22" s="1"/>
  <c r="Y198" i="22" s="1"/>
  <c r="W301" i="22"/>
  <c r="D301" i="22"/>
  <c r="E301" i="22" s="1"/>
  <c r="F301" i="22" s="1"/>
  <c r="G301" i="22" s="1"/>
  <c r="CC301" i="6" s="1"/>
  <c r="W80" i="22"/>
  <c r="D80" i="22"/>
  <c r="E80" i="22" s="1"/>
  <c r="F80" i="22" s="1"/>
  <c r="H80" i="22" s="1"/>
  <c r="W102" i="22"/>
  <c r="D102" i="22"/>
  <c r="E102" i="22" s="1"/>
  <c r="F102" i="22" s="1"/>
  <c r="G102" i="22" s="1"/>
  <c r="CC102" i="6" s="1"/>
  <c r="D26" i="22"/>
  <c r="E26" i="22" s="1"/>
  <c r="F26" i="22" s="1"/>
  <c r="H26" i="22" s="1"/>
  <c r="W26" i="22"/>
  <c r="W351" i="22"/>
  <c r="D351" i="22"/>
  <c r="E351" i="22" s="1"/>
  <c r="F351" i="22" s="1"/>
  <c r="H351" i="22" s="1"/>
  <c r="W144" i="22"/>
  <c r="D144" i="22"/>
  <c r="E144" i="22" s="1"/>
  <c r="F144" i="22" s="1"/>
  <c r="AA144" i="22" s="1"/>
  <c r="Z144" i="22" s="1"/>
  <c r="Y144" i="22" s="1"/>
  <c r="W65" i="22"/>
  <c r="D65" i="22"/>
  <c r="E65" i="22" s="1"/>
  <c r="F65" i="22" s="1"/>
  <c r="H65" i="22" s="1"/>
  <c r="D316" i="22"/>
  <c r="E316" i="22" s="1"/>
  <c r="F316" i="22" s="1"/>
  <c r="W316" i="22"/>
  <c r="D233" i="22"/>
  <c r="E233" i="22" s="1"/>
  <c r="F233" i="22" s="1"/>
  <c r="W233" i="22"/>
  <c r="D133" i="22"/>
  <c r="E133" i="22" s="1"/>
  <c r="F133" i="22" s="1"/>
  <c r="G133" i="22" s="1"/>
  <c r="CC133" i="6" s="1"/>
  <c r="W133" i="22"/>
  <c r="W229" i="22"/>
  <c r="D229" i="22"/>
  <c r="E229" i="22" s="1"/>
  <c r="F229" i="22" s="1"/>
  <c r="G229" i="22" s="1"/>
  <c r="CC229" i="6" s="1"/>
  <c r="W121" i="22"/>
  <c r="D121" i="22"/>
  <c r="E121" i="22" s="1"/>
  <c r="F121" i="22" s="1"/>
  <c r="G121" i="22" s="1"/>
  <c r="CC121" i="6" s="1"/>
  <c r="W245" i="22"/>
  <c r="D245" i="22"/>
  <c r="E245" i="22" s="1"/>
  <c r="F245" i="22" s="1"/>
  <c r="G245" i="22" s="1"/>
  <c r="CC245" i="6" s="1"/>
  <c r="D147" i="22"/>
  <c r="E147" i="22" s="1"/>
  <c r="F147" i="22" s="1"/>
  <c r="W147" i="22"/>
  <c r="V119" i="22"/>
  <c r="AH35" i="7"/>
  <c r="D361" i="22"/>
  <c r="E361" i="22" s="1"/>
  <c r="F361" i="22" s="1"/>
  <c r="W361" i="22"/>
  <c r="D58" i="22"/>
  <c r="E58" i="22" s="1"/>
  <c r="F58" i="22" s="1"/>
  <c r="G58" i="22" s="1"/>
  <c r="CC58" i="6" s="1"/>
  <c r="W58" i="22"/>
  <c r="D20" i="22"/>
  <c r="E20" i="22" s="1"/>
  <c r="F20" i="22" s="1"/>
  <c r="G20" i="22" s="1"/>
  <c r="CC20" i="6" s="1"/>
  <c r="W20" i="22"/>
  <c r="D356" i="22"/>
  <c r="E356" i="22" s="1"/>
  <c r="F356" i="22" s="1"/>
  <c r="G356" i="22" s="1"/>
  <c r="CC356" i="6" s="1"/>
  <c r="W356" i="22"/>
  <c r="D254" i="22"/>
  <c r="E254" i="22" s="1"/>
  <c r="F254" i="22" s="1"/>
  <c r="H254" i="22" s="1"/>
  <c r="W254" i="22"/>
  <c r="D221" i="22"/>
  <c r="E221" i="22" s="1"/>
  <c r="F221" i="22" s="1"/>
  <c r="H221" i="22" s="1"/>
  <c r="W221" i="22"/>
  <c r="W185" i="22"/>
  <c r="D185" i="22"/>
  <c r="E185" i="22" s="1"/>
  <c r="F185" i="22" s="1"/>
  <c r="AA185" i="22" s="1"/>
  <c r="Z185" i="22" s="1"/>
  <c r="Y185" i="22" s="1"/>
  <c r="W32" i="22"/>
  <c r="D32" i="22"/>
  <c r="E32" i="22" s="1"/>
  <c r="F32" i="22" s="1"/>
  <c r="G32" i="22" s="1"/>
  <c r="CC32" i="6" s="1"/>
  <c r="W337" i="22"/>
  <c r="D337" i="22"/>
  <c r="E337" i="22" s="1"/>
  <c r="F337" i="22" s="1"/>
  <c r="AA337" i="22" s="1"/>
  <c r="Z337" i="22" s="1"/>
  <c r="Y337" i="22" s="1"/>
  <c r="D222" i="22"/>
  <c r="E222" i="22" s="1"/>
  <c r="F222" i="22" s="1"/>
  <c r="W222" i="22"/>
  <c r="D309" i="22"/>
  <c r="E309" i="22" s="1"/>
  <c r="F309" i="22" s="1"/>
  <c r="W309" i="22"/>
  <c r="D78" i="22"/>
  <c r="E78" i="22" s="1"/>
  <c r="F78" i="22" s="1"/>
  <c r="AA78" i="22" s="1"/>
  <c r="Z78" i="22" s="1"/>
  <c r="Y78" i="22" s="1"/>
  <c r="W78" i="22"/>
  <c r="W357" i="22"/>
  <c r="D357" i="22"/>
  <c r="E357" i="22" s="1"/>
  <c r="F357" i="22" s="1"/>
  <c r="AA357" i="22" s="1"/>
  <c r="Z357" i="22" s="1"/>
  <c r="Y357" i="22" s="1"/>
  <c r="W170" i="22"/>
  <c r="D170" i="22"/>
  <c r="E170" i="22" s="1"/>
  <c r="F170" i="22" s="1"/>
  <c r="AA170" i="22" s="1"/>
  <c r="Z170" i="22" s="1"/>
  <c r="Y170" i="22" s="1"/>
  <c r="D145" i="22"/>
  <c r="E145" i="22" s="1"/>
  <c r="F145" i="22" s="1"/>
  <c r="AA145" i="22" s="1"/>
  <c r="Z145" i="22" s="1"/>
  <c r="Y145" i="22" s="1"/>
  <c r="W145" i="22"/>
  <c r="W38" i="22"/>
  <c r="D38" i="22"/>
  <c r="E38" i="22" s="1"/>
  <c r="F38" i="22" s="1"/>
  <c r="H38" i="22" s="1"/>
  <c r="W310" i="22"/>
  <c r="D310" i="22"/>
  <c r="E310" i="22" s="1"/>
  <c r="F310" i="22" s="1"/>
  <c r="H310" i="22" s="1"/>
  <c r="W55" i="22"/>
  <c r="D55" i="22"/>
  <c r="E55" i="22" s="1"/>
  <c r="F55" i="22" s="1"/>
  <c r="G55" i="22" s="1"/>
  <c r="CC55" i="6" s="1"/>
  <c r="D28" i="22"/>
  <c r="E28" i="22" s="1"/>
  <c r="F28" i="22" s="1"/>
  <c r="G28" i="22" s="1"/>
  <c r="CC28" i="6" s="1"/>
  <c r="W28" i="22"/>
  <c r="W313" i="22"/>
  <c r="D313" i="22"/>
  <c r="E313" i="22" s="1"/>
  <c r="F313" i="22" s="1"/>
  <c r="H313" i="22" s="1"/>
  <c r="D112" i="22"/>
  <c r="E112" i="22" s="1"/>
  <c r="F112" i="22" s="1"/>
  <c r="W112" i="22"/>
  <c r="D252" i="22"/>
  <c r="E252" i="22" s="1"/>
  <c r="F252" i="22" s="1"/>
  <c r="W252" i="22"/>
  <c r="D230" i="22"/>
  <c r="E230" i="22" s="1"/>
  <c r="F230" i="22" s="1"/>
  <c r="W230" i="22"/>
  <c r="W169" i="22"/>
  <c r="D169" i="22"/>
  <c r="E169" i="22" s="1"/>
  <c r="F169" i="22" s="1"/>
  <c r="H169" i="22" s="1"/>
  <c r="D106" i="22"/>
  <c r="E106" i="22" s="1"/>
  <c r="F106" i="22" s="1"/>
  <c r="W106" i="22"/>
  <c r="D377" i="22"/>
  <c r="E377" i="22" s="1"/>
  <c r="F377" i="22" s="1"/>
  <c r="AA377" i="22" s="1"/>
  <c r="Z377" i="22" s="1"/>
  <c r="Y377" i="22" s="1"/>
  <c r="W377" i="22"/>
  <c r="D264" i="22"/>
  <c r="E264" i="22" s="1"/>
  <c r="F264" i="22" s="1"/>
  <c r="H264" i="22" s="1"/>
  <c r="W264" i="22"/>
  <c r="W164" i="22"/>
  <c r="D164" i="22"/>
  <c r="E164" i="22" s="1"/>
  <c r="F164" i="22" s="1"/>
  <c r="H164" i="22" s="1"/>
  <c r="D232" i="22"/>
  <c r="E232" i="22" s="1"/>
  <c r="F232" i="22" s="1"/>
  <c r="AA232" i="22" s="1"/>
  <c r="Z232" i="22" s="1"/>
  <c r="Y232" i="22" s="1"/>
  <c r="W232" i="22"/>
  <c r="D211" i="22"/>
  <c r="E211" i="22" s="1"/>
  <c r="F211" i="22" s="1"/>
  <c r="W211" i="22"/>
  <c r="D251" i="22"/>
  <c r="E251" i="22" s="1"/>
  <c r="F251" i="22" s="1"/>
  <c r="H251" i="22" s="1"/>
  <c r="W251" i="22"/>
  <c r="D168" i="22"/>
  <c r="E168" i="22" s="1"/>
  <c r="F168" i="22" s="1"/>
  <c r="W168" i="22"/>
  <c r="W98" i="22"/>
  <c r="D98" i="22"/>
  <c r="E98" i="22" s="1"/>
  <c r="F98" i="22" s="1"/>
  <c r="AA98" i="22" s="1"/>
  <c r="Z98" i="22" s="1"/>
  <c r="Y98" i="22" s="1"/>
  <c r="W219" i="22"/>
  <c r="D219" i="22"/>
  <c r="E219" i="22" s="1"/>
  <c r="F219" i="22" s="1"/>
  <c r="G219" i="22" s="1"/>
  <c r="CC219" i="6" s="1"/>
  <c r="D171" i="22"/>
  <c r="E171" i="22" s="1"/>
  <c r="F171" i="22" s="1"/>
  <c r="AA171" i="22" s="1"/>
  <c r="Z171" i="22" s="1"/>
  <c r="Y171" i="22" s="1"/>
  <c r="W171" i="22"/>
  <c r="B227" i="22"/>
  <c r="W191" i="22"/>
  <c r="D191" i="22"/>
  <c r="E191" i="22" s="1"/>
  <c r="F191" i="22" s="1"/>
  <c r="AA191" i="22" s="1"/>
  <c r="Z191" i="22" s="1"/>
  <c r="Y191" i="22" s="1"/>
  <c r="W223" i="22"/>
  <c r="D223" i="22"/>
  <c r="E223" i="22" s="1"/>
  <c r="F223" i="22" s="1"/>
  <c r="H223" i="22" s="1"/>
  <c r="D340" i="22"/>
  <c r="E340" i="22" s="1"/>
  <c r="F340" i="22" s="1"/>
  <c r="G340" i="22" s="1"/>
  <c r="CC340" i="6" s="1"/>
  <c r="W340" i="22"/>
  <c r="W153" i="22"/>
  <c r="D153" i="22"/>
  <c r="E153" i="22" s="1"/>
  <c r="F153" i="22" s="1"/>
  <c r="D146" i="22"/>
  <c r="E146" i="22" s="1"/>
  <c r="F146" i="22" s="1"/>
  <c r="H146" i="22" s="1"/>
  <c r="W146" i="22"/>
  <c r="V241" i="22"/>
  <c r="B241" i="22" s="1"/>
  <c r="D241" i="22" s="1"/>
  <c r="E241" i="22" s="1"/>
  <c r="F241" i="22" s="1"/>
  <c r="AH39" i="7"/>
  <c r="D103" i="22"/>
  <c r="E103" i="22" s="1"/>
  <c r="F103" i="22" s="1"/>
  <c r="G103" i="22" s="1"/>
  <c r="CC103" i="6" s="1"/>
  <c r="W103" i="22"/>
  <c r="D151" i="22"/>
  <c r="E151" i="22" s="1"/>
  <c r="F151" i="22" s="1"/>
  <c r="AA151" i="22" s="1"/>
  <c r="Z151" i="22" s="1"/>
  <c r="Y151" i="22" s="1"/>
  <c r="W151" i="22"/>
  <c r="W226" i="22"/>
  <c r="D226" i="22"/>
  <c r="E226" i="22" s="1"/>
  <c r="F226" i="22" s="1"/>
  <c r="W197" i="22"/>
  <c r="D197" i="22"/>
  <c r="E197" i="22" s="1"/>
  <c r="F197" i="22" s="1"/>
  <c r="G197" i="22" s="1"/>
  <c r="CC197" i="6" s="1"/>
  <c r="W336" i="22"/>
  <c r="D336" i="22"/>
  <c r="E336" i="22" s="1"/>
  <c r="F336" i="22" s="1"/>
  <c r="AA336" i="22" s="1"/>
  <c r="Z336" i="22" s="1"/>
  <c r="Y336" i="22" s="1"/>
  <c r="W94" i="22"/>
  <c r="D94" i="22"/>
  <c r="E94" i="22" s="1"/>
  <c r="F94" i="22" s="1"/>
  <c r="H94" i="22" s="1"/>
  <c r="W297" i="22"/>
  <c r="D297" i="22"/>
  <c r="E297" i="22" s="1"/>
  <c r="F297" i="22" s="1"/>
  <c r="AA297" i="22" s="1"/>
  <c r="Z297" i="22" s="1"/>
  <c r="Y297" i="22" s="1"/>
  <c r="D320" i="22"/>
  <c r="E320" i="22" s="1"/>
  <c r="F320" i="22" s="1"/>
  <c r="G320" i="22" s="1"/>
  <c r="CC320" i="6" s="1"/>
  <c r="W320" i="22"/>
  <c r="W36" i="22"/>
  <c r="D36" i="22"/>
  <c r="E36" i="22" s="1"/>
  <c r="F36" i="22" s="1"/>
  <c r="H36" i="22" s="1"/>
  <c r="D215" i="22"/>
  <c r="E215" i="22" s="1"/>
  <c r="F215" i="22" s="1"/>
  <c r="G215" i="22" s="1"/>
  <c r="CC215" i="6" s="1"/>
  <c r="W215" i="22"/>
  <c r="D122" i="22"/>
  <c r="E122" i="22" s="1"/>
  <c r="F122" i="22" s="1"/>
  <c r="G122" i="22" s="1"/>
  <c r="CC122" i="6" s="1"/>
  <c r="W122" i="22"/>
  <c r="W148" i="22"/>
  <c r="D148" i="22"/>
  <c r="E148" i="22" s="1"/>
  <c r="F148" i="22" s="1"/>
  <c r="G148" i="22" s="1"/>
  <c r="CC148" i="6" s="1"/>
  <c r="V363" i="22"/>
  <c r="B363" i="22" s="1"/>
  <c r="W363" i="22" s="1"/>
  <c r="AH43" i="7"/>
  <c r="D378" i="22"/>
  <c r="E378" i="22" s="1"/>
  <c r="F378" i="22" s="1"/>
  <c r="AA378" i="22" s="1"/>
  <c r="Z378" i="22" s="1"/>
  <c r="Y378" i="22" s="1"/>
  <c r="W378" i="22"/>
  <c r="W307" i="22"/>
  <c r="D307" i="22"/>
  <c r="E307" i="22" s="1"/>
  <c r="F307" i="22" s="1"/>
  <c r="AA307" i="22" s="1"/>
  <c r="Z307" i="22" s="1"/>
  <c r="Y307" i="22" s="1"/>
  <c r="W96" i="22"/>
  <c r="D96" i="22"/>
  <c r="E96" i="22" s="1"/>
  <c r="F96" i="22" s="1"/>
  <c r="W263" i="22"/>
  <c r="D263" i="22"/>
  <c r="E263" i="22" s="1"/>
  <c r="F263" i="22" s="1"/>
  <c r="D329" i="22"/>
  <c r="E329" i="22" s="1"/>
  <c r="F329" i="22" s="1"/>
  <c r="H329" i="22" s="1"/>
  <c r="W329" i="22"/>
  <c r="W141" i="22"/>
  <c r="D141" i="22"/>
  <c r="E141" i="22" s="1"/>
  <c r="F141" i="22" s="1"/>
  <c r="D63" i="22"/>
  <c r="E63" i="22" s="1"/>
  <c r="F63" i="22" s="1"/>
  <c r="G63" i="22" s="1"/>
  <c r="CC63" i="6" s="1"/>
  <c r="W63" i="22"/>
  <c r="W308" i="22"/>
  <c r="D308" i="22"/>
  <c r="E308" i="22" s="1"/>
  <c r="F308" i="22" s="1"/>
  <c r="D375" i="22"/>
  <c r="E375" i="22" s="1"/>
  <c r="F375" i="22" s="1"/>
  <c r="G375" i="22" s="1"/>
  <c r="CC375" i="6" s="1"/>
  <c r="W375" i="22"/>
  <c r="W84" i="22"/>
  <c r="D84" i="22"/>
  <c r="E84" i="22" s="1"/>
  <c r="F84" i="22" s="1"/>
  <c r="G84" i="22" s="1"/>
  <c r="CC84" i="6" s="1"/>
  <c r="D194" i="22"/>
  <c r="E194" i="22" s="1"/>
  <c r="F194" i="22" s="1"/>
  <c r="G194" i="22" s="1"/>
  <c r="CC194" i="6" s="1"/>
  <c r="W194" i="22"/>
  <c r="D16" i="22"/>
  <c r="E16" i="22" s="1"/>
  <c r="F16" i="22" s="1"/>
  <c r="H16" i="22" s="1"/>
  <c r="W16" i="22"/>
  <c r="W239" i="22"/>
  <c r="D239" i="22"/>
  <c r="E239" i="22" s="1"/>
  <c r="F239" i="22" s="1"/>
  <c r="G239" i="22" s="1"/>
  <c r="CC239" i="6" s="1"/>
  <c r="W218" i="22"/>
  <c r="D218" i="22"/>
  <c r="E218" i="22" s="1"/>
  <c r="F218" i="22" s="1"/>
  <c r="H218" i="22" s="1"/>
  <c r="D104" i="22"/>
  <c r="E104" i="22" s="1"/>
  <c r="F104" i="22" s="1"/>
  <c r="G104" i="22" s="1"/>
  <c r="CC104" i="6" s="1"/>
  <c r="W104" i="22"/>
  <c r="W128" i="22"/>
  <c r="D128" i="22"/>
  <c r="E128" i="22" s="1"/>
  <c r="F128" i="22" s="1"/>
  <c r="G128" i="22" s="1"/>
  <c r="CC128" i="6" s="1"/>
  <c r="V302" i="22"/>
  <c r="B302" i="22" s="1"/>
  <c r="D302" i="22" s="1"/>
  <c r="E302" i="22" s="1"/>
  <c r="F302" i="22" s="1"/>
  <c r="AH41" i="7"/>
  <c r="D352" i="22"/>
  <c r="E352" i="22" s="1"/>
  <c r="F352" i="22" s="1"/>
  <c r="G352" i="22" s="1"/>
  <c r="CC352" i="6" s="1"/>
  <c r="W352" i="22"/>
  <c r="D95" i="22"/>
  <c r="E95" i="22" s="1"/>
  <c r="F95" i="22" s="1"/>
  <c r="H95" i="22" s="1"/>
  <c r="W95" i="22"/>
  <c r="D334" i="22"/>
  <c r="E334" i="22" s="1"/>
  <c r="F334" i="22" s="1"/>
  <c r="H334" i="22" s="1"/>
  <c r="W334" i="22"/>
  <c r="D134" i="22"/>
  <c r="E134" i="22" s="1"/>
  <c r="F134" i="22" s="1"/>
  <c r="G134" i="22" s="1"/>
  <c r="CC134" i="6" s="1"/>
  <c r="W134" i="22"/>
  <c r="W331" i="22"/>
  <c r="D331" i="22"/>
  <c r="E331" i="22" s="1"/>
  <c r="F331" i="22" s="1"/>
  <c r="AA331" i="22" s="1"/>
  <c r="Z331" i="22" s="1"/>
  <c r="Y331" i="22" s="1"/>
  <c r="D265" i="22"/>
  <c r="E265" i="22" s="1"/>
  <c r="F265" i="22" s="1"/>
  <c r="AA265" i="22" s="1"/>
  <c r="Z265" i="22" s="1"/>
  <c r="Y265" i="22" s="1"/>
  <c r="W265" i="22"/>
  <c r="W235" i="22"/>
  <c r="D235" i="22"/>
  <c r="E235" i="22" s="1"/>
  <c r="F235" i="22" s="1"/>
  <c r="AA235" i="22" s="1"/>
  <c r="Z235" i="22" s="1"/>
  <c r="Y235" i="22" s="1"/>
  <c r="W268" i="22"/>
  <c r="D268" i="22"/>
  <c r="E268" i="22" s="1"/>
  <c r="F268" i="22" s="1"/>
  <c r="H268" i="22" s="1"/>
  <c r="D201" i="22"/>
  <c r="E201" i="22" s="1"/>
  <c r="F201" i="22" s="1"/>
  <c r="AA201" i="22" s="1"/>
  <c r="Z201" i="22" s="1"/>
  <c r="Y201" i="22" s="1"/>
  <c r="W201" i="22"/>
  <c r="AH34" i="7"/>
  <c r="V88" i="22"/>
  <c r="B88" i="22" s="1"/>
  <c r="D88" i="22" s="1"/>
  <c r="E88" i="22" s="1"/>
  <c r="F88" i="22" s="1"/>
  <c r="D248" i="22"/>
  <c r="E248" i="22" s="1"/>
  <c r="F248" i="22" s="1"/>
  <c r="H248" i="22" s="1"/>
  <c r="W248" i="22"/>
  <c r="D365" i="22"/>
  <c r="E365" i="22" s="1"/>
  <c r="F365" i="22" s="1"/>
  <c r="AA365" i="22" s="1"/>
  <c r="Z365" i="22" s="1"/>
  <c r="Y365" i="22" s="1"/>
  <c r="W365" i="22"/>
  <c r="D116" i="22"/>
  <c r="E116" i="22" s="1"/>
  <c r="F116" i="22" s="1"/>
  <c r="G116" i="22" s="1"/>
  <c r="CC116" i="6" s="1"/>
  <c r="W116" i="22"/>
  <c r="D366" i="22"/>
  <c r="E366" i="22" s="1"/>
  <c r="F366" i="22" s="1"/>
  <c r="G366" i="22" s="1"/>
  <c r="CC366" i="6" s="1"/>
  <c r="W366" i="22"/>
  <c r="W282" i="22"/>
  <c r="D282" i="22"/>
  <c r="E282" i="22" s="1"/>
  <c r="F282" i="22" s="1"/>
  <c r="H282" i="22" s="1"/>
  <c r="W92" i="22"/>
  <c r="D92" i="22"/>
  <c r="E92" i="22" s="1"/>
  <c r="F92" i="22" s="1"/>
  <c r="H92" i="22" s="1"/>
  <c r="W342" i="22"/>
  <c r="D342" i="22"/>
  <c r="E342" i="22" s="1"/>
  <c r="F342" i="22" s="1"/>
  <c r="G342" i="22" s="1"/>
  <c r="CC342" i="6" s="1"/>
  <c r="D34" i="22"/>
  <c r="E34" i="22" s="1"/>
  <c r="F34" i="22" s="1"/>
  <c r="G34" i="22" s="1"/>
  <c r="CC34" i="6" s="1"/>
  <c r="W34" i="22"/>
  <c r="W35" i="22"/>
  <c r="D35" i="22"/>
  <c r="E35" i="22" s="1"/>
  <c r="F35" i="22" s="1"/>
  <c r="H35" i="22" s="1"/>
  <c r="W306" i="22"/>
  <c r="D306" i="22"/>
  <c r="E306" i="22" s="1"/>
  <c r="F306" i="22" s="1"/>
  <c r="AA306" i="22" s="1"/>
  <c r="Z306" i="22" s="1"/>
  <c r="Y306" i="22" s="1"/>
  <c r="D195" i="22"/>
  <c r="E195" i="22" s="1"/>
  <c r="F195" i="22" s="1"/>
  <c r="AA195" i="22" s="1"/>
  <c r="Z195" i="22" s="1"/>
  <c r="Y195" i="22" s="1"/>
  <c r="W195" i="22"/>
  <c r="W325" i="22"/>
  <c r="D325" i="22"/>
  <c r="E325" i="22" s="1"/>
  <c r="F325" i="22" s="1"/>
  <c r="H325" i="22" s="1"/>
  <c r="D369" i="22"/>
  <c r="E369" i="22" s="1"/>
  <c r="F369" i="22" s="1"/>
  <c r="G369" i="22" s="1"/>
  <c r="CC369" i="6" s="1"/>
  <c r="W369" i="22"/>
  <c r="D159" i="22"/>
  <c r="E159" i="22" s="1"/>
  <c r="F159" i="22" s="1"/>
  <c r="G159" i="22" s="1"/>
  <c r="CC159" i="6" s="1"/>
  <c r="W159" i="22"/>
  <c r="W82" i="22"/>
  <c r="D82" i="22"/>
  <c r="E82" i="22" s="1"/>
  <c r="F82" i="22" s="1"/>
  <c r="D270" i="22"/>
  <c r="E270" i="22" s="1"/>
  <c r="F270" i="22" s="1"/>
  <c r="H270" i="22" s="1"/>
  <c r="W270" i="22"/>
  <c r="D259" i="22"/>
  <c r="E259" i="22" s="1"/>
  <c r="F259" i="22" s="1"/>
  <c r="H259" i="22" s="1"/>
  <c r="W259" i="22"/>
  <c r="W294" i="22"/>
  <c r="D294" i="22"/>
  <c r="E294" i="22" s="1"/>
  <c r="F294" i="22" s="1"/>
  <c r="D344" i="22"/>
  <c r="E344" i="22" s="1"/>
  <c r="F344" i="22" s="1"/>
  <c r="H344" i="22" s="1"/>
  <c r="W344" i="22"/>
  <c r="W83" i="22"/>
  <c r="D83" i="22"/>
  <c r="E83" i="22" s="1"/>
  <c r="F83" i="22" s="1"/>
  <c r="D52" i="22"/>
  <c r="E52" i="22" s="1"/>
  <c r="F52" i="22" s="1"/>
  <c r="G52" i="22" s="1"/>
  <c r="CC52" i="6" s="1"/>
  <c r="W52" i="22"/>
  <c r="W318" i="22"/>
  <c r="D318" i="22"/>
  <c r="E318" i="22" s="1"/>
  <c r="F318" i="22" s="1"/>
  <c r="H318" i="22" s="1"/>
  <c r="D89" i="22"/>
  <c r="E89" i="22" s="1"/>
  <c r="F89" i="22" s="1"/>
  <c r="H89" i="22" s="1"/>
  <c r="W89" i="22"/>
  <c r="W25" i="22"/>
  <c r="D25" i="22"/>
  <c r="E25" i="22" s="1"/>
  <c r="F25" i="22" s="1"/>
  <c r="W193" i="22"/>
  <c r="D193" i="22"/>
  <c r="E193" i="22" s="1"/>
  <c r="F193" i="22" s="1"/>
  <c r="W370" i="22"/>
  <c r="D370" i="22"/>
  <c r="E370" i="22" s="1"/>
  <c r="F370" i="22" s="1"/>
  <c r="W327" i="22"/>
  <c r="D327" i="22"/>
  <c r="E327" i="22" s="1"/>
  <c r="F327" i="22" s="1"/>
  <c r="G327" i="22" s="1"/>
  <c r="CC327" i="6" s="1"/>
  <c r="D290" i="22"/>
  <c r="E290" i="22" s="1"/>
  <c r="F290" i="22" s="1"/>
  <c r="G290" i="22" s="1"/>
  <c r="CC290" i="6" s="1"/>
  <c r="W290" i="22"/>
  <c r="W123" i="22"/>
  <c r="D123" i="22"/>
  <c r="E123" i="22" s="1"/>
  <c r="F123" i="22" s="1"/>
  <c r="W120" i="22"/>
  <c r="D120" i="22"/>
  <c r="E120" i="22" s="1"/>
  <c r="F120" i="22" s="1"/>
  <c r="G120" i="22" s="1"/>
  <c r="CC120" i="6" s="1"/>
  <c r="D247" i="22"/>
  <c r="E247" i="22" s="1"/>
  <c r="F247" i="22" s="1"/>
  <c r="H247" i="22" s="1"/>
  <c r="W247" i="22"/>
  <c r="D150" i="22"/>
  <c r="E150" i="22" s="1"/>
  <c r="F150" i="22" s="1"/>
  <c r="H150" i="22" s="1"/>
  <c r="W150" i="22"/>
  <c r="D253" i="22"/>
  <c r="E253" i="22" s="1"/>
  <c r="F253" i="22" s="1"/>
  <c r="H253" i="22" s="1"/>
  <c r="W253" i="22"/>
  <c r="D338" i="22"/>
  <c r="E338" i="22" s="1"/>
  <c r="F338" i="22" s="1"/>
  <c r="G338" i="22" s="1"/>
  <c r="CC338" i="6" s="1"/>
  <c r="W338" i="22"/>
  <c r="W176" i="22"/>
  <c r="D176" i="22"/>
  <c r="E176" i="22" s="1"/>
  <c r="F176" i="22" s="1"/>
  <c r="G176" i="22" s="1"/>
  <c r="CC176" i="6" s="1"/>
  <c r="D127" i="22"/>
  <c r="E127" i="22" s="1"/>
  <c r="F127" i="22" s="1"/>
  <c r="H127" i="22" s="1"/>
  <c r="W127" i="22"/>
  <c r="W59" i="22"/>
  <c r="D59" i="22"/>
  <c r="E59" i="22" s="1"/>
  <c r="F59" i="22" s="1"/>
  <c r="G59" i="22" s="1"/>
  <c r="CC59" i="6" s="1"/>
  <c r="W81" i="22"/>
  <c r="D81" i="22"/>
  <c r="E81" i="22" s="1"/>
  <c r="F81" i="22" s="1"/>
  <c r="G81" i="22" s="1"/>
  <c r="CC81" i="6" s="1"/>
  <c r="W205" i="22"/>
  <c r="D205" i="22"/>
  <c r="E205" i="22" s="1"/>
  <c r="F205" i="22" s="1"/>
  <c r="H205" i="22" s="1"/>
  <c r="W278" i="22"/>
  <c r="D278" i="22"/>
  <c r="E278" i="22" s="1"/>
  <c r="F278" i="22" s="1"/>
  <c r="D321" i="22"/>
  <c r="E321" i="22" s="1"/>
  <c r="F321" i="22" s="1"/>
  <c r="H321" i="22" s="1"/>
  <c r="W321" i="22"/>
  <c r="W354" i="22"/>
  <c r="D354" i="22"/>
  <c r="E354" i="22" s="1"/>
  <c r="F354" i="22" s="1"/>
  <c r="D312" i="22"/>
  <c r="E312" i="22" s="1"/>
  <c r="F312" i="22" s="1"/>
  <c r="G312" i="22" s="1"/>
  <c r="CC312" i="6" s="1"/>
  <c r="W312" i="22"/>
  <c r="W48" i="22"/>
  <c r="D48" i="22"/>
  <c r="E48" i="22" s="1"/>
  <c r="F48" i="22" s="1"/>
  <c r="W202" i="22"/>
  <c r="D202" i="22"/>
  <c r="E202" i="22" s="1"/>
  <c r="F202" i="22" s="1"/>
  <c r="H202" i="22" s="1"/>
  <c r="W154" i="22"/>
  <c r="D154" i="22"/>
  <c r="E154" i="22" s="1"/>
  <c r="F154" i="22" s="1"/>
  <c r="AA154" i="22" s="1"/>
  <c r="Z154" i="22" s="1"/>
  <c r="Y154" i="22" s="1"/>
  <c r="D156" i="22"/>
  <c r="E156" i="22" s="1"/>
  <c r="F156" i="22" s="1"/>
  <c r="H156" i="22" s="1"/>
  <c r="W156" i="22"/>
  <c r="W299" i="22"/>
  <c r="D299" i="22"/>
  <c r="E299" i="22" s="1"/>
  <c r="F299" i="22" s="1"/>
  <c r="W269" i="22"/>
  <c r="D269" i="22"/>
  <c r="E269" i="22" s="1"/>
  <c r="F269" i="22" s="1"/>
  <c r="AA269" i="22" s="1"/>
  <c r="Z269" i="22" s="1"/>
  <c r="Y269" i="22" s="1"/>
  <c r="D177" i="22"/>
  <c r="E177" i="22" s="1"/>
  <c r="F177" i="22" s="1"/>
  <c r="G177" i="22" s="1"/>
  <c r="CC177" i="6" s="1"/>
  <c r="W177" i="22"/>
  <c r="D188" i="22"/>
  <c r="E188" i="22" s="1"/>
  <c r="F188" i="22" s="1"/>
  <c r="G188" i="22" s="1"/>
  <c r="CC188" i="6" s="1"/>
  <c r="W188" i="22"/>
  <c r="W261" i="22"/>
  <c r="D261" i="22"/>
  <c r="E261" i="22" s="1"/>
  <c r="F261" i="22" s="1"/>
  <c r="D345" i="22"/>
  <c r="E345" i="22" s="1"/>
  <c r="F345" i="22" s="1"/>
  <c r="H345" i="22" s="1"/>
  <c r="W345" i="22"/>
  <c r="D209" i="22"/>
  <c r="E209" i="22" s="1"/>
  <c r="F209" i="22" s="1"/>
  <c r="H209" i="22" s="1"/>
  <c r="W209" i="22"/>
  <c r="W324" i="22"/>
  <c r="D324" i="22"/>
  <c r="E324" i="22" s="1"/>
  <c r="F324" i="22" s="1"/>
  <c r="W341" i="22"/>
  <c r="D341" i="22"/>
  <c r="E341" i="22" s="1"/>
  <c r="F341" i="22" s="1"/>
  <c r="AA341" i="22" s="1"/>
  <c r="Z341" i="22" s="1"/>
  <c r="Y341" i="22" s="1"/>
  <c r="W152" i="22"/>
  <c r="D152" i="22"/>
  <c r="E152" i="22" s="1"/>
  <c r="F152" i="22" s="1"/>
  <c r="W111" i="22"/>
  <c r="D111" i="22"/>
  <c r="E111" i="22" s="1"/>
  <c r="F111" i="22" s="1"/>
  <c r="AA111" i="22" s="1"/>
  <c r="Z111" i="22" s="1"/>
  <c r="Y111" i="22" s="1"/>
  <c r="W358" i="22"/>
  <c r="D358" i="22"/>
  <c r="E358" i="22" s="1"/>
  <c r="F358" i="22" s="1"/>
  <c r="H358" i="22" s="1"/>
  <c r="D126" i="22"/>
  <c r="E126" i="22" s="1"/>
  <c r="F126" i="22" s="1"/>
  <c r="H126" i="22" s="1"/>
  <c r="W126" i="22"/>
  <c r="D275" i="22"/>
  <c r="E275" i="22" s="1"/>
  <c r="F275" i="22" s="1"/>
  <c r="G275" i="22" s="1"/>
  <c r="CC275" i="6" s="1"/>
  <c r="W275" i="22"/>
  <c r="D97" i="22"/>
  <c r="E97" i="22" s="1"/>
  <c r="F97" i="22" s="1"/>
  <c r="G97" i="22" s="1"/>
  <c r="CC97" i="6" s="1"/>
  <c r="W97" i="22"/>
  <c r="W100" i="22"/>
  <c r="D100" i="22"/>
  <c r="E100" i="22" s="1"/>
  <c r="F100" i="22" s="1"/>
  <c r="AA100" i="22" s="1"/>
  <c r="Z100" i="22" s="1"/>
  <c r="Y100" i="22" s="1"/>
  <c r="D348" i="22"/>
  <c r="E348" i="22" s="1"/>
  <c r="F348" i="22" s="1"/>
  <c r="G348" i="22" s="1"/>
  <c r="CC348" i="6" s="1"/>
  <c r="W348" i="22"/>
  <c r="V149" i="22"/>
  <c r="B149" i="22" s="1"/>
  <c r="D149" i="22" s="1"/>
  <c r="E149" i="22" s="1"/>
  <c r="F149" i="22" s="1"/>
  <c r="AH36" i="7"/>
  <c r="W30" i="22"/>
  <c r="D30" i="22"/>
  <c r="E30" i="22" s="1"/>
  <c r="F30" i="22" s="1"/>
  <c r="H30" i="22" s="1"/>
  <c r="D291" i="22"/>
  <c r="E291" i="22" s="1"/>
  <c r="F291" i="22" s="1"/>
  <c r="H291" i="22" s="1"/>
  <c r="W291" i="22"/>
  <c r="D339" i="22"/>
  <c r="E339" i="22" s="1"/>
  <c r="F339" i="22" s="1"/>
  <c r="G339" i="22" s="1"/>
  <c r="CC339" i="6" s="1"/>
  <c r="W339" i="22"/>
  <c r="W199" i="22"/>
  <c r="D199" i="22"/>
  <c r="E199" i="22" s="1"/>
  <c r="F199" i="22" s="1"/>
  <c r="AA199" i="22" s="1"/>
  <c r="Z199" i="22" s="1"/>
  <c r="Y199" i="22" s="1"/>
  <c r="D376" i="22"/>
  <c r="E376" i="22" s="1"/>
  <c r="F376" i="22" s="1"/>
  <c r="G376" i="22" s="1"/>
  <c r="CC376" i="6" s="1"/>
  <c r="W376" i="22"/>
  <c r="D298" i="22"/>
  <c r="E298" i="22" s="1"/>
  <c r="F298" i="22" s="1"/>
  <c r="AA298" i="22" s="1"/>
  <c r="Z298" i="22" s="1"/>
  <c r="Y298" i="22" s="1"/>
  <c r="W298" i="22"/>
  <c r="W165" i="22"/>
  <c r="D165" i="22"/>
  <c r="E165" i="22" s="1"/>
  <c r="F165" i="22" s="1"/>
  <c r="G165" i="22" s="1"/>
  <c r="CC165" i="6" s="1"/>
  <c r="W118" i="22"/>
  <c r="D118" i="22"/>
  <c r="E118" i="22" s="1"/>
  <c r="F118" i="22" s="1"/>
  <c r="H118" i="22" s="1"/>
  <c r="W190" i="22"/>
  <c r="D190" i="22"/>
  <c r="E190" i="22" s="1"/>
  <c r="F190" i="22" s="1"/>
  <c r="G190" i="22" s="1"/>
  <c r="CC190" i="6" s="1"/>
  <c r="W207" i="22"/>
  <c r="D207" i="22"/>
  <c r="E207" i="22" s="1"/>
  <c r="F207" i="22" s="1"/>
  <c r="D322" i="22"/>
  <c r="E322" i="22" s="1"/>
  <c r="F322" i="22" s="1"/>
  <c r="AA322" i="22" s="1"/>
  <c r="Z322" i="22" s="1"/>
  <c r="Y322" i="22" s="1"/>
  <c r="W322" i="22"/>
  <c r="W274" i="22"/>
  <c r="D274" i="22"/>
  <c r="E274" i="22" s="1"/>
  <c r="F274" i="22" s="1"/>
  <c r="G274" i="22" s="1"/>
  <c r="CC274" i="6" s="1"/>
  <c r="D200" i="22"/>
  <c r="E200" i="22" s="1"/>
  <c r="F200" i="22" s="1"/>
  <c r="H200" i="22" s="1"/>
  <c r="W200" i="22"/>
  <c r="W314" i="22"/>
  <c r="D314" i="22"/>
  <c r="E314" i="22" s="1"/>
  <c r="F314" i="22" s="1"/>
  <c r="D131" i="22"/>
  <c r="E131" i="22" s="1"/>
  <c r="F131" i="22" s="1"/>
  <c r="H131" i="22" s="1"/>
  <c r="W131" i="22"/>
  <c r="D67" i="22"/>
  <c r="E67" i="22" s="1"/>
  <c r="F67" i="22" s="1"/>
  <c r="H67" i="22" s="1"/>
  <c r="W67" i="22"/>
  <c r="D267" i="22"/>
  <c r="E267" i="22" s="1"/>
  <c r="F267" i="22" s="1"/>
  <c r="AA267" i="22" s="1"/>
  <c r="Z267" i="22" s="1"/>
  <c r="Y267" i="22" s="1"/>
  <c r="W267" i="22"/>
  <c r="W157" i="22"/>
  <c r="D157" i="22"/>
  <c r="E157" i="22" s="1"/>
  <c r="F157" i="22" s="1"/>
  <c r="G157" i="22" s="1"/>
  <c r="CC157" i="6" s="1"/>
  <c r="W47" i="22"/>
  <c r="D47" i="22"/>
  <c r="E47" i="22" s="1"/>
  <c r="F47" i="22" s="1"/>
  <c r="D273" i="22"/>
  <c r="E273" i="22" s="1"/>
  <c r="F273" i="22" s="1"/>
  <c r="AA273" i="22" s="1"/>
  <c r="Z273" i="22" s="1"/>
  <c r="Y273" i="22" s="1"/>
  <c r="W273" i="22"/>
  <c r="D64" i="22"/>
  <c r="E64" i="22" s="1"/>
  <c r="F64" i="22" s="1"/>
  <c r="AA64" i="22" s="1"/>
  <c r="Z64" i="22" s="1"/>
  <c r="Y64" i="22" s="1"/>
  <c r="W64" i="22"/>
  <c r="W41" i="22"/>
  <c r="D41" i="22"/>
  <c r="E41" i="22" s="1"/>
  <c r="F41" i="22" s="1"/>
  <c r="D220" i="22"/>
  <c r="E220" i="22" s="1"/>
  <c r="F220" i="22" s="1"/>
  <c r="H220" i="22" s="1"/>
  <c r="W220" i="22"/>
  <c r="D93" i="22"/>
  <c r="E93" i="22" s="1"/>
  <c r="F93" i="22" s="1"/>
  <c r="AA93" i="22" s="1"/>
  <c r="Z93" i="22" s="1"/>
  <c r="Y93" i="22" s="1"/>
  <c r="W93" i="22"/>
  <c r="W317" i="22"/>
  <c r="D317" i="22"/>
  <c r="E317" i="22" s="1"/>
  <c r="F317" i="22" s="1"/>
  <c r="G317" i="22" s="1"/>
  <c r="CC317" i="6" s="1"/>
  <c r="D228" i="22"/>
  <c r="E228" i="22" s="1"/>
  <c r="F228" i="22" s="1"/>
  <c r="H228" i="22" s="1"/>
  <c r="W228" i="22"/>
  <c r="D238" i="22"/>
  <c r="E238" i="22" s="1"/>
  <c r="F238" i="22" s="1"/>
  <c r="G238" i="22" s="1"/>
  <c r="CC238" i="6" s="1"/>
  <c r="W238" i="22"/>
  <c r="D372" i="22"/>
  <c r="E372" i="22" s="1"/>
  <c r="F372" i="22" s="1"/>
  <c r="G372" i="22" s="1"/>
  <c r="CC372" i="6" s="1"/>
  <c r="W372" i="22"/>
  <c r="W330" i="22"/>
  <c r="D330" i="22"/>
  <c r="E330" i="22" s="1"/>
  <c r="F330" i="22" s="1"/>
  <c r="D91" i="22"/>
  <c r="E91" i="22" s="1"/>
  <c r="F91" i="22" s="1"/>
  <c r="G91" i="22" s="1"/>
  <c r="CC91" i="6" s="1"/>
  <c r="W91" i="22"/>
  <c r="D62" i="22"/>
  <c r="E62" i="22" s="1"/>
  <c r="F62" i="22" s="1"/>
  <c r="AA62" i="22" s="1"/>
  <c r="Z62" i="22" s="1"/>
  <c r="Y62" i="22" s="1"/>
  <c r="W62" i="22"/>
  <c r="D109" i="22"/>
  <c r="E109" i="22" s="1"/>
  <c r="F109" i="22" s="1"/>
  <c r="G109" i="22" s="1"/>
  <c r="CC109" i="6" s="1"/>
  <c r="W109" i="22"/>
  <c r="W173" i="22"/>
  <c r="D173" i="22"/>
  <c r="E173" i="22" s="1"/>
  <c r="F173" i="22" s="1"/>
  <c r="G173" i="22" s="1"/>
  <c r="CC173" i="6" s="1"/>
  <c r="W101" i="22"/>
  <c r="D101" i="22"/>
  <c r="E101" i="22" s="1"/>
  <c r="F101" i="22" s="1"/>
  <c r="G101" i="22" s="1"/>
  <c r="CC101" i="6" s="1"/>
  <c r="W182" i="22"/>
  <c r="D182" i="22"/>
  <c r="E182" i="22" s="1"/>
  <c r="F182" i="22" s="1"/>
  <c r="H182" i="22" s="1"/>
  <c r="W284" i="22"/>
  <c r="D284" i="22"/>
  <c r="E284" i="22" s="1"/>
  <c r="F284" i="22" s="1"/>
  <c r="G284" i="22" s="1"/>
  <c r="CC284" i="6" s="1"/>
  <c r="W289" i="22"/>
  <c r="D289" i="22"/>
  <c r="E289" i="22" s="1"/>
  <c r="F289" i="22" s="1"/>
  <c r="AA289" i="22" s="1"/>
  <c r="Z289" i="22" s="1"/>
  <c r="Y289" i="22" s="1"/>
  <c r="W50" i="22"/>
  <c r="D50" i="22"/>
  <c r="E50" i="22" s="1"/>
  <c r="F50" i="22" s="1"/>
  <c r="H50" i="22" s="1"/>
  <c r="D292" i="22"/>
  <c r="E292" i="22" s="1"/>
  <c r="F292" i="22" s="1"/>
  <c r="H292" i="22" s="1"/>
  <c r="W292" i="22"/>
  <c r="D347" i="22"/>
  <c r="E347" i="22" s="1"/>
  <c r="F347" i="22" s="1"/>
  <c r="G347" i="22" s="1"/>
  <c r="CC347" i="6" s="1"/>
  <c r="W347" i="22"/>
  <c r="D175" i="22"/>
  <c r="E175" i="22" s="1"/>
  <c r="F175" i="22" s="1"/>
  <c r="G175" i="22" s="1"/>
  <c r="CC175" i="6" s="1"/>
  <c r="W175" i="22"/>
  <c r="W51" i="22"/>
  <c r="D51" i="22"/>
  <c r="E51" i="22" s="1"/>
  <c r="F51" i="22" s="1"/>
  <c r="H51" i="22" s="1"/>
  <c r="W85" i="22"/>
  <c r="D85" i="22"/>
  <c r="E85" i="22" s="1"/>
  <c r="F85" i="22" s="1"/>
  <c r="G85" i="22" s="1"/>
  <c r="CC85" i="6" s="1"/>
  <c r="W216" i="22"/>
  <c r="D216" i="22"/>
  <c r="E216" i="22" s="1"/>
  <c r="F216" i="22" s="1"/>
  <c r="G216" i="22" s="1"/>
  <c r="CC216" i="6" s="1"/>
  <c r="D72" i="22"/>
  <c r="E72" i="22" s="1"/>
  <c r="F72" i="22" s="1"/>
  <c r="AA72" i="22" s="1"/>
  <c r="Z72" i="22" s="1"/>
  <c r="Y72" i="22" s="1"/>
  <c r="W72" i="22"/>
  <c r="W256" i="22"/>
  <c r="D256" i="22"/>
  <c r="E256" i="22" s="1"/>
  <c r="F256" i="22" s="1"/>
  <c r="AA256" i="22" s="1"/>
  <c r="Z256" i="22" s="1"/>
  <c r="Y256" i="22" s="1"/>
  <c r="W236" i="22"/>
  <c r="D236" i="22"/>
  <c r="E236" i="22" s="1"/>
  <c r="F236" i="22" s="1"/>
  <c r="H236" i="22" s="1"/>
  <c r="D139" i="22"/>
  <c r="E139" i="22" s="1"/>
  <c r="F139" i="22" s="1"/>
  <c r="H139" i="22" s="1"/>
  <c r="W139" i="22"/>
  <c r="D53" i="22"/>
  <c r="E53" i="22" s="1"/>
  <c r="F53" i="22" s="1"/>
  <c r="H53" i="22" s="1"/>
  <c r="W53" i="22"/>
  <c r="W136" i="22"/>
  <c r="D136" i="22"/>
  <c r="E136" i="22" s="1"/>
  <c r="F136" i="22" s="1"/>
  <c r="H136" i="22" s="1"/>
  <c r="D49" i="22"/>
  <c r="E49" i="22" s="1"/>
  <c r="F49" i="22" s="1"/>
  <c r="H49" i="22" s="1"/>
  <c r="W49" i="22"/>
  <c r="W163" i="22"/>
  <c r="D163" i="22"/>
  <c r="E163" i="22" s="1"/>
  <c r="F163" i="22" s="1"/>
  <c r="D360" i="22"/>
  <c r="E360" i="22" s="1"/>
  <c r="F360" i="22" s="1"/>
  <c r="H360" i="22" s="1"/>
  <c r="W360" i="22"/>
  <c r="D69" i="22"/>
  <c r="E69" i="22" s="1"/>
  <c r="F69" i="22" s="1"/>
  <c r="AA69" i="22" s="1"/>
  <c r="Z69" i="22" s="1"/>
  <c r="Y69" i="22" s="1"/>
  <c r="W69" i="22"/>
  <c r="W286" i="22"/>
  <c r="D286" i="22"/>
  <c r="E286" i="22" s="1"/>
  <c r="F286" i="22" s="1"/>
  <c r="W76" i="22"/>
  <c r="D76" i="22"/>
  <c r="E76" i="22" s="1"/>
  <c r="F76" i="22" s="1"/>
  <c r="G76" i="22" s="1"/>
  <c r="CC76" i="6" s="1"/>
  <c r="W287" i="22"/>
  <c r="D287" i="22"/>
  <c r="E287" i="22" s="1"/>
  <c r="F287" i="22" s="1"/>
  <c r="W23" i="22"/>
  <c r="D23" i="22"/>
  <c r="E23" i="22" s="1"/>
  <c r="F23" i="22" s="1"/>
  <c r="AA23" i="22" s="1"/>
  <c r="Z23" i="22" s="1"/>
  <c r="Y23" i="22" s="1"/>
  <c r="W293" i="22"/>
  <c r="D293" i="22"/>
  <c r="E293" i="22" s="1"/>
  <c r="F293" i="22" s="1"/>
  <c r="W107" i="22"/>
  <c r="D107" i="22"/>
  <c r="E107" i="22" s="1"/>
  <c r="F107" i="22" s="1"/>
  <c r="H107" i="22" s="1"/>
  <c r="W326" i="22"/>
  <c r="D326" i="22"/>
  <c r="E326" i="22" s="1"/>
  <c r="F326" i="22" s="1"/>
  <c r="D24" i="22"/>
  <c r="E24" i="22" s="1"/>
  <c r="F24" i="22" s="1"/>
  <c r="AA24" i="22" s="1"/>
  <c r="Z24" i="22" s="1"/>
  <c r="Y24" i="22" s="1"/>
  <c r="W24" i="22"/>
  <c r="W179" i="22"/>
  <c r="D179" i="22"/>
  <c r="E179" i="22" s="1"/>
  <c r="F179" i="22" s="1"/>
  <c r="AA179" i="22" s="1"/>
  <c r="Z179" i="22" s="1"/>
  <c r="Y179" i="22" s="1"/>
  <c r="D281" i="22"/>
  <c r="E281" i="22" s="1"/>
  <c r="F281" i="22" s="1"/>
  <c r="AA281" i="22" s="1"/>
  <c r="Z281" i="22" s="1"/>
  <c r="Y281" i="22" s="1"/>
  <c r="W281" i="22"/>
  <c r="D204" i="22"/>
  <c r="E204" i="22" s="1"/>
  <c r="F204" i="22" s="1"/>
  <c r="H204" i="22" s="1"/>
  <c r="W204" i="22"/>
  <c r="W255" i="22"/>
  <c r="D255" i="22"/>
  <c r="E255" i="22" s="1"/>
  <c r="F255" i="22" s="1"/>
  <c r="H255" i="22" s="1"/>
  <c r="D75" i="22"/>
  <c r="E75" i="22" s="1"/>
  <c r="F75" i="22" s="1"/>
  <c r="AA75" i="22" s="1"/>
  <c r="Z75" i="22" s="1"/>
  <c r="Y75" i="22" s="1"/>
  <c r="W75" i="22"/>
  <c r="W311" i="22"/>
  <c r="D311" i="22"/>
  <c r="E311" i="22" s="1"/>
  <c r="F311" i="22" s="1"/>
  <c r="D243" i="22"/>
  <c r="E243" i="22" s="1"/>
  <c r="F243" i="22" s="1"/>
  <c r="AA243" i="22" s="1"/>
  <c r="Z243" i="22" s="1"/>
  <c r="Y243" i="22" s="1"/>
  <c r="W243" i="22"/>
  <c r="AH38" i="7"/>
  <c r="V210" i="22"/>
  <c r="B210" i="22" s="1"/>
  <c r="W210" i="22" s="1"/>
  <c r="W300" i="22"/>
  <c r="D300" i="22"/>
  <c r="E300" i="22" s="1"/>
  <c r="F300" i="22" s="1"/>
  <c r="G300" i="22" s="1"/>
  <c r="CC300" i="6" s="1"/>
  <c r="W271" i="22"/>
  <c r="D271" i="22"/>
  <c r="E271" i="22" s="1"/>
  <c r="F271" i="22" s="1"/>
  <c r="W250" i="22"/>
  <c r="D250" i="22"/>
  <c r="E250" i="22" s="1"/>
  <c r="F250" i="22" s="1"/>
  <c r="AA250" i="22" s="1"/>
  <c r="Z250" i="22" s="1"/>
  <c r="Y250" i="22" s="1"/>
  <c r="W305" i="22"/>
  <c r="D305" i="22"/>
  <c r="E305" i="22" s="1"/>
  <c r="F305" i="22" s="1"/>
  <c r="AA305" i="22" s="1"/>
  <c r="Z305" i="22" s="1"/>
  <c r="Y305" i="22" s="1"/>
  <c r="W181" i="22"/>
  <c r="D181" i="22"/>
  <c r="E181" i="22" s="1"/>
  <c r="F181" i="22" s="1"/>
  <c r="W17" i="22"/>
  <c r="D17" i="22"/>
  <c r="E17" i="22" s="1"/>
  <c r="F17" i="22" s="1"/>
  <c r="H17" i="22" s="1"/>
  <c r="W374" i="22"/>
  <c r="D374" i="22"/>
  <c r="E374" i="22" s="1"/>
  <c r="F374" i="22" s="1"/>
  <c r="G374" i="22" s="1"/>
  <c r="CC374" i="6" s="1"/>
  <c r="D234" i="22"/>
  <c r="E234" i="22" s="1"/>
  <c r="F234" i="22" s="1"/>
  <c r="H234" i="22" s="1"/>
  <c r="W234" i="22"/>
  <c r="D231" i="22"/>
  <c r="E231" i="22" s="1"/>
  <c r="F231" i="22" s="1"/>
  <c r="G231" i="22" s="1"/>
  <c r="CC231" i="6" s="1"/>
  <c r="W231" i="22"/>
  <c r="D257" i="22"/>
  <c r="E257" i="22" s="1"/>
  <c r="F257" i="22" s="1"/>
  <c r="AA257" i="22" s="1"/>
  <c r="Z257" i="22" s="1"/>
  <c r="Y257" i="22" s="1"/>
  <c r="W257" i="22"/>
  <c r="D162" i="22"/>
  <c r="E162" i="22" s="1"/>
  <c r="F162" i="22" s="1"/>
  <c r="G162" i="22" s="1"/>
  <c r="CC162" i="6" s="1"/>
  <c r="W162" i="22"/>
  <c r="W283" i="22"/>
  <c r="D283" i="22"/>
  <c r="E283" i="22" s="1"/>
  <c r="F283" i="22" s="1"/>
  <c r="AA283" i="22" s="1"/>
  <c r="Z283" i="22" s="1"/>
  <c r="Y283" i="22" s="1"/>
  <c r="D143" i="22"/>
  <c r="E143" i="22" s="1"/>
  <c r="F143" i="22" s="1"/>
  <c r="H143" i="22" s="1"/>
  <c r="W143" i="22"/>
  <c r="D37" i="22"/>
  <c r="E37" i="22" s="1"/>
  <c r="F37" i="22" s="1"/>
  <c r="G37" i="22" s="1"/>
  <c r="CC37" i="6" s="1"/>
  <c r="W37" i="22"/>
  <c r="W304" i="22"/>
  <c r="D304" i="22"/>
  <c r="E304" i="22" s="1"/>
  <c r="F304" i="22" s="1"/>
  <c r="H304" i="22" s="1"/>
  <c r="W276" i="22"/>
  <c r="D276" i="22"/>
  <c r="E276" i="22" s="1"/>
  <c r="F276" i="22" s="1"/>
  <c r="G276" i="22" s="1"/>
  <c r="CC276" i="6" s="1"/>
  <c r="W61" i="22"/>
  <c r="D61" i="22"/>
  <c r="E61" i="22" s="1"/>
  <c r="F61" i="22" s="1"/>
  <c r="D39" i="22"/>
  <c r="E39" i="22" s="1"/>
  <c r="F39" i="22" s="1"/>
  <c r="AA39" i="22" s="1"/>
  <c r="Z39" i="22" s="1"/>
  <c r="Y39" i="22" s="1"/>
  <c r="W39" i="22"/>
  <c r="D217" i="22"/>
  <c r="E217" i="22" s="1"/>
  <c r="F217" i="22" s="1"/>
  <c r="G217" i="22" s="1"/>
  <c r="CC217" i="6" s="1"/>
  <c r="W217" i="22"/>
  <c r="D138" i="22"/>
  <c r="E138" i="22" s="1"/>
  <c r="F138" i="22" s="1"/>
  <c r="H138" i="22" s="1"/>
  <c r="W138" i="22"/>
  <c r="W364" i="22"/>
  <c r="D364" i="22"/>
  <c r="E364" i="22" s="1"/>
  <c r="F364" i="22" s="1"/>
  <c r="AA364" i="22" s="1"/>
  <c r="Z364" i="22" s="1"/>
  <c r="Y364" i="22" s="1"/>
  <c r="W77" i="22"/>
  <c r="D77" i="22"/>
  <c r="E77" i="22" s="1"/>
  <c r="F77" i="22" s="1"/>
  <c r="W125" i="22"/>
  <c r="D125" i="22"/>
  <c r="E125" i="22" s="1"/>
  <c r="F125" i="22" s="1"/>
  <c r="G125" i="22" s="1"/>
  <c r="CC125" i="6" s="1"/>
  <c r="D303" i="22"/>
  <c r="E303" i="22" s="1"/>
  <c r="F303" i="22" s="1"/>
  <c r="AA303" i="22" s="1"/>
  <c r="Z303" i="22" s="1"/>
  <c r="Y303" i="22" s="1"/>
  <c r="W303" i="22"/>
  <c r="W40" i="22"/>
  <c r="D40" i="22"/>
  <c r="E40" i="22" s="1"/>
  <c r="F40" i="22" s="1"/>
  <c r="D246" i="22"/>
  <c r="E246" i="22" s="1"/>
  <c r="F246" i="22" s="1"/>
  <c r="H246" i="22" s="1"/>
  <c r="W246" i="22"/>
  <c r="D130" i="22"/>
  <c r="E130" i="22" s="1"/>
  <c r="F130" i="22" s="1"/>
  <c r="G130" i="22" s="1"/>
  <c r="CC130" i="6" s="1"/>
  <c r="W130" i="22"/>
  <c r="W244" i="22"/>
  <c r="D244" i="22"/>
  <c r="E244" i="22" s="1"/>
  <c r="F244" i="22" s="1"/>
  <c r="AA244" i="22" s="1"/>
  <c r="Z244" i="22" s="1"/>
  <c r="Y244" i="22" s="1"/>
  <c r="D56" i="22"/>
  <c r="E56" i="22" s="1"/>
  <c r="F56" i="22" s="1"/>
  <c r="H56" i="22" s="1"/>
  <c r="W56" i="22"/>
  <c r="W328" i="22"/>
  <c r="D328" i="22"/>
  <c r="E328" i="22" s="1"/>
  <c r="F328" i="22" s="1"/>
  <c r="D213" i="22"/>
  <c r="E213" i="22" s="1"/>
  <c r="F213" i="22" s="1"/>
  <c r="AA213" i="22" s="1"/>
  <c r="Z213" i="22" s="1"/>
  <c r="Y213" i="22" s="1"/>
  <c r="W213" i="22"/>
  <c r="W140" i="22"/>
  <c r="D140" i="22"/>
  <c r="E140" i="22" s="1"/>
  <c r="F140" i="22" s="1"/>
  <c r="W212" i="22"/>
  <c r="D212" i="22"/>
  <c r="E212" i="22" s="1"/>
  <c r="F212" i="22" s="1"/>
  <c r="H212" i="22" s="1"/>
  <c r="D187" i="22"/>
  <c r="E187" i="22" s="1"/>
  <c r="F187" i="22" s="1"/>
  <c r="H187" i="22" s="1"/>
  <c r="W187" i="22"/>
  <c r="W262" i="22"/>
  <c r="D262" i="22"/>
  <c r="E262" i="22" s="1"/>
  <c r="F262" i="22" s="1"/>
  <c r="AA262" i="22" s="1"/>
  <c r="Z262" i="22" s="1"/>
  <c r="Y262" i="22" s="1"/>
  <c r="V29" i="22"/>
  <c r="B29" i="22" s="1"/>
  <c r="D29" i="22" s="1"/>
  <c r="E29" i="22" s="1"/>
  <c r="F29" i="22" s="1"/>
  <c r="AH32" i="7"/>
  <c r="W208" i="22"/>
  <c r="D208" i="22"/>
  <c r="E208" i="22" s="1"/>
  <c r="F208" i="22" s="1"/>
  <c r="H208" i="22" s="1"/>
  <c r="D373" i="22"/>
  <c r="E373" i="22" s="1"/>
  <c r="F373" i="22" s="1"/>
  <c r="G373" i="22" s="1"/>
  <c r="CC373" i="6" s="1"/>
  <c r="W373" i="22"/>
  <c r="D54" i="22"/>
  <c r="E54" i="22" s="1"/>
  <c r="F54" i="22" s="1"/>
  <c r="H54" i="22" s="1"/>
  <c r="W54" i="22"/>
  <c r="D66" i="22"/>
  <c r="E66" i="22" s="1"/>
  <c r="F66" i="22" s="1"/>
  <c r="G66" i="22" s="1"/>
  <c r="CC66" i="6" s="1"/>
  <c r="W66" i="22"/>
  <c r="D70" i="22"/>
  <c r="E70" i="22" s="1"/>
  <c r="F70" i="22" s="1"/>
  <c r="G70" i="22" s="1"/>
  <c r="CC70" i="6" s="1"/>
  <c r="W70" i="22"/>
  <c r="D132" i="22"/>
  <c r="E132" i="22" s="1"/>
  <c r="F132" i="22" s="1"/>
  <c r="AA132" i="22" s="1"/>
  <c r="Z132" i="22" s="1"/>
  <c r="Y132" i="22" s="1"/>
  <c r="W132" i="22"/>
  <c r="D110" i="22"/>
  <c r="E110" i="22" s="1"/>
  <c r="F110" i="22" s="1"/>
  <c r="AA110" i="22" s="1"/>
  <c r="Z110" i="22" s="1"/>
  <c r="Y110" i="22" s="1"/>
  <c r="W110" i="22"/>
  <c r="W355" i="22"/>
  <c r="D355" i="22"/>
  <c r="E355" i="22" s="1"/>
  <c r="F355" i="22" s="1"/>
  <c r="AA355" i="22" s="1"/>
  <c r="Z355" i="22" s="1"/>
  <c r="Y355" i="22" s="1"/>
  <c r="W346" i="22"/>
  <c r="D346" i="22"/>
  <c r="E346" i="22" s="1"/>
  <c r="F346" i="22" s="1"/>
  <c r="G346" i="22" s="1"/>
  <c r="CC346" i="6" s="1"/>
  <c r="W362" i="22"/>
  <c r="D362" i="22"/>
  <c r="E362" i="22" s="1"/>
  <c r="F362" i="22" s="1"/>
  <c r="G362" i="22" s="1"/>
  <c r="CC362" i="6" s="1"/>
  <c r="W343" i="22"/>
  <c r="D343" i="22"/>
  <c r="E343" i="22" s="1"/>
  <c r="F343" i="22" s="1"/>
  <c r="G343" i="22" s="1"/>
  <c r="CC343" i="6" s="1"/>
  <c r="W71" i="22"/>
  <c r="D71" i="22"/>
  <c r="E71" i="22" s="1"/>
  <c r="F71" i="22" s="1"/>
  <c r="AA71" i="22" s="1"/>
  <c r="Z71" i="22" s="1"/>
  <c r="Y71" i="22" s="1"/>
  <c r="D240" i="22"/>
  <c r="E240" i="22" s="1"/>
  <c r="F240" i="22" s="1"/>
  <c r="G240" i="22" s="1"/>
  <c r="CC240" i="6" s="1"/>
  <c r="W240" i="22"/>
  <c r="D31" i="22"/>
  <c r="E31" i="22" s="1"/>
  <c r="F31" i="22" s="1"/>
  <c r="H31" i="22" s="1"/>
  <c r="W31" i="22"/>
  <c r="W27" i="22"/>
  <c r="D27" i="22"/>
  <c r="E27" i="22" s="1"/>
  <c r="F27" i="22" s="1"/>
  <c r="H27" i="22" s="1"/>
  <c r="W295" i="22"/>
  <c r="D295" i="22"/>
  <c r="E295" i="22" s="1"/>
  <c r="F295" i="22" s="1"/>
  <c r="G295" i="22" s="1"/>
  <c r="CC295" i="6" s="1"/>
  <c r="D161" i="22"/>
  <c r="E161" i="22" s="1"/>
  <c r="F161" i="22" s="1"/>
  <c r="H161" i="22" s="1"/>
  <c r="W161" i="22"/>
  <c r="D206" i="22"/>
  <c r="E206" i="22" s="1"/>
  <c r="F206" i="22" s="1"/>
  <c r="AA206" i="22" s="1"/>
  <c r="Z206" i="22" s="1"/>
  <c r="Y206" i="22" s="1"/>
  <c r="W206" i="22"/>
  <c r="W68" i="22"/>
  <c r="D68" i="22"/>
  <c r="E68" i="22" s="1"/>
  <c r="F68" i="22" s="1"/>
  <c r="AH40" i="7"/>
  <c r="V272" i="22"/>
  <c r="B272" i="22" s="1"/>
  <c r="D174" i="22"/>
  <c r="E174" i="22" s="1"/>
  <c r="F174" i="22" s="1"/>
  <c r="G174" i="22" s="1"/>
  <c r="CC174" i="6" s="1"/>
  <c r="W174" i="22"/>
  <c r="W114" i="22"/>
  <c r="D114" i="22"/>
  <c r="E114" i="22" s="1"/>
  <c r="F114" i="22" s="1"/>
  <c r="W189" i="22"/>
  <c r="D189" i="22"/>
  <c r="E189" i="22" s="1"/>
  <c r="F189" i="22" s="1"/>
  <c r="AA189" i="22" s="1"/>
  <c r="Z189" i="22" s="1"/>
  <c r="Y189" i="22" s="1"/>
  <c r="W108" i="22"/>
  <c r="D108" i="22"/>
  <c r="E108" i="22" s="1"/>
  <c r="F108" i="22" s="1"/>
  <c r="D45" i="22"/>
  <c r="E45" i="22" s="1"/>
  <c r="F45" i="22" s="1"/>
  <c r="H45" i="22" s="1"/>
  <c r="W45" i="22"/>
  <c r="W237" i="22"/>
  <c r="D237" i="22"/>
  <c r="E237" i="22" s="1"/>
  <c r="F237" i="22" s="1"/>
  <c r="G237" i="22" s="1"/>
  <c r="CC237" i="6" s="1"/>
  <c r="W43" i="22"/>
  <c r="D43" i="22"/>
  <c r="E43" i="22" s="1"/>
  <c r="F43" i="22" s="1"/>
  <c r="D73" i="22"/>
  <c r="E73" i="22" s="1"/>
  <c r="F73" i="22" s="1"/>
  <c r="H73" i="22" s="1"/>
  <c r="W73" i="22"/>
  <c r="W113" i="22"/>
  <c r="D113" i="22"/>
  <c r="E113" i="22" s="1"/>
  <c r="F113" i="22" s="1"/>
  <c r="G113" i="22" s="1"/>
  <c r="CC113" i="6" s="1"/>
  <c r="W167" i="22"/>
  <c r="D167" i="22"/>
  <c r="E167" i="22" s="1"/>
  <c r="F167" i="22" s="1"/>
  <c r="G167" i="22" s="1"/>
  <c r="CC167" i="6" s="1"/>
  <c r="W296" i="22"/>
  <c r="D296" i="22"/>
  <c r="E296" i="22" s="1"/>
  <c r="F296" i="22" s="1"/>
  <c r="H296" i="22" s="1"/>
  <c r="D129" i="22"/>
  <c r="E129" i="22" s="1"/>
  <c r="F129" i="22" s="1"/>
  <c r="G129" i="22" s="1"/>
  <c r="CC129" i="6" s="1"/>
  <c r="W129" i="22"/>
  <c r="W214" i="22"/>
  <c r="D214" i="22"/>
  <c r="E214" i="22" s="1"/>
  <c r="F214" i="22" s="1"/>
  <c r="G214" i="22" s="1"/>
  <c r="CC214" i="6" s="1"/>
  <c r="W137" i="22"/>
  <c r="D137" i="22"/>
  <c r="E137" i="22" s="1"/>
  <c r="F137" i="22" s="1"/>
  <c r="G137" i="22" s="1"/>
  <c r="CC137" i="6" s="1"/>
  <c r="W280" i="22"/>
  <c r="D280" i="22"/>
  <c r="E280" i="22" s="1"/>
  <c r="F280" i="22" s="1"/>
  <c r="G280" i="22" s="1"/>
  <c r="CC280" i="6" s="1"/>
  <c r="D33" i="22"/>
  <c r="E33" i="22" s="1"/>
  <c r="F33" i="22" s="1"/>
  <c r="G33" i="22" s="1"/>
  <c r="CC33" i="6" s="1"/>
  <c r="W33" i="22"/>
  <c r="W335" i="22"/>
  <c r="D335" i="22"/>
  <c r="E335" i="22" s="1"/>
  <c r="F335" i="22" s="1"/>
  <c r="G335" i="22" s="1"/>
  <c r="CC335" i="6" s="1"/>
  <c r="W158" i="22"/>
  <c r="D158" i="22"/>
  <c r="E158" i="22" s="1"/>
  <c r="F158" i="22" s="1"/>
  <c r="AA158" i="22" s="1"/>
  <c r="Z158" i="22" s="1"/>
  <c r="Y158" i="22" s="1"/>
  <c r="W192" i="22"/>
  <c r="D192" i="22"/>
  <c r="E192" i="22" s="1"/>
  <c r="F192" i="22" s="1"/>
  <c r="W124" i="22"/>
  <c r="D124" i="22"/>
  <c r="E124" i="22" s="1"/>
  <c r="F124" i="22" s="1"/>
  <c r="D117" i="22"/>
  <c r="E117" i="22" s="1"/>
  <c r="F117" i="22" s="1"/>
  <c r="AA117" i="22" s="1"/>
  <c r="Z117" i="22" s="1"/>
  <c r="Y117" i="22" s="1"/>
  <c r="W117" i="22"/>
  <c r="D90" i="22"/>
  <c r="E90" i="22" s="1"/>
  <c r="F90" i="22" s="1"/>
  <c r="H90" i="22" s="1"/>
  <c r="W90" i="22"/>
  <c r="W57" i="22"/>
  <c r="D57" i="22"/>
  <c r="E57" i="22" s="1"/>
  <c r="F57" i="22" s="1"/>
  <c r="AA57" i="22" s="1"/>
  <c r="Z57" i="22" s="1"/>
  <c r="Y57" i="22" s="1"/>
  <c r="D350" i="22"/>
  <c r="E350" i="22" s="1"/>
  <c r="F350" i="22" s="1"/>
  <c r="H350" i="22" s="1"/>
  <c r="W350" i="22"/>
  <c r="W332" i="22"/>
  <c r="D332" i="22"/>
  <c r="E332" i="22" s="1"/>
  <c r="F332" i="22" s="1"/>
  <c r="W266" i="22"/>
  <c r="D266" i="22"/>
  <c r="E266" i="22" s="1"/>
  <c r="F266" i="22" s="1"/>
  <c r="AA266" i="22" s="1"/>
  <c r="Z266" i="22" s="1"/>
  <c r="Y266" i="22" s="1"/>
  <c r="J190" i="20"/>
  <c r="I190" i="20"/>
  <c r="I79" i="20"/>
  <c r="H79" i="22" s="1"/>
  <c r="J79" i="20"/>
  <c r="I159" i="20"/>
  <c r="J159" i="20"/>
  <c r="AE382" i="22"/>
  <c r="AE381" i="22"/>
  <c r="AE383" i="22"/>
  <c r="I315" i="20"/>
  <c r="H315" i="22" s="1"/>
  <c r="J315" i="20"/>
  <c r="J163" i="20"/>
  <c r="I163" i="20"/>
  <c r="I365" i="20"/>
  <c r="J365" i="20"/>
  <c r="AN15" i="7"/>
  <c r="Q12" i="23"/>
  <c r="J153" i="20"/>
  <c r="I153" i="20"/>
  <c r="J303" i="20"/>
  <c r="I303" i="20"/>
  <c r="J113" i="20"/>
  <c r="I113" i="20"/>
  <c r="I375" i="20"/>
  <c r="J375" i="20"/>
  <c r="J323" i="20"/>
  <c r="I323" i="20"/>
  <c r="H323" i="22" s="1"/>
  <c r="I374" i="20"/>
  <c r="J374" i="20"/>
  <c r="P379" i="22"/>
  <c r="I194" i="20"/>
  <c r="J194" i="20"/>
  <c r="Q382" i="22"/>
  <c r="Q381" i="22"/>
  <c r="Q383" i="22"/>
  <c r="AM4" i="6"/>
  <c r="AD379" i="22"/>
  <c r="AD383" i="22" s="1"/>
  <c r="C67" i="19"/>
  <c r="AI382" i="23"/>
  <c r="V15" i="20"/>
  <c r="B15" i="20" s="1"/>
  <c r="P383" i="20"/>
  <c r="P382" i="20"/>
  <c r="P381" i="20"/>
  <c r="B382" i="18"/>
  <c r="B381" i="18"/>
  <c r="B383" i="18"/>
  <c r="W15" i="18"/>
  <c r="D15" i="18"/>
  <c r="AJ7" i="18" s="1"/>
  <c r="H9" i="18"/>
  <c r="B15" i="19" s="1"/>
  <c r="AJ6" i="18"/>
  <c r="AK6" i="18"/>
  <c r="AD381" i="20"/>
  <c r="AD382" i="20"/>
  <c r="AD383" i="20"/>
  <c r="AK4" i="17"/>
  <c r="R14" i="19" s="1"/>
  <c r="N15" i="19" s="1"/>
  <c r="AM13" i="17"/>
  <c r="AJ3" i="17"/>
  <c r="O14" i="19" s="1"/>
  <c r="M14" i="19" s="1"/>
  <c r="AL13" i="17"/>
  <c r="Y11" i="17"/>
  <c r="J14" i="19"/>
  <c r="Z11" i="17"/>
  <c r="Z5" i="17" s="1"/>
  <c r="H14" i="19" s="1"/>
  <c r="AA11" i="17"/>
  <c r="AA5" i="17" s="1"/>
  <c r="I14" i="19" s="1"/>
  <c r="AN57" i="27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N56" i="27"/>
  <c r="B309" i="6"/>
  <c r="BA309" i="6" s="1"/>
  <c r="H309" i="20"/>
  <c r="AG242" i="23"/>
  <c r="AF242" i="23" s="1"/>
  <c r="AG167" i="23"/>
  <c r="AF167" i="23" s="1"/>
  <c r="AG376" i="23"/>
  <c r="AF376" i="23" s="1"/>
  <c r="AG21" i="23"/>
  <c r="AF21" i="23" s="1"/>
  <c r="AG54" i="23"/>
  <c r="AF54" i="23" s="1"/>
  <c r="AG223" i="23"/>
  <c r="AF223" i="23" s="1"/>
  <c r="AG109" i="23"/>
  <c r="AF109" i="23" s="1"/>
  <c r="AG184" i="23"/>
  <c r="AF184" i="23" s="1"/>
  <c r="AG144" i="23"/>
  <c r="AF144" i="23" s="1"/>
  <c r="AG87" i="23"/>
  <c r="AF87" i="23" s="1"/>
  <c r="AG103" i="23"/>
  <c r="AF103" i="23" s="1"/>
  <c r="AG277" i="23"/>
  <c r="AF277" i="23" s="1"/>
  <c r="AG112" i="23"/>
  <c r="AF112" i="23" s="1"/>
  <c r="AG95" i="23"/>
  <c r="AF95" i="23" s="1"/>
  <c r="AG90" i="23"/>
  <c r="AF90" i="23" s="1"/>
  <c r="AG88" i="23"/>
  <c r="AF88" i="23" s="1"/>
  <c r="AG194" i="23"/>
  <c r="AF194" i="23" s="1"/>
  <c r="AG175" i="23"/>
  <c r="AF175" i="23" s="1"/>
  <c r="AG224" i="23"/>
  <c r="AF224" i="23" s="1"/>
  <c r="AG98" i="23"/>
  <c r="AF98" i="23" s="1"/>
  <c r="AG24" i="23"/>
  <c r="AF24" i="23" s="1"/>
  <c r="AG207" i="23"/>
  <c r="AF207" i="23" s="1"/>
  <c r="AG86" i="23"/>
  <c r="AF86" i="23" s="1"/>
  <c r="AG163" i="23"/>
  <c r="AF163" i="23" s="1"/>
  <c r="AG19" i="23"/>
  <c r="AF19" i="23" s="1"/>
  <c r="AG340" i="23"/>
  <c r="AF340" i="23" s="1"/>
  <c r="AG347" i="23"/>
  <c r="AF347" i="23" s="1"/>
  <c r="AG33" i="23"/>
  <c r="AF33" i="23" s="1"/>
  <c r="AG273" i="23"/>
  <c r="AF273" i="23" s="1"/>
  <c r="AG234" i="23"/>
  <c r="AF234" i="23" s="1"/>
  <c r="S57" i="23"/>
  <c r="R57" i="23" s="1"/>
  <c r="S278" i="23"/>
  <c r="R278" i="23" s="1"/>
  <c r="S193" i="23"/>
  <c r="R193" i="23" s="1"/>
  <c r="S51" i="23"/>
  <c r="R51" i="23" s="1"/>
  <c r="S37" i="23"/>
  <c r="R37" i="23" s="1"/>
  <c r="S345" i="23"/>
  <c r="R345" i="23" s="1"/>
  <c r="S264" i="23"/>
  <c r="R264" i="23" s="1"/>
  <c r="S336" i="23"/>
  <c r="R336" i="23" s="1"/>
  <c r="S341" i="23"/>
  <c r="R341" i="23" s="1"/>
  <c r="S377" i="23"/>
  <c r="R377" i="23" s="1"/>
  <c r="S296" i="23"/>
  <c r="R296" i="23" s="1"/>
  <c r="S235" i="23"/>
  <c r="R235" i="23" s="1"/>
  <c r="S146" i="23"/>
  <c r="R146" i="23" s="1"/>
  <c r="S69" i="23"/>
  <c r="R69" i="23" s="1"/>
  <c r="S371" i="23"/>
  <c r="R371" i="23" s="1"/>
  <c r="S250" i="23"/>
  <c r="R250" i="23" s="1"/>
  <c r="S173" i="23"/>
  <c r="R173" i="23" s="1"/>
  <c r="S92" i="23"/>
  <c r="R92" i="23" s="1"/>
  <c r="S16" i="23"/>
  <c r="R16" i="23" s="1"/>
  <c r="S309" i="23"/>
  <c r="R309" i="23" s="1"/>
  <c r="S97" i="23"/>
  <c r="R97" i="23" s="1"/>
  <c r="S318" i="23"/>
  <c r="R318" i="23" s="1"/>
  <c r="S184" i="23"/>
  <c r="R184" i="23" s="1"/>
  <c r="S337" i="23"/>
  <c r="R337" i="23" s="1"/>
  <c r="S259" i="23"/>
  <c r="R259" i="23" s="1"/>
  <c r="S298" i="23"/>
  <c r="R298" i="23" s="1"/>
  <c r="S221" i="23"/>
  <c r="R221" i="23" s="1"/>
  <c r="S33" i="23"/>
  <c r="R33" i="23" s="1"/>
  <c r="S254" i="23"/>
  <c r="R254" i="23" s="1"/>
  <c r="S120" i="23"/>
  <c r="R120" i="23" s="1"/>
  <c r="S34" i="23"/>
  <c r="R34" i="23" s="1"/>
  <c r="S195" i="23"/>
  <c r="R195" i="23" s="1"/>
  <c r="S74" i="23"/>
  <c r="R74" i="23" s="1"/>
  <c r="S360" i="23"/>
  <c r="R360" i="23" s="1"/>
  <c r="S299" i="23"/>
  <c r="R299" i="23" s="1"/>
  <c r="S210" i="23"/>
  <c r="R210" i="23" s="1"/>
  <c r="S133" i="23"/>
  <c r="R133" i="23" s="1"/>
  <c r="S20" i="23"/>
  <c r="R20" i="23" s="1"/>
  <c r="S314" i="23"/>
  <c r="R314" i="23" s="1"/>
  <c r="S237" i="23"/>
  <c r="R237" i="23" s="1"/>
  <c r="S156" i="23"/>
  <c r="R156" i="23" s="1"/>
  <c r="S79" i="23"/>
  <c r="R79" i="23" s="1"/>
  <c r="S373" i="23"/>
  <c r="R373" i="23" s="1"/>
  <c r="S225" i="23"/>
  <c r="R225" i="23" s="1"/>
  <c r="S83" i="23"/>
  <c r="R83" i="23" s="1"/>
  <c r="S312" i="23"/>
  <c r="R312" i="23" s="1"/>
  <c r="S98" i="23"/>
  <c r="R98" i="23" s="1"/>
  <c r="S68" i="23"/>
  <c r="R68" i="23" s="1"/>
  <c r="S362" i="23"/>
  <c r="R362" i="23" s="1"/>
  <c r="S285" i="23"/>
  <c r="R285" i="23" s="1"/>
  <c r="S161" i="23"/>
  <c r="R161" i="23" s="1"/>
  <c r="S19" i="23"/>
  <c r="R19" i="23" s="1"/>
  <c r="S248" i="23"/>
  <c r="R248" i="23" s="1"/>
  <c r="S162" i="23"/>
  <c r="R162" i="23" s="1"/>
  <c r="S323" i="23"/>
  <c r="R323" i="23" s="1"/>
  <c r="S168" i="23"/>
  <c r="R168" i="23" s="1"/>
  <c r="S18" i="23"/>
  <c r="R18" i="23" s="1"/>
  <c r="S122" i="23"/>
  <c r="R122" i="23" s="1"/>
  <c r="S45" i="23"/>
  <c r="R45" i="23" s="1"/>
  <c r="S347" i="23"/>
  <c r="R347" i="23" s="1"/>
  <c r="S204" i="23"/>
  <c r="R204" i="23" s="1"/>
  <c r="S62" i="23"/>
  <c r="R62" i="23" s="1"/>
  <c r="S295" i="23"/>
  <c r="R295" i="23" s="1"/>
  <c r="S81" i="23"/>
  <c r="R81" i="23" s="1"/>
  <c r="S366" i="23"/>
  <c r="R366" i="23" s="1"/>
  <c r="S170" i="23"/>
  <c r="R170" i="23" s="1"/>
  <c r="S93" i="23"/>
  <c r="R93" i="23" s="1"/>
  <c r="S140" i="23"/>
  <c r="R140" i="23" s="1"/>
  <c r="S357" i="23"/>
  <c r="R357" i="23" s="1"/>
  <c r="S231" i="23"/>
  <c r="R231" i="23" s="1"/>
  <c r="S145" i="23"/>
  <c r="R145" i="23" s="1"/>
  <c r="S302" i="23"/>
  <c r="R302" i="23" s="1"/>
  <c r="S313" i="23"/>
  <c r="R313" i="23" s="1"/>
  <c r="S82" i="23"/>
  <c r="R82" i="23" s="1"/>
  <c r="S307" i="23"/>
  <c r="R307" i="23" s="1"/>
  <c r="S186" i="23"/>
  <c r="R186" i="23" s="1"/>
  <c r="S109" i="23"/>
  <c r="R109" i="23" s="1"/>
  <c r="S28" i="23"/>
  <c r="R28" i="23" s="1"/>
  <c r="S322" i="23"/>
  <c r="R322" i="23" s="1"/>
  <c r="S245" i="23"/>
  <c r="R245" i="23" s="1"/>
  <c r="S332" i="23"/>
  <c r="R332" i="23" s="1"/>
  <c r="S56" i="23"/>
  <c r="R56" i="23" s="1"/>
  <c r="S209" i="23"/>
  <c r="R209" i="23" s="1"/>
  <c r="S131" i="23"/>
  <c r="R131" i="23" s="1"/>
  <c r="S157" i="23"/>
  <c r="R157" i="23" s="1"/>
  <c r="S268" i="23"/>
  <c r="R268" i="23" s="1"/>
  <c r="S359" i="23"/>
  <c r="R359" i="23" s="1"/>
  <c r="S273" i="23"/>
  <c r="R273" i="23" s="1"/>
  <c r="S67" i="23"/>
  <c r="R67" i="23" s="1"/>
  <c r="S266" i="23"/>
  <c r="R266" i="23" s="1"/>
  <c r="S189" i="23"/>
  <c r="R189" i="23" s="1"/>
  <c r="S108" i="23"/>
  <c r="R108" i="23" s="1"/>
  <c r="S31" i="23"/>
  <c r="R31" i="23" s="1"/>
  <c r="S325" i="23"/>
  <c r="R325" i="23" s="1"/>
  <c r="S212" i="23"/>
  <c r="R212" i="23" s="1"/>
  <c r="S135" i="23"/>
  <c r="R135" i="23" s="1"/>
  <c r="S70" i="23"/>
  <c r="R70" i="23" s="1"/>
  <c r="S348" i="23"/>
  <c r="R348" i="23" s="1"/>
  <c r="S271" i="23"/>
  <c r="R271" i="23" s="1"/>
  <c r="S206" i="23"/>
  <c r="R206" i="23" s="1"/>
  <c r="S242" i="23"/>
  <c r="R242" i="23" s="1"/>
  <c r="S116" i="23"/>
  <c r="R116" i="23" s="1"/>
  <c r="S333" i="23"/>
  <c r="R333" i="23" s="1"/>
  <c r="S175" i="23"/>
  <c r="R175" i="23" s="1"/>
  <c r="S260" i="23"/>
  <c r="R260" i="23" s="1"/>
  <c r="S183" i="23"/>
  <c r="R183" i="23" s="1"/>
  <c r="S118" i="23"/>
  <c r="R118" i="23" s="1"/>
  <c r="S178" i="23"/>
  <c r="R178" i="23" s="1"/>
  <c r="S111" i="23"/>
  <c r="R111" i="23" s="1"/>
  <c r="S36" i="23"/>
  <c r="R36" i="23" s="1"/>
  <c r="S330" i="23"/>
  <c r="R330" i="23" s="1"/>
  <c r="S253" i="23"/>
  <c r="R253" i="23" s="1"/>
  <c r="S172" i="23"/>
  <c r="R172" i="23" s="1"/>
  <c r="S95" i="23"/>
  <c r="R95" i="23" s="1"/>
  <c r="S30" i="23"/>
  <c r="R30" i="23" s="1"/>
  <c r="S276" i="23"/>
  <c r="R276" i="23" s="1"/>
  <c r="S199" i="23"/>
  <c r="R199" i="23" s="1"/>
  <c r="S134" i="23"/>
  <c r="R134" i="23" s="1"/>
  <c r="S49" i="23"/>
  <c r="R49" i="23" s="1"/>
  <c r="S335" i="23"/>
  <c r="R335" i="23" s="1"/>
  <c r="S270" i="23"/>
  <c r="R270" i="23" s="1"/>
  <c r="S370" i="23"/>
  <c r="R370" i="23" s="1"/>
  <c r="S244" i="23"/>
  <c r="R244" i="23" s="1"/>
  <c r="S102" i="23"/>
  <c r="R102" i="23" s="1"/>
  <c r="S239" i="23"/>
  <c r="R239" i="23" s="1"/>
  <c r="S324" i="23"/>
  <c r="R324" i="23" s="1"/>
  <c r="S247" i="23"/>
  <c r="R247" i="23" s="1"/>
  <c r="S182" i="23"/>
  <c r="R182" i="23" s="1"/>
  <c r="S306" i="23"/>
  <c r="R306" i="23" s="1"/>
  <c r="S180" i="23"/>
  <c r="R180" i="23" s="1"/>
  <c r="S38" i="23"/>
  <c r="R38" i="23" s="1"/>
  <c r="S303" i="23"/>
  <c r="R303" i="23" s="1"/>
  <c r="S279" i="23"/>
  <c r="R279" i="23" s="1"/>
  <c r="S129" i="23"/>
  <c r="R129" i="23" s="1"/>
  <c r="S48" i="23"/>
  <c r="R48" i="23" s="1"/>
  <c r="S350" i="23"/>
  <c r="R350" i="23" s="1"/>
  <c r="S233" i="23"/>
  <c r="R233" i="23" s="1"/>
  <c r="S152" i="23"/>
  <c r="R152" i="23" s="1"/>
  <c r="S91" i="23"/>
  <c r="R91" i="23" s="1"/>
  <c r="S154" i="23"/>
  <c r="R154" i="23" s="1"/>
  <c r="AY16" i="7"/>
  <c r="U10" i="24"/>
  <c r="S213" i="23"/>
  <c r="R213" i="23" s="1"/>
  <c r="S200" i="23"/>
  <c r="R200" i="23" s="1"/>
  <c r="S208" i="23"/>
  <c r="R208" i="23" s="1"/>
  <c r="R382" i="22"/>
  <c r="R383" i="22"/>
  <c r="R381" i="22"/>
  <c r="P15" i="22"/>
  <c r="S202" i="23"/>
  <c r="R202" i="23" s="1"/>
  <c r="S261" i="23"/>
  <c r="R261" i="23" s="1"/>
  <c r="S71" i="23"/>
  <c r="R71" i="23" s="1"/>
  <c r="S284" i="23"/>
  <c r="R284" i="23" s="1"/>
  <c r="S142" i="23"/>
  <c r="R142" i="23" s="1"/>
  <c r="S339" i="23"/>
  <c r="R339" i="23" s="1"/>
  <c r="S354" i="23"/>
  <c r="R354" i="23" s="1"/>
  <c r="S141" i="23"/>
  <c r="R141" i="23" s="1"/>
  <c r="S317" i="23"/>
  <c r="R317" i="23" s="1"/>
  <c r="S159" i="23"/>
  <c r="R159" i="23" s="1"/>
  <c r="S340" i="23"/>
  <c r="R340" i="23" s="1"/>
  <c r="S32" i="23"/>
  <c r="R32" i="23" s="1"/>
  <c r="S127" i="23"/>
  <c r="R127" i="23" s="1"/>
  <c r="S230" i="23"/>
  <c r="R230" i="23" s="1"/>
  <c r="S25" i="23"/>
  <c r="R25" i="23" s="1"/>
  <c r="S246" i="23"/>
  <c r="R246" i="23" s="1"/>
  <c r="S300" i="23"/>
  <c r="R300" i="23" s="1"/>
  <c r="S327" i="23"/>
  <c r="R327" i="23" s="1"/>
  <c r="S375" i="23"/>
  <c r="R375" i="23" s="1"/>
  <c r="S191" i="23"/>
  <c r="R191" i="23" s="1"/>
  <c r="S267" i="23"/>
  <c r="R267" i="23" s="1"/>
  <c r="S346" i="23"/>
  <c r="R346" i="23" s="1"/>
  <c r="S138" i="23"/>
  <c r="R138" i="23" s="1"/>
  <c r="S378" i="23"/>
  <c r="R378" i="23" s="1"/>
  <c r="S220" i="23"/>
  <c r="R220" i="23" s="1"/>
  <c r="S211" i="23"/>
  <c r="R211" i="23" s="1"/>
  <c r="S226" i="23"/>
  <c r="R226" i="23" s="1"/>
  <c r="S55" i="23"/>
  <c r="R55" i="23" s="1"/>
  <c r="S289" i="23"/>
  <c r="R289" i="23" s="1"/>
  <c r="D135" i="22"/>
  <c r="E135" i="22" s="1"/>
  <c r="F135" i="22" s="1"/>
  <c r="W135" i="22"/>
  <c r="D74" i="22"/>
  <c r="E74" i="22" s="1"/>
  <c r="F74" i="22" s="1"/>
  <c r="W74" i="22"/>
  <c r="H284" i="22"/>
  <c r="AA233" i="22"/>
  <c r="Z233" i="22" s="1"/>
  <c r="Y233" i="22" s="1"/>
  <c r="S125" i="23"/>
  <c r="R125" i="23" s="1"/>
  <c r="S338" i="23"/>
  <c r="R338" i="23" s="1"/>
  <c r="S114" i="23"/>
  <c r="R114" i="23" s="1"/>
  <c r="S47" i="23"/>
  <c r="R47" i="23" s="1"/>
  <c r="S151" i="23"/>
  <c r="R151" i="23" s="1"/>
  <c r="S364" i="23"/>
  <c r="R364" i="23" s="1"/>
  <c r="S222" i="23"/>
  <c r="R222" i="23" s="1"/>
  <c r="S24" i="23"/>
  <c r="R24" i="23" s="1"/>
  <c r="S241" i="23"/>
  <c r="R241" i="23" s="1"/>
  <c r="S99" i="23"/>
  <c r="R99" i="23" s="1"/>
  <c r="S265" i="23"/>
  <c r="R265" i="23" s="1"/>
  <c r="S320" i="23"/>
  <c r="R320" i="23" s="1"/>
  <c r="S72" i="23"/>
  <c r="R72" i="23" s="1"/>
  <c r="S319" i="23"/>
  <c r="R319" i="23" s="1"/>
  <c r="S59" i="23"/>
  <c r="R59" i="23" s="1"/>
  <c r="S292" i="23"/>
  <c r="R292" i="23" s="1"/>
  <c r="S150" i="23"/>
  <c r="R150" i="23" s="1"/>
  <c r="S351" i="23"/>
  <c r="R351" i="23" s="1"/>
  <c r="S169" i="23"/>
  <c r="R169" i="23" s="1"/>
  <c r="S27" i="23"/>
  <c r="R27" i="23" s="1"/>
  <c r="S224" i="23"/>
  <c r="R224" i="23" s="1"/>
  <c r="S144" i="23"/>
  <c r="R144" i="23" s="1"/>
  <c r="S251" i="23"/>
  <c r="R251" i="23" s="1"/>
  <c r="S217" i="23"/>
  <c r="R217" i="23" s="1"/>
  <c r="S75" i="23"/>
  <c r="R75" i="23" s="1"/>
  <c r="S329" i="23"/>
  <c r="R329" i="23" s="1"/>
  <c r="S21" i="23"/>
  <c r="R21" i="23" s="1"/>
  <c r="S23" i="23"/>
  <c r="R23" i="23" s="1"/>
  <c r="S94" i="23"/>
  <c r="R94" i="23" s="1"/>
  <c r="S263" i="23"/>
  <c r="R263" i="23" s="1"/>
  <c r="S372" i="23"/>
  <c r="R372" i="23" s="1"/>
  <c r="S367" i="23"/>
  <c r="R367" i="23" s="1"/>
  <c r="S311" i="23"/>
  <c r="R311" i="23" s="1"/>
  <c r="S63" i="23"/>
  <c r="R63" i="23" s="1"/>
  <c r="S166" i="23"/>
  <c r="R166" i="23" s="1"/>
  <c r="S22" i="23"/>
  <c r="R22" i="23" s="1"/>
  <c r="S41" i="23"/>
  <c r="R41" i="23" s="1"/>
  <c r="S96" i="23"/>
  <c r="R96" i="23" s="1"/>
  <c r="S358" i="23"/>
  <c r="R358" i="23" s="1"/>
  <c r="S89" i="23"/>
  <c r="R89" i="23" s="1"/>
  <c r="S73" i="23"/>
  <c r="R73" i="23" s="1"/>
  <c r="S128" i="23"/>
  <c r="R128" i="23" s="1"/>
  <c r="S40" i="23"/>
  <c r="R40" i="23" s="1"/>
  <c r="S257" i="23"/>
  <c r="R257" i="23" s="1"/>
  <c r="S115" i="23"/>
  <c r="R115" i="23" s="1"/>
  <c r="S280" i="23"/>
  <c r="R280" i="23" s="1"/>
  <c r="S130" i="23"/>
  <c r="R130" i="23" s="1"/>
  <c r="S355" i="23"/>
  <c r="R355" i="23" s="1"/>
  <c r="S39" i="23"/>
  <c r="R39" i="23" s="1"/>
  <c r="S46" i="23"/>
  <c r="R46" i="23" s="1"/>
  <c r="S328" i="23"/>
  <c r="R328" i="23" s="1"/>
  <c r="S252" i="23"/>
  <c r="R252" i="23" s="1"/>
  <c r="S185" i="23"/>
  <c r="R185" i="23" s="1"/>
  <c r="S43" i="23"/>
  <c r="R43" i="23" s="1"/>
  <c r="S240" i="23"/>
  <c r="R240" i="23" s="1"/>
  <c r="S58" i="23"/>
  <c r="R58" i="23" s="1"/>
  <c r="S283" i="23"/>
  <c r="R283" i="23" s="1"/>
  <c r="S117" i="23"/>
  <c r="R117" i="23" s="1"/>
  <c r="S293" i="23"/>
  <c r="R293" i="23" s="1"/>
  <c r="S316" i="23"/>
  <c r="R316" i="23" s="1"/>
  <c r="S106" i="23"/>
  <c r="R106" i="23" s="1"/>
  <c r="S331" i="23"/>
  <c r="R331" i="23" s="1"/>
  <c r="S103" i="23"/>
  <c r="R103" i="23" s="1"/>
  <c r="S174" i="23"/>
  <c r="R174" i="23" s="1"/>
  <c r="S61" i="23"/>
  <c r="R61" i="23" s="1"/>
  <c r="S301" i="23"/>
  <c r="R301" i="23" s="1"/>
  <c r="S353" i="23"/>
  <c r="R353" i="23" s="1"/>
  <c r="S77" i="23"/>
  <c r="R77" i="23" s="1"/>
  <c r="S132" i="23"/>
  <c r="R132" i="23" s="1"/>
  <c r="S147" i="23"/>
  <c r="R147" i="23" s="1"/>
  <c r="G155" i="22"/>
  <c r="CC155" i="6" s="1"/>
  <c r="AA155" i="22"/>
  <c r="Z155" i="22" s="1"/>
  <c r="Y155" i="22" s="1"/>
  <c r="H155" i="22"/>
  <c r="W319" i="22"/>
  <c r="D319" i="22"/>
  <c r="E319" i="22" s="1"/>
  <c r="F319" i="22" s="1"/>
  <c r="D258" i="22"/>
  <c r="E258" i="22" s="1"/>
  <c r="F258" i="22" s="1"/>
  <c r="W258" i="22"/>
  <c r="AA278" i="22"/>
  <c r="Z278" i="22" s="1"/>
  <c r="Y278" i="22" s="1"/>
  <c r="AG268" i="23"/>
  <c r="AF268" i="23" s="1"/>
  <c r="AG75" i="23"/>
  <c r="AF75" i="23" s="1"/>
  <c r="AG117" i="23"/>
  <c r="AF117" i="23" s="1"/>
  <c r="AG190" i="23"/>
  <c r="AF190" i="23" s="1"/>
  <c r="AG55" i="23"/>
  <c r="AF55" i="23" s="1"/>
  <c r="AG328" i="23"/>
  <c r="AF328" i="23" s="1"/>
  <c r="AG93" i="23"/>
  <c r="AF93" i="23" s="1"/>
  <c r="AG60" i="23"/>
  <c r="AF60" i="23" s="1"/>
  <c r="AG265" i="23"/>
  <c r="AF265" i="23" s="1"/>
  <c r="AG315" i="23"/>
  <c r="AF315" i="23" s="1"/>
  <c r="AG199" i="23"/>
  <c r="AF199" i="23" s="1"/>
  <c r="AG133" i="23"/>
  <c r="AF133" i="23" s="1"/>
  <c r="AG372" i="23"/>
  <c r="AF372" i="23" s="1"/>
  <c r="AG358" i="23"/>
  <c r="AF358" i="23" s="1"/>
  <c r="AG37" i="23"/>
  <c r="AF37" i="23" s="1"/>
  <c r="AG329" i="23"/>
  <c r="AF329" i="23" s="1"/>
  <c r="AG327" i="23"/>
  <c r="AF327" i="23" s="1"/>
  <c r="AG236" i="23"/>
  <c r="AF236" i="23" s="1"/>
  <c r="AG152" i="23"/>
  <c r="AF152" i="23" s="1"/>
  <c r="AG153" i="23"/>
  <c r="AF153" i="23" s="1"/>
  <c r="AG313" i="23"/>
  <c r="AF313" i="23" s="1"/>
  <c r="AG306" i="23"/>
  <c r="AF306" i="23" s="1"/>
  <c r="AG235" i="23"/>
  <c r="AF235" i="23" s="1"/>
  <c r="AG51" i="23"/>
  <c r="AF51" i="23" s="1"/>
  <c r="AG368" i="23"/>
  <c r="AF368" i="23" s="1"/>
  <c r="AG45" i="23"/>
  <c r="AF45" i="23" s="1"/>
  <c r="AG68" i="23"/>
  <c r="AF68" i="23" s="1"/>
  <c r="AG323" i="23"/>
  <c r="AF323" i="23" s="1"/>
  <c r="AG216" i="23"/>
  <c r="AF216" i="23" s="1"/>
  <c r="AG225" i="23"/>
  <c r="AF225" i="23" s="1"/>
  <c r="AG356" i="23"/>
  <c r="AF356" i="23" s="1"/>
  <c r="AG125" i="23"/>
  <c r="AF125" i="23" s="1"/>
  <c r="AG338" i="23"/>
  <c r="AF338" i="23" s="1"/>
  <c r="AG221" i="23"/>
  <c r="AF221" i="23" s="1"/>
  <c r="AG201" i="23"/>
  <c r="AF201" i="23" s="1"/>
  <c r="AG71" i="23"/>
  <c r="AF71" i="23" s="1"/>
  <c r="AG27" i="23"/>
  <c r="AF27" i="23" s="1"/>
  <c r="AG166" i="23"/>
  <c r="AF166" i="23" s="1"/>
  <c r="AG15" i="23"/>
  <c r="AG146" i="23"/>
  <c r="AF146" i="23" s="1"/>
  <c r="AG36" i="23"/>
  <c r="AF36" i="23" s="1"/>
  <c r="AG23" i="23"/>
  <c r="AF23" i="23" s="1"/>
  <c r="AG78" i="23"/>
  <c r="AF78" i="23" s="1"/>
  <c r="AG32" i="23"/>
  <c r="AF32" i="23" s="1"/>
  <c r="AG363" i="23"/>
  <c r="AF363" i="23" s="1"/>
  <c r="AG309" i="23"/>
  <c r="AF309" i="23" s="1"/>
  <c r="AG67" i="23"/>
  <c r="AF67" i="23" s="1"/>
  <c r="AG246" i="23"/>
  <c r="AF246" i="23" s="1"/>
  <c r="AG81" i="23"/>
  <c r="AF81" i="23" s="1"/>
  <c r="AG84" i="23"/>
  <c r="AF84" i="23" s="1"/>
  <c r="AG378" i="23"/>
  <c r="AF378" i="23" s="1"/>
  <c r="AG70" i="23"/>
  <c r="AF70" i="23" s="1"/>
  <c r="AG145" i="23"/>
  <c r="AF145" i="23" s="1"/>
  <c r="AG276" i="23"/>
  <c r="AF276" i="23" s="1"/>
  <c r="AG219" i="23"/>
  <c r="AF219" i="23" s="1"/>
  <c r="AG35" i="23"/>
  <c r="AF35" i="23" s="1"/>
  <c r="AG143" i="23"/>
  <c r="AF143" i="23" s="1"/>
  <c r="AG249" i="23"/>
  <c r="AF249" i="23" s="1"/>
  <c r="AG218" i="23"/>
  <c r="AF218" i="23" s="1"/>
  <c r="AG63" i="23"/>
  <c r="AF63" i="23" s="1"/>
  <c r="AG52" i="23"/>
  <c r="AF52" i="23" s="1"/>
  <c r="AG49" i="23"/>
  <c r="AF49" i="23" s="1"/>
  <c r="AG97" i="23"/>
  <c r="AF97" i="23" s="1"/>
  <c r="AG192" i="23"/>
  <c r="AF192" i="23" s="1"/>
  <c r="AG53" i="23"/>
  <c r="AF53" i="23" s="1"/>
  <c r="AG285" i="23"/>
  <c r="AF285" i="23" s="1"/>
  <c r="AG353" i="23"/>
  <c r="AF353" i="23" s="1"/>
  <c r="AG18" i="23"/>
  <c r="AF18" i="23" s="1"/>
  <c r="AG85" i="23"/>
  <c r="AF85" i="23" s="1"/>
  <c r="AG22" i="23"/>
  <c r="AF22" i="23" s="1"/>
  <c r="AG330" i="23"/>
  <c r="AF330" i="23" s="1"/>
  <c r="AG122" i="23"/>
  <c r="AF122" i="23" s="1"/>
  <c r="AG134" i="23"/>
  <c r="AF134" i="23" s="1"/>
  <c r="AG263" i="23"/>
  <c r="AF263" i="23" s="1"/>
  <c r="AG69" i="23"/>
  <c r="AF69" i="23" s="1"/>
  <c r="AG322" i="23"/>
  <c r="AF322" i="23" s="1"/>
  <c r="AG160" i="23"/>
  <c r="AF160" i="23" s="1"/>
  <c r="AG107" i="23"/>
  <c r="AF107" i="23" s="1"/>
  <c r="AG66" i="23"/>
  <c r="AF66" i="23" s="1"/>
  <c r="AG308" i="23"/>
  <c r="AF308" i="23" s="1"/>
  <c r="AG208" i="23"/>
  <c r="AF208" i="23" s="1"/>
  <c r="AG269" i="23"/>
  <c r="AF269" i="23" s="1"/>
  <c r="AG20" i="23"/>
  <c r="AF20" i="23" s="1"/>
  <c r="AG74" i="23"/>
  <c r="AF74" i="23" s="1"/>
  <c r="AG324" i="23"/>
  <c r="AF324" i="23" s="1"/>
  <c r="AG29" i="23"/>
  <c r="AF29" i="23" s="1"/>
  <c r="AG369" i="23"/>
  <c r="AF369" i="23" s="1"/>
  <c r="AG72" i="23"/>
  <c r="AF72" i="23" s="1"/>
  <c r="AG317" i="23"/>
  <c r="AF317" i="23" s="1"/>
  <c r="AG96" i="23"/>
  <c r="AF96" i="23" s="1"/>
  <c r="AG57" i="23"/>
  <c r="AF57" i="23" s="1"/>
  <c r="AG43" i="23"/>
  <c r="AF43" i="23" s="1"/>
  <c r="AG157" i="23"/>
  <c r="AF157" i="23" s="1"/>
  <c r="S343" i="23"/>
  <c r="R343" i="23" s="1"/>
  <c r="S112" i="23"/>
  <c r="R112" i="23" s="1"/>
  <c r="S297" i="23"/>
  <c r="R297" i="23" s="1"/>
  <c r="S216" i="23"/>
  <c r="R216" i="23" s="1"/>
  <c r="S155" i="23"/>
  <c r="R155" i="23" s="1"/>
  <c r="S66" i="23"/>
  <c r="R66" i="23" s="1"/>
  <c r="S352" i="23"/>
  <c r="R352" i="23" s="1"/>
  <c r="S291" i="23"/>
  <c r="R291" i="23" s="1"/>
  <c r="S282" i="23"/>
  <c r="R282" i="23" s="1"/>
  <c r="S60" i="23"/>
  <c r="R60" i="23" s="1"/>
  <c r="S277" i="23"/>
  <c r="R277" i="23" s="1"/>
  <c r="S203" i="23"/>
  <c r="R203" i="23" s="1"/>
  <c r="S218" i="23"/>
  <c r="R218" i="23" s="1"/>
  <c r="S124" i="23"/>
  <c r="R124" i="23" s="1"/>
  <c r="S249" i="23"/>
  <c r="R249" i="23" s="1"/>
  <c r="S107" i="23"/>
  <c r="R107" i="23" s="1"/>
  <c r="S304" i="23"/>
  <c r="R304" i="23" s="1"/>
  <c r="S243" i="23"/>
  <c r="R243" i="23" s="1"/>
  <c r="S258" i="23"/>
  <c r="R258" i="23" s="1"/>
  <c r="S181" i="23"/>
  <c r="R181" i="23" s="1"/>
  <c r="S232" i="23"/>
  <c r="R232" i="23" s="1"/>
  <c r="S171" i="23"/>
  <c r="R171" i="23" s="1"/>
  <c r="S368" i="23"/>
  <c r="R368" i="23" s="1"/>
  <c r="S190" i="23"/>
  <c r="R190" i="23" s="1"/>
  <c r="S234" i="23"/>
  <c r="R234" i="23" s="1"/>
  <c r="S126" i="23"/>
  <c r="R126" i="23" s="1"/>
  <c r="S52" i="23"/>
  <c r="R52" i="23" s="1"/>
  <c r="S269" i="23"/>
  <c r="R269" i="23" s="1"/>
  <c r="S356" i="23"/>
  <c r="R356" i="23" s="1"/>
  <c r="S214" i="23"/>
  <c r="R214" i="23" s="1"/>
  <c r="S369" i="23"/>
  <c r="R369" i="23" s="1"/>
  <c r="S288" i="23"/>
  <c r="R288" i="23" s="1"/>
  <c r="S227" i="23"/>
  <c r="R227" i="23" s="1"/>
  <c r="S272" i="23"/>
  <c r="R272" i="23" s="1"/>
  <c r="S281" i="23"/>
  <c r="R281" i="23" s="1"/>
  <c r="S139" i="23"/>
  <c r="R139" i="23" s="1"/>
  <c r="S90" i="23"/>
  <c r="R90" i="23" s="1"/>
  <c r="S315" i="23"/>
  <c r="R315" i="23" s="1"/>
  <c r="S149" i="23"/>
  <c r="R149" i="23" s="1"/>
  <c r="S44" i="23"/>
  <c r="R44" i="23" s="1"/>
  <c r="S119" i="23"/>
  <c r="R119" i="23" s="1"/>
  <c r="S50" i="23"/>
  <c r="R50" i="23" s="1"/>
  <c r="S228" i="23"/>
  <c r="R228" i="23" s="1"/>
  <c r="S86" i="23"/>
  <c r="R86" i="23" s="1"/>
  <c r="S287" i="23"/>
  <c r="R287" i="23" s="1"/>
  <c r="S105" i="23"/>
  <c r="R105" i="23" s="1"/>
  <c r="S326" i="23"/>
  <c r="R326" i="23" s="1"/>
  <c r="S160" i="23"/>
  <c r="R160" i="23" s="1"/>
  <c r="S17" i="23"/>
  <c r="R17" i="23" s="1"/>
  <c r="S123" i="23"/>
  <c r="R123" i="23" s="1"/>
  <c r="S153" i="23"/>
  <c r="R153" i="23" s="1"/>
  <c r="S374" i="23"/>
  <c r="R374" i="23" s="1"/>
  <c r="S201" i="23"/>
  <c r="R201" i="23" s="1"/>
  <c r="S256" i="23"/>
  <c r="R256" i="23" s="1"/>
  <c r="S215" i="23"/>
  <c r="R215" i="23" s="1"/>
  <c r="S65" i="23"/>
  <c r="R65" i="23" s="1"/>
  <c r="S286" i="23"/>
  <c r="R286" i="23" s="1"/>
  <c r="S88" i="23"/>
  <c r="R88" i="23" s="1"/>
  <c r="S305" i="23"/>
  <c r="R305" i="23" s="1"/>
  <c r="S163" i="23"/>
  <c r="R163" i="23" s="1"/>
  <c r="S26" i="23"/>
  <c r="R26" i="23" s="1"/>
  <c r="S85" i="23"/>
  <c r="R85" i="23" s="1"/>
  <c r="S136" i="23"/>
  <c r="R136" i="23" s="1"/>
  <c r="S80" i="23"/>
  <c r="R80" i="23" s="1"/>
  <c r="S187" i="23"/>
  <c r="R187" i="23" s="1"/>
  <c r="S100" i="23"/>
  <c r="R100" i="23" s="1"/>
  <c r="S198" i="23"/>
  <c r="R198" i="23" s="1"/>
  <c r="S308" i="23"/>
  <c r="R308" i="23" s="1"/>
  <c r="S64" i="23"/>
  <c r="R64" i="23" s="1"/>
  <c r="S87" i="23"/>
  <c r="R87" i="23" s="1"/>
  <c r="S158" i="23"/>
  <c r="R158" i="23" s="1"/>
  <c r="S177" i="23"/>
  <c r="R177" i="23" s="1"/>
  <c r="S35" i="23"/>
  <c r="R35" i="23" s="1"/>
  <c r="S137" i="23"/>
  <c r="R137" i="23" s="1"/>
  <c r="S192" i="23"/>
  <c r="R192" i="23" s="1"/>
  <c r="S294" i="23"/>
  <c r="R294" i="23" s="1"/>
  <c r="S121" i="23"/>
  <c r="R121" i="23" s="1"/>
  <c r="S342" i="23"/>
  <c r="R342" i="23" s="1"/>
  <c r="S176" i="23"/>
  <c r="R176" i="23" s="1"/>
  <c r="S361" i="23"/>
  <c r="R361" i="23" s="1"/>
  <c r="S219" i="23"/>
  <c r="R219" i="23" s="1"/>
  <c r="S53" i="23"/>
  <c r="R53" i="23" s="1"/>
  <c r="S165" i="23"/>
  <c r="R165" i="23" s="1"/>
  <c r="S188" i="23"/>
  <c r="R188" i="23" s="1"/>
  <c r="S42" i="23"/>
  <c r="R42" i="23" s="1"/>
  <c r="S110" i="23"/>
  <c r="R110" i="23" s="1"/>
  <c r="S104" i="23"/>
  <c r="R104" i="23" s="1"/>
  <c r="S321" i="23"/>
  <c r="R321" i="23" s="1"/>
  <c r="S179" i="23"/>
  <c r="R179" i="23" s="1"/>
  <c r="S344" i="23"/>
  <c r="R344" i="23" s="1"/>
  <c r="S194" i="23"/>
  <c r="R194" i="23" s="1"/>
  <c r="S76" i="23"/>
  <c r="R76" i="23" s="1"/>
  <c r="S167" i="23"/>
  <c r="R167" i="23" s="1"/>
  <c r="S238" i="23"/>
  <c r="R238" i="23" s="1"/>
  <c r="S29" i="23"/>
  <c r="R29" i="23" s="1"/>
  <c r="S229" i="23"/>
  <c r="R229" i="23" s="1"/>
  <c r="S15" i="23"/>
  <c r="S363" i="23"/>
  <c r="R363" i="23" s="1"/>
  <c r="S197" i="23"/>
  <c r="R197" i="23" s="1"/>
  <c r="S78" i="23"/>
  <c r="R78" i="23" s="1"/>
  <c r="S376" i="23"/>
  <c r="R376" i="23" s="1"/>
  <c r="D46" i="22"/>
  <c r="E46" i="22" s="1"/>
  <c r="F46" i="22" s="1"/>
  <c r="W46" i="22"/>
  <c r="H167" i="22"/>
  <c r="D105" i="22"/>
  <c r="E105" i="22" s="1"/>
  <c r="F105" i="22" s="1"/>
  <c r="W105" i="22"/>
  <c r="AG325" i="23"/>
  <c r="AF325" i="23" s="1"/>
  <c r="AG46" i="23"/>
  <c r="AF46" i="23" s="1"/>
  <c r="AG211" i="23"/>
  <c r="AF211" i="23" s="1"/>
  <c r="AG159" i="23"/>
  <c r="AF159" i="23" s="1"/>
  <c r="AG299" i="23"/>
  <c r="AF299" i="23" s="1"/>
  <c r="AG357" i="23"/>
  <c r="AF357" i="23" s="1"/>
  <c r="AG120" i="23"/>
  <c r="AF120" i="23" s="1"/>
  <c r="AG162" i="23"/>
  <c r="AF162" i="23" s="1"/>
  <c r="AG255" i="23"/>
  <c r="AF255" i="23" s="1"/>
  <c r="AG129" i="23"/>
  <c r="AF129" i="23" s="1"/>
  <c r="AG181" i="23"/>
  <c r="AF181" i="23" s="1"/>
  <c r="AG196" i="23"/>
  <c r="AF196" i="23" s="1"/>
  <c r="AG178" i="23"/>
  <c r="AF178" i="23" s="1"/>
  <c r="AG105" i="23"/>
  <c r="AF105" i="23" s="1"/>
  <c r="AG241" i="23"/>
  <c r="AF241" i="23" s="1"/>
  <c r="AG298" i="23"/>
  <c r="AF298" i="23" s="1"/>
  <c r="AG118" i="23"/>
  <c r="AF118" i="23" s="1"/>
  <c r="AG99" i="23"/>
  <c r="AF99" i="23" s="1"/>
  <c r="AG25" i="23"/>
  <c r="AF25" i="23" s="1"/>
  <c r="AG124" i="23"/>
  <c r="AF124" i="23" s="1"/>
  <c r="AG59" i="23"/>
  <c r="AF59" i="23" s="1"/>
  <c r="AG261" i="23"/>
  <c r="AF261" i="23" s="1"/>
  <c r="AG80" i="23"/>
  <c r="AF80" i="23" s="1"/>
  <c r="AG247" i="23"/>
  <c r="AF247" i="23" s="1"/>
  <c r="AG293" i="23"/>
  <c r="AF293" i="23" s="1"/>
  <c r="AG94" i="23"/>
  <c r="AF94" i="23" s="1"/>
  <c r="AG275" i="23"/>
  <c r="AF275" i="23" s="1"/>
  <c r="AG364" i="23"/>
  <c r="AF364" i="23" s="1"/>
  <c r="AG41" i="23"/>
  <c r="AF41" i="23" s="1"/>
  <c r="AG294" i="23"/>
  <c r="AF294" i="23" s="1"/>
  <c r="AG200" i="23"/>
  <c r="AF200" i="23" s="1"/>
  <c r="AG349" i="23"/>
  <c r="AF349" i="23" s="1"/>
  <c r="AG295" i="23"/>
  <c r="AF295" i="23" s="1"/>
  <c r="AG137" i="23"/>
  <c r="AF137" i="23" s="1"/>
  <c r="AG170" i="23"/>
  <c r="AF170" i="23" s="1"/>
  <c r="AG310" i="23"/>
  <c r="AF310" i="23" s="1"/>
  <c r="AG82" i="23"/>
  <c r="AF82" i="23" s="1"/>
  <c r="AG44" i="23"/>
  <c r="AF44" i="23" s="1"/>
  <c r="AG116" i="23"/>
  <c r="AF116" i="23" s="1"/>
  <c r="AG138" i="23"/>
  <c r="AF138" i="23" s="1"/>
  <c r="AG102" i="23"/>
  <c r="AF102" i="23" s="1"/>
  <c r="AG114" i="23"/>
  <c r="AF114" i="23" s="1"/>
  <c r="AG73" i="23"/>
  <c r="AF73" i="23" s="1"/>
  <c r="AG182" i="23"/>
  <c r="AF182" i="23" s="1"/>
  <c r="AG343" i="23"/>
  <c r="AF343" i="23" s="1"/>
  <c r="AG245" i="23"/>
  <c r="AF245" i="23" s="1"/>
  <c r="AG264" i="23"/>
  <c r="AF264" i="23" s="1"/>
  <c r="AG359" i="23"/>
  <c r="AF359" i="23" s="1"/>
  <c r="AG168" i="23"/>
  <c r="AF168" i="23" s="1"/>
  <c r="AG189" i="23"/>
  <c r="AF189" i="23" s="1"/>
  <c r="AG244" i="23"/>
  <c r="AF244" i="23" s="1"/>
  <c r="AG346" i="23"/>
  <c r="AF346" i="23" s="1"/>
  <c r="AG307" i="23"/>
  <c r="AF307" i="23" s="1"/>
  <c r="AG366" i="23"/>
  <c r="AF366" i="23" s="1"/>
  <c r="AG240" i="23"/>
  <c r="AF240" i="23" s="1"/>
  <c r="AG301" i="23"/>
  <c r="AF301" i="23" s="1"/>
  <c r="AG303" i="23"/>
  <c r="AF303" i="23" s="1"/>
  <c r="AG180" i="23"/>
  <c r="AF180" i="23" s="1"/>
  <c r="AG155" i="23"/>
  <c r="AF155" i="23" s="1"/>
  <c r="AG352" i="23"/>
  <c r="AF352" i="23" s="1"/>
  <c r="AG205" i="23"/>
  <c r="AF205" i="23" s="1"/>
  <c r="AG336" i="23"/>
  <c r="AF336" i="23" s="1"/>
  <c r="AG100" i="23"/>
  <c r="AF100" i="23" s="1"/>
  <c r="AG362" i="23"/>
  <c r="AF362" i="23" s="1"/>
  <c r="AG342" i="23"/>
  <c r="AF342" i="23" s="1"/>
  <c r="AG17" i="23"/>
  <c r="AF17" i="23" s="1"/>
  <c r="AG164" i="23"/>
  <c r="AF164" i="23" s="1"/>
  <c r="AG206" i="23"/>
  <c r="AF206" i="23" s="1"/>
  <c r="AG230" i="23"/>
  <c r="AF230" i="23" s="1"/>
  <c r="AG370" i="23"/>
  <c r="AF370" i="23" s="1"/>
  <c r="AG312" i="23"/>
  <c r="AF312" i="23" s="1"/>
  <c r="AG289" i="23"/>
  <c r="AF289" i="23" s="1"/>
  <c r="AG215" i="23"/>
  <c r="AF215" i="23" s="1"/>
  <c r="AG365" i="23"/>
  <c r="AF365" i="23" s="1"/>
  <c r="AG38" i="23"/>
  <c r="AF38" i="23" s="1"/>
  <c r="AG123" i="23"/>
  <c r="AF123" i="23" s="1"/>
  <c r="AG131" i="23"/>
  <c r="AF131" i="23" s="1"/>
  <c r="AG39" i="23"/>
  <c r="AF39" i="23" s="1"/>
  <c r="AG248" i="23"/>
  <c r="AF248" i="23" s="1"/>
  <c r="AG253" i="23"/>
  <c r="AF253" i="23" s="1"/>
  <c r="AG161" i="23"/>
  <c r="AF161" i="23" s="1"/>
  <c r="AG292" i="23"/>
  <c r="AF292" i="23" s="1"/>
  <c r="AG151" i="23"/>
  <c r="AF151" i="23" s="1"/>
  <c r="AG334" i="23"/>
  <c r="AF334" i="23" s="1"/>
  <c r="AG258" i="23"/>
  <c r="AF258" i="23" s="1"/>
  <c r="AG320" i="23"/>
  <c r="AF320" i="23" s="1"/>
  <c r="AG212" i="23"/>
  <c r="AF212" i="23" s="1"/>
  <c r="AG91" i="23"/>
  <c r="AF91" i="23" s="1"/>
  <c r="AG229" i="23"/>
  <c r="AF229" i="23" s="1"/>
  <c r="AG198" i="23"/>
  <c r="AF198" i="23" s="1"/>
  <c r="AG28" i="23"/>
  <c r="AF28" i="23" s="1"/>
  <c r="AG106" i="23"/>
  <c r="AF106" i="23" s="1"/>
  <c r="AG214" i="23"/>
  <c r="AF214" i="23" s="1"/>
  <c r="AG274" i="23"/>
  <c r="AF274" i="23" s="1"/>
  <c r="AG271" i="23"/>
  <c r="AF271" i="23" s="1"/>
  <c r="AG377" i="23"/>
  <c r="AF377" i="23" s="1"/>
  <c r="AG197" i="23"/>
  <c r="AF197" i="23" s="1"/>
  <c r="AG204" i="23"/>
  <c r="AF204" i="23" s="1"/>
  <c r="AG110" i="23"/>
  <c r="AF110" i="23" s="1"/>
  <c r="AG203" i="23"/>
  <c r="AF203" i="23" s="1"/>
  <c r="AG83" i="23"/>
  <c r="AF83" i="23" s="1"/>
  <c r="AG47" i="23"/>
  <c r="AF47" i="23" s="1"/>
  <c r="AG31" i="23"/>
  <c r="AF31" i="23" s="1"/>
  <c r="AG237" i="23"/>
  <c r="AF237" i="23" s="1"/>
  <c r="AG56" i="23"/>
  <c r="AF56" i="23" s="1"/>
  <c r="AG250" i="23"/>
  <c r="AF250" i="23" s="1"/>
  <c r="AG34" i="23"/>
  <c r="AF34" i="23" s="1"/>
  <c r="AG193" i="23"/>
  <c r="AF193" i="23" s="1"/>
  <c r="AG233" i="23"/>
  <c r="AF233" i="23" s="1"/>
  <c r="AG210" i="23"/>
  <c r="AF210" i="23" s="1"/>
  <c r="AG321" i="23"/>
  <c r="AF321" i="23" s="1"/>
  <c r="AG48" i="23"/>
  <c r="AF48" i="23" s="1"/>
  <c r="AG232" i="23"/>
  <c r="AF232" i="23" s="1"/>
  <c r="AG61" i="23"/>
  <c r="AF61" i="23" s="1"/>
  <c r="AG76" i="23"/>
  <c r="AF76" i="23" s="1"/>
  <c r="AG314" i="23"/>
  <c r="AF314" i="23" s="1"/>
  <c r="AG286" i="23"/>
  <c r="AF286" i="23" s="1"/>
  <c r="AG16" i="23"/>
  <c r="AF16" i="23" s="1"/>
  <c r="AG171" i="23"/>
  <c r="AF171" i="23" s="1"/>
  <c r="AG101" i="23"/>
  <c r="AF101" i="23" s="1"/>
  <c r="AG62" i="23"/>
  <c r="AF62" i="23" s="1"/>
  <c r="AG64" i="23"/>
  <c r="AF64" i="23" s="1"/>
  <c r="AG304" i="23"/>
  <c r="AF304" i="23" s="1"/>
  <c r="AG266" i="23"/>
  <c r="AF266" i="23" s="1"/>
  <c r="AG77" i="23"/>
  <c r="AF77" i="23" s="1"/>
  <c r="AG290" i="23"/>
  <c r="AF290" i="23" s="1"/>
  <c r="AG65" i="23"/>
  <c r="AF65" i="23" s="1"/>
  <c r="AG344" i="23"/>
  <c r="AF344" i="23" s="1"/>
  <c r="AG42" i="23"/>
  <c r="AF42" i="23" s="1"/>
  <c r="AG355" i="23"/>
  <c r="AF355" i="23" s="1"/>
  <c r="AG311" i="23"/>
  <c r="AF311" i="23" s="1"/>
  <c r="AG217" i="23"/>
  <c r="AF217" i="23" s="1"/>
  <c r="AG58" i="23"/>
  <c r="AF58" i="23" s="1"/>
  <c r="AG316" i="23"/>
  <c r="AF316" i="23" s="1"/>
  <c r="AG185" i="23"/>
  <c r="AF185" i="23" s="1"/>
  <c r="AG282" i="23"/>
  <c r="AF282" i="23" s="1"/>
  <c r="AG50" i="23"/>
  <c r="AF50" i="23" s="1"/>
  <c r="AG169" i="23"/>
  <c r="AF169" i="23" s="1"/>
  <c r="AG331" i="23"/>
  <c r="AF331" i="23" s="1"/>
  <c r="AG130" i="23"/>
  <c r="AF130" i="23" s="1"/>
  <c r="AG79" i="23"/>
  <c r="AF79" i="23" s="1"/>
  <c r="AG179" i="23"/>
  <c r="AF179" i="23" s="1"/>
  <c r="AG239" i="23"/>
  <c r="AF239" i="23" s="1"/>
  <c r="AG40" i="23"/>
  <c r="AF40" i="23" s="1"/>
  <c r="AG335" i="23"/>
  <c r="AF335" i="23" s="1"/>
  <c r="AG89" i="23"/>
  <c r="AF89" i="23" s="1"/>
  <c r="AG165" i="23"/>
  <c r="AF165" i="23" s="1"/>
  <c r="AG30" i="23"/>
  <c r="AF30" i="23" s="1"/>
  <c r="AG296" i="23"/>
  <c r="AF296" i="23" s="1"/>
  <c r="AG92" i="23"/>
  <c r="AF92" i="23" s="1"/>
  <c r="AG26" i="23"/>
  <c r="AF26" i="23" s="1"/>
  <c r="AG195" i="23"/>
  <c r="AF195" i="23" s="1"/>
  <c r="AG375" i="23"/>
  <c r="AF375" i="23" s="1"/>
  <c r="AG222" i="23"/>
  <c r="AF222" i="23" s="1"/>
  <c r="AG371" i="23"/>
  <c r="AF371" i="23" s="1"/>
  <c r="D60" i="22"/>
  <c r="E60" i="22" s="1"/>
  <c r="F60" i="22" s="1"/>
  <c r="D288" i="22"/>
  <c r="E288" i="22" s="1"/>
  <c r="F288" i="22" s="1"/>
  <c r="W288" i="22"/>
  <c r="D166" i="22"/>
  <c r="E166" i="22" s="1"/>
  <c r="F166" i="22" s="1"/>
  <c r="W166" i="22"/>
  <c r="G222" i="22"/>
  <c r="CC222" i="6" s="1"/>
  <c r="W196" i="22"/>
  <c r="D196" i="22"/>
  <c r="E196" i="22" s="1"/>
  <c r="F196" i="22" s="1"/>
  <c r="S148" i="23"/>
  <c r="R148" i="23" s="1"/>
  <c r="S365" i="23"/>
  <c r="R365" i="23" s="1"/>
  <c r="S207" i="23"/>
  <c r="R207" i="23" s="1"/>
  <c r="S205" i="23"/>
  <c r="R205" i="23" s="1"/>
  <c r="S196" i="23"/>
  <c r="R196" i="23" s="1"/>
  <c r="S54" i="23"/>
  <c r="R54" i="23" s="1"/>
  <c r="S275" i="23"/>
  <c r="R275" i="23" s="1"/>
  <c r="S236" i="23"/>
  <c r="R236" i="23" s="1"/>
  <c r="S113" i="23"/>
  <c r="R113" i="23" s="1"/>
  <c r="S334" i="23"/>
  <c r="R334" i="23" s="1"/>
  <c r="S164" i="23"/>
  <c r="R164" i="23" s="1"/>
  <c r="S223" i="23"/>
  <c r="R223" i="23" s="1"/>
  <c r="S262" i="23"/>
  <c r="R262" i="23" s="1"/>
  <c r="S255" i="23"/>
  <c r="R255" i="23" s="1"/>
  <c r="S310" i="23"/>
  <c r="R310" i="23" s="1"/>
  <c r="S101" i="23"/>
  <c r="R101" i="23" s="1"/>
  <c r="S274" i="23"/>
  <c r="R274" i="23" s="1"/>
  <c r="S84" i="23"/>
  <c r="R84" i="23" s="1"/>
  <c r="S143" i="23"/>
  <c r="R143" i="23" s="1"/>
  <c r="S349" i="23"/>
  <c r="R349" i="23" s="1"/>
  <c r="S290" i="23"/>
  <c r="R290" i="23" s="1"/>
  <c r="G223" i="22"/>
  <c r="CC223" i="6" s="1"/>
  <c r="W349" i="22"/>
  <c r="D349" i="22"/>
  <c r="E349" i="22" s="1"/>
  <c r="F349" i="22" s="1"/>
  <c r="G183" i="22"/>
  <c r="CC183" i="6" s="1"/>
  <c r="AA368" i="22"/>
  <c r="Z368" i="22" s="1"/>
  <c r="Y368" i="22" s="1"/>
  <c r="G368" i="22"/>
  <c r="CC368" i="6" s="1"/>
  <c r="H368" i="22"/>
  <c r="AA41" i="22"/>
  <c r="Z41" i="22" s="1"/>
  <c r="Y41" i="22" s="1"/>
  <c r="G94" i="22"/>
  <c r="CC94" i="6" s="1"/>
  <c r="G160" i="22"/>
  <c r="CC160" i="6" s="1"/>
  <c r="AA160" i="22"/>
  <c r="Z160" i="22" s="1"/>
  <c r="Y160" i="22" s="1"/>
  <c r="H160" i="22"/>
  <c r="G264" i="22"/>
  <c r="CC264" i="6" s="1"/>
  <c r="AA20" i="22"/>
  <c r="Z20" i="22" s="1"/>
  <c r="Y20" i="22" s="1"/>
  <c r="T381" i="23" l="1"/>
  <c r="T383" i="23"/>
  <c r="T382" i="23"/>
  <c r="AA137" i="22"/>
  <c r="Z137" i="22" s="1"/>
  <c r="Y137" i="22" s="1"/>
  <c r="G158" i="22"/>
  <c r="CC158" i="6" s="1"/>
  <c r="G315" i="22"/>
  <c r="CC315" i="6" s="1"/>
  <c r="AA254" i="22"/>
  <c r="Z254" i="22" s="1"/>
  <c r="Y254" i="22" s="1"/>
  <c r="AA216" i="22"/>
  <c r="Z216" i="22" s="1"/>
  <c r="Y216" i="22" s="1"/>
  <c r="H362" i="22"/>
  <c r="AA237" i="22"/>
  <c r="Z237" i="22" s="1"/>
  <c r="Y237" i="22" s="1"/>
  <c r="AA51" i="22"/>
  <c r="Z51" i="22" s="1"/>
  <c r="Y51" i="22" s="1"/>
  <c r="H331" i="22"/>
  <c r="J331" i="22" s="1"/>
  <c r="AA107" i="22"/>
  <c r="Z107" i="22" s="1"/>
  <c r="Y107" i="22" s="1"/>
  <c r="AA36" i="22"/>
  <c r="Z36" i="22" s="1"/>
  <c r="Y36" i="22" s="1"/>
  <c r="AA268" i="22"/>
  <c r="Z268" i="22" s="1"/>
  <c r="Y268" i="22" s="1"/>
  <c r="G341" i="22"/>
  <c r="CC341" i="6" s="1"/>
  <c r="AA190" i="22"/>
  <c r="Z190" i="22" s="1"/>
  <c r="Y190" i="22" s="1"/>
  <c r="H300" i="22"/>
  <c r="J300" i="22" s="1"/>
  <c r="H21" i="22"/>
  <c r="J21" i="22" s="1"/>
  <c r="G283" i="22"/>
  <c r="CC283" i="6" s="1"/>
  <c r="H28" i="22"/>
  <c r="J28" i="22" s="1"/>
  <c r="AA296" i="22"/>
  <c r="Z296" i="22" s="1"/>
  <c r="Y296" i="22" s="1"/>
  <c r="H111" i="22"/>
  <c r="J111" i="22" s="1"/>
  <c r="AA295" i="22"/>
  <c r="Z295" i="22" s="1"/>
  <c r="Y295" i="22" s="1"/>
  <c r="W88" i="22"/>
  <c r="D210" i="22"/>
  <c r="E210" i="22" s="1"/>
  <c r="F210" i="22" s="1"/>
  <c r="G210" i="22" s="1"/>
  <c r="CC210" i="6" s="1"/>
  <c r="H237" i="22"/>
  <c r="I237" i="22" s="1"/>
  <c r="G305" i="22"/>
  <c r="CC305" i="6" s="1"/>
  <c r="G51" i="22"/>
  <c r="CC51" i="6" s="1"/>
  <c r="AA136" i="22"/>
  <c r="Z136" i="22" s="1"/>
  <c r="Y136" i="22" s="1"/>
  <c r="AA264" i="22"/>
  <c r="Z264" i="22" s="1"/>
  <c r="Y264" i="22" s="1"/>
  <c r="H158" i="22"/>
  <c r="J158" i="22" s="1"/>
  <c r="AA30" i="22"/>
  <c r="Z30" i="22" s="1"/>
  <c r="Y30" i="22" s="1"/>
  <c r="G107" i="22"/>
  <c r="CC107" i="6" s="1"/>
  <c r="G36" i="22"/>
  <c r="CC36" i="6" s="1"/>
  <c r="H239" i="22"/>
  <c r="J239" i="22" s="1"/>
  <c r="G268" i="22"/>
  <c r="CC268" i="6" s="1"/>
  <c r="AA94" i="22"/>
  <c r="Z94" i="22" s="1"/>
  <c r="Y94" i="22" s="1"/>
  <c r="G254" i="22"/>
  <c r="CC254" i="6" s="1"/>
  <c r="G26" i="22"/>
  <c r="CC26" i="6" s="1"/>
  <c r="G371" i="22"/>
  <c r="CC371" i="6" s="1"/>
  <c r="AA113" i="22"/>
  <c r="Z113" i="22" s="1"/>
  <c r="Y113" i="22" s="1"/>
  <c r="G35" i="22"/>
  <c r="CC35" i="6" s="1"/>
  <c r="H356" i="22"/>
  <c r="I356" i="22" s="1"/>
  <c r="AA58" i="22"/>
  <c r="Z58" i="22" s="1"/>
  <c r="Y58" i="22" s="1"/>
  <c r="G325" i="22"/>
  <c r="CC325" i="6" s="1"/>
  <c r="AA280" i="22"/>
  <c r="Z280" i="22" s="1"/>
  <c r="Y280" i="22" s="1"/>
  <c r="AA205" i="22"/>
  <c r="Z205" i="22" s="1"/>
  <c r="Y205" i="22" s="1"/>
  <c r="AA274" i="22"/>
  <c r="Z274" i="22" s="1"/>
  <c r="Y274" i="22" s="1"/>
  <c r="G256" i="22"/>
  <c r="CC256" i="6" s="1"/>
  <c r="G282" i="22"/>
  <c r="CC282" i="6" s="1"/>
  <c r="H306" i="22"/>
  <c r="J306" i="22" s="1"/>
  <c r="H23" i="22"/>
  <c r="J23" i="22" s="1"/>
  <c r="G244" i="22"/>
  <c r="CC244" i="6" s="1"/>
  <c r="G224" i="22"/>
  <c r="CC224" i="6" s="1"/>
  <c r="AA186" i="22"/>
  <c r="Z186" i="22" s="1"/>
  <c r="Y186" i="22" s="1"/>
  <c r="AA65" i="22"/>
  <c r="Z65" i="22" s="1"/>
  <c r="Y65" i="22" s="1"/>
  <c r="H102" i="22"/>
  <c r="I102" i="22" s="1"/>
  <c r="H52" i="22"/>
  <c r="J52" i="22" s="1"/>
  <c r="G323" i="22"/>
  <c r="CC323" i="6" s="1"/>
  <c r="AA80" i="22"/>
  <c r="Z80" i="22" s="1"/>
  <c r="Y80" i="22" s="1"/>
  <c r="H172" i="22"/>
  <c r="J172" i="22" s="1"/>
  <c r="W180" i="22"/>
  <c r="G143" i="22"/>
  <c r="CC143" i="6" s="1"/>
  <c r="AA79" i="22"/>
  <c r="Z79" i="22" s="1"/>
  <c r="Y79" i="22" s="1"/>
  <c r="H203" i="22"/>
  <c r="J203" i="22" s="1"/>
  <c r="AA301" i="22"/>
  <c r="Z301" i="22" s="1"/>
  <c r="Y301" i="22" s="1"/>
  <c r="AA32" i="22"/>
  <c r="Z32" i="22" s="1"/>
  <c r="Y32" i="22" s="1"/>
  <c r="AA19" i="22"/>
  <c r="Z19" i="22" s="1"/>
  <c r="Y19" i="22" s="1"/>
  <c r="I210" i="20"/>
  <c r="J210" i="20"/>
  <c r="H109" i="22"/>
  <c r="I109" i="22" s="1"/>
  <c r="H144" i="22"/>
  <c r="I144" i="22" s="1"/>
  <c r="AA34" i="22"/>
  <c r="Z34" i="22" s="1"/>
  <c r="Y34" i="22" s="1"/>
  <c r="H184" i="22"/>
  <c r="I184" i="22" s="1"/>
  <c r="H44" i="22"/>
  <c r="J44" i="22" s="1"/>
  <c r="G203" i="22"/>
  <c r="CC203" i="6" s="1"/>
  <c r="AA359" i="22"/>
  <c r="Z359" i="22" s="1"/>
  <c r="Y359" i="22" s="1"/>
  <c r="AA229" i="22"/>
  <c r="Z229" i="22" s="1"/>
  <c r="Y229" i="22" s="1"/>
  <c r="H273" i="22"/>
  <c r="I273" i="22" s="1"/>
  <c r="G198" i="22"/>
  <c r="CC198" i="6" s="1"/>
  <c r="H285" i="22"/>
  <c r="I285" i="22" s="1"/>
  <c r="G351" i="22"/>
  <c r="CC351" i="6" s="1"/>
  <c r="H121" i="22"/>
  <c r="I121" i="22" s="1"/>
  <c r="AA279" i="22"/>
  <c r="Z279" i="22" s="1"/>
  <c r="Y279" i="22" s="1"/>
  <c r="AA164" i="22"/>
  <c r="Z164" i="22" s="1"/>
  <c r="Y164" i="22" s="1"/>
  <c r="AA184" i="22"/>
  <c r="Z184" i="22" s="1"/>
  <c r="Y184" i="22" s="1"/>
  <c r="H86" i="22"/>
  <c r="J86" i="22" s="1"/>
  <c r="G57" i="22"/>
  <c r="CC57" i="6" s="1"/>
  <c r="H57" i="22"/>
  <c r="I57" i="22" s="1"/>
  <c r="H124" i="22"/>
  <c r="J124" i="22" s="1"/>
  <c r="AA124" i="22"/>
  <c r="Z124" i="22" s="1"/>
  <c r="Y124" i="22" s="1"/>
  <c r="H335" i="22"/>
  <c r="I335" i="22" s="1"/>
  <c r="AA335" i="22"/>
  <c r="Z335" i="22" s="1"/>
  <c r="Y335" i="22" s="1"/>
  <c r="AA214" i="22"/>
  <c r="Z214" i="22" s="1"/>
  <c r="Y214" i="22" s="1"/>
  <c r="H214" i="22"/>
  <c r="I214" i="22" s="1"/>
  <c r="AA114" i="22"/>
  <c r="Z114" i="22" s="1"/>
  <c r="Y114" i="22" s="1"/>
  <c r="H114" i="22"/>
  <c r="I114" i="22" s="1"/>
  <c r="W272" i="22"/>
  <c r="D272" i="22"/>
  <c r="E272" i="22" s="1"/>
  <c r="F272" i="22" s="1"/>
  <c r="G272" i="22" s="1"/>
  <c r="CC272" i="6" s="1"/>
  <c r="AA68" i="22"/>
  <c r="Z68" i="22" s="1"/>
  <c r="Y68" i="22" s="1"/>
  <c r="H68" i="22"/>
  <c r="I68" i="22" s="1"/>
  <c r="G262" i="22"/>
  <c r="CC262" i="6" s="1"/>
  <c r="H262" i="22"/>
  <c r="J262" i="22" s="1"/>
  <c r="G140" i="22"/>
  <c r="CC140" i="6" s="1"/>
  <c r="AA140" i="22"/>
  <c r="Z140" i="22" s="1"/>
  <c r="Y140" i="22" s="1"/>
  <c r="G364" i="22"/>
  <c r="CC364" i="6" s="1"/>
  <c r="H364" i="22"/>
  <c r="J364" i="22" s="1"/>
  <c r="AA374" i="22"/>
  <c r="Z374" i="22" s="1"/>
  <c r="Y374" i="22" s="1"/>
  <c r="H374" i="22"/>
  <c r="I374" i="22" s="1"/>
  <c r="AA17" i="22"/>
  <c r="Z17" i="22" s="1"/>
  <c r="Y17" i="22" s="1"/>
  <c r="G17" i="22"/>
  <c r="CC17" i="6" s="1"/>
  <c r="H271" i="22"/>
  <c r="J271" i="22" s="1"/>
  <c r="G271" i="22"/>
  <c r="CC271" i="6" s="1"/>
  <c r="AA311" i="22"/>
  <c r="Z311" i="22" s="1"/>
  <c r="Y311" i="22" s="1"/>
  <c r="G311" i="22"/>
  <c r="CC311" i="6" s="1"/>
  <c r="G293" i="22"/>
  <c r="CC293" i="6" s="1"/>
  <c r="H293" i="22"/>
  <c r="I293" i="22" s="1"/>
  <c r="G287" i="22"/>
  <c r="CC287" i="6" s="1"/>
  <c r="AA287" i="22"/>
  <c r="Z287" i="22" s="1"/>
  <c r="Y287" i="22" s="1"/>
  <c r="G286" i="22"/>
  <c r="CC286" i="6" s="1"/>
  <c r="H286" i="22"/>
  <c r="J286" i="22" s="1"/>
  <c r="G50" i="22"/>
  <c r="CC50" i="6" s="1"/>
  <c r="AA50" i="22"/>
  <c r="Z50" i="22" s="1"/>
  <c r="Y50" i="22" s="1"/>
  <c r="AA330" i="22"/>
  <c r="Z330" i="22" s="1"/>
  <c r="Y330" i="22" s="1"/>
  <c r="G330" i="22"/>
  <c r="CC330" i="6" s="1"/>
  <c r="H41" i="22"/>
  <c r="I41" i="22" s="1"/>
  <c r="G41" i="22"/>
  <c r="CC41" i="6" s="1"/>
  <c r="H314" i="22"/>
  <c r="I314" i="22" s="1"/>
  <c r="AA314" i="22"/>
  <c r="Z314" i="22" s="1"/>
  <c r="Y314" i="22" s="1"/>
  <c r="AA207" i="22"/>
  <c r="Z207" i="22" s="1"/>
  <c r="Y207" i="22" s="1"/>
  <c r="G207" i="22"/>
  <c r="CC207" i="6" s="1"/>
  <c r="G100" i="22"/>
  <c r="CC100" i="6" s="1"/>
  <c r="H100" i="22"/>
  <c r="I100" i="22" s="1"/>
  <c r="G152" i="22"/>
  <c r="CC152" i="6" s="1"/>
  <c r="H152" i="22"/>
  <c r="I152" i="22" s="1"/>
  <c r="H269" i="22"/>
  <c r="I269" i="22" s="1"/>
  <c r="G269" i="22"/>
  <c r="CC269" i="6" s="1"/>
  <c r="H299" i="22"/>
  <c r="I299" i="22" s="1"/>
  <c r="G299" i="22"/>
  <c r="CC299" i="6" s="1"/>
  <c r="G354" i="22"/>
  <c r="CC354" i="6" s="1"/>
  <c r="H354" i="22"/>
  <c r="I354" i="22" s="1"/>
  <c r="AA59" i="22"/>
  <c r="Z59" i="22" s="1"/>
  <c r="Y59" i="22" s="1"/>
  <c r="H59" i="22"/>
  <c r="I59" i="22" s="1"/>
  <c r="AA193" i="22"/>
  <c r="Z193" i="22" s="1"/>
  <c r="Y193" i="22" s="1"/>
  <c r="H193" i="22"/>
  <c r="J193" i="22" s="1"/>
  <c r="H25" i="22"/>
  <c r="I25" i="22" s="1"/>
  <c r="G25" i="22"/>
  <c r="CC25" i="6" s="1"/>
  <c r="H342" i="22"/>
  <c r="I342" i="22" s="1"/>
  <c r="AA342" i="22"/>
  <c r="Z342" i="22" s="1"/>
  <c r="Y342" i="22" s="1"/>
  <c r="AA92" i="22"/>
  <c r="Z92" i="22" s="1"/>
  <c r="Y92" i="22" s="1"/>
  <c r="G92" i="22"/>
  <c r="CC92" i="6" s="1"/>
  <c r="AA128" i="22"/>
  <c r="Z128" i="22" s="1"/>
  <c r="Y128" i="22" s="1"/>
  <c r="H128" i="22"/>
  <c r="I128" i="22" s="1"/>
  <c r="G218" i="22"/>
  <c r="CC218" i="6" s="1"/>
  <c r="AA218" i="22"/>
  <c r="Z218" i="22" s="1"/>
  <c r="Y218" i="22" s="1"/>
  <c r="AA308" i="22"/>
  <c r="Z308" i="22" s="1"/>
  <c r="Y308" i="22" s="1"/>
  <c r="H308" i="22"/>
  <c r="I308" i="22" s="1"/>
  <c r="AA96" i="22"/>
  <c r="Z96" i="22" s="1"/>
  <c r="Y96" i="22" s="1"/>
  <c r="G96" i="22"/>
  <c r="CC96" i="6" s="1"/>
  <c r="H148" i="22"/>
  <c r="J148" i="22" s="1"/>
  <c r="AA148" i="22"/>
  <c r="Z148" i="22" s="1"/>
  <c r="Y148" i="22" s="1"/>
  <c r="G297" i="22"/>
  <c r="CC297" i="6" s="1"/>
  <c r="H297" i="22"/>
  <c r="I297" i="22" s="1"/>
  <c r="G336" i="22"/>
  <c r="CC336" i="6" s="1"/>
  <c r="H336" i="22"/>
  <c r="I336" i="22" s="1"/>
  <c r="AA197" i="22"/>
  <c r="Z197" i="22" s="1"/>
  <c r="Y197" i="22" s="1"/>
  <c r="H197" i="22"/>
  <c r="J197" i="22" s="1"/>
  <c r="G153" i="22"/>
  <c r="CC153" i="6" s="1"/>
  <c r="AA153" i="22"/>
  <c r="Z153" i="22" s="1"/>
  <c r="Y153" i="22" s="1"/>
  <c r="H168" i="22"/>
  <c r="I168" i="22" s="1"/>
  <c r="AA168" i="22"/>
  <c r="Z168" i="22" s="1"/>
  <c r="Y168" i="22" s="1"/>
  <c r="G211" i="22"/>
  <c r="CC211" i="6" s="1"/>
  <c r="AA211" i="22"/>
  <c r="Z211" i="22" s="1"/>
  <c r="Y211" i="22" s="1"/>
  <c r="G377" i="22"/>
  <c r="CC377" i="6" s="1"/>
  <c r="H377" i="22"/>
  <c r="J377" i="22" s="1"/>
  <c r="AA252" i="22"/>
  <c r="Z252" i="22" s="1"/>
  <c r="Y252" i="22" s="1"/>
  <c r="H252" i="22"/>
  <c r="J252" i="22" s="1"/>
  <c r="AA222" i="22"/>
  <c r="Z222" i="22" s="1"/>
  <c r="Y222" i="22" s="1"/>
  <c r="H222" i="22"/>
  <c r="I222" i="22" s="1"/>
  <c r="G221" i="22"/>
  <c r="CC221" i="6" s="1"/>
  <c r="AA221" i="22"/>
  <c r="Z221" i="22" s="1"/>
  <c r="Y221" i="22" s="1"/>
  <c r="AA242" i="22"/>
  <c r="Z242" i="22" s="1"/>
  <c r="Y242" i="22" s="1"/>
  <c r="H242" i="22"/>
  <c r="J242" i="22" s="1"/>
  <c r="H260" i="22"/>
  <c r="I260" i="22" s="1"/>
  <c r="G260" i="22"/>
  <c r="CC260" i="6" s="1"/>
  <c r="H183" i="22"/>
  <c r="J183" i="22" s="1"/>
  <c r="AA183" i="22"/>
  <c r="Z183" i="22" s="1"/>
  <c r="Y183" i="22" s="1"/>
  <c r="AA249" i="22"/>
  <c r="Z249" i="22" s="1"/>
  <c r="Y249" i="22" s="1"/>
  <c r="G249" i="22"/>
  <c r="CC249" i="6" s="1"/>
  <c r="G142" i="22"/>
  <c r="CC142" i="6" s="1"/>
  <c r="H142" i="22"/>
  <c r="I142" i="22" s="1"/>
  <c r="AA87" i="22"/>
  <c r="Z87" i="22" s="1"/>
  <c r="Y87" i="22" s="1"/>
  <c r="H87" i="22"/>
  <c r="I87" i="22" s="1"/>
  <c r="AA225" i="22"/>
  <c r="Z225" i="22" s="1"/>
  <c r="Y225" i="22" s="1"/>
  <c r="H225" i="22"/>
  <c r="J225" i="22" s="1"/>
  <c r="H266" i="22"/>
  <c r="I266" i="22" s="1"/>
  <c r="G266" i="22"/>
  <c r="CC266" i="6" s="1"/>
  <c r="H332" i="22"/>
  <c r="J332" i="22" s="1"/>
  <c r="G332" i="22"/>
  <c r="CC332" i="6" s="1"/>
  <c r="AA192" i="22"/>
  <c r="Z192" i="22" s="1"/>
  <c r="Y192" i="22" s="1"/>
  <c r="G192" i="22"/>
  <c r="CC192" i="6" s="1"/>
  <c r="AA43" i="22"/>
  <c r="Z43" i="22" s="1"/>
  <c r="Y43" i="22" s="1"/>
  <c r="G43" i="22"/>
  <c r="CC43" i="6" s="1"/>
  <c r="G108" i="22"/>
  <c r="CC108" i="6" s="1"/>
  <c r="AA108" i="22"/>
  <c r="Z108" i="22" s="1"/>
  <c r="Y108" i="22" s="1"/>
  <c r="G189" i="22"/>
  <c r="CC189" i="6" s="1"/>
  <c r="H189" i="22"/>
  <c r="G27" i="22"/>
  <c r="CC27" i="6" s="1"/>
  <c r="AA27" i="22"/>
  <c r="Z27" i="22" s="1"/>
  <c r="Y27" i="22" s="1"/>
  <c r="G71" i="22"/>
  <c r="CC71" i="6" s="1"/>
  <c r="H71" i="22"/>
  <c r="H343" i="22"/>
  <c r="J343" i="22" s="1"/>
  <c r="AA343" i="22"/>
  <c r="Z343" i="22" s="1"/>
  <c r="Y343" i="22" s="1"/>
  <c r="H346" i="22"/>
  <c r="I346" i="22" s="1"/>
  <c r="AA346" i="22"/>
  <c r="Z346" i="22" s="1"/>
  <c r="Y346" i="22" s="1"/>
  <c r="H355" i="22"/>
  <c r="J355" i="22" s="1"/>
  <c r="G355" i="22"/>
  <c r="CC355" i="6" s="1"/>
  <c r="G208" i="22"/>
  <c r="CC208" i="6" s="1"/>
  <c r="AA208" i="22"/>
  <c r="Z208" i="22" s="1"/>
  <c r="Y208" i="22" s="1"/>
  <c r="AA212" i="22"/>
  <c r="Z212" i="22" s="1"/>
  <c r="Y212" i="22" s="1"/>
  <c r="G212" i="22"/>
  <c r="CC212" i="6" s="1"/>
  <c r="H328" i="22"/>
  <c r="I328" i="22" s="1"/>
  <c r="AA328" i="22"/>
  <c r="Z328" i="22" s="1"/>
  <c r="Y328" i="22" s="1"/>
  <c r="AA40" i="22"/>
  <c r="Z40" i="22" s="1"/>
  <c r="Y40" i="22" s="1"/>
  <c r="H40" i="22"/>
  <c r="J40" i="22" s="1"/>
  <c r="H125" i="22"/>
  <c r="I125" i="22" s="1"/>
  <c r="AA125" i="22"/>
  <c r="Z125" i="22" s="1"/>
  <c r="Y125" i="22" s="1"/>
  <c r="AA77" i="22"/>
  <c r="Z77" i="22" s="1"/>
  <c r="Y77" i="22" s="1"/>
  <c r="H77" i="22"/>
  <c r="J77" i="22" s="1"/>
  <c r="G61" i="22"/>
  <c r="CC61" i="6" s="1"/>
  <c r="H61" i="22"/>
  <c r="J61" i="22" s="1"/>
  <c r="H276" i="22"/>
  <c r="I276" i="22" s="1"/>
  <c r="AA276" i="22"/>
  <c r="Z276" i="22" s="1"/>
  <c r="Y276" i="22" s="1"/>
  <c r="AA304" i="22"/>
  <c r="Z304" i="22" s="1"/>
  <c r="Y304" i="22" s="1"/>
  <c r="G304" i="22"/>
  <c r="CC304" i="6" s="1"/>
  <c r="G181" i="22"/>
  <c r="CC181" i="6" s="1"/>
  <c r="AA181" i="22"/>
  <c r="Z181" i="22" s="1"/>
  <c r="Y181" i="22" s="1"/>
  <c r="H250" i="22"/>
  <c r="J250" i="22" s="1"/>
  <c r="G250" i="22"/>
  <c r="CC250" i="6" s="1"/>
  <c r="AA255" i="22"/>
  <c r="Z255" i="22" s="1"/>
  <c r="Y255" i="22" s="1"/>
  <c r="G255" i="22"/>
  <c r="CC255" i="6" s="1"/>
  <c r="H179" i="22"/>
  <c r="I179" i="22" s="1"/>
  <c r="G179" i="22"/>
  <c r="CC179" i="6" s="1"/>
  <c r="H326" i="22"/>
  <c r="I326" i="22" s="1"/>
  <c r="G326" i="22"/>
  <c r="CC326" i="6" s="1"/>
  <c r="H76" i="22"/>
  <c r="I76" i="22" s="1"/>
  <c r="AA76" i="22"/>
  <c r="Z76" i="22" s="1"/>
  <c r="Y76" i="22" s="1"/>
  <c r="G163" i="22"/>
  <c r="CC163" i="6" s="1"/>
  <c r="AA163" i="22"/>
  <c r="Z163" i="22" s="1"/>
  <c r="Y163" i="22" s="1"/>
  <c r="G236" i="22"/>
  <c r="CC236" i="6" s="1"/>
  <c r="AA236" i="22"/>
  <c r="Z236" i="22" s="1"/>
  <c r="Y236" i="22" s="1"/>
  <c r="H85" i="22"/>
  <c r="I85" i="22" s="1"/>
  <c r="AA85" i="22"/>
  <c r="Z85" i="22" s="1"/>
  <c r="Y85" i="22" s="1"/>
  <c r="H289" i="22"/>
  <c r="J289" i="22" s="1"/>
  <c r="G289" i="22"/>
  <c r="CC289" i="6" s="1"/>
  <c r="AA182" i="22"/>
  <c r="Z182" i="22" s="1"/>
  <c r="Y182" i="22" s="1"/>
  <c r="G182" i="22"/>
  <c r="CC182" i="6" s="1"/>
  <c r="AA101" i="22"/>
  <c r="Z101" i="22" s="1"/>
  <c r="Y101" i="22" s="1"/>
  <c r="H101" i="22"/>
  <c r="AA173" i="22"/>
  <c r="Z173" i="22" s="1"/>
  <c r="Y173" i="22" s="1"/>
  <c r="H173" i="22"/>
  <c r="I173" i="22" s="1"/>
  <c r="H317" i="22"/>
  <c r="I317" i="22" s="1"/>
  <c r="AA317" i="22"/>
  <c r="Z317" i="22" s="1"/>
  <c r="Y317" i="22" s="1"/>
  <c r="H47" i="22"/>
  <c r="J47" i="22" s="1"/>
  <c r="G47" i="22"/>
  <c r="CC47" i="6" s="1"/>
  <c r="AA157" i="22"/>
  <c r="Z157" i="22" s="1"/>
  <c r="Y157" i="22" s="1"/>
  <c r="H157" i="22"/>
  <c r="G118" i="22"/>
  <c r="CC118" i="6" s="1"/>
  <c r="AA118" i="22"/>
  <c r="Z118" i="22" s="1"/>
  <c r="Y118" i="22" s="1"/>
  <c r="AA165" i="22"/>
  <c r="Z165" i="22" s="1"/>
  <c r="Y165" i="22" s="1"/>
  <c r="H165" i="22"/>
  <c r="I165" i="22" s="1"/>
  <c r="G199" i="22"/>
  <c r="CC199" i="6" s="1"/>
  <c r="H199" i="22"/>
  <c r="I199" i="22" s="1"/>
  <c r="G358" i="22"/>
  <c r="CC358" i="6" s="1"/>
  <c r="AA358" i="22"/>
  <c r="Z358" i="22" s="1"/>
  <c r="Y358" i="22" s="1"/>
  <c r="H324" i="22"/>
  <c r="I324" i="22" s="1"/>
  <c r="G324" i="22"/>
  <c r="CC324" i="6" s="1"/>
  <c r="AA261" i="22"/>
  <c r="Z261" i="22" s="1"/>
  <c r="Y261" i="22" s="1"/>
  <c r="H261" i="22"/>
  <c r="J261" i="22" s="1"/>
  <c r="G154" i="22"/>
  <c r="CC154" i="6" s="1"/>
  <c r="H154" i="22"/>
  <c r="I154" i="22" s="1"/>
  <c r="AA202" i="22"/>
  <c r="Z202" i="22" s="1"/>
  <c r="Y202" i="22" s="1"/>
  <c r="G202" i="22"/>
  <c r="CC202" i="6" s="1"/>
  <c r="G48" i="22"/>
  <c r="CC48" i="6" s="1"/>
  <c r="AA48" i="22"/>
  <c r="Z48" i="22" s="1"/>
  <c r="Y48" i="22" s="1"/>
  <c r="G278" i="22"/>
  <c r="CC278" i="6" s="1"/>
  <c r="H278" i="22"/>
  <c r="H81" i="22"/>
  <c r="I81" i="22" s="1"/>
  <c r="AA81" i="22"/>
  <c r="Z81" i="22" s="1"/>
  <c r="Y81" i="22" s="1"/>
  <c r="AA176" i="22"/>
  <c r="Z176" i="22" s="1"/>
  <c r="Y176" i="22" s="1"/>
  <c r="H176" i="22"/>
  <c r="J176" i="22" s="1"/>
  <c r="H120" i="22"/>
  <c r="J120" i="22" s="1"/>
  <c r="AA120" i="22"/>
  <c r="Z120" i="22" s="1"/>
  <c r="Y120" i="22" s="1"/>
  <c r="AA123" i="22"/>
  <c r="Z123" i="22" s="1"/>
  <c r="Y123" i="22" s="1"/>
  <c r="H123" i="22"/>
  <c r="AA327" i="22"/>
  <c r="Z327" i="22" s="1"/>
  <c r="Y327" i="22" s="1"/>
  <c r="H327" i="22"/>
  <c r="H370" i="22"/>
  <c r="I370" i="22" s="1"/>
  <c r="G370" i="22"/>
  <c r="CC370" i="6" s="1"/>
  <c r="G318" i="22"/>
  <c r="CC318" i="6" s="1"/>
  <c r="AA318" i="22"/>
  <c r="Z318" i="22" s="1"/>
  <c r="Y318" i="22" s="1"/>
  <c r="G83" i="22"/>
  <c r="CC83" i="6" s="1"/>
  <c r="AA83" i="22"/>
  <c r="Z83" i="22" s="1"/>
  <c r="Y83" i="22" s="1"/>
  <c r="H294" i="22"/>
  <c r="I294" i="22" s="1"/>
  <c r="G294" i="22"/>
  <c r="CC294" i="6" s="1"/>
  <c r="AA82" i="22"/>
  <c r="Z82" i="22" s="1"/>
  <c r="Y82" i="22" s="1"/>
  <c r="G82" i="22"/>
  <c r="CC82" i="6" s="1"/>
  <c r="H235" i="22"/>
  <c r="I235" i="22" s="1"/>
  <c r="G235" i="22"/>
  <c r="CC235" i="6" s="1"/>
  <c r="AA84" i="22"/>
  <c r="Z84" i="22" s="1"/>
  <c r="Y84" i="22" s="1"/>
  <c r="H84" i="22"/>
  <c r="I84" i="22" s="1"/>
  <c r="H141" i="22"/>
  <c r="J141" i="22" s="1"/>
  <c r="G141" i="22"/>
  <c r="CC141" i="6" s="1"/>
  <c r="AA263" i="22"/>
  <c r="Z263" i="22" s="1"/>
  <c r="Y263" i="22" s="1"/>
  <c r="H263" i="22"/>
  <c r="J263" i="22" s="1"/>
  <c r="G307" i="22"/>
  <c r="CC307" i="6" s="1"/>
  <c r="H307" i="22"/>
  <c r="I307" i="22" s="1"/>
  <c r="G226" i="22"/>
  <c r="CC226" i="6" s="1"/>
  <c r="H226" i="22"/>
  <c r="G191" i="22"/>
  <c r="CC191" i="6" s="1"/>
  <c r="H191" i="22"/>
  <c r="I191" i="22" s="1"/>
  <c r="D227" i="22"/>
  <c r="E227" i="22" s="1"/>
  <c r="F227" i="22" s="1"/>
  <c r="H227" i="22" s="1"/>
  <c r="W227" i="22"/>
  <c r="G171" i="22"/>
  <c r="CC171" i="6" s="1"/>
  <c r="H171" i="22"/>
  <c r="I171" i="22" s="1"/>
  <c r="G251" i="22"/>
  <c r="CC251" i="6" s="1"/>
  <c r="AA251" i="22"/>
  <c r="Z251" i="22" s="1"/>
  <c r="Y251" i="22" s="1"/>
  <c r="G232" i="22"/>
  <c r="CC232" i="6" s="1"/>
  <c r="H232" i="22"/>
  <c r="H106" i="22"/>
  <c r="I106" i="22" s="1"/>
  <c r="G106" i="22"/>
  <c r="CC106" i="6" s="1"/>
  <c r="G230" i="22"/>
  <c r="CC230" i="6" s="1"/>
  <c r="AA230" i="22"/>
  <c r="Z230" i="22" s="1"/>
  <c r="Y230" i="22" s="1"/>
  <c r="H112" i="22"/>
  <c r="I112" i="22" s="1"/>
  <c r="G112" i="22"/>
  <c r="CC112" i="6" s="1"/>
  <c r="G145" i="22"/>
  <c r="CC145" i="6" s="1"/>
  <c r="H145" i="22"/>
  <c r="I145" i="22" s="1"/>
  <c r="H78" i="22"/>
  <c r="J78" i="22" s="1"/>
  <c r="G78" i="22"/>
  <c r="CC78" i="6" s="1"/>
  <c r="G309" i="22"/>
  <c r="CC309" i="6" s="1"/>
  <c r="AA309" i="22"/>
  <c r="Z309" i="22" s="1"/>
  <c r="Y309" i="22" s="1"/>
  <c r="H361" i="22"/>
  <c r="J361" i="22" s="1"/>
  <c r="G361" i="22"/>
  <c r="CC361" i="6" s="1"/>
  <c r="B119" i="22"/>
  <c r="E67" i="19"/>
  <c r="H147" i="22"/>
  <c r="J147" i="22" s="1"/>
  <c r="AA147" i="22"/>
  <c r="Z147" i="22" s="1"/>
  <c r="Y147" i="22" s="1"/>
  <c r="AA133" i="22"/>
  <c r="Z133" i="22" s="1"/>
  <c r="Y133" i="22" s="1"/>
  <c r="H133" i="22"/>
  <c r="J133" i="22" s="1"/>
  <c r="H233" i="22"/>
  <c r="J233" i="22" s="1"/>
  <c r="G233" i="22"/>
  <c r="CC233" i="6" s="1"/>
  <c r="G316" i="22"/>
  <c r="CC316" i="6" s="1"/>
  <c r="AA316" i="22"/>
  <c r="Z316" i="22" s="1"/>
  <c r="Y316" i="22" s="1"/>
  <c r="AA99" i="22"/>
  <c r="Z99" i="22" s="1"/>
  <c r="Y99" i="22" s="1"/>
  <c r="G99" i="22"/>
  <c r="CC99" i="6" s="1"/>
  <c r="H178" i="22"/>
  <c r="I178" i="22" s="1"/>
  <c r="AA178" i="22"/>
  <c r="Z178" i="22" s="1"/>
  <c r="Y178" i="22" s="1"/>
  <c r="H22" i="22"/>
  <c r="J22" i="22" s="1"/>
  <c r="AA22" i="22"/>
  <c r="Z22" i="22" s="1"/>
  <c r="Y22" i="22" s="1"/>
  <c r="G353" i="22"/>
  <c r="CC353" i="6" s="1"/>
  <c r="AA353" i="22"/>
  <c r="Z353" i="22" s="1"/>
  <c r="Y353" i="22" s="1"/>
  <c r="H42" i="22"/>
  <c r="I42" i="22" s="1"/>
  <c r="AA42" i="22"/>
  <c r="Z42" i="22" s="1"/>
  <c r="Y42" i="22" s="1"/>
  <c r="H115" i="22"/>
  <c r="I115" i="22" s="1"/>
  <c r="AA115" i="22"/>
  <c r="Z115" i="22" s="1"/>
  <c r="Y115" i="22" s="1"/>
  <c r="AI381" i="23"/>
  <c r="AH104" i="23"/>
  <c r="AH379" i="23"/>
  <c r="AG379" i="23" s="1"/>
  <c r="AF379" i="23" s="1"/>
  <c r="AI12" i="24"/>
  <c r="AI197" i="24" s="1"/>
  <c r="AH197" i="24" s="1"/>
  <c r="AA97" i="22"/>
  <c r="Z97" i="22" s="1"/>
  <c r="Y97" i="22" s="1"/>
  <c r="AA174" i="22"/>
  <c r="Z174" i="22" s="1"/>
  <c r="Y174" i="22" s="1"/>
  <c r="H366" i="22"/>
  <c r="I366" i="22" s="1"/>
  <c r="AD382" i="22"/>
  <c r="AI383" i="23"/>
  <c r="I38" i="19"/>
  <c r="H190" i="22"/>
  <c r="I190" i="22" s="1"/>
  <c r="J67" i="19"/>
  <c r="H20" i="22"/>
  <c r="I20" i="22" s="1"/>
  <c r="H305" i="22"/>
  <c r="I305" i="22" s="1"/>
  <c r="H137" i="22"/>
  <c r="J137" i="22" s="1"/>
  <c r="G136" i="22"/>
  <c r="CC136" i="6" s="1"/>
  <c r="G331" i="22"/>
  <c r="CC331" i="6" s="1"/>
  <c r="G30" i="22"/>
  <c r="CC30" i="6" s="1"/>
  <c r="AA239" i="22"/>
  <c r="Z239" i="22" s="1"/>
  <c r="Y239" i="22" s="1"/>
  <c r="H341" i="22"/>
  <c r="I341" i="22" s="1"/>
  <c r="AA26" i="22"/>
  <c r="Z26" i="22" s="1"/>
  <c r="Y26" i="22" s="1"/>
  <c r="H330" i="22"/>
  <c r="I330" i="22" s="1"/>
  <c r="H371" i="22"/>
  <c r="J371" i="22" s="1"/>
  <c r="G242" i="22"/>
  <c r="CC242" i="6" s="1"/>
  <c r="AA260" i="22"/>
  <c r="Z260" i="22" s="1"/>
  <c r="Y260" i="22" s="1"/>
  <c r="H216" i="22"/>
  <c r="J216" i="22" s="1"/>
  <c r="AA293" i="22"/>
  <c r="Z293" i="22" s="1"/>
  <c r="Y293" i="22" s="1"/>
  <c r="AA35" i="22"/>
  <c r="Z35" i="22" s="1"/>
  <c r="Y35" i="22" s="1"/>
  <c r="G68" i="22"/>
  <c r="CC68" i="6" s="1"/>
  <c r="AA300" i="22"/>
  <c r="Z300" i="22" s="1"/>
  <c r="Y300" i="22" s="1"/>
  <c r="G314" i="22"/>
  <c r="CC314" i="6" s="1"/>
  <c r="AA356" i="22"/>
  <c r="Z356" i="22" s="1"/>
  <c r="Y356" i="22" s="1"/>
  <c r="AA152" i="22"/>
  <c r="Z152" i="22" s="1"/>
  <c r="Y152" i="22" s="1"/>
  <c r="AA223" i="22"/>
  <c r="Z223" i="22" s="1"/>
  <c r="Y223" i="22" s="1"/>
  <c r="H58" i="22"/>
  <c r="J58" i="22" s="1"/>
  <c r="AA325" i="22"/>
  <c r="Z325" i="22" s="1"/>
  <c r="Y325" i="22" s="1"/>
  <c r="AA25" i="22"/>
  <c r="Z25" i="22" s="1"/>
  <c r="Y25" i="22" s="1"/>
  <c r="AA271" i="22"/>
  <c r="Z271" i="22" s="1"/>
  <c r="Y271" i="22" s="1"/>
  <c r="AA299" i="22"/>
  <c r="Z299" i="22" s="1"/>
  <c r="Y299" i="22" s="1"/>
  <c r="AA21" i="22"/>
  <c r="Z21" i="22" s="1"/>
  <c r="Y21" i="22" s="1"/>
  <c r="G168" i="22"/>
  <c r="CC168" i="6" s="1"/>
  <c r="H280" i="22"/>
  <c r="I280" i="22" s="1"/>
  <c r="H283" i="22"/>
  <c r="I283" i="22" s="1"/>
  <c r="G308" i="22"/>
  <c r="CC308" i="6" s="1"/>
  <c r="H287" i="22"/>
  <c r="J287" i="22" s="1"/>
  <c r="H140" i="22"/>
  <c r="J140" i="22" s="1"/>
  <c r="G263" i="22"/>
  <c r="CC263" i="6" s="1"/>
  <c r="H207" i="22"/>
  <c r="I207" i="22" s="1"/>
  <c r="AA61" i="22"/>
  <c r="Z61" i="22" s="1"/>
  <c r="Y61" i="22" s="1"/>
  <c r="AA141" i="22"/>
  <c r="Z141" i="22" s="1"/>
  <c r="Y141" i="22" s="1"/>
  <c r="H211" i="22"/>
  <c r="J211" i="22" s="1"/>
  <c r="G124" i="22"/>
  <c r="CC124" i="6" s="1"/>
  <c r="AA324" i="22"/>
  <c r="Z324" i="22" s="1"/>
  <c r="Y324" i="22" s="1"/>
  <c r="AA167" i="22"/>
  <c r="Z167" i="22" s="1"/>
  <c r="Y167" i="22" s="1"/>
  <c r="AA370" i="22"/>
  <c r="Z370" i="22" s="1"/>
  <c r="Y370" i="22" s="1"/>
  <c r="AA332" i="22"/>
  <c r="Z332" i="22" s="1"/>
  <c r="Y332" i="22" s="1"/>
  <c r="G205" i="22"/>
  <c r="CC205" i="6" s="1"/>
  <c r="H274" i="22"/>
  <c r="I274" i="22" s="1"/>
  <c r="G40" i="22"/>
  <c r="CC40" i="6" s="1"/>
  <c r="H181" i="22"/>
  <c r="J181" i="22" s="1"/>
  <c r="AA28" i="22"/>
  <c r="Z28" i="22" s="1"/>
  <c r="Y28" i="22" s="1"/>
  <c r="AA294" i="22"/>
  <c r="Z294" i="22" s="1"/>
  <c r="Y294" i="22" s="1"/>
  <c r="H311" i="22"/>
  <c r="J311" i="22" s="1"/>
  <c r="H83" i="22"/>
  <c r="I83" i="22" s="1"/>
  <c r="G123" i="22"/>
  <c r="CC123" i="6" s="1"/>
  <c r="AA354" i="22"/>
  <c r="Z354" i="22" s="1"/>
  <c r="Y354" i="22" s="1"/>
  <c r="G261" i="22"/>
  <c r="CC261" i="6" s="1"/>
  <c r="H256" i="22"/>
  <c r="AA282" i="22"/>
  <c r="Z282" i="22" s="1"/>
  <c r="Y282" i="22" s="1"/>
  <c r="G296" i="22"/>
  <c r="CC296" i="6" s="1"/>
  <c r="H43" i="22"/>
  <c r="I43" i="22" s="1"/>
  <c r="H230" i="22"/>
  <c r="J230" i="22" s="1"/>
  <c r="G306" i="22"/>
  <c r="CC306" i="6" s="1"/>
  <c r="AA361" i="22"/>
  <c r="Z361" i="22" s="1"/>
  <c r="Y361" i="22" s="1"/>
  <c r="H96" i="22"/>
  <c r="J96" i="22" s="1"/>
  <c r="G147" i="22"/>
  <c r="CC147" i="6" s="1"/>
  <c r="G111" i="22"/>
  <c r="CC111" i="6" s="1"/>
  <c r="H192" i="22"/>
  <c r="G87" i="22"/>
  <c r="CC87" i="6" s="1"/>
  <c r="AA286" i="22"/>
  <c r="Z286" i="22" s="1"/>
  <c r="Y286" i="22" s="1"/>
  <c r="AA47" i="22"/>
  <c r="Z47" i="22" s="1"/>
  <c r="Y47" i="22" s="1"/>
  <c r="H295" i="22"/>
  <c r="J295" i="22" s="1"/>
  <c r="H82" i="22"/>
  <c r="I82" i="22" s="1"/>
  <c r="AA362" i="22"/>
  <c r="Z362" i="22" s="1"/>
  <c r="Y362" i="22" s="1"/>
  <c r="G23" i="22"/>
  <c r="CC23" i="6" s="1"/>
  <c r="H108" i="22"/>
  <c r="J108" i="22" s="1"/>
  <c r="G114" i="22"/>
  <c r="CC114" i="6" s="1"/>
  <c r="H316" i="22"/>
  <c r="J316" i="22" s="1"/>
  <c r="AA284" i="22"/>
  <c r="Z284" i="22" s="1"/>
  <c r="Y284" i="22" s="1"/>
  <c r="H249" i="22"/>
  <c r="I249" i="22" s="1"/>
  <c r="G193" i="22"/>
  <c r="CC193" i="6" s="1"/>
  <c r="AA112" i="22"/>
  <c r="Z112" i="22" s="1"/>
  <c r="Y112" i="22" s="1"/>
  <c r="G252" i="22"/>
  <c r="CC252" i="6" s="1"/>
  <c r="AA326" i="22"/>
  <c r="Z326" i="22" s="1"/>
  <c r="Y326" i="22" s="1"/>
  <c r="G328" i="22"/>
  <c r="CC328" i="6" s="1"/>
  <c r="AA106" i="22"/>
  <c r="Z106" i="22" s="1"/>
  <c r="Y106" i="22" s="1"/>
  <c r="H244" i="22"/>
  <c r="J244" i="22" s="1"/>
  <c r="G77" i="22"/>
  <c r="CC77" i="6" s="1"/>
  <c r="AA226" i="22"/>
  <c r="Z226" i="22" s="1"/>
  <c r="Y226" i="22" s="1"/>
  <c r="H48" i="22"/>
  <c r="H224" i="22"/>
  <c r="I224" i="22" s="1"/>
  <c r="H67" i="19"/>
  <c r="D67" i="19"/>
  <c r="H38" i="19"/>
  <c r="H113" i="22"/>
  <c r="I113" i="22" s="1"/>
  <c r="H153" i="22"/>
  <c r="I153" i="22" s="1"/>
  <c r="H163" i="22"/>
  <c r="I163" i="22" s="1"/>
  <c r="G186" i="22"/>
  <c r="CC186" i="6" s="1"/>
  <c r="G277" i="22"/>
  <c r="CC277" i="6" s="1"/>
  <c r="AA220" i="22"/>
  <c r="Z220" i="22" s="1"/>
  <c r="Y220" i="22" s="1"/>
  <c r="AA102" i="22"/>
  <c r="Z102" i="22" s="1"/>
  <c r="Y102" i="22" s="1"/>
  <c r="H337" i="22"/>
  <c r="I337" i="22" s="1"/>
  <c r="H359" i="22"/>
  <c r="J359" i="22" s="1"/>
  <c r="AA138" i="22"/>
  <c r="Z138" i="22" s="1"/>
  <c r="Y138" i="22" s="1"/>
  <c r="G367" i="22"/>
  <c r="CC367" i="6" s="1"/>
  <c r="H298" i="22"/>
  <c r="I298" i="22" s="1"/>
  <c r="G248" i="22"/>
  <c r="CC248" i="6" s="1"/>
  <c r="H378" i="22"/>
  <c r="I378" i="22" s="1"/>
  <c r="AA159" i="22"/>
  <c r="Z159" i="22" s="1"/>
  <c r="Y159" i="22" s="1"/>
  <c r="H357" i="22"/>
  <c r="I357" i="22" s="1"/>
  <c r="AA95" i="22"/>
  <c r="Z95" i="22" s="1"/>
  <c r="Y95" i="22" s="1"/>
  <c r="G265" i="22"/>
  <c r="CC265" i="6" s="1"/>
  <c r="H132" i="22"/>
  <c r="J132" i="22" s="1"/>
  <c r="G161" i="22"/>
  <c r="CC161" i="6" s="1"/>
  <c r="H340" i="22"/>
  <c r="J340" i="22" s="1"/>
  <c r="H162" i="22"/>
  <c r="H195" i="22"/>
  <c r="J195" i="22" s="1"/>
  <c r="AA245" i="22"/>
  <c r="Z245" i="22" s="1"/>
  <c r="Y245" i="22" s="1"/>
  <c r="G185" i="22"/>
  <c r="CC185" i="6" s="1"/>
  <c r="G259" i="22"/>
  <c r="CC259" i="6" s="1"/>
  <c r="H198" i="22"/>
  <c r="I198" i="22" s="1"/>
  <c r="H281" i="22"/>
  <c r="I281" i="22" s="1"/>
  <c r="G89" i="22"/>
  <c r="CC89" i="6" s="1"/>
  <c r="AA18" i="22"/>
  <c r="Z18" i="22" s="1"/>
  <c r="Y18" i="22" s="1"/>
  <c r="G285" i="22"/>
  <c r="CC285" i="6" s="1"/>
  <c r="AA351" i="22"/>
  <c r="Z351" i="22" s="1"/>
  <c r="Y351" i="22" s="1"/>
  <c r="H312" i="22"/>
  <c r="I312" i="22" s="1"/>
  <c r="AA369" i="22"/>
  <c r="Z369" i="22" s="1"/>
  <c r="Y369" i="22" s="1"/>
  <c r="AA121" i="22"/>
  <c r="Z121" i="22" s="1"/>
  <c r="Y121" i="22" s="1"/>
  <c r="AA37" i="22"/>
  <c r="Z37" i="22" s="1"/>
  <c r="Y37" i="22" s="1"/>
  <c r="G279" i="22"/>
  <c r="CC279" i="6" s="1"/>
  <c r="G146" i="22"/>
  <c r="CC146" i="6" s="1"/>
  <c r="G270" i="22"/>
  <c r="CC270" i="6" s="1"/>
  <c r="G247" i="22"/>
  <c r="CC247" i="6" s="1"/>
  <c r="AA49" i="22"/>
  <c r="Z49" i="22" s="1"/>
  <c r="Y49" i="22" s="1"/>
  <c r="G246" i="22"/>
  <c r="CC246" i="6" s="1"/>
  <c r="AA104" i="22"/>
  <c r="Z104" i="22" s="1"/>
  <c r="Y104" i="22" s="1"/>
  <c r="W333" i="22"/>
  <c r="H257" i="22"/>
  <c r="I257" i="22" s="1"/>
  <c r="G213" i="22"/>
  <c r="CC213" i="6" s="1"/>
  <c r="AA130" i="22"/>
  <c r="Z130" i="22" s="1"/>
  <c r="Y130" i="22" s="1"/>
  <c r="G19" i="22"/>
  <c r="CC19" i="6" s="1"/>
  <c r="G86" i="22"/>
  <c r="CC86" i="6" s="1"/>
  <c r="AA44" i="22"/>
  <c r="Z44" i="22" s="1"/>
  <c r="Y44" i="22" s="1"/>
  <c r="G64" i="22"/>
  <c r="CC64" i="6" s="1"/>
  <c r="H93" i="22"/>
  <c r="J93" i="22" s="1"/>
  <c r="G322" i="22"/>
  <c r="CC322" i="6" s="1"/>
  <c r="H177" i="22"/>
  <c r="J177" i="22" s="1"/>
  <c r="H301" i="22"/>
  <c r="I301" i="22" s="1"/>
  <c r="H33" i="22"/>
  <c r="J33" i="22" s="1"/>
  <c r="G344" i="22"/>
  <c r="CC344" i="6" s="1"/>
  <c r="AA321" i="22"/>
  <c r="Z321" i="22" s="1"/>
  <c r="Y321" i="22" s="1"/>
  <c r="G337" i="22"/>
  <c r="CC337" i="6" s="1"/>
  <c r="AA228" i="22"/>
  <c r="Z228" i="22" s="1"/>
  <c r="Y228" i="22" s="1"/>
  <c r="W29" i="22"/>
  <c r="AA234" i="22"/>
  <c r="Z234" i="22" s="1"/>
  <c r="Y234" i="22" s="1"/>
  <c r="H110" i="22"/>
  <c r="J110" i="22" s="1"/>
  <c r="G24" i="22"/>
  <c r="CC24" i="6" s="1"/>
  <c r="AA91" i="22"/>
  <c r="Z91" i="22" s="1"/>
  <c r="Y91" i="22" s="1"/>
  <c r="AA73" i="22"/>
  <c r="Z73" i="22" s="1"/>
  <c r="Y73" i="22" s="1"/>
  <c r="AA139" i="22"/>
  <c r="Z139" i="22" s="1"/>
  <c r="Y139" i="22" s="1"/>
  <c r="AA63" i="22"/>
  <c r="Z63" i="22" s="1"/>
  <c r="Y63" i="22" s="1"/>
  <c r="H116" i="22"/>
  <c r="I116" i="22" s="1"/>
  <c r="AA150" i="22"/>
  <c r="Z150" i="22" s="1"/>
  <c r="Y150" i="22" s="1"/>
  <c r="AA376" i="22"/>
  <c r="Z376" i="22" s="1"/>
  <c r="Y376" i="22" s="1"/>
  <c r="AA16" i="22"/>
  <c r="Z16" i="22" s="1"/>
  <c r="Y16" i="22" s="1"/>
  <c r="AA122" i="22"/>
  <c r="Z122" i="22" s="1"/>
  <c r="Y122" i="22" s="1"/>
  <c r="AA175" i="22"/>
  <c r="Z175" i="22" s="1"/>
  <c r="Y175" i="22" s="1"/>
  <c r="AA127" i="22"/>
  <c r="Z127" i="22" s="1"/>
  <c r="Y127" i="22" s="1"/>
  <c r="G350" i="22"/>
  <c r="CC350" i="6" s="1"/>
  <c r="G169" i="22"/>
  <c r="CC169" i="6" s="1"/>
  <c r="AI331" i="24"/>
  <c r="AH331" i="24" s="1"/>
  <c r="AI104" i="24"/>
  <c r="AI276" i="24"/>
  <c r="AH276" i="24" s="1"/>
  <c r="AA129" i="22"/>
  <c r="Z129" i="22" s="1"/>
  <c r="Y129" i="22" s="1"/>
  <c r="G69" i="22"/>
  <c r="CC69" i="6" s="1"/>
  <c r="G329" i="22"/>
  <c r="CC329" i="6" s="1"/>
  <c r="AA54" i="22"/>
  <c r="Z54" i="22" s="1"/>
  <c r="Y54" i="22" s="1"/>
  <c r="AA188" i="22"/>
  <c r="Z188" i="22" s="1"/>
  <c r="Y188" i="22" s="1"/>
  <c r="G62" i="22"/>
  <c r="CC62" i="6" s="1"/>
  <c r="G334" i="22"/>
  <c r="CC334" i="6" s="1"/>
  <c r="AA253" i="22"/>
  <c r="Z253" i="22" s="1"/>
  <c r="Y253" i="22" s="1"/>
  <c r="G151" i="22"/>
  <c r="CC151" i="6" s="1"/>
  <c r="AA320" i="22"/>
  <c r="Z320" i="22" s="1"/>
  <c r="Y320" i="22" s="1"/>
  <c r="H372" i="22"/>
  <c r="I372" i="22" s="1"/>
  <c r="H103" i="22"/>
  <c r="J103" i="22" s="1"/>
  <c r="G291" i="22"/>
  <c r="CC291" i="6" s="1"/>
  <c r="H39" i="22"/>
  <c r="I39" i="22" s="1"/>
  <c r="H70" i="22"/>
  <c r="I70" i="22" s="1"/>
  <c r="AA45" i="22"/>
  <c r="Z45" i="22" s="1"/>
  <c r="Y45" i="22" s="1"/>
  <c r="AA204" i="22"/>
  <c r="Z204" i="22" s="1"/>
  <c r="Y204" i="22" s="1"/>
  <c r="W241" i="22"/>
  <c r="G98" i="22"/>
  <c r="CC98" i="6" s="1"/>
  <c r="H55" i="22"/>
  <c r="J55" i="22" s="1"/>
  <c r="AA31" i="22"/>
  <c r="Z31" i="22" s="1"/>
  <c r="Y31" i="22" s="1"/>
  <c r="H348" i="22"/>
  <c r="J348" i="22" s="1"/>
  <c r="AA209" i="22"/>
  <c r="Z209" i="22" s="1"/>
  <c r="Y209" i="22" s="1"/>
  <c r="AA33" i="22"/>
  <c r="Z33" i="22" s="1"/>
  <c r="Y33" i="22" s="1"/>
  <c r="AA345" i="22"/>
  <c r="Z345" i="22" s="1"/>
  <c r="Y345" i="22" s="1"/>
  <c r="AA344" i="22"/>
  <c r="Z344" i="22" s="1"/>
  <c r="Y344" i="22" s="1"/>
  <c r="G321" i="22"/>
  <c r="CC321" i="6" s="1"/>
  <c r="G303" i="22"/>
  <c r="CC303" i="6" s="1"/>
  <c r="AA240" i="22"/>
  <c r="Z240" i="22" s="1"/>
  <c r="Y240" i="22" s="1"/>
  <c r="H194" i="22"/>
  <c r="J194" i="22" s="1"/>
  <c r="G187" i="22"/>
  <c r="CC187" i="6" s="1"/>
  <c r="AA52" i="22"/>
  <c r="Z52" i="22" s="1"/>
  <c r="Y52" i="22" s="1"/>
  <c r="G117" i="22"/>
  <c r="CC117" i="6" s="1"/>
  <c r="H66" i="22"/>
  <c r="I66" i="22" s="1"/>
  <c r="G75" i="22"/>
  <c r="CC75" i="6" s="1"/>
  <c r="H339" i="22"/>
  <c r="J339" i="22" s="1"/>
  <c r="AA373" i="22"/>
  <c r="Z373" i="22" s="1"/>
  <c r="Y373" i="22" s="1"/>
  <c r="G234" i="22"/>
  <c r="CC234" i="6" s="1"/>
  <c r="G110" i="22"/>
  <c r="CC110" i="6" s="1"/>
  <c r="G267" i="22"/>
  <c r="CC267" i="6" s="1"/>
  <c r="H72" i="22"/>
  <c r="W149" i="22"/>
  <c r="H24" i="22"/>
  <c r="I24" i="22" s="1"/>
  <c r="AA38" i="22"/>
  <c r="Z38" i="22" s="1"/>
  <c r="Y38" i="22" s="1"/>
  <c r="H91" i="22"/>
  <c r="G73" i="22"/>
  <c r="CC73" i="6" s="1"/>
  <c r="G139" i="22"/>
  <c r="CC139" i="6" s="1"/>
  <c r="H134" i="22"/>
  <c r="J134" i="22" s="1"/>
  <c r="H347" i="22"/>
  <c r="J347" i="22" s="1"/>
  <c r="H63" i="22"/>
  <c r="I63" i="22" s="1"/>
  <c r="AA116" i="22"/>
  <c r="Z116" i="22" s="1"/>
  <c r="Y116" i="22" s="1"/>
  <c r="G150" i="22"/>
  <c r="CC150" i="6" s="1"/>
  <c r="G357" i="22"/>
  <c r="CC357" i="6" s="1"/>
  <c r="AA352" i="22"/>
  <c r="Z352" i="22" s="1"/>
  <c r="Y352" i="22" s="1"/>
  <c r="G360" i="22"/>
  <c r="CC360" i="6" s="1"/>
  <c r="G95" i="22"/>
  <c r="CC95" i="6" s="1"/>
  <c r="H265" i="22"/>
  <c r="I265" i="22" s="1"/>
  <c r="G201" i="22"/>
  <c r="CC201" i="6" s="1"/>
  <c r="H376" i="22"/>
  <c r="G16" i="22"/>
  <c r="CC16" i="6" s="1"/>
  <c r="H206" i="22"/>
  <c r="J206" i="22" s="1"/>
  <c r="G132" i="22"/>
  <c r="CC132" i="6" s="1"/>
  <c r="AA161" i="22"/>
  <c r="Z161" i="22" s="1"/>
  <c r="Y161" i="22" s="1"/>
  <c r="G53" i="22"/>
  <c r="CC53" i="6" s="1"/>
  <c r="H122" i="22"/>
  <c r="H175" i="22"/>
  <c r="J175" i="22" s="1"/>
  <c r="AA310" i="22"/>
  <c r="Z310" i="22" s="1"/>
  <c r="Y310" i="22" s="1"/>
  <c r="AA340" i="22"/>
  <c r="Z340" i="22" s="1"/>
  <c r="Y340" i="22" s="1"/>
  <c r="AA162" i="22"/>
  <c r="Z162" i="22" s="1"/>
  <c r="Y162" i="22" s="1"/>
  <c r="AA338" i="22"/>
  <c r="Z338" i="22" s="1"/>
  <c r="Y338" i="22" s="1"/>
  <c r="H170" i="22"/>
  <c r="J170" i="22" s="1"/>
  <c r="G195" i="22"/>
  <c r="CC195" i="6" s="1"/>
  <c r="AA350" i="22"/>
  <c r="Z350" i="22" s="1"/>
  <c r="Y350" i="22" s="1"/>
  <c r="AA169" i="22"/>
  <c r="Z169" i="22" s="1"/>
  <c r="Y169" i="22" s="1"/>
  <c r="W302" i="22"/>
  <c r="AI168" i="24"/>
  <c r="AH168" i="24" s="1"/>
  <c r="AI132" i="24"/>
  <c r="AH132" i="24" s="1"/>
  <c r="AI206" i="24"/>
  <c r="AH206" i="24" s="1"/>
  <c r="AI288" i="24"/>
  <c r="AH288" i="24" s="1"/>
  <c r="AI56" i="24"/>
  <c r="AH56" i="24" s="1"/>
  <c r="H129" i="22"/>
  <c r="I129" i="22" s="1"/>
  <c r="H69" i="22"/>
  <c r="G281" i="22"/>
  <c r="CC281" i="6" s="1"/>
  <c r="G67" i="22"/>
  <c r="CC67" i="6" s="1"/>
  <c r="AA56" i="22"/>
  <c r="Z56" i="22" s="1"/>
  <c r="Y56" i="22" s="1"/>
  <c r="AA89" i="22"/>
  <c r="Z89" i="22" s="1"/>
  <c r="Y89" i="22" s="1"/>
  <c r="AA238" i="22"/>
  <c r="Z238" i="22" s="1"/>
  <c r="Y238" i="22" s="1"/>
  <c r="AA200" i="22"/>
  <c r="Z200" i="22" s="1"/>
  <c r="Y200" i="22" s="1"/>
  <c r="AA375" i="22"/>
  <c r="Z375" i="22" s="1"/>
  <c r="Y375" i="22" s="1"/>
  <c r="H188" i="22"/>
  <c r="J188" i="22" s="1"/>
  <c r="H62" i="22"/>
  <c r="I62" i="22" s="1"/>
  <c r="AA334" i="22"/>
  <c r="Z334" i="22" s="1"/>
  <c r="Y334" i="22" s="1"/>
  <c r="G253" i="22"/>
  <c r="CC253" i="6" s="1"/>
  <c r="H151" i="22"/>
  <c r="J151" i="22" s="1"/>
  <c r="H320" i="22"/>
  <c r="I320" i="22" s="1"/>
  <c r="H37" i="22"/>
  <c r="J37" i="22" s="1"/>
  <c r="AA215" i="22"/>
  <c r="Z215" i="22" s="1"/>
  <c r="Y215" i="22" s="1"/>
  <c r="G126" i="22"/>
  <c r="CC126" i="6" s="1"/>
  <c r="AA103" i="22"/>
  <c r="Z103" i="22" s="1"/>
  <c r="Y103" i="22" s="1"/>
  <c r="AA291" i="22"/>
  <c r="Z291" i="22" s="1"/>
  <c r="Y291" i="22" s="1"/>
  <c r="G39" i="22"/>
  <c r="CC39" i="6" s="1"/>
  <c r="AA70" i="22"/>
  <c r="Z70" i="22" s="1"/>
  <c r="Y70" i="22" s="1"/>
  <c r="H275" i="22"/>
  <c r="J275" i="22" s="1"/>
  <c r="H174" i="22"/>
  <c r="I174" i="22" s="1"/>
  <c r="G45" i="22"/>
  <c r="CC45" i="6" s="1"/>
  <c r="G204" i="22"/>
  <c r="CC204" i="6" s="1"/>
  <c r="AA90" i="22"/>
  <c r="Z90" i="22" s="1"/>
  <c r="Y90" i="22" s="1"/>
  <c r="AA131" i="22"/>
  <c r="Z131" i="22" s="1"/>
  <c r="Y131" i="22" s="1"/>
  <c r="H243" i="22"/>
  <c r="J243" i="22" s="1"/>
  <c r="H34" i="22"/>
  <c r="I34" i="22" s="1"/>
  <c r="AA156" i="22"/>
  <c r="Z156" i="22" s="1"/>
  <c r="Y156" i="22" s="1"/>
  <c r="H217" i="22"/>
  <c r="J217" i="22" s="1"/>
  <c r="AA231" i="22"/>
  <c r="Z231" i="22" s="1"/>
  <c r="Y231" i="22" s="1"/>
  <c r="H213" i="22"/>
  <c r="J213" i="22" s="1"/>
  <c r="AA366" i="22"/>
  <c r="Z366" i="22" s="1"/>
  <c r="Y366" i="22" s="1"/>
  <c r="G164" i="22"/>
  <c r="CC164" i="6" s="1"/>
  <c r="H130" i="22"/>
  <c r="J130" i="22" s="1"/>
  <c r="AA292" i="22"/>
  <c r="Z292" i="22" s="1"/>
  <c r="Y292" i="22" s="1"/>
  <c r="AA313" i="22"/>
  <c r="Z313" i="22" s="1"/>
  <c r="Y313" i="22" s="1"/>
  <c r="D363" i="22"/>
  <c r="E363" i="22" s="1"/>
  <c r="F363" i="22" s="1"/>
  <c r="AA290" i="22"/>
  <c r="Z290" i="22" s="1"/>
  <c r="Y290" i="22" s="1"/>
  <c r="H64" i="22"/>
  <c r="J64" i="22" s="1"/>
  <c r="G93" i="22"/>
  <c r="CC93" i="6" s="1"/>
  <c r="H322" i="22"/>
  <c r="J322" i="22" s="1"/>
  <c r="AA177" i="22"/>
  <c r="Z177" i="22" s="1"/>
  <c r="Y177" i="22" s="1"/>
  <c r="AA219" i="22"/>
  <c r="Z219" i="22" s="1"/>
  <c r="Y219" i="22" s="1"/>
  <c r="G209" i="22"/>
  <c r="CC209" i="6" s="1"/>
  <c r="H159" i="22"/>
  <c r="I159" i="22" s="1"/>
  <c r="H365" i="22"/>
  <c r="J365" i="22" s="1"/>
  <c r="AD381" i="22"/>
  <c r="I229" i="20"/>
  <c r="H229" i="22" s="1"/>
  <c r="J229" i="20"/>
  <c r="H277" i="22"/>
  <c r="I277" i="22" s="1"/>
  <c r="G345" i="22"/>
  <c r="CC345" i="6" s="1"/>
  <c r="G220" i="22"/>
  <c r="CC220" i="6" s="1"/>
  <c r="H303" i="22"/>
  <c r="H240" i="22"/>
  <c r="I240" i="22" s="1"/>
  <c r="G65" i="22"/>
  <c r="CC65" i="6" s="1"/>
  <c r="AA194" i="22"/>
  <c r="Z194" i="22" s="1"/>
  <c r="Y194" i="22" s="1"/>
  <c r="AA187" i="22"/>
  <c r="Z187" i="22" s="1"/>
  <c r="Y187" i="22" s="1"/>
  <c r="H117" i="22"/>
  <c r="I117" i="22" s="1"/>
  <c r="G228" i="22"/>
  <c r="CC228" i="6" s="1"/>
  <c r="AA66" i="22"/>
  <c r="Z66" i="22" s="1"/>
  <c r="Y66" i="22" s="1"/>
  <c r="G80" i="22"/>
  <c r="CC80" i="6" s="1"/>
  <c r="H75" i="22"/>
  <c r="J75" i="22" s="1"/>
  <c r="G365" i="22"/>
  <c r="CC365" i="6" s="1"/>
  <c r="AA339" i="22"/>
  <c r="Z339" i="22" s="1"/>
  <c r="Y339" i="22" s="1"/>
  <c r="H373" i="22"/>
  <c r="I373" i="22" s="1"/>
  <c r="G138" i="22"/>
  <c r="CC138" i="6" s="1"/>
  <c r="H267" i="22"/>
  <c r="I267" i="22" s="1"/>
  <c r="H367" i="22"/>
  <c r="I367" i="22" s="1"/>
  <c r="G72" i="22"/>
  <c r="CC72" i="6" s="1"/>
  <c r="G38" i="22"/>
  <c r="CC38" i="6" s="1"/>
  <c r="G298" i="22"/>
  <c r="CC298" i="6" s="1"/>
  <c r="AA248" i="22"/>
  <c r="Z248" i="22" s="1"/>
  <c r="Y248" i="22" s="1"/>
  <c r="AA134" i="22"/>
  <c r="Z134" i="22" s="1"/>
  <c r="Y134" i="22" s="1"/>
  <c r="AA347" i="22"/>
  <c r="Z347" i="22" s="1"/>
  <c r="Y347" i="22" s="1"/>
  <c r="AA172" i="22"/>
  <c r="Z172" i="22" s="1"/>
  <c r="Y172" i="22" s="1"/>
  <c r="G378" i="22"/>
  <c r="CC378" i="6" s="1"/>
  <c r="H352" i="22"/>
  <c r="J352" i="22" s="1"/>
  <c r="AA360" i="22"/>
  <c r="Z360" i="22" s="1"/>
  <c r="Y360" i="22" s="1"/>
  <c r="H201" i="22"/>
  <c r="AA143" i="22"/>
  <c r="Z143" i="22" s="1"/>
  <c r="Y143" i="22" s="1"/>
  <c r="G206" i="22"/>
  <c r="CC206" i="6" s="1"/>
  <c r="AA53" i="22"/>
  <c r="Z53" i="22" s="1"/>
  <c r="Y53" i="22" s="1"/>
  <c r="G273" i="22"/>
  <c r="CC273" i="6" s="1"/>
  <c r="G310" i="22"/>
  <c r="CC310" i="6" s="1"/>
  <c r="H338" i="22"/>
  <c r="J338" i="22" s="1"/>
  <c r="G170" i="22"/>
  <c r="CC170" i="6" s="1"/>
  <c r="G127" i="22"/>
  <c r="CC127" i="6" s="1"/>
  <c r="H245" i="22"/>
  <c r="J245" i="22" s="1"/>
  <c r="AA109" i="22"/>
  <c r="Z109" i="22" s="1"/>
  <c r="Y109" i="22" s="1"/>
  <c r="G144" i="22"/>
  <c r="CC144" i="6" s="1"/>
  <c r="H185" i="22"/>
  <c r="J185" i="22" s="1"/>
  <c r="AA259" i="22"/>
  <c r="Z259" i="22" s="1"/>
  <c r="Y259" i="22" s="1"/>
  <c r="AA329" i="22"/>
  <c r="Z329" i="22" s="1"/>
  <c r="Y329" i="22" s="1"/>
  <c r="AA67" i="22"/>
  <c r="Z67" i="22" s="1"/>
  <c r="Y67" i="22" s="1"/>
  <c r="G56" i="22"/>
  <c r="CC56" i="6" s="1"/>
  <c r="G54" i="22"/>
  <c r="CC54" i="6" s="1"/>
  <c r="H18" i="22"/>
  <c r="I18" i="22" s="1"/>
  <c r="H238" i="22"/>
  <c r="I238" i="22" s="1"/>
  <c r="G200" i="22"/>
  <c r="CC200" i="6" s="1"/>
  <c r="H375" i="22"/>
  <c r="J375" i="22" s="1"/>
  <c r="H97" i="22"/>
  <c r="I97" i="22" s="1"/>
  <c r="AA312" i="22"/>
  <c r="Z312" i="22" s="1"/>
  <c r="Y312" i="22" s="1"/>
  <c r="H369" i="22"/>
  <c r="I369" i="22" s="1"/>
  <c r="AA372" i="22"/>
  <c r="Z372" i="22" s="1"/>
  <c r="Y372" i="22" s="1"/>
  <c r="H215" i="22"/>
  <c r="J215" i="22" s="1"/>
  <c r="AA126" i="22"/>
  <c r="Z126" i="22" s="1"/>
  <c r="Y126" i="22" s="1"/>
  <c r="AA146" i="22"/>
  <c r="Z146" i="22" s="1"/>
  <c r="Y146" i="22" s="1"/>
  <c r="AA270" i="22"/>
  <c r="Z270" i="22" s="1"/>
  <c r="Y270" i="22" s="1"/>
  <c r="AA247" i="22"/>
  <c r="Z247" i="22" s="1"/>
  <c r="Y247" i="22" s="1"/>
  <c r="G49" i="22"/>
  <c r="CC49" i="6" s="1"/>
  <c r="AA246" i="22"/>
  <c r="Z246" i="22" s="1"/>
  <c r="Y246" i="22" s="1"/>
  <c r="H104" i="22"/>
  <c r="I104" i="22" s="1"/>
  <c r="AA275" i="22"/>
  <c r="Z275" i="22" s="1"/>
  <c r="Y275" i="22" s="1"/>
  <c r="G257" i="22"/>
  <c r="CC257" i="6" s="1"/>
  <c r="G90" i="22"/>
  <c r="CC90" i="6" s="1"/>
  <c r="G131" i="22"/>
  <c r="CC131" i="6" s="1"/>
  <c r="G243" i="22"/>
  <c r="CC243" i="6" s="1"/>
  <c r="G156" i="22"/>
  <c r="CC156" i="6" s="1"/>
  <c r="AA217" i="22"/>
  <c r="Z217" i="22" s="1"/>
  <c r="Y217" i="22" s="1"/>
  <c r="H231" i="22"/>
  <c r="J231" i="22" s="1"/>
  <c r="H98" i="22"/>
  <c r="I98" i="22" s="1"/>
  <c r="AA55" i="22"/>
  <c r="Z55" i="22" s="1"/>
  <c r="Y55" i="22" s="1"/>
  <c r="G31" i="22"/>
  <c r="CC31" i="6" s="1"/>
  <c r="AA348" i="22"/>
  <c r="Z348" i="22" s="1"/>
  <c r="Y348" i="22" s="1"/>
  <c r="H32" i="22"/>
  <c r="J32" i="22" s="1"/>
  <c r="G292" i="22"/>
  <c r="CC292" i="6" s="1"/>
  <c r="G313" i="22"/>
  <c r="CC313" i="6" s="1"/>
  <c r="H290" i="22"/>
  <c r="I290" i="22" s="1"/>
  <c r="H219" i="22"/>
  <c r="K67" i="19"/>
  <c r="L67" i="19"/>
  <c r="G67" i="19"/>
  <c r="F67" i="19"/>
  <c r="D41" i="19"/>
  <c r="V379" i="22"/>
  <c r="AS15" i="7"/>
  <c r="Q10" i="23"/>
  <c r="Q349" i="23" s="1"/>
  <c r="P349" i="23" s="1"/>
  <c r="V349" i="23" s="1"/>
  <c r="B349" i="23" s="1"/>
  <c r="D349" i="23" s="1"/>
  <c r="E349" i="23" s="1"/>
  <c r="F349" i="23" s="1"/>
  <c r="I67" i="19"/>
  <c r="AJ5" i="20"/>
  <c r="AK5" i="20"/>
  <c r="AI140" i="24"/>
  <c r="AH140" i="24" s="1"/>
  <c r="AI289" i="24"/>
  <c r="AH289" i="24" s="1"/>
  <c r="AI228" i="24"/>
  <c r="AH228" i="24" s="1"/>
  <c r="AI256" i="24"/>
  <c r="AH256" i="24" s="1"/>
  <c r="AI301" i="24"/>
  <c r="AH301" i="24" s="1"/>
  <c r="AI346" i="24"/>
  <c r="AH346" i="24" s="1"/>
  <c r="AI375" i="24"/>
  <c r="AH375" i="24" s="1"/>
  <c r="AI67" i="24"/>
  <c r="AH67" i="24" s="1"/>
  <c r="AI87" i="24"/>
  <c r="AH87" i="24" s="1"/>
  <c r="AI320" i="24"/>
  <c r="AH320" i="24" s="1"/>
  <c r="AI171" i="24"/>
  <c r="AH171" i="24" s="1"/>
  <c r="BA16" i="7"/>
  <c r="AI361" i="24"/>
  <c r="AH361" i="24" s="1"/>
  <c r="AI173" i="24"/>
  <c r="AH173" i="24" s="1"/>
  <c r="AI128" i="24"/>
  <c r="AH128" i="24" s="1"/>
  <c r="AI175" i="24"/>
  <c r="AH175" i="24" s="1"/>
  <c r="AI157" i="24"/>
  <c r="AH157" i="24" s="1"/>
  <c r="AI338" i="24"/>
  <c r="AH338" i="24" s="1"/>
  <c r="AI293" i="24"/>
  <c r="AH293" i="24" s="1"/>
  <c r="AI105" i="24"/>
  <c r="AH105" i="24" s="1"/>
  <c r="AI275" i="24"/>
  <c r="AH275" i="24" s="1"/>
  <c r="AI68" i="24"/>
  <c r="AH68" i="24" s="1"/>
  <c r="AI222" i="24"/>
  <c r="AH222" i="24" s="1"/>
  <c r="AI17" i="24"/>
  <c r="AH17" i="24" s="1"/>
  <c r="AI185" i="24"/>
  <c r="AH185" i="24" s="1"/>
  <c r="AI355" i="24"/>
  <c r="AH355" i="24" s="1"/>
  <c r="AI148" i="24"/>
  <c r="AH148" i="24" s="1"/>
  <c r="AI302" i="24"/>
  <c r="AH302" i="24" s="1"/>
  <c r="AI95" i="24"/>
  <c r="AH95" i="24" s="1"/>
  <c r="AI265" i="24"/>
  <c r="AH265" i="24" s="1"/>
  <c r="AI66" i="24"/>
  <c r="AH66" i="24" s="1"/>
  <c r="AI230" i="24"/>
  <c r="AH230" i="24" s="1"/>
  <c r="AI336" i="24"/>
  <c r="AH336" i="24" s="1"/>
  <c r="AI307" i="24"/>
  <c r="AH307" i="24" s="1"/>
  <c r="AI195" i="24"/>
  <c r="AH195" i="24" s="1"/>
  <c r="AI142" i="24"/>
  <c r="AH142" i="24" s="1"/>
  <c r="D382" i="18"/>
  <c r="D383" i="18"/>
  <c r="D9" i="18"/>
  <c r="D11" i="18" s="1"/>
  <c r="AJ8" i="18"/>
  <c r="D381" i="18"/>
  <c r="E15" i="18"/>
  <c r="AJ9" i="18" s="1"/>
  <c r="AJ11" i="18" s="1"/>
  <c r="B381" i="20"/>
  <c r="H9" i="20"/>
  <c r="B16" i="19" s="1"/>
  <c r="D15" i="20"/>
  <c r="AJ7" i="20" s="1"/>
  <c r="B383" i="20"/>
  <c r="AJ6" i="20"/>
  <c r="W15" i="20"/>
  <c r="B382" i="20"/>
  <c r="AK6" i="20"/>
  <c r="B66" i="19"/>
  <c r="V380" i="20"/>
  <c r="U260" i="24"/>
  <c r="T260" i="24" s="1"/>
  <c r="U364" i="24"/>
  <c r="T364" i="24" s="1"/>
  <c r="U154" i="24"/>
  <c r="T154" i="24" s="1"/>
  <c r="U15" i="24"/>
  <c r="T15" i="24" s="1"/>
  <c r="U168" i="24"/>
  <c r="T168" i="24" s="1"/>
  <c r="U229" i="24"/>
  <c r="T229" i="24" s="1"/>
  <c r="U139" i="24"/>
  <c r="T139" i="24" s="1"/>
  <c r="U147" i="24"/>
  <c r="T147" i="24" s="1"/>
  <c r="U242" i="24"/>
  <c r="U152" i="24"/>
  <c r="T152" i="24" s="1"/>
  <c r="U277" i="24"/>
  <c r="T277" i="24" s="1"/>
  <c r="U63" i="24"/>
  <c r="T63" i="24" s="1"/>
  <c r="U371" i="24"/>
  <c r="U344" i="24"/>
  <c r="T344" i="24" s="1"/>
  <c r="U257" i="24"/>
  <c r="T257" i="24" s="1"/>
  <c r="U126" i="24"/>
  <c r="T126" i="24" s="1"/>
  <c r="U39" i="24"/>
  <c r="T39" i="24" s="1"/>
  <c r="U76" i="24"/>
  <c r="T76" i="24" s="1"/>
  <c r="U53" i="24"/>
  <c r="T53" i="24" s="1"/>
  <c r="U361" i="24"/>
  <c r="T361" i="24" s="1"/>
  <c r="U262" i="24"/>
  <c r="T262" i="24" s="1"/>
  <c r="U111" i="24"/>
  <c r="T111" i="24" s="1"/>
  <c r="U52" i="24"/>
  <c r="T52" i="24" s="1"/>
  <c r="U200" i="24"/>
  <c r="T200" i="24" s="1"/>
  <c r="U177" i="24"/>
  <c r="U110" i="24"/>
  <c r="T110" i="24" s="1"/>
  <c r="U330" i="24"/>
  <c r="T330" i="24" s="1"/>
  <c r="U235" i="24"/>
  <c r="T235" i="24" s="1"/>
  <c r="U127" i="24"/>
  <c r="U68" i="24"/>
  <c r="T68" i="24" s="1"/>
  <c r="U45" i="24"/>
  <c r="T45" i="24" s="1"/>
  <c r="U321" i="24"/>
  <c r="T321" i="24" s="1"/>
  <c r="U190" i="24"/>
  <c r="T190" i="24" s="1"/>
  <c r="U103" i="24"/>
  <c r="T103" i="24" s="1"/>
  <c r="U42" i="24"/>
  <c r="T42" i="24" s="1"/>
  <c r="U69" i="24"/>
  <c r="T69" i="24" s="1"/>
  <c r="U214" i="24"/>
  <c r="T214" i="24" s="1"/>
  <c r="U196" i="24"/>
  <c r="T196" i="24" s="1"/>
  <c r="U223" i="24"/>
  <c r="T223" i="24" s="1"/>
  <c r="U376" i="24"/>
  <c r="T376" i="24" s="1"/>
  <c r="U94" i="24"/>
  <c r="U347" i="24"/>
  <c r="T347" i="24" s="1"/>
  <c r="U282" i="24"/>
  <c r="T282" i="24" s="1"/>
  <c r="U143" i="24"/>
  <c r="T143" i="24" s="1"/>
  <c r="U296" i="24"/>
  <c r="U142" i="24"/>
  <c r="T142" i="24" s="1"/>
  <c r="U319" i="24"/>
  <c r="T319" i="24" s="1"/>
  <c r="U237" i="24"/>
  <c r="T237" i="24" s="1"/>
  <c r="U213" i="24"/>
  <c r="T213" i="24" s="1"/>
  <c r="U187" i="24"/>
  <c r="T187" i="24" s="1"/>
  <c r="U323" i="24"/>
  <c r="T323" i="24" s="1"/>
  <c r="U81" i="24"/>
  <c r="T81" i="24" s="1"/>
  <c r="U170" i="24"/>
  <c r="U48" i="24"/>
  <c r="T48" i="24" s="1"/>
  <c r="U56" i="24"/>
  <c r="T56" i="24" s="1"/>
  <c r="U179" i="24"/>
  <c r="T179" i="24" s="1"/>
  <c r="U65" i="24"/>
  <c r="U218" i="24"/>
  <c r="T218" i="24" s="1"/>
  <c r="U221" i="24"/>
  <c r="T221" i="24" s="1"/>
  <c r="U194" i="24"/>
  <c r="T194" i="24" s="1"/>
  <c r="U131" i="24"/>
  <c r="T131" i="24" s="1"/>
  <c r="U343" i="24"/>
  <c r="T343" i="24" s="1"/>
  <c r="U252" i="24"/>
  <c r="T252" i="24" s="1"/>
  <c r="U293" i="24"/>
  <c r="T293" i="24" s="1"/>
  <c r="U234" i="24"/>
  <c r="T234" i="24" s="1"/>
  <c r="U203" i="24"/>
  <c r="T203" i="24" s="1"/>
  <c r="U112" i="24"/>
  <c r="T112" i="24" s="1"/>
  <c r="U356" i="24"/>
  <c r="T356" i="24" s="1"/>
  <c r="U269" i="24"/>
  <c r="U50" i="24"/>
  <c r="T50" i="24" s="1"/>
  <c r="U350" i="24"/>
  <c r="T350" i="24" s="1"/>
  <c r="U327" i="24"/>
  <c r="T327" i="24" s="1"/>
  <c r="U236" i="24"/>
  <c r="U85" i="24"/>
  <c r="T85" i="24" s="1"/>
  <c r="U26" i="24"/>
  <c r="T26" i="24" s="1"/>
  <c r="U285" i="24"/>
  <c r="T285" i="24" s="1"/>
  <c r="U258" i="24"/>
  <c r="T258" i="24" s="1"/>
  <c r="U195" i="24"/>
  <c r="T195" i="24" s="1"/>
  <c r="U40" i="24"/>
  <c r="T40" i="24" s="1"/>
  <c r="U316" i="24"/>
  <c r="T316" i="24" s="1"/>
  <c r="U101" i="24"/>
  <c r="T101" i="24" s="1"/>
  <c r="U374" i="24"/>
  <c r="T374" i="24" s="1"/>
  <c r="U313" i="24"/>
  <c r="T313" i="24" s="1"/>
  <c r="U255" i="24"/>
  <c r="T255" i="24" s="1"/>
  <c r="U310" i="24"/>
  <c r="U100" i="24"/>
  <c r="T100" i="24" s="1"/>
  <c r="U161" i="24"/>
  <c r="T161" i="24" s="1"/>
  <c r="U71" i="24"/>
  <c r="T71" i="24" s="1"/>
  <c r="U192" i="24"/>
  <c r="U166" i="24"/>
  <c r="T166" i="24" s="1"/>
  <c r="U84" i="24"/>
  <c r="T84" i="24" s="1"/>
  <c r="U209" i="24"/>
  <c r="T209" i="24" s="1"/>
  <c r="U102" i="24"/>
  <c r="T102" i="24" s="1"/>
  <c r="U79" i="24"/>
  <c r="U20" i="24"/>
  <c r="T20" i="24" s="1"/>
  <c r="U87" i="24"/>
  <c r="T87" i="24" s="1"/>
  <c r="U363" i="24"/>
  <c r="T363" i="24" s="1"/>
  <c r="U37" i="24"/>
  <c r="U345" i="24"/>
  <c r="T345" i="24" s="1"/>
  <c r="U173" i="24"/>
  <c r="T173" i="24" s="1"/>
  <c r="U82" i="24"/>
  <c r="U318" i="24"/>
  <c r="T318" i="24" s="1"/>
  <c r="U231" i="24"/>
  <c r="T231" i="24" s="1"/>
  <c r="U379" i="24"/>
  <c r="AZ16" i="7" s="1"/>
  <c r="BF11" i="7" s="1"/>
  <c r="U11" i="25" s="1"/>
  <c r="U352" i="24"/>
  <c r="T352" i="24" s="1"/>
  <c r="U297" i="24"/>
  <c r="T297" i="24" s="1"/>
  <c r="U198" i="24"/>
  <c r="T198" i="24" s="1"/>
  <c r="U47" i="24"/>
  <c r="U206" i="24"/>
  <c r="T206" i="24" s="1"/>
  <c r="U29" i="24"/>
  <c r="U369" i="24"/>
  <c r="U302" i="24"/>
  <c r="U151" i="24"/>
  <c r="T151" i="24" s="1"/>
  <c r="U60" i="24"/>
  <c r="U357" i="24"/>
  <c r="T357" i="24" s="1"/>
  <c r="U140" i="24"/>
  <c r="T140" i="24" s="1"/>
  <c r="U298" i="24"/>
  <c r="T298" i="24" s="1"/>
  <c r="U117" i="24"/>
  <c r="T117" i="24" s="1"/>
  <c r="U267" i="24"/>
  <c r="T267" i="24" s="1"/>
  <c r="U58" i="24"/>
  <c r="T58" i="24" s="1"/>
  <c r="U176" i="24"/>
  <c r="T176" i="24" s="1"/>
  <c r="U326" i="24"/>
  <c r="T326" i="24" s="1"/>
  <c r="U57" i="24"/>
  <c r="T57" i="24" s="1"/>
  <c r="U175" i="24"/>
  <c r="U333" i="24"/>
  <c r="T333" i="24" s="1"/>
  <c r="U116" i="24"/>
  <c r="U370" i="24"/>
  <c r="T370" i="24" s="1"/>
  <c r="U157" i="24"/>
  <c r="U307" i="24"/>
  <c r="T307" i="24" s="1"/>
  <c r="U130" i="24"/>
  <c r="U280" i="24"/>
  <c r="T280" i="24" s="1"/>
  <c r="U67" i="24"/>
  <c r="T67" i="24" s="1"/>
  <c r="U193" i="24"/>
  <c r="T193" i="24" s="1"/>
  <c r="U279" i="24"/>
  <c r="T279" i="24" s="1"/>
  <c r="U62" i="24"/>
  <c r="T62" i="24" s="1"/>
  <c r="U188" i="24"/>
  <c r="T188" i="24" s="1"/>
  <c r="U346" i="24"/>
  <c r="T346" i="24" s="1"/>
  <c r="U336" i="24"/>
  <c r="T336" i="24" s="1"/>
  <c r="U123" i="24"/>
  <c r="T123" i="24" s="1"/>
  <c r="U281" i="24"/>
  <c r="U96" i="24"/>
  <c r="T96" i="24" s="1"/>
  <c r="U246" i="24"/>
  <c r="U41" i="24"/>
  <c r="U159" i="24"/>
  <c r="U253" i="24"/>
  <c r="T253" i="24" s="1"/>
  <c r="U36" i="24"/>
  <c r="U162" i="24"/>
  <c r="T162" i="24" s="1"/>
  <c r="U312" i="24"/>
  <c r="T312" i="24" s="1"/>
  <c r="U99" i="24"/>
  <c r="T99" i="24" s="1"/>
  <c r="U204" i="24"/>
  <c r="T204" i="24" s="1"/>
  <c r="U362" i="24"/>
  <c r="T362" i="24" s="1"/>
  <c r="U181" i="24"/>
  <c r="T181" i="24" s="1"/>
  <c r="U331" i="24"/>
  <c r="T331" i="24" s="1"/>
  <c r="U122" i="24"/>
  <c r="T122" i="24" s="1"/>
  <c r="U240" i="24"/>
  <c r="T240" i="24" s="1"/>
  <c r="U27" i="24"/>
  <c r="U121" i="24"/>
  <c r="T121" i="24" s="1"/>
  <c r="U239" i="24"/>
  <c r="U22" i="24"/>
  <c r="T22" i="24" s="1"/>
  <c r="U180" i="24"/>
  <c r="U251" i="24"/>
  <c r="T251" i="24" s="1"/>
  <c r="U224" i="24"/>
  <c r="U169" i="24"/>
  <c r="T169" i="24" s="1"/>
  <c r="U219" i="24"/>
  <c r="T219" i="24" s="1"/>
  <c r="U64" i="24"/>
  <c r="T64" i="24" s="1"/>
  <c r="U372" i="24"/>
  <c r="T372" i="24" s="1"/>
  <c r="U38" i="24"/>
  <c r="T38" i="24" s="1"/>
  <c r="U160" i="24"/>
  <c r="T160" i="24" s="1"/>
  <c r="U105" i="24"/>
  <c r="T105" i="24" s="1"/>
  <c r="U317" i="24"/>
  <c r="T317" i="24" s="1"/>
  <c r="U226" i="24"/>
  <c r="T226" i="24" s="1"/>
  <c r="U163" i="24"/>
  <c r="U311" i="24"/>
  <c r="T311" i="24" s="1"/>
  <c r="U284" i="24"/>
  <c r="U197" i="24"/>
  <c r="U74" i="24"/>
  <c r="U124" i="24"/>
  <c r="T124" i="24" s="1"/>
  <c r="U16" i="24"/>
  <c r="U324" i="24"/>
  <c r="T324" i="24" s="1"/>
  <c r="U301" i="24"/>
  <c r="T301" i="24" s="1"/>
  <c r="U210" i="24"/>
  <c r="T210" i="24" s="1"/>
  <c r="U83" i="24"/>
  <c r="T83" i="24" s="1"/>
  <c r="U359" i="24"/>
  <c r="T359" i="24" s="1"/>
  <c r="AK56" i="27"/>
  <c r="AK60" i="27"/>
  <c r="AK62" i="27"/>
  <c r="AK61" i="27"/>
  <c r="AK65" i="27"/>
  <c r="AK63" i="27"/>
  <c r="AK66" i="27"/>
  <c r="AK67" i="27"/>
  <c r="AK58" i="27"/>
  <c r="AK57" i="27"/>
  <c r="AK59" i="27"/>
  <c r="AK64" i="27"/>
  <c r="AK68" i="27"/>
  <c r="AK69" i="27"/>
  <c r="AK70" i="27"/>
  <c r="AK71" i="27"/>
  <c r="AK72" i="27"/>
  <c r="AK73" i="27"/>
  <c r="AK74" i="27"/>
  <c r="AK75" i="27"/>
  <c r="AK76" i="27"/>
  <c r="AK77" i="27"/>
  <c r="AK78" i="27"/>
  <c r="AK79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I4" i="6"/>
  <c r="I309" i="20"/>
  <c r="H309" i="22" s="1"/>
  <c r="I309" i="22" s="1"/>
  <c r="J309" i="20"/>
  <c r="J30" i="22"/>
  <c r="I30" i="22"/>
  <c r="I160" i="22"/>
  <c r="J160" i="22"/>
  <c r="J36" i="22"/>
  <c r="I36" i="22"/>
  <c r="J315" i="22"/>
  <c r="I315" i="22"/>
  <c r="J94" i="22"/>
  <c r="I94" i="22"/>
  <c r="J26" i="22"/>
  <c r="I26" i="22"/>
  <c r="I323" i="22"/>
  <c r="J323" i="22"/>
  <c r="G29" i="22"/>
  <c r="CC29" i="6" s="1"/>
  <c r="H29" i="22"/>
  <c r="AA29" i="22"/>
  <c r="Z29" i="22" s="1"/>
  <c r="Y29" i="22" s="1"/>
  <c r="I80" i="22"/>
  <c r="J80" i="22"/>
  <c r="I223" i="22"/>
  <c r="J223" i="22"/>
  <c r="J218" i="22"/>
  <c r="I218" i="22"/>
  <c r="J325" i="22"/>
  <c r="I325" i="22"/>
  <c r="J150" i="22"/>
  <c r="I150" i="22"/>
  <c r="G166" i="22"/>
  <c r="CC166" i="6" s="1"/>
  <c r="AA166" i="22"/>
  <c r="Z166" i="22" s="1"/>
  <c r="Y166" i="22" s="1"/>
  <c r="H166" i="22"/>
  <c r="J360" i="22"/>
  <c r="I360" i="22"/>
  <c r="I95" i="22"/>
  <c r="J95" i="22"/>
  <c r="J161" i="22"/>
  <c r="I161" i="22"/>
  <c r="I310" i="22"/>
  <c r="J310" i="22"/>
  <c r="AA60" i="22"/>
  <c r="Z60" i="22" s="1"/>
  <c r="Y60" i="22" s="1"/>
  <c r="G60" i="22"/>
  <c r="CC60" i="6" s="1"/>
  <c r="H60" i="22"/>
  <c r="J127" i="22"/>
  <c r="I127" i="22"/>
  <c r="H46" i="22"/>
  <c r="AA46" i="22"/>
  <c r="Z46" i="22" s="1"/>
  <c r="Y46" i="22" s="1"/>
  <c r="G46" i="22"/>
  <c r="CC46" i="6" s="1"/>
  <c r="I212" i="22"/>
  <c r="J212" i="22"/>
  <c r="I51" i="22"/>
  <c r="J51" i="22"/>
  <c r="J136" i="22"/>
  <c r="I136" i="22"/>
  <c r="I344" i="22"/>
  <c r="J344" i="22"/>
  <c r="J220" i="22"/>
  <c r="I220" i="22"/>
  <c r="I321" i="22"/>
  <c r="J321" i="22"/>
  <c r="J264" i="22"/>
  <c r="I264" i="22"/>
  <c r="J65" i="22"/>
  <c r="I65" i="22"/>
  <c r="J268" i="22"/>
  <c r="I268" i="22"/>
  <c r="J187" i="22"/>
  <c r="I187" i="22"/>
  <c r="I228" i="22"/>
  <c r="J228" i="22"/>
  <c r="I92" i="22"/>
  <c r="J92" i="22"/>
  <c r="J35" i="22"/>
  <c r="I35" i="22"/>
  <c r="H349" i="22"/>
  <c r="G349" i="22"/>
  <c r="CC349" i="6" s="1"/>
  <c r="AA349" i="22"/>
  <c r="Z349" i="22" s="1"/>
  <c r="Y349" i="22" s="1"/>
  <c r="J50" i="22"/>
  <c r="I50" i="22"/>
  <c r="I221" i="22"/>
  <c r="J221" i="22"/>
  <c r="I73" i="22"/>
  <c r="J73" i="22"/>
  <c r="I248" i="22"/>
  <c r="J248" i="22"/>
  <c r="J139" i="22"/>
  <c r="I139" i="22"/>
  <c r="AA196" i="22"/>
  <c r="Z196" i="22" s="1"/>
  <c r="Y196" i="22" s="1"/>
  <c r="G196" i="22"/>
  <c r="CC196" i="6" s="1"/>
  <c r="H196" i="22"/>
  <c r="AA180" i="22"/>
  <c r="Z180" i="22" s="1"/>
  <c r="Y180" i="22" s="1"/>
  <c r="G180" i="22"/>
  <c r="CC180" i="6" s="1"/>
  <c r="H180" i="22"/>
  <c r="G288" i="22"/>
  <c r="CC288" i="6" s="1"/>
  <c r="AA288" i="22"/>
  <c r="Z288" i="22" s="1"/>
  <c r="Y288" i="22" s="1"/>
  <c r="H288" i="22"/>
  <c r="I143" i="22"/>
  <c r="J143" i="22"/>
  <c r="I17" i="22"/>
  <c r="J17" i="22"/>
  <c r="J118" i="22"/>
  <c r="I118" i="22"/>
  <c r="G105" i="22"/>
  <c r="CC105" i="6" s="1"/>
  <c r="AA105" i="22"/>
  <c r="Z105" i="22" s="1"/>
  <c r="Y105" i="22" s="1"/>
  <c r="H105" i="22"/>
  <c r="J353" i="22"/>
  <c r="I353" i="22"/>
  <c r="I350" i="22"/>
  <c r="J350" i="22"/>
  <c r="I169" i="22"/>
  <c r="J169" i="22"/>
  <c r="J205" i="22"/>
  <c r="I205" i="22"/>
  <c r="J144" i="22"/>
  <c r="G302" i="22"/>
  <c r="CC302" i="6" s="1"/>
  <c r="H302" i="22"/>
  <c r="AA302" i="22"/>
  <c r="Z302" i="22" s="1"/>
  <c r="Y302" i="22" s="1"/>
  <c r="S381" i="23"/>
  <c r="S382" i="23"/>
  <c r="S383" i="23"/>
  <c r="R15" i="23"/>
  <c r="AH104" i="24"/>
  <c r="J259" i="22"/>
  <c r="I259" i="22"/>
  <c r="J329" i="22"/>
  <c r="I329" i="22"/>
  <c r="J67" i="22"/>
  <c r="I67" i="22"/>
  <c r="J56" i="22"/>
  <c r="I56" i="22"/>
  <c r="I28" i="22"/>
  <c r="J89" i="22"/>
  <c r="I89" i="22"/>
  <c r="I54" i="22"/>
  <c r="J54" i="22"/>
  <c r="G258" i="22"/>
  <c r="CC258" i="6" s="1"/>
  <c r="H258" i="22"/>
  <c r="AA258" i="22"/>
  <c r="Z258" i="22" s="1"/>
  <c r="Y258" i="22" s="1"/>
  <c r="I27" i="22"/>
  <c r="J27" i="22"/>
  <c r="I79" i="22"/>
  <c r="J79" i="22"/>
  <c r="I155" i="22"/>
  <c r="J155" i="22"/>
  <c r="J99" i="22"/>
  <c r="I99" i="22"/>
  <c r="J208" i="22"/>
  <c r="I208" i="22"/>
  <c r="I304" i="22"/>
  <c r="J304" i="22"/>
  <c r="AA241" i="22"/>
  <c r="Z241" i="22" s="1"/>
  <c r="Y241" i="22" s="1"/>
  <c r="H241" i="22"/>
  <c r="G241" i="22"/>
  <c r="CC241" i="6" s="1"/>
  <c r="J156" i="22"/>
  <c r="I156" i="22"/>
  <c r="J182" i="22"/>
  <c r="I182" i="22"/>
  <c r="J255" i="22"/>
  <c r="I255" i="22"/>
  <c r="H74" i="22"/>
  <c r="G74" i="22"/>
  <c r="CC74" i="6" s="1"/>
  <c r="AA74" i="22"/>
  <c r="Z74" i="22" s="1"/>
  <c r="Y74" i="22" s="1"/>
  <c r="I31" i="22"/>
  <c r="J31" i="22"/>
  <c r="G135" i="22"/>
  <c r="CC135" i="6" s="1"/>
  <c r="H135" i="22"/>
  <c r="AA135" i="22"/>
  <c r="Z135" i="22" s="1"/>
  <c r="Y135" i="22" s="1"/>
  <c r="J292" i="22"/>
  <c r="I292" i="22"/>
  <c r="I313" i="22"/>
  <c r="J313" i="22"/>
  <c r="J19" i="22"/>
  <c r="I19" i="22"/>
  <c r="J202" i="22"/>
  <c r="I202" i="22"/>
  <c r="I209" i="22"/>
  <c r="J209" i="22"/>
  <c r="J236" i="22"/>
  <c r="I236" i="22"/>
  <c r="U33" i="24"/>
  <c r="U183" i="24"/>
  <c r="U373" i="24"/>
  <c r="U156" i="24"/>
  <c r="U314" i="24"/>
  <c r="U287" i="24"/>
  <c r="U70" i="24"/>
  <c r="U164" i="24"/>
  <c r="U290" i="24"/>
  <c r="U77" i="24"/>
  <c r="U227" i="24"/>
  <c r="U114" i="24"/>
  <c r="U264" i="24"/>
  <c r="U51" i="24"/>
  <c r="U92" i="24"/>
  <c r="U250" i="24"/>
  <c r="U368" i="24"/>
  <c r="U155" i="24"/>
  <c r="U249" i="24"/>
  <c r="U367" i="24"/>
  <c r="U150" i="24"/>
  <c r="U308" i="24"/>
  <c r="U306" i="24"/>
  <c r="U93" i="24"/>
  <c r="U243" i="24"/>
  <c r="U66" i="24"/>
  <c r="U216" i="24"/>
  <c r="U366" i="24"/>
  <c r="U129" i="24"/>
  <c r="U215" i="24"/>
  <c r="U341" i="24"/>
  <c r="U342" i="24"/>
  <c r="U137" i="24"/>
  <c r="U165" i="24"/>
  <c r="U315" i="24"/>
  <c r="U106" i="24"/>
  <c r="U288" i="24"/>
  <c r="U75" i="24"/>
  <c r="U233" i="24"/>
  <c r="U351" i="24"/>
  <c r="U134" i="24"/>
  <c r="U228" i="24"/>
  <c r="U354" i="24"/>
  <c r="U141" i="24"/>
  <c r="U291" i="24"/>
  <c r="U208" i="24"/>
  <c r="U289" i="24"/>
  <c r="U358" i="24"/>
  <c r="U72" i="24"/>
  <c r="U153" i="24"/>
  <c r="U222" i="24"/>
  <c r="U335" i="24"/>
  <c r="U49" i="24"/>
  <c r="U118" i="24"/>
  <c r="U199" i="24"/>
  <c r="U276" i="24"/>
  <c r="U325" i="24"/>
  <c r="U31" i="24"/>
  <c r="U108" i="24"/>
  <c r="U125" i="24"/>
  <c r="U202" i="24"/>
  <c r="U275" i="24"/>
  <c r="U320" i="24"/>
  <c r="U34" i="24"/>
  <c r="U107" i="24"/>
  <c r="U184" i="24"/>
  <c r="U265" i="24"/>
  <c r="U334" i="24"/>
  <c r="U144" i="24"/>
  <c r="U225" i="24"/>
  <c r="U294" i="24"/>
  <c r="U375" i="24"/>
  <c r="U89" i="24"/>
  <c r="U158" i="24"/>
  <c r="U271" i="24"/>
  <c r="U348" i="24"/>
  <c r="U54" i="24"/>
  <c r="U135" i="24"/>
  <c r="U212" i="24"/>
  <c r="U261" i="24"/>
  <c r="U338" i="24"/>
  <c r="U44" i="24"/>
  <c r="U61" i="24"/>
  <c r="U138" i="24"/>
  <c r="U211" i="24"/>
  <c r="U256" i="24"/>
  <c r="U337" i="24"/>
  <c r="U43" i="24"/>
  <c r="U120" i="24"/>
  <c r="U201" i="24"/>
  <c r="U270" i="24"/>
  <c r="U191" i="24"/>
  <c r="U268" i="24"/>
  <c r="U349" i="24"/>
  <c r="U55" i="24"/>
  <c r="U132" i="24"/>
  <c r="U245" i="24"/>
  <c r="U322" i="24"/>
  <c r="U28" i="24"/>
  <c r="U109" i="24"/>
  <c r="U186" i="24"/>
  <c r="U259" i="24"/>
  <c r="U304" i="24"/>
  <c r="U18" i="24"/>
  <c r="U91" i="24"/>
  <c r="U104" i="24"/>
  <c r="U185" i="24"/>
  <c r="U254" i="24"/>
  <c r="U303" i="24"/>
  <c r="U17" i="24"/>
  <c r="U86" i="24"/>
  <c r="U167" i="24"/>
  <c r="U244" i="24"/>
  <c r="U272" i="24"/>
  <c r="U353" i="24"/>
  <c r="U59" i="24"/>
  <c r="U136" i="24"/>
  <c r="U217" i="24"/>
  <c r="U286" i="24"/>
  <c r="U32" i="24"/>
  <c r="U113" i="24"/>
  <c r="U182" i="24"/>
  <c r="U263" i="24"/>
  <c r="U340" i="24"/>
  <c r="U46" i="24"/>
  <c r="U95" i="24"/>
  <c r="U172" i="24"/>
  <c r="U189" i="24"/>
  <c r="U266" i="24"/>
  <c r="U339" i="24"/>
  <c r="U21" i="24"/>
  <c r="U98" i="24"/>
  <c r="U171" i="24"/>
  <c r="U248" i="24"/>
  <c r="U329" i="24"/>
  <c r="U35" i="24"/>
  <c r="U178" i="24"/>
  <c r="U328" i="24"/>
  <c r="U115" i="24"/>
  <c r="U305" i="24"/>
  <c r="U88" i="24"/>
  <c r="U238" i="24"/>
  <c r="U146" i="24"/>
  <c r="U232" i="24"/>
  <c r="U19" i="24"/>
  <c r="U145" i="24"/>
  <c r="U295" i="24"/>
  <c r="U78" i="24"/>
  <c r="U332" i="24"/>
  <c r="U119" i="24"/>
  <c r="U309" i="24"/>
  <c r="U241" i="24"/>
  <c r="U24" i="24"/>
  <c r="U174" i="24"/>
  <c r="U300" i="24"/>
  <c r="U23" i="24"/>
  <c r="U149" i="24"/>
  <c r="U299" i="24"/>
  <c r="U90" i="24"/>
  <c r="U80" i="24"/>
  <c r="U230" i="24"/>
  <c r="U25" i="24"/>
  <c r="U207" i="24"/>
  <c r="U365" i="24"/>
  <c r="U148" i="24"/>
  <c r="U274" i="24"/>
  <c r="U360" i="24"/>
  <c r="U292" i="24"/>
  <c r="U273" i="24"/>
  <c r="U205" i="24"/>
  <c r="U355" i="24"/>
  <c r="U97" i="24"/>
  <c r="U247" i="24"/>
  <c r="U30" i="24"/>
  <c r="U220" i="24"/>
  <c r="U378" i="24"/>
  <c r="U133" i="24"/>
  <c r="U283" i="24"/>
  <c r="U377" i="24"/>
  <c r="U128" i="24"/>
  <c r="U278" i="24"/>
  <c r="U73" i="24"/>
  <c r="J186" i="22"/>
  <c r="I186" i="22"/>
  <c r="J345" i="22"/>
  <c r="I345" i="22"/>
  <c r="J107" i="22"/>
  <c r="I107" i="22"/>
  <c r="I254" i="22"/>
  <c r="J254" i="22"/>
  <c r="J368" i="22"/>
  <c r="I368" i="22"/>
  <c r="J234" i="22"/>
  <c r="I234" i="22"/>
  <c r="I138" i="22"/>
  <c r="J138" i="22"/>
  <c r="G149" i="22"/>
  <c r="CC149" i="6" s="1"/>
  <c r="H149" i="22"/>
  <c r="AA149" i="22"/>
  <c r="Z149" i="22" s="1"/>
  <c r="Y149" i="22" s="1"/>
  <c r="J38" i="22"/>
  <c r="I38" i="22"/>
  <c r="I16" i="22"/>
  <c r="J16" i="22"/>
  <c r="I53" i="22"/>
  <c r="J53" i="22"/>
  <c r="I167" i="22"/>
  <c r="J167" i="22"/>
  <c r="AF15" i="23"/>
  <c r="G319" i="22"/>
  <c r="CC319" i="6" s="1"/>
  <c r="H319" i="22"/>
  <c r="AA319" i="22"/>
  <c r="Z319" i="22" s="1"/>
  <c r="Y319" i="22" s="1"/>
  <c r="J200" i="22"/>
  <c r="I200" i="22"/>
  <c r="I351" i="22"/>
  <c r="J351" i="22"/>
  <c r="J334" i="22"/>
  <c r="I334" i="22"/>
  <c r="J253" i="22"/>
  <c r="I253" i="22"/>
  <c r="I282" i="22"/>
  <c r="J282" i="22"/>
  <c r="I296" i="22"/>
  <c r="J296" i="22"/>
  <c r="I279" i="22"/>
  <c r="J279" i="22"/>
  <c r="I126" i="22"/>
  <c r="J126" i="22"/>
  <c r="I146" i="22"/>
  <c r="J146" i="22"/>
  <c r="I270" i="22"/>
  <c r="J270" i="22"/>
  <c r="J247" i="22"/>
  <c r="I247" i="22"/>
  <c r="I49" i="22"/>
  <c r="J49" i="22"/>
  <c r="J246" i="22"/>
  <c r="I246" i="22"/>
  <c r="I291" i="22"/>
  <c r="J291" i="22"/>
  <c r="G333" i="22"/>
  <c r="CC333" i="6" s="1"/>
  <c r="H333" i="22"/>
  <c r="AA333" i="22"/>
  <c r="Z333" i="22" s="1"/>
  <c r="Y333" i="22" s="1"/>
  <c r="J251" i="22"/>
  <c r="I251" i="22"/>
  <c r="I45" i="22"/>
  <c r="J45" i="22"/>
  <c r="I204" i="22"/>
  <c r="J204" i="22"/>
  <c r="J90" i="22"/>
  <c r="I90" i="22"/>
  <c r="I362" i="22"/>
  <c r="J362" i="22"/>
  <c r="I131" i="22"/>
  <c r="J131" i="22"/>
  <c r="I358" i="22"/>
  <c r="J358" i="22"/>
  <c r="J284" i="22"/>
  <c r="I284" i="22"/>
  <c r="I164" i="22"/>
  <c r="J164" i="22"/>
  <c r="I318" i="22"/>
  <c r="J318" i="22"/>
  <c r="AA88" i="22"/>
  <c r="Z88" i="22" s="1"/>
  <c r="Y88" i="22" s="1"/>
  <c r="G88" i="22"/>
  <c r="CC88" i="6" s="1"/>
  <c r="H88" i="22"/>
  <c r="J184" i="22"/>
  <c r="P383" i="22"/>
  <c r="P381" i="22"/>
  <c r="V15" i="22"/>
  <c r="P382" i="22"/>
  <c r="T79" i="24"/>
  <c r="T37" i="24"/>
  <c r="T82" i="24"/>
  <c r="U12" i="25"/>
  <c r="T170" i="24"/>
  <c r="T47" i="24"/>
  <c r="T242" i="24"/>
  <c r="T29" i="24"/>
  <c r="T369" i="24"/>
  <c r="T302" i="24"/>
  <c r="T65" i="24"/>
  <c r="T60" i="24"/>
  <c r="T371" i="24"/>
  <c r="T175" i="24"/>
  <c r="T116" i="24"/>
  <c r="T157" i="24"/>
  <c r="T130" i="24"/>
  <c r="T269" i="24"/>
  <c r="T281" i="24"/>
  <c r="T177" i="24"/>
  <c r="T246" i="24"/>
  <c r="T41" i="24"/>
  <c r="T159" i="24"/>
  <c r="T236" i="24"/>
  <c r="T36" i="24"/>
  <c r="T127" i="24"/>
  <c r="T27" i="24"/>
  <c r="T239" i="24"/>
  <c r="T180" i="24"/>
  <c r="T224" i="24"/>
  <c r="T310" i="24"/>
  <c r="T163" i="24"/>
  <c r="T94" i="24"/>
  <c r="T284" i="24"/>
  <c r="T197" i="24"/>
  <c r="T74" i="24"/>
  <c r="T192" i="24"/>
  <c r="T16" i="24"/>
  <c r="T296" i="24"/>
  <c r="I331" i="22" l="1"/>
  <c r="AI86" i="24"/>
  <c r="AH86" i="24" s="1"/>
  <c r="AG86" i="24" s="1"/>
  <c r="AF86" i="24" s="1"/>
  <c r="AI349" i="24"/>
  <c r="AH349" i="24" s="1"/>
  <c r="AI251" i="24"/>
  <c r="AH251" i="24" s="1"/>
  <c r="AG251" i="24" s="1"/>
  <c r="AF251" i="24" s="1"/>
  <c r="AI137" i="24"/>
  <c r="AH137" i="24" s="1"/>
  <c r="AI174" i="24"/>
  <c r="AH174" i="24" s="1"/>
  <c r="AI227" i="24"/>
  <c r="AH227" i="24" s="1"/>
  <c r="AI342" i="24"/>
  <c r="AH342" i="24" s="1"/>
  <c r="AG342" i="24" s="1"/>
  <c r="AF342" i="24" s="1"/>
  <c r="AI188" i="24"/>
  <c r="AH188" i="24" s="1"/>
  <c r="AI26" i="24"/>
  <c r="AH26" i="24" s="1"/>
  <c r="AI225" i="24"/>
  <c r="AH225" i="24" s="1"/>
  <c r="AI55" i="24"/>
  <c r="AH55" i="24" s="1"/>
  <c r="AG55" i="24" s="1"/>
  <c r="AF55" i="24" s="1"/>
  <c r="AI262" i="24"/>
  <c r="AH262" i="24" s="1"/>
  <c r="AI108" i="24"/>
  <c r="AH108" i="24" s="1"/>
  <c r="AG108" i="24" s="1"/>
  <c r="AF108" i="24" s="1"/>
  <c r="AI315" i="24"/>
  <c r="AH315" i="24" s="1"/>
  <c r="AI145" i="24"/>
  <c r="AH145" i="24" s="1"/>
  <c r="AG145" i="24" s="1"/>
  <c r="AF145" i="24" s="1"/>
  <c r="AI344" i="24"/>
  <c r="AH344" i="24" s="1"/>
  <c r="AI182" i="24"/>
  <c r="AH182" i="24" s="1"/>
  <c r="AI304" i="24"/>
  <c r="AH304" i="24" s="1"/>
  <c r="AI139" i="24"/>
  <c r="AH139" i="24" s="1"/>
  <c r="AG139" i="24" s="1"/>
  <c r="AF139" i="24" s="1"/>
  <c r="AI311" i="24"/>
  <c r="AH311" i="24" s="1"/>
  <c r="AI146" i="24"/>
  <c r="AH146" i="24" s="1"/>
  <c r="AG146" i="24" s="1"/>
  <c r="AF146" i="24" s="1"/>
  <c r="AI379" i="24"/>
  <c r="AI327" i="24"/>
  <c r="AH327" i="24" s="1"/>
  <c r="AI162" i="24"/>
  <c r="AH162" i="24" s="1"/>
  <c r="AI298" i="24"/>
  <c r="AH298" i="24" s="1"/>
  <c r="AI291" i="24"/>
  <c r="AH291" i="24" s="1"/>
  <c r="AI266" i="24"/>
  <c r="AH266" i="24" s="1"/>
  <c r="AI221" i="24"/>
  <c r="AH221" i="24" s="1"/>
  <c r="AI176" i="24"/>
  <c r="AH176" i="24" s="1"/>
  <c r="AI147" i="24"/>
  <c r="AH147" i="24" s="1"/>
  <c r="AI94" i="24"/>
  <c r="AH94" i="24" s="1"/>
  <c r="AI57" i="24"/>
  <c r="AH57" i="24" s="1"/>
  <c r="AI326" i="24"/>
  <c r="AH326" i="24" s="1"/>
  <c r="AI177" i="24"/>
  <c r="AH177" i="24" s="1"/>
  <c r="AI313" i="24"/>
  <c r="AH313" i="24" s="1"/>
  <c r="AG313" i="24" s="1"/>
  <c r="AF313" i="24" s="1"/>
  <c r="AI63" i="24"/>
  <c r="AH63" i="24" s="1"/>
  <c r="AI333" i="24"/>
  <c r="AH333" i="24" s="1"/>
  <c r="AG333" i="24" s="1"/>
  <c r="AF333" i="24" s="1"/>
  <c r="AI259" i="24"/>
  <c r="AH259" i="24" s="1"/>
  <c r="AI169" i="24"/>
  <c r="AH169" i="24" s="1"/>
  <c r="AG169" i="24" s="1"/>
  <c r="AF169" i="24" s="1"/>
  <c r="AI115" i="24"/>
  <c r="AH115" i="24" s="1"/>
  <c r="AI27" i="24"/>
  <c r="AH27" i="24" s="1"/>
  <c r="AG27" i="24" s="1"/>
  <c r="AF27" i="24" s="1"/>
  <c r="AI159" i="24"/>
  <c r="AH159" i="24" s="1"/>
  <c r="AI194" i="24"/>
  <c r="AH194" i="24" s="1"/>
  <c r="AG194" i="24" s="1"/>
  <c r="AF194" i="24" s="1"/>
  <c r="AI354" i="24"/>
  <c r="AH354" i="24" s="1"/>
  <c r="AA210" i="22"/>
  <c r="Z210" i="22" s="1"/>
  <c r="Y210" i="22" s="1"/>
  <c r="J102" i="22"/>
  <c r="J191" i="22"/>
  <c r="I306" i="22"/>
  <c r="I300" i="22"/>
  <c r="J153" i="22"/>
  <c r="J341" i="22"/>
  <c r="T379" i="24"/>
  <c r="J307" i="22"/>
  <c r="I133" i="22"/>
  <c r="J171" i="22"/>
  <c r="J298" i="22"/>
  <c r="I239" i="22"/>
  <c r="AI235" i="24"/>
  <c r="AH235" i="24" s="1"/>
  <c r="AI65" i="24"/>
  <c r="AH65" i="24" s="1"/>
  <c r="AI264" i="24"/>
  <c r="AH264" i="24" s="1"/>
  <c r="AI102" i="24"/>
  <c r="AH102" i="24" s="1"/>
  <c r="AG102" i="24" s="1"/>
  <c r="AF102" i="24" s="1"/>
  <c r="AI158" i="24"/>
  <c r="AH158" i="24" s="1"/>
  <c r="AI214" i="24"/>
  <c r="AH214" i="24" s="1"/>
  <c r="AI60" i="24"/>
  <c r="AH60" i="24" s="1"/>
  <c r="AI267" i="24"/>
  <c r="AH267" i="24" s="1"/>
  <c r="AI97" i="24"/>
  <c r="AH97" i="24" s="1"/>
  <c r="AI153" i="24"/>
  <c r="AH153" i="24" s="1"/>
  <c r="AG153" i="24" s="1"/>
  <c r="AF153" i="24" s="1"/>
  <c r="AI285" i="24"/>
  <c r="AH285" i="24" s="1"/>
  <c r="AI200" i="24"/>
  <c r="AH200" i="24" s="1"/>
  <c r="AI131" i="24"/>
  <c r="AH131" i="24" s="1"/>
  <c r="AI38" i="24"/>
  <c r="AH38" i="24" s="1"/>
  <c r="AG38" i="24" s="1"/>
  <c r="AF38" i="24" s="1"/>
  <c r="AI330" i="24"/>
  <c r="AH330" i="24" s="1"/>
  <c r="AI245" i="24"/>
  <c r="AH245" i="24" s="1"/>
  <c r="AI160" i="24"/>
  <c r="AH160" i="24" s="1"/>
  <c r="AI91" i="24"/>
  <c r="AH91" i="24" s="1"/>
  <c r="AG91" i="24" s="1"/>
  <c r="AF91" i="24" s="1"/>
  <c r="AI359" i="24"/>
  <c r="AH359" i="24" s="1"/>
  <c r="AI290" i="24"/>
  <c r="AH290" i="24" s="1"/>
  <c r="AI205" i="24"/>
  <c r="AH205" i="24" s="1"/>
  <c r="AI120" i="24"/>
  <c r="AH120" i="24" s="1"/>
  <c r="AI51" i="24"/>
  <c r="AH51" i="24" s="1"/>
  <c r="AI319" i="24"/>
  <c r="AH319" i="24" s="1"/>
  <c r="AI250" i="24"/>
  <c r="AH250" i="24" s="1"/>
  <c r="AI165" i="24"/>
  <c r="AH165" i="24" s="1"/>
  <c r="AI80" i="24"/>
  <c r="AH80" i="24" s="1"/>
  <c r="AI372" i="24"/>
  <c r="AH372" i="24" s="1"/>
  <c r="AI279" i="24"/>
  <c r="AH279" i="24" s="1"/>
  <c r="AI210" i="24"/>
  <c r="AH210" i="24" s="1"/>
  <c r="AI125" i="24"/>
  <c r="AH125" i="24" s="1"/>
  <c r="AI40" i="24"/>
  <c r="AH40" i="24" s="1"/>
  <c r="AI332" i="24"/>
  <c r="AH332" i="24" s="1"/>
  <c r="AI28" i="24"/>
  <c r="AH28" i="24" s="1"/>
  <c r="AI378" i="24"/>
  <c r="AH378" i="24" s="1"/>
  <c r="AI208" i="24"/>
  <c r="AH208" i="24" s="1"/>
  <c r="AI46" i="24"/>
  <c r="AH46" i="24" s="1"/>
  <c r="AI253" i="24"/>
  <c r="AH253" i="24" s="1"/>
  <c r="AG253" i="24" s="1"/>
  <c r="AF253" i="24" s="1"/>
  <c r="AI242" i="24"/>
  <c r="AH242" i="24" s="1"/>
  <c r="AI215" i="24"/>
  <c r="AH215" i="24" s="1"/>
  <c r="AI345" i="24"/>
  <c r="AH345" i="24" s="1"/>
  <c r="AI21" i="24"/>
  <c r="AH21" i="24" s="1"/>
  <c r="AI213" i="24"/>
  <c r="AH213" i="24" s="1"/>
  <c r="AI59" i="24"/>
  <c r="AH59" i="24" s="1"/>
  <c r="AI258" i="24"/>
  <c r="AH258" i="24" s="1"/>
  <c r="AI88" i="24"/>
  <c r="AH88" i="24" s="1"/>
  <c r="AG88" i="24" s="1"/>
  <c r="AF88" i="24" s="1"/>
  <c r="AI287" i="24"/>
  <c r="AH287" i="24" s="1"/>
  <c r="AI118" i="24"/>
  <c r="AH118" i="24" s="1"/>
  <c r="AI309" i="24"/>
  <c r="AH309" i="24" s="1"/>
  <c r="AI121" i="24"/>
  <c r="AH121" i="24" s="1"/>
  <c r="AI84" i="24"/>
  <c r="AH84" i="24" s="1"/>
  <c r="AI181" i="24"/>
  <c r="AH181" i="24" s="1"/>
  <c r="AG181" i="24" s="1"/>
  <c r="AF181" i="24" s="1"/>
  <c r="AI335" i="24"/>
  <c r="AH335" i="24" s="1"/>
  <c r="AI136" i="24"/>
  <c r="AH136" i="24" s="1"/>
  <c r="AI306" i="24"/>
  <c r="AH306" i="24" s="1"/>
  <c r="AI107" i="24"/>
  <c r="AH107" i="24" s="1"/>
  <c r="AI261" i="24"/>
  <c r="AH261" i="24" s="1"/>
  <c r="AI54" i="24"/>
  <c r="AH54" i="24" s="1"/>
  <c r="AI216" i="24"/>
  <c r="AH216" i="24" s="1"/>
  <c r="AI15" i="24"/>
  <c r="AH15" i="24" s="1"/>
  <c r="AI187" i="24"/>
  <c r="AH187" i="24" s="1"/>
  <c r="AI341" i="24"/>
  <c r="AH341" i="24" s="1"/>
  <c r="AI134" i="24"/>
  <c r="AH134" i="24" s="1"/>
  <c r="AI172" i="24"/>
  <c r="AH172" i="24" s="1"/>
  <c r="AI119" i="24"/>
  <c r="AH119" i="24" s="1"/>
  <c r="AI233" i="24"/>
  <c r="AH233" i="24" s="1"/>
  <c r="AG233" i="24" s="1"/>
  <c r="AF233" i="24" s="1"/>
  <c r="AI347" i="24"/>
  <c r="AH347" i="24" s="1"/>
  <c r="AI294" i="24"/>
  <c r="AH294" i="24" s="1"/>
  <c r="AG294" i="24" s="1"/>
  <c r="AF294" i="24" s="1"/>
  <c r="AI29" i="24"/>
  <c r="AH29" i="24" s="1"/>
  <c r="AI229" i="24"/>
  <c r="AH229" i="24" s="1"/>
  <c r="AI101" i="24"/>
  <c r="AH101" i="24" s="1"/>
  <c r="AI237" i="24"/>
  <c r="AH237" i="24" s="1"/>
  <c r="AI126" i="24"/>
  <c r="AH126" i="24" s="1"/>
  <c r="AI89" i="24"/>
  <c r="AH89" i="24" s="1"/>
  <c r="AI52" i="24"/>
  <c r="AH52" i="24" s="1"/>
  <c r="AI368" i="24"/>
  <c r="AH368" i="24" s="1"/>
  <c r="AI339" i="24"/>
  <c r="AH339" i="24" s="1"/>
  <c r="AI144" i="24"/>
  <c r="AH144" i="24" s="1"/>
  <c r="AI62" i="24"/>
  <c r="AH62" i="24" s="1"/>
  <c r="AI282" i="24"/>
  <c r="AH282" i="24" s="1"/>
  <c r="AG282" i="24" s="1"/>
  <c r="AF282" i="24" s="1"/>
  <c r="AI152" i="24"/>
  <c r="AH152" i="24" s="1"/>
  <c r="AI223" i="24"/>
  <c r="AH223" i="24" s="1"/>
  <c r="AG223" i="24" s="1"/>
  <c r="AF223" i="24" s="1"/>
  <c r="AI149" i="24"/>
  <c r="AH149" i="24" s="1"/>
  <c r="AI75" i="24"/>
  <c r="AH75" i="24" s="1"/>
  <c r="AG75" i="24" s="1"/>
  <c r="AF75" i="24" s="1"/>
  <c r="J317" i="22"/>
  <c r="J356" i="22"/>
  <c r="I158" i="22"/>
  <c r="I203" i="22"/>
  <c r="H210" i="22"/>
  <c r="I210" i="22" s="1"/>
  <c r="I93" i="22"/>
  <c r="J87" i="22"/>
  <c r="I111" i="22"/>
  <c r="J285" i="22"/>
  <c r="I263" i="22"/>
  <c r="J114" i="22"/>
  <c r="J273" i="22"/>
  <c r="I21" i="22"/>
  <c r="J293" i="22"/>
  <c r="J337" i="22"/>
  <c r="I176" i="22"/>
  <c r="J154" i="22"/>
  <c r="I286" i="22"/>
  <c r="J83" i="22"/>
  <c r="I40" i="22"/>
  <c r="J109" i="22"/>
  <c r="J222" i="22"/>
  <c r="I377" i="22"/>
  <c r="J68" i="22"/>
  <c r="I86" i="22"/>
  <c r="I23" i="22"/>
  <c r="J84" i="22"/>
  <c r="I261" i="22"/>
  <c r="J297" i="22"/>
  <c r="J57" i="22"/>
  <c r="I225" i="22"/>
  <c r="J142" i="22"/>
  <c r="J336" i="22"/>
  <c r="J237" i="22"/>
  <c r="J152" i="22"/>
  <c r="J59" i="22"/>
  <c r="J330" i="22"/>
  <c r="I52" i="22"/>
  <c r="I172" i="22"/>
  <c r="J190" i="22"/>
  <c r="I177" i="22"/>
  <c r="I108" i="22"/>
  <c r="J145" i="22"/>
  <c r="J281" i="22"/>
  <c r="J165" i="22"/>
  <c r="I262" i="22"/>
  <c r="I364" i="22"/>
  <c r="J173" i="22"/>
  <c r="I77" i="22"/>
  <c r="I44" i="22"/>
  <c r="I252" i="22"/>
  <c r="I193" i="22"/>
  <c r="I316" i="22"/>
  <c r="J121" i="22"/>
  <c r="J354" i="22"/>
  <c r="J199" i="22"/>
  <c r="J207" i="22"/>
  <c r="J308" i="22"/>
  <c r="J357" i="22"/>
  <c r="J100" i="22"/>
  <c r="J374" i="22"/>
  <c r="J214" i="22"/>
  <c r="J128" i="22"/>
  <c r="I33" i="22"/>
  <c r="I61" i="22"/>
  <c r="I197" i="22"/>
  <c r="I242" i="22"/>
  <c r="J66" i="22"/>
  <c r="J82" i="22"/>
  <c r="J174" i="22"/>
  <c r="J97" i="22"/>
  <c r="I332" i="22"/>
  <c r="J25" i="22"/>
  <c r="I47" i="22"/>
  <c r="J372" i="22"/>
  <c r="I188" i="22"/>
  <c r="E39" i="19"/>
  <c r="I219" i="22"/>
  <c r="J219" i="22"/>
  <c r="I201" i="22"/>
  <c r="J201" i="22"/>
  <c r="I303" i="22"/>
  <c r="J303" i="22"/>
  <c r="G363" i="22"/>
  <c r="CC363" i="6" s="1"/>
  <c r="H363" i="22"/>
  <c r="J363" i="22" s="1"/>
  <c r="J69" i="22"/>
  <c r="I69" i="22"/>
  <c r="J122" i="22"/>
  <c r="I122" i="22"/>
  <c r="I376" i="22"/>
  <c r="J376" i="22"/>
  <c r="I91" i="22"/>
  <c r="J91" i="22"/>
  <c r="I72" i="22"/>
  <c r="J72" i="22"/>
  <c r="J98" i="22"/>
  <c r="J70" i="22"/>
  <c r="I215" i="22"/>
  <c r="J373" i="22"/>
  <c r="J34" i="22"/>
  <c r="I185" i="22"/>
  <c r="I170" i="22"/>
  <c r="I347" i="22"/>
  <c r="I162" i="22"/>
  <c r="J162" i="22"/>
  <c r="I48" i="22"/>
  <c r="J48" i="22"/>
  <c r="J192" i="22"/>
  <c r="I192" i="22"/>
  <c r="J256" i="22"/>
  <c r="I256" i="22"/>
  <c r="AI370" i="24"/>
  <c r="AH370" i="24" s="1"/>
  <c r="AI295" i="24"/>
  <c r="AH295" i="24" s="1"/>
  <c r="AI99" i="24"/>
  <c r="AH99" i="24" s="1"/>
  <c r="AI22" i="24"/>
  <c r="AH22" i="24" s="1"/>
  <c r="AI274" i="24"/>
  <c r="AH274" i="24" s="1"/>
  <c r="AG274" i="24" s="1"/>
  <c r="AF274" i="24" s="1"/>
  <c r="AI303" i="24"/>
  <c r="AH303" i="24" s="1"/>
  <c r="AI356" i="24"/>
  <c r="AH356" i="24" s="1"/>
  <c r="AG356" i="24" s="1"/>
  <c r="AF356" i="24" s="1"/>
  <c r="AI24" i="24"/>
  <c r="AH24" i="24" s="1"/>
  <c r="AI69" i="24"/>
  <c r="AH69" i="24" s="1"/>
  <c r="AG69" i="24" s="1"/>
  <c r="AF69" i="24" s="1"/>
  <c r="AI114" i="24"/>
  <c r="AH114" i="24" s="1"/>
  <c r="AI348" i="24"/>
  <c r="AH348" i="24" s="1"/>
  <c r="AG348" i="24" s="1"/>
  <c r="AF348" i="24" s="1"/>
  <c r="AI211" i="24"/>
  <c r="AH211" i="24" s="1"/>
  <c r="AI96" i="24"/>
  <c r="AH96" i="24" s="1"/>
  <c r="AI83" i="24"/>
  <c r="AH83" i="24" s="1"/>
  <c r="AI112" i="24"/>
  <c r="AH112" i="24" s="1"/>
  <c r="AG112" i="24" s="1"/>
  <c r="AF112" i="24" s="1"/>
  <c r="AI367" i="24"/>
  <c r="AH367" i="24" s="1"/>
  <c r="AI269" i="24"/>
  <c r="AH269" i="24" s="1"/>
  <c r="AG269" i="24" s="1"/>
  <c r="AF269" i="24" s="1"/>
  <c r="AI314" i="24"/>
  <c r="AH314" i="24" s="1"/>
  <c r="AI209" i="24"/>
  <c r="AH209" i="24" s="1"/>
  <c r="AG209" i="24" s="1"/>
  <c r="AF209" i="24" s="1"/>
  <c r="AI39" i="24"/>
  <c r="AH39" i="24" s="1"/>
  <c r="AI246" i="24"/>
  <c r="AH246" i="24" s="1"/>
  <c r="AI92" i="24"/>
  <c r="AH92" i="24" s="1"/>
  <c r="AI299" i="24"/>
  <c r="AH299" i="24" s="1"/>
  <c r="AI129" i="24"/>
  <c r="AH129" i="24" s="1"/>
  <c r="AI328" i="24"/>
  <c r="AH328" i="24" s="1"/>
  <c r="AG328" i="24" s="1"/>
  <c r="AF328" i="24" s="1"/>
  <c r="AI166" i="24"/>
  <c r="AH166" i="24" s="1"/>
  <c r="AI373" i="24"/>
  <c r="AH373" i="24" s="1"/>
  <c r="AG373" i="24" s="1"/>
  <c r="AF373" i="24" s="1"/>
  <c r="AI219" i="24"/>
  <c r="AH219" i="24" s="1"/>
  <c r="AI49" i="24"/>
  <c r="AH49" i="24" s="1"/>
  <c r="AI248" i="24"/>
  <c r="AH248" i="24" s="1"/>
  <c r="AI226" i="24"/>
  <c r="AH226" i="24" s="1"/>
  <c r="AG226" i="24" s="1"/>
  <c r="AF226" i="24" s="1"/>
  <c r="AI255" i="24"/>
  <c r="AH255" i="24" s="1"/>
  <c r="AI90" i="24"/>
  <c r="AH90" i="24" s="1"/>
  <c r="AG90" i="24" s="1"/>
  <c r="AF90" i="24" s="1"/>
  <c r="AI41" i="24"/>
  <c r="AH41" i="24" s="1"/>
  <c r="AI179" i="24"/>
  <c r="AH179" i="24" s="1"/>
  <c r="AI161" i="24"/>
  <c r="AH161" i="24" s="1"/>
  <c r="AI217" i="24"/>
  <c r="AH217" i="24" s="1"/>
  <c r="AG217" i="24" s="1"/>
  <c r="AF217" i="24" s="1"/>
  <c r="AI47" i="24"/>
  <c r="AH47" i="24" s="1"/>
  <c r="AI254" i="24"/>
  <c r="AH254" i="24" s="1"/>
  <c r="AI310" i="24"/>
  <c r="AH310" i="24" s="1"/>
  <c r="AI366" i="24"/>
  <c r="AH366" i="24" s="1"/>
  <c r="AG366" i="24" s="1"/>
  <c r="AF366" i="24" s="1"/>
  <c r="AI212" i="24"/>
  <c r="AH212" i="24" s="1"/>
  <c r="AI50" i="24"/>
  <c r="AH50" i="24" s="1"/>
  <c r="AI249" i="24"/>
  <c r="AH249" i="24" s="1"/>
  <c r="AI305" i="24"/>
  <c r="AH305" i="24" s="1"/>
  <c r="AI135" i="24"/>
  <c r="AH135" i="24" s="1"/>
  <c r="AI284" i="24"/>
  <c r="AH284" i="24" s="1"/>
  <c r="AI191" i="24"/>
  <c r="AH191" i="24" s="1"/>
  <c r="AI122" i="24"/>
  <c r="AH122" i="24" s="1"/>
  <c r="AI37" i="24"/>
  <c r="AH37" i="24" s="1"/>
  <c r="AI321" i="24"/>
  <c r="AH321" i="24" s="1"/>
  <c r="AG321" i="24" s="1"/>
  <c r="AF321" i="24" s="1"/>
  <c r="AI244" i="24"/>
  <c r="AH244" i="24" s="1"/>
  <c r="AI151" i="24"/>
  <c r="AH151" i="24" s="1"/>
  <c r="AG151" i="24" s="1"/>
  <c r="AF151" i="24" s="1"/>
  <c r="AI82" i="24"/>
  <c r="AH82" i="24" s="1"/>
  <c r="AI358" i="24"/>
  <c r="AH358" i="24" s="1"/>
  <c r="AG358" i="24" s="1"/>
  <c r="AF358" i="24" s="1"/>
  <c r="AI281" i="24"/>
  <c r="AH281" i="24" s="1"/>
  <c r="AI204" i="24"/>
  <c r="AH204" i="24" s="1"/>
  <c r="AI111" i="24"/>
  <c r="AH111" i="24" s="1"/>
  <c r="AI42" i="24"/>
  <c r="AH42" i="24" s="1"/>
  <c r="AG42" i="24" s="1"/>
  <c r="AF42" i="24" s="1"/>
  <c r="AI318" i="24"/>
  <c r="AH318" i="24" s="1"/>
  <c r="AI241" i="24"/>
  <c r="AH241" i="24" s="1"/>
  <c r="AI164" i="24"/>
  <c r="AH164" i="24" s="1"/>
  <c r="AI71" i="24"/>
  <c r="AH71" i="24" s="1"/>
  <c r="AI371" i="24"/>
  <c r="AH371" i="24" s="1"/>
  <c r="AI278" i="24"/>
  <c r="AH278" i="24" s="1"/>
  <c r="AI201" i="24"/>
  <c r="AH201" i="24" s="1"/>
  <c r="AI124" i="24"/>
  <c r="AH124" i="24" s="1"/>
  <c r="AG124" i="24" s="1"/>
  <c r="AF124" i="24" s="1"/>
  <c r="AI31" i="24"/>
  <c r="AH31" i="24" s="1"/>
  <c r="AI180" i="24"/>
  <c r="AH180" i="24" s="1"/>
  <c r="AG180" i="24" s="1"/>
  <c r="AF180" i="24" s="1"/>
  <c r="AI16" i="24"/>
  <c r="AH16" i="24" s="1"/>
  <c r="AI360" i="24"/>
  <c r="AH360" i="24" s="1"/>
  <c r="AI198" i="24"/>
  <c r="AH198" i="24" s="1"/>
  <c r="AI44" i="24"/>
  <c r="AH44" i="24" s="1"/>
  <c r="AI25" i="24"/>
  <c r="AH25" i="24" s="1"/>
  <c r="AI224" i="24"/>
  <c r="AH224" i="24" s="1"/>
  <c r="AG224" i="24" s="1"/>
  <c r="AF224" i="24" s="1"/>
  <c r="AI280" i="24"/>
  <c r="AH280" i="24" s="1"/>
  <c r="AI325" i="24"/>
  <c r="AH325" i="24" s="1"/>
  <c r="AI76" i="24"/>
  <c r="AH76" i="24" s="1"/>
  <c r="AI296" i="24"/>
  <c r="AH296" i="24" s="1"/>
  <c r="AI20" i="24"/>
  <c r="AH20" i="24" s="1"/>
  <c r="AI323" i="24"/>
  <c r="AH323" i="24" s="1"/>
  <c r="AI23" i="24"/>
  <c r="AH23" i="24" s="1"/>
  <c r="AI116" i="24"/>
  <c r="AH116" i="24" s="1"/>
  <c r="AI193" i="24"/>
  <c r="AH193" i="24" s="1"/>
  <c r="AI270" i="24"/>
  <c r="AH270" i="24" s="1"/>
  <c r="AG270" i="24" s="1"/>
  <c r="AF270" i="24" s="1"/>
  <c r="AI363" i="24"/>
  <c r="AH363" i="24" s="1"/>
  <c r="AI286" i="24"/>
  <c r="AH286" i="24" s="1"/>
  <c r="AI79" i="24"/>
  <c r="AH79" i="24" s="1"/>
  <c r="AI106" i="24"/>
  <c r="AH106" i="24" s="1"/>
  <c r="AG106" i="24" s="1"/>
  <c r="AF106" i="24" s="1"/>
  <c r="AI268" i="24"/>
  <c r="AH268" i="24" s="1"/>
  <c r="AI61" i="24"/>
  <c r="AH61" i="24" s="1"/>
  <c r="AI365" i="24"/>
  <c r="AH365" i="24" s="1"/>
  <c r="AI81" i="24"/>
  <c r="AH81" i="24" s="1"/>
  <c r="AI376" i="24"/>
  <c r="AH376" i="24" s="1"/>
  <c r="AI100" i="24"/>
  <c r="AH100" i="24" s="1"/>
  <c r="AI34" i="24"/>
  <c r="AH34" i="24" s="1"/>
  <c r="AI103" i="24"/>
  <c r="AH103" i="24" s="1"/>
  <c r="AI196" i="24"/>
  <c r="AH196" i="24" s="1"/>
  <c r="AI273" i="24"/>
  <c r="AH273" i="24" s="1"/>
  <c r="AG273" i="24" s="1"/>
  <c r="AF273" i="24" s="1"/>
  <c r="AI350" i="24"/>
  <c r="AH350" i="24" s="1"/>
  <c r="AI74" i="24"/>
  <c r="AH74" i="24" s="1"/>
  <c r="AI143" i="24"/>
  <c r="AH143" i="24" s="1"/>
  <c r="AI85" i="24"/>
  <c r="AH85" i="24" s="1"/>
  <c r="AI170" i="24"/>
  <c r="AH170" i="24" s="1"/>
  <c r="AI239" i="24"/>
  <c r="AH239" i="24" s="1"/>
  <c r="AI30" i="24"/>
  <c r="AH30" i="24" s="1"/>
  <c r="AI257" i="24"/>
  <c r="AH257" i="24" s="1"/>
  <c r="AI123" i="24"/>
  <c r="AH123" i="24" s="1"/>
  <c r="AI334" i="24"/>
  <c r="AH334" i="24" s="1"/>
  <c r="AG334" i="24" s="1"/>
  <c r="AF334" i="24" s="1"/>
  <c r="AI192" i="24"/>
  <c r="AH192" i="24" s="1"/>
  <c r="AI58" i="24"/>
  <c r="AH58" i="24" s="1"/>
  <c r="AG58" i="24" s="1"/>
  <c r="AF58" i="24" s="1"/>
  <c r="AI277" i="24"/>
  <c r="AH277" i="24" s="1"/>
  <c r="AI127" i="24"/>
  <c r="AH127" i="24" s="1"/>
  <c r="AG127" i="24" s="1"/>
  <c r="AF127" i="24" s="1"/>
  <c r="AI362" i="24"/>
  <c r="AH362" i="24" s="1"/>
  <c r="AI220" i="24"/>
  <c r="AH220" i="24" s="1"/>
  <c r="AG220" i="24" s="1"/>
  <c r="AF220" i="24" s="1"/>
  <c r="AI70" i="24"/>
  <c r="AH70" i="24" s="1"/>
  <c r="AI297" i="24"/>
  <c r="AH297" i="24" s="1"/>
  <c r="AI163" i="24"/>
  <c r="AH163" i="24" s="1"/>
  <c r="AI374" i="24"/>
  <c r="AH374" i="24" s="1"/>
  <c r="AI232" i="24"/>
  <c r="AH232" i="24" s="1"/>
  <c r="AI98" i="24"/>
  <c r="AH98" i="24" s="1"/>
  <c r="AG98" i="24" s="1"/>
  <c r="AF98" i="24" s="1"/>
  <c r="AI317" i="24"/>
  <c r="AH317" i="24" s="1"/>
  <c r="AI167" i="24"/>
  <c r="AH167" i="24" s="1"/>
  <c r="AI33" i="24"/>
  <c r="AH33" i="24" s="1"/>
  <c r="AI260" i="24"/>
  <c r="AH260" i="24" s="1"/>
  <c r="AI110" i="24"/>
  <c r="AH110" i="24" s="1"/>
  <c r="AI337" i="24"/>
  <c r="AH337" i="24" s="1"/>
  <c r="AI203" i="24"/>
  <c r="AH203" i="24" s="1"/>
  <c r="AI53" i="24"/>
  <c r="AH53" i="24" s="1"/>
  <c r="AI272" i="24"/>
  <c r="AH272" i="24" s="1"/>
  <c r="AI138" i="24"/>
  <c r="AH138" i="24" s="1"/>
  <c r="AI357" i="24"/>
  <c r="AH357" i="24" s="1"/>
  <c r="AI207" i="24"/>
  <c r="AH207" i="24" s="1"/>
  <c r="AG207" i="24" s="1"/>
  <c r="AF207" i="24" s="1"/>
  <c r="AI73" i="24"/>
  <c r="AH73" i="24" s="1"/>
  <c r="AI300" i="24"/>
  <c r="AH300" i="24" s="1"/>
  <c r="AI150" i="24"/>
  <c r="AH150" i="24" s="1"/>
  <c r="AI377" i="24"/>
  <c r="AH377" i="24" s="1"/>
  <c r="AG377" i="24" s="1"/>
  <c r="AF377" i="24" s="1"/>
  <c r="AI243" i="24"/>
  <c r="AH243" i="24" s="1"/>
  <c r="AI93" i="24"/>
  <c r="AH93" i="24" s="1"/>
  <c r="AG93" i="24" s="1"/>
  <c r="AF93" i="24" s="1"/>
  <c r="AI312" i="24"/>
  <c r="AH312" i="24" s="1"/>
  <c r="AI178" i="24"/>
  <c r="AH178" i="24" s="1"/>
  <c r="AI36" i="24"/>
  <c r="AH36" i="24" s="1"/>
  <c r="AI247" i="24"/>
  <c r="AH247" i="24" s="1"/>
  <c r="AI113" i="24"/>
  <c r="AH113" i="24" s="1"/>
  <c r="AI340" i="24"/>
  <c r="AH340" i="24" s="1"/>
  <c r="AG340" i="24" s="1"/>
  <c r="AF340" i="24" s="1"/>
  <c r="AI190" i="24"/>
  <c r="AH190" i="24" s="1"/>
  <c r="AI48" i="24"/>
  <c r="AH48" i="24" s="1"/>
  <c r="AG48" i="24" s="1"/>
  <c r="AF48" i="24" s="1"/>
  <c r="AI283" i="24"/>
  <c r="AH283" i="24" s="1"/>
  <c r="AI133" i="24"/>
  <c r="AH133" i="24" s="1"/>
  <c r="AG133" i="24" s="1"/>
  <c r="AF133" i="24" s="1"/>
  <c r="AI352" i="24"/>
  <c r="AH352" i="24" s="1"/>
  <c r="AI218" i="24"/>
  <c r="AH218" i="24" s="1"/>
  <c r="AI77" i="24"/>
  <c r="AH77" i="24" s="1"/>
  <c r="AG77" i="24" s="1"/>
  <c r="AF77" i="24" s="1"/>
  <c r="AI19" i="24"/>
  <c r="AH19" i="24" s="1"/>
  <c r="AG19" i="24" s="1"/>
  <c r="AF19" i="24" s="1"/>
  <c r="AI231" i="24"/>
  <c r="AH231" i="24" s="1"/>
  <c r="AG231" i="24" s="1"/>
  <c r="AF231" i="24" s="1"/>
  <c r="AI324" i="24"/>
  <c r="AH324" i="24" s="1"/>
  <c r="AI32" i="24"/>
  <c r="AH32" i="24" s="1"/>
  <c r="AI117" i="24"/>
  <c r="AH117" i="24" s="1"/>
  <c r="AG117" i="24" s="1"/>
  <c r="AF117" i="24" s="1"/>
  <c r="AI202" i="24"/>
  <c r="AH202" i="24" s="1"/>
  <c r="AG202" i="24" s="1"/>
  <c r="AF202" i="24" s="1"/>
  <c r="AI271" i="24"/>
  <c r="AH271" i="24" s="1"/>
  <c r="AI364" i="24"/>
  <c r="AH364" i="24" s="1"/>
  <c r="AG364" i="24" s="1"/>
  <c r="AF364" i="24" s="1"/>
  <c r="AI72" i="24"/>
  <c r="AH72" i="24" s="1"/>
  <c r="AG72" i="24" s="1"/>
  <c r="AF72" i="24" s="1"/>
  <c r="AI308" i="24"/>
  <c r="AH308" i="24" s="1"/>
  <c r="AG308" i="24" s="1"/>
  <c r="AF308" i="24" s="1"/>
  <c r="AI18" i="24"/>
  <c r="AH18" i="24" s="1"/>
  <c r="AI252" i="24"/>
  <c r="AH252" i="24" s="1"/>
  <c r="AI329" i="24"/>
  <c r="AH329" i="24" s="1"/>
  <c r="AI45" i="24"/>
  <c r="AH45" i="24" s="1"/>
  <c r="AI130" i="24"/>
  <c r="AH130" i="24" s="1"/>
  <c r="AG130" i="24" s="1"/>
  <c r="AF130" i="24" s="1"/>
  <c r="AI199" i="24"/>
  <c r="AH199" i="24" s="1"/>
  <c r="AG199" i="24" s="1"/>
  <c r="AF199" i="24" s="1"/>
  <c r="AI292" i="24"/>
  <c r="AH292" i="24" s="1"/>
  <c r="AI369" i="24"/>
  <c r="AH369" i="24" s="1"/>
  <c r="AG369" i="24" s="1"/>
  <c r="AF369" i="24" s="1"/>
  <c r="AI236" i="24"/>
  <c r="AH236" i="24" s="1"/>
  <c r="I232" i="22"/>
  <c r="J232" i="22"/>
  <c r="J226" i="22"/>
  <c r="I226" i="22"/>
  <c r="I327" i="22"/>
  <c r="J327" i="22"/>
  <c r="J123" i="22"/>
  <c r="I123" i="22"/>
  <c r="J278" i="22"/>
  <c r="I278" i="22"/>
  <c r="I157" i="22"/>
  <c r="J157" i="22"/>
  <c r="J101" i="22"/>
  <c r="I101" i="22"/>
  <c r="I71" i="22"/>
  <c r="J71" i="22"/>
  <c r="I189" i="22"/>
  <c r="J189" i="22"/>
  <c r="AA272" i="22"/>
  <c r="Z272" i="22" s="1"/>
  <c r="Y272" i="22" s="1"/>
  <c r="H272" i="22"/>
  <c r="J272" i="22" s="1"/>
  <c r="J328" i="22"/>
  <c r="I289" i="22"/>
  <c r="J20" i="22"/>
  <c r="AA227" i="22"/>
  <c r="Z227" i="22" s="1"/>
  <c r="Y227" i="22" s="1"/>
  <c r="I250" i="22"/>
  <c r="J335" i="22"/>
  <c r="J342" i="22"/>
  <c r="J276" i="22"/>
  <c r="J179" i="22"/>
  <c r="I124" i="22"/>
  <c r="I271" i="22"/>
  <c r="J41" i="22"/>
  <c r="J76" i="22"/>
  <c r="I361" i="22"/>
  <c r="J168" i="22"/>
  <c r="J314" i="22"/>
  <c r="I244" i="22"/>
  <c r="J115" i="22"/>
  <c r="J370" i="22"/>
  <c r="J178" i="22"/>
  <c r="J113" i="22"/>
  <c r="J106" i="22"/>
  <c r="J326" i="22"/>
  <c r="J235" i="22"/>
  <c r="I147" i="22"/>
  <c r="J346" i="22"/>
  <c r="J294" i="22"/>
  <c r="I22" i="22"/>
  <c r="J42" i="22"/>
  <c r="J283" i="22"/>
  <c r="J85" i="22"/>
  <c r="I343" i="22"/>
  <c r="J112" i="22"/>
  <c r="J366" i="22"/>
  <c r="G227" i="22"/>
  <c r="CC227" i="6" s="1"/>
  <c r="J81" i="22"/>
  <c r="I233" i="22"/>
  <c r="I120" i="22"/>
  <c r="I78" i="22"/>
  <c r="J125" i="22"/>
  <c r="I355" i="22"/>
  <c r="J266" i="22"/>
  <c r="I211" i="22"/>
  <c r="I141" i="22"/>
  <c r="I148" i="22"/>
  <c r="J299" i="22"/>
  <c r="I183" i="22"/>
  <c r="J324" i="22"/>
  <c r="J269" i="22"/>
  <c r="J260" i="22"/>
  <c r="I275" i="22"/>
  <c r="J104" i="22"/>
  <c r="J43" i="22"/>
  <c r="I311" i="22"/>
  <c r="J198" i="22"/>
  <c r="I340" i="22"/>
  <c r="J301" i="22"/>
  <c r="J224" i="22"/>
  <c r="I96" i="22"/>
  <c r="I195" i="22"/>
  <c r="I287" i="22"/>
  <c r="I371" i="22"/>
  <c r="I137" i="22"/>
  <c r="I58" i="22"/>
  <c r="I322" i="22"/>
  <c r="I32" i="22"/>
  <c r="J249" i="22"/>
  <c r="I213" i="22"/>
  <c r="I217" i="22"/>
  <c r="I230" i="22"/>
  <c r="J369" i="22"/>
  <c r="J280" i="22"/>
  <c r="I352" i="22"/>
  <c r="J267" i="22"/>
  <c r="J305" i="22"/>
  <c r="I64" i="22"/>
  <c r="I295" i="22"/>
  <c r="I37" i="22"/>
  <c r="I151" i="22"/>
  <c r="J18" i="22"/>
  <c r="I338" i="22"/>
  <c r="I206" i="22"/>
  <c r="J265" i="22"/>
  <c r="J159" i="22"/>
  <c r="J378" i="22"/>
  <c r="J24" i="22"/>
  <c r="I216" i="22"/>
  <c r="I181" i="22"/>
  <c r="J274" i="22"/>
  <c r="I140" i="22"/>
  <c r="D119" i="22"/>
  <c r="E119" i="22" s="1"/>
  <c r="F119" i="22" s="1"/>
  <c r="W119" i="22"/>
  <c r="I134" i="22"/>
  <c r="I365" i="22"/>
  <c r="I130" i="22"/>
  <c r="I243" i="22"/>
  <c r="J62" i="22"/>
  <c r="I175" i="22"/>
  <c r="I132" i="22"/>
  <c r="J116" i="22"/>
  <c r="I339" i="22"/>
  <c r="AI156" i="24"/>
  <c r="AH156" i="24" s="1"/>
  <c r="AG156" i="24" s="1"/>
  <c r="AF156" i="24" s="1"/>
  <c r="AI141" i="24"/>
  <c r="AH141" i="24" s="1"/>
  <c r="AI183" i="24"/>
  <c r="AH183" i="24" s="1"/>
  <c r="AG183" i="24" s="1"/>
  <c r="AF183" i="24" s="1"/>
  <c r="AI154" i="24"/>
  <c r="AH154" i="24" s="1"/>
  <c r="AI109" i="24"/>
  <c r="AH109" i="24" s="1"/>
  <c r="AG109" i="24" s="1"/>
  <c r="AF109" i="24" s="1"/>
  <c r="AI64" i="24"/>
  <c r="AH64" i="24" s="1"/>
  <c r="AI35" i="24"/>
  <c r="AH35" i="24" s="1"/>
  <c r="AG35" i="24" s="1"/>
  <c r="AF35" i="24" s="1"/>
  <c r="AI343" i="24"/>
  <c r="AH343" i="24" s="1"/>
  <c r="AI184" i="24"/>
  <c r="AH184" i="24" s="1"/>
  <c r="AG184" i="24" s="1"/>
  <c r="AF184" i="24" s="1"/>
  <c r="AI43" i="24"/>
  <c r="AH43" i="24" s="1"/>
  <c r="AI238" i="24"/>
  <c r="AH238" i="24" s="1"/>
  <c r="AG238" i="24" s="1"/>
  <c r="AF238" i="24" s="1"/>
  <c r="AI186" i="24"/>
  <c r="AH186" i="24" s="1"/>
  <c r="AI353" i="24"/>
  <c r="AH353" i="24" s="1"/>
  <c r="AG353" i="24" s="1"/>
  <c r="AF353" i="24" s="1"/>
  <c r="AI263" i="24"/>
  <c r="AH263" i="24" s="1"/>
  <c r="AI189" i="24"/>
  <c r="AH189" i="24" s="1"/>
  <c r="AG189" i="24" s="1"/>
  <c r="AF189" i="24" s="1"/>
  <c r="AI155" i="24"/>
  <c r="AH155" i="24" s="1"/>
  <c r="AI240" i="24"/>
  <c r="AH240" i="24" s="1"/>
  <c r="AG240" i="24" s="1"/>
  <c r="AF240" i="24" s="1"/>
  <c r="AI322" i="24"/>
  <c r="AH322" i="24" s="1"/>
  <c r="AI316" i="24"/>
  <c r="AH316" i="24" s="1"/>
  <c r="AG316" i="24" s="1"/>
  <c r="AF316" i="24" s="1"/>
  <c r="AI234" i="24"/>
  <c r="AH234" i="24" s="1"/>
  <c r="AI78" i="24"/>
  <c r="AH78" i="24" s="1"/>
  <c r="AG78" i="24" s="1"/>
  <c r="AF78" i="24" s="1"/>
  <c r="AI351" i="24"/>
  <c r="AH351" i="24" s="1"/>
  <c r="AH381" i="23"/>
  <c r="AH383" i="23"/>
  <c r="AG104" i="23"/>
  <c r="AH382" i="23"/>
  <c r="AE11" i="23"/>
  <c r="AE191" i="23" s="1"/>
  <c r="AD191" i="23" s="1"/>
  <c r="I348" i="22"/>
  <c r="I55" i="22"/>
  <c r="J257" i="22"/>
  <c r="J39" i="22"/>
  <c r="I103" i="22"/>
  <c r="J320" i="22"/>
  <c r="J312" i="22"/>
  <c r="J163" i="22"/>
  <c r="J63" i="22"/>
  <c r="I110" i="22"/>
  <c r="I359" i="22"/>
  <c r="J129" i="22"/>
  <c r="I194" i="22"/>
  <c r="N66" i="19"/>
  <c r="I231" i="22"/>
  <c r="AA363" i="22"/>
  <c r="Z363" i="22" s="1"/>
  <c r="Y363" i="22" s="1"/>
  <c r="Q125" i="23"/>
  <c r="P125" i="23" s="1"/>
  <c r="V125" i="23" s="1"/>
  <c r="B125" i="23" s="1"/>
  <c r="D125" i="23" s="1"/>
  <c r="E125" i="23" s="1"/>
  <c r="F125" i="23" s="1"/>
  <c r="G125" i="23" s="1"/>
  <c r="CD125" i="6" s="1"/>
  <c r="Q300" i="23"/>
  <c r="P300" i="23" s="1"/>
  <c r="V300" i="23" s="1"/>
  <c r="B300" i="23" s="1"/>
  <c r="D300" i="23" s="1"/>
  <c r="E300" i="23" s="1"/>
  <c r="F300" i="23" s="1"/>
  <c r="H300" i="23" s="1"/>
  <c r="Q226" i="23"/>
  <c r="P226" i="23" s="1"/>
  <c r="V226" i="23" s="1"/>
  <c r="B226" i="23" s="1"/>
  <c r="D226" i="23" s="1"/>
  <c r="E226" i="23" s="1"/>
  <c r="F226" i="23" s="1"/>
  <c r="Q274" i="23"/>
  <c r="P274" i="23" s="1"/>
  <c r="V274" i="23" s="1"/>
  <c r="B274" i="23" s="1"/>
  <c r="W274" i="23" s="1"/>
  <c r="Q312" i="23"/>
  <c r="P312" i="23" s="1"/>
  <c r="V312" i="23" s="1"/>
  <c r="B312" i="23" s="1"/>
  <c r="D312" i="23" s="1"/>
  <c r="E312" i="23" s="1"/>
  <c r="F312" i="23" s="1"/>
  <c r="Q70" i="23"/>
  <c r="P70" i="23" s="1"/>
  <c r="V70" i="23" s="1"/>
  <c r="B70" i="23" s="1"/>
  <c r="W70" i="23" s="1"/>
  <c r="Q101" i="23"/>
  <c r="P101" i="23" s="1"/>
  <c r="V101" i="23" s="1"/>
  <c r="B101" i="23" s="1"/>
  <c r="D101" i="23" s="1"/>
  <c r="E101" i="23" s="1"/>
  <c r="F101" i="23" s="1"/>
  <c r="Q113" i="23"/>
  <c r="P113" i="23" s="1"/>
  <c r="V113" i="23" s="1"/>
  <c r="B113" i="23" s="1"/>
  <c r="D113" i="23" s="1"/>
  <c r="E113" i="23" s="1"/>
  <c r="F113" i="23" s="1"/>
  <c r="J290" i="22"/>
  <c r="I375" i="22"/>
  <c r="J238" i="22"/>
  <c r="J277" i="22"/>
  <c r="J240" i="22"/>
  <c r="I245" i="22"/>
  <c r="J367" i="22"/>
  <c r="J117" i="22"/>
  <c r="I75" i="22"/>
  <c r="J229" i="22"/>
  <c r="I229" i="22"/>
  <c r="D70" i="23"/>
  <c r="E70" i="23" s="1"/>
  <c r="F70" i="23" s="1"/>
  <c r="G70" i="23" s="1"/>
  <c r="CD70" i="6" s="1"/>
  <c r="B379" i="22"/>
  <c r="M67" i="19"/>
  <c r="Q253" i="23"/>
  <c r="P253" i="23" s="1"/>
  <c r="V253" i="23" s="1"/>
  <c r="B253" i="23" s="1"/>
  <c r="Q319" i="23"/>
  <c r="P319" i="23" s="1"/>
  <c r="V319" i="23" s="1"/>
  <c r="B319" i="23" s="1"/>
  <c r="W319" i="23" s="1"/>
  <c r="Q204" i="23"/>
  <c r="P204" i="23" s="1"/>
  <c r="V204" i="23" s="1"/>
  <c r="B204" i="23" s="1"/>
  <c r="Q126" i="23"/>
  <c r="P126" i="23" s="1"/>
  <c r="V126" i="23" s="1"/>
  <c r="B126" i="23" s="1"/>
  <c r="Q72" i="23"/>
  <c r="P72" i="23" s="1"/>
  <c r="V72" i="23" s="1"/>
  <c r="B72" i="23" s="1"/>
  <c r="Q185" i="23"/>
  <c r="P185" i="23" s="1"/>
  <c r="V185" i="23" s="1"/>
  <c r="B185" i="23" s="1"/>
  <c r="Q148" i="23"/>
  <c r="P148" i="23" s="1"/>
  <c r="V148" i="23" s="1"/>
  <c r="B148" i="23" s="1"/>
  <c r="Q279" i="23"/>
  <c r="P279" i="23" s="1"/>
  <c r="V279" i="23" s="1"/>
  <c r="B279" i="23" s="1"/>
  <c r="Q96" i="23"/>
  <c r="P96" i="23" s="1"/>
  <c r="V96" i="23" s="1"/>
  <c r="B96" i="23" s="1"/>
  <c r="Q39" i="23"/>
  <c r="P39" i="23" s="1"/>
  <c r="V39" i="23" s="1"/>
  <c r="B39" i="23" s="1"/>
  <c r="Q42" i="23"/>
  <c r="P42" i="23" s="1"/>
  <c r="V42" i="23" s="1"/>
  <c r="B42" i="23" s="1"/>
  <c r="Q109" i="23"/>
  <c r="P109" i="23" s="1"/>
  <c r="V109" i="23" s="1"/>
  <c r="B109" i="23" s="1"/>
  <c r="Q110" i="23"/>
  <c r="P110" i="23" s="1"/>
  <c r="V110" i="23" s="1"/>
  <c r="B110" i="23" s="1"/>
  <c r="Q38" i="23"/>
  <c r="P38" i="23" s="1"/>
  <c r="V38" i="23" s="1"/>
  <c r="B38" i="23" s="1"/>
  <c r="Q167" i="23"/>
  <c r="P167" i="23" s="1"/>
  <c r="V167" i="23" s="1"/>
  <c r="B167" i="23" s="1"/>
  <c r="Q292" i="23"/>
  <c r="P292" i="23" s="1"/>
  <c r="V292" i="23" s="1"/>
  <c r="B292" i="23" s="1"/>
  <c r="Q336" i="23"/>
  <c r="P336" i="23" s="1"/>
  <c r="V336" i="23" s="1"/>
  <c r="B336" i="23" s="1"/>
  <c r="Q37" i="23"/>
  <c r="P37" i="23" s="1"/>
  <c r="V37" i="23" s="1"/>
  <c r="B37" i="23" s="1"/>
  <c r="Q260" i="23"/>
  <c r="P260" i="23" s="1"/>
  <c r="V260" i="23" s="1"/>
  <c r="B260" i="23" s="1"/>
  <c r="Q166" i="23"/>
  <c r="P166" i="23" s="1"/>
  <c r="V166" i="23" s="1"/>
  <c r="B166" i="23" s="1"/>
  <c r="D166" i="23" s="1"/>
  <c r="E166" i="23" s="1"/>
  <c r="F166" i="23" s="1"/>
  <c r="G166" i="23" s="1"/>
  <c r="CD166" i="6" s="1"/>
  <c r="Q350" i="23"/>
  <c r="P350" i="23" s="1"/>
  <c r="V350" i="23" s="1"/>
  <c r="B350" i="23" s="1"/>
  <c r="Q95" i="23"/>
  <c r="P95" i="23" s="1"/>
  <c r="V95" i="23" s="1"/>
  <c r="B95" i="23" s="1"/>
  <c r="Q103" i="23"/>
  <c r="P103" i="23" s="1"/>
  <c r="V103" i="23" s="1"/>
  <c r="B103" i="23" s="1"/>
  <c r="Q89" i="23"/>
  <c r="P89" i="23" s="1"/>
  <c r="V89" i="23" s="1"/>
  <c r="B89" i="23" s="1"/>
  <c r="Q30" i="23"/>
  <c r="P30" i="23" s="1"/>
  <c r="V30" i="23" s="1"/>
  <c r="B30" i="23" s="1"/>
  <c r="Q258" i="23"/>
  <c r="P258" i="23" s="1"/>
  <c r="V258" i="23" s="1"/>
  <c r="B258" i="23" s="1"/>
  <c r="D258" i="23" s="1"/>
  <c r="E258" i="23" s="1"/>
  <c r="F258" i="23" s="1"/>
  <c r="Q25" i="23"/>
  <c r="P25" i="23" s="1"/>
  <c r="V25" i="23" s="1"/>
  <c r="B25" i="23" s="1"/>
  <c r="Q317" i="23"/>
  <c r="P317" i="23" s="1"/>
  <c r="V317" i="23" s="1"/>
  <c r="B317" i="23" s="1"/>
  <c r="Q332" i="23"/>
  <c r="P332" i="23" s="1"/>
  <c r="V332" i="23" s="1"/>
  <c r="B332" i="23" s="1"/>
  <c r="Q24" i="23"/>
  <c r="P24" i="23" s="1"/>
  <c r="V24" i="23" s="1"/>
  <c r="B24" i="23" s="1"/>
  <c r="Q341" i="23"/>
  <c r="P341" i="23" s="1"/>
  <c r="V341" i="23" s="1"/>
  <c r="B341" i="23" s="1"/>
  <c r="Q15" i="23"/>
  <c r="P15" i="23" s="1"/>
  <c r="Q298" i="23"/>
  <c r="P298" i="23" s="1"/>
  <c r="V298" i="23" s="1"/>
  <c r="B298" i="23" s="1"/>
  <c r="Q305" i="23"/>
  <c r="P305" i="23" s="1"/>
  <c r="V305" i="23" s="1"/>
  <c r="B305" i="23" s="1"/>
  <c r="Q346" i="23"/>
  <c r="P346" i="23" s="1"/>
  <c r="V346" i="23" s="1"/>
  <c r="B346" i="23" s="1"/>
  <c r="Q108" i="23"/>
  <c r="P108" i="23" s="1"/>
  <c r="V108" i="23" s="1"/>
  <c r="B108" i="23" s="1"/>
  <c r="Q238" i="23"/>
  <c r="P238" i="23" s="1"/>
  <c r="V238" i="23" s="1"/>
  <c r="B238" i="23" s="1"/>
  <c r="Q193" i="23"/>
  <c r="P193" i="23" s="1"/>
  <c r="V193" i="23" s="1"/>
  <c r="B193" i="23" s="1"/>
  <c r="Q303" i="23"/>
  <c r="P303" i="23" s="1"/>
  <c r="V303" i="23" s="1"/>
  <c r="B303" i="23" s="1"/>
  <c r="Q330" i="23"/>
  <c r="P330" i="23" s="1"/>
  <c r="V330" i="23" s="1"/>
  <c r="B330" i="23" s="1"/>
  <c r="Q331" i="23"/>
  <c r="P331" i="23" s="1"/>
  <c r="V331" i="23" s="1"/>
  <c r="B331" i="23" s="1"/>
  <c r="Q316" i="23"/>
  <c r="P316" i="23" s="1"/>
  <c r="V316" i="23" s="1"/>
  <c r="B316" i="23" s="1"/>
  <c r="Q325" i="23"/>
  <c r="P325" i="23" s="1"/>
  <c r="V325" i="23" s="1"/>
  <c r="B325" i="23" s="1"/>
  <c r="Q142" i="23"/>
  <c r="P142" i="23" s="1"/>
  <c r="V142" i="23" s="1"/>
  <c r="B142" i="23" s="1"/>
  <c r="Q61" i="23"/>
  <c r="P61" i="23" s="1"/>
  <c r="V61" i="23" s="1"/>
  <c r="B61" i="23" s="1"/>
  <c r="Q237" i="23"/>
  <c r="P237" i="23" s="1"/>
  <c r="V237" i="23" s="1"/>
  <c r="B237" i="23" s="1"/>
  <c r="Q121" i="23"/>
  <c r="P121" i="23" s="1"/>
  <c r="V121" i="23" s="1"/>
  <c r="B121" i="23" s="1"/>
  <c r="Q68" i="23"/>
  <c r="P68" i="23" s="1"/>
  <c r="V68" i="23" s="1"/>
  <c r="B68" i="23" s="1"/>
  <c r="Q105" i="23"/>
  <c r="P105" i="23" s="1"/>
  <c r="V105" i="23" s="1"/>
  <c r="B105" i="23" s="1"/>
  <c r="D105" i="23" s="1"/>
  <c r="E105" i="23" s="1"/>
  <c r="F105" i="23" s="1"/>
  <c r="Q115" i="23"/>
  <c r="P115" i="23" s="1"/>
  <c r="V115" i="23" s="1"/>
  <c r="B115" i="23" s="1"/>
  <c r="Q287" i="23"/>
  <c r="P287" i="23" s="1"/>
  <c r="V287" i="23" s="1"/>
  <c r="B287" i="23" s="1"/>
  <c r="Q62" i="23"/>
  <c r="P62" i="23" s="1"/>
  <c r="V62" i="23" s="1"/>
  <c r="B62" i="23" s="1"/>
  <c r="Q211" i="23"/>
  <c r="P211" i="23" s="1"/>
  <c r="V211" i="23" s="1"/>
  <c r="B211" i="23" s="1"/>
  <c r="Q338" i="23"/>
  <c r="P338" i="23" s="1"/>
  <c r="V338" i="23" s="1"/>
  <c r="B338" i="23" s="1"/>
  <c r="Q35" i="23"/>
  <c r="P35" i="23" s="1"/>
  <c r="V35" i="23" s="1"/>
  <c r="B35" i="23" s="1"/>
  <c r="Q362" i="23"/>
  <c r="P362" i="23" s="1"/>
  <c r="V362" i="23" s="1"/>
  <c r="B362" i="23" s="1"/>
  <c r="Q242" i="23"/>
  <c r="P242" i="23" s="1"/>
  <c r="V242" i="23" s="1"/>
  <c r="B242" i="23" s="1"/>
  <c r="Q111" i="23"/>
  <c r="P111" i="23" s="1"/>
  <c r="V111" i="23" s="1"/>
  <c r="B111" i="23" s="1"/>
  <c r="Q119" i="23"/>
  <c r="P119" i="23" s="1"/>
  <c r="Q280" i="23"/>
  <c r="P280" i="23" s="1"/>
  <c r="V280" i="23" s="1"/>
  <c r="B280" i="23" s="1"/>
  <c r="D280" i="23" s="1"/>
  <c r="E280" i="23" s="1"/>
  <c r="F280" i="23" s="1"/>
  <c r="H280" i="23" s="1"/>
  <c r="Q368" i="23"/>
  <c r="P368" i="23" s="1"/>
  <c r="V368" i="23" s="1"/>
  <c r="B368" i="23" s="1"/>
  <c r="Q64" i="23"/>
  <c r="P64" i="23" s="1"/>
  <c r="V64" i="23" s="1"/>
  <c r="B64" i="23" s="1"/>
  <c r="Q344" i="23"/>
  <c r="P344" i="23" s="1"/>
  <c r="V344" i="23" s="1"/>
  <c r="B344" i="23" s="1"/>
  <c r="Q209" i="23"/>
  <c r="P209" i="23" s="1"/>
  <c r="V209" i="23" s="1"/>
  <c r="B209" i="23" s="1"/>
  <c r="W209" i="23" s="1"/>
  <c r="Q335" i="23"/>
  <c r="P335" i="23" s="1"/>
  <c r="V335" i="23" s="1"/>
  <c r="B335" i="23" s="1"/>
  <c r="Q78" i="23"/>
  <c r="P78" i="23" s="1"/>
  <c r="V78" i="23" s="1"/>
  <c r="B78" i="23" s="1"/>
  <c r="Q328" i="23"/>
  <c r="P328" i="23" s="1"/>
  <c r="V328" i="23" s="1"/>
  <c r="B328" i="23" s="1"/>
  <c r="Q373" i="23"/>
  <c r="P373" i="23" s="1"/>
  <c r="V373" i="23" s="1"/>
  <c r="B373" i="23" s="1"/>
  <c r="D373" i="23" s="1"/>
  <c r="E373" i="23" s="1"/>
  <c r="F373" i="23" s="1"/>
  <c r="H373" i="23" s="1"/>
  <c r="Q270" i="23"/>
  <c r="P270" i="23" s="1"/>
  <c r="V270" i="23" s="1"/>
  <c r="B270" i="23" s="1"/>
  <c r="W270" i="23" s="1"/>
  <c r="Q225" i="23"/>
  <c r="P225" i="23" s="1"/>
  <c r="V225" i="23" s="1"/>
  <c r="B225" i="23" s="1"/>
  <c r="Q324" i="23"/>
  <c r="P324" i="23" s="1"/>
  <c r="V324" i="23" s="1"/>
  <c r="B324" i="23" s="1"/>
  <c r="Q139" i="23"/>
  <c r="P139" i="23" s="1"/>
  <c r="V139" i="23" s="1"/>
  <c r="B139" i="23" s="1"/>
  <c r="Q124" i="23"/>
  <c r="P124" i="23" s="1"/>
  <c r="V124" i="23" s="1"/>
  <c r="B124" i="23" s="1"/>
  <c r="Q314" i="23"/>
  <c r="P314" i="23" s="1"/>
  <c r="V314" i="23" s="1"/>
  <c r="B314" i="23" s="1"/>
  <c r="W314" i="23" s="1"/>
  <c r="Q257" i="23"/>
  <c r="P257" i="23" s="1"/>
  <c r="V257" i="23" s="1"/>
  <c r="B257" i="23" s="1"/>
  <c r="D257" i="23" s="1"/>
  <c r="E257" i="23" s="1"/>
  <c r="F257" i="23" s="1"/>
  <c r="H257" i="23" s="1"/>
  <c r="Q21" i="23"/>
  <c r="P21" i="23" s="1"/>
  <c r="V21" i="23" s="1"/>
  <c r="B21" i="23" s="1"/>
  <c r="Q92" i="23"/>
  <c r="P92" i="23" s="1"/>
  <c r="V92" i="23" s="1"/>
  <c r="B92" i="23" s="1"/>
  <c r="Q22" i="23"/>
  <c r="P22" i="23" s="1"/>
  <c r="V22" i="23" s="1"/>
  <c r="B22" i="23" s="1"/>
  <c r="W22" i="23" s="1"/>
  <c r="Q102" i="23"/>
  <c r="P102" i="23" s="1"/>
  <c r="V102" i="23" s="1"/>
  <c r="B102" i="23" s="1"/>
  <c r="Q246" i="23"/>
  <c r="P246" i="23" s="1"/>
  <c r="V246" i="23" s="1"/>
  <c r="B246" i="23" s="1"/>
  <c r="Q229" i="23"/>
  <c r="P229" i="23" s="1"/>
  <c r="V229" i="23" s="1"/>
  <c r="B229" i="23" s="1"/>
  <c r="Q27" i="23"/>
  <c r="P27" i="23" s="1"/>
  <c r="V27" i="23" s="1"/>
  <c r="B27" i="23" s="1"/>
  <c r="W27" i="23" s="1"/>
  <c r="Q144" i="23"/>
  <c r="P144" i="23" s="1"/>
  <c r="V144" i="23" s="1"/>
  <c r="B144" i="23" s="1"/>
  <c r="D144" i="23" s="1"/>
  <c r="E144" i="23" s="1"/>
  <c r="F144" i="23" s="1"/>
  <c r="H144" i="23" s="1"/>
  <c r="Q268" i="23"/>
  <c r="P268" i="23" s="1"/>
  <c r="V268" i="23" s="1"/>
  <c r="B268" i="23" s="1"/>
  <c r="AE85" i="23"/>
  <c r="AD85" i="23" s="1"/>
  <c r="AE45" i="23"/>
  <c r="AD45" i="23" s="1"/>
  <c r="AE100" i="23"/>
  <c r="AD100" i="23" s="1"/>
  <c r="AE43" i="23"/>
  <c r="AD43" i="23" s="1"/>
  <c r="AE89" i="23"/>
  <c r="AD89" i="23" s="1"/>
  <c r="AE87" i="23"/>
  <c r="AD87" i="23" s="1"/>
  <c r="AE210" i="23"/>
  <c r="AD210" i="23" s="1"/>
  <c r="AE98" i="23"/>
  <c r="AD98" i="23" s="1"/>
  <c r="AE131" i="23"/>
  <c r="AD131" i="23" s="1"/>
  <c r="AE101" i="23"/>
  <c r="AD101" i="23" s="1"/>
  <c r="AE102" i="23"/>
  <c r="AD102" i="23" s="1"/>
  <c r="AE77" i="23"/>
  <c r="AD77" i="23" s="1"/>
  <c r="AE287" i="23"/>
  <c r="AD287" i="23" s="1"/>
  <c r="AE15" i="23"/>
  <c r="AD15" i="23" s="1"/>
  <c r="AE86" i="23"/>
  <c r="AD86" i="23" s="1"/>
  <c r="AE65" i="23"/>
  <c r="AD65" i="23" s="1"/>
  <c r="AE76" i="23"/>
  <c r="AD76" i="23" s="1"/>
  <c r="AE33" i="23"/>
  <c r="AD33" i="23" s="1"/>
  <c r="AE72" i="23"/>
  <c r="AD72" i="23" s="1"/>
  <c r="AE56" i="23"/>
  <c r="AD56" i="23" s="1"/>
  <c r="AE63" i="23"/>
  <c r="AD63" i="23" s="1"/>
  <c r="AE167" i="23"/>
  <c r="AD167" i="23" s="1"/>
  <c r="AE69" i="23"/>
  <c r="AD69" i="23" s="1"/>
  <c r="AE320" i="23"/>
  <c r="AD320" i="23" s="1"/>
  <c r="AE47" i="23"/>
  <c r="AD47" i="23" s="1"/>
  <c r="AE24" i="23"/>
  <c r="AD24" i="23" s="1"/>
  <c r="AE323" i="23"/>
  <c r="AD323" i="23" s="1"/>
  <c r="AE55" i="23"/>
  <c r="AD55" i="23" s="1"/>
  <c r="AE50" i="23"/>
  <c r="AD50" i="23" s="1"/>
  <c r="AE35" i="23"/>
  <c r="AD35" i="23" s="1"/>
  <c r="AE64" i="23"/>
  <c r="AD64" i="23" s="1"/>
  <c r="AE20" i="23"/>
  <c r="AD20" i="23" s="1"/>
  <c r="AE74" i="23"/>
  <c r="AD74" i="23" s="1"/>
  <c r="AE31" i="23"/>
  <c r="AD31" i="23" s="1"/>
  <c r="AE21" i="23"/>
  <c r="AD21" i="23" s="1"/>
  <c r="AE216" i="23"/>
  <c r="AD216" i="23" s="1"/>
  <c r="AE49" i="23"/>
  <c r="AD49" i="23" s="1"/>
  <c r="AE146" i="23"/>
  <c r="AD146" i="23" s="1"/>
  <c r="AE93" i="23"/>
  <c r="AD93" i="23" s="1"/>
  <c r="AE124" i="23"/>
  <c r="AD124" i="23" s="1"/>
  <c r="AE71" i="23"/>
  <c r="AD71" i="23" s="1"/>
  <c r="AE363" i="23"/>
  <c r="AD363" i="23" s="1"/>
  <c r="AE18" i="23"/>
  <c r="AD18" i="23" s="1"/>
  <c r="AE234" i="23"/>
  <c r="AD234" i="23" s="1"/>
  <c r="AE46" i="23"/>
  <c r="AD46" i="23" s="1"/>
  <c r="AE37" i="23"/>
  <c r="AD37" i="23" s="1"/>
  <c r="AE112" i="23"/>
  <c r="AD112" i="23" s="1"/>
  <c r="AE68" i="23"/>
  <c r="AD68" i="23" s="1"/>
  <c r="AE91" i="23"/>
  <c r="AD91" i="23" s="1"/>
  <c r="AE97" i="23"/>
  <c r="AD97" i="23" s="1"/>
  <c r="AE239" i="23"/>
  <c r="AD239" i="23" s="1"/>
  <c r="AE39" i="23"/>
  <c r="AD39" i="23" s="1"/>
  <c r="Q208" i="23"/>
  <c r="P208" i="23" s="1"/>
  <c r="V208" i="23" s="1"/>
  <c r="B208" i="23" s="1"/>
  <c r="W208" i="23" s="1"/>
  <c r="Q199" i="23"/>
  <c r="P199" i="23" s="1"/>
  <c r="V199" i="23" s="1"/>
  <c r="B199" i="23" s="1"/>
  <c r="W199" i="23" s="1"/>
  <c r="Q46" i="23"/>
  <c r="P46" i="23" s="1"/>
  <c r="V46" i="23" s="1"/>
  <c r="B46" i="23" s="1"/>
  <c r="W46" i="23" s="1"/>
  <c r="Q182" i="23"/>
  <c r="P182" i="23" s="1"/>
  <c r="V182" i="23" s="1"/>
  <c r="B182" i="23" s="1"/>
  <c r="Q55" i="23"/>
  <c r="P55" i="23" s="1"/>
  <c r="V55" i="23" s="1"/>
  <c r="B55" i="23" s="1"/>
  <c r="D55" i="23" s="1"/>
  <c r="E55" i="23" s="1"/>
  <c r="F55" i="23" s="1"/>
  <c r="G55" i="23" s="1"/>
  <c r="CD55" i="6" s="1"/>
  <c r="Q152" i="23"/>
  <c r="P152" i="23" s="1"/>
  <c r="V152" i="23" s="1"/>
  <c r="B152" i="23" s="1"/>
  <c r="Q156" i="23"/>
  <c r="P156" i="23" s="1"/>
  <c r="V156" i="23" s="1"/>
  <c r="B156" i="23" s="1"/>
  <c r="W156" i="23" s="1"/>
  <c r="Q32" i="23"/>
  <c r="P32" i="23" s="1"/>
  <c r="V32" i="23" s="1"/>
  <c r="B32" i="23" s="1"/>
  <c r="D32" i="23" s="1"/>
  <c r="E32" i="23" s="1"/>
  <c r="F32" i="23" s="1"/>
  <c r="Q17" i="23"/>
  <c r="P17" i="23" s="1"/>
  <c r="V17" i="23" s="1"/>
  <c r="B17" i="23" s="1"/>
  <c r="Q250" i="23"/>
  <c r="P250" i="23" s="1"/>
  <c r="V250" i="23" s="1"/>
  <c r="B250" i="23" s="1"/>
  <c r="Q301" i="23"/>
  <c r="P301" i="23" s="1"/>
  <c r="V301" i="23" s="1"/>
  <c r="B301" i="23" s="1"/>
  <c r="D301" i="23" s="1"/>
  <c r="E301" i="23" s="1"/>
  <c r="F301" i="23" s="1"/>
  <c r="G301" i="23" s="1"/>
  <c r="CD301" i="6" s="1"/>
  <c r="Q343" i="23"/>
  <c r="P343" i="23" s="1"/>
  <c r="V343" i="23" s="1"/>
  <c r="B343" i="23" s="1"/>
  <c r="Q153" i="23"/>
  <c r="P153" i="23" s="1"/>
  <c r="V153" i="23" s="1"/>
  <c r="B153" i="23" s="1"/>
  <c r="Q97" i="23"/>
  <c r="P97" i="23" s="1"/>
  <c r="V97" i="23" s="1"/>
  <c r="B97" i="23" s="1"/>
  <c r="W97" i="23" s="1"/>
  <c r="Q196" i="23"/>
  <c r="P196" i="23" s="1"/>
  <c r="V196" i="23" s="1"/>
  <c r="B196" i="23" s="1"/>
  <c r="D196" i="23" s="1"/>
  <c r="E196" i="23" s="1"/>
  <c r="F196" i="23" s="1"/>
  <c r="Q93" i="23"/>
  <c r="P93" i="23" s="1"/>
  <c r="V93" i="23" s="1"/>
  <c r="B93" i="23" s="1"/>
  <c r="W93" i="23" s="1"/>
  <c r="Q94" i="23"/>
  <c r="P94" i="23" s="1"/>
  <c r="V94" i="23" s="1"/>
  <c r="B94" i="23" s="1"/>
  <c r="Q309" i="23"/>
  <c r="P309" i="23" s="1"/>
  <c r="V309" i="23" s="1"/>
  <c r="B309" i="23" s="1"/>
  <c r="Q284" i="23"/>
  <c r="P284" i="23" s="1"/>
  <c r="V284" i="23" s="1"/>
  <c r="B284" i="23" s="1"/>
  <c r="W284" i="23" s="1"/>
  <c r="Q174" i="23"/>
  <c r="P174" i="23" s="1"/>
  <c r="V174" i="23" s="1"/>
  <c r="B174" i="23" s="1"/>
  <c r="W174" i="23" s="1"/>
  <c r="Q65" i="23"/>
  <c r="P65" i="23" s="1"/>
  <c r="V65" i="23" s="1"/>
  <c r="B65" i="23" s="1"/>
  <c r="Q66" i="23"/>
  <c r="P66" i="23" s="1"/>
  <c r="V66" i="23" s="1"/>
  <c r="B66" i="23" s="1"/>
  <c r="Q190" i="23"/>
  <c r="P190" i="23" s="1"/>
  <c r="V190" i="23" s="1"/>
  <c r="B190" i="23" s="1"/>
  <c r="Q210" i="23"/>
  <c r="P210" i="23" s="1"/>
  <c r="Q359" i="23"/>
  <c r="P359" i="23" s="1"/>
  <c r="V359" i="23" s="1"/>
  <c r="B359" i="23" s="1"/>
  <c r="W359" i="23" s="1"/>
  <c r="Q352" i="23"/>
  <c r="P352" i="23" s="1"/>
  <c r="V352" i="23" s="1"/>
  <c r="B352" i="23" s="1"/>
  <c r="Q337" i="23"/>
  <c r="P337" i="23" s="1"/>
  <c r="V337" i="23" s="1"/>
  <c r="B337" i="23" s="1"/>
  <c r="Q26" i="23"/>
  <c r="P26" i="23" s="1"/>
  <c r="V26" i="23" s="1"/>
  <c r="B26" i="23" s="1"/>
  <c r="Q206" i="23"/>
  <c r="P206" i="23" s="1"/>
  <c r="V206" i="23" s="1"/>
  <c r="B206" i="23" s="1"/>
  <c r="Q80" i="23"/>
  <c r="P80" i="23" s="1"/>
  <c r="V80" i="23" s="1"/>
  <c r="B80" i="23" s="1"/>
  <c r="Q304" i="23"/>
  <c r="P304" i="23" s="1"/>
  <c r="V304" i="23" s="1"/>
  <c r="B304" i="23" s="1"/>
  <c r="Q293" i="23"/>
  <c r="P293" i="23" s="1"/>
  <c r="V293" i="23" s="1"/>
  <c r="B293" i="23" s="1"/>
  <c r="Q180" i="23"/>
  <c r="P180" i="23" s="1"/>
  <c r="Q266" i="23"/>
  <c r="P266" i="23" s="1"/>
  <c r="V266" i="23" s="1"/>
  <c r="B266" i="23" s="1"/>
  <c r="Q172" i="23"/>
  <c r="P172" i="23" s="1"/>
  <c r="V172" i="23" s="1"/>
  <c r="B172" i="23" s="1"/>
  <c r="D172" i="23" s="1"/>
  <c r="E172" i="23" s="1"/>
  <c r="F172" i="23" s="1"/>
  <c r="G172" i="23" s="1"/>
  <c r="CD172" i="6" s="1"/>
  <c r="Q107" i="23"/>
  <c r="P107" i="23" s="1"/>
  <c r="V107" i="23" s="1"/>
  <c r="B107" i="23" s="1"/>
  <c r="Q76" i="23"/>
  <c r="P76" i="23" s="1"/>
  <c r="V76" i="23" s="1"/>
  <c r="B76" i="23" s="1"/>
  <c r="Q234" i="23"/>
  <c r="P234" i="23" s="1"/>
  <c r="V234" i="23" s="1"/>
  <c r="B234" i="23" s="1"/>
  <c r="Q85" i="23"/>
  <c r="P85" i="23" s="1"/>
  <c r="V85" i="23" s="1"/>
  <c r="B85" i="23" s="1"/>
  <c r="Q220" i="23"/>
  <c r="P220" i="23" s="1"/>
  <c r="V220" i="23" s="1"/>
  <c r="B220" i="23" s="1"/>
  <c r="Q88" i="23"/>
  <c r="P88" i="23" s="1"/>
  <c r="Q100" i="23"/>
  <c r="P100" i="23" s="1"/>
  <c r="V100" i="23" s="1"/>
  <c r="B100" i="23" s="1"/>
  <c r="Q90" i="23"/>
  <c r="P90" i="23" s="1"/>
  <c r="V90" i="23" s="1"/>
  <c r="B90" i="23" s="1"/>
  <c r="Q334" i="23"/>
  <c r="P334" i="23" s="1"/>
  <c r="V334" i="23" s="1"/>
  <c r="B334" i="23" s="1"/>
  <c r="Q347" i="23"/>
  <c r="P347" i="23" s="1"/>
  <c r="V347" i="23" s="1"/>
  <c r="B347" i="23" s="1"/>
  <c r="Q54" i="23"/>
  <c r="P54" i="23" s="1"/>
  <c r="V54" i="23" s="1"/>
  <c r="B54" i="23" s="1"/>
  <c r="Q236" i="23"/>
  <c r="P236" i="23" s="1"/>
  <c r="V236" i="23" s="1"/>
  <c r="B236" i="23" s="1"/>
  <c r="Q265" i="23"/>
  <c r="P265" i="23" s="1"/>
  <c r="V265" i="23" s="1"/>
  <c r="B265" i="23" s="1"/>
  <c r="Q288" i="23"/>
  <c r="P288" i="23" s="1"/>
  <c r="V288" i="23" s="1"/>
  <c r="B288" i="23" s="1"/>
  <c r="W288" i="23" s="1"/>
  <c r="Q273" i="23"/>
  <c r="P273" i="23" s="1"/>
  <c r="V273" i="23" s="1"/>
  <c r="B273" i="23" s="1"/>
  <c r="Q141" i="23"/>
  <c r="P141" i="23" s="1"/>
  <c r="V141" i="23" s="1"/>
  <c r="B141" i="23" s="1"/>
  <c r="W141" i="23" s="1"/>
  <c r="Q173" i="23"/>
  <c r="P173" i="23" s="1"/>
  <c r="V173" i="23" s="1"/>
  <c r="B173" i="23" s="1"/>
  <c r="D173" i="23" s="1"/>
  <c r="E173" i="23" s="1"/>
  <c r="F173" i="23" s="1"/>
  <c r="H173" i="23" s="1"/>
  <c r="Q87" i="23"/>
  <c r="P87" i="23" s="1"/>
  <c r="V87" i="23" s="1"/>
  <c r="B87" i="23" s="1"/>
  <c r="Q333" i="23"/>
  <c r="P333" i="23" s="1"/>
  <c r="Q372" i="23"/>
  <c r="P372" i="23" s="1"/>
  <c r="V372" i="23" s="1"/>
  <c r="B372" i="23" s="1"/>
  <c r="Q285" i="23"/>
  <c r="P285" i="23" s="1"/>
  <c r="V285" i="23" s="1"/>
  <c r="B285" i="23" s="1"/>
  <c r="Q60" i="23"/>
  <c r="P60" i="23" s="1"/>
  <c r="Q69" i="23"/>
  <c r="P69" i="23" s="1"/>
  <c r="V69" i="23" s="1"/>
  <c r="B69" i="23" s="1"/>
  <c r="Q251" i="23"/>
  <c r="P251" i="23" s="1"/>
  <c r="V251" i="23" s="1"/>
  <c r="B251" i="23" s="1"/>
  <c r="Q170" i="23"/>
  <c r="P170" i="23" s="1"/>
  <c r="V170" i="23" s="1"/>
  <c r="B170" i="23" s="1"/>
  <c r="Q247" i="23"/>
  <c r="P247" i="23" s="1"/>
  <c r="V247" i="23" s="1"/>
  <c r="B247" i="23" s="1"/>
  <c r="W247" i="23" s="1"/>
  <c r="Q171" i="23"/>
  <c r="P171" i="23" s="1"/>
  <c r="V171" i="23" s="1"/>
  <c r="B171" i="23" s="1"/>
  <c r="Q240" i="23"/>
  <c r="P240" i="23" s="1"/>
  <c r="V240" i="23" s="1"/>
  <c r="B240" i="23" s="1"/>
  <c r="Q165" i="23"/>
  <c r="P165" i="23" s="1"/>
  <c r="V165" i="23" s="1"/>
  <c r="B165" i="23" s="1"/>
  <c r="Q19" i="23"/>
  <c r="P19" i="23" s="1"/>
  <c r="V19" i="23" s="1"/>
  <c r="B19" i="23" s="1"/>
  <c r="Q179" i="23"/>
  <c r="P179" i="23" s="1"/>
  <c r="V179" i="23" s="1"/>
  <c r="B179" i="23" s="1"/>
  <c r="Q164" i="23"/>
  <c r="P164" i="23" s="1"/>
  <c r="V164" i="23" s="1"/>
  <c r="B164" i="23" s="1"/>
  <c r="Q40" i="23"/>
  <c r="P40" i="23" s="1"/>
  <c r="V40" i="23" s="1"/>
  <c r="B40" i="23" s="1"/>
  <c r="Q200" i="23"/>
  <c r="P200" i="23" s="1"/>
  <c r="V200" i="23" s="1"/>
  <c r="B200" i="23" s="1"/>
  <c r="Q117" i="23"/>
  <c r="P117" i="23" s="1"/>
  <c r="V117" i="23" s="1"/>
  <c r="B117" i="23" s="1"/>
  <c r="W117" i="23" s="1"/>
  <c r="Q379" i="23"/>
  <c r="Q353" i="23"/>
  <c r="P353" i="23" s="1"/>
  <c r="V353" i="23" s="1"/>
  <c r="B353" i="23" s="1"/>
  <c r="Q255" i="23"/>
  <c r="P255" i="23" s="1"/>
  <c r="V255" i="23" s="1"/>
  <c r="B255" i="23" s="1"/>
  <c r="Q248" i="23"/>
  <c r="P248" i="23" s="1"/>
  <c r="V248" i="23" s="1"/>
  <c r="B248" i="23" s="1"/>
  <c r="W248" i="23" s="1"/>
  <c r="Q233" i="23"/>
  <c r="P233" i="23" s="1"/>
  <c r="V233" i="23" s="1"/>
  <c r="B233" i="23" s="1"/>
  <c r="D233" i="23" s="1"/>
  <c r="E233" i="23" s="1"/>
  <c r="F233" i="23" s="1"/>
  <c r="G233" i="23" s="1"/>
  <c r="CD233" i="6" s="1"/>
  <c r="Q162" i="23"/>
  <c r="P162" i="23" s="1"/>
  <c r="V162" i="23" s="1"/>
  <c r="B162" i="23" s="1"/>
  <c r="Q137" i="23"/>
  <c r="P137" i="23" s="1"/>
  <c r="V137" i="23" s="1"/>
  <c r="B137" i="23" s="1"/>
  <c r="Q57" i="23"/>
  <c r="P57" i="23" s="1"/>
  <c r="V57" i="23" s="1"/>
  <c r="B57" i="23" s="1"/>
  <c r="D57" i="23" s="1"/>
  <c r="E57" i="23" s="1"/>
  <c r="F57" i="23" s="1"/>
  <c r="H57" i="23" s="1"/>
  <c r="Q212" i="23"/>
  <c r="P212" i="23" s="1"/>
  <c r="V212" i="23" s="1"/>
  <c r="B212" i="23" s="1"/>
  <c r="W212" i="23" s="1"/>
  <c r="Q322" i="23"/>
  <c r="P322" i="23" s="1"/>
  <c r="V322" i="23" s="1"/>
  <c r="B322" i="23" s="1"/>
  <c r="W322" i="23" s="1"/>
  <c r="Q329" i="23"/>
  <c r="P329" i="23" s="1"/>
  <c r="V329" i="23" s="1"/>
  <c r="B329" i="23" s="1"/>
  <c r="D329" i="23" s="1"/>
  <c r="E329" i="23" s="1"/>
  <c r="F329" i="23" s="1"/>
  <c r="G329" i="23" s="1"/>
  <c r="CD329" i="6" s="1"/>
  <c r="Q189" i="23"/>
  <c r="P189" i="23" s="1"/>
  <c r="V189" i="23" s="1"/>
  <c r="B189" i="23" s="1"/>
  <c r="W189" i="23" s="1"/>
  <c r="Q356" i="23"/>
  <c r="P356" i="23" s="1"/>
  <c r="V356" i="23" s="1"/>
  <c r="B356" i="23" s="1"/>
  <c r="Q218" i="23"/>
  <c r="P218" i="23" s="1"/>
  <c r="V218" i="23" s="1"/>
  <c r="B218" i="23" s="1"/>
  <c r="Q217" i="23"/>
  <c r="P217" i="23" s="1"/>
  <c r="V217" i="23" s="1"/>
  <c r="B217" i="23" s="1"/>
  <c r="W217" i="23" s="1"/>
  <c r="Q219" i="23"/>
  <c r="P219" i="23" s="1"/>
  <c r="V219" i="23" s="1"/>
  <c r="B219" i="23" s="1"/>
  <c r="Q163" i="23"/>
  <c r="P163" i="23" s="1"/>
  <c r="V163" i="23" s="1"/>
  <c r="B163" i="23" s="1"/>
  <c r="Q177" i="23"/>
  <c r="P177" i="23" s="1"/>
  <c r="V177" i="23" s="1"/>
  <c r="B177" i="23" s="1"/>
  <c r="Q376" i="23"/>
  <c r="P376" i="23" s="1"/>
  <c r="V376" i="23" s="1"/>
  <c r="B376" i="23" s="1"/>
  <c r="Q361" i="23"/>
  <c r="P361" i="23" s="1"/>
  <c r="V361" i="23" s="1"/>
  <c r="B361" i="23" s="1"/>
  <c r="Q160" i="23"/>
  <c r="P160" i="23" s="1"/>
  <c r="V160" i="23" s="1"/>
  <c r="B160" i="23" s="1"/>
  <c r="Q145" i="23"/>
  <c r="P145" i="23" s="1"/>
  <c r="V145" i="23" s="1"/>
  <c r="B145" i="23" s="1"/>
  <c r="W145" i="23" s="1"/>
  <c r="Q378" i="23"/>
  <c r="P378" i="23" s="1"/>
  <c r="V378" i="23" s="1"/>
  <c r="B378" i="23" s="1"/>
  <c r="D378" i="23" s="1"/>
  <c r="E378" i="23" s="1"/>
  <c r="F378" i="23" s="1"/>
  <c r="H378" i="23" s="1"/>
  <c r="Q214" i="23"/>
  <c r="P214" i="23" s="1"/>
  <c r="V214" i="23" s="1"/>
  <c r="B214" i="23" s="1"/>
  <c r="Q281" i="23"/>
  <c r="P281" i="23" s="1"/>
  <c r="V281" i="23" s="1"/>
  <c r="B281" i="23" s="1"/>
  <c r="Q112" i="23"/>
  <c r="P112" i="23" s="1"/>
  <c r="V112" i="23" s="1"/>
  <c r="B112" i="23" s="1"/>
  <c r="Q79" i="23"/>
  <c r="P79" i="23" s="1"/>
  <c r="V79" i="23" s="1"/>
  <c r="B79" i="23" s="1"/>
  <c r="Q44" i="23"/>
  <c r="P44" i="23" s="1"/>
  <c r="V44" i="23" s="1"/>
  <c r="B44" i="23" s="1"/>
  <c r="Q154" i="23"/>
  <c r="P154" i="23" s="1"/>
  <c r="V154" i="23" s="1"/>
  <c r="B154" i="23" s="1"/>
  <c r="Q342" i="23"/>
  <c r="P342" i="23" s="1"/>
  <c r="V342" i="23" s="1"/>
  <c r="B342" i="23" s="1"/>
  <c r="Q194" i="23"/>
  <c r="P194" i="23" s="1"/>
  <c r="V194" i="23" s="1"/>
  <c r="B194" i="23" s="1"/>
  <c r="Q232" i="23"/>
  <c r="P232" i="23" s="1"/>
  <c r="V232" i="23" s="1"/>
  <c r="B232" i="23" s="1"/>
  <c r="Q201" i="23"/>
  <c r="P201" i="23" s="1"/>
  <c r="V201" i="23" s="1"/>
  <c r="B201" i="23" s="1"/>
  <c r="Q49" i="23"/>
  <c r="P49" i="23" s="1"/>
  <c r="V49" i="23" s="1"/>
  <c r="B49" i="23" s="1"/>
  <c r="Q364" i="23"/>
  <c r="P364" i="23" s="1"/>
  <c r="V364" i="23" s="1"/>
  <c r="B364" i="23" s="1"/>
  <c r="Q310" i="23"/>
  <c r="P310" i="23" s="1"/>
  <c r="V310" i="23" s="1"/>
  <c r="B310" i="23" s="1"/>
  <c r="Q158" i="23"/>
  <c r="P158" i="23" s="1"/>
  <c r="V158" i="23" s="1"/>
  <c r="B158" i="23" s="1"/>
  <c r="Q307" i="23"/>
  <c r="P307" i="23" s="1"/>
  <c r="V307" i="23" s="1"/>
  <c r="B307" i="23" s="1"/>
  <c r="Q168" i="23"/>
  <c r="P168" i="23" s="1"/>
  <c r="V168" i="23" s="1"/>
  <c r="B168" i="23" s="1"/>
  <c r="Q176" i="23"/>
  <c r="P176" i="23" s="1"/>
  <c r="V176" i="23" s="1"/>
  <c r="B176" i="23" s="1"/>
  <c r="Q161" i="23"/>
  <c r="P161" i="23" s="1"/>
  <c r="V161" i="23" s="1"/>
  <c r="B161" i="23" s="1"/>
  <c r="Q159" i="23"/>
  <c r="P159" i="23" s="1"/>
  <c r="V159" i="23" s="1"/>
  <c r="B159" i="23" s="1"/>
  <c r="Q369" i="23"/>
  <c r="P369" i="23" s="1"/>
  <c r="V369" i="23" s="1"/>
  <c r="B369" i="23" s="1"/>
  <c r="Q254" i="23"/>
  <c r="P254" i="23" s="1"/>
  <c r="V254" i="23" s="1"/>
  <c r="B254" i="23" s="1"/>
  <c r="Q73" i="23"/>
  <c r="P73" i="23" s="1"/>
  <c r="V73" i="23" s="1"/>
  <c r="B73" i="23" s="1"/>
  <c r="Q228" i="23"/>
  <c r="P228" i="23" s="1"/>
  <c r="V228" i="23" s="1"/>
  <c r="B228" i="23" s="1"/>
  <c r="Q244" i="23"/>
  <c r="P244" i="23" s="1"/>
  <c r="V244" i="23" s="1"/>
  <c r="B244" i="23" s="1"/>
  <c r="Q205" i="23"/>
  <c r="P205" i="23" s="1"/>
  <c r="V205" i="23" s="1"/>
  <c r="B205" i="23" s="1"/>
  <c r="Q150" i="23"/>
  <c r="P150" i="23" s="1"/>
  <c r="V150" i="23" s="1"/>
  <c r="B150" i="23" s="1"/>
  <c r="Q147" i="23"/>
  <c r="P147" i="23" s="1"/>
  <c r="V147" i="23" s="1"/>
  <c r="B147" i="23" s="1"/>
  <c r="Q41" i="23"/>
  <c r="P41" i="23" s="1"/>
  <c r="V41" i="23" s="1"/>
  <c r="B41" i="23" s="1"/>
  <c r="W41" i="23" s="1"/>
  <c r="Q50" i="23"/>
  <c r="P50" i="23" s="1"/>
  <c r="V50" i="23" s="1"/>
  <c r="B50" i="23" s="1"/>
  <c r="D50" i="23" s="1"/>
  <c r="E50" i="23" s="1"/>
  <c r="F50" i="23" s="1"/>
  <c r="H50" i="23" s="1"/>
  <c r="Q51" i="23"/>
  <c r="P51" i="23" s="1"/>
  <c r="V51" i="23" s="1"/>
  <c r="B51" i="23" s="1"/>
  <c r="W51" i="23" s="1"/>
  <c r="Q36" i="23"/>
  <c r="P36" i="23" s="1"/>
  <c r="V36" i="23" s="1"/>
  <c r="B36" i="23" s="1"/>
  <c r="D36" i="23" s="1"/>
  <c r="E36" i="23" s="1"/>
  <c r="F36" i="23" s="1"/>
  <c r="G36" i="23" s="1"/>
  <c r="CD36" i="6" s="1"/>
  <c r="Q269" i="23"/>
  <c r="P269" i="23" s="1"/>
  <c r="V269" i="23" s="1"/>
  <c r="B269" i="23" s="1"/>
  <c r="Q151" i="23"/>
  <c r="P151" i="23" s="1"/>
  <c r="V151" i="23" s="1"/>
  <c r="B151" i="23" s="1"/>
  <c r="D151" i="23" s="1"/>
  <c r="E151" i="23" s="1"/>
  <c r="F151" i="23" s="1"/>
  <c r="G151" i="23" s="1"/>
  <c r="CD151" i="6" s="1"/>
  <c r="Q86" i="23"/>
  <c r="P86" i="23" s="1"/>
  <c r="V86" i="23" s="1"/>
  <c r="B86" i="23" s="1"/>
  <c r="Q230" i="23"/>
  <c r="P230" i="23" s="1"/>
  <c r="V230" i="23" s="1"/>
  <c r="B230" i="23" s="1"/>
  <c r="Q202" i="23"/>
  <c r="P202" i="23" s="1"/>
  <c r="V202" i="23" s="1"/>
  <c r="B202" i="23" s="1"/>
  <c r="D202" i="23" s="1"/>
  <c r="E202" i="23" s="1"/>
  <c r="F202" i="23" s="1"/>
  <c r="H202" i="23" s="1"/>
  <c r="Q203" i="23"/>
  <c r="P203" i="23" s="1"/>
  <c r="V203" i="23" s="1"/>
  <c r="B203" i="23" s="1"/>
  <c r="Q53" i="23"/>
  <c r="P53" i="23" s="1"/>
  <c r="V53" i="23" s="1"/>
  <c r="B53" i="23" s="1"/>
  <c r="D53" i="23" s="1"/>
  <c r="E53" i="23" s="1"/>
  <c r="F53" i="23" s="1"/>
  <c r="G53" i="23" s="1"/>
  <c r="CD53" i="6" s="1"/>
  <c r="Q28" i="23"/>
  <c r="P28" i="23" s="1"/>
  <c r="V28" i="23" s="1"/>
  <c r="B28" i="23" s="1"/>
  <c r="W28" i="23" s="1"/>
  <c r="Q302" i="23"/>
  <c r="P302" i="23" s="1"/>
  <c r="AH53" i="7" s="1"/>
  <c r="Q321" i="23"/>
  <c r="P321" i="23" s="1"/>
  <c r="V321" i="23" s="1"/>
  <c r="B321" i="23" s="1"/>
  <c r="D321" i="23" s="1"/>
  <c r="E321" i="23" s="1"/>
  <c r="F321" i="23" s="1"/>
  <c r="G321" i="23" s="1"/>
  <c r="CD321" i="6" s="1"/>
  <c r="Q311" i="23"/>
  <c r="P311" i="23" s="1"/>
  <c r="V311" i="23" s="1"/>
  <c r="B311" i="23" s="1"/>
  <c r="W311" i="23" s="1"/>
  <c r="Q299" i="23"/>
  <c r="P299" i="23" s="1"/>
  <c r="V299" i="23" s="1"/>
  <c r="B299" i="23" s="1"/>
  <c r="Q256" i="23"/>
  <c r="P256" i="23" s="1"/>
  <c r="V256" i="23" s="1"/>
  <c r="B256" i="23" s="1"/>
  <c r="D256" i="23" s="1"/>
  <c r="E256" i="23" s="1"/>
  <c r="F256" i="23" s="1"/>
  <c r="Q297" i="23"/>
  <c r="P297" i="23" s="1"/>
  <c r="V297" i="23" s="1"/>
  <c r="B297" i="23" s="1"/>
  <c r="W297" i="23" s="1"/>
  <c r="Q215" i="23"/>
  <c r="P215" i="23" s="1"/>
  <c r="V215" i="23" s="1"/>
  <c r="B215" i="23" s="1"/>
  <c r="Q340" i="23"/>
  <c r="P340" i="23" s="1"/>
  <c r="V340" i="23" s="1"/>
  <c r="B340" i="23" s="1"/>
  <c r="W340" i="23" s="1"/>
  <c r="Q120" i="23"/>
  <c r="P120" i="23" s="1"/>
  <c r="V120" i="23" s="1"/>
  <c r="B120" i="23" s="1"/>
  <c r="W120" i="23" s="1"/>
  <c r="Q114" i="23"/>
  <c r="P114" i="23" s="1"/>
  <c r="V114" i="23" s="1"/>
  <c r="B114" i="23" s="1"/>
  <c r="W114" i="23" s="1"/>
  <c r="Q360" i="23"/>
  <c r="P360" i="23" s="1"/>
  <c r="V360" i="23" s="1"/>
  <c r="B360" i="23" s="1"/>
  <c r="W360" i="23" s="1"/>
  <c r="Q375" i="23"/>
  <c r="P375" i="23" s="1"/>
  <c r="V375" i="23" s="1"/>
  <c r="B375" i="23" s="1"/>
  <c r="W375" i="23" s="1"/>
  <c r="Q259" i="23"/>
  <c r="P259" i="23" s="1"/>
  <c r="V259" i="23" s="1"/>
  <c r="B259" i="23" s="1"/>
  <c r="Q355" i="23"/>
  <c r="P355" i="23" s="1"/>
  <c r="V355" i="23" s="1"/>
  <c r="B355" i="23" s="1"/>
  <c r="Q155" i="23"/>
  <c r="P155" i="23" s="1"/>
  <c r="V155" i="23" s="1"/>
  <c r="B155" i="23" s="1"/>
  <c r="D155" i="23" s="1"/>
  <c r="E155" i="23" s="1"/>
  <c r="F155" i="23" s="1"/>
  <c r="H155" i="23" s="1"/>
  <c r="Q140" i="23"/>
  <c r="P140" i="23" s="1"/>
  <c r="V140" i="23" s="1"/>
  <c r="B140" i="23" s="1"/>
  <c r="W140" i="23" s="1"/>
  <c r="Q327" i="23"/>
  <c r="P327" i="23" s="1"/>
  <c r="V327" i="23" s="1"/>
  <c r="B327" i="23" s="1"/>
  <c r="Q243" i="23"/>
  <c r="P243" i="23" s="1"/>
  <c r="V243" i="23" s="1"/>
  <c r="B243" i="23" s="1"/>
  <c r="Q45" i="23"/>
  <c r="P45" i="23" s="1"/>
  <c r="V45" i="23" s="1"/>
  <c r="B45" i="23" s="1"/>
  <c r="Q306" i="23"/>
  <c r="P306" i="23" s="1"/>
  <c r="V306" i="23" s="1"/>
  <c r="B306" i="23" s="1"/>
  <c r="Q81" i="23"/>
  <c r="P81" i="23" s="1"/>
  <c r="V81" i="23" s="1"/>
  <c r="B81" i="23" s="1"/>
  <c r="D81" i="23" s="1"/>
  <c r="E81" i="23" s="1"/>
  <c r="F81" i="23" s="1"/>
  <c r="G81" i="23" s="1"/>
  <c r="CD81" i="6" s="1"/>
  <c r="Q271" i="23"/>
  <c r="P271" i="23" s="1"/>
  <c r="V271" i="23" s="1"/>
  <c r="B271" i="23" s="1"/>
  <c r="Q315" i="23"/>
  <c r="P315" i="23" s="1"/>
  <c r="V315" i="23" s="1"/>
  <c r="B315" i="23" s="1"/>
  <c r="W315" i="23" s="1"/>
  <c r="Q181" i="23"/>
  <c r="P181" i="23" s="1"/>
  <c r="V181" i="23" s="1"/>
  <c r="B181" i="23" s="1"/>
  <c r="Q67" i="23"/>
  <c r="P67" i="23" s="1"/>
  <c r="V67" i="23" s="1"/>
  <c r="B67" i="23" s="1"/>
  <c r="Q192" i="23"/>
  <c r="P192" i="23" s="1"/>
  <c r="V192" i="23" s="1"/>
  <c r="B192" i="23" s="1"/>
  <c r="Q52" i="23"/>
  <c r="P52" i="23" s="1"/>
  <c r="V52" i="23" s="1"/>
  <c r="B52" i="23" s="1"/>
  <c r="D52" i="23" s="1"/>
  <c r="E52" i="23" s="1"/>
  <c r="F52" i="23" s="1"/>
  <c r="H52" i="23" s="1"/>
  <c r="Q16" i="23"/>
  <c r="P16" i="23" s="1"/>
  <c r="V16" i="23" s="1"/>
  <c r="B16" i="23" s="1"/>
  <c r="Q20" i="23"/>
  <c r="P20" i="23" s="1"/>
  <c r="V20" i="23" s="1"/>
  <c r="B20" i="23" s="1"/>
  <c r="Q18" i="23"/>
  <c r="P18" i="23" s="1"/>
  <c r="V18" i="23" s="1"/>
  <c r="B18" i="23" s="1"/>
  <c r="Q136" i="23"/>
  <c r="P136" i="23" s="1"/>
  <c r="V136" i="23" s="1"/>
  <c r="B136" i="23" s="1"/>
  <c r="Q354" i="23"/>
  <c r="P354" i="23" s="1"/>
  <c r="V354" i="23" s="1"/>
  <c r="B354" i="23" s="1"/>
  <c r="D354" i="23" s="1"/>
  <c r="E354" i="23" s="1"/>
  <c r="F354" i="23" s="1"/>
  <c r="Q377" i="23"/>
  <c r="P377" i="23" s="1"/>
  <c r="V377" i="23" s="1"/>
  <c r="B377" i="23" s="1"/>
  <c r="W377" i="23" s="1"/>
  <c r="Q106" i="23"/>
  <c r="P106" i="23" s="1"/>
  <c r="V106" i="23" s="1"/>
  <c r="B106" i="23" s="1"/>
  <c r="D106" i="23" s="1"/>
  <c r="E106" i="23" s="1"/>
  <c r="F106" i="23" s="1"/>
  <c r="H106" i="23" s="1"/>
  <c r="Q71" i="23"/>
  <c r="P71" i="23" s="1"/>
  <c r="V71" i="23" s="1"/>
  <c r="B71" i="23" s="1"/>
  <c r="W71" i="23" s="1"/>
  <c r="Q133" i="23"/>
  <c r="P133" i="23" s="1"/>
  <c r="V133" i="23" s="1"/>
  <c r="B133" i="23" s="1"/>
  <c r="Q134" i="23"/>
  <c r="P134" i="23" s="1"/>
  <c r="V134" i="23" s="1"/>
  <c r="B134" i="23" s="1"/>
  <c r="Q367" i="23"/>
  <c r="P367" i="23" s="1"/>
  <c r="V367" i="23" s="1"/>
  <c r="B367" i="23" s="1"/>
  <c r="Q282" i="23"/>
  <c r="P282" i="23" s="1"/>
  <c r="V282" i="23" s="1"/>
  <c r="B282" i="23" s="1"/>
  <c r="D282" i="23" s="1"/>
  <c r="E282" i="23" s="1"/>
  <c r="F282" i="23" s="1"/>
  <c r="H282" i="23" s="1"/>
  <c r="Q345" i="23"/>
  <c r="P345" i="23" s="1"/>
  <c r="V345" i="23" s="1"/>
  <c r="B345" i="23" s="1"/>
  <c r="D345" i="23" s="1"/>
  <c r="E345" i="23" s="1"/>
  <c r="F345" i="23" s="1"/>
  <c r="H345" i="23" s="1"/>
  <c r="Q123" i="23"/>
  <c r="P123" i="23" s="1"/>
  <c r="V123" i="23" s="1"/>
  <c r="B123" i="23" s="1"/>
  <c r="D123" i="23" s="1"/>
  <c r="E123" i="23" s="1"/>
  <c r="F123" i="23" s="1"/>
  <c r="Q116" i="23"/>
  <c r="P116" i="23" s="1"/>
  <c r="V116" i="23" s="1"/>
  <c r="B116" i="23" s="1"/>
  <c r="D116" i="23" s="1"/>
  <c r="E116" i="23" s="1"/>
  <c r="F116" i="23" s="1"/>
  <c r="H116" i="23" s="1"/>
  <c r="Q138" i="23"/>
  <c r="P138" i="23" s="1"/>
  <c r="V138" i="23" s="1"/>
  <c r="B138" i="23" s="1"/>
  <c r="D138" i="23" s="1"/>
  <c r="E138" i="23" s="1"/>
  <c r="F138" i="23" s="1"/>
  <c r="G138" i="23" s="1"/>
  <c r="CD138" i="6" s="1"/>
  <c r="Q286" i="23"/>
  <c r="P286" i="23" s="1"/>
  <c r="V286" i="23" s="1"/>
  <c r="B286" i="23" s="1"/>
  <c r="Q295" i="23"/>
  <c r="P295" i="23" s="1"/>
  <c r="V295" i="23" s="1"/>
  <c r="B295" i="23" s="1"/>
  <c r="AE44" i="23"/>
  <c r="AD44" i="23" s="1"/>
  <c r="AE70" i="23"/>
  <c r="AD70" i="23" s="1"/>
  <c r="AE61" i="23"/>
  <c r="AD61" i="23" s="1"/>
  <c r="AE227" i="23"/>
  <c r="AD227" i="23" s="1"/>
  <c r="AE32" i="23"/>
  <c r="AD32" i="23" s="1"/>
  <c r="AE17" i="23"/>
  <c r="AD17" i="23" s="1"/>
  <c r="AE83" i="23"/>
  <c r="AD83" i="23" s="1"/>
  <c r="AE16" i="23"/>
  <c r="AD16" i="23" s="1"/>
  <c r="AE92" i="23"/>
  <c r="AD92" i="23" s="1"/>
  <c r="AE51" i="23"/>
  <c r="AD51" i="23" s="1"/>
  <c r="AE53" i="23"/>
  <c r="AD53" i="23" s="1"/>
  <c r="AE40" i="23"/>
  <c r="AD40" i="23" s="1"/>
  <c r="AE90" i="23"/>
  <c r="AD90" i="23" s="1"/>
  <c r="AE78" i="23"/>
  <c r="AD78" i="23" s="1"/>
  <c r="AE80" i="23"/>
  <c r="AD80" i="23" s="1"/>
  <c r="AE107" i="23"/>
  <c r="AD107" i="23" s="1"/>
  <c r="AE30" i="23"/>
  <c r="AD30" i="23" s="1"/>
  <c r="AE42" i="23"/>
  <c r="AD42" i="23" s="1"/>
  <c r="AE60" i="23"/>
  <c r="AD60" i="23" s="1"/>
  <c r="AE269" i="23"/>
  <c r="AD269" i="23" s="1"/>
  <c r="AE81" i="23"/>
  <c r="AD81" i="23" s="1"/>
  <c r="AE95" i="23"/>
  <c r="AD95" i="23" s="1"/>
  <c r="AE103" i="23"/>
  <c r="AD103" i="23" s="1"/>
  <c r="AE27" i="23"/>
  <c r="AD27" i="23" s="1"/>
  <c r="AE22" i="23"/>
  <c r="AD22" i="23" s="1"/>
  <c r="AE96" i="23"/>
  <c r="AD96" i="23" s="1"/>
  <c r="AU15" i="7"/>
  <c r="AE62" i="23"/>
  <c r="AD62" i="23" s="1"/>
  <c r="AE84" i="23"/>
  <c r="AD84" i="23" s="1"/>
  <c r="AE67" i="23"/>
  <c r="AD67" i="23" s="1"/>
  <c r="AE82" i="23"/>
  <c r="AD82" i="23" s="1"/>
  <c r="AE99" i="23"/>
  <c r="AD99" i="23" s="1"/>
  <c r="AE66" i="23"/>
  <c r="AD66" i="23" s="1"/>
  <c r="AE48" i="23"/>
  <c r="AD48" i="23" s="1"/>
  <c r="AE23" i="23"/>
  <c r="AD23" i="23" s="1"/>
  <c r="AE59" i="23"/>
  <c r="AD59" i="23" s="1"/>
  <c r="AE29" i="23"/>
  <c r="AD29" i="23" s="1"/>
  <c r="AE38" i="23"/>
  <c r="AD38" i="23" s="1"/>
  <c r="AE54" i="23"/>
  <c r="AD54" i="23" s="1"/>
  <c r="AE79" i="23"/>
  <c r="AD79" i="23" s="1"/>
  <c r="AE52" i="23"/>
  <c r="AD52" i="23" s="1"/>
  <c r="AE73" i="23"/>
  <c r="AD73" i="23" s="1"/>
  <c r="AE34" i="23"/>
  <c r="AD34" i="23" s="1"/>
  <c r="AE58" i="23"/>
  <c r="AD58" i="23" s="1"/>
  <c r="AE88" i="23"/>
  <c r="AD88" i="23" s="1"/>
  <c r="AE19" i="23"/>
  <c r="AD19" i="23" s="1"/>
  <c r="AE36" i="23"/>
  <c r="AD36" i="23" s="1"/>
  <c r="AE75" i="23"/>
  <c r="AD75" i="23" s="1"/>
  <c r="AE138" i="23"/>
  <c r="AD138" i="23" s="1"/>
  <c r="AE41" i="23"/>
  <c r="AD41" i="23" s="1"/>
  <c r="AE28" i="23"/>
  <c r="AD28" i="23" s="1"/>
  <c r="AE94" i="23"/>
  <c r="AD94" i="23" s="1"/>
  <c r="AE57" i="23"/>
  <c r="AD57" i="23" s="1"/>
  <c r="AE25" i="23"/>
  <c r="AD25" i="23" s="1"/>
  <c r="AE26" i="23"/>
  <c r="AD26" i="23" s="1"/>
  <c r="Q77" i="23"/>
  <c r="P77" i="23" s="1"/>
  <c r="V77" i="23" s="1"/>
  <c r="B77" i="23" s="1"/>
  <c r="Q191" i="23"/>
  <c r="P191" i="23" s="1"/>
  <c r="V191" i="23" s="1"/>
  <c r="B191" i="23" s="1"/>
  <c r="Q184" i="23"/>
  <c r="P184" i="23" s="1"/>
  <c r="V184" i="23" s="1"/>
  <c r="B184" i="23" s="1"/>
  <c r="Q169" i="23"/>
  <c r="P169" i="23" s="1"/>
  <c r="V169" i="23" s="1"/>
  <c r="B169" i="23" s="1"/>
  <c r="W169" i="23" s="1"/>
  <c r="Q178" i="23"/>
  <c r="P178" i="23" s="1"/>
  <c r="V178" i="23" s="1"/>
  <c r="B178" i="23" s="1"/>
  <c r="D178" i="23" s="1"/>
  <c r="E178" i="23" s="1"/>
  <c r="F178" i="23" s="1"/>
  <c r="H178" i="23" s="1"/>
  <c r="Q58" i="23"/>
  <c r="P58" i="23" s="1"/>
  <c r="V58" i="23" s="1"/>
  <c r="B58" i="23" s="1"/>
  <c r="Q374" i="23"/>
  <c r="P374" i="23" s="1"/>
  <c r="V374" i="23" s="1"/>
  <c r="B374" i="23" s="1"/>
  <c r="Q149" i="23"/>
  <c r="P149" i="23" s="1"/>
  <c r="Q348" i="23"/>
  <c r="P348" i="23" s="1"/>
  <c r="V348" i="23" s="1"/>
  <c r="B348" i="23" s="1"/>
  <c r="W348" i="23" s="1"/>
  <c r="Q33" i="23"/>
  <c r="P33" i="23" s="1"/>
  <c r="V33" i="23" s="1"/>
  <c r="B33" i="23" s="1"/>
  <c r="W33" i="23" s="1"/>
  <c r="Q132" i="23"/>
  <c r="P132" i="23" s="1"/>
  <c r="V132" i="23" s="1"/>
  <c r="B132" i="23" s="1"/>
  <c r="Q276" i="23"/>
  <c r="P276" i="23" s="1"/>
  <c r="V276" i="23" s="1"/>
  <c r="B276" i="23" s="1"/>
  <c r="D276" i="23" s="1"/>
  <c r="E276" i="23" s="1"/>
  <c r="F276" i="23" s="1"/>
  <c r="G276" i="23" s="1"/>
  <c r="CD276" i="6" s="1"/>
  <c r="Q275" i="23"/>
  <c r="P275" i="23" s="1"/>
  <c r="V275" i="23" s="1"/>
  <c r="B275" i="23" s="1"/>
  <c r="Q365" i="23"/>
  <c r="P365" i="23" s="1"/>
  <c r="V365" i="23" s="1"/>
  <c r="B365" i="23" s="1"/>
  <c r="D365" i="23" s="1"/>
  <c r="E365" i="23" s="1"/>
  <c r="F365" i="23" s="1"/>
  <c r="G365" i="23" s="1"/>
  <c r="CD365" i="6" s="1"/>
  <c r="Q98" i="23"/>
  <c r="P98" i="23" s="1"/>
  <c r="V98" i="23" s="1"/>
  <c r="B98" i="23" s="1"/>
  <c r="Q366" i="23"/>
  <c r="P366" i="23" s="1"/>
  <c r="V366" i="23" s="1"/>
  <c r="B366" i="23" s="1"/>
  <c r="Q84" i="23"/>
  <c r="P84" i="23" s="1"/>
  <c r="V84" i="23" s="1"/>
  <c r="B84" i="23" s="1"/>
  <c r="Q186" i="23"/>
  <c r="P186" i="23" s="1"/>
  <c r="V186" i="23" s="1"/>
  <c r="B186" i="23" s="1"/>
  <c r="D186" i="23" s="1"/>
  <c r="E186" i="23" s="1"/>
  <c r="F186" i="23" s="1"/>
  <c r="H186" i="23" s="1"/>
  <c r="Q74" i="23"/>
  <c r="P74" i="23" s="1"/>
  <c r="V74" i="23" s="1"/>
  <c r="B74" i="23" s="1"/>
  <c r="W74" i="23" s="1"/>
  <c r="Q75" i="23"/>
  <c r="P75" i="23" s="1"/>
  <c r="V75" i="23" s="1"/>
  <c r="B75" i="23" s="1"/>
  <c r="W75" i="23" s="1"/>
  <c r="Q231" i="23"/>
  <c r="P231" i="23" s="1"/>
  <c r="V231" i="23" s="1"/>
  <c r="B231" i="23" s="1"/>
  <c r="Q224" i="23"/>
  <c r="P224" i="23" s="1"/>
  <c r="V224" i="23" s="1"/>
  <c r="B224" i="23" s="1"/>
  <c r="Q104" i="23"/>
  <c r="P104" i="23" s="1"/>
  <c r="V104" i="23" s="1"/>
  <c r="B104" i="23" s="1"/>
  <c r="Q31" i="23"/>
  <c r="P31" i="23" s="1"/>
  <c r="V31" i="23" s="1"/>
  <c r="B31" i="23" s="1"/>
  <c r="Q130" i="23"/>
  <c r="P130" i="23" s="1"/>
  <c r="V130" i="23" s="1"/>
  <c r="B130" i="23" s="1"/>
  <c r="D130" i="23" s="1"/>
  <c r="E130" i="23" s="1"/>
  <c r="F130" i="23" s="1"/>
  <c r="G130" i="23" s="1"/>
  <c r="CD130" i="6" s="1"/>
  <c r="Q318" i="23"/>
  <c r="P318" i="23" s="1"/>
  <c r="V318" i="23" s="1"/>
  <c r="B318" i="23" s="1"/>
  <c r="D318" i="23" s="1"/>
  <c r="E318" i="23" s="1"/>
  <c r="F318" i="23" s="1"/>
  <c r="G318" i="23" s="1"/>
  <c r="CD318" i="6" s="1"/>
  <c r="Q131" i="23"/>
  <c r="P131" i="23" s="1"/>
  <c r="V131" i="23" s="1"/>
  <c r="B131" i="23" s="1"/>
  <c r="D131" i="23" s="1"/>
  <c r="E131" i="23" s="1"/>
  <c r="F131" i="23" s="1"/>
  <c r="G131" i="23" s="1"/>
  <c r="CD131" i="6" s="1"/>
  <c r="Q320" i="23"/>
  <c r="P320" i="23" s="1"/>
  <c r="V320" i="23" s="1"/>
  <c r="B320" i="23" s="1"/>
  <c r="Q235" i="23"/>
  <c r="P235" i="23" s="1"/>
  <c r="V235" i="23" s="1"/>
  <c r="B235" i="23" s="1"/>
  <c r="Q326" i="23"/>
  <c r="P326" i="23" s="1"/>
  <c r="V326" i="23" s="1"/>
  <c r="B326" i="23" s="1"/>
  <c r="Q207" i="23"/>
  <c r="P207" i="23" s="1"/>
  <c r="V207" i="23" s="1"/>
  <c r="B207" i="23" s="1"/>
  <c r="Q187" i="23"/>
  <c r="P187" i="23" s="1"/>
  <c r="V187" i="23" s="1"/>
  <c r="B187" i="23" s="1"/>
  <c r="Q91" i="23"/>
  <c r="P91" i="23" s="1"/>
  <c r="V91" i="23" s="1"/>
  <c r="B91" i="23" s="1"/>
  <c r="Q272" i="23"/>
  <c r="P272" i="23" s="1"/>
  <c r="Q294" i="23"/>
  <c r="P294" i="23" s="1"/>
  <c r="V294" i="23" s="1"/>
  <c r="B294" i="23" s="1"/>
  <c r="D294" i="23" s="1"/>
  <c r="E294" i="23" s="1"/>
  <c r="F294" i="23" s="1"/>
  <c r="H294" i="23" s="1"/>
  <c r="Q267" i="23"/>
  <c r="P267" i="23" s="1"/>
  <c r="V267" i="23" s="1"/>
  <c r="B267" i="23" s="1"/>
  <c r="D267" i="23" s="1"/>
  <c r="E267" i="23" s="1"/>
  <c r="F267" i="23" s="1"/>
  <c r="H267" i="23" s="1"/>
  <c r="Q252" i="23"/>
  <c r="P252" i="23" s="1"/>
  <c r="V252" i="23" s="1"/>
  <c r="B252" i="23" s="1"/>
  <c r="Q261" i="23"/>
  <c r="P261" i="23" s="1"/>
  <c r="V261" i="23" s="1"/>
  <c r="B261" i="23" s="1"/>
  <c r="Q262" i="23"/>
  <c r="P262" i="23" s="1"/>
  <c r="V262" i="23" s="1"/>
  <c r="B262" i="23" s="1"/>
  <c r="Q122" i="23"/>
  <c r="P122" i="23" s="1"/>
  <c r="V122" i="23" s="1"/>
  <c r="B122" i="23" s="1"/>
  <c r="W122" i="23" s="1"/>
  <c r="Q290" i="23"/>
  <c r="P290" i="23" s="1"/>
  <c r="V290" i="23" s="1"/>
  <c r="B290" i="23" s="1"/>
  <c r="Q195" i="23"/>
  <c r="P195" i="23" s="1"/>
  <c r="V195" i="23" s="1"/>
  <c r="B195" i="23" s="1"/>
  <c r="D195" i="23" s="1"/>
  <c r="E195" i="23" s="1"/>
  <c r="F195" i="23" s="1"/>
  <c r="Q83" i="23"/>
  <c r="P83" i="23" s="1"/>
  <c r="V83" i="23" s="1"/>
  <c r="B83" i="23" s="1"/>
  <c r="Q63" i="23"/>
  <c r="P63" i="23" s="1"/>
  <c r="V63" i="23" s="1"/>
  <c r="B63" i="23" s="1"/>
  <c r="Q56" i="23"/>
  <c r="P56" i="23" s="1"/>
  <c r="V56" i="23" s="1"/>
  <c r="B56" i="23" s="1"/>
  <c r="Q358" i="23"/>
  <c r="P358" i="23" s="1"/>
  <c r="V358" i="23" s="1"/>
  <c r="B358" i="23" s="1"/>
  <c r="Q175" i="23"/>
  <c r="P175" i="23" s="1"/>
  <c r="V175" i="23" s="1"/>
  <c r="B175" i="23" s="1"/>
  <c r="W175" i="23" s="1"/>
  <c r="Q118" i="23"/>
  <c r="P118" i="23" s="1"/>
  <c r="V118" i="23" s="1"/>
  <c r="B118" i="23" s="1"/>
  <c r="Q277" i="23"/>
  <c r="P277" i="23" s="1"/>
  <c r="V277" i="23" s="1"/>
  <c r="B277" i="23" s="1"/>
  <c r="Q263" i="23"/>
  <c r="P263" i="23" s="1"/>
  <c r="V263" i="23" s="1"/>
  <c r="B263" i="23" s="1"/>
  <c r="Q278" i="23"/>
  <c r="P278" i="23" s="1"/>
  <c r="V278" i="23" s="1"/>
  <c r="B278" i="23" s="1"/>
  <c r="D278" i="23" s="1"/>
  <c r="E278" i="23" s="1"/>
  <c r="F278" i="23" s="1"/>
  <c r="Q241" i="23"/>
  <c r="P241" i="23" s="1"/>
  <c r="V241" i="23" s="1"/>
  <c r="B241" i="23" s="1"/>
  <c r="D241" i="23" s="1"/>
  <c r="E241" i="23" s="1"/>
  <c r="F241" i="23" s="1"/>
  <c r="Q99" i="23"/>
  <c r="P99" i="23" s="1"/>
  <c r="V99" i="23" s="1"/>
  <c r="B99" i="23" s="1"/>
  <c r="Q82" i="23"/>
  <c r="P82" i="23" s="1"/>
  <c r="V82" i="23" s="1"/>
  <c r="B82" i="23" s="1"/>
  <c r="W82" i="23" s="1"/>
  <c r="Q283" i="23"/>
  <c r="P283" i="23" s="1"/>
  <c r="V283" i="23" s="1"/>
  <c r="B283" i="23" s="1"/>
  <c r="W283" i="23" s="1"/>
  <c r="Q291" i="23"/>
  <c r="P291" i="23" s="1"/>
  <c r="V291" i="23" s="1"/>
  <c r="B291" i="23" s="1"/>
  <c r="Q183" i="23"/>
  <c r="P183" i="23" s="1"/>
  <c r="V183" i="23" s="1"/>
  <c r="B183" i="23" s="1"/>
  <c r="W183" i="23" s="1"/>
  <c r="Q43" i="23"/>
  <c r="P43" i="23" s="1"/>
  <c r="V43" i="23" s="1"/>
  <c r="B43" i="23" s="1"/>
  <c r="Q357" i="23"/>
  <c r="P357" i="23" s="1"/>
  <c r="V357" i="23" s="1"/>
  <c r="B357" i="23" s="1"/>
  <c r="Q188" i="23"/>
  <c r="P188" i="23" s="1"/>
  <c r="V188" i="23" s="1"/>
  <c r="B188" i="23" s="1"/>
  <c r="D188" i="23" s="1"/>
  <c r="E188" i="23" s="1"/>
  <c r="F188" i="23" s="1"/>
  <c r="Q197" i="23"/>
  <c r="P197" i="23" s="1"/>
  <c r="V197" i="23" s="1"/>
  <c r="B197" i="23" s="1"/>
  <c r="D197" i="23" s="1"/>
  <c r="E197" i="23" s="1"/>
  <c r="F197" i="23" s="1"/>
  <c r="Q198" i="23"/>
  <c r="P198" i="23" s="1"/>
  <c r="V198" i="23" s="1"/>
  <c r="B198" i="23" s="1"/>
  <c r="Q143" i="23"/>
  <c r="P143" i="23" s="1"/>
  <c r="V143" i="23" s="1"/>
  <c r="B143" i="23" s="1"/>
  <c r="Q59" i="23"/>
  <c r="P59" i="23" s="1"/>
  <c r="V59" i="23" s="1"/>
  <c r="B59" i="23" s="1"/>
  <c r="D59" i="23" s="1"/>
  <c r="E59" i="23" s="1"/>
  <c r="F59" i="23" s="1"/>
  <c r="AA59" i="23" s="1"/>
  <c r="Z59" i="23" s="1"/>
  <c r="Y59" i="23" s="1"/>
  <c r="Q227" i="23"/>
  <c r="P227" i="23" s="1"/>
  <c r="V227" i="23" s="1"/>
  <c r="B227" i="23" s="1"/>
  <c r="D227" i="23" s="1"/>
  <c r="E227" i="23" s="1"/>
  <c r="F227" i="23" s="1"/>
  <c r="Q48" i="23"/>
  <c r="P48" i="23" s="1"/>
  <c r="V48" i="23" s="1"/>
  <c r="B48" i="23" s="1"/>
  <c r="Q146" i="23"/>
  <c r="P146" i="23" s="1"/>
  <c r="V146" i="23" s="1"/>
  <c r="B146" i="23" s="1"/>
  <c r="Q289" i="23"/>
  <c r="P289" i="23" s="1"/>
  <c r="V289" i="23" s="1"/>
  <c r="B289" i="23" s="1"/>
  <c r="W289" i="23" s="1"/>
  <c r="Q127" i="23"/>
  <c r="P127" i="23" s="1"/>
  <c r="V127" i="23" s="1"/>
  <c r="B127" i="23" s="1"/>
  <c r="W127" i="23" s="1"/>
  <c r="Q129" i="23"/>
  <c r="P129" i="23" s="1"/>
  <c r="V129" i="23" s="1"/>
  <c r="B129" i="23" s="1"/>
  <c r="W129" i="23" s="1"/>
  <c r="Q128" i="23"/>
  <c r="P128" i="23" s="1"/>
  <c r="V128" i="23" s="1"/>
  <c r="B128" i="23" s="1"/>
  <c r="Q264" i="23"/>
  <c r="P264" i="23" s="1"/>
  <c r="V264" i="23" s="1"/>
  <c r="B264" i="23" s="1"/>
  <c r="Q245" i="23"/>
  <c r="P245" i="23" s="1"/>
  <c r="V245" i="23" s="1"/>
  <c r="B245" i="23" s="1"/>
  <c r="D245" i="23" s="1"/>
  <c r="E245" i="23" s="1"/>
  <c r="F245" i="23" s="1"/>
  <c r="Q249" i="23"/>
  <c r="P249" i="23" s="1"/>
  <c r="V249" i="23" s="1"/>
  <c r="B249" i="23" s="1"/>
  <c r="W249" i="23" s="1"/>
  <c r="Q223" i="23"/>
  <c r="P223" i="23" s="1"/>
  <c r="V223" i="23" s="1"/>
  <c r="B223" i="23" s="1"/>
  <c r="D223" i="23" s="1"/>
  <c r="E223" i="23" s="1"/>
  <c r="F223" i="23" s="1"/>
  <c r="Q47" i="23"/>
  <c r="P47" i="23" s="1"/>
  <c r="V47" i="23" s="1"/>
  <c r="B47" i="23" s="1"/>
  <c r="Q221" i="23"/>
  <c r="P221" i="23" s="1"/>
  <c r="V221" i="23" s="1"/>
  <c r="B221" i="23" s="1"/>
  <c r="Q222" i="23"/>
  <c r="P222" i="23" s="1"/>
  <c r="V222" i="23" s="1"/>
  <c r="B222" i="23" s="1"/>
  <c r="D222" i="23" s="1"/>
  <c r="E222" i="23" s="1"/>
  <c r="F222" i="23" s="1"/>
  <c r="G222" i="23" s="1"/>
  <c r="CD222" i="6" s="1"/>
  <c r="Q370" i="23"/>
  <c r="P370" i="23" s="1"/>
  <c r="V370" i="23" s="1"/>
  <c r="B370" i="23" s="1"/>
  <c r="W370" i="23" s="1"/>
  <c r="Q371" i="23"/>
  <c r="P371" i="23" s="1"/>
  <c r="V371" i="23" s="1"/>
  <c r="B371" i="23" s="1"/>
  <c r="Q239" i="23"/>
  <c r="P239" i="23" s="1"/>
  <c r="V239" i="23" s="1"/>
  <c r="B239" i="23" s="1"/>
  <c r="Q34" i="23"/>
  <c r="P34" i="23" s="1"/>
  <c r="V34" i="23" s="1"/>
  <c r="B34" i="23" s="1"/>
  <c r="Q323" i="23"/>
  <c r="P323" i="23" s="1"/>
  <c r="V323" i="23" s="1"/>
  <c r="B323" i="23" s="1"/>
  <c r="Q339" i="23"/>
  <c r="P339" i="23" s="1"/>
  <c r="V339" i="23" s="1"/>
  <c r="B339" i="23" s="1"/>
  <c r="Q308" i="23"/>
  <c r="P308" i="23" s="1"/>
  <c r="V308" i="23" s="1"/>
  <c r="B308" i="23" s="1"/>
  <c r="W308" i="23" s="1"/>
  <c r="Q157" i="23"/>
  <c r="P157" i="23" s="1"/>
  <c r="V157" i="23" s="1"/>
  <c r="B157" i="23" s="1"/>
  <c r="Q23" i="23"/>
  <c r="P23" i="23" s="1"/>
  <c r="V23" i="23" s="1"/>
  <c r="B23" i="23" s="1"/>
  <c r="Q363" i="23"/>
  <c r="P363" i="23" s="1"/>
  <c r="Q313" i="23"/>
  <c r="P313" i="23" s="1"/>
  <c r="V313" i="23" s="1"/>
  <c r="B313" i="23" s="1"/>
  <c r="Q351" i="23"/>
  <c r="P351" i="23" s="1"/>
  <c r="V351" i="23" s="1"/>
  <c r="B351" i="23" s="1"/>
  <c r="Q213" i="23"/>
  <c r="P213" i="23" s="1"/>
  <c r="V213" i="23" s="1"/>
  <c r="B213" i="23" s="1"/>
  <c r="Q135" i="23"/>
  <c r="P135" i="23" s="1"/>
  <c r="V135" i="23" s="1"/>
  <c r="B135" i="23" s="1"/>
  <c r="W135" i="23" s="1"/>
  <c r="Q216" i="23"/>
  <c r="P216" i="23" s="1"/>
  <c r="V216" i="23" s="1"/>
  <c r="B216" i="23" s="1"/>
  <c r="Q296" i="23"/>
  <c r="P296" i="23" s="1"/>
  <c r="V296" i="23" s="1"/>
  <c r="B296" i="23" s="1"/>
  <c r="Q29" i="23"/>
  <c r="P29" i="23" s="1"/>
  <c r="D33" i="23"/>
  <c r="E33" i="23" s="1"/>
  <c r="F33" i="23" s="1"/>
  <c r="G33" i="23" s="1"/>
  <c r="CD33" i="6" s="1"/>
  <c r="U382" i="24"/>
  <c r="U381" i="24"/>
  <c r="U10" i="25"/>
  <c r="U135" i="25" s="1"/>
  <c r="U383" i="24"/>
  <c r="V383" i="20"/>
  <c r="V382" i="20"/>
  <c r="V381" i="20"/>
  <c r="E382" i="18"/>
  <c r="AJ10" i="18"/>
  <c r="AJ12" i="18" s="1"/>
  <c r="AJ13" i="18" s="1"/>
  <c r="E383" i="18"/>
  <c r="AK8" i="18"/>
  <c r="F15" i="18"/>
  <c r="E9" i="18"/>
  <c r="E11" i="18" s="1"/>
  <c r="E381" i="18"/>
  <c r="D383" i="20"/>
  <c r="AJ8" i="20"/>
  <c r="E15" i="20"/>
  <c r="D9" i="20"/>
  <c r="D11" i="20" s="1"/>
  <c r="D381" i="20"/>
  <c r="D382" i="20"/>
  <c r="J309" i="22"/>
  <c r="W349" i="23"/>
  <c r="AL79" i="27"/>
  <c r="AM79" i="27"/>
  <c r="AL77" i="27"/>
  <c r="AM77" i="27"/>
  <c r="AM75" i="27"/>
  <c r="AL75" i="27"/>
  <c r="AL73" i="27"/>
  <c r="AM73" i="27"/>
  <c r="AM71" i="27"/>
  <c r="AL71" i="27"/>
  <c r="AL69" i="27"/>
  <c r="AM69" i="27"/>
  <c r="AM64" i="27"/>
  <c r="AL64" i="27"/>
  <c r="AL57" i="27"/>
  <c r="AM57" i="27"/>
  <c r="AM67" i="27"/>
  <c r="AL67" i="27"/>
  <c r="AL63" i="27"/>
  <c r="AM63" i="27"/>
  <c r="AL61" i="27"/>
  <c r="AM61" i="27"/>
  <c r="AL60" i="27"/>
  <c r="AM60" i="27"/>
  <c r="AM78" i="27"/>
  <c r="AL78" i="27"/>
  <c r="AM76" i="27"/>
  <c r="AL76" i="27"/>
  <c r="AM74" i="27"/>
  <c r="AL74" i="27"/>
  <c r="AL72" i="27"/>
  <c r="AM72" i="27"/>
  <c r="AM70" i="27"/>
  <c r="AL70" i="27"/>
  <c r="AM68" i="27"/>
  <c r="AL68" i="27"/>
  <c r="AM59" i="27"/>
  <c r="AL59" i="27"/>
  <c r="AM58" i="27"/>
  <c r="AL58" i="27"/>
  <c r="AL66" i="27"/>
  <c r="AM66" i="27"/>
  <c r="AL65" i="27"/>
  <c r="AM65" i="27"/>
  <c r="AL62" i="27"/>
  <c r="AM62" i="27"/>
  <c r="AM56" i="27"/>
  <c r="AL56" i="27"/>
  <c r="S142" i="24"/>
  <c r="R142" i="24" s="1"/>
  <c r="S359" i="24"/>
  <c r="R359" i="24" s="1"/>
  <c r="S209" i="24"/>
  <c r="R209" i="24" s="1"/>
  <c r="S83" i="24"/>
  <c r="R83" i="24" s="1"/>
  <c r="S296" i="24"/>
  <c r="R296" i="24" s="1"/>
  <c r="S210" i="24"/>
  <c r="R210" i="24" s="1"/>
  <c r="S84" i="24"/>
  <c r="R84" i="24" s="1"/>
  <c r="S301" i="24"/>
  <c r="R301" i="24" s="1"/>
  <c r="S143" i="24"/>
  <c r="R143" i="24" s="1"/>
  <c r="S166" i="24"/>
  <c r="R166" i="24" s="1"/>
  <c r="S16" i="24"/>
  <c r="R16" i="24" s="1"/>
  <c r="S74" i="24"/>
  <c r="R74" i="24" s="1"/>
  <c r="S347" i="24"/>
  <c r="R347" i="24" s="1"/>
  <c r="S197" i="24"/>
  <c r="R197" i="24" s="1"/>
  <c r="S71" i="24"/>
  <c r="R71" i="24" s="1"/>
  <c r="S284" i="24"/>
  <c r="R284" i="24" s="1"/>
  <c r="S94" i="24"/>
  <c r="R94" i="24" s="1"/>
  <c r="S161" i="24"/>
  <c r="R161" i="24" s="1"/>
  <c r="S376" i="24"/>
  <c r="R376" i="24" s="1"/>
  <c r="S226" i="24"/>
  <c r="R226" i="24" s="1"/>
  <c r="S310" i="24"/>
  <c r="R310" i="24" s="1"/>
  <c r="S160" i="24"/>
  <c r="R160" i="24" s="1"/>
  <c r="S196" i="24"/>
  <c r="R196" i="24" s="1"/>
  <c r="S38" i="24"/>
  <c r="R38" i="24" s="1"/>
  <c r="S255" i="24"/>
  <c r="R255" i="24" s="1"/>
  <c r="S372" i="24"/>
  <c r="R372" i="24" s="1"/>
  <c r="S214" i="24"/>
  <c r="R214" i="24" s="1"/>
  <c r="S64" i="24"/>
  <c r="R64" i="24" s="1"/>
  <c r="S313" i="24"/>
  <c r="R313" i="24" s="1"/>
  <c r="S219" i="24"/>
  <c r="R219" i="24" s="1"/>
  <c r="S69" i="24"/>
  <c r="R69" i="24" s="1"/>
  <c r="S169" i="24"/>
  <c r="R169" i="24" s="1"/>
  <c r="S374" i="24"/>
  <c r="R374" i="24" s="1"/>
  <c r="S224" i="24"/>
  <c r="R224" i="24" s="1"/>
  <c r="S42" i="24"/>
  <c r="R42" i="24" s="1"/>
  <c r="S101" i="24"/>
  <c r="R101" i="24" s="1"/>
  <c r="S180" i="24"/>
  <c r="R180" i="24" s="1"/>
  <c r="S103" i="24"/>
  <c r="R103" i="24" s="1"/>
  <c r="S22" i="24"/>
  <c r="R22" i="24" s="1"/>
  <c r="S316" i="24"/>
  <c r="R316" i="24" s="1"/>
  <c r="S239" i="24"/>
  <c r="R239" i="24" s="1"/>
  <c r="S190" i="24"/>
  <c r="R190" i="24" s="1"/>
  <c r="S121" i="24"/>
  <c r="R121" i="24" s="1"/>
  <c r="S40" i="24"/>
  <c r="R40" i="24" s="1"/>
  <c r="S27" i="24"/>
  <c r="R27" i="24" s="1"/>
  <c r="S321" i="24"/>
  <c r="R321" i="24" s="1"/>
  <c r="S240" i="24"/>
  <c r="R240" i="24" s="1"/>
  <c r="S195" i="24"/>
  <c r="R195" i="24" s="1"/>
  <c r="S122" i="24"/>
  <c r="R122" i="24" s="1"/>
  <c r="S45" i="24"/>
  <c r="R45" i="24" s="1"/>
  <c r="S331" i="24"/>
  <c r="R331" i="24" s="1"/>
  <c r="S258" i="24"/>
  <c r="R258" i="24" s="1"/>
  <c r="S181" i="24"/>
  <c r="R181" i="24" s="1"/>
  <c r="S68" i="24"/>
  <c r="R68" i="24" s="1"/>
  <c r="S362" i="24"/>
  <c r="R362" i="24" s="1"/>
  <c r="S204" i="24"/>
  <c r="R204" i="24" s="1"/>
  <c r="S127" i="24"/>
  <c r="R127" i="24" s="1"/>
  <c r="S99" i="24"/>
  <c r="R99" i="24" s="1"/>
  <c r="S26" i="24"/>
  <c r="R26" i="24" s="1"/>
  <c r="S312" i="24"/>
  <c r="R312" i="24" s="1"/>
  <c r="S235" i="24"/>
  <c r="R235" i="24" s="1"/>
  <c r="S162" i="24"/>
  <c r="R162" i="24" s="1"/>
  <c r="S85" i="24"/>
  <c r="R85" i="24" s="1"/>
  <c r="S36" i="24"/>
  <c r="R36" i="24" s="1"/>
  <c r="S330" i="24"/>
  <c r="R330" i="24" s="1"/>
  <c r="S253" i="24"/>
  <c r="R253" i="24" s="1"/>
  <c r="S236" i="24"/>
  <c r="R236" i="24" s="1"/>
  <c r="S327" i="24"/>
  <c r="R327" i="24" s="1"/>
  <c r="S246" i="24"/>
  <c r="R246" i="24" s="1"/>
  <c r="S177" i="24"/>
  <c r="R177" i="24" s="1"/>
  <c r="S96" i="24"/>
  <c r="R96" i="24" s="1"/>
  <c r="S350" i="24"/>
  <c r="R350" i="24" s="1"/>
  <c r="S281" i="24"/>
  <c r="R281" i="24" s="1"/>
  <c r="S200" i="24"/>
  <c r="R200" i="24" s="1"/>
  <c r="S123" i="24"/>
  <c r="R123" i="24" s="1"/>
  <c r="S50" i="24"/>
  <c r="R50" i="24" s="1"/>
  <c r="S336" i="24"/>
  <c r="R336" i="24" s="1"/>
  <c r="S52" i="24"/>
  <c r="R52" i="24" s="1"/>
  <c r="S346" i="24"/>
  <c r="R346" i="24" s="1"/>
  <c r="S269" i="24"/>
  <c r="R269" i="24" s="1"/>
  <c r="S188" i="24"/>
  <c r="R188" i="24" s="1"/>
  <c r="S111" i="24"/>
  <c r="R111" i="24" s="1"/>
  <c r="S356" i="24"/>
  <c r="R356" i="24" s="1"/>
  <c r="S193" i="24"/>
  <c r="R193" i="24" s="1"/>
  <c r="S203" i="24"/>
  <c r="R203" i="24" s="1"/>
  <c r="S130" i="24"/>
  <c r="R130" i="24" s="1"/>
  <c r="S53" i="24"/>
  <c r="R53" i="24" s="1"/>
  <c r="S307" i="24"/>
  <c r="R307" i="24" s="1"/>
  <c r="S234" i="24"/>
  <c r="R234" i="24" s="1"/>
  <c r="S157" i="24"/>
  <c r="R157" i="24" s="1"/>
  <c r="S76" i="24"/>
  <c r="R76" i="24" s="1"/>
  <c r="S370" i="24"/>
  <c r="R370" i="24" s="1"/>
  <c r="S293" i="24"/>
  <c r="R293" i="24" s="1"/>
  <c r="S116" i="24"/>
  <c r="R116" i="24" s="1"/>
  <c r="S39" i="24"/>
  <c r="R39" i="24" s="1"/>
  <c r="S333" i="24"/>
  <c r="R333" i="24" s="1"/>
  <c r="S252" i="24"/>
  <c r="R252" i="24" s="1"/>
  <c r="S175" i="24"/>
  <c r="R175" i="24" s="1"/>
  <c r="S126" i="24"/>
  <c r="R126" i="24" s="1"/>
  <c r="S57" i="24"/>
  <c r="R57" i="24" s="1"/>
  <c r="S343" i="24"/>
  <c r="R343" i="24" s="1"/>
  <c r="S326" i="24"/>
  <c r="R326" i="24" s="1"/>
  <c r="S131" i="24"/>
  <c r="R131" i="24" s="1"/>
  <c r="S344" i="24"/>
  <c r="R344" i="24" s="1"/>
  <c r="S194" i="24"/>
  <c r="R194" i="24" s="1"/>
  <c r="S117" i="24"/>
  <c r="R117" i="24" s="1"/>
  <c r="S371" i="24"/>
  <c r="R371" i="24" s="1"/>
  <c r="S298" i="24"/>
  <c r="R298" i="24" s="1"/>
  <c r="S221" i="24"/>
  <c r="R221" i="24" s="1"/>
  <c r="S140" i="24"/>
  <c r="R140" i="24" s="1"/>
  <c r="S63" i="24"/>
  <c r="R63" i="24" s="1"/>
  <c r="S357" i="24"/>
  <c r="R357" i="24" s="1"/>
  <c r="S218" i="24"/>
  <c r="R218" i="24" s="1"/>
  <c r="S60" i="24"/>
  <c r="R60" i="24" s="1"/>
  <c r="S277" i="24"/>
  <c r="R277" i="24" s="1"/>
  <c r="S151" i="24"/>
  <c r="R151" i="24" s="1"/>
  <c r="S65" i="24"/>
  <c r="R65" i="24" s="1"/>
  <c r="S302" i="24"/>
  <c r="R302" i="24" s="1"/>
  <c r="S152" i="24"/>
  <c r="R152" i="24" s="1"/>
  <c r="S369" i="24"/>
  <c r="R369" i="24" s="1"/>
  <c r="S179" i="24"/>
  <c r="R179" i="24" s="1"/>
  <c r="S206" i="24"/>
  <c r="R206" i="24" s="1"/>
  <c r="S56" i="24"/>
  <c r="R56" i="24" s="1"/>
  <c r="S147" i="24"/>
  <c r="R147" i="24" s="1"/>
  <c r="S198" i="24"/>
  <c r="R198" i="24" s="1"/>
  <c r="S48" i="24"/>
  <c r="R48" i="24" s="1"/>
  <c r="S297" i="24"/>
  <c r="R297" i="24" s="1"/>
  <c r="S139" i="24"/>
  <c r="R139" i="24" s="1"/>
  <c r="S352" i="24"/>
  <c r="R352" i="24" s="1"/>
  <c r="BE16" i="7"/>
  <c r="U351" i="25"/>
  <c r="U322" i="25"/>
  <c r="S231" i="24"/>
  <c r="R231" i="24" s="1"/>
  <c r="S81" i="24"/>
  <c r="R81" i="24" s="1"/>
  <c r="S82" i="24"/>
  <c r="R82" i="24" s="1"/>
  <c r="S260" i="24"/>
  <c r="R260" i="24" s="1"/>
  <c r="I88" i="22"/>
  <c r="J88" i="22"/>
  <c r="I333" i="22"/>
  <c r="J333" i="22"/>
  <c r="AG229" i="24"/>
  <c r="AF229" i="24" s="1"/>
  <c r="AG171" i="24"/>
  <c r="AF171" i="24" s="1"/>
  <c r="AG325" i="24"/>
  <c r="AF325" i="24" s="1"/>
  <c r="AG41" i="24"/>
  <c r="AF41" i="24" s="1"/>
  <c r="AG118" i="24"/>
  <c r="AF118" i="24" s="1"/>
  <c r="AG365" i="24"/>
  <c r="AF365" i="24" s="1"/>
  <c r="AG81" i="24"/>
  <c r="AF81" i="24" s="1"/>
  <c r="AG376" i="24"/>
  <c r="AF376" i="24" s="1"/>
  <c r="AG100" i="24"/>
  <c r="AF100" i="24" s="1"/>
  <c r="AG350" i="24"/>
  <c r="AF350" i="24" s="1"/>
  <c r="AG143" i="24"/>
  <c r="AF143" i="24" s="1"/>
  <c r="AG85" i="24"/>
  <c r="AF85" i="24" s="1"/>
  <c r="AG170" i="24"/>
  <c r="AF170" i="24" s="1"/>
  <c r="AG239" i="24"/>
  <c r="AF239" i="24" s="1"/>
  <c r="AG192" i="24"/>
  <c r="AF192" i="24" s="1"/>
  <c r="AG277" i="24"/>
  <c r="AF277" i="24" s="1"/>
  <c r="AG362" i="24"/>
  <c r="AF362" i="24" s="1"/>
  <c r="AG297" i="24"/>
  <c r="AF297" i="24" s="1"/>
  <c r="AG163" i="24"/>
  <c r="AF163" i="24" s="1"/>
  <c r="AG374" i="24"/>
  <c r="AF374" i="24" s="1"/>
  <c r="AG317" i="24"/>
  <c r="AF317" i="24" s="1"/>
  <c r="AG33" i="24"/>
  <c r="AF33" i="24" s="1"/>
  <c r="AG260" i="24"/>
  <c r="AF260" i="24" s="1"/>
  <c r="AG110" i="24"/>
  <c r="AF110" i="24" s="1"/>
  <c r="AG337" i="24"/>
  <c r="AF337" i="24" s="1"/>
  <c r="AG203" i="24"/>
  <c r="AF203" i="24" s="1"/>
  <c r="AG53" i="24"/>
  <c r="AF53" i="24" s="1"/>
  <c r="AG272" i="24"/>
  <c r="AF272" i="24" s="1"/>
  <c r="AG138" i="24"/>
  <c r="AF138" i="24" s="1"/>
  <c r="AG73" i="24"/>
  <c r="AF73" i="24" s="1"/>
  <c r="AG243" i="24"/>
  <c r="AF243" i="24" s="1"/>
  <c r="AG178" i="24"/>
  <c r="AF178" i="24" s="1"/>
  <c r="AG36" i="24"/>
  <c r="AF36" i="24" s="1"/>
  <c r="AG247" i="24"/>
  <c r="AF247" i="24" s="1"/>
  <c r="AG113" i="24"/>
  <c r="AF113" i="24" s="1"/>
  <c r="AG190" i="24"/>
  <c r="AF190" i="24" s="1"/>
  <c r="AG283" i="24"/>
  <c r="AF283" i="24" s="1"/>
  <c r="AG352" i="24"/>
  <c r="AF352" i="24" s="1"/>
  <c r="AG285" i="24"/>
  <c r="AF285" i="24" s="1"/>
  <c r="AG227" i="24"/>
  <c r="AF227" i="24" s="1"/>
  <c r="AG230" i="24"/>
  <c r="AF230" i="24" s="1"/>
  <c r="AG97" i="24"/>
  <c r="AF97" i="24" s="1"/>
  <c r="AG174" i="24"/>
  <c r="AF174" i="24" s="1"/>
  <c r="AG336" i="24"/>
  <c r="AF336" i="24" s="1"/>
  <c r="AG214" i="24"/>
  <c r="AF214" i="24" s="1"/>
  <c r="AG307" i="24"/>
  <c r="AF307" i="24" s="1"/>
  <c r="AG158" i="24"/>
  <c r="AF158" i="24" s="1"/>
  <c r="AG264" i="24"/>
  <c r="AF264" i="24" s="1"/>
  <c r="AG349" i="24"/>
  <c r="AF349" i="24" s="1"/>
  <c r="AG65" i="24"/>
  <c r="AF65" i="24" s="1"/>
  <c r="AG142" i="24"/>
  <c r="AF142" i="24" s="1"/>
  <c r="AG235" i="24"/>
  <c r="AF235" i="24" s="1"/>
  <c r="AG179" i="24"/>
  <c r="AF179" i="24" s="1"/>
  <c r="J149" i="22"/>
  <c r="I149" i="22"/>
  <c r="T73" i="24"/>
  <c r="T128" i="24"/>
  <c r="T283" i="24"/>
  <c r="T378" i="24"/>
  <c r="T30" i="24"/>
  <c r="T97" i="24"/>
  <c r="T205" i="24"/>
  <c r="T292" i="24"/>
  <c r="T274" i="24"/>
  <c r="T365" i="24"/>
  <c r="T25" i="24"/>
  <c r="T80" i="24"/>
  <c r="T299" i="24"/>
  <c r="T23" i="24"/>
  <c r="T174" i="24"/>
  <c r="T241" i="24"/>
  <c r="T119" i="24"/>
  <c r="T78" i="24"/>
  <c r="T145" i="24"/>
  <c r="T232" i="24"/>
  <c r="T238" i="24"/>
  <c r="T305" i="24"/>
  <c r="T328" i="24"/>
  <c r="T35" i="24"/>
  <c r="T248" i="24"/>
  <c r="T98" i="24"/>
  <c r="T339" i="24"/>
  <c r="T189" i="24"/>
  <c r="T95" i="24"/>
  <c r="T340" i="24"/>
  <c r="T182" i="24"/>
  <c r="T32" i="24"/>
  <c r="T217" i="24"/>
  <c r="T59" i="24"/>
  <c r="T272" i="24"/>
  <c r="T167" i="24"/>
  <c r="T17" i="24"/>
  <c r="T254" i="24"/>
  <c r="T104" i="24"/>
  <c r="T18" i="24"/>
  <c r="T259" i="24"/>
  <c r="T109" i="24"/>
  <c r="T322" i="24"/>
  <c r="T132" i="24"/>
  <c r="T349" i="24"/>
  <c r="T191" i="24"/>
  <c r="T201" i="24"/>
  <c r="T43" i="24"/>
  <c r="T256" i="24"/>
  <c r="T138" i="24"/>
  <c r="T44" i="24"/>
  <c r="T261" i="24"/>
  <c r="T135" i="24"/>
  <c r="T348" i="24"/>
  <c r="T158" i="24"/>
  <c r="T375" i="24"/>
  <c r="T225" i="24"/>
  <c r="T334" i="24"/>
  <c r="T184" i="24"/>
  <c r="T34" i="24"/>
  <c r="T275" i="24"/>
  <c r="T125" i="24"/>
  <c r="T31" i="24"/>
  <c r="T276" i="24"/>
  <c r="T118" i="24"/>
  <c r="T335" i="24"/>
  <c r="T153" i="24"/>
  <c r="T358" i="24"/>
  <c r="T208" i="24"/>
  <c r="T141" i="24"/>
  <c r="T228" i="24"/>
  <c r="T351" i="24"/>
  <c r="T75" i="24"/>
  <c r="T106" i="24"/>
  <c r="T165" i="24"/>
  <c r="T342" i="24"/>
  <c r="T215" i="24"/>
  <c r="T366" i="24"/>
  <c r="T66" i="24"/>
  <c r="T93" i="24"/>
  <c r="T308" i="24"/>
  <c r="T367" i="24"/>
  <c r="T155" i="24"/>
  <c r="T250" i="24"/>
  <c r="T51" i="24"/>
  <c r="T114" i="24"/>
  <c r="T77" i="24"/>
  <c r="T164" i="24"/>
  <c r="T287" i="24"/>
  <c r="T156" i="24"/>
  <c r="T183" i="24"/>
  <c r="J135" i="22"/>
  <c r="I135" i="22"/>
  <c r="AG361" i="24"/>
  <c r="AF361" i="24" s="1"/>
  <c r="AG287" i="24"/>
  <c r="AF287" i="24" s="1"/>
  <c r="AG116" i="24"/>
  <c r="AF116" i="24" s="1"/>
  <c r="AG363" i="24"/>
  <c r="AF363" i="24" s="1"/>
  <c r="AG25" i="24"/>
  <c r="AF25" i="24" s="1"/>
  <c r="AG101" i="24"/>
  <c r="AF101" i="24" s="1"/>
  <c r="AG44" i="24"/>
  <c r="AF44" i="24" s="1"/>
  <c r="AG255" i="24"/>
  <c r="AF255" i="24" s="1"/>
  <c r="AG56" i="24"/>
  <c r="AF56" i="24" s="1"/>
  <c r="AG291" i="24"/>
  <c r="AF291" i="24" s="1"/>
  <c r="AG16" i="24"/>
  <c r="AF16" i="24" s="1"/>
  <c r="AG248" i="24"/>
  <c r="AF248" i="24" s="1"/>
  <c r="AG114" i="24"/>
  <c r="AF114" i="24" s="1"/>
  <c r="AG31" i="24"/>
  <c r="AF31" i="24" s="1"/>
  <c r="AG221" i="24"/>
  <c r="AF221" i="24" s="1"/>
  <c r="AG154" i="24"/>
  <c r="AF154" i="24" s="1"/>
  <c r="AG89" i="24"/>
  <c r="AF89" i="24" s="1"/>
  <c r="AG281" i="24"/>
  <c r="AF281" i="24" s="1"/>
  <c r="AG206" i="24"/>
  <c r="AF206" i="24" s="1"/>
  <c r="AG147" i="24"/>
  <c r="AF147" i="24" s="1"/>
  <c r="AG216" i="24"/>
  <c r="AF216" i="24" s="1"/>
  <c r="AG149" i="24"/>
  <c r="AF149" i="24" s="1"/>
  <c r="AG82" i="24"/>
  <c r="AF82" i="24" s="1"/>
  <c r="AG368" i="24"/>
  <c r="AF368" i="24" s="1"/>
  <c r="AG301" i="24"/>
  <c r="AF301" i="24" s="1"/>
  <c r="AG234" i="24"/>
  <c r="AF234" i="24" s="1"/>
  <c r="AG303" i="24"/>
  <c r="AF303" i="24" s="1"/>
  <c r="AG244" i="24"/>
  <c r="AF244" i="24" s="1"/>
  <c r="AG94" i="24"/>
  <c r="AF94" i="24" s="1"/>
  <c r="AG246" i="24"/>
  <c r="AF246" i="24" s="1"/>
  <c r="AG187" i="24"/>
  <c r="AF187" i="24" s="1"/>
  <c r="AG104" i="24"/>
  <c r="AF104" i="24" s="1"/>
  <c r="AG37" i="24"/>
  <c r="AF37" i="24" s="1"/>
  <c r="AG339" i="24"/>
  <c r="AF339" i="24" s="1"/>
  <c r="AG39" i="24"/>
  <c r="AF39" i="24" s="1"/>
  <c r="AG341" i="24"/>
  <c r="AF341" i="24" s="1"/>
  <c r="AG191" i="24"/>
  <c r="AF191" i="24" s="1"/>
  <c r="AG132" i="24"/>
  <c r="AF132" i="24" s="1"/>
  <c r="AG57" i="24"/>
  <c r="AF57" i="24" s="1"/>
  <c r="AG343" i="24"/>
  <c r="AF343" i="24" s="1"/>
  <c r="AG284" i="24"/>
  <c r="AF284" i="24" s="1"/>
  <c r="AG134" i="24"/>
  <c r="AF134" i="24" s="1"/>
  <c r="AG305" i="24"/>
  <c r="AF305" i="24" s="1"/>
  <c r="AG314" i="24"/>
  <c r="AF314" i="24" s="1"/>
  <c r="AG172" i="24"/>
  <c r="AF172" i="24" s="1"/>
  <c r="AG22" i="24"/>
  <c r="AF22" i="24" s="1"/>
  <c r="AG249" i="24"/>
  <c r="AF249" i="24" s="1"/>
  <c r="AG115" i="24"/>
  <c r="AF115" i="24" s="1"/>
  <c r="AG50" i="24"/>
  <c r="AF50" i="24" s="1"/>
  <c r="AG62" i="24"/>
  <c r="AF62" i="24" s="1"/>
  <c r="AG289" i="24"/>
  <c r="AF289" i="24" s="1"/>
  <c r="AG155" i="24"/>
  <c r="AF155" i="24" s="1"/>
  <c r="AG367" i="24"/>
  <c r="AF367" i="24" s="1"/>
  <c r="AG99" i="24"/>
  <c r="AF99" i="24" s="1"/>
  <c r="AG310" i="24"/>
  <c r="AF310" i="24" s="1"/>
  <c r="AG177" i="24"/>
  <c r="AF177" i="24" s="1"/>
  <c r="AG43" i="24"/>
  <c r="AF43" i="24" s="1"/>
  <c r="AG254" i="24"/>
  <c r="AF254" i="24" s="1"/>
  <c r="AG197" i="24"/>
  <c r="AF197" i="24" s="1"/>
  <c r="AG47" i="24"/>
  <c r="AF47" i="24" s="1"/>
  <c r="AG351" i="24"/>
  <c r="AF351" i="24" s="1"/>
  <c r="AG83" i="24"/>
  <c r="AF83" i="24" s="1"/>
  <c r="AG161" i="24"/>
  <c r="AF161" i="24" s="1"/>
  <c r="AG96" i="24"/>
  <c r="AF96" i="24" s="1"/>
  <c r="AG331" i="24"/>
  <c r="AF331" i="24" s="1"/>
  <c r="I302" i="22"/>
  <c r="J302" i="22"/>
  <c r="J105" i="22"/>
  <c r="I105" i="22"/>
  <c r="J288" i="22"/>
  <c r="I288" i="22"/>
  <c r="J196" i="22"/>
  <c r="I196" i="22"/>
  <c r="AG79" i="24"/>
  <c r="AF79" i="24" s="1"/>
  <c r="AG21" i="24"/>
  <c r="AF21" i="24" s="1"/>
  <c r="AG175" i="24"/>
  <c r="AF175" i="24" s="1"/>
  <c r="AG268" i="24"/>
  <c r="AF268" i="24" s="1"/>
  <c r="AG61" i="24"/>
  <c r="AF61" i="24" s="1"/>
  <c r="AG215" i="24"/>
  <c r="AF215" i="24" s="1"/>
  <c r="AG157" i="24"/>
  <c r="AF157" i="24" s="1"/>
  <c r="AG242" i="24"/>
  <c r="AF242" i="24" s="1"/>
  <c r="AG46" i="24"/>
  <c r="AF46" i="24" s="1"/>
  <c r="AG208" i="24"/>
  <c r="AF208" i="24" s="1"/>
  <c r="AG293" i="24"/>
  <c r="AF293" i="24" s="1"/>
  <c r="AG378" i="24"/>
  <c r="AF378" i="24" s="1"/>
  <c r="AG304" i="24"/>
  <c r="AF304" i="24" s="1"/>
  <c r="AG28" i="24"/>
  <c r="AF28" i="24" s="1"/>
  <c r="AG332" i="24"/>
  <c r="AF332" i="24" s="1"/>
  <c r="AG40" i="24"/>
  <c r="AF40" i="24" s="1"/>
  <c r="AG275" i="24"/>
  <c r="AF275" i="24" s="1"/>
  <c r="AG125" i="24"/>
  <c r="AF125" i="24" s="1"/>
  <c r="AG344" i="24"/>
  <c r="AF344" i="24" s="1"/>
  <c r="AG210" i="24"/>
  <c r="AF210" i="24" s="1"/>
  <c r="AG68" i="24"/>
  <c r="AF68" i="24" s="1"/>
  <c r="AG279" i="24"/>
  <c r="AF279" i="24" s="1"/>
  <c r="AG222" i="24"/>
  <c r="AF222" i="24" s="1"/>
  <c r="AG80" i="24"/>
  <c r="AF80" i="24" s="1"/>
  <c r="AG315" i="24"/>
  <c r="AF315" i="24" s="1"/>
  <c r="AG165" i="24"/>
  <c r="AF165" i="24" s="1"/>
  <c r="AG17" i="24"/>
  <c r="AF17" i="24" s="1"/>
  <c r="AG250" i="24"/>
  <c r="AF250" i="24" s="1"/>
  <c r="AG319" i="24"/>
  <c r="AF319" i="24" s="1"/>
  <c r="AG185" i="24"/>
  <c r="AF185" i="24" s="1"/>
  <c r="AG51" i="24"/>
  <c r="AF51" i="24" s="1"/>
  <c r="AG262" i="24"/>
  <c r="AF262" i="24" s="1"/>
  <c r="AG120" i="24"/>
  <c r="AF120" i="24" s="1"/>
  <c r="AG355" i="24"/>
  <c r="AF355" i="24" s="1"/>
  <c r="AG205" i="24"/>
  <c r="AF205" i="24" s="1"/>
  <c r="AG148" i="24"/>
  <c r="AF148" i="24" s="1"/>
  <c r="AG302" i="24"/>
  <c r="AF302" i="24" s="1"/>
  <c r="AG160" i="24"/>
  <c r="AF160" i="24" s="1"/>
  <c r="AG26" i="24"/>
  <c r="AF26" i="24" s="1"/>
  <c r="AG95" i="24"/>
  <c r="AF95" i="24" s="1"/>
  <c r="AG330" i="24"/>
  <c r="AF330" i="24" s="1"/>
  <c r="AG188" i="24"/>
  <c r="AF188" i="24" s="1"/>
  <c r="AG131" i="24"/>
  <c r="AF131" i="24" s="1"/>
  <c r="AG200" i="24"/>
  <c r="AF200" i="24" s="1"/>
  <c r="AG66" i="24"/>
  <c r="AF66" i="24" s="1"/>
  <c r="AG218" i="24"/>
  <c r="AF218" i="24" s="1"/>
  <c r="AG324" i="24"/>
  <c r="AF324" i="24" s="1"/>
  <c r="AG271" i="24"/>
  <c r="AF271" i="24" s="1"/>
  <c r="AG18" i="24"/>
  <c r="AF18" i="24" s="1"/>
  <c r="AG292" i="24"/>
  <c r="AF292" i="24" s="1"/>
  <c r="AG29" i="24"/>
  <c r="AF29" i="24" s="1"/>
  <c r="I60" i="22"/>
  <c r="J60" i="22"/>
  <c r="I166" i="22"/>
  <c r="J166" i="22"/>
  <c r="G349" i="23"/>
  <c r="CD349" i="6" s="1"/>
  <c r="J29" i="22"/>
  <c r="I29" i="22"/>
  <c r="S324" i="24"/>
  <c r="R324" i="24" s="1"/>
  <c r="S282" i="24"/>
  <c r="R282" i="24" s="1"/>
  <c r="S124" i="24"/>
  <c r="R124" i="24" s="1"/>
  <c r="S192" i="24"/>
  <c r="R192" i="24" s="1"/>
  <c r="S311" i="24"/>
  <c r="R311" i="24" s="1"/>
  <c r="S163" i="24"/>
  <c r="R163" i="24" s="1"/>
  <c r="S100" i="24"/>
  <c r="R100" i="24" s="1"/>
  <c r="S317" i="24"/>
  <c r="R317" i="24" s="1"/>
  <c r="S223" i="24"/>
  <c r="R223" i="24" s="1"/>
  <c r="S105" i="24"/>
  <c r="R105" i="24" s="1"/>
  <c r="S251" i="24"/>
  <c r="R251" i="24" s="1"/>
  <c r="S285" i="24"/>
  <c r="R285" i="24" s="1"/>
  <c r="S159" i="24"/>
  <c r="R159" i="24" s="1"/>
  <c r="S110" i="24"/>
  <c r="R110" i="24" s="1"/>
  <c r="S41" i="24"/>
  <c r="R41" i="24" s="1"/>
  <c r="S62" i="24"/>
  <c r="R62" i="24" s="1"/>
  <c r="S279" i="24"/>
  <c r="R279" i="24" s="1"/>
  <c r="S262" i="24"/>
  <c r="R262" i="24" s="1"/>
  <c r="S112" i="24"/>
  <c r="R112" i="24" s="1"/>
  <c r="S67" i="24"/>
  <c r="R67" i="24" s="1"/>
  <c r="S361" i="24"/>
  <c r="R361" i="24" s="1"/>
  <c r="S280" i="24"/>
  <c r="R280" i="24" s="1"/>
  <c r="S257" i="24"/>
  <c r="R257" i="24" s="1"/>
  <c r="S176" i="24"/>
  <c r="R176" i="24" s="1"/>
  <c r="S58" i="24"/>
  <c r="R58" i="24" s="1"/>
  <c r="S267" i="24"/>
  <c r="R267" i="24" s="1"/>
  <c r="S29" i="24"/>
  <c r="R29" i="24" s="1"/>
  <c r="S242" i="24"/>
  <c r="R242" i="24" s="1"/>
  <c r="S47" i="24"/>
  <c r="R47" i="24" s="1"/>
  <c r="S170" i="24"/>
  <c r="R170" i="24" s="1"/>
  <c r="S379" i="24"/>
  <c r="R379" i="24" s="1"/>
  <c r="S229" i="24"/>
  <c r="R229" i="24" s="1"/>
  <c r="S318" i="24"/>
  <c r="R318" i="24" s="1"/>
  <c r="S168" i="24"/>
  <c r="R168" i="24" s="1"/>
  <c r="S323" i="24"/>
  <c r="R323" i="24" s="1"/>
  <c r="S173" i="24"/>
  <c r="R173" i="24" s="1"/>
  <c r="S15" i="24"/>
  <c r="S345" i="24"/>
  <c r="R345" i="24" s="1"/>
  <c r="S187" i="24"/>
  <c r="R187" i="24" s="1"/>
  <c r="S37" i="24"/>
  <c r="R37" i="24" s="1"/>
  <c r="S154" i="24"/>
  <c r="R154" i="24" s="1"/>
  <c r="S363" i="24"/>
  <c r="R363" i="24" s="1"/>
  <c r="S213" i="24"/>
  <c r="R213" i="24" s="1"/>
  <c r="S87" i="24"/>
  <c r="R87" i="24" s="1"/>
  <c r="S364" i="24"/>
  <c r="R364" i="24" s="1"/>
  <c r="S20" i="24"/>
  <c r="R20" i="24" s="1"/>
  <c r="S237" i="24"/>
  <c r="R237" i="24" s="1"/>
  <c r="S79" i="24"/>
  <c r="R79" i="24" s="1"/>
  <c r="S102" i="24"/>
  <c r="R102" i="24" s="1"/>
  <c r="S319" i="24"/>
  <c r="R319" i="24" s="1"/>
  <c r="B67" i="19"/>
  <c r="V381" i="22"/>
  <c r="V382" i="22"/>
  <c r="V383" i="22"/>
  <c r="B15" i="22"/>
  <c r="AJ5" i="22" s="1"/>
  <c r="J210" i="22"/>
  <c r="J319" i="22"/>
  <c r="I319" i="22"/>
  <c r="AG370" i="24"/>
  <c r="AF370" i="24" s="1"/>
  <c r="AG211" i="24"/>
  <c r="AF211" i="24" s="1"/>
  <c r="AG280" i="24"/>
  <c r="AF280" i="24" s="1"/>
  <c r="AG34" i="24"/>
  <c r="AF34" i="24" s="1"/>
  <c r="AG103" i="24"/>
  <c r="AF103" i="24" s="1"/>
  <c r="AG196" i="24"/>
  <c r="AF196" i="24" s="1"/>
  <c r="AG74" i="24"/>
  <c r="AF74" i="24" s="1"/>
  <c r="AG30" i="24"/>
  <c r="AF30" i="24" s="1"/>
  <c r="AG257" i="24"/>
  <c r="AF257" i="24" s="1"/>
  <c r="AG123" i="24"/>
  <c r="AF123" i="24" s="1"/>
  <c r="AG70" i="24"/>
  <c r="AF70" i="24" s="1"/>
  <c r="AG232" i="24"/>
  <c r="AF232" i="24" s="1"/>
  <c r="AG167" i="24"/>
  <c r="AF167" i="24" s="1"/>
  <c r="AG357" i="24"/>
  <c r="AF357" i="24" s="1"/>
  <c r="AG300" i="24"/>
  <c r="AF300" i="24" s="1"/>
  <c r="AG150" i="24"/>
  <c r="AF150" i="24" s="1"/>
  <c r="AG312" i="24"/>
  <c r="AF312" i="24" s="1"/>
  <c r="AG267" i="24"/>
  <c r="AF267" i="24" s="1"/>
  <c r="AG60" i="24"/>
  <c r="AF60" i="24" s="1"/>
  <c r="AG137" i="24"/>
  <c r="AF137" i="24" s="1"/>
  <c r="AG195" i="24"/>
  <c r="AF195" i="24" s="1"/>
  <c r="T278" i="24"/>
  <c r="T377" i="24"/>
  <c r="T133" i="24"/>
  <c r="T220" i="24"/>
  <c r="T247" i="24"/>
  <c r="T355" i="24"/>
  <c r="T273" i="24"/>
  <c r="T360" i="24"/>
  <c r="T148" i="24"/>
  <c r="T207" i="24"/>
  <c r="T230" i="24"/>
  <c r="T90" i="24"/>
  <c r="T149" i="24"/>
  <c r="T300" i="24"/>
  <c r="T24" i="24"/>
  <c r="T309" i="24"/>
  <c r="T332" i="24"/>
  <c r="T295" i="24"/>
  <c r="T19" i="24"/>
  <c r="T146" i="24"/>
  <c r="T88" i="24"/>
  <c r="T115" i="24"/>
  <c r="T178" i="24"/>
  <c r="T329" i="24"/>
  <c r="T171" i="24"/>
  <c r="T21" i="24"/>
  <c r="T266" i="24"/>
  <c r="T172" i="24"/>
  <c r="T46" i="24"/>
  <c r="T263" i="24"/>
  <c r="T113" i="24"/>
  <c r="T286" i="24"/>
  <c r="T136" i="24"/>
  <c r="T353" i="24"/>
  <c r="T244" i="24"/>
  <c r="T86" i="24"/>
  <c r="T303" i="24"/>
  <c r="T185" i="24"/>
  <c r="T91" i="24"/>
  <c r="T304" i="24"/>
  <c r="T186" i="24"/>
  <c r="T28" i="24"/>
  <c r="T245" i="24"/>
  <c r="T55" i="24"/>
  <c r="T268" i="24"/>
  <c r="T270" i="24"/>
  <c r="T120" i="24"/>
  <c r="T337" i="24"/>
  <c r="T211" i="24"/>
  <c r="T61" i="24"/>
  <c r="T338" i="24"/>
  <c r="T212" i="24"/>
  <c r="T54" i="24"/>
  <c r="T271" i="24"/>
  <c r="T89" i="24"/>
  <c r="T294" i="24"/>
  <c r="T144" i="24"/>
  <c r="T265" i="24"/>
  <c r="T107" i="24"/>
  <c r="T320" i="24"/>
  <c r="T202" i="24"/>
  <c r="T108" i="24"/>
  <c r="T325" i="24"/>
  <c r="T199" i="24"/>
  <c r="T49" i="24"/>
  <c r="T222" i="24"/>
  <c r="T72" i="24"/>
  <c r="T289" i="24"/>
  <c r="T291" i="24"/>
  <c r="T354" i="24"/>
  <c r="T134" i="24"/>
  <c r="T233" i="24"/>
  <c r="T288" i="24"/>
  <c r="T315" i="24"/>
  <c r="T137" i="24"/>
  <c r="T341" i="24"/>
  <c r="T129" i="24"/>
  <c r="T216" i="24"/>
  <c r="T243" i="24"/>
  <c r="T306" i="24"/>
  <c r="T150" i="24"/>
  <c r="T249" i="24"/>
  <c r="T368" i="24"/>
  <c r="T92" i="24"/>
  <c r="T264" i="24"/>
  <c r="T227" i="24"/>
  <c r="T290" i="24"/>
  <c r="T70" i="24"/>
  <c r="T314" i="24"/>
  <c r="T373" i="24"/>
  <c r="T33" i="24"/>
  <c r="I363" i="22"/>
  <c r="I74" i="22"/>
  <c r="J74" i="22"/>
  <c r="J227" i="22"/>
  <c r="I227" i="22"/>
  <c r="J241" i="22"/>
  <c r="I241" i="22"/>
  <c r="I272" i="22"/>
  <c r="I258" i="22"/>
  <c r="J258" i="22"/>
  <c r="AG76" i="24"/>
  <c r="AF76" i="24" s="1"/>
  <c r="AG296" i="24"/>
  <c r="AF296" i="24" s="1"/>
  <c r="AG162" i="24"/>
  <c r="AF162" i="24" s="1"/>
  <c r="AG20" i="24"/>
  <c r="AF20" i="24" s="1"/>
  <c r="AG323" i="24"/>
  <c r="AF323" i="24" s="1"/>
  <c r="AG173" i="24"/>
  <c r="AF173" i="24" s="1"/>
  <c r="AG23" i="24"/>
  <c r="AF23" i="24" s="1"/>
  <c r="AG258" i="24"/>
  <c r="AF258" i="24" s="1"/>
  <c r="AG327" i="24"/>
  <c r="AF327" i="24" s="1"/>
  <c r="AG193" i="24"/>
  <c r="AF193" i="24" s="1"/>
  <c r="AG59" i="24"/>
  <c r="AF59" i="24" s="1"/>
  <c r="AG128" i="24"/>
  <c r="AF128" i="24" s="1"/>
  <c r="AG213" i="24"/>
  <c r="AF213" i="24" s="1"/>
  <c r="AG63" i="24"/>
  <c r="AF63" i="24" s="1"/>
  <c r="AG298" i="24"/>
  <c r="AF298" i="24" s="1"/>
  <c r="AG309" i="24"/>
  <c r="AF309" i="24" s="1"/>
  <c r="AG159" i="24"/>
  <c r="AF159" i="24" s="1"/>
  <c r="AG320" i="24"/>
  <c r="AF320" i="24" s="1"/>
  <c r="AG186" i="24"/>
  <c r="AF186" i="24" s="1"/>
  <c r="AG121" i="24"/>
  <c r="AF121" i="24" s="1"/>
  <c r="AG198" i="24"/>
  <c r="AF198" i="24" s="1"/>
  <c r="AG141" i="24"/>
  <c r="AF141" i="24" s="1"/>
  <c r="AG360" i="24"/>
  <c r="AF360" i="24" s="1"/>
  <c r="AG84" i="24"/>
  <c r="AF84" i="24" s="1"/>
  <c r="AG152" i="24"/>
  <c r="AF152" i="24" s="1"/>
  <c r="AG237" i="24"/>
  <c r="AF237" i="24" s="1"/>
  <c r="AG87" i="24"/>
  <c r="AF87" i="24" s="1"/>
  <c r="AG322" i="24"/>
  <c r="AF322" i="24" s="1"/>
  <c r="AG266" i="24"/>
  <c r="AF266" i="24" s="1"/>
  <c r="AG49" i="24"/>
  <c r="AF49" i="24" s="1"/>
  <c r="AG335" i="24"/>
  <c r="AF335" i="24" s="1"/>
  <c r="AG276" i="24"/>
  <c r="AF276" i="24" s="1"/>
  <c r="AG201" i="24"/>
  <c r="AF201" i="24" s="1"/>
  <c r="AG126" i="24"/>
  <c r="AF126" i="24" s="1"/>
  <c r="AG67" i="24"/>
  <c r="AF67" i="24" s="1"/>
  <c r="AG278" i="24"/>
  <c r="AF278" i="24" s="1"/>
  <c r="AG219" i="24"/>
  <c r="AF219" i="24" s="1"/>
  <c r="AG136" i="24"/>
  <c r="AF136" i="24" s="1"/>
  <c r="AG371" i="24"/>
  <c r="AF371" i="24" s="1"/>
  <c r="AG288" i="24"/>
  <c r="AF288" i="24" s="1"/>
  <c r="AG71" i="24"/>
  <c r="AF71" i="24" s="1"/>
  <c r="AG306" i="24"/>
  <c r="AF306" i="24" s="1"/>
  <c r="AG164" i="24"/>
  <c r="AF164" i="24" s="1"/>
  <c r="AG375" i="24"/>
  <c r="AF375" i="24" s="1"/>
  <c r="AG241" i="24"/>
  <c r="AF241" i="24" s="1"/>
  <c r="AG166" i="24"/>
  <c r="AF166" i="24" s="1"/>
  <c r="AG107" i="24"/>
  <c r="AF107" i="24" s="1"/>
  <c r="AG24" i="24"/>
  <c r="AF24" i="24" s="1"/>
  <c r="AG318" i="24"/>
  <c r="AF318" i="24" s="1"/>
  <c r="AG259" i="24"/>
  <c r="AF259" i="24" s="1"/>
  <c r="AG176" i="24"/>
  <c r="AF176" i="24" s="1"/>
  <c r="AG261" i="24"/>
  <c r="AF261" i="24" s="1"/>
  <c r="AG111" i="24"/>
  <c r="AF111" i="24" s="1"/>
  <c r="AG52" i="24"/>
  <c r="AF52" i="24" s="1"/>
  <c r="AG346" i="24"/>
  <c r="AF346" i="24" s="1"/>
  <c r="AG263" i="24"/>
  <c r="AF263" i="24" s="1"/>
  <c r="AG204" i="24"/>
  <c r="AF204" i="24" s="1"/>
  <c r="AG129" i="24"/>
  <c r="AF129" i="24" s="1"/>
  <c r="AG54" i="24"/>
  <c r="AF54" i="24" s="1"/>
  <c r="AG64" i="24"/>
  <c r="AF64" i="24" s="1"/>
  <c r="AG299" i="24"/>
  <c r="AF299" i="24" s="1"/>
  <c r="AG92" i="24"/>
  <c r="AF92" i="24" s="1"/>
  <c r="AG15" i="24"/>
  <c r="AG256" i="24"/>
  <c r="AF256" i="24" s="1"/>
  <c r="AG122" i="24"/>
  <c r="AF122" i="24" s="1"/>
  <c r="AG135" i="24"/>
  <c r="AF135" i="24" s="1"/>
  <c r="AG144" i="24"/>
  <c r="AF144" i="24" s="1"/>
  <c r="AG228" i="24"/>
  <c r="AF228" i="24" s="1"/>
  <c r="AG326" i="24"/>
  <c r="AF326" i="24" s="1"/>
  <c r="AG119" i="24"/>
  <c r="AF119" i="24" s="1"/>
  <c r="AG354" i="24"/>
  <c r="AF354" i="24" s="1"/>
  <c r="AG212" i="24"/>
  <c r="AF212" i="24" s="1"/>
  <c r="AG168" i="24"/>
  <c r="AF168" i="24" s="1"/>
  <c r="AG347" i="24"/>
  <c r="AF347" i="24" s="1"/>
  <c r="AG140" i="24"/>
  <c r="AF140" i="24" s="1"/>
  <c r="AG295" i="24"/>
  <c r="AF295" i="24" s="1"/>
  <c r="R382" i="23"/>
  <c r="R383" i="23"/>
  <c r="R381" i="23"/>
  <c r="J180" i="22"/>
  <c r="I180" i="22"/>
  <c r="J349" i="22"/>
  <c r="I349" i="22"/>
  <c r="H349" i="23" s="1"/>
  <c r="AG286" i="24"/>
  <c r="AF286" i="24" s="1"/>
  <c r="AG345" i="24"/>
  <c r="AF345" i="24" s="1"/>
  <c r="AG311" i="24"/>
  <c r="AF311" i="24" s="1"/>
  <c r="AG338" i="24"/>
  <c r="AF338" i="24" s="1"/>
  <c r="AG105" i="24"/>
  <c r="AF105" i="24" s="1"/>
  <c r="AG182" i="24"/>
  <c r="AF182" i="24" s="1"/>
  <c r="AG372" i="24"/>
  <c r="AF372" i="24" s="1"/>
  <c r="AG290" i="24"/>
  <c r="AF290" i="24" s="1"/>
  <c r="AG359" i="24"/>
  <c r="AF359" i="24" s="1"/>
  <c r="AG225" i="24"/>
  <c r="AF225" i="24" s="1"/>
  <c r="AG245" i="24"/>
  <c r="AF245" i="24" s="1"/>
  <c r="AG265" i="24"/>
  <c r="AF265" i="24" s="1"/>
  <c r="AG252" i="24"/>
  <c r="AF252" i="24" s="1"/>
  <c r="AG329" i="24"/>
  <c r="AF329" i="24" s="1"/>
  <c r="AG45" i="24"/>
  <c r="AF45" i="24" s="1"/>
  <c r="AG236" i="24"/>
  <c r="AF236" i="24" s="1"/>
  <c r="J46" i="22"/>
  <c r="I46" i="22"/>
  <c r="U110" i="25" l="1"/>
  <c r="AE148" i="23"/>
  <c r="AD148" i="23" s="1"/>
  <c r="AE294" i="23"/>
  <c r="AD294" i="23" s="1"/>
  <c r="AE268" i="23"/>
  <c r="AD268" i="23" s="1"/>
  <c r="AE253" i="23"/>
  <c r="AD253" i="23" s="1"/>
  <c r="AE246" i="23"/>
  <c r="AD246" i="23" s="1"/>
  <c r="AE114" i="23"/>
  <c r="AD114" i="23" s="1"/>
  <c r="AE106" i="23"/>
  <c r="AD106" i="23" s="1"/>
  <c r="AE229" i="23"/>
  <c r="AD229" i="23" s="1"/>
  <c r="AE312" i="23"/>
  <c r="AD312" i="23" s="1"/>
  <c r="AE372" i="23"/>
  <c r="AD372" i="23" s="1"/>
  <c r="AH379" i="24"/>
  <c r="AG379" i="24" s="1"/>
  <c r="AF379" i="24" s="1"/>
  <c r="AI12" i="25"/>
  <c r="H256" i="23"/>
  <c r="H278" i="23"/>
  <c r="I278" i="23" s="1"/>
  <c r="AE353" i="23"/>
  <c r="AD353" i="23" s="1"/>
  <c r="AE168" i="23"/>
  <c r="AD168" i="23" s="1"/>
  <c r="AE111" i="23"/>
  <c r="AD111" i="23" s="1"/>
  <c r="AE215" i="23"/>
  <c r="AD215" i="23" s="1"/>
  <c r="AE233" i="23"/>
  <c r="AD233" i="23" s="1"/>
  <c r="AA233" i="23" s="1"/>
  <c r="Z233" i="23" s="1"/>
  <c r="Y233" i="23" s="1"/>
  <c r="AE166" i="23"/>
  <c r="AD166" i="23" s="1"/>
  <c r="AE149" i="23"/>
  <c r="AD149" i="23" s="1"/>
  <c r="AE267" i="23"/>
  <c r="AD267" i="23" s="1"/>
  <c r="AA267" i="23" s="1"/>
  <c r="Z267" i="23" s="1"/>
  <c r="Y267" i="23" s="1"/>
  <c r="AE237" i="23"/>
  <c r="AD237" i="23" s="1"/>
  <c r="AE354" i="23"/>
  <c r="AD354" i="23" s="1"/>
  <c r="AE256" i="23"/>
  <c r="AD256" i="23" s="1"/>
  <c r="AA256" i="23" s="1"/>
  <c r="Z256" i="23" s="1"/>
  <c r="Y256" i="23" s="1"/>
  <c r="AE286" i="23"/>
  <c r="AD286" i="23" s="1"/>
  <c r="AE375" i="23"/>
  <c r="AD375" i="23" s="1"/>
  <c r="AE344" i="23"/>
  <c r="AD344" i="23" s="1"/>
  <c r="AE348" i="23"/>
  <c r="AD348" i="23" s="1"/>
  <c r="AE176" i="23"/>
  <c r="AD176" i="23" s="1"/>
  <c r="AE373" i="23"/>
  <c r="AD373" i="23" s="1"/>
  <c r="AE119" i="23"/>
  <c r="AD119" i="23" s="1"/>
  <c r="AE321" i="23"/>
  <c r="AD321" i="23" s="1"/>
  <c r="AA321" i="23" s="1"/>
  <c r="Z321" i="23" s="1"/>
  <c r="Y321" i="23" s="1"/>
  <c r="AE254" i="23"/>
  <c r="AD254" i="23" s="1"/>
  <c r="AE298" i="23"/>
  <c r="AD298" i="23" s="1"/>
  <c r="AE314" i="23"/>
  <c r="AD314" i="23" s="1"/>
  <c r="AE289" i="23"/>
  <c r="AD289" i="23" s="1"/>
  <c r="AE376" i="23"/>
  <c r="AD376" i="23" s="1"/>
  <c r="AE221" i="23"/>
  <c r="AD221" i="23" s="1"/>
  <c r="AE290" i="23"/>
  <c r="AD290" i="23" s="1"/>
  <c r="AE201" i="23"/>
  <c r="AD201" i="23" s="1"/>
  <c r="AE147" i="23"/>
  <c r="AD147" i="23" s="1"/>
  <c r="AE182" i="23"/>
  <c r="AD182" i="23" s="1"/>
  <c r="AE187" i="23"/>
  <c r="AD187" i="23" s="1"/>
  <c r="AE263" i="23"/>
  <c r="AD263" i="23" s="1"/>
  <c r="AE235" i="23"/>
  <c r="AD235" i="23" s="1"/>
  <c r="AE284" i="23"/>
  <c r="AD284" i="23" s="1"/>
  <c r="AE259" i="23"/>
  <c r="AD259" i="23" s="1"/>
  <c r="AE347" i="23"/>
  <c r="AD347" i="23" s="1"/>
  <c r="AE295" i="23"/>
  <c r="AD295" i="23" s="1"/>
  <c r="AE184" i="23"/>
  <c r="AD184" i="23" s="1"/>
  <c r="AE281" i="23"/>
  <c r="AD281" i="23" s="1"/>
  <c r="AE212" i="23"/>
  <c r="AD212" i="23" s="1"/>
  <c r="AE357" i="23"/>
  <c r="AD357" i="23" s="1"/>
  <c r="AE309" i="23"/>
  <c r="AD309" i="23" s="1"/>
  <c r="AE134" i="23"/>
  <c r="AD134" i="23" s="1"/>
  <c r="AE345" i="23"/>
  <c r="AD345" i="23" s="1"/>
  <c r="AE133" i="23"/>
  <c r="AD133" i="23" s="1"/>
  <c r="AE197" i="23"/>
  <c r="AD197" i="23" s="1"/>
  <c r="AE302" i="23"/>
  <c r="AD302" i="23" s="1"/>
  <c r="AE276" i="23"/>
  <c r="AD276" i="23" s="1"/>
  <c r="AE362" i="23"/>
  <c r="AD362" i="23" s="1"/>
  <c r="AE226" i="23"/>
  <c r="AD226" i="23" s="1"/>
  <c r="AA226" i="23" s="1"/>
  <c r="Z226" i="23" s="1"/>
  <c r="Y226" i="23" s="1"/>
  <c r="AE156" i="23"/>
  <c r="AD156" i="23" s="1"/>
  <c r="AE105" i="23"/>
  <c r="AD105" i="23" s="1"/>
  <c r="AE346" i="23"/>
  <c r="AD346" i="23" s="1"/>
  <c r="AE181" i="23"/>
  <c r="AD181" i="23" s="1"/>
  <c r="AE370" i="23"/>
  <c r="AD370" i="23" s="1"/>
  <c r="AE326" i="23"/>
  <c r="AD326" i="23" s="1"/>
  <c r="AE150" i="23"/>
  <c r="AD150" i="23" s="1"/>
  <c r="AE285" i="23"/>
  <c r="AD285" i="23" s="1"/>
  <c r="AE310" i="23"/>
  <c r="AD310" i="23" s="1"/>
  <c r="AE164" i="23"/>
  <c r="AD164" i="23" s="1"/>
  <c r="AE339" i="23"/>
  <c r="AD339" i="23" s="1"/>
  <c r="AE188" i="23"/>
  <c r="AD188" i="23" s="1"/>
  <c r="AE240" i="23"/>
  <c r="AD240" i="23" s="1"/>
  <c r="AE360" i="23"/>
  <c r="AD360" i="23" s="1"/>
  <c r="AE316" i="23"/>
  <c r="AD316" i="23" s="1"/>
  <c r="AE160" i="23"/>
  <c r="AD160" i="23" s="1"/>
  <c r="AE232" i="23"/>
  <c r="AD232" i="23" s="1"/>
  <c r="AE206" i="23"/>
  <c r="AD206" i="23" s="1"/>
  <c r="AE155" i="23"/>
  <c r="AD155" i="23" s="1"/>
  <c r="AE351" i="23"/>
  <c r="AD351" i="23" s="1"/>
  <c r="AE170" i="23"/>
  <c r="AD170" i="23" s="1"/>
  <c r="AH382" i="24"/>
  <c r="W258" i="23"/>
  <c r="G378" i="23"/>
  <c r="CD378" i="6" s="1"/>
  <c r="AG32" i="24"/>
  <c r="AF32" i="24" s="1"/>
  <c r="U291" i="25"/>
  <c r="U21" i="25"/>
  <c r="T21" i="25" s="1"/>
  <c r="U336" i="25"/>
  <c r="AI91" i="25"/>
  <c r="AH91" i="25" s="1"/>
  <c r="AI32" i="25"/>
  <c r="AH32" i="25" s="1"/>
  <c r="AI57" i="25"/>
  <c r="AH57" i="25" s="1"/>
  <c r="AI381" i="24"/>
  <c r="H195" i="23"/>
  <c r="AE217" i="23"/>
  <c r="AD217" i="23" s="1"/>
  <c r="AE275" i="23"/>
  <c r="AD275" i="23" s="1"/>
  <c r="AE172" i="23"/>
  <c r="AD172" i="23" s="1"/>
  <c r="AA172" i="23" s="1"/>
  <c r="Z172" i="23" s="1"/>
  <c r="Y172" i="23" s="1"/>
  <c r="AE308" i="23"/>
  <c r="AD308" i="23" s="1"/>
  <c r="AE158" i="23"/>
  <c r="AD158" i="23" s="1"/>
  <c r="AE198" i="23"/>
  <c r="AD198" i="23" s="1"/>
  <c r="AE122" i="23"/>
  <c r="AD122" i="23" s="1"/>
  <c r="AE151" i="23"/>
  <c r="AD151" i="23" s="1"/>
  <c r="AE116" i="23"/>
  <c r="AD116" i="23" s="1"/>
  <c r="AA116" i="23" s="1"/>
  <c r="Z116" i="23" s="1"/>
  <c r="Y116" i="23" s="1"/>
  <c r="AE319" i="23"/>
  <c r="AD319" i="23" s="1"/>
  <c r="AE125" i="23"/>
  <c r="AD125" i="23" s="1"/>
  <c r="AA125" i="23" s="1"/>
  <c r="Z125" i="23" s="1"/>
  <c r="Y125" i="23" s="1"/>
  <c r="AE318" i="23"/>
  <c r="AD318" i="23" s="1"/>
  <c r="AE113" i="23"/>
  <c r="AD113" i="23" s="1"/>
  <c r="AA113" i="23" s="1"/>
  <c r="Z113" i="23" s="1"/>
  <c r="Y113" i="23" s="1"/>
  <c r="AE157" i="23"/>
  <c r="AD157" i="23" s="1"/>
  <c r="AE135" i="23"/>
  <c r="AD135" i="23" s="1"/>
  <c r="AE327" i="23"/>
  <c r="AD327" i="23" s="1"/>
  <c r="AE260" i="23"/>
  <c r="AD260" i="23" s="1"/>
  <c r="AE159" i="23"/>
  <c r="AD159" i="23" s="1"/>
  <c r="AE303" i="23"/>
  <c r="AD303" i="23" s="1"/>
  <c r="AE278" i="23"/>
  <c r="AD278" i="23" s="1"/>
  <c r="AE270" i="23"/>
  <c r="AD270" i="23" s="1"/>
  <c r="AE194" i="23"/>
  <c r="AD194" i="23" s="1"/>
  <c r="AE161" i="23"/>
  <c r="AD161" i="23" s="1"/>
  <c r="AE190" i="23"/>
  <c r="AD190" i="23" s="1"/>
  <c r="AE365" i="23"/>
  <c r="AD365" i="23" s="1"/>
  <c r="AA365" i="23" s="1"/>
  <c r="Z365" i="23" s="1"/>
  <c r="Y365" i="23" s="1"/>
  <c r="AE180" i="23"/>
  <c r="AD180" i="23" s="1"/>
  <c r="AE341" i="23"/>
  <c r="AD341" i="23" s="1"/>
  <c r="AE192" i="23"/>
  <c r="AD192" i="23" s="1"/>
  <c r="AE203" i="23"/>
  <c r="AD203" i="23" s="1"/>
  <c r="AE214" i="23"/>
  <c r="AD214" i="23" s="1"/>
  <c r="AE244" i="23"/>
  <c r="AD244" i="23" s="1"/>
  <c r="AE117" i="23"/>
  <c r="AD117" i="23" s="1"/>
  <c r="AE200" i="23"/>
  <c r="AD200" i="23" s="1"/>
  <c r="AE245" i="23"/>
  <c r="AD245" i="23" s="1"/>
  <c r="AE336" i="23"/>
  <c r="AD336" i="23" s="1"/>
  <c r="AE186" i="23"/>
  <c r="AD186" i="23" s="1"/>
  <c r="AA186" i="23" s="1"/>
  <c r="Z186" i="23" s="1"/>
  <c r="Y186" i="23" s="1"/>
  <c r="AE208" i="23"/>
  <c r="AD208" i="23" s="1"/>
  <c r="AE338" i="23"/>
  <c r="AD338" i="23" s="1"/>
  <c r="AE177" i="23"/>
  <c r="AD177" i="23" s="1"/>
  <c r="AE255" i="23"/>
  <c r="AD255" i="23" s="1"/>
  <c r="AA354" i="23"/>
  <c r="Z354" i="23" s="1"/>
  <c r="Y354" i="23" s="1"/>
  <c r="U65" i="25"/>
  <c r="U184" i="25"/>
  <c r="T184" i="25" s="1"/>
  <c r="U332" i="25"/>
  <c r="U326" i="25"/>
  <c r="T326" i="25" s="1"/>
  <c r="U16" i="25"/>
  <c r="U341" i="25"/>
  <c r="T341" i="25" s="1"/>
  <c r="U172" i="25"/>
  <c r="U199" i="25"/>
  <c r="T199" i="25" s="1"/>
  <c r="U153" i="25"/>
  <c r="U171" i="25"/>
  <c r="T171" i="25" s="1"/>
  <c r="U285" i="25"/>
  <c r="U122" i="25"/>
  <c r="T122" i="25" s="1"/>
  <c r="U34" i="25"/>
  <c r="U217" i="25"/>
  <c r="U126" i="25"/>
  <c r="U240" i="25"/>
  <c r="T240" i="25" s="1"/>
  <c r="U186" i="25"/>
  <c r="U27" i="25"/>
  <c r="H197" i="23"/>
  <c r="I197" i="23" s="1"/>
  <c r="AA188" i="23"/>
  <c r="Z188" i="23" s="1"/>
  <c r="Y188" i="23" s="1"/>
  <c r="G197" i="23"/>
  <c r="CD197" i="6" s="1"/>
  <c r="U99" i="25"/>
  <c r="T99" i="25" s="1"/>
  <c r="AI382" i="24"/>
  <c r="AH51" i="7"/>
  <c r="AH383" i="24"/>
  <c r="W125" i="23"/>
  <c r="AA55" i="23"/>
  <c r="Z55" i="23" s="1"/>
  <c r="Y55" i="23" s="1"/>
  <c r="G188" i="23"/>
  <c r="CD188" i="6" s="1"/>
  <c r="G202" i="23"/>
  <c r="CD202" i="6" s="1"/>
  <c r="D71" i="23"/>
  <c r="E71" i="23" s="1"/>
  <c r="F71" i="23" s="1"/>
  <c r="H71" i="23" s="1"/>
  <c r="I71" i="23" s="1"/>
  <c r="H32" i="23"/>
  <c r="J32" i="23" s="1"/>
  <c r="H301" i="23"/>
  <c r="J301" i="23" s="1"/>
  <c r="H53" i="23"/>
  <c r="J53" i="23" s="1"/>
  <c r="W196" i="23"/>
  <c r="G280" i="23"/>
  <c r="CD280" i="6" s="1"/>
  <c r="W81" i="23"/>
  <c r="W300" i="23"/>
  <c r="H119" i="22"/>
  <c r="AA119" i="22"/>
  <c r="Z119" i="22" s="1"/>
  <c r="Y119" i="22" s="1"/>
  <c r="G119" i="22"/>
  <c r="CC119" i="6" s="1"/>
  <c r="AI33" i="25"/>
  <c r="AH33" i="25" s="1"/>
  <c r="AI77" i="25"/>
  <c r="AH77" i="25" s="1"/>
  <c r="AI85" i="25"/>
  <c r="AH85" i="25" s="1"/>
  <c r="AI76" i="25"/>
  <c r="AH76" i="25" s="1"/>
  <c r="AI96" i="25"/>
  <c r="AH96" i="25" s="1"/>
  <c r="G257" i="23"/>
  <c r="CD257" i="6" s="1"/>
  <c r="U127" i="25"/>
  <c r="U325" i="25"/>
  <c r="T325" i="25" s="1"/>
  <c r="U182" i="25"/>
  <c r="T182" i="25" s="1"/>
  <c r="U74" i="25"/>
  <c r="T74" i="25" s="1"/>
  <c r="U91" i="25"/>
  <c r="U50" i="25"/>
  <c r="T50" i="25" s="1"/>
  <c r="U278" i="25"/>
  <c r="T278" i="25" s="1"/>
  <c r="U188" i="25"/>
  <c r="T188" i="25" s="1"/>
  <c r="U215" i="25"/>
  <c r="U78" i="25"/>
  <c r="T78" i="25" s="1"/>
  <c r="U289" i="25"/>
  <c r="T289" i="25" s="1"/>
  <c r="U320" i="25"/>
  <c r="T320" i="25" s="1"/>
  <c r="U243" i="25"/>
  <c r="U104" i="25"/>
  <c r="T104" i="25" s="1"/>
  <c r="U155" i="25"/>
  <c r="T155" i="25" s="1"/>
  <c r="U114" i="25"/>
  <c r="T114" i="25" s="1"/>
  <c r="U269" i="25"/>
  <c r="U252" i="25"/>
  <c r="T252" i="25" s="1"/>
  <c r="U279" i="25"/>
  <c r="T279" i="25" s="1"/>
  <c r="U69" i="25"/>
  <c r="T69" i="25" s="1"/>
  <c r="U353" i="25"/>
  <c r="U271" i="25"/>
  <c r="T271" i="25" s="1"/>
  <c r="U198" i="25"/>
  <c r="T198" i="25" s="1"/>
  <c r="U89" i="25"/>
  <c r="T89" i="25" s="1"/>
  <c r="AI383" i="24"/>
  <c r="W151" i="23"/>
  <c r="D297" i="23"/>
  <c r="E297" i="23" s="1"/>
  <c r="F297" i="23" s="1"/>
  <c r="H297" i="23" s="1"/>
  <c r="I297" i="23" s="1"/>
  <c r="AE297" i="23"/>
  <c r="AD297" i="23" s="1"/>
  <c r="AE175" i="23"/>
  <c r="AD175" i="23" s="1"/>
  <c r="AE355" i="23"/>
  <c r="AD355" i="23" s="1"/>
  <c r="AE369" i="23"/>
  <c r="AD369" i="23" s="1"/>
  <c r="AE252" i="23"/>
  <c r="AD252" i="23" s="1"/>
  <c r="AE330" i="23"/>
  <c r="AD330" i="23" s="1"/>
  <c r="AE109" i="23"/>
  <c r="AD109" i="23" s="1"/>
  <c r="AE322" i="23"/>
  <c r="AD322" i="23" s="1"/>
  <c r="AE169" i="23"/>
  <c r="AD169" i="23" s="1"/>
  <c r="AE189" i="23"/>
  <c r="AD189" i="23" s="1"/>
  <c r="AE367" i="23"/>
  <c r="AD367" i="23" s="1"/>
  <c r="AE315" i="23"/>
  <c r="AD315" i="23" s="1"/>
  <c r="AE328" i="23"/>
  <c r="AD328" i="23" s="1"/>
  <c r="AE293" i="23"/>
  <c r="AD293" i="23" s="1"/>
  <c r="AE305" i="23"/>
  <c r="AD305" i="23" s="1"/>
  <c r="AE185" i="23"/>
  <c r="AD185" i="23" s="1"/>
  <c r="AE179" i="23"/>
  <c r="AD179" i="23" s="1"/>
  <c r="AE317" i="23"/>
  <c r="AD317" i="23" s="1"/>
  <c r="AE163" i="23"/>
  <c r="AD163" i="23" s="1"/>
  <c r="AE300" i="23"/>
  <c r="AD300" i="23" s="1"/>
  <c r="AA300" i="23" s="1"/>
  <c r="Z300" i="23" s="1"/>
  <c r="Y300" i="23" s="1"/>
  <c r="AE288" i="23"/>
  <c r="AD288" i="23" s="1"/>
  <c r="AE249" i="23"/>
  <c r="AD249" i="23" s="1"/>
  <c r="AE127" i="23"/>
  <c r="AD127" i="23" s="1"/>
  <c r="AE173" i="23"/>
  <c r="AD173" i="23" s="1"/>
  <c r="AE262" i="23"/>
  <c r="AD262" i="23" s="1"/>
  <c r="AE331" i="23"/>
  <c r="AD331" i="23" s="1"/>
  <c r="AE121" i="23"/>
  <c r="AD121" i="23" s="1"/>
  <c r="AE271" i="23"/>
  <c r="AD271" i="23" s="1"/>
  <c r="AE196" i="23"/>
  <c r="AD196" i="23" s="1"/>
  <c r="AA196" i="23" s="1"/>
  <c r="Z196" i="23" s="1"/>
  <c r="Y196" i="23" s="1"/>
  <c r="AE325" i="23"/>
  <c r="AD325" i="23" s="1"/>
  <c r="AE359" i="23"/>
  <c r="AD359" i="23" s="1"/>
  <c r="AE142" i="23"/>
  <c r="AD142" i="23" s="1"/>
  <c r="AE272" i="23"/>
  <c r="AD272" i="23" s="1"/>
  <c r="AE174" i="23"/>
  <c r="AD174" i="23" s="1"/>
  <c r="AE171" i="23"/>
  <c r="AD171" i="23" s="1"/>
  <c r="AE247" i="23"/>
  <c r="AD247" i="23" s="1"/>
  <c r="AE273" i="23"/>
  <c r="AD273" i="23" s="1"/>
  <c r="AE291" i="23"/>
  <c r="AD291" i="23" s="1"/>
  <c r="AE120" i="23"/>
  <c r="AD120" i="23" s="1"/>
  <c r="AE128" i="23"/>
  <c r="AD128" i="23" s="1"/>
  <c r="AE205" i="23"/>
  <c r="AD205" i="23" s="1"/>
  <c r="AE222" i="23"/>
  <c r="AD222" i="23" s="1"/>
  <c r="AA222" i="23" s="1"/>
  <c r="Z222" i="23" s="1"/>
  <c r="Y222" i="23" s="1"/>
  <c r="AE231" i="23"/>
  <c r="AD231" i="23" s="1"/>
  <c r="AE145" i="23"/>
  <c r="AD145" i="23" s="1"/>
  <c r="AE218" i="23"/>
  <c r="AD218" i="23" s="1"/>
  <c r="AE349" i="23"/>
  <c r="AD349" i="23" s="1"/>
  <c r="AA349" i="23" s="1"/>
  <c r="Z349" i="23" s="1"/>
  <c r="Y349" i="23" s="1"/>
  <c r="AE333" i="23"/>
  <c r="AD333" i="23" s="1"/>
  <c r="AE152" i="23"/>
  <c r="AD152" i="23" s="1"/>
  <c r="AE296" i="23"/>
  <c r="AD296" i="23" s="1"/>
  <c r="AE337" i="23"/>
  <c r="AD337" i="23" s="1"/>
  <c r="AE202" i="23"/>
  <c r="AD202" i="23" s="1"/>
  <c r="AA202" i="23" s="1"/>
  <c r="Z202" i="23" s="1"/>
  <c r="Y202" i="23" s="1"/>
  <c r="AE144" i="23"/>
  <c r="AD144" i="23" s="1"/>
  <c r="AA144" i="23" s="1"/>
  <c r="Z144" i="23" s="1"/>
  <c r="Y144" i="23" s="1"/>
  <c r="AE265" i="23"/>
  <c r="AD265" i="23" s="1"/>
  <c r="AE371" i="23"/>
  <c r="AD371" i="23" s="1"/>
  <c r="AE257" i="23"/>
  <c r="AD257" i="23" s="1"/>
  <c r="AA257" i="23" s="1"/>
  <c r="Z257" i="23" s="1"/>
  <c r="Y257" i="23" s="1"/>
  <c r="AE311" i="23"/>
  <c r="AD311" i="23" s="1"/>
  <c r="AE108" i="23"/>
  <c r="AD108" i="23" s="1"/>
  <c r="AE243" i="23"/>
  <c r="AD243" i="23" s="1"/>
  <c r="AE358" i="23"/>
  <c r="AD358" i="23" s="1"/>
  <c r="AE143" i="23"/>
  <c r="AD143" i="23" s="1"/>
  <c r="AE236" i="23"/>
  <c r="AD236" i="23" s="1"/>
  <c r="AE282" i="23"/>
  <c r="AD282" i="23" s="1"/>
  <c r="AA282" i="23" s="1"/>
  <c r="Z282" i="23" s="1"/>
  <c r="Y282" i="23" s="1"/>
  <c r="AE207" i="23"/>
  <c r="AD207" i="23" s="1"/>
  <c r="AE137" i="23"/>
  <c r="AD137" i="23" s="1"/>
  <c r="AE258" i="23"/>
  <c r="AD258" i="23" s="1"/>
  <c r="AA258" i="23" s="1"/>
  <c r="Z258" i="23" s="1"/>
  <c r="Y258" i="23" s="1"/>
  <c r="AE324" i="23"/>
  <c r="AD324" i="23" s="1"/>
  <c r="AE279" i="23"/>
  <c r="AD279" i="23" s="1"/>
  <c r="AE374" i="23"/>
  <c r="AD374" i="23" s="1"/>
  <c r="AE220" i="23"/>
  <c r="AD220" i="23" s="1"/>
  <c r="AE364" i="23"/>
  <c r="AD364" i="23" s="1"/>
  <c r="AE204" i="23"/>
  <c r="AD204" i="23" s="1"/>
  <c r="AE132" i="23"/>
  <c r="AD132" i="23" s="1"/>
  <c r="AE274" i="23"/>
  <c r="AD274" i="23" s="1"/>
  <c r="AE343" i="23"/>
  <c r="AD343" i="23" s="1"/>
  <c r="AE141" i="23"/>
  <c r="AD141" i="23" s="1"/>
  <c r="AE154" i="23"/>
  <c r="AD154" i="23" s="1"/>
  <c r="AE299" i="23"/>
  <c r="AD299" i="23" s="1"/>
  <c r="AE356" i="23"/>
  <c r="AD356" i="23" s="1"/>
  <c r="AE280" i="23"/>
  <c r="AD280" i="23" s="1"/>
  <c r="AA280" i="23" s="1"/>
  <c r="Z280" i="23" s="1"/>
  <c r="Y280" i="23" s="1"/>
  <c r="AE110" i="23"/>
  <c r="AD110" i="23" s="1"/>
  <c r="AE342" i="23"/>
  <c r="AD342" i="23" s="1"/>
  <c r="AE241" i="23"/>
  <c r="AD241" i="23" s="1"/>
  <c r="AA241" i="23" s="1"/>
  <c r="Z241" i="23" s="1"/>
  <c r="Y241" i="23" s="1"/>
  <c r="AE230" i="23"/>
  <c r="AD230" i="23" s="1"/>
  <c r="AE379" i="23"/>
  <c r="AE12" i="24" s="1"/>
  <c r="AE350" i="23"/>
  <c r="AD350" i="23" s="1"/>
  <c r="AE129" i="23"/>
  <c r="AD129" i="23" s="1"/>
  <c r="AE123" i="23"/>
  <c r="AD123" i="23" s="1"/>
  <c r="AA123" i="23" s="1"/>
  <c r="Z123" i="23" s="1"/>
  <c r="Y123" i="23" s="1"/>
  <c r="AE335" i="23"/>
  <c r="AD335" i="23" s="1"/>
  <c r="AE307" i="23"/>
  <c r="AD307" i="23" s="1"/>
  <c r="AE165" i="23"/>
  <c r="AD165" i="23" s="1"/>
  <c r="AE238" i="23"/>
  <c r="AD238" i="23" s="1"/>
  <c r="AE301" i="23"/>
  <c r="AD301" i="23" s="1"/>
  <c r="AA301" i="23" s="1"/>
  <c r="Z301" i="23" s="1"/>
  <c r="Y301" i="23" s="1"/>
  <c r="AE178" i="23"/>
  <c r="AD178" i="23" s="1"/>
  <c r="AA178" i="23" s="1"/>
  <c r="Z178" i="23" s="1"/>
  <c r="Y178" i="23" s="1"/>
  <c r="AE115" i="23"/>
  <c r="AD115" i="23" s="1"/>
  <c r="AE366" i="23"/>
  <c r="AD366" i="23" s="1"/>
  <c r="AE199" i="23"/>
  <c r="AD199" i="23" s="1"/>
  <c r="AE211" i="23"/>
  <c r="AD211" i="23" s="1"/>
  <c r="AE352" i="23"/>
  <c r="AD352" i="23" s="1"/>
  <c r="AE195" i="23"/>
  <c r="AD195" i="23" s="1"/>
  <c r="AA195" i="23" s="1"/>
  <c r="Z195" i="23" s="1"/>
  <c r="Y195" i="23" s="1"/>
  <c r="AE139" i="23"/>
  <c r="AD139" i="23" s="1"/>
  <c r="AE283" i="23"/>
  <c r="AD283" i="23" s="1"/>
  <c r="AE378" i="23"/>
  <c r="AD378" i="23" s="1"/>
  <c r="AA378" i="23" s="1"/>
  <c r="Z378" i="23" s="1"/>
  <c r="Y378" i="23" s="1"/>
  <c r="AE277" i="23"/>
  <c r="AD277" i="23" s="1"/>
  <c r="AE219" i="23"/>
  <c r="AD219" i="23" s="1"/>
  <c r="AE209" i="23"/>
  <c r="AD209" i="23" s="1"/>
  <c r="AE306" i="23"/>
  <c r="AD306" i="23" s="1"/>
  <c r="AE136" i="23"/>
  <c r="AD136" i="23" s="1"/>
  <c r="AE251" i="23"/>
  <c r="AD251" i="23" s="1"/>
  <c r="AE153" i="23"/>
  <c r="AD153" i="23" s="1"/>
  <c r="AE183" i="23"/>
  <c r="AD183" i="23" s="1"/>
  <c r="AE377" i="23"/>
  <c r="AD377" i="23" s="1"/>
  <c r="AE213" i="23"/>
  <c r="AD213" i="23" s="1"/>
  <c r="AE130" i="23"/>
  <c r="AD130" i="23" s="1"/>
  <c r="AA130" i="23" s="1"/>
  <c r="Z130" i="23" s="1"/>
  <c r="Y130" i="23" s="1"/>
  <c r="AE250" i="23"/>
  <c r="AD250" i="23" s="1"/>
  <c r="AE368" i="23"/>
  <c r="AD368" i="23" s="1"/>
  <c r="AE118" i="23"/>
  <c r="AD118" i="23" s="1"/>
  <c r="AE248" i="23"/>
  <c r="AD248" i="23" s="1"/>
  <c r="AE126" i="23"/>
  <c r="AD126" i="23" s="1"/>
  <c r="AE329" i="23"/>
  <c r="AD329" i="23" s="1"/>
  <c r="AA329" i="23" s="1"/>
  <c r="Z329" i="23" s="1"/>
  <c r="Y329" i="23" s="1"/>
  <c r="AE225" i="23"/>
  <c r="AD225" i="23" s="1"/>
  <c r="AE223" i="23"/>
  <c r="AD223" i="23" s="1"/>
  <c r="AA223" i="23" s="1"/>
  <c r="Z223" i="23" s="1"/>
  <c r="Y223" i="23" s="1"/>
  <c r="AE193" i="23"/>
  <c r="AD193" i="23" s="1"/>
  <c r="AE266" i="23"/>
  <c r="AD266" i="23" s="1"/>
  <c r="AE340" i="23"/>
  <c r="AD340" i="23" s="1"/>
  <c r="AE304" i="23"/>
  <c r="AD304" i="23" s="1"/>
  <c r="AE162" i="23"/>
  <c r="AD162" i="23" s="1"/>
  <c r="AE332" i="23"/>
  <c r="AD332" i="23" s="1"/>
  <c r="AE261" i="23"/>
  <c r="AD261" i="23" s="1"/>
  <c r="AE334" i="23"/>
  <c r="AD334" i="23" s="1"/>
  <c r="AE264" i="23"/>
  <c r="AD264" i="23" s="1"/>
  <c r="AE140" i="23"/>
  <c r="AD140" i="23" s="1"/>
  <c r="AE361" i="23"/>
  <c r="AD361" i="23" s="1"/>
  <c r="AE242" i="23"/>
  <c r="AD242" i="23" s="1"/>
  <c r="AE292" i="23"/>
  <c r="AD292" i="23" s="1"/>
  <c r="AE313" i="23"/>
  <c r="AD313" i="23" s="1"/>
  <c r="AE224" i="23"/>
  <c r="AD224" i="23" s="1"/>
  <c r="AE228" i="23"/>
  <c r="AD228" i="23" s="1"/>
  <c r="AE104" i="23"/>
  <c r="AA166" i="23"/>
  <c r="Z166" i="23" s="1"/>
  <c r="Y166" i="23" s="1"/>
  <c r="AF104" i="23"/>
  <c r="AG381" i="23"/>
  <c r="AG383" i="23"/>
  <c r="AG382" i="23"/>
  <c r="AA36" i="23"/>
  <c r="Z36" i="23" s="1"/>
  <c r="Y36" i="23" s="1"/>
  <c r="H151" i="23"/>
  <c r="I151" i="23" s="1"/>
  <c r="AA318" i="23"/>
  <c r="Z318" i="23" s="1"/>
  <c r="Y318" i="23" s="1"/>
  <c r="D270" i="23"/>
  <c r="E270" i="23" s="1"/>
  <c r="F270" i="23" s="1"/>
  <c r="G270" i="23" s="1"/>
  <c r="CD270" i="6" s="1"/>
  <c r="D375" i="23"/>
  <c r="E375" i="23" s="1"/>
  <c r="F375" i="23" s="1"/>
  <c r="G375" i="23" s="1"/>
  <c r="CD375" i="6" s="1"/>
  <c r="W116" i="23"/>
  <c r="W345" i="23"/>
  <c r="H55" i="23"/>
  <c r="J55" i="23" s="1"/>
  <c r="D274" i="23"/>
  <c r="E274" i="23" s="1"/>
  <c r="F274" i="23" s="1"/>
  <c r="H274" i="23" s="1"/>
  <c r="J274" i="23" s="1"/>
  <c r="E40" i="19"/>
  <c r="W245" i="23"/>
  <c r="W226" i="23"/>
  <c r="W105" i="23"/>
  <c r="H222" i="23"/>
  <c r="J222" i="23" s="1"/>
  <c r="G300" i="23"/>
  <c r="CD300" i="6" s="1"/>
  <c r="AA276" i="23"/>
  <c r="Z276" i="23" s="1"/>
  <c r="Y276" i="23" s="1"/>
  <c r="G116" i="23"/>
  <c r="CD116" i="6" s="1"/>
  <c r="G59" i="23"/>
  <c r="CD59" i="6" s="1"/>
  <c r="G345" i="23"/>
  <c r="CD345" i="6" s="1"/>
  <c r="D117" i="23"/>
  <c r="E117" i="23" s="1"/>
  <c r="F117" i="23" s="1"/>
  <c r="H117" i="23" s="1"/>
  <c r="J117" i="23" s="1"/>
  <c r="W188" i="23"/>
  <c r="W186" i="23"/>
  <c r="W257" i="23"/>
  <c r="W36" i="23"/>
  <c r="AA32" i="23"/>
  <c r="Z32" i="23" s="1"/>
  <c r="Y32" i="23" s="1"/>
  <c r="W101" i="23"/>
  <c r="W312" i="23"/>
  <c r="G101" i="23"/>
  <c r="CD101" i="6" s="1"/>
  <c r="H101" i="23"/>
  <c r="I101" i="23" s="1"/>
  <c r="H312" i="23"/>
  <c r="J312" i="23" s="1"/>
  <c r="AA312" i="23"/>
  <c r="Z312" i="23" s="1"/>
  <c r="Y312" i="23" s="1"/>
  <c r="G226" i="23"/>
  <c r="CD226" i="6" s="1"/>
  <c r="H226" i="23"/>
  <c r="J226" i="23" s="1"/>
  <c r="G155" i="23"/>
  <c r="CD155" i="6" s="1"/>
  <c r="W227" i="23"/>
  <c r="H130" i="23"/>
  <c r="I130" i="23" s="1"/>
  <c r="G123" i="23"/>
  <c r="CD123" i="6" s="1"/>
  <c r="D319" i="23"/>
  <c r="E319" i="23" s="1"/>
  <c r="F319" i="23" s="1"/>
  <c r="G319" i="23" s="1"/>
  <c r="CD319" i="6" s="1"/>
  <c r="H172" i="23"/>
  <c r="I172" i="23" s="1"/>
  <c r="W166" i="23"/>
  <c r="D27" i="23"/>
  <c r="E27" i="23" s="1"/>
  <c r="F27" i="23" s="1"/>
  <c r="G27" i="23" s="1"/>
  <c r="CD27" i="6" s="1"/>
  <c r="W373" i="23"/>
  <c r="W280" i="23"/>
  <c r="D314" i="23"/>
  <c r="E314" i="23" s="1"/>
  <c r="F314" i="23" s="1"/>
  <c r="G314" i="23" s="1"/>
  <c r="CD314" i="6" s="1"/>
  <c r="AA101" i="23"/>
  <c r="Z101" i="23" s="1"/>
  <c r="Y101" i="23" s="1"/>
  <c r="W113" i="23"/>
  <c r="AI58" i="25"/>
  <c r="AI84" i="25"/>
  <c r="AH84" i="25" s="1"/>
  <c r="AI69" i="25"/>
  <c r="AI94" i="25"/>
  <c r="AH94" i="25" s="1"/>
  <c r="AI15" i="25"/>
  <c r="AH15" i="25" s="1"/>
  <c r="AI63" i="25"/>
  <c r="AH63" i="25" s="1"/>
  <c r="AI36" i="25"/>
  <c r="AH36" i="25" s="1"/>
  <c r="AI72" i="25"/>
  <c r="AH72" i="25" s="1"/>
  <c r="AI51" i="25"/>
  <c r="AI90" i="25"/>
  <c r="AH90" i="25" s="1"/>
  <c r="AI81" i="25"/>
  <c r="AA294" i="23"/>
  <c r="Z294" i="23" s="1"/>
  <c r="Y294" i="23" s="1"/>
  <c r="H123" i="23"/>
  <c r="J123" i="23" s="1"/>
  <c r="G223" i="23"/>
  <c r="CD223" i="6" s="1"/>
  <c r="G282" i="23"/>
  <c r="CD282" i="6" s="1"/>
  <c r="AA52" i="23"/>
  <c r="Z52" i="23" s="1"/>
  <c r="Y52" i="23" s="1"/>
  <c r="U256" i="25"/>
  <c r="U297" i="25"/>
  <c r="T297" i="25" s="1"/>
  <c r="U350" i="25"/>
  <c r="T350" i="25" s="1"/>
  <c r="U66" i="25"/>
  <c r="T66" i="25" s="1"/>
  <c r="U179" i="25"/>
  <c r="T179" i="25" s="1"/>
  <c r="U328" i="25"/>
  <c r="T328" i="25" s="1"/>
  <c r="U369" i="25"/>
  <c r="U29" i="25"/>
  <c r="T29" i="25" s="1"/>
  <c r="U187" i="25"/>
  <c r="T187" i="25" s="1"/>
  <c r="U76" i="25"/>
  <c r="T76" i="25" s="1"/>
  <c r="U112" i="25"/>
  <c r="T112" i="25" s="1"/>
  <c r="U270" i="25"/>
  <c r="T270" i="25" s="1"/>
  <c r="U163" i="25"/>
  <c r="T163" i="25" s="1"/>
  <c r="U225" i="25"/>
  <c r="T225" i="25" s="1"/>
  <c r="U58" i="25"/>
  <c r="T58" i="25" s="1"/>
  <c r="U143" i="25"/>
  <c r="U213" i="25"/>
  <c r="T213" i="25" s="1"/>
  <c r="U70" i="25"/>
  <c r="U260" i="25"/>
  <c r="U330" i="25"/>
  <c r="T330" i="25" s="1"/>
  <c r="U223" i="25"/>
  <c r="T223" i="25" s="1"/>
  <c r="U248" i="25"/>
  <c r="T248" i="25" s="1"/>
  <c r="U342" i="25"/>
  <c r="U235" i="25"/>
  <c r="T235" i="25" s="1"/>
  <c r="U361" i="25"/>
  <c r="T361" i="25" s="1"/>
  <c r="U130" i="25"/>
  <c r="U23" i="25"/>
  <c r="T23" i="25" s="1"/>
  <c r="U83" i="25"/>
  <c r="T83" i="25" s="1"/>
  <c r="U209" i="25"/>
  <c r="T209" i="25" s="1"/>
  <c r="U106" i="25"/>
  <c r="T106" i="25" s="1"/>
  <c r="U176" i="25"/>
  <c r="T176" i="25" s="1"/>
  <c r="U334" i="25"/>
  <c r="T334" i="25" s="1"/>
  <c r="U227" i="25"/>
  <c r="T227" i="25" s="1"/>
  <c r="U180" i="25"/>
  <c r="T180" i="25" s="1"/>
  <c r="U378" i="25"/>
  <c r="U207" i="25"/>
  <c r="T207" i="25" s="1"/>
  <c r="U277" i="25"/>
  <c r="T277" i="25" s="1"/>
  <c r="U134" i="25"/>
  <c r="T134" i="25" s="1"/>
  <c r="U219" i="25"/>
  <c r="U281" i="25"/>
  <c r="T281" i="25" s="1"/>
  <c r="U178" i="25"/>
  <c r="T178" i="25" s="1"/>
  <c r="U312" i="25"/>
  <c r="T312" i="25" s="1"/>
  <c r="U77" i="25"/>
  <c r="T77" i="25" s="1"/>
  <c r="U299" i="25"/>
  <c r="T299" i="25" s="1"/>
  <c r="U316" i="25"/>
  <c r="T316" i="25" s="1"/>
  <c r="U81" i="25"/>
  <c r="T81" i="25" s="1"/>
  <c r="U343" i="25"/>
  <c r="T343" i="25" s="1"/>
  <c r="U48" i="25"/>
  <c r="T48" i="25" s="1"/>
  <c r="U206" i="25"/>
  <c r="T206" i="25" s="1"/>
  <c r="I68" i="19"/>
  <c r="W294" i="23"/>
  <c r="D120" i="23"/>
  <c r="E120" i="23" s="1"/>
  <c r="F120" i="23" s="1"/>
  <c r="H120" i="23" s="1"/>
  <c r="J120" i="23" s="1"/>
  <c r="W52" i="23"/>
  <c r="AA155" i="23"/>
  <c r="Z155" i="23" s="1"/>
  <c r="Y155" i="23" s="1"/>
  <c r="AA197" i="23"/>
  <c r="Z197" i="23" s="1"/>
  <c r="Y197" i="23" s="1"/>
  <c r="AA131" i="23"/>
  <c r="Z131" i="23" s="1"/>
  <c r="Y131" i="23" s="1"/>
  <c r="G113" i="23"/>
  <c r="CD113" i="6" s="1"/>
  <c r="H113" i="23"/>
  <c r="I113" i="23" s="1"/>
  <c r="H321" i="23"/>
  <c r="J321" i="23" s="1"/>
  <c r="H276" i="23"/>
  <c r="I276" i="23" s="1"/>
  <c r="H188" i="23"/>
  <c r="J188" i="23" s="1"/>
  <c r="G50" i="23"/>
  <c r="CD50" i="6" s="1"/>
  <c r="AA106" i="23"/>
  <c r="Z106" i="23" s="1"/>
  <c r="Y106" i="23" s="1"/>
  <c r="G144" i="23"/>
  <c r="CD144" i="6" s="1"/>
  <c r="W241" i="23"/>
  <c r="AA151" i="23"/>
  <c r="Z151" i="23" s="1"/>
  <c r="Y151" i="23" s="1"/>
  <c r="H354" i="23"/>
  <c r="I354" i="23" s="1"/>
  <c r="G312" i="23"/>
  <c r="CD312" i="6" s="1"/>
  <c r="G195" i="23"/>
  <c r="CD195" i="6" s="1"/>
  <c r="G173" i="23"/>
  <c r="CD173" i="6" s="1"/>
  <c r="G57" i="23"/>
  <c r="CD57" i="6" s="1"/>
  <c r="W106" i="23"/>
  <c r="D75" i="23"/>
  <c r="E75" i="23" s="1"/>
  <c r="F75" i="23" s="1"/>
  <c r="AA75" i="23" s="1"/>
  <c r="Z75" i="23" s="1"/>
  <c r="Y75" i="23" s="1"/>
  <c r="W354" i="23"/>
  <c r="D122" i="23"/>
  <c r="E122" i="23" s="1"/>
  <c r="F122" i="23" s="1"/>
  <c r="H122" i="23" s="1"/>
  <c r="J122" i="23" s="1"/>
  <c r="D249" i="23"/>
  <c r="E249" i="23" s="1"/>
  <c r="F249" i="23" s="1"/>
  <c r="G249" i="23" s="1"/>
  <c r="CD249" i="6" s="1"/>
  <c r="W59" i="23"/>
  <c r="D145" i="23"/>
  <c r="E145" i="23" s="1"/>
  <c r="F145" i="23" s="1"/>
  <c r="AA145" i="23" s="1"/>
  <c r="Z145" i="23" s="1"/>
  <c r="Y145" i="23" s="1"/>
  <c r="W195" i="23"/>
  <c r="W222" i="23"/>
  <c r="D82" i="23"/>
  <c r="E82" i="23" s="1"/>
  <c r="F82" i="23" s="1"/>
  <c r="AA82" i="23" s="1"/>
  <c r="Z82" i="23" s="1"/>
  <c r="Y82" i="23" s="1"/>
  <c r="W197" i="23"/>
  <c r="AA345" i="23"/>
  <c r="Z345" i="23" s="1"/>
  <c r="Y345" i="23" s="1"/>
  <c r="AA70" i="23"/>
  <c r="Z70" i="23" s="1"/>
  <c r="Y70" i="23" s="1"/>
  <c r="G267" i="23"/>
  <c r="CD267" i="6" s="1"/>
  <c r="G32" i="23"/>
  <c r="CD32" i="6" s="1"/>
  <c r="H36" i="23"/>
  <c r="J36" i="23" s="1"/>
  <c r="G186" i="23"/>
  <c r="CD186" i="6" s="1"/>
  <c r="H365" i="23"/>
  <c r="J365" i="23" s="1"/>
  <c r="G106" i="23"/>
  <c r="CD106" i="6" s="1"/>
  <c r="H59" i="23"/>
  <c r="I59" i="23" s="1"/>
  <c r="H125" i="23"/>
  <c r="J125" i="23" s="1"/>
  <c r="G354" i="23"/>
  <c r="CD354" i="6" s="1"/>
  <c r="H70" i="23"/>
  <c r="I70" i="23" s="1"/>
  <c r="H318" i="23"/>
  <c r="J318" i="23" s="1"/>
  <c r="D322" i="23"/>
  <c r="E322" i="23" s="1"/>
  <c r="F322" i="23" s="1"/>
  <c r="H322" i="23" s="1"/>
  <c r="I322" i="23" s="1"/>
  <c r="W173" i="23"/>
  <c r="D135" i="23"/>
  <c r="E135" i="23" s="1"/>
  <c r="F135" i="23" s="1"/>
  <c r="AA135" i="23" s="1"/>
  <c r="Z135" i="23" s="1"/>
  <c r="Y135" i="23" s="1"/>
  <c r="D169" i="23"/>
  <c r="E169" i="23" s="1"/>
  <c r="F169" i="23" s="1"/>
  <c r="H169" i="23" s="1"/>
  <c r="I169" i="23" s="1"/>
  <c r="D289" i="23"/>
  <c r="E289" i="23" s="1"/>
  <c r="F289" i="23" s="1"/>
  <c r="G289" i="23" s="1"/>
  <c r="CD289" i="6" s="1"/>
  <c r="W276" i="23"/>
  <c r="D140" i="23"/>
  <c r="E140" i="23" s="1"/>
  <c r="F140" i="23" s="1"/>
  <c r="H140" i="23" s="1"/>
  <c r="I140" i="23" s="1"/>
  <c r="W318" i="23"/>
  <c r="W50" i="23"/>
  <c r="W32" i="23"/>
  <c r="D93" i="23"/>
  <c r="E93" i="23" s="1"/>
  <c r="F93" i="23" s="1"/>
  <c r="AA93" i="23" s="1"/>
  <c r="Z93" i="23" s="1"/>
  <c r="Y93" i="23" s="1"/>
  <c r="W267" i="23"/>
  <c r="W321" i="23"/>
  <c r="W365" i="23"/>
  <c r="D174" i="23"/>
  <c r="E174" i="23" s="1"/>
  <c r="F174" i="23" s="1"/>
  <c r="AA174" i="23" s="1"/>
  <c r="Z174" i="23" s="1"/>
  <c r="Y174" i="23" s="1"/>
  <c r="W144" i="23"/>
  <c r="D114" i="23"/>
  <c r="E114" i="23" s="1"/>
  <c r="F114" i="23" s="1"/>
  <c r="G114" i="23" s="1"/>
  <c r="CD114" i="6" s="1"/>
  <c r="D340" i="23"/>
  <c r="E340" i="23" s="1"/>
  <c r="F340" i="23" s="1"/>
  <c r="H340" i="23" s="1"/>
  <c r="J340" i="23" s="1"/>
  <c r="D199" i="23"/>
  <c r="E199" i="23" s="1"/>
  <c r="F199" i="23" s="1"/>
  <c r="H199" i="23" s="1"/>
  <c r="I199" i="23" s="1"/>
  <c r="D28" i="23"/>
  <c r="E28" i="23" s="1"/>
  <c r="F28" i="23" s="1"/>
  <c r="H28" i="23" s="1"/>
  <c r="J28" i="23" s="1"/>
  <c r="D97" i="23"/>
  <c r="E97" i="23" s="1"/>
  <c r="F97" i="23" s="1"/>
  <c r="AA97" i="23" s="1"/>
  <c r="Z97" i="23" s="1"/>
  <c r="Y97" i="23" s="1"/>
  <c r="W57" i="23"/>
  <c r="D129" i="23"/>
  <c r="E129" i="23" s="1"/>
  <c r="F129" i="23" s="1"/>
  <c r="D189" i="23"/>
  <c r="E189" i="23" s="1"/>
  <c r="F189" i="23" s="1"/>
  <c r="D248" i="23"/>
  <c r="E248" i="23" s="1"/>
  <c r="F248" i="23" s="1"/>
  <c r="H245" i="23"/>
  <c r="J245" i="23" s="1"/>
  <c r="AA278" i="23"/>
  <c r="Z278" i="23" s="1"/>
  <c r="Y278" i="23" s="1"/>
  <c r="AA57" i="23"/>
  <c r="Z57" i="23" s="1"/>
  <c r="Y57" i="23" s="1"/>
  <c r="AA173" i="23"/>
  <c r="Z173" i="23" s="1"/>
  <c r="Y173" i="23" s="1"/>
  <c r="AA138" i="23"/>
  <c r="Z138" i="23" s="1"/>
  <c r="Y138" i="23" s="1"/>
  <c r="AA50" i="23"/>
  <c r="Z50" i="23" s="1"/>
  <c r="Y50" i="23" s="1"/>
  <c r="AA373" i="23"/>
  <c r="Z373" i="23" s="1"/>
  <c r="Y373" i="23" s="1"/>
  <c r="AA245" i="23"/>
  <c r="Z245" i="23" s="1"/>
  <c r="Y245" i="23" s="1"/>
  <c r="G373" i="23"/>
  <c r="CD373" i="6" s="1"/>
  <c r="AA53" i="23"/>
  <c r="Z53" i="23" s="1"/>
  <c r="Y53" i="23" s="1"/>
  <c r="G256" i="23"/>
  <c r="CD256" i="6" s="1"/>
  <c r="H223" i="23"/>
  <c r="I223" i="23" s="1"/>
  <c r="H166" i="23"/>
  <c r="J166" i="23" s="1"/>
  <c r="G52" i="23"/>
  <c r="CD52" i="6" s="1"/>
  <c r="H329" i="23"/>
  <c r="J329" i="23" s="1"/>
  <c r="H138" i="23"/>
  <c r="I138" i="23" s="1"/>
  <c r="H233" i="23"/>
  <c r="J233" i="23" s="1"/>
  <c r="AA81" i="23"/>
  <c r="Z81" i="23" s="1"/>
  <c r="Y81" i="23" s="1"/>
  <c r="D46" i="23"/>
  <c r="E46" i="23" s="1"/>
  <c r="F46" i="23" s="1"/>
  <c r="G46" i="23" s="1"/>
  <c r="CD46" i="6" s="1"/>
  <c r="D288" i="23"/>
  <c r="E288" i="23" s="1"/>
  <c r="F288" i="23" s="1"/>
  <c r="D22" i="23"/>
  <c r="E22" i="23" s="1"/>
  <c r="F22" i="23" s="1"/>
  <c r="H22" i="23" s="1"/>
  <c r="J22" i="23" s="1"/>
  <c r="W378" i="23"/>
  <c r="W256" i="23"/>
  <c r="D348" i="23"/>
  <c r="E348" i="23" s="1"/>
  <c r="F348" i="23" s="1"/>
  <c r="AA348" i="23" s="1"/>
  <c r="Z348" i="23" s="1"/>
  <c r="Y348" i="23" s="1"/>
  <c r="D217" i="23"/>
  <c r="E217" i="23" s="1"/>
  <c r="F217" i="23" s="1"/>
  <c r="H217" i="23" s="1"/>
  <c r="I217" i="23" s="1"/>
  <c r="D370" i="23"/>
  <c r="E370" i="23" s="1"/>
  <c r="F370" i="23" s="1"/>
  <c r="G370" i="23" s="1"/>
  <c r="CD370" i="6" s="1"/>
  <c r="W202" i="23"/>
  <c r="D377" i="23"/>
  <c r="E377" i="23" s="1"/>
  <c r="F377" i="23" s="1"/>
  <c r="H377" i="23" s="1"/>
  <c r="J377" i="23" s="1"/>
  <c r="W301" i="23"/>
  <c r="D208" i="23"/>
  <c r="E208" i="23" s="1"/>
  <c r="F208" i="23" s="1"/>
  <c r="H208" i="23" s="1"/>
  <c r="I208" i="23" s="1"/>
  <c r="W53" i="23"/>
  <c r="D315" i="23"/>
  <c r="E315" i="23" s="1"/>
  <c r="F315" i="23" s="1"/>
  <c r="G315" i="23" s="1"/>
  <c r="CD315" i="6" s="1"/>
  <c r="D209" i="23"/>
  <c r="E209" i="23" s="1"/>
  <c r="F209" i="23" s="1"/>
  <c r="H209" i="23" s="1"/>
  <c r="I209" i="23" s="1"/>
  <c r="D283" i="23"/>
  <c r="E283" i="23" s="1"/>
  <c r="F283" i="23" s="1"/>
  <c r="D141" i="23"/>
  <c r="E141" i="23" s="1"/>
  <c r="F141" i="23" s="1"/>
  <c r="AH44" i="7"/>
  <c r="V29" i="23"/>
  <c r="B29" i="23" s="1"/>
  <c r="W216" i="23"/>
  <c r="D216" i="23"/>
  <c r="E216" i="23" s="1"/>
  <c r="F216" i="23" s="1"/>
  <c r="W213" i="23"/>
  <c r="D213" i="23"/>
  <c r="E213" i="23" s="1"/>
  <c r="F213" i="23" s="1"/>
  <c r="D313" i="23"/>
  <c r="E313" i="23" s="1"/>
  <c r="F313" i="23" s="1"/>
  <c r="W313" i="23"/>
  <c r="D23" i="23"/>
  <c r="E23" i="23" s="1"/>
  <c r="F23" i="23" s="1"/>
  <c r="W23" i="23"/>
  <c r="W323" i="23"/>
  <c r="D323" i="23"/>
  <c r="E323" i="23" s="1"/>
  <c r="F323" i="23" s="1"/>
  <c r="W239" i="23"/>
  <c r="D239" i="23"/>
  <c r="E239" i="23" s="1"/>
  <c r="F239" i="23" s="1"/>
  <c r="D221" i="23"/>
  <c r="E221" i="23" s="1"/>
  <c r="F221" i="23" s="1"/>
  <c r="W221" i="23"/>
  <c r="D128" i="23"/>
  <c r="E128" i="23" s="1"/>
  <c r="F128" i="23" s="1"/>
  <c r="W128" i="23"/>
  <c r="W146" i="23"/>
  <c r="D146" i="23"/>
  <c r="E146" i="23" s="1"/>
  <c r="F146" i="23" s="1"/>
  <c r="D143" i="23"/>
  <c r="E143" i="23" s="1"/>
  <c r="F143" i="23" s="1"/>
  <c r="W143" i="23"/>
  <c r="D357" i="23"/>
  <c r="E357" i="23" s="1"/>
  <c r="F357" i="23" s="1"/>
  <c r="W357" i="23"/>
  <c r="W99" i="23"/>
  <c r="D99" i="23"/>
  <c r="E99" i="23" s="1"/>
  <c r="F99" i="23" s="1"/>
  <c r="W277" i="23"/>
  <c r="D277" i="23"/>
  <c r="E277" i="23" s="1"/>
  <c r="F277" i="23" s="1"/>
  <c r="D56" i="23"/>
  <c r="E56" i="23" s="1"/>
  <c r="F56" i="23" s="1"/>
  <c r="W56" i="23"/>
  <c r="D83" i="23"/>
  <c r="E83" i="23" s="1"/>
  <c r="F83" i="23" s="1"/>
  <c r="W83" i="23"/>
  <c r="W290" i="23"/>
  <c r="D290" i="23"/>
  <c r="E290" i="23" s="1"/>
  <c r="F290" i="23" s="1"/>
  <c r="W262" i="23"/>
  <c r="D262" i="23"/>
  <c r="E262" i="23" s="1"/>
  <c r="F262" i="23" s="1"/>
  <c r="W252" i="23"/>
  <c r="D252" i="23"/>
  <c r="E252" i="23" s="1"/>
  <c r="F252" i="23" s="1"/>
  <c r="W91" i="23"/>
  <c r="D91" i="23"/>
  <c r="E91" i="23" s="1"/>
  <c r="F91" i="23" s="1"/>
  <c r="W207" i="23"/>
  <c r="D207" i="23"/>
  <c r="E207" i="23" s="1"/>
  <c r="F207" i="23" s="1"/>
  <c r="W235" i="23"/>
  <c r="D235" i="23"/>
  <c r="E235" i="23" s="1"/>
  <c r="F235" i="23" s="1"/>
  <c r="W104" i="23"/>
  <c r="D104" i="23"/>
  <c r="E104" i="23" s="1"/>
  <c r="F104" i="23" s="1"/>
  <c r="W231" i="23"/>
  <c r="D231" i="23"/>
  <c r="E231" i="23" s="1"/>
  <c r="F231" i="23" s="1"/>
  <c r="D84" i="23"/>
  <c r="E84" i="23" s="1"/>
  <c r="F84" i="23" s="1"/>
  <c r="W84" i="23"/>
  <c r="D98" i="23"/>
  <c r="E98" i="23" s="1"/>
  <c r="F98" i="23" s="1"/>
  <c r="W98" i="23"/>
  <c r="W275" i="23"/>
  <c r="D275" i="23"/>
  <c r="E275" i="23" s="1"/>
  <c r="F275" i="23" s="1"/>
  <c r="D132" i="23"/>
  <c r="E132" i="23" s="1"/>
  <c r="F132" i="23" s="1"/>
  <c r="W132" i="23"/>
  <c r="D374" i="23"/>
  <c r="E374" i="23" s="1"/>
  <c r="F374" i="23" s="1"/>
  <c r="W374" i="23"/>
  <c r="D184" i="23"/>
  <c r="E184" i="23" s="1"/>
  <c r="F184" i="23" s="1"/>
  <c r="W184" i="23"/>
  <c r="D77" i="23"/>
  <c r="E77" i="23" s="1"/>
  <c r="F77" i="23" s="1"/>
  <c r="W77" i="23"/>
  <c r="W295" i="23"/>
  <c r="D295" i="23"/>
  <c r="E295" i="23" s="1"/>
  <c r="F295" i="23" s="1"/>
  <c r="D134" i="23"/>
  <c r="E134" i="23" s="1"/>
  <c r="F134" i="23" s="1"/>
  <c r="W134" i="23"/>
  <c r="D136" i="23"/>
  <c r="E136" i="23" s="1"/>
  <c r="F136" i="23" s="1"/>
  <c r="W136" i="23"/>
  <c r="W20" i="23"/>
  <c r="D20" i="23"/>
  <c r="E20" i="23" s="1"/>
  <c r="F20" i="23" s="1"/>
  <c r="D67" i="23"/>
  <c r="E67" i="23" s="1"/>
  <c r="F67" i="23" s="1"/>
  <c r="W67" i="23"/>
  <c r="W45" i="23"/>
  <c r="D45" i="23"/>
  <c r="E45" i="23" s="1"/>
  <c r="F45" i="23" s="1"/>
  <c r="D327" i="23"/>
  <c r="E327" i="23" s="1"/>
  <c r="F327" i="23" s="1"/>
  <c r="W327" i="23"/>
  <c r="D259" i="23"/>
  <c r="E259" i="23" s="1"/>
  <c r="F259" i="23" s="1"/>
  <c r="W259" i="23"/>
  <c r="D215" i="23"/>
  <c r="E215" i="23" s="1"/>
  <c r="F215" i="23" s="1"/>
  <c r="W215" i="23"/>
  <c r="D86" i="23"/>
  <c r="E86" i="23" s="1"/>
  <c r="F86" i="23" s="1"/>
  <c r="W86" i="23"/>
  <c r="D269" i="23"/>
  <c r="E269" i="23" s="1"/>
  <c r="F269" i="23" s="1"/>
  <c r="W269" i="23"/>
  <c r="D150" i="23"/>
  <c r="E150" i="23" s="1"/>
  <c r="F150" i="23" s="1"/>
  <c r="W150" i="23"/>
  <c r="D244" i="23"/>
  <c r="E244" i="23" s="1"/>
  <c r="F244" i="23" s="1"/>
  <c r="W244" i="23"/>
  <c r="W73" i="23"/>
  <c r="D73" i="23"/>
  <c r="E73" i="23" s="1"/>
  <c r="F73" i="23" s="1"/>
  <c r="D369" i="23"/>
  <c r="E369" i="23" s="1"/>
  <c r="F369" i="23" s="1"/>
  <c r="W369" i="23"/>
  <c r="D161" i="23"/>
  <c r="E161" i="23" s="1"/>
  <c r="F161" i="23" s="1"/>
  <c r="W161" i="23"/>
  <c r="D168" i="23"/>
  <c r="E168" i="23" s="1"/>
  <c r="F168" i="23" s="1"/>
  <c r="W168" i="23"/>
  <c r="W158" i="23"/>
  <c r="D158" i="23"/>
  <c r="E158" i="23" s="1"/>
  <c r="F158" i="23" s="1"/>
  <c r="W364" i="23"/>
  <c r="D364" i="23"/>
  <c r="E364" i="23" s="1"/>
  <c r="F364" i="23" s="1"/>
  <c r="W201" i="23"/>
  <c r="D201" i="23"/>
  <c r="E201" i="23" s="1"/>
  <c r="F201" i="23" s="1"/>
  <c r="W194" i="23"/>
  <c r="D194" i="23"/>
  <c r="E194" i="23" s="1"/>
  <c r="F194" i="23" s="1"/>
  <c r="W154" i="23"/>
  <c r="D154" i="23"/>
  <c r="E154" i="23" s="1"/>
  <c r="F154" i="23" s="1"/>
  <c r="W79" i="23"/>
  <c r="D79" i="23"/>
  <c r="E79" i="23" s="1"/>
  <c r="F79" i="23" s="1"/>
  <c r="W281" i="23"/>
  <c r="D281" i="23"/>
  <c r="E281" i="23" s="1"/>
  <c r="F281" i="23" s="1"/>
  <c r="W160" i="23"/>
  <c r="D160" i="23"/>
  <c r="E160" i="23" s="1"/>
  <c r="F160" i="23" s="1"/>
  <c r="D376" i="23"/>
  <c r="E376" i="23" s="1"/>
  <c r="F376" i="23" s="1"/>
  <c r="W376" i="23"/>
  <c r="W163" i="23"/>
  <c r="D163" i="23"/>
  <c r="E163" i="23" s="1"/>
  <c r="F163" i="23" s="1"/>
  <c r="W356" i="23"/>
  <c r="D356" i="23"/>
  <c r="E356" i="23" s="1"/>
  <c r="F356" i="23" s="1"/>
  <c r="D137" i="23"/>
  <c r="E137" i="23" s="1"/>
  <c r="F137" i="23" s="1"/>
  <c r="W137" i="23"/>
  <c r="D255" i="23"/>
  <c r="E255" i="23" s="1"/>
  <c r="F255" i="23" s="1"/>
  <c r="W255" i="23"/>
  <c r="Q12" i="24"/>
  <c r="P379" i="23"/>
  <c r="P381" i="23" s="1"/>
  <c r="AT15" i="7"/>
  <c r="D200" i="23"/>
  <c r="E200" i="23" s="1"/>
  <c r="F200" i="23" s="1"/>
  <c r="W200" i="23"/>
  <c r="D164" i="23"/>
  <c r="E164" i="23" s="1"/>
  <c r="F164" i="23" s="1"/>
  <c r="W164" i="23"/>
  <c r="W19" i="23"/>
  <c r="D19" i="23"/>
  <c r="E19" i="23" s="1"/>
  <c r="F19" i="23" s="1"/>
  <c r="W240" i="23"/>
  <c r="D240" i="23"/>
  <c r="E240" i="23" s="1"/>
  <c r="F240" i="23" s="1"/>
  <c r="W251" i="23"/>
  <c r="D251" i="23"/>
  <c r="E251" i="23" s="1"/>
  <c r="F251" i="23" s="1"/>
  <c r="AH45" i="7"/>
  <c r="V60" i="23"/>
  <c r="W372" i="23"/>
  <c r="D372" i="23"/>
  <c r="E372" i="23" s="1"/>
  <c r="F372" i="23" s="1"/>
  <c r="W87" i="23"/>
  <c r="D87" i="23"/>
  <c r="E87" i="23" s="1"/>
  <c r="F87" i="23" s="1"/>
  <c r="W236" i="23"/>
  <c r="D236" i="23"/>
  <c r="E236" i="23" s="1"/>
  <c r="F236" i="23" s="1"/>
  <c r="D347" i="23"/>
  <c r="E347" i="23" s="1"/>
  <c r="F347" i="23" s="1"/>
  <c r="W347" i="23"/>
  <c r="W90" i="23"/>
  <c r="D90" i="23"/>
  <c r="E90" i="23" s="1"/>
  <c r="F90" i="23" s="1"/>
  <c r="AH46" i="7"/>
  <c r="V88" i="23"/>
  <c r="W85" i="23"/>
  <c r="D85" i="23"/>
  <c r="E85" i="23" s="1"/>
  <c r="F85" i="23" s="1"/>
  <c r="W76" i="23"/>
  <c r="D76" i="23"/>
  <c r="E76" i="23" s="1"/>
  <c r="F76" i="23" s="1"/>
  <c r="V180" i="23"/>
  <c r="AH49" i="7"/>
  <c r="W304" i="23"/>
  <c r="D304" i="23"/>
  <c r="E304" i="23" s="1"/>
  <c r="F304" i="23" s="1"/>
  <c r="D206" i="23"/>
  <c r="E206" i="23" s="1"/>
  <c r="F206" i="23" s="1"/>
  <c r="W206" i="23"/>
  <c r="D337" i="23"/>
  <c r="E337" i="23" s="1"/>
  <c r="F337" i="23" s="1"/>
  <c r="W337" i="23"/>
  <c r="D190" i="23"/>
  <c r="E190" i="23" s="1"/>
  <c r="F190" i="23" s="1"/>
  <c r="W190" i="23"/>
  <c r="D65" i="23"/>
  <c r="E65" i="23" s="1"/>
  <c r="F65" i="23" s="1"/>
  <c r="W65" i="23"/>
  <c r="W94" i="23"/>
  <c r="D94" i="23"/>
  <c r="E94" i="23" s="1"/>
  <c r="F94" i="23" s="1"/>
  <c r="W153" i="23"/>
  <c r="D153" i="23"/>
  <c r="E153" i="23" s="1"/>
  <c r="F153" i="23" s="1"/>
  <c r="D17" i="23"/>
  <c r="E17" i="23" s="1"/>
  <c r="F17" i="23" s="1"/>
  <c r="W17" i="23"/>
  <c r="AD379" i="23"/>
  <c r="W268" i="23"/>
  <c r="D268" i="23"/>
  <c r="E268" i="23" s="1"/>
  <c r="F268" i="23" s="1"/>
  <c r="W246" i="23"/>
  <c r="D246" i="23"/>
  <c r="E246" i="23" s="1"/>
  <c r="F246" i="23" s="1"/>
  <c r="D21" i="23"/>
  <c r="E21" i="23" s="1"/>
  <c r="F21" i="23" s="1"/>
  <c r="W21" i="23"/>
  <c r="D139" i="23"/>
  <c r="E139" i="23" s="1"/>
  <c r="F139" i="23" s="1"/>
  <c r="W139" i="23"/>
  <c r="D225" i="23"/>
  <c r="E225" i="23" s="1"/>
  <c r="F225" i="23" s="1"/>
  <c r="W225" i="23"/>
  <c r="W78" i="23"/>
  <c r="D78" i="23"/>
  <c r="E78" i="23" s="1"/>
  <c r="F78" i="23" s="1"/>
  <c r="D64" i="23"/>
  <c r="E64" i="23" s="1"/>
  <c r="F64" i="23" s="1"/>
  <c r="W64" i="23"/>
  <c r="W111" i="23"/>
  <c r="D111" i="23"/>
  <c r="E111" i="23" s="1"/>
  <c r="F111" i="23" s="1"/>
  <c r="W362" i="23"/>
  <c r="D362" i="23"/>
  <c r="E362" i="23" s="1"/>
  <c r="F362" i="23" s="1"/>
  <c r="W338" i="23"/>
  <c r="D338" i="23"/>
  <c r="E338" i="23" s="1"/>
  <c r="F338" i="23" s="1"/>
  <c r="D62" i="23"/>
  <c r="E62" i="23" s="1"/>
  <c r="F62" i="23" s="1"/>
  <c r="W62" i="23"/>
  <c r="W115" i="23"/>
  <c r="D115" i="23"/>
  <c r="E115" i="23" s="1"/>
  <c r="F115" i="23" s="1"/>
  <c r="W68" i="23"/>
  <c r="D68" i="23"/>
  <c r="E68" i="23" s="1"/>
  <c r="F68" i="23" s="1"/>
  <c r="D237" i="23"/>
  <c r="E237" i="23" s="1"/>
  <c r="F237" i="23" s="1"/>
  <c r="W237" i="23"/>
  <c r="D142" i="23"/>
  <c r="E142" i="23" s="1"/>
  <c r="F142" i="23" s="1"/>
  <c r="W142" i="23"/>
  <c r="D316" i="23"/>
  <c r="E316" i="23" s="1"/>
  <c r="F316" i="23" s="1"/>
  <c r="W316" i="23"/>
  <c r="W330" i="23"/>
  <c r="D330" i="23"/>
  <c r="E330" i="23" s="1"/>
  <c r="F330" i="23" s="1"/>
  <c r="D193" i="23"/>
  <c r="E193" i="23" s="1"/>
  <c r="F193" i="23" s="1"/>
  <c r="W193" i="23"/>
  <c r="D108" i="23"/>
  <c r="E108" i="23" s="1"/>
  <c r="F108" i="23" s="1"/>
  <c r="W108" i="23"/>
  <c r="W305" i="23"/>
  <c r="D305" i="23"/>
  <c r="E305" i="23" s="1"/>
  <c r="F305" i="23" s="1"/>
  <c r="Q382" i="23"/>
  <c r="Q381" i="23"/>
  <c r="Q383" i="23"/>
  <c r="W24" i="23"/>
  <c r="D24" i="23"/>
  <c r="E24" i="23" s="1"/>
  <c r="F24" i="23" s="1"/>
  <c r="W317" i="23"/>
  <c r="D317" i="23"/>
  <c r="E317" i="23" s="1"/>
  <c r="F317" i="23" s="1"/>
  <c r="D89" i="23"/>
  <c r="E89" i="23" s="1"/>
  <c r="F89" i="23" s="1"/>
  <c r="W89" i="23"/>
  <c r="D95" i="23"/>
  <c r="E95" i="23" s="1"/>
  <c r="F95" i="23" s="1"/>
  <c r="W95" i="23"/>
  <c r="D37" i="23"/>
  <c r="E37" i="23" s="1"/>
  <c r="F37" i="23" s="1"/>
  <c r="W37" i="23"/>
  <c r="D292" i="23"/>
  <c r="E292" i="23" s="1"/>
  <c r="F292" i="23" s="1"/>
  <c r="W292" i="23"/>
  <c r="D38" i="23"/>
  <c r="E38" i="23" s="1"/>
  <c r="F38" i="23" s="1"/>
  <c r="W38" i="23"/>
  <c r="W109" i="23"/>
  <c r="D109" i="23"/>
  <c r="E109" i="23" s="1"/>
  <c r="F109" i="23" s="1"/>
  <c r="W39" i="23"/>
  <c r="D39" i="23"/>
  <c r="E39" i="23" s="1"/>
  <c r="F39" i="23" s="1"/>
  <c r="D279" i="23"/>
  <c r="E279" i="23" s="1"/>
  <c r="F279" i="23" s="1"/>
  <c r="W279" i="23"/>
  <c r="W185" i="23"/>
  <c r="D185" i="23"/>
  <c r="E185" i="23" s="1"/>
  <c r="F185" i="23" s="1"/>
  <c r="D126" i="23"/>
  <c r="E126" i="23" s="1"/>
  <c r="F126" i="23" s="1"/>
  <c r="W126" i="23"/>
  <c r="G178" i="23"/>
  <c r="CD178" i="6" s="1"/>
  <c r="H131" i="23"/>
  <c r="J131" i="23" s="1"/>
  <c r="G245" i="23"/>
  <c r="CD245" i="6" s="1"/>
  <c r="G294" i="23"/>
  <c r="CD294" i="6" s="1"/>
  <c r="H81" i="23"/>
  <c r="J81" i="23" s="1"/>
  <c r="G278" i="23"/>
  <c r="CD278" i="6" s="1"/>
  <c r="D74" i="23"/>
  <c r="E74" i="23" s="1"/>
  <c r="F74" i="23" s="1"/>
  <c r="AA74" i="23" s="1"/>
  <c r="Z74" i="23" s="1"/>
  <c r="Y74" i="23" s="1"/>
  <c r="D284" i="23"/>
  <c r="E284" i="23" s="1"/>
  <c r="F284" i="23" s="1"/>
  <c r="AA284" i="23" s="1"/>
  <c r="Z284" i="23" s="1"/>
  <c r="Y284" i="23" s="1"/>
  <c r="D212" i="23"/>
  <c r="E212" i="23" s="1"/>
  <c r="F212" i="23" s="1"/>
  <c r="H212" i="23" s="1"/>
  <c r="J212" i="23" s="1"/>
  <c r="W282" i="23"/>
  <c r="D127" i="23"/>
  <c r="E127" i="23" s="1"/>
  <c r="F127" i="23" s="1"/>
  <c r="H127" i="23" s="1"/>
  <c r="I127" i="23" s="1"/>
  <c r="W233" i="23"/>
  <c r="W178" i="23"/>
  <c r="W131" i="23"/>
  <c r="D360" i="23"/>
  <c r="E360" i="23" s="1"/>
  <c r="F360" i="23" s="1"/>
  <c r="H360" i="23" s="1"/>
  <c r="D51" i="23"/>
  <c r="E51" i="23" s="1"/>
  <c r="F51" i="23" s="1"/>
  <c r="AA51" i="23" s="1"/>
  <c r="Z51" i="23" s="1"/>
  <c r="Y51" i="23" s="1"/>
  <c r="W123" i="23"/>
  <c r="W223" i="23"/>
  <c r="W130" i="23"/>
  <c r="D175" i="23"/>
  <c r="E175" i="23" s="1"/>
  <c r="F175" i="23" s="1"/>
  <c r="H175" i="23" s="1"/>
  <c r="J175" i="23" s="1"/>
  <c r="D41" i="23"/>
  <c r="E41" i="23" s="1"/>
  <c r="F41" i="23" s="1"/>
  <c r="H41" i="23" s="1"/>
  <c r="J41" i="23" s="1"/>
  <c r="D359" i="23"/>
  <c r="E359" i="23" s="1"/>
  <c r="F359" i="23" s="1"/>
  <c r="V302" i="23"/>
  <c r="B302" i="23" s="1"/>
  <c r="D302" i="23" s="1"/>
  <c r="E302" i="23" s="1"/>
  <c r="F302" i="23" s="1"/>
  <c r="H302" i="23" s="1"/>
  <c r="W172" i="23"/>
  <c r="D308" i="23"/>
  <c r="E308" i="23" s="1"/>
  <c r="F308" i="23" s="1"/>
  <c r="AA308" i="23" s="1"/>
  <c r="Z308" i="23" s="1"/>
  <c r="Y308" i="23" s="1"/>
  <c r="W155" i="23"/>
  <c r="D311" i="23"/>
  <c r="E311" i="23" s="1"/>
  <c r="F311" i="23" s="1"/>
  <c r="H311" i="23" s="1"/>
  <c r="J311" i="23" s="1"/>
  <c r="W55" i="23"/>
  <c r="D247" i="23"/>
  <c r="E247" i="23" s="1"/>
  <c r="F247" i="23" s="1"/>
  <c r="H247" i="23" s="1"/>
  <c r="J247" i="23" s="1"/>
  <c r="D183" i="23"/>
  <c r="E183" i="23" s="1"/>
  <c r="F183" i="23" s="1"/>
  <c r="H183" i="23" s="1"/>
  <c r="I183" i="23" s="1"/>
  <c r="D156" i="23"/>
  <c r="E156" i="23" s="1"/>
  <c r="F156" i="23" s="1"/>
  <c r="W329" i="23"/>
  <c r="W138" i="23"/>
  <c r="W278" i="23"/>
  <c r="D296" i="23"/>
  <c r="E296" i="23" s="1"/>
  <c r="F296" i="23" s="1"/>
  <c r="W296" i="23"/>
  <c r="W351" i="23"/>
  <c r="D351" i="23"/>
  <c r="E351" i="23" s="1"/>
  <c r="F351" i="23" s="1"/>
  <c r="AH55" i="7"/>
  <c r="V363" i="23"/>
  <c r="B363" i="23" s="1"/>
  <c r="W157" i="23"/>
  <c r="D157" i="23"/>
  <c r="E157" i="23" s="1"/>
  <c r="F157" i="23" s="1"/>
  <c r="W339" i="23"/>
  <c r="D339" i="23"/>
  <c r="E339" i="23" s="1"/>
  <c r="F339" i="23" s="1"/>
  <c r="W34" i="23"/>
  <c r="D34" i="23"/>
  <c r="E34" i="23" s="1"/>
  <c r="F34" i="23" s="1"/>
  <c r="W371" i="23"/>
  <c r="D371" i="23"/>
  <c r="E371" i="23" s="1"/>
  <c r="F371" i="23" s="1"/>
  <c r="D47" i="23"/>
  <c r="E47" i="23" s="1"/>
  <c r="F47" i="23" s="1"/>
  <c r="W47" i="23"/>
  <c r="D264" i="23"/>
  <c r="E264" i="23" s="1"/>
  <c r="F264" i="23" s="1"/>
  <c r="W264" i="23"/>
  <c r="W48" i="23"/>
  <c r="D48" i="23"/>
  <c r="E48" i="23" s="1"/>
  <c r="F48" i="23" s="1"/>
  <c r="W198" i="23"/>
  <c r="D198" i="23"/>
  <c r="E198" i="23" s="1"/>
  <c r="F198" i="23" s="1"/>
  <c r="D43" i="23"/>
  <c r="E43" i="23" s="1"/>
  <c r="F43" i="23" s="1"/>
  <c r="W43" i="23"/>
  <c r="D291" i="23"/>
  <c r="E291" i="23" s="1"/>
  <c r="F291" i="23" s="1"/>
  <c r="W291" i="23"/>
  <c r="W263" i="23"/>
  <c r="D263" i="23"/>
  <c r="E263" i="23" s="1"/>
  <c r="F263" i="23" s="1"/>
  <c r="W118" i="23"/>
  <c r="D118" i="23"/>
  <c r="E118" i="23" s="1"/>
  <c r="F118" i="23" s="1"/>
  <c r="D358" i="23"/>
  <c r="E358" i="23" s="1"/>
  <c r="F358" i="23" s="1"/>
  <c r="W358" i="23"/>
  <c r="D63" i="23"/>
  <c r="E63" i="23" s="1"/>
  <c r="F63" i="23" s="1"/>
  <c r="W63" i="23"/>
  <c r="D261" i="23"/>
  <c r="E261" i="23" s="1"/>
  <c r="F261" i="23" s="1"/>
  <c r="W261" i="23"/>
  <c r="V272" i="23"/>
  <c r="B272" i="23" s="1"/>
  <c r="AH52" i="7"/>
  <c r="W187" i="23"/>
  <c r="D187" i="23"/>
  <c r="E187" i="23" s="1"/>
  <c r="F187" i="23" s="1"/>
  <c r="D326" i="23"/>
  <c r="E326" i="23" s="1"/>
  <c r="F326" i="23" s="1"/>
  <c r="W326" i="23"/>
  <c r="D320" i="23"/>
  <c r="E320" i="23" s="1"/>
  <c r="F320" i="23" s="1"/>
  <c r="W320" i="23"/>
  <c r="W31" i="23"/>
  <c r="D31" i="23"/>
  <c r="E31" i="23" s="1"/>
  <c r="F31" i="23" s="1"/>
  <c r="W224" i="23"/>
  <c r="D224" i="23"/>
  <c r="E224" i="23" s="1"/>
  <c r="F224" i="23" s="1"/>
  <c r="W366" i="23"/>
  <c r="D366" i="23"/>
  <c r="E366" i="23" s="1"/>
  <c r="F366" i="23" s="1"/>
  <c r="V149" i="23"/>
  <c r="B149" i="23" s="1"/>
  <c r="AH48" i="7"/>
  <c r="D58" i="23"/>
  <c r="E58" i="23" s="1"/>
  <c r="F58" i="23" s="1"/>
  <c r="W58" i="23"/>
  <c r="W191" i="23"/>
  <c r="D191" i="23"/>
  <c r="E191" i="23" s="1"/>
  <c r="F191" i="23" s="1"/>
  <c r="D286" i="23"/>
  <c r="E286" i="23" s="1"/>
  <c r="F286" i="23" s="1"/>
  <c r="W286" i="23"/>
  <c r="D367" i="23"/>
  <c r="E367" i="23" s="1"/>
  <c r="F367" i="23" s="1"/>
  <c r="W367" i="23"/>
  <c r="W133" i="23"/>
  <c r="D133" i="23"/>
  <c r="E133" i="23" s="1"/>
  <c r="F133" i="23" s="1"/>
  <c r="D18" i="23"/>
  <c r="E18" i="23" s="1"/>
  <c r="F18" i="23" s="1"/>
  <c r="W18" i="23"/>
  <c r="W16" i="23"/>
  <c r="D16" i="23"/>
  <c r="E16" i="23" s="1"/>
  <c r="F16" i="23" s="1"/>
  <c r="D192" i="23"/>
  <c r="E192" i="23" s="1"/>
  <c r="F192" i="23" s="1"/>
  <c r="W192" i="23"/>
  <c r="D181" i="23"/>
  <c r="E181" i="23" s="1"/>
  <c r="F181" i="23" s="1"/>
  <c r="W181" i="23"/>
  <c r="D271" i="23"/>
  <c r="E271" i="23" s="1"/>
  <c r="F271" i="23" s="1"/>
  <c r="W271" i="23"/>
  <c r="D306" i="23"/>
  <c r="E306" i="23" s="1"/>
  <c r="F306" i="23" s="1"/>
  <c r="W306" i="23"/>
  <c r="D243" i="23"/>
  <c r="E243" i="23" s="1"/>
  <c r="F243" i="23" s="1"/>
  <c r="W243" i="23"/>
  <c r="W355" i="23"/>
  <c r="D355" i="23"/>
  <c r="E355" i="23" s="1"/>
  <c r="F355" i="23" s="1"/>
  <c r="D299" i="23"/>
  <c r="E299" i="23" s="1"/>
  <c r="F299" i="23" s="1"/>
  <c r="W299" i="23"/>
  <c r="W203" i="23"/>
  <c r="D203" i="23"/>
  <c r="E203" i="23" s="1"/>
  <c r="F203" i="23" s="1"/>
  <c r="D230" i="23"/>
  <c r="E230" i="23" s="1"/>
  <c r="F230" i="23" s="1"/>
  <c r="W230" i="23"/>
  <c r="W147" i="23"/>
  <c r="D147" i="23"/>
  <c r="E147" i="23" s="1"/>
  <c r="F147" i="23" s="1"/>
  <c r="D205" i="23"/>
  <c r="E205" i="23" s="1"/>
  <c r="F205" i="23" s="1"/>
  <c r="W205" i="23"/>
  <c r="D228" i="23"/>
  <c r="E228" i="23" s="1"/>
  <c r="F228" i="23" s="1"/>
  <c r="W228" i="23"/>
  <c r="D254" i="23"/>
  <c r="E254" i="23" s="1"/>
  <c r="F254" i="23" s="1"/>
  <c r="W254" i="23"/>
  <c r="D159" i="23"/>
  <c r="E159" i="23" s="1"/>
  <c r="F159" i="23" s="1"/>
  <c r="W159" i="23"/>
  <c r="D176" i="23"/>
  <c r="E176" i="23" s="1"/>
  <c r="F176" i="23" s="1"/>
  <c r="W176" i="23"/>
  <c r="D307" i="23"/>
  <c r="E307" i="23" s="1"/>
  <c r="F307" i="23" s="1"/>
  <c r="W307" i="23"/>
  <c r="D310" i="23"/>
  <c r="E310" i="23" s="1"/>
  <c r="F310" i="23" s="1"/>
  <c r="W310" i="23"/>
  <c r="D49" i="23"/>
  <c r="E49" i="23" s="1"/>
  <c r="F49" i="23" s="1"/>
  <c r="W49" i="23"/>
  <c r="W232" i="23"/>
  <c r="D232" i="23"/>
  <c r="E232" i="23" s="1"/>
  <c r="F232" i="23" s="1"/>
  <c r="W342" i="23"/>
  <c r="D342" i="23"/>
  <c r="E342" i="23" s="1"/>
  <c r="F342" i="23" s="1"/>
  <c r="D44" i="23"/>
  <c r="E44" i="23" s="1"/>
  <c r="F44" i="23" s="1"/>
  <c r="W44" i="23"/>
  <c r="W112" i="23"/>
  <c r="D112" i="23"/>
  <c r="E112" i="23" s="1"/>
  <c r="F112" i="23" s="1"/>
  <c r="W214" i="23"/>
  <c r="D214" i="23"/>
  <c r="E214" i="23" s="1"/>
  <c r="F214" i="23" s="1"/>
  <c r="D361" i="23"/>
  <c r="E361" i="23" s="1"/>
  <c r="F361" i="23" s="1"/>
  <c r="W361" i="23"/>
  <c r="D177" i="23"/>
  <c r="E177" i="23" s="1"/>
  <c r="F177" i="23" s="1"/>
  <c r="W177" i="23"/>
  <c r="D219" i="23"/>
  <c r="E219" i="23" s="1"/>
  <c r="F219" i="23" s="1"/>
  <c r="W219" i="23"/>
  <c r="D218" i="23"/>
  <c r="E218" i="23" s="1"/>
  <c r="F218" i="23" s="1"/>
  <c r="W218" i="23"/>
  <c r="W162" i="23"/>
  <c r="D162" i="23"/>
  <c r="E162" i="23" s="1"/>
  <c r="F162" i="23" s="1"/>
  <c r="W353" i="23"/>
  <c r="D353" i="23"/>
  <c r="E353" i="23" s="1"/>
  <c r="F353" i="23" s="1"/>
  <c r="W40" i="23"/>
  <c r="D40" i="23"/>
  <c r="E40" i="23" s="1"/>
  <c r="F40" i="23" s="1"/>
  <c r="D179" i="23"/>
  <c r="E179" i="23" s="1"/>
  <c r="F179" i="23" s="1"/>
  <c r="W179" i="23"/>
  <c r="D165" i="23"/>
  <c r="E165" i="23" s="1"/>
  <c r="F165" i="23" s="1"/>
  <c r="W165" i="23"/>
  <c r="D171" i="23"/>
  <c r="E171" i="23" s="1"/>
  <c r="F171" i="23" s="1"/>
  <c r="W171" i="23"/>
  <c r="W170" i="23"/>
  <c r="D170" i="23"/>
  <c r="E170" i="23" s="1"/>
  <c r="F170" i="23" s="1"/>
  <c r="D69" i="23"/>
  <c r="E69" i="23" s="1"/>
  <c r="F69" i="23" s="1"/>
  <c r="W69" i="23"/>
  <c r="D285" i="23"/>
  <c r="E285" i="23" s="1"/>
  <c r="F285" i="23" s="1"/>
  <c r="W285" i="23"/>
  <c r="AH54" i="7"/>
  <c r="V333" i="23"/>
  <c r="B333" i="23" s="1"/>
  <c r="W273" i="23"/>
  <c r="D273" i="23"/>
  <c r="E273" i="23" s="1"/>
  <c r="F273" i="23" s="1"/>
  <c r="D265" i="23"/>
  <c r="E265" i="23" s="1"/>
  <c r="F265" i="23" s="1"/>
  <c r="W265" i="23"/>
  <c r="W54" i="23"/>
  <c r="D54" i="23"/>
  <c r="E54" i="23" s="1"/>
  <c r="F54" i="23" s="1"/>
  <c r="W334" i="23"/>
  <c r="D334" i="23"/>
  <c r="E334" i="23" s="1"/>
  <c r="F334" i="23" s="1"/>
  <c r="D100" i="23"/>
  <c r="E100" i="23" s="1"/>
  <c r="F100" i="23" s="1"/>
  <c r="W100" i="23"/>
  <c r="D220" i="23"/>
  <c r="E220" i="23" s="1"/>
  <c r="F220" i="23" s="1"/>
  <c r="W220" i="23"/>
  <c r="W234" i="23"/>
  <c r="D234" i="23"/>
  <c r="E234" i="23" s="1"/>
  <c r="F234" i="23" s="1"/>
  <c r="D107" i="23"/>
  <c r="E107" i="23" s="1"/>
  <c r="F107" i="23" s="1"/>
  <c r="W107" i="23"/>
  <c r="W266" i="23"/>
  <c r="D266" i="23"/>
  <c r="E266" i="23" s="1"/>
  <c r="F266" i="23" s="1"/>
  <c r="D293" i="23"/>
  <c r="E293" i="23" s="1"/>
  <c r="F293" i="23" s="1"/>
  <c r="W293" i="23"/>
  <c r="W80" i="23"/>
  <c r="D80" i="23"/>
  <c r="E80" i="23" s="1"/>
  <c r="F80" i="23" s="1"/>
  <c r="W26" i="23"/>
  <c r="D26" i="23"/>
  <c r="E26" i="23" s="1"/>
  <c r="F26" i="23" s="1"/>
  <c r="D352" i="23"/>
  <c r="E352" i="23" s="1"/>
  <c r="F352" i="23" s="1"/>
  <c r="W352" i="23"/>
  <c r="V210" i="23"/>
  <c r="AH50" i="7"/>
  <c r="D66" i="23"/>
  <c r="E66" i="23" s="1"/>
  <c r="F66" i="23" s="1"/>
  <c r="W66" i="23"/>
  <c r="D309" i="23"/>
  <c r="E309" i="23" s="1"/>
  <c r="F309" i="23" s="1"/>
  <c r="W309" i="23"/>
  <c r="W343" i="23"/>
  <c r="D343" i="23"/>
  <c r="E343" i="23" s="1"/>
  <c r="F343" i="23" s="1"/>
  <c r="W250" i="23"/>
  <c r="D250" i="23"/>
  <c r="E250" i="23" s="1"/>
  <c r="F250" i="23" s="1"/>
  <c r="D152" i="23"/>
  <c r="E152" i="23" s="1"/>
  <c r="F152" i="23" s="1"/>
  <c r="W152" i="23"/>
  <c r="D182" i="23"/>
  <c r="E182" i="23" s="1"/>
  <c r="F182" i="23" s="1"/>
  <c r="W182" i="23"/>
  <c r="W229" i="23"/>
  <c r="D229" i="23"/>
  <c r="E229" i="23" s="1"/>
  <c r="F229" i="23" s="1"/>
  <c r="D102" i="23"/>
  <c r="E102" i="23" s="1"/>
  <c r="F102" i="23" s="1"/>
  <c r="W102" i="23"/>
  <c r="W92" i="23"/>
  <c r="D92" i="23"/>
  <c r="E92" i="23" s="1"/>
  <c r="F92" i="23" s="1"/>
  <c r="W124" i="23"/>
  <c r="D124" i="23"/>
  <c r="E124" i="23" s="1"/>
  <c r="F124" i="23" s="1"/>
  <c r="D324" i="23"/>
  <c r="E324" i="23" s="1"/>
  <c r="F324" i="23" s="1"/>
  <c r="W324" i="23"/>
  <c r="D328" i="23"/>
  <c r="E328" i="23" s="1"/>
  <c r="F328" i="23" s="1"/>
  <c r="W328" i="23"/>
  <c r="D335" i="23"/>
  <c r="E335" i="23" s="1"/>
  <c r="F335" i="23" s="1"/>
  <c r="W335" i="23"/>
  <c r="W344" i="23"/>
  <c r="D344" i="23"/>
  <c r="E344" i="23" s="1"/>
  <c r="F344" i="23" s="1"/>
  <c r="D368" i="23"/>
  <c r="E368" i="23" s="1"/>
  <c r="F368" i="23" s="1"/>
  <c r="W368" i="23"/>
  <c r="V119" i="23"/>
  <c r="AH47" i="7"/>
  <c r="W242" i="23"/>
  <c r="D242" i="23"/>
  <c r="E242" i="23" s="1"/>
  <c r="F242" i="23" s="1"/>
  <c r="W35" i="23"/>
  <c r="D35" i="23"/>
  <c r="E35" i="23" s="1"/>
  <c r="F35" i="23" s="1"/>
  <c r="D211" i="23"/>
  <c r="E211" i="23" s="1"/>
  <c r="F211" i="23" s="1"/>
  <c r="W211" i="23"/>
  <c r="W287" i="23"/>
  <c r="D287" i="23"/>
  <c r="E287" i="23" s="1"/>
  <c r="F287" i="23" s="1"/>
  <c r="D121" i="23"/>
  <c r="E121" i="23" s="1"/>
  <c r="F121" i="23" s="1"/>
  <c r="W121" i="23"/>
  <c r="D61" i="23"/>
  <c r="E61" i="23" s="1"/>
  <c r="F61" i="23" s="1"/>
  <c r="W61" i="23"/>
  <c r="D325" i="23"/>
  <c r="E325" i="23" s="1"/>
  <c r="F325" i="23" s="1"/>
  <c r="W325" i="23"/>
  <c r="D331" i="23"/>
  <c r="E331" i="23" s="1"/>
  <c r="F331" i="23" s="1"/>
  <c r="W331" i="23"/>
  <c r="W303" i="23"/>
  <c r="D303" i="23"/>
  <c r="E303" i="23" s="1"/>
  <c r="F303" i="23" s="1"/>
  <c r="W238" i="23"/>
  <c r="D238" i="23"/>
  <c r="E238" i="23" s="1"/>
  <c r="F238" i="23" s="1"/>
  <c r="D346" i="23"/>
  <c r="E346" i="23" s="1"/>
  <c r="F346" i="23" s="1"/>
  <c r="W346" i="23"/>
  <c r="D298" i="23"/>
  <c r="E298" i="23" s="1"/>
  <c r="F298" i="23" s="1"/>
  <c r="W298" i="23"/>
  <c r="W341" i="23"/>
  <c r="D341" i="23"/>
  <c r="E341" i="23" s="1"/>
  <c r="F341" i="23" s="1"/>
  <c r="W332" i="23"/>
  <c r="D332" i="23"/>
  <c r="E332" i="23" s="1"/>
  <c r="F332" i="23" s="1"/>
  <c r="D25" i="23"/>
  <c r="E25" i="23" s="1"/>
  <c r="F25" i="23" s="1"/>
  <c r="W25" i="23"/>
  <c r="W30" i="23"/>
  <c r="D30" i="23"/>
  <c r="E30" i="23" s="1"/>
  <c r="F30" i="23" s="1"/>
  <c r="W103" i="23"/>
  <c r="D103" i="23"/>
  <c r="E103" i="23" s="1"/>
  <c r="F103" i="23" s="1"/>
  <c r="D350" i="23"/>
  <c r="E350" i="23" s="1"/>
  <c r="F350" i="23" s="1"/>
  <c r="W350" i="23"/>
  <c r="D260" i="23"/>
  <c r="E260" i="23" s="1"/>
  <c r="F260" i="23" s="1"/>
  <c r="W260" i="23"/>
  <c r="W336" i="23"/>
  <c r="D336" i="23"/>
  <c r="E336" i="23" s="1"/>
  <c r="F336" i="23" s="1"/>
  <c r="D167" i="23"/>
  <c r="E167" i="23" s="1"/>
  <c r="F167" i="23" s="1"/>
  <c r="W167" i="23"/>
  <c r="W110" i="23"/>
  <c r="D110" i="23"/>
  <c r="E110" i="23" s="1"/>
  <c r="F110" i="23" s="1"/>
  <c r="W42" i="23"/>
  <c r="D42" i="23"/>
  <c r="E42" i="23" s="1"/>
  <c r="F42" i="23" s="1"/>
  <c r="W96" i="23"/>
  <c r="D96" i="23"/>
  <c r="E96" i="23" s="1"/>
  <c r="F96" i="23" s="1"/>
  <c r="D148" i="23"/>
  <c r="E148" i="23" s="1"/>
  <c r="F148" i="23" s="1"/>
  <c r="W148" i="23"/>
  <c r="W72" i="23"/>
  <c r="D72" i="23"/>
  <c r="E72" i="23" s="1"/>
  <c r="F72" i="23" s="1"/>
  <c r="D204" i="23"/>
  <c r="E204" i="23" s="1"/>
  <c r="F204" i="23" s="1"/>
  <c r="W204" i="23"/>
  <c r="W253" i="23"/>
  <c r="D253" i="23"/>
  <c r="E253" i="23" s="1"/>
  <c r="F253" i="23" s="1"/>
  <c r="D379" i="22"/>
  <c r="E379" i="22" s="1"/>
  <c r="F379" i="22" s="1"/>
  <c r="W379" i="22"/>
  <c r="B380" i="22"/>
  <c r="B383" i="22" s="1"/>
  <c r="AA33" i="23"/>
  <c r="Z33" i="23" s="1"/>
  <c r="Y33" i="23" s="1"/>
  <c r="H33" i="23"/>
  <c r="J33" i="23" s="1"/>
  <c r="AA71" i="23"/>
  <c r="Z71" i="23" s="1"/>
  <c r="Y71" i="23" s="1"/>
  <c r="BG16" i="7"/>
  <c r="U170" i="25"/>
  <c r="T170" i="25" s="1"/>
  <c r="U276" i="25"/>
  <c r="T276" i="25" s="1"/>
  <c r="U61" i="25"/>
  <c r="T61" i="25" s="1"/>
  <c r="U167" i="25"/>
  <c r="T167" i="25" s="1"/>
  <c r="U273" i="25"/>
  <c r="T273" i="25" s="1"/>
  <c r="U22" i="25"/>
  <c r="T22" i="25" s="1"/>
  <c r="U168" i="25"/>
  <c r="T168" i="25" s="1"/>
  <c r="U338" i="25"/>
  <c r="T338" i="25" s="1"/>
  <c r="U147" i="25"/>
  <c r="T147" i="25" s="1"/>
  <c r="U293" i="25"/>
  <c r="T293" i="25" s="1"/>
  <c r="U98" i="25"/>
  <c r="T98" i="25" s="1"/>
  <c r="U268" i="25"/>
  <c r="T268" i="25" s="1"/>
  <c r="U53" i="25"/>
  <c r="T53" i="25" s="1"/>
  <c r="U159" i="25"/>
  <c r="T159" i="25" s="1"/>
  <c r="U265" i="25"/>
  <c r="T265" i="25" s="1"/>
  <c r="U379" i="25"/>
  <c r="BF16" i="7" s="1"/>
  <c r="U160" i="25"/>
  <c r="T160" i="25" s="1"/>
  <c r="U266" i="25"/>
  <c r="T266" i="25" s="1"/>
  <c r="U75" i="25"/>
  <c r="T75" i="25" s="1"/>
  <c r="U221" i="25"/>
  <c r="T221" i="25" s="1"/>
  <c r="U26" i="25"/>
  <c r="T26" i="25" s="1"/>
  <c r="U196" i="25"/>
  <c r="T196" i="25" s="1"/>
  <c r="U118" i="25"/>
  <c r="T118" i="25" s="1"/>
  <c r="U264" i="25"/>
  <c r="U370" i="25"/>
  <c r="T370" i="25" s="1"/>
  <c r="U115" i="25"/>
  <c r="T115" i="25" s="1"/>
  <c r="U261" i="25"/>
  <c r="T261" i="25" s="1"/>
  <c r="U367" i="25"/>
  <c r="T367" i="25" s="1"/>
  <c r="U108" i="25"/>
  <c r="T108" i="25" s="1"/>
  <c r="U286" i="25"/>
  <c r="T286" i="25" s="1"/>
  <c r="U63" i="25"/>
  <c r="T63" i="25" s="1"/>
  <c r="U233" i="25"/>
  <c r="U46" i="25"/>
  <c r="T46" i="25" s="1"/>
  <c r="U192" i="25"/>
  <c r="T192" i="25" s="1"/>
  <c r="U362" i="25"/>
  <c r="T362" i="25" s="1"/>
  <c r="U107" i="25"/>
  <c r="T107" i="25" s="1"/>
  <c r="U253" i="25"/>
  <c r="T253" i="25" s="1"/>
  <c r="U359" i="25"/>
  <c r="T359" i="25" s="1"/>
  <c r="U100" i="25"/>
  <c r="T100" i="25" s="1"/>
  <c r="U214" i="25"/>
  <c r="U360" i="25"/>
  <c r="T360" i="25" s="1"/>
  <c r="U161" i="25"/>
  <c r="T161" i="25" s="1"/>
  <c r="U339" i="25"/>
  <c r="T339" i="25" s="1"/>
  <c r="U120" i="25"/>
  <c r="T120" i="25" s="1"/>
  <c r="U290" i="25"/>
  <c r="T290" i="25" s="1"/>
  <c r="U204" i="25"/>
  <c r="T204" i="25" s="1"/>
  <c r="U318" i="25"/>
  <c r="T318" i="25" s="1"/>
  <c r="U95" i="25"/>
  <c r="U201" i="25"/>
  <c r="T201" i="25" s="1"/>
  <c r="U315" i="25"/>
  <c r="T315" i="25" s="1"/>
  <c r="U96" i="25"/>
  <c r="T96" i="25" s="1"/>
  <c r="U202" i="25"/>
  <c r="T202" i="25" s="1"/>
  <c r="U372" i="25"/>
  <c r="T372" i="25" s="1"/>
  <c r="U157" i="25"/>
  <c r="T157" i="25" s="1"/>
  <c r="U327" i="25"/>
  <c r="T327" i="25" s="1"/>
  <c r="U132" i="25"/>
  <c r="U310" i="25"/>
  <c r="T310" i="25" s="1"/>
  <c r="U87" i="25"/>
  <c r="T87" i="25" s="1"/>
  <c r="U193" i="25"/>
  <c r="T193" i="25" s="1"/>
  <c r="U307" i="25"/>
  <c r="T307" i="25" s="1"/>
  <c r="U88" i="25"/>
  <c r="T88" i="25" s="1"/>
  <c r="U194" i="25"/>
  <c r="T194" i="25" s="1"/>
  <c r="U300" i="25"/>
  <c r="T300" i="25" s="1"/>
  <c r="U85" i="25"/>
  <c r="U255" i="25"/>
  <c r="T255" i="25" s="1"/>
  <c r="U60" i="25"/>
  <c r="T60" i="25" s="1"/>
  <c r="U238" i="25"/>
  <c r="T238" i="25" s="1"/>
  <c r="U15" i="25"/>
  <c r="T15" i="25" s="1"/>
  <c r="U298" i="25"/>
  <c r="T298" i="25" s="1"/>
  <c r="U43" i="25"/>
  <c r="T43" i="25" s="1"/>
  <c r="U189" i="25"/>
  <c r="T189" i="25" s="1"/>
  <c r="U295" i="25"/>
  <c r="T295" i="25" s="1"/>
  <c r="U36" i="25"/>
  <c r="T36" i="25" s="1"/>
  <c r="U150" i="25"/>
  <c r="T150" i="25" s="1"/>
  <c r="U296" i="25"/>
  <c r="T296" i="25" s="1"/>
  <c r="U97" i="25"/>
  <c r="T97" i="25" s="1"/>
  <c r="U275" i="25"/>
  <c r="T275" i="25" s="1"/>
  <c r="U56" i="25"/>
  <c r="T56" i="25" s="1"/>
  <c r="U226" i="25"/>
  <c r="T226" i="25" s="1"/>
  <c r="U35" i="25"/>
  <c r="T35" i="25" s="1"/>
  <c r="U181" i="25"/>
  <c r="T181" i="25" s="1"/>
  <c r="U287" i="25"/>
  <c r="T287" i="25" s="1"/>
  <c r="U28" i="25"/>
  <c r="T28" i="25" s="1"/>
  <c r="U142" i="25"/>
  <c r="T142" i="25" s="1"/>
  <c r="U288" i="25"/>
  <c r="T288" i="25" s="1"/>
  <c r="U25" i="25"/>
  <c r="T25" i="25" s="1"/>
  <c r="U203" i="25"/>
  <c r="T203" i="25" s="1"/>
  <c r="U349" i="25"/>
  <c r="T349" i="25" s="1"/>
  <c r="U154" i="25"/>
  <c r="T154" i="25" s="1"/>
  <c r="U324" i="25"/>
  <c r="T324" i="25" s="1"/>
  <c r="U109" i="25"/>
  <c r="T109" i="25" s="1"/>
  <c r="U313" i="25"/>
  <c r="T313" i="25" s="1"/>
  <c r="U62" i="25"/>
  <c r="T62" i="25" s="1"/>
  <c r="U208" i="25"/>
  <c r="T208" i="25" s="1"/>
  <c r="U314" i="25"/>
  <c r="T314" i="25" s="1"/>
  <c r="U59" i="25"/>
  <c r="T59" i="25" s="1"/>
  <c r="U205" i="25"/>
  <c r="T205" i="25" s="1"/>
  <c r="U311" i="25"/>
  <c r="T311" i="25" s="1"/>
  <c r="U116" i="25"/>
  <c r="T116" i="25" s="1"/>
  <c r="U294" i="25"/>
  <c r="T294" i="25" s="1"/>
  <c r="U71" i="25"/>
  <c r="T71" i="25" s="1"/>
  <c r="U241" i="25"/>
  <c r="T241" i="25" s="1"/>
  <c r="U54" i="25"/>
  <c r="T54" i="25" s="1"/>
  <c r="U200" i="25"/>
  <c r="T200" i="25" s="1"/>
  <c r="U306" i="25"/>
  <c r="T306" i="25" s="1"/>
  <c r="U51" i="25"/>
  <c r="T51" i="25" s="1"/>
  <c r="U197" i="25"/>
  <c r="T197" i="25" s="1"/>
  <c r="U303" i="25"/>
  <c r="T303" i="25" s="1"/>
  <c r="U44" i="25"/>
  <c r="T44" i="25" s="1"/>
  <c r="U222" i="25"/>
  <c r="T222" i="25" s="1"/>
  <c r="U368" i="25"/>
  <c r="T368" i="25" s="1"/>
  <c r="U169" i="25"/>
  <c r="T169" i="25" s="1"/>
  <c r="U347" i="25"/>
  <c r="T347" i="25" s="1"/>
  <c r="U128" i="25"/>
  <c r="T128" i="25" s="1"/>
  <c r="U42" i="25"/>
  <c r="T42" i="25" s="1"/>
  <c r="U148" i="25"/>
  <c r="T148" i="25" s="1"/>
  <c r="U262" i="25"/>
  <c r="T262" i="25" s="1"/>
  <c r="U39" i="25"/>
  <c r="T39" i="25" s="1"/>
  <c r="U145" i="25"/>
  <c r="T145" i="25" s="1"/>
  <c r="U259" i="25"/>
  <c r="T259" i="25" s="1"/>
  <c r="U40" i="25"/>
  <c r="T40" i="25" s="1"/>
  <c r="U210" i="25"/>
  <c r="T210" i="25" s="1"/>
  <c r="U18" i="25"/>
  <c r="T18" i="25" s="1"/>
  <c r="U165" i="25"/>
  <c r="T165" i="25" s="1"/>
  <c r="U335" i="25"/>
  <c r="T335" i="25" s="1"/>
  <c r="U140" i="25"/>
  <c r="T140" i="25" s="1"/>
  <c r="U254" i="25"/>
  <c r="T254" i="25" s="1"/>
  <c r="U31" i="25"/>
  <c r="T31" i="25" s="1"/>
  <c r="U137" i="25"/>
  <c r="U251" i="25"/>
  <c r="T251" i="25" s="1"/>
  <c r="U32" i="25"/>
  <c r="T32" i="25" s="1"/>
  <c r="U138" i="25"/>
  <c r="T138" i="25" s="1"/>
  <c r="U308" i="25"/>
  <c r="T308" i="25" s="1"/>
  <c r="U93" i="25"/>
  <c r="T93" i="25" s="1"/>
  <c r="U263" i="25"/>
  <c r="T263" i="25" s="1"/>
  <c r="U68" i="25"/>
  <c r="T68" i="25" s="1"/>
  <c r="U355" i="25"/>
  <c r="T355" i="25" s="1"/>
  <c r="U136" i="25"/>
  <c r="T136" i="25" s="1"/>
  <c r="U242" i="25"/>
  <c r="T242" i="25" s="1"/>
  <c r="U348" i="25"/>
  <c r="T348" i="25" s="1"/>
  <c r="U133" i="25"/>
  <c r="T133" i="25" s="1"/>
  <c r="U239" i="25"/>
  <c r="T239" i="25" s="1"/>
  <c r="U345" i="25"/>
  <c r="T345" i="25" s="1"/>
  <c r="U158" i="25"/>
  <c r="T158" i="25" s="1"/>
  <c r="U304" i="25"/>
  <c r="T304" i="25" s="1"/>
  <c r="U105" i="25"/>
  <c r="T105" i="25" s="1"/>
  <c r="U283" i="25"/>
  <c r="T283" i="25" s="1"/>
  <c r="U64" i="25"/>
  <c r="T64" i="25" s="1"/>
  <c r="U234" i="25"/>
  <c r="T234" i="25" s="1"/>
  <c r="U340" i="25"/>
  <c r="T340" i="25" s="1"/>
  <c r="U125" i="25"/>
  <c r="T125" i="25" s="1"/>
  <c r="U231" i="25"/>
  <c r="T231" i="25" s="1"/>
  <c r="U337" i="25"/>
  <c r="T337" i="25" s="1"/>
  <c r="U86" i="25"/>
  <c r="T86" i="25" s="1"/>
  <c r="U232" i="25"/>
  <c r="T232" i="25" s="1"/>
  <c r="U33" i="25"/>
  <c r="T33" i="25" s="1"/>
  <c r="U211" i="25"/>
  <c r="T211" i="25" s="1"/>
  <c r="U357" i="25"/>
  <c r="T357" i="25" s="1"/>
  <c r="U162" i="25"/>
  <c r="T162" i="25" s="1"/>
  <c r="U374" i="25"/>
  <c r="T374" i="25" s="1"/>
  <c r="U151" i="25"/>
  <c r="T151" i="25" s="1"/>
  <c r="U257" i="25"/>
  <c r="T257" i="25" s="1"/>
  <c r="U371" i="25"/>
  <c r="T371" i="25" s="1"/>
  <c r="U152" i="25"/>
  <c r="T152" i="25" s="1"/>
  <c r="U258" i="25"/>
  <c r="T258" i="25" s="1"/>
  <c r="U364" i="25"/>
  <c r="T364" i="25" s="1"/>
  <c r="U149" i="25"/>
  <c r="T149" i="25" s="1"/>
  <c r="U319" i="25"/>
  <c r="T319" i="25" s="1"/>
  <c r="AI103" i="25"/>
  <c r="AH103" i="25" s="1"/>
  <c r="AI31" i="25"/>
  <c r="AH31" i="25" s="1"/>
  <c r="AI55" i="25"/>
  <c r="AH55" i="25" s="1"/>
  <c r="AI66" i="25"/>
  <c r="AH66" i="25" s="1"/>
  <c r="AI67" i="25"/>
  <c r="AH67" i="25" s="1"/>
  <c r="AI83" i="25"/>
  <c r="AH83" i="25" s="1"/>
  <c r="AI60" i="25"/>
  <c r="AH60" i="25" s="1"/>
  <c r="AI21" i="25"/>
  <c r="AH21" i="25" s="1"/>
  <c r="AI64" i="25"/>
  <c r="AH64" i="25" s="1"/>
  <c r="AI41" i="25"/>
  <c r="AH41" i="25" s="1"/>
  <c r="AI35" i="25"/>
  <c r="AH35" i="25" s="1"/>
  <c r="AI45" i="25"/>
  <c r="AH45" i="25" s="1"/>
  <c r="AI89" i="25"/>
  <c r="AH89" i="25" s="1"/>
  <c r="AI82" i="25"/>
  <c r="AH82" i="25" s="1"/>
  <c r="AI30" i="25"/>
  <c r="AH30" i="25" s="1"/>
  <c r="AI54" i="25"/>
  <c r="AH54" i="25" s="1"/>
  <c r="AI102" i="25"/>
  <c r="AH102" i="25" s="1"/>
  <c r="AI73" i="25"/>
  <c r="AI75" i="25"/>
  <c r="AH75" i="25" s="1"/>
  <c r="AI17" i="25"/>
  <c r="AH17" i="25" s="1"/>
  <c r="AI100" i="25"/>
  <c r="AI87" i="25"/>
  <c r="AH87" i="25" s="1"/>
  <c r="AI42" i="25"/>
  <c r="AH42" i="25" s="1"/>
  <c r="G297" i="23"/>
  <c r="CD297" i="6" s="1"/>
  <c r="U177" i="25"/>
  <c r="T177" i="25" s="1"/>
  <c r="U376" i="25"/>
  <c r="T376" i="25" s="1"/>
  <c r="U230" i="25"/>
  <c r="T230" i="25" s="1"/>
  <c r="U52" i="25"/>
  <c r="T52" i="25" s="1"/>
  <c r="U247" i="25"/>
  <c r="T247" i="25" s="1"/>
  <c r="U141" i="25"/>
  <c r="T141" i="25" s="1"/>
  <c r="U356" i="25"/>
  <c r="T356" i="25" s="1"/>
  <c r="U250" i="25"/>
  <c r="T250" i="25" s="1"/>
  <c r="U144" i="25"/>
  <c r="T144" i="25" s="1"/>
  <c r="U363" i="25"/>
  <c r="U249" i="25"/>
  <c r="T249" i="25" s="1"/>
  <c r="U79" i="25"/>
  <c r="T79" i="25" s="1"/>
  <c r="U302" i="25"/>
  <c r="T302" i="25" s="1"/>
  <c r="U124" i="25"/>
  <c r="T124" i="25" s="1"/>
  <c r="U244" i="25"/>
  <c r="T244" i="25" s="1"/>
  <c r="U333" i="25"/>
  <c r="T333" i="25" s="1"/>
  <c r="U73" i="25"/>
  <c r="T73" i="25" s="1"/>
  <c r="U190" i="25"/>
  <c r="T190" i="25" s="1"/>
  <c r="U237" i="25"/>
  <c r="T237" i="25" s="1"/>
  <c r="U282" i="25"/>
  <c r="T282" i="25" s="1"/>
  <c r="U331" i="25"/>
  <c r="T331" i="25" s="1"/>
  <c r="U47" i="25"/>
  <c r="T47" i="25" s="1"/>
  <c r="U156" i="25"/>
  <c r="T156" i="25" s="1"/>
  <c r="U309" i="25"/>
  <c r="T309" i="25" s="1"/>
  <c r="U354" i="25"/>
  <c r="T354" i="25" s="1"/>
  <c r="U38" i="25"/>
  <c r="T38" i="25" s="1"/>
  <c r="U55" i="25"/>
  <c r="T55" i="25" s="1"/>
  <c r="U164" i="25"/>
  <c r="T164" i="25" s="1"/>
  <c r="U317" i="25"/>
  <c r="T317" i="25" s="1"/>
  <c r="U57" i="25"/>
  <c r="T57" i="25" s="1"/>
  <c r="U366" i="25"/>
  <c r="T366" i="25" s="1"/>
  <c r="U17" i="25"/>
  <c r="T17" i="25" s="1"/>
  <c r="U67" i="25"/>
  <c r="T67" i="25" s="1"/>
  <c r="U216" i="25"/>
  <c r="T216" i="25" s="1"/>
  <c r="U321" i="25"/>
  <c r="T321" i="25" s="1"/>
  <c r="U45" i="25"/>
  <c r="T45" i="25" s="1"/>
  <c r="U90" i="25"/>
  <c r="T90" i="25" s="1"/>
  <c r="U139" i="25"/>
  <c r="T139" i="25" s="1"/>
  <c r="U224" i="25"/>
  <c r="T224" i="25" s="1"/>
  <c r="U329" i="25"/>
  <c r="T329" i="25" s="1"/>
  <c r="U117" i="25"/>
  <c r="T117" i="25" s="1"/>
  <c r="U49" i="25"/>
  <c r="T49" i="25" s="1"/>
  <c r="U102" i="25"/>
  <c r="T102" i="25" s="1"/>
  <c r="U119" i="25"/>
  <c r="T119" i="25" s="1"/>
  <c r="U228" i="25"/>
  <c r="T228" i="25" s="1"/>
  <c r="U19" i="25"/>
  <c r="T19" i="25" s="1"/>
  <c r="U121" i="25"/>
  <c r="T121" i="25" s="1"/>
  <c r="U174" i="25"/>
  <c r="T174" i="25" s="1"/>
  <c r="U191" i="25"/>
  <c r="T191" i="25" s="1"/>
  <c r="U236" i="25"/>
  <c r="T236" i="25" s="1"/>
  <c r="U24" i="25"/>
  <c r="T24" i="25" s="1"/>
  <c r="U129" i="25"/>
  <c r="T129" i="25" s="1"/>
  <c r="U246" i="25"/>
  <c r="T246" i="25" s="1"/>
  <c r="U229" i="25"/>
  <c r="T229" i="25" s="1"/>
  <c r="U274" i="25"/>
  <c r="T274" i="25" s="1"/>
  <c r="U323" i="25"/>
  <c r="T323" i="25" s="1"/>
  <c r="U103" i="25"/>
  <c r="T103" i="25" s="1"/>
  <c r="U212" i="25"/>
  <c r="T212" i="25" s="1"/>
  <c r="U301" i="25"/>
  <c r="T301" i="25" s="1"/>
  <c r="U346" i="25"/>
  <c r="T346" i="25" s="1"/>
  <c r="U30" i="25"/>
  <c r="T30" i="25" s="1"/>
  <c r="U111" i="25"/>
  <c r="T111" i="25" s="1"/>
  <c r="U220" i="25"/>
  <c r="T220" i="25" s="1"/>
  <c r="U373" i="25"/>
  <c r="T373" i="25" s="1"/>
  <c r="U305" i="25"/>
  <c r="T305" i="25" s="1"/>
  <c r="U358" i="25"/>
  <c r="T358" i="25" s="1"/>
  <c r="U375" i="25"/>
  <c r="T375" i="25" s="1"/>
  <c r="U123" i="25"/>
  <c r="T123" i="25" s="1"/>
  <c r="U272" i="25"/>
  <c r="T272" i="25" s="1"/>
  <c r="U377" i="25"/>
  <c r="T377" i="25" s="1"/>
  <c r="U37" i="25"/>
  <c r="T37" i="25" s="1"/>
  <c r="U82" i="25"/>
  <c r="T82" i="25" s="1"/>
  <c r="U131" i="25"/>
  <c r="T131" i="25" s="1"/>
  <c r="U280" i="25"/>
  <c r="T280" i="25" s="1"/>
  <c r="U20" i="25"/>
  <c r="T20" i="25" s="1"/>
  <c r="U365" i="25"/>
  <c r="T365" i="25" s="1"/>
  <c r="U41" i="25"/>
  <c r="T41" i="25" s="1"/>
  <c r="U94" i="25"/>
  <c r="T94" i="25" s="1"/>
  <c r="U175" i="25"/>
  <c r="T175" i="25" s="1"/>
  <c r="U284" i="25"/>
  <c r="T284" i="25" s="1"/>
  <c r="U72" i="25"/>
  <c r="T72" i="25" s="1"/>
  <c r="U113" i="25"/>
  <c r="T113" i="25" s="1"/>
  <c r="U166" i="25"/>
  <c r="T166" i="25" s="1"/>
  <c r="U183" i="25"/>
  <c r="T183" i="25" s="1"/>
  <c r="U292" i="25"/>
  <c r="T292" i="25" s="1"/>
  <c r="U80" i="25"/>
  <c r="T80" i="25" s="1"/>
  <c r="U185" i="25"/>
  <c r="T185" i="25" s="1"/>
  <c r="U101" i="25"/>
  <c r="T101" i="25" s="1"/>
  <c r="U146" i="25"/>
  <c r="T146" i="25" s="1"/>
  <c r="U195" i="25"/>
  <c r="T195" i="25" s="1"/>
  <c r="U344" i="25"/>
  <c r="T344" i="25" s="1"/>
  <c r="U84" i="25"/>
  <c r="T84" i="25" s="1"/>
  <c r="U173" i="25"/>
  <c r="T173" i="25" s="1"/>
  <c r="U218" i="25"/>
  <c r="T218" i="25" s="1"/>
  <c r="U267" i="25"/>
  <c r="T267" i="25" s="1"/>
  <c r="U352" i="25"/>
  <c r="T352" i="25" s="1"/>
  <c r="U92" i="25"/>
  <c r="T92" i="25" s="1"/>
  <c r="U245" i="25"/>
  <c r="T245" i="25" s="1"/>
  <c r="AA314" i="23"/>
  <c r="Z314" i="23" s="1"/>
  <c r="Y314" i="23" s="1"/>
  <c r="C15" i="19"/>
  <c r="F39" i="19"/>
  <c r="AJ9" i="20"/>
  <c r="AJ11" i="20" s="1"/>
  <c r="AK7" i="20"/>
  <c r="AI11" i="25"/>
  <c r="AA15" i="18"/>
  <c r="AL9" i="18" s="1"/>
  <c r="H15" i="18"/>
  <c r="G15" i="18"/>
  <c r="CA15" i="6" s="1"/>
  <c r="F382" i="18"/>
  <c r="AM10" i="18"/>
  <c r="F381" i="18"/>
  <c r="F9" i="18"/>
  <c r="F383" i="18"/>
  <c r="AK10" i="18"/>
  <c r="AK12" i="18" s="1"/>
  <c r="AK13" i="18" s="1"/>
  <c r="E382" i="20"/>
  <c r="E381" i="20"/>
  <c r="AJ10" i="20"/>
  <c r="AJ12" i="20" s="1"/>
  <c r="AK8" i="20"/>
  <c r="F15" i="20"/>
  <c r="E383" i="20"/>
  <c r="E9" i="20"/>
  <c r="E11" i="20" s="1"/>
  <c r="AJ62" i="27"/>
  <c r="AJ65" i="27"/>
  <c r="V65" i="27" s="1"/>
  <c r="AJ66" i="27"/>
  <c r="AJ72" i="27"/>
  <c r="X72" i="27" s="1"/>
  <c r="AJ60" i="27"/>
  <c r="AJ61" i="27"/>
  <c r="U61" i="27" s="1"/>
  <c r="AJ63" i="27"/>
  <c r="AJ57" i="27"/>
  <c r="W57" i="27" s="1"/>
  <c r="AJ69" i="27"/>
  <c r="AJ73" i="27"/>
  <c r="U73" i="27" s="1"/>
  <c r="AJ77" i="27"/>
  <c r="AJ79" i="27"/>
  <c r="X79" i="27" s="1"/>
  <c r="T62" i="27"/>
  <c r="Q62" i="27"/>
  <c r="Y62" i="27"/>
  <c r="X62" i="27"/>
  <c r="S62" i="27"/>
  <c r="U62" i="27"/>
  <c r="W62" i="27"/>
  <c r="Z62" i="27"/>
  <c r="R62" i="27"/>
  <c r="AA62" i="27"/>
  <c r="V62" i="27"/>
  <c r="U65" i="27"/>
  <c r="X66" i="27"/>
  <c r="U66" i="27"/>
  <c r="S66" i="27"/>
  <c r="Y66" i="27"/>
  <c r="Z66" i="27"/>
  <c r="AA66" i="27"/>
  <c r="W66" i="27"/>
  <c r="V66" i="27"/>
  <c r="T66" i="27"/>
  <c r="R66" i="27"/>
  <c r="Q66" i="27"/>
  <c r="V72" i="27"/>
  <c r="Q60" i="27"/>
  <c r="X60" i="27"/>
  <c r="U60" i="27"/>
  <c r="S60" i="27"/>
  <c r="T60" i="27"/>
  <c r="R60" i="27"/>
  <c r="W60" i="27"/>
  <c r="V60" i="27"/>
  <c r="Y60" i="27"/>
  <c r="Z60" i="27"/>
  <c r="AA60" i="27"/>
  <c r="Q61" i="27"/>
  <c r="W63" i="27"/>
  <c r="S63" i="27"/>
  <c r="T63" i="27"/>
  <c r="Z63" i="27"/>
  <c r="Q63" i="27"/>
  <c r="X63" i="27"/>
  <c r="V63" i="27"/>
  <c r="R63" i="27"/>
  <c r="Y63" i="27"/>
  <c r="U63" i="27"/>
  <c r="AA63" i="27"/>
  <c r="U57" i="27"/>
  <c r="X69" i="27"/>
  <c r="V69" i="27"/>
  <c r="Y69" i="27"/>
  <c r="W69" i="27"/>
  <c r="R69" i="27"/>
  <c r="AA69" i="27"/>
  <c r="U69" i="27"/>
  <c r="T69" i="27"/>
  <c r="Z69" i="27"/>
  <c r="S69" i="27"/>
  <c r="Q69" i="27"/>
  <c r="AA73" i="27"/>
  <c r="S77" i="27"/>
  <c r="Q77" i="27"/>
  <c r="AA77" i="27"/>
  <c r="U77" i="27"/>
  <c r="X77" i="27"/>
  <c r="Z77" i="27"/>
  <c r="T77" i="27"/>
  <c r="V77" i="27"/>
  <c r="Y77" i="27"/>
  <c r="R77" i="27"/>
  <c r="W77" i="27"/>
  <c r="AA79" i="27"/>
  <c r="AJ56" i="27"/>
  <c r="AJ58" i="27"/>
  <c r="AJ59" i="27"/>
  <c r="AJ68" i="27"/>
  <c r="AJ70" i="27"/>
  <c r="AJ74" i="27"/>
  <c r="AJ76" i="27"/>
  <c r="AJ78" i="27"/>
  <c r="AJ67" i="27"/>
  <c r="AJ64" i="27"/>
  <c r="AJ71" i="27"/>
  <c r="AJ75" i="27"/>
  <c r="N67" i="19"/>
  <c r="J349" i="23"/>
  <c r="I349" i="23"/>
  <c r="J197" i="23"/>
  <c r="AH58" i="25"/>
  <c r="AH51" i="25"/>
  <c r="AH81" i="25"/>
  <c r="H258" i="23"/>
  <c r="G258" i="23"/>
  <c r="CD258" i="6" s="1"/>
  <c r="H227" i="23"/>
  <c r="AA227" i="23"/>
  <c r="Z227" i="23" s="1"/>
  <c r="Y227" i="23" s="1"/>
  <c r="G227" i="23"/>
  <c r="CD227" i="6" s="1"/>
  <c r="S373" i="24"/>
  <c r="R373" i="24" s="1"/>
  <c r="S70" i="24"/>
  <c r="R70" i="24" s="1"/>
  <c r="S290" i="24"/>
  <c r="R290" i="24" s="1"/>
  <c r="S227" i="24"/>
  <c r="R227" i="24" s="1"/>
  <c r="S264" i="24"/>
  <c r="R264" i="24" s="1"/>
  <c r="S92" i="24"/>
  <c r="R92" i="24" s="1"/>
  <c r="S150" i="24"/>
  <c r="R150" i="24" s="1"/>
  <c r="S243" i="24"/>
  <c r="R243" i="24" s="1"/>
  <c r="S216" i="24"/>
  <c r="R216" i="24" s="1"/>
  <c r="S129" i="24"/>
  <c r="R129" i="24" s="1"/>
  <c r="S341" i="24"/>
  <c r="R341" i="24" s="1"/>
  <c r="S315" i="24"/>
  <c r="R315" i="24" s="1"/>
  <c r="S233" i="24"/>
  <c r="R233" i="24" s="1"/>
  <c r="S134" i="24"/>
  <c r="R134" i="24" s="1"/>
  <c r="S354" i="24"/>
  <c r="R354" i="24" s="1"/>
  <c r="S291" i="24"/>
  <c r="R291" i="24" s="1"/>
  <c r="S289" i="24"/>
  <c r="R289" i="24" s="1"/>
  <c r="S72" i="24"/>
  <c r="R72" i="24" s="1"/>
  <c r="S222" i="24"/>
  <c r="R222" i="24" s="1"/>
  <c r="S199" i="24"/>
  <c r="R199" i="24" s="1"/>
  <c r="S202" i="24"/>
  <c r="R202" i="24" s="1"/>
  <c r="S320" i="24"/>
  <c r="R320" i="24" s="1"/>
  <c r="S107" i="24"/>
  <c r="R107" i="24" s="1"/>
  <c r="S265" i="24"/>
  <c r="R265" i="24" s="1"/>
  <c r="S144" i="24"/>
  <c r="R144" i="24" s="1"/>
  <c r="S294" i="24"/>
  <c r="R294" i="24" s="1"/>
  <c r="S89" i="24"/>
  <c r="R89" i="24" s="1"/>
  <c r="S271" i="24"/>
  <c r="R271" i="24" s="1"/>
  <c r="S54" i="24"/>
  <c r="R54" i="24" s="1"/>
  <c r="S338" i="24"/>
  <c r="R338" i="24" s="1"/>
  <c r="S337" i="24"/>
  <c r="R337" i="24" s="1"/>
  <c r="S120" i="24"/>
  <c r="R120" i="24" s="1"/>
  <c r="S268" i="24"/>
  <c r="R268" i="24" s="1"/>
  <c r="S55" i="24"/>
  <c r="R55" i="24" s="1"/>
  <c r="S245" i="24"/>
  <c r="R245" i="24" s="1"/>
  <c r="S28" i="24"/>
  <c r="R28" i="24" s="1"/>
  <c r="S186" i="24"/>
  <c r="R186" i="24" s="1"/>
  <c r="S303" i="24"/>
  <c r="R303" i="24" s="1"/>
  <c r="S86" i="24"/>
  <c r="R86" i="24" s="1"/>
  <c r="S244" i="24"/>
  <c r="R244" i="24" s="1"/>
  <c r="S136" i="24"/>
  <c r="R136" i="24" s="1"/>
  <c r="S286" i="24"/>
  <c r="R286" i="24" s="1"/>
  <c r="S113" i="24"/>
  <c r="R113" i="24" s="1"/>
  <c r="S263" i="24"/>
  <c r="R263" i="24" s="1"/>
  <c r="S46" i="24"/>
  <c r="R46" i="24" s="1"/>
  <c r="S172" i="24"/>
  <c r="R172" i="24" s="1"/>
  <c r="S266" i="24"/>
  <c r="R266" i="24" s="1"/>
  <c r="S21" i="24"/>
  <c r="R21" i="24" s="1"/>
  <c r="S171" i="24"/>
  <c r="R171" i="24" s="1"/>
  <c r="S329" i="24"/>
  <c r="R329" i="24" s="1"/>
  <c r="S178" i="24"/>
  <c r="R178" i="24" s="1"/>
  <c r="S115" i="24"/>
  <c r="R115" i="24" s="1"/>
  <c r="S88" i="24"/>
  <c r="R88" i="24" s="1"/>
  <c r="S146" i="24"/>
  <c r="R146" i="24" s="1"/>
  <c r="S19" i="24"/>
  <c r="R19" i="24" s="1"/>
  <c r="S295" i="24"/>
  <c r="R295" i="24" s="1"/>
  <c r="S332" i="24"/>
  <c r="R332" i="24" s="1"/>
  <c r="S309" i="24"/>
  <c r="R309" i="24" s="1"/>
  <c r="S90" i="24"/>
  <c r="R90" i="24" s="1"/>
  <c r="S148" i="24"/>
  <c r="R148" i="24" s="1"/>
  <c r="S360" i="24"/>
  <c r="R360" i="24" s="1"/>
  <c r="S247" i="24"/>
  <c r="R247" i="24" s="1"/>
  <c r="S220" i="24"/>
  <c r="R220" i="24" s="1"/>
  <c r="S133" i="24"/>
  <c r="R133" i="24" s="1"/>
  <c r="S377" i="24"/>
  <c r="R377" i="24" s="1"/>
  <c r="S278" i="24"/>
  <c r="R278" i="24" s="1"/>
  <c r="I257" i="23"/>
  <c r="J257" i="23"/>
  <c r="J378" i="23"/>
  <c r="I378" i="23"/>
  <c r="I267" i="23"/>
  <c r="J267" i="23"/>
  <c r="T383" i="24"/>
  <c r="T381" i="24"/>
  <c r="I178" i="23"/>
  <c r="J178" i="23"/>
  <c r="J186" i="23"/>
  <c r="I186" i="23"/>
  <c r="J297" i="23"/>
  <c r="S250" i="24"/>
  <c r="R250" i="24" s="1"/>
  <c r="S155" i="24"/>
  <c r="R155" i="24" s="1"/>
  <c r="S66" i="24"/>
  <c r="R66" i="24" s="1"/>
  <c r="S342" i="24"/>
  <c r="R342" i="24" s="1"/>
  <c r="S118" i="24"/>
  <c r="R118" i="24" s="1"/>
  <c r="S31" i="24"/>
  <c r="R31" i="24" s="1"/>
  <c r="S184" i="24"/>
  <c r="R184" i="24" s="1"/>
  <c r="S135" i="24"/>
  <c r="R135" i="24" s="1"/>
  <c r="S261" i="24"/>
  <c r="R261" i="24" s="1"/>
  <c r="S44" i="24"/>
  <c r="R44" i="24" s="1"/>
  <c r="S138" i="24"/>
  <c r="R138" i="24" s="1"/>
  <c r="S256" i="24"/>
  <c r="R256" i="24" s="1"/>
  <c r="S259" i="24"/>
  <c r="R259" i="24" s="1"/>
  <c r="S217" i="24"/>
  <c r="R217" i="24" s="1"/>
  <c r="S328" i="24"/>
  <c r="R328" i="24" s="1"/>
  <c r="S78" i="24"/>
  <c r="R78" i="24" s="1"/>
  <c r="S174" i="24"/>
  <c r="R174" i="24" s="1"/>
  <c r="S23" i="24"/>
  <c r="R23" i="24" s="1"/>
  <c r="S80" i="24"/>
  <c r="R80" i="24" s="1"/>
  <c r="S205" i="24"/>
  <c r="R205" i="24" s="1"/>
  <c r="I52" i="23"/>
  <c r="J52" i="23"/>
  <c r="J280" i="23"/>
  <c r="I280" i="23"/>
  <c r="I144" i="23"/>
  <c r="J144" i="23"/>
  <c r="H241" i="23"/>
  <c r="G241" i="23"/>
  <c r="CD241" i="6" s="1"/>
  <c r="J202" i="23"/>
  <c r="I202" i="23"/>
  <c r="T363" i="25"/>
  <c r="T137" i="25"/>
  <c r="T85" i="25"/>
  <c r="T132" i="25"/>
  <c r="T95" i="25"/>
  <c r="T214" i="25"/>
  <c r="T233" i="25"/>
  <c r="T264" i="25"/>
  <c r="T379" i="25"/>
  <c r="J195" i="23"/>
  <c r="I195" i="23"/>
  <c r="H105" i="23"/>
  <c r="G105" i="23"/>
  <c r="CD105" i="6" s="1"/>
  <c r="AA105" i="23"/>
  <c r="Z105" i="23" s="1"/>
  <c r="Y105" i="23" s="1"/>
  <c r="J155" i="23"/>
  <c r="I155" i="23"/>
  <c r="AH69" i="25"/>
  <c r="AH73" i="25"/>
  <c r="AH100" i="25"/>
  <c r="V15" i="23"/>
  <c r="B15" i="23" s="1"/>
  <c r="AG381" i="24"/>
  <c r="AF15" i="24"/>
  <c r="S33" i="24"/>
  <c r="R33" i="24" s="1"/>
  <c r="S314" i="24"/>
  <c r="R314" i="24" s="1"/>
  <c r="S368" i="24"/>
  <c r="R368" i="24" s="1"/>
  <c r="S249" i="24"/>
  <c r="R249" i="24" s="1"/>
  <c r="S306" i="24"/>
  <c r="R306" i="24" s="1"/>
  <c r="S137" i="24"/>
  <c r="R137" i="24" s="1"/>
  <c r="S288" i="24"/>
  <c r="R288" i="24" s="1"/>
  <c r="S49" i="24"/>
  <c r="R49" i="24" s="1"/>
  <c r="S325" i="24"/>
  <c r="R325" i="24" s="1"/>
  <c r="S108" i="24"/>
  <c r="R108" i="24" s="1"/>
  <c r="S212" i="24"/>
  <c r="R212" i="24" s="1"/>
  <c r="S61" i="24"/>
  <c r="R61" i="24" s="1"/>
  <c r="S211" i="24"/>
  <c r="R211" i="24" s="1"/>
  <c r="S270" i="24"/>
  <c r="R270" i="24" s="1"/>
  <c r="S304" i="24"/>
  <c r="R304" i="24" s="1"/>
  <c r="S91" i="24"/>
  <c r="R91" i="24" s="1"/>
  <c r="S185" i="24"/>
  <c r="R185" i="24" s="1"/>
  <c r="S353" i="24"/>
  <c r="R353" i="24" s="1"/>
  <c r="S24" i="24"/>
  <c r="R24" i="24" s="1"/>
  <c r="S300" i="24"/>
  <c r="R300" i="24" s="1"/>
  <c r="S149" i="24"/>
  <c r="R149" i="24" s="1"/>
  <c r="S230" i="24"/>
  <c r="R230" i="24" s="1"/>
  <c r="S207" i="24"/>
  <c r="R207" i="24" s="1"/>
  <c r="S273" i="24"/>
  <c r="R273" i="24" s="1"/>
  <c r="S355" i="24"/>
  <c r="R355" i="24" s="1"/>
  <c r="J300" i="23"/>
  <c r="I300" i="23"/>
  <c r="D15" i="22"/>
  <c r="AJ7" i="22" s="1"/>
  <c r="W15" i="22"/>
  <c r="T382" i="24"/>
  <c r="R15" i="24"/>
  <c r="I116" i="23"/>
  <c r="J116" i="23"/>
  <c r="I373" i="23"/>
  <c r="J373" i="23"/>
  <c r="I294" i="23"/>
  <c r="J294" i="23"/>
  <c r="I256" i="23"/>
  <c r="J256" i="23"/>
  <c r="I50" i="23"/>
  <c r="J50" i="23"/>
  <c r="J282" i="23"/>
  <c r="I282" i="23"/>
  <c r="S183" i="24"/>
  <c r="R183" i="24" s="1"/>
  <c r="S156" i="24"/>
  <c r="R156" i="24" s="1"/>
  <c r="S287" i="24"/>
  <c r="R287" i="24" s="1"/>
  <c r="S164" i="24"/>
  <c r="R164" i="24" s="1"/>
  <c r="S77" i="24"/>
  <c r="R77" i="24" s="1"/>
  <c r="S114" i="24"/>
  <c r="R114" i="24" s="1"/>
  <c r="S51" i="24"/>
  <c r="R51" i="24" s="1"/>
  <c r="S367" i="24"/>
  <c r="R367" i="24" s="1"/>
  <c r="S308" i="24"/>
  <c r="R308" i="24" s="1"/>
  <c r="S93" i="24"/>
  <c r="R93" i="24" s="1"/>
  <c r="S366" i="24"/>
  <c r="R366" i="24" s="1"/>
  <c r="S215" i="24"/>
  <c r="R215" i="24" s="1"/>
  <c r="S165" i="24"/>
  <c r="R165" i="24" s="1"/>
  <c r="S106" i="24"/>
  <c r="R106" i="24" s="1"/>
  <c r="S75" i="24"/>
  <c r="R75" i="24" s="1"/>
  <c r="S351" i="24"/>
  <c r="R351" i="24" s="1"/>
  <c r="S228" i="24"/>
  <c r="R228" i="24" s="1"/>
  <c r="S141" i="24"/>
  <c r="R141" i="24" s="1"/>
  <c r="S208" i="24"/>
  <c r="R208" i="24" s="1"/>
  <c r="S358" i="24"/>
  <c r="R358" i="24" s="1"/>
  <c r="S153" i="24"/>
  <c r="R153" i="24" s="1"/>
  <c r="S335" i="24"/>
  <c r="R335" i="24" s="1"/>
  <c r="S276" i="24"/>
  <c r="R276" i="24" s="1"/>
  <c r="S125" i="24"/>
  <c r="R125" i="24" s="1"/>
  <c r="S275" i="24"/>
  <c r="R275" i="24" s="1"/>
  <c r="S34" i="24"/>
  <c r="R34" i="24" s="1"/>
  <c r="S334" i="24"/>
  <c r="R334" i="24" s="1"/>
  <c r="S225" i="24"/>
  <c r="R225" i="24" s="1"/>
  <c r="S375" i="24"/>
  <c r="R375" i="24" s="1"/>
  <c r="S158" i="24"/>
  <c r="R158" i="24" s="1"/>
  <c r="S348" i="24"/>
  <c r="R348" i="24" s="1"/>
  <c r="S43" i="24"/>
  <c r="R43" i="24" s="1"/>
  <c r="S201" i="24"/>
  <c r="R201" i="24" s="1"/>
  <c r="S191" i="24"/>
  <c r="R191" i="24" s="1"/>
  <c r="S349" i="24"/>
  <c r="R349" i="24" s="1"/>
  <c r="S132" i="24"/>
  <c r="R132" i="24" s="1"/>
  <c r="S322" i="24"/>
  <c r="R322" i="24" s="1"/>
  <c r="S109" i="24"/>
  <c r="R109" i="24" s="1"/>
  <c r="S18" i="24"/>
  <c r="R18" i="24" s="1"/>
  <c r="S104" i="24"/>
  <c r="R104" i="24" s="1"/>
  <c r="S254" i="24"/>
  <c r="R254" i="24" s="1"/>
  <c r="S17" i="24"/>
  <c r="R17" i="24" s="1"/>
  <c r="S167" i="24"/>
  <c r="R167" i="24" s="1"/>
  <c r="S272" i="24"/>
  <c r="R272" i="24" s="1"/>
  <c r="S59" i="24"/>
  <c r="R59" i="24" s="1"/>
  <c r="S32" i="24"/>
  <c r="R32" i="24" s="1"/>
  <c r="S182" i="24"/>
  <c r="R182" i="24" s="1"/>
  <c r="S340" i="24"/>
  <c r="R340" i="24" s="1"/>
  <c r="S95" i="24"/>
  <c r="R95" i="24" s="1"/>
  <c r="S189" i="24"/>
  <c r="R189" i="24" s="1"/>
  <c r="S339" i="24"/>
  <c r="R339" i="24" s="1"/>
  <c r="S98" i="24"/>
  <c r="R98" i="24" s="1"/>
  <c r="S248" i="24"/>
  <c r="R248" i="24" s="1"/>
  <c r="S35" i="24"/>
  <c r="R35" i="24" s="1"/>
  <c r="S305" i="24"/>
  <c r="R305" i="24" s="1"/>
  <c r="S238" i="24"/>
  <c r="R238" i="24" s="1"/>
  <c r="S232" i="24"/>
  <c r="R232" i="24" s="1"/>
  <c r="S145" i="24"/>
  <c r="R145" i="24" s="1"/>
  <c r="S119" i="24"/>
  <c r="R119" i="24" s="1"/>
  <c r="S241" i="24"/>
  <c r="R241" i="24" s="1"/>
  <c r="S299" i="24"/>
  <c r="R299" i="24" s="1"/>
  <c r="S25" i="24"/>
  <c r="R25" i="24" s="1"/>
  <c r="S365" i="24"/>
  <c r="R365" i="24" s="1"/>
  <c r="S274" i="24"/>
  <c r="R274" i="24" s="1"/>
  <c r="S292" i="24"/>
  <c r="R292" i="24" s="1"/>
  <c r="S97" i="24"/>
  <c r="R97" i="24" s="1"/>
  <c r="S30" i="24"/>
  <c r="R30" i="24" s="1"/>
  <c r="S378" i="24"/>
  <c r="R378" i="24" s="1"/>
  <c r="S283" i="24"/>
  <c r="R283" i="24" s="1"/>
  <c r="S128" i="24"/>
  <c r="R128" i="24" s="1"/>
  <c r="S73" i="24"/>
  <c r="R73" i="24" s="1"/>
  <c r="G196" i="23"/>
  <c r="CD196" i="6" s="1"/>
  <c r="H196" i="23"/>
  <c r="J106" i="23"/>
  <c r="I106" i="23"/>
  <c r="T256" i="25"/>
  <c r="T110" i="25"/>
  <c r="T127" i="25"/>
  <c r="T172" i="25"/>
  <c r="T65" i="25"/>
  <c r="T369" i="25"/>
  <c r="T336" i="25"/>
  <c r="T91" i="25"/>
  <c r="T153" i="25"/>
  <c r="T143" i="25"/>
  <c r="T322" i="25"/>
  <c r="T70" i="25"/>
  <c r="T215" i="25"/>
  <c r="T260" i="25"/>
  <c r="T285" i="25"/>
  <c r="T332" i="25"/>
  <c r="T342" i="25"/>
  <c r="T130" i="25"/>
  <c r="T243" i="25"/>
  <c r="T34" i="25"/>
  <c r="T217" i="25"/>
  <c r="T135" i="25"/>
  <c r="T269" i="25"/>
  <c r="T378" i="25"/>
  <c r="T126" i="25"/>
  <c r="T16" i="25"/>
  <c r="T219" i="25"/>
  <c r="T291" i="25"/>
  <c r="T353" i="25"/>
  <c r="T186" i="25"/>
  <c r="T27" i="25"/>
  <c r="T351" i="25"/>
  <c r="J173" i="23"/>
  <c r="I173" i="23"/>
  <c r="I345" i="23"/>
  <c r="J345" i="23"/>
  <c r="J278" i="23"/>
  <c r="I57" i="23"/>
  <c r="J57" i="23"/>
  <c r="AI97" i="25" l="1"/>
  <c r="AH97" i="25" s="1"/>
  <c r="AI98" i="25"/>
  <c r="AH98" i="25" s="1"/>
  <c r="AI48" i="25"/>
  <c r="AH48" i="25" s="1"/>
  <c r="AI52" i="25"/>
  <c r="AH52" i="25" s="1"/>
  <c r="AI74" i="25"/>
  <c r="AH74" i="25" s="1"/>
  <c r="AG382" i="24"/>
  <c r="AG383" i="24"/>
  <c r="AI101" i="25"/>
  <c r="AH101" i="25" s="1"/>
  <c r="AI16" i="25"/>
  <c r="AH16" i="25" s="1"/>
  <c r="AI23" i="25"/>
  <c r="AH23" i="25" s="1"/>
  <c r="AG23" i="25" s="1"/>
  <c r="AF23" i="25" s="1"/>
  <c r="AI40" i="25"/>
  <c r="AH40" i="25" s="1"/>
  <c r="AI93" i="25"/>
  <c r="AH93" i="25" s="1"/>
  <c r="AI92" i="25"/>
  <c r="AH92" i="25" s="1"/>
  <c r="AI27" i="25"/>
  <c r="AH27" i="25" s="1"/>
  <c r="AI34" i="25"/>
  <c r="AH34" i="25" s="1"/>
  <c r="AI65" i="25"/>
  <c r="AH65" i="25" s="1"/>
  <c r="AG65" i="25" s="1"/>
  <c r="AF65" i="25" s="1"/>
  <c r="AI46" i="25"/>
  <c r="AH46" i="25" s="1"/>
  <c r="AI99" i="25"/>
  <c r="AH99" i="25" s="1"/>
  <c r="AG99" i="25" s="1"/>
  <c r="AF99" i="25" s="1"/>
  <c r="AI25" i="25"/>
  <c r="AH25" i="25" s="1"/>
  <c r="AI18" i="25"/>
  <c r="AH18" i="25" s="1"/>
  <c r="AI68" i="25"/>
  <c r="AH68" i="25" s="1"/>
  <c r="AI50" i="25"/>
  <c r="AH50" i="25" s="1"/>
  <c r="AG50" i="25" s="1"/>
  <c r="AF50" i="25" s="1"/>
  <c r="AI80" i="25"/>
  <c r="AH80" i="25" s="1"/>
  <c r="AI79" i="25"/>
  <c r="AH79" i="25" s="1"/>
  <c r="AG79" i="25" s="1"/>
  <c r="AF79" i="25" s="1"/>
  <c r="AI95" i="25"/>
  <c r="AH95" i="25" s="1"/>
  <c r="AI39" i="25"/>
  <c r="AH39" i="25" s="1"/>
  <c r="AG39" i="25" s="1"/>
  <c r="AF39" i="25" s="1"/>
  <c r="AI62" i="25"/>
  <c r="AH62" i="25" s="1"/>
  <c r="AI59" i="25"/>
  <c r="AH59" i="25" s="1"/>
  <c r="AI44" i="25"/>
  <c r="AH44" i="25" s="1"/>
  <c r="AA156" i="23"/>
  <c r="Z156" i="23" s="1"/>
  <c r="Y156" i="23" s="1"/>
  <c r="AI28" i="25"/>
  <c r="AH28" i="25" s="1"/>
  <c r="AI37" i="25"/>
  <c r="AH37" i="25" s="1"/>
  <c r="AG37" i="25" s="1"/>
  <c r="AF37" i="25" s="1"/>
  <c r="AI20" i="25"/>
  <c r="AH20" i="25" s="1"/>
  <c r="AI56" i="25"/>
  <c r="AH56" i="25" s="1"/>
  <c r="AG56" i="25" s="1"/>
  <c r="AF56" i="25" s="1"/>
  <c r="AI71" i="25"/>
  <c r="AH71" i="25" s="1"/>
  <c r="AI26" i="25"/>
  <c r="AH26" i="25" s="1"/>
  <c r="AI61" i="25"/>
  <c r="AH61" i="25" s="1"/>
  <c r="AI24" i="25"/>
  <c r="AH24" i="25" s="1"/>
  <c r="AG24" i="25" s="1"/>
  <c r="AF24" i="25" s="1"/>
  <c r="AI70" i="25"/>
  <c r="AH70" i="25" s="1"/>
  <c r="AI53" i="25"/>
  <c r="AH53" i="25" s="1"/>
  <c r="AG53" i="25" s="1"/>
  <c r="AF53" i="25" s="1"/>
  <c r="AI49" i="25"/>
  <c r="AH49" i="25" s="1"/>
  <c r="AI38" i="25"/>
  <c r="AH38" i="25" s="1"/>
  <c r="AG38" i="25" s="1"/>
  <c r="AF38" i="25" s="1"/>
  <c r="AI47" i="25"/>
  <c r="AH47" i="25" s="1"/>
  <c r="AI43" i="25"/>
  <c r="AH43" i="25" s="1"/>
  <c r="AI88" i="25"/>
  <c r="AH88" i="25" s="1"/>
  <c r="AI19" i="25"/>
  <c r="AH19" i="25" s="1"/>
  <c r="AI86" i="25"/>
  <c r="AH86" i="25" s="1"/>
  <c r="AI22" i="25"/>
  <c r="AH22" i="25" s="1"/>
  <c r="AI78" i="25"/>
  <c r="AH78" i="25" s="1"/>
  <c r="AI29" i="25"/>
  <c r="AH29" i="25" s="1"/>
  <c r="AH381" i="24"/>
  <c r="J71" i="23"/>
  <c r="I32" i="23"/>
  <c r="AE381" i="23"/>
  <c r="I117" i="23"/>
  <c r="I125" i="23"/>
  <c r="I301" i="23"/>
  <c r="G71" i="23"/>
  <c r="CD71" i="6" s="1"/>
  <c r="G274" i="23"/>
  <c r="CD274" i="6" s="1"/>
  <c r="I53" i="23"/>
  <c r="J199" i="23"/>
  <c r="I120" i="23"/>
  <c r="AA297" i="23"/>
  <c r="Z297" i="23" s="1"/>
  <c r="Y297" i="23" s="1"/>
  <c r="AA375" i="23"/>
  <c r="Z375" i="23" s="1"/>
  <c r="Y375" i="23" s="1"/>
  <c r="J59" i="23"/>
  <c r="I55" i="23"/>
  <c r="J151" i="23"/>
  <c r="AA359" i="23"/>
  <c r="Z359" i="23" s="1"/>
  <c r="Y359" i="23" s="1"/>
  <c r="AA288" i="23"/>
  <c r="Z288" i="23" s="1"/>
  <c r="Y288" i="23" s="1"/>
  <c r="I245" i="23"/>
  <c r="I274" i="23"/>
  <c r="AA322" i="23"/>
  <c r="Z322" i="23" s="1"/>
  <c r="Y322" i="23" s="1"/>
  <c r="G359" i="23"/>
  <c r="CD359" i="6" s="1"/>
  <c r="G208" i="23"/>
  <c r="CD208" i="6" s="1"/>
  <c r="AA249" i="23"/>
  <c r="Z249" i="23" s="1"/>
  <c r="Y249" i="23" s="1"/>
  <c r="G97" i="23"/>
  <c r="CD97" i="6" s="1"/>
  <c r="I226" i="23"/>
  <c r="H270" i="23"/>
  <c r="I270" i="23" s="1"/>
  <c r="H75" i="23"/>
  <c r="I75" i="23" s="1"/>
  <c r="I318" i="23"/>
  <c r="I247" i="23"/>
  <c r="B381" i="22"/>
  <c r="I321" i="23"/>
  <c r="I33" i="23"/>
  <c r="J209" i="23"/>
  <c r="J354" i="23"/>
  <c r="J169" i="23"/>
  <c r="J276" i="23"/>
  <c r="AA127" i="23"/>
  <c r="Z127" i="23" s="1"/>
  <c r="Y127" i="23" s="1"/>
  <c r="AA169" i="23"/>
  <c r="Z169" i="23" s="1"/>
  <c r="Y169" i="23" s="1"/>
  <c r="H375" i="23"/>
  <c r="I375" i="23" s="1"/>
  <c r="AA274" i="23"/>
  <c r="Z274" i="23" s="1"/>
  <c r="Y274" i="23" s="1"/>
  <c r="I119" i="22"/>
  <c r="J119" i="22"/>
  <c r="J70" i="23"/>
  <c r="H319" i="23"/>
  <c r="I319" i="23" s="1"/>
  <c r="I222" i="23"/>
  <c r="AA270" i="23"/>
  <c r="Z270" i="23" s="1"/>
  <c r="Y270" i="23" s="1"/>
  <c r="H289" i="23"/>
  <c r="J289" i="23" s="1"/>
  <c r="H370" i="23"/>
  <c r="J370" i="23" s="1"/>
  <c r="H284" i="23"/>
  <c r="J284" i="23" s="1"/>
  <c r="AE383" i="23"/>
  <c r="AE382" i="23"/>
  <c r="AA141" i="23"/>
  <c r="Z141" i="23" s="1"/>
  <c r="Y141" i="23" s="1"/>
  <c r="AF381" i="23"/>
  <c r="AF382" i="23"/>
  <c r="AF383" i="23"/>
  <c r="AD104" i="23"/>
  <c r="AA104" i="23" s="1"/>
  <c r="Z104" i="23" s="1"/>
  <c r="Y104" i="23" s="1"/>
  <c r="C31" i="19"/>
  <c r="J140" i="23"/>
  <c r="J172" i="23"/>
  <c r="J101" i="23"/>
  <c r="I166" i="23"/>
  <c r="I123" i="23"/>
  <c r="I131" i="23"/>
  <c r="H348" i="23"/>
  <c r="I348" i="23" s="1"/>
  <c r="AA27" i="23"/>
  <c r="Z27" i="23" s="1"/>
  <c r="Y27" i="23" s="1"/>
  <c r="I122" i="23"/>
  <c r="I41" i="23"/>
  <c r="I365" i="23"/>
  <c r="I28" i="23"/>
  <c r="AK6" i="22"/>
  <c r="H9" i="22"/>
  <c r="B17" i="19" s="1"/>
  <c r="B382" i="22"/>
  <c r="J130" i="23"/>
  <c r="I312" i="23"/>
  <c r="J127" i="23"/>
  <c r="I311" i="23"/>
  <c r="G302" i="23"/>
  <c r="CD302" i="6" s="1"/>
  <c r="J113" i="23"/>
  <c r="AJ13" i="20"/>
  <c r="H46" i="23"/>
  <c r="I46" i="23" s="1"/>
  <c r="AA117" i="23"/>
  <c r="Z117" i="23" s="1"/>
  <c r="Y117" i="23" s="1"/>
  <c r="G122" i="23"/>
  <c r="CD122" i="6" s="1"/>
  <c r="G117" i="23"/>
  <c r="CD117" i="6" s="1"/>
  <c r="G41" i="23"/>
  <c r="CD41" i="6" s="1"/>
  <c r="G120" i="23"/>
  <c r="CD120" i="6" s="1"/>
  <c r="G141" i="23"/>
  <c r="CD141" i="6" s="1"/>
  <c r="J322" i="23"/>
  <c r="I175" i="23"/>
  <c r="I329" i="23"/>
  <c r="AA319" i="23"/>
  <c r="Z319" i="23" s="1"/>
  <c r="Y319" i="23" s="1"/>
  <c r="I188" i="23"/>
  <c r="I36" i="23"/>
  <c r="J375" i="23"/>
  <c r="J138" i="23"/>
  <c r="G322" i="23"/>
  <c r="CD322" i="6" s="1"/>
  <c r="AA140" i="23"/>
  <c r="Z140" i="23" s="1"/>
  <c r="Y140" i="23" s="1"/>
  <c r="G140" i="23"/>
  <c r="CD140" i="6" s="1"/>
  <c r="G284" i="23"/>
  <c r="CD284" i="6" s="1"/>
  <c r="H27" i="23"/>
  <c r="J27" i="23" s="1"/>
  <c r="H135" i="23"/>
  <c r="I135" i="23" s="1"/>
  <c r="H249" i="23"/>
  <c r="I249" i="23" s="1"/>
  <c r="H97" i="23"/>
  <c r="I97" i="23" s="1"/>
  <c r="H315" i="23"/>
  <c r="J315" i="23" s="1"/>
  <c r="I233" i="23"/>
  <c r="J217" i="23"/>
  <c r="AJ6" i="22"/>
  <c r="I22" i="23"/>
  <c r="J223" i="23"/>
  <c r="AA302" i="23"/>
  <c r="Z302" i="23" s="1"/>
  <c r="Y302" i="23" s="1"/>
  <c r="AA46" i="23"/>
  <c r="Z46" i="23" s="1"/>
  <c r="Y46" i="23" s="1"/>
  <c r="AA122" i="23"/>
  <c r="Z122" i="23" s="1"/>
  <c r="Y122" i="23" s="1"/>
  <c r="G169" i="23"/>
  <c r="CD169" i="6" s="1"/>
  <c r="G360" i="23"/>
  <c r="CD360" i="6" s="1"/>
  <c r="G127" i="23"/>
  <c r="CD127" i="6" s="1"/>
  <c r="G75" i="23"/>
  <c r="CD75" i="6" s="1"/>
  <c r="G22" i="23"/>
  <c r="CD22" i="6" s="1"/>
  <c r="G217" i="23"/>
  <c r="CD217" i="6" s="1"/>
  <c r="AA41" i="23"/>
  <c r="Z41" i="23" s="1"/>
  <c r="Y41" i="23" s="1"/>
  <c r="AA120" i="23"/>
  <c r="Z120" i="23" s="1"/>
  <c r="Y120" i="23" s="1"/>
  <c r="H314" i="23"/>
  <c r="J314" i="23" s="1"/>
  <c r="G209" i="23"/>
  <c r="CD209" i="6" s="1"/>
  <c r="G247" i="23"/>
  <c r="CD247" i="6" s="1"/>
  <c r="AA360" i="23"/>
  <c r="Z360" i="23" s="1"/>
  <c r="Y360" i="23" s="1"/>
  <c r="G28" i="23"/>
  <c r="CD28" i="6" s="1"/>
  <c r="AA28" i="23"/>
  <c r="Z28" i="23" s="1"/>
  <c r="Y28" i="23" s="1"/>
  <c r="G82" i="23"/>
  <c r="CD82" i="6" s="1"/>
  <c r="H82" i="23"/>
  <c r="H141" i="23"/>
  <c r="U382" i="25"/>
  <c r="U383" i="25"/>
  <c r="I81" i="23"/>
  <c r="P382" i="23"/>
  <c r="I212" i="23"/>
  <c r="U381" i="25"/>
  <c r="J249" i="23"/>
  <c r="J208" i="23"/>
  <c r="J183" i="23"/>
  <c r="H288" i="23"/>
  <c r="J288" i="23" s="1"/>
  <c r="G288" i="23"/>
  <c r="CD288" i="6" s="1"/>
  <c r="AA212" i="23"/>
  <c r="Z212" i="23" s="1"/>
  <c r="Y212" i="23" s="1"/>
  <c r="AA289" i="23"/>
  <c r="Z289" i="23" s="1"/>
  <c r="Y289" i="23" s="1"/>
  <c r="G135" i="23"/>
  <c r="CD135" i="6" s="1"/>
  <c r="G175" i="23"/>
  <c r="CD175" i="6" s="1"/>
  <c r="H359" i="23"/>
  <c r="J359" i="23" s="1"/>
  <c r="G93" i="23"/>
  <c r="CD93" i="6" s="1"/>
  <c r="H93" i="23"/>
  <c r="I93" i="23" s="1"/>
  <c r="G348" i="23"/>
  <c r="CD348" i="6" s="1"/>
  <c r="AA370" i="23"/>
  <c r="Z370" i="23" s="1"/>
  <c r="Y370" i="23" s="1"/>
  <c r="G183" i="23"/>
  <c r="CD183" i="6" s="1"/>
  <c r="G199" i="23"/>
  <c r="CD199" i="6" s="1"/>
  <c r="AA114" i="23"/>
  <c r="Z114" i="23" s="1"/>
  <c r="Y114" i="23" s="1"/>
  <c r="J360" i="23"/>
  <c r="I360" i="23"/>
  <c r="W302" i="23"/>
  <c r="AA311" i="23"/>
  <c r="Z311" i="23" s="1"/>
  <c r="Y311" i="23" s="1"/>
  <c r="G156" i="23"/>
  <c r="CD156" i="6" s="1"/>
  <c r="AA209" i="23"/>
  <c r="Z209" i="23" s="1"/>
  <c r="Y209" i="23" s="1"/>
  <c r="G311" i="23"/>
  <c r="CD311" i="6" s="1"/>
  <c r="AA247" i="23"/>
  <c r="Z247" i="23" s="1"/>
  <c r="Y247" i="23" s="1"/>
  <c r="AA199" i="23"/>
  <c r="Z199" i="23" s="1"/>
  <c r="Y199" i="23" s="1"/>
  <c r="H114" i="23"/>
  <c r="H156" i="23"/>
  <c r="H145" i="23"/>
  <c r="G145" i="23"/>
  <c r="CD145" i="6" s="1"/>
  <c r="H189" i="23"/>
  <c r="AA189" i="23"/>
  <c r="Z189" i="23" s="1"/>
  <c r="Y189" i="23" s="1"/>
  <c r="G189" i="23"/>
  <c r="CD189" i="6" s="1"/>
  <c r="G340" i="23"/>
  <c r="CD340" i="6" s="1"/>
  <c r="AA340" i="23"/>
  <c r="Z340" i="23" s="1"/>
  <c r="Y340" i="23" s="1"/>
  <c r="G248" i="23"/>
  <c r="CD248" i="6" s="1"/>
  <c r="AA248" i="23"/>
  <c r="Z248" i="23" s="1"/>
  <c r="Y248" i="23" s="1"/>
  <c r="H248" i="23"/>
  <c r="G129" i="23"/>
  <c r="CD129" i="6" s="1"/>
  <c r="AA129" i="23"/>
  <c r="Z129" i="23" s="1"/>
  <c r="Y129" i="23" s="1"/>
  <c r="H129" i="23"/>
  <c r="H174" i="23"/>
  <c r="G174" i="23"/>
  <c r="CD174" i="6" s="1"/>
  <c r="H283" i="23"/>
  <c r="G283" i="23"/>
  <c r="CD283" i="6" s="1"/>
  <c r="AA377" i="23"/>
  <c r="Z377" i="23" s="1"/>
  <c r="Y377" i="23" s="1"/>
  <c r="G377" i="23"/>
  <c r="CD377" i="6" s="1"/>
  <c r="P383" i="23"/>
  <c r="H74" i="23"/>
  <c r="J74" i="23" s="1"/>
  <c r="G74" i="23"/>
  <c r="CD74" i="6" s="1"/>
  <c r="AA22" i="23"/>
  <c r="Z22" i="23" s="1"/>
  <c r="Y22" i="23" s="1"/>
  <c r="G212" i="23"/>
  <c r="CD212" i="6" s="1"/>
  <c r="AA175" i="23"/>
  <c r="Z175" i="23" s="1"/>
  <c r="Y175" i="23" s="1"/>
  <c r="AA217" i="23"/>
  <c r="Z217" i="23" s="1"/>
  <c r="Y217" i="23" s="1"/>
  <c r="AA183" i="23"/>
  <c r="Z183" i="23" s="1"/>
  <c r="Y183" i="23" s="1"/>
  <c r="AA315" i="23"/>
  <c r="Z315" i="23" s="1"/>
  <c r="Y315" i="23" s="1"/>
  <c r="AA208" i="23"/>
  <c r="Z208" i="23" s="1"/>
  <c r="Y208" i="23" s="1"/>
  <c r="AA283" i="23"/>
  <c r="Z283" i="23" s="1"/>
  <c r="Y283" i="23" s="1"/>
  <c r="W380" i="22"/>
  <c r="D380" i="22"/>
  <c r="E380" i="22" s="1"/>
  <c r="F380" i="22" s="1"/>
  <c r="H379" i="22"/>
  <c r="AA379" i="22"/>
  <c r="Z379" i="22" s="1"/>
  <c r="Y379" i="22" s="1"/>
  <c r="G379" i="22"/>
  <c r="CC379" i="6" s="1"/>
  <c r="AA204" i="23"/>
  <c r="Z204" i="23" s="1"/>
  <c r="Y204" i="23" s="1"/>
  <c r="G204" i="23"/>
  <c r="CD204" i="6" s="1"/>
  <c r="H204" i="23"/>
  <c r="H148" i="23"/>
  <c r="G148" i="23"/>
  <c r="CD148" i="6" s="1"/>
  <c r="AA148" i="23"/>
  <c r="Z148" i="23" s="1"/>
  <c r="Y148" i="23" s="1"/>
  <c r="AA167" i="23"/>
  <c r="Z167" i="23" s="1"/>
  <c r="Y167" i="23" s="1"/>
  <c r="H167" i="23"/>
  <c r="G167" i="23"/>
  <c r="CD167" i="6" s="1"/>
  <c r="AA260" i="23"/>
  <c r="Z260" i="23" s="1"/>
  <c r="Y260" i="23" s="1"/>
  <c r="G260" i="23"/>
  <c r="CD260" i="6" s="1"/>
  <c r="H260" i="23"/>
  <c r="H350" i="23"/>
  <c r="AA350" i="23"/>
  <c r="Z350" i="23" s="1"/>
  <c r="Y350" i="23" s="1"/>
  <c r="G350" i="23"/>
  <c r="CD350" i="6" s="1"/>
  <c r="G25" i="23"/>
  <c r="CD25" i="6" s="1"/>
  <c r="AA25" i="23"/>
  <c r="Z25" i="23" s="1"/>
  <c r="Y25" i="23" s="1"/>
  <c r="H25" i="23"/>
  <c r="G298" i="23"/>
  <c r="CD298" i="6" s="1"/>
  <c r="H298" i="23"/>
  <c r="AA298" i="23"/>
  <c r="Z298" i="23" s="1"/>
  <c r="Y298" i="23" s="1"/>
  <c r="AA346" i="23"/>
  <c r="Z346" i="23" s="1"/>
  <c r="Y346" i="23" s="1"/>
  <c r="H346" i="23"/>
  <c r="G346" i="23"/>
  <c r="CD346" i="6" s="1"/>
  <c r="G331" i="23"/>
  <c r="CD331" i="6" s="1"/>
  <c r="H331" i="23"/>
  <c r="AA331" i="23"/>
  <c r="Z331" i="23" s="1"/>
  <c r="Y331" i="23" s="1"/>
  <c r="H325" i="23"/>
  <c r="AA325" i="23"/>
  <c r="Z325" i="23" s="1"/>
  <c r="Y325" i="23" s="1"/>
  <c r="G325" i="23"/>
  <c r="CD325" i="6" s="1"/>
  <c r="H61" i="23"/>
  <c r="AA61" i="23"/>
  <c r="Z61" i="23" s="1"/>
  <c r="Y61" i="23" s="1"/>
  <c r="G61" i="23"/>
  <c r="CD61" i="6" s="1"/>
  <c r="G121" i="23"/>
  <c r="CD121" i="6" s="1"/>
  <c r="AA121" i="23"/>
  <c r="Z121" i="23" s="1"/>
  <c r="Y121" i="23" s="1"/>
  <c r="H121" i="23"/>
  <c r="H211" i="23"/>
  <c r="AA211" i="23"/>
  <c r="Z211" i="23" s="1"/>
  <c r="Y211" i="23" s="1"/>
  <c r="G211" i="23"/>
  <c r="CD211" i="6" s="1"/>
  <c r="B119" i="23"/>
  <c r="E68" i="19"/>
  <c r="H368" i="23"/>
  <c r="AA368" i="23"/>
  <c r="Z368" i="23" s="1"/>
  <c r="Y368" i="23" s="1"/>
  <c r="G368" i="23"/>
  <c r="CD368" i="6" s="1"/>
  <c r="AA335" i="23"/>
  <c r="Z335" i="23" s="1"/>
  <c r="Y335" i="23" s="1"/>
  <c r="H335" i="23"/>
  <c r="G335" i="23"/>
  <c r="CD335" i="6" s="1"/>
  <c r="AA328" i="23"/>
  <c r="Z328" i="23" s="1"/>
  <c r="Y328" i="23" s="1"/>
  <c r="G328" i="23"/>
  <c r="CD328" i="6" s="1"/>
  <c r="H328" i="23"/>
  <c r="AA324" i="23"/>
  <c r="Z324" i="23" s="1"/>
  <c r="Y324" i="23" s="1"/>
  <c r="G324" i="23"/>
  <c r="CD324" i="6" s="1"/>
  <c r="H324" i="23"/>
  <c r="G102" i="23"/>
  <c r="CD102" i="6" s="1"/>
  <c r="AA102" i="23"/>
  <c r="Z102" i="23" s="1"/>
  <c r="Y102" i="23" s="1"/>
  <c r="H102" i="23"/>
  <c r="H182" i="23"/>
  <c r="AA182" i="23"/>
  <c r="Z182" i="23" s="1"/>
  <c r="Y182" i="23" s="1"/>
  <c r="G182" i="23"/>
  <c r="CD182" i="6" s="1"/>
  <c r="H152" i="23"/>
  <c r="G152" i="23"/>
  <c r="CD152" i="6" s="1"/>
  <c r="AA152" i="23"/>
  <c r="Z152" i="23" s="1"/>
  <c r="Y152" i="23" s="1"/>
  <c r="H309" i="23"/>
  <c r="G309" i="23"/>
  <c r="CD309" i="6" s="1"/>
  <c r="AA309" i="23"/>
  <c r="Z309" i="23" s="1"/>
  <c r="Y309" i="23" s="1"/>
  <c r="H66" i="23"/>
  <c r="AA66" i="23"/>
  <c r="Z66" i="23" s="1"/>
  <c r="Y66" i="23" s="1"/>
  <c r="G66" i="23"/>
  <c r="CD66" i="6" s="1"/>
  <c r="B210" i="23"/>
  <c r="H68" i="19"/>
  <c r="AA352" i="23"/>
  <c r="Z352" i="23" s="1"/>
  <c r="Y352" i="23" s="1"/>
  <c r="H352" i="23"/>
  <c r="G352" i="23"/>
  <c r="CD352" i="6" s="1"/>
  <c r="AA293" i="23"/>
  <c r="Z293" i="23" s="1"/>
  <c r="Y293" i="23" s="1"/>
  <c r="H293" i="23"/>
  <c r="G293" i="23"/>
  <c r="CD293" i="6" s="1"/>
  <c r="H107" i="23"/>
  <c r="AA107" i="23"/>
  <c r="Z107" i="23" s="1"/>
  <c r="Y107" i="23" s="1"/>
  <c r="G107" i="23"/>
  <c r="CD107" i="6" s="1"/>
  <c r="H220" i="23"/>
  <c r="AA220" i="23"/>
  <c r="Z220" i="23" s="1"/>
  <c r="Y220" i="23" s="1"/>
  <c r="G220" i="23"/>
  <c r="CD220" i="6" s="1"/>
  <c r="AA100" i="23"/>
  <c r="Z100" i="23" s="1"/>
  <c r="Y100" i="23" s="1"/>
  <c r="G100" i="23"/>
  <c r="CD100" i="6" s="1"/>
  <c r="H100" i="23"/>
  <c r="G265" i="23"/>
  <c r="CD265" i="6" s="1"/>
  <c r="AA265" i="23"/>
  <c r="Z265" i="23" s="1"/>
  <c r="Y265" i="23" s="1"/>
  <c r="H265" i="23"/>
  <c r="G285" i="23"/>
  <c r="CD285" i="6" s="1"/>
  <c r="AA285" i="23"/>
  <c r="Z285" i="23" s="1"/>
  <c r="Y285" i="23" s="1"/>
  <c r="H285" i="23"/>
  <c r="G69" i="23"/>
  <c r="CD69" i="6" s="1"/>
  <c r="AA69" i="23"/>
  <c r="Z69" i="23" s="1"/>
  <c r="Y69" i="23" s="1"/>
  <c r="H69" i="23"/>
  <c r="G171" i="23"/>
  <c r="CD171" i="6" s="1"/>
  <c r="H171" i="23"/>
  <c r="AA171" i="23"/>
  <c r="Z171" i="23" s="1"/>
  <c r="Y171" i="23" s="1"/>
  <c r="G165" i="23"/>
  <c r="CD165" i="6" s="1"/>
  <c r="AA165" i="23"/>
  <c r="Z165" i="23" s="1"/>
  <c r="Y165" i="23" s="1"/>
  <c r="H165" i="23"/>
  <c r="G179" i="23"/>
  <c r="CD179" i="6" s="1"/>
  <c r="AA179" i="23"/>
  <c r="Z179" i="23" s="1"/>
  <c r="Y179" i="23" s="1"/>
  <c r="H179" i="23"/>
  <c r="AA218" i="23"/>
  <c r="Z218" i="23" s="1"/>
  <c r="Y218" i="23" s="1"/>
  <c r="G218" i="23"/>
  <c r="CD218" i="6" s="1"/>
  <c r="H218" i="23"/>
  <c r="H219" i="23"/>
  <c r="G219" i="23"/>
  <c r="CD219" i="6" s="1"/>
  <c r="AA219" i="23"/>
  <c r="Z219" i="23" s="1"/>
  <c r="Y219" i="23" s="1"/>
  <c r="G177" i="23"/>
  <c r="CD177" i="6" s="1"/>
  <c r="AA177" i="23"/>
  <c r="Z177" i="23" s="1"/>
  <c r="Y177" i="23" s="1"/>
  <c r="H177" i="23"/>
  <c r="G361" i="23"/>
  <c r="CD361" i="6" s="1"/>
  <c r="H361" i="23"/>
  <c r="AA361" i="23"/>
  <c r="Z361" i="23" s="1"/>
  <c r="Y361" i="23" s="1"/>
  <c r="G44" i="23"/>
  <c r="CD44" i="6" s="1"/>
  <c r="H44" i="23"/>
  <c r="AA44" i="23"/>
  <c r="Z44" i="23" s="1"/>
  <c r="Y44" i="23" s="1"/>
  <c r="H49" i="23"/>
  <c r="AA49" i="23"/>
  <c r="Z49" i="23" s="1"/>
  <c r="Y49" i="23" s="1"/>
  <c r="G49" i="23"/>
  <c r="CD49" i="6" s="1"/>
  <c r="H310" i="23"/>
  <c r="AA310" i="23"/>
  <c r="Z310" i="23" s="1"/>
  <c r="Y310" i="23" s="1"/>
  <c r="G310" i="23"/>
  <c r="CD310" i="6" s="1"/>
  <c r="AA307" i="23"/>
  <c r="Z307" i="23" s="1"/>
  <c r="Y307" i="23" s="1"/>
  <c r="H307" i="23"/>
  <c r="G307" i="23"/>
  <c r="CD307" i="6" s="1"/>
  <c r="H176" i="23"/>
  <c r="G176" i="23"/>
  <c r="CD176" i="6" s="1"/>
  <c r="AA176" i="23"/>
  <c r="Z176" i="23" s="1"/>
  <c r="Y176" i="23" s="1"/>
  <c r="AA159" i="23"/>
  <c r="Z159" i="23" s="1"/>
  <c r="Y159" i="23" s="1"/>
  <c r="H159" i="23"/>
  <c r="G159" i="23"/>
  <c r="CD159" i="6" s="1"/>
  <c r="H254" i="23"/>
  <c r="AA254" i="23"/>
  <c r="Z254" i="23" s="1"/>
  <c r="Y254" i="23" s="1"/>
  <c r="G254" i="23"/>
  <c r="CD254" i="6" s="1"/>
  <c r="H228" i="23"/>
  <c r="G228" i="23"/>
  <c r="CD228" i="6" s="1"/>
  <c r="AA228" i="23"/>
  <c r="Z228" i="23" s="1"/>
  <c r="Y228" i="23" s="1"/>
  <c r="H205" i="23"/>
  <c r="G205" i="23"/>
  <c r="CD205" i="6" s="1"/>
  <c r="AA205" i="23"/>
  <c r="Z205" i="23" s="1"/>
  <c r="Y205" i="23" s="1"/>
  <c r="AA230" i="23"/>
  <c r="Z230" i="23" s="1"/>
  <c r="Y230" i="23" s="1"/>
  <c r="H230" i="23"/>
  <c r="G230" i="23"/>
  <c r="CD230" i="6" s="1"/>
  <c r="H299" i="23"/>
  <c r="G299" i="23"/>
  <c r="CD299" i="6" s="1"/>
  <c r="AA299" i="23"/>
  <c r="Z299" i="23" s="1"/>
  <c r="Y299" i="23" s="1"/>
  <c r="AA243" i="23"/>
  <c r="Z243" i="23" s="1"/>
  <c r="Y243" i="23" s="1"/>
  <c r="H243" i="23"/>
  <c r="G243" i="23"/>
  <c r="CD243" i="6" s="1"/>
  <c r="H306" i="23"/>
  <c r="G306" i="23"/>
  <c r="CD306" i="6" s="1"/>
  <c r="AA306" i="23"/>
  <c r="Z306" i="23" s="1"/>
  <c r="Y306" i="23" s="1"/>
  <c r="AA271" i="23"/>
  <c r="Z271" i="23" s="1"/>
  <c r="Y271" i="23" s="1"/>
  <c r="H271" i="23"/>
  <c r="G271" i="23"/>
  <c r="CD271" i="6" s="1"/>
  <c r="H181" i="23"/>
  <c r="AA181" i="23"/>
  <c r="Z181" i="23" s="1"/>
  <c r="Y181" i="23" s="1"/>
  <c r="G181" i="23"/>
  <c r="CD181" i="6" s="1"/>
  <c r="H192" i="23"/>
  <c r="G192" i="23"/>
  <c r="CD192" i="6" s="1"/>
  <c r="AA192" i="23"/>
  <c r="Z192" i="23" s="1"/>
  <c r="Y192" i="23" s="1"/>
  <c r="H18" i="23"/>
  <c r="G18" i="23"/>
  <c r="CD18" i="6" s="1"/>
  <c r="AA18" i="23"/>
  <c r="Z18" i="23" s="1"/>
  <c r="Y18" i="23" s="1"/>
  <c r="AA367" i="23"/>
  <c r="Z367" i="23" s="1"/>
  <c r="Y367" i="23" s="1"/>
  <c r="G367" i="23"/>
  <c r="CD367" i="6" s="1"/>
  <c r="H367" i="23"/>
  <c r="AA286" i="23"/>
  <c r="Z286" i="23" s="1"/>
  <c r="Y286" i="23" s="1"/>
  <c r="G286" i="23"/>
  <c r="CD286" i="6" s="1"/>
  <c r="H286" i="23"/>
  <c r="H58" i="23"/>
  <c r="G58" i="23"/>
  <c r="CD58" i="6" s="1"/>
  <c r="AA58" i="23"/>
  <c r="Z58" i="23" s="1"/>
  <c r="Y58" i="23" s="1"/>
  <c r="D149" i="23"/>
  <c r="E149" i="23" s="1"/>
  <c r="F149" i="23" s="1"/>
  <c r="W149" i="23"/>
  <c r="G320" i="23"/>
  <c r="CD320" i="6" s="1"/>
  <c r="H320" i="23"/>
  <c r="AA320" i="23"/>
  <c r="Z320" i="23" s="1"/>
  <c r="Y320" i="23" s="1"/>
  <c r="H326" i="23"/>
  <c r="AA326" i="23"/>
  <c r="Z326" i="23" s="1"/>
  <c r="Y326" i="23" s="1"/>
  <c r="G326" i="23"/>
  <c r="CD326" i="6" s="1"/>
  <c r="D272" i="23"/>
  <c r="E272" i="23" s="1"/>
  <c r="F272" i="23" s="1"/>
  <c r="W272" i="23"/>
  <c r="AA261" i="23"/>
  <c r="Z261" i="23" s="1"/>
  <c r="Y261" i="23" s="1"/>
  <c r="H261" i="23"/>
  <c r="G261" i="23"/>
  <c r="CD261" i="6" s="1"/>
  <c r="G63" i="23"/>
  <c r="CD63" i="6" s="1"/>
  <c r="AA63" i="23"/>
  <c r="Z63" i="23" s="1"/>
  <c r="Y63" i="23" s="1"/>
  <c r="H63" i="23"/>
  <c r="H358" i="23"/>
  <c r="G358" i="23"/>
  <c r="CD358" i="6" s="1"/>
  <c r="AA358" i="23"/>
  <c r="Z358" i="23" s="1"/>
  <c r="Y358" i="23" s="1"/>
  <c r="G291" i="23"/>
  <c r="CD291" i="6" s="1"/>
  <c r="AA291" i="23"/>
  <c r="Z291" i="23" s="1"/>
  <c r="Y291" i="23" s="1"/>
  <c r="H291" i="23"/>
  <c r="G43" i="23"/>
  <c r="CD43" i="6" s="1"/>
  <c r="AA43" i="23"/>
  <c r="Z43" i="23" s="1"/>
  <c r="Y43" i="23" s="1"/>
  <c r="H43" i="23"/>
  <c r="H264" i="23"/>
  <c r="AA264" i="23"/>
  <c r="Z264" i="23" s="1"/>
  <c r="Y264" i="23" s="1"/>
  <c r="G264" i="23"/>
  <c r="CD264" i="6" s="1"/>
  <c r="G47" i="23"/>
  <c r="CD47" i="6" s="1"/>
  <c r="AA47" i="23"/>
  <c r="Z47" i="23" s="1"/>
  <c r="Y47" i="23" s="1"/>
  <c r="H47" i="23"/>
  <c r="H296" i="23"/>
  <c r="G296" i="23"/>
  <c r="CD296" i="6" s="1"/>
  <c r="AA296" i="23"/>
  <c r="Z296" i="23" s="1"/>
  <c r="Y296" i="23" s="1"/>
  <c r="G308" i="23"/>
  <c r="CD308" i="6" s="1"/>
  <c r="H308" i="23"/>
  <c r="L68" i="19"/>
  <c r="F68" i="19"/>
  <c r="H126" i="23"/>
  <c r="G126" i="23"/>
  <c r="CD126" i="6" s="1"/>
  <c r="AA126" i="23"/>
  <c r="Z126" i="23" s="1"/>
  <c r="Y126" i="23" s="1"/>
  <c r="AA279" i="23"/>
  <c r="Z279" i="23" s="1"/>
  <c r="Y279" i="23" s="1"/>
  <c r="G279" i="23"/>
  <c r="CD279" i="6" s="1"/>
  <c r="H279" i="23"/>
  <c r="AA38" i="23"/>
  <c r="Z38" i="23" s="1"/>
  <c r="Y38" i="23" s="1"/>
  <c r="H38" i="23"/>
  <c r="G38" i="23"/>
  <c r="CD38" i="6" s="1"/>
  <c r="H292" i="23"/>
  <c r="AA292" i="23"/>
  <c r="Z292" i="23" s="1"/>
  <c r="Y292" i="23" s="1"/>
  <c r="G292" i="23"/>
  <c r="CD292" i="6" s="1"/>
  <c r="H37" i="23"/>
  <c r="AA37" i="23"/>
  <c r="Z37" i="23" s="1"/>
  <c r="Y37" i="23" s="1"/>
  <c r="G37" i="23"/>
  <c r="CD37" i="6" s="1"/>
  <c r="G95" i="23"/>
  <c r="CD95" i="6" s="1"/>
  <c r="AA95" i="23"/>
  <c r="Z95" i="23" s="1"/>
  <c r="Y95" i="23" s="1"/>
  <c r="H95" i="23"/>
  <c r="H89" i="23"/>
  <c r="AA89" i="23"/>
  <c r="Z89" i="23" s="1"/>
  <c r="Y89" i="23" s="1"/>
  <c r="G89" i="23"/>
  <c r="CD89" i="6" s="1"/>
  <c r="H305" i="23"/>
  <c r="AA305" i="23"/>
  <c r="Z305" i="23" s="1"/>
  <c r="Y305" i="23" s="1"/>
  <c r="G305" i="23"/>
  <c r="CD305" i="6" s="1"/>
  <c r="AA330" i="23"/>
  <c r="Z330" i="23" s="1"/>
  <c r="Y330" i="23" s="1"/>
  <c r="G330" i="23"/>
  <c r="CD330" i="6" s="1"/>
  <c r="H330" i="23"/>
  <c r="AA68" i="23"/>
  <c r="Z68" i="23" s="1"/>
  <c r="Y68" i="23" s="1"/>
  <c r="G68" i="23"/>
  <c r="CD68" i="6" s="1"/>
  <c r="H68" i="23"/>
  <c r="AA115" i="23"/>
  <c r="Z115" i="23" s="1"/>
  <c r="Y115" i="23" s="1"/>
  <c r="G115" i="23"/>
  <c r="CD115" i="6" s="1"/>
  <c r="H115" i="23"/>
  <c r="G338" i="23"/>
  <c r="CD338" i="6" s="1"/>
  <c r="H338" i="23"/>
  <c r="AA338" i="23"/>
  <c r="Z338" i="23" s="1"/>
  <c r="Y338" i="23" s="1"/>
  <c r="AA362" i="23"/>
  <c r="Z362" i="23" s="1"/>
  <c r="Y362" i="23" s="1"/>
  <c r="H362" i="23"/>
  <c r="G362" i="23"/>
  <c r="CD362" i="6" s="1"/>
  <c r="AA111" i="23"/>
  <c r="Z111" i="23" s="1"/>
  <c r="Y111" i="23" s="1"/>
  <c r="H111" i="23"/>
  <c r="G111" i="23"/>
  <c r="CD111" i="6" s="1"/>
  <c r="AA78" i="23"/>
  <c r="Z78" i="23" s="1"/>
  <c r="Y78" i="23" s="1"/>
  <c r="H78" i="23"/>
  <c r="G78" i="23"/>
  <c r="CD78" i="6" s="1"/>
  <c r="AA246" i="23"/>
  <c r="Z246" i="23" s="1"/>
  <c r="Y246" i="23" s="1"/>
  <c r="G246" i="23"/>
  <c r="CD246" i="6" s="1"/>
  <c r="H246" i="23"/>
  <c r="G268" i="23"/>
  <c r="CD268" i="6" s="1"/>
  <c r="H268" i="23"/>
  <c r="AA268" i="23"/>
  <c r="Z268" i="23" s="1"/>
  <c r="Y268" i="23" s="1"/>
  <c r="H17" i="23"/>
  <c r="AA17" i="23"/>
  <c r="Z17" i="23" s="1"/>
  <c r="Y17" i="23" s="1"/>
  <c r="G17" i="23"/>
  <c r="CD17" i="6" s="1"/>
  <c r="G65" i="23"/>
  <c r="CD65" i="6" s="1"/>
  <c r="AA65" i="23"/>
  <c r="Z65" i="23" s="1"/>
  <c r="Y65" i="23" s="1"/>
  <c r="H65" i="23"/>
  <c r="G190" i="23"/>
  <c r="CD190" i="6" s="1"/>
  <c r="AA190" i="23"/>
  <c r="Z190" i="23" s="1"/>
  <c r="Y190" i="23" s="1"/>
  <c r="H190" i="23"/>
  <c r="AA337" i="23"/>
  <c r="Z337" i="23" s="1"/>
  <c r="Y337" i="23" s="1"/>
  <c r="H337" i="23"/>
  <c r="G337" i="23"/>
  <c r="CD337" i="6" s="1"/>
  <c r="AA206" i="23"/>
  <c r="Z206" i="23" s="1"/>
  <c r="Y206" i="23" s="1"/>
  <c r="H206" i="23"/>
  <c r="G206" i="23"/>
  <c r="CD206" i="6" s="1"/>
  <c r="B180" i="23"/>
  <c r="G68" i="19"/>
  <c r="G347" i="23"/>
  <c r="CD347" i="6" s="1"/>
  <c r="AA347" i="23"/>
  <c r="Z347" i="23" s="1"/>
  <c r="Y347" i="23" s="1"/>
  <c r="H347" i="23"/>
  <c r="G164" i="23"/>
  <c r="CD164" i="6" s="1"/>
  <c r="H164" i="23"/>
  <c r="AA164" i="23"/>
  <c r="Z164" i="23" s="1"/>
  <c r="Y164" i="23" s="1"/>
  <c r="H200" i="23"/>
  <c r="G200" i="23"/>
  <c r="CD200" i="6" s="1"/>
  <c r="AA200" i="23"/>
  <c r="Z200" i="23" s="1"/>
  <c r="Y200" i="23" s="1"/>
  <c r="V379" i="23"/>
  <c r="B379" i="23" s="1"/>
  <c r="D42" i="19"/>
  <c r="G356" i="23"/>
  <c r="CD356" i="6" s="1"/>
  <c r="AA356" i="23"/>
  <c r="Z356" i="23" s="1"/>
  <c r="Y356" i="23" s="1"/>
  <c r="H356" i="23"/>
  <c r="AA163" i="23"/>
  <c r="Z163" i="23" s="1"/>
  <c r="Y163" i="23" s="1"/>
  <c r="G163" i="23"/>
  <c r="CD163" i="6" s="1"/>
  <c r="H163" i="23"/>
  <c r="AA160" i="23"/>
  <c r="Z160" i="23" s="1"/>
  <c r="Y160" i="23" s="1"/>
  <c r="H160" i="23"/>
  <c r="G160" i="23"/>
  <c r="CD160" i="6" s="1"/>
  <c r="H281" i="23"/>
  <c r="AA281" i="23"/>
  <c r="Z281" i="23" s="1"/>
  <c r="Y281" i="23" s="1"/>
  <c r="G281" i="23"/>
  <c r="CD281" i="6" s="1"/>
  <c r="G79" i="23"/>
  <c r="CD79" i="6" s="1"/>
  <c r="AA79" i="23"/>
  <c r="Z79" i="23" s="1"/>
  <c r="Y79" i="23" s="1"/>
  <c r="H79" i="23"/>
  <c r="H154" i="23"/>
  <c r="G154" i="23"/>
  <c r="CD154" i="6" s="1"/>
  <c r="AA154" i="23"/>
  <c r="Z154" i="23" s="1"/>
  <c r="Y154" i="23" s="1"/>
  <c r="G194" i="23"/>
  <c r="CD194" i="6" s="1"/>
  <c r="AA194" i="23"/>
  <c r="Z194" i="23" s="1"/>
  <c r="Y194" i="23" s="1"/>
  <c r="H194" i="23"/>
  <c r="G201" i="23"/>
  <c r="CD201" i="6" s="1"/>
  <c r="H201" i="23"/>
  <c r="AA201" i="23"/>
  <c r="Z201" i="23" s="1"/>
  <c r="Y201" i="23" s="1"/>
  <c r="H364" i="23"/>
  <c r="G364" i="23"/>
  <c r="CD364" i="6" s="1"/>
  <c r="AA364" i="23"/>
  <c r="Z364" i="23" s="1"/>
  <c r="Y364" i="23" s="1"/>
  <c r="AA158" i="23"/>
  <c r="Z158" i="23" s="1"/>
  <c r="Y158" i="23" s="1"/>
  <c r="H158" i="23"/>
  <c r="G158" i="23"/>
  <c r="CD158" i="6" s="1"/>
  <c r="G73" i="23"/>
  <c r="CD73" i="6" s="1"/>
  <c r="AA73" i="23"/>
  <c r="Z73" i="23" s="1"/>
  <c r="Y73" i="23" s="1"/>
  <c r="H73" i="23"/>
  <c r="H45" i="23"/>
  <c r="AA45" i="23"/>
  <c r="Z45" i="23" s="1"/>
  <c r="Y45" i="23" s="1"/>
  <c r="G45" i="23"/>
  <c r="CD45" i="6" s="1"/>
  <c r="AA20" i="23"/>
  <c r="Z20" i="23" s="1"/>
  <c r="Y20" i="23" s="1"/>
  <c r="H20" i="23"/>
  <c r="G20" i="23"/>
  <c r="CD20" i="6" s="1"/>
  <c r="H295" i="23"/>
  <c r="G295" i="23"/>
  <c r="CD295" i="6" s="1"/>
  <c r="AA295" i="23"/>
  <c r="Z295" i="23" s="1"/>
  <c r="Y295" i="23" s="1"/>
  <c r="AA275" i="23"/>
  <c r="Z275" i="23" s="1"/>
  <c r="Y275" i="23" s="1"/>
  <c r="H275" i="23"/>
  <c r="G275" i="23"/>
  <c r="CD275" i="6" s="1"/>
  <c r="AA231" i="23"/>
  <c r="Z231" i="23" s="1"/>
  <c r="Y231" i="23" s="1"/>
  <c r="G231" i="23"/>
  <c r="CD231" i="6" s="1"/>
  <c r="H231" i="23"/>
  <c r="H104" i="23"/>
  <c r="G104" i="23"/>
  <c r="CD104" i="6" s="1"/>
  <c r="H235" i="23"/>
  <c r="AA235" i="23"/>
  <c r="Z235" i="23" s="1"/>
  <c r="Y235" i="23" s="1"/>
  <c r="G235" i="23"/>
  <c r="CD235" i="6" s="1"/>
  <c r="AA207" i="23"/>
  <c r="Z207" i="23" s="1"/>
  <c r="Y207" i="23" s="1"/>
  <c r="G207" i="23"/>
  <c r="CD207" i="6" s="1"/>
  <c r="H207" i="23"/>
  <c r="AA91" i="23"/>
  <c r="Z91" i="23" s="1"/>
  <c r="Y91" i="23" s="1"/>
  <c r="H91" i="23"/>
  <c r="G91" i="23"/>
  <c r="CD91" i="6" s="1"/>
  <c r="G252" i="23"/>
  <c r="CD252" i="6" s="1"/>
  <c r="H252" i="23"/>
  <c r="AA252" i="23"/>
  <c r="Z252" i="23" s="1"/>
  <c r="Y252" i="23" s="1"/>
  <c r="AA262" i="23"/>
  <c r="Z262" i="23" s="1"/>
  <c r="Y262" i="23" s="1"/>
  <c r="H262" i="23"/>
  <c r="G262" i="23"/>
  <c r="CD262" i="6" s="1"/>
  <c r="AA290" i="23"/>
  <c r="Z290" i="23" s="1"/>
  <c r="Y290" i="23" s="1"/>
  <c r="G290" i="23"/>
  <c r="CD290" i="6" s="1"/>
  <c r="H290" i="23"/>
  <c r="H277" i="23"/>
  <c r="AA277" i="23"/>
  <c r="Z277" i="23" s="1"/>
  <c r="Y277" i="23" s="1"/>
  <c r="G277" i="23"/>
  <c r="CD277" i="6" s="1"/>
  <c r="H99" i="23"/>
  <c r="G99" i="23"/>
  <c r="CD99" i="6" s="1"/>
  <c r="AA99" i="23"/>
  <c r="Z99" i="23" s="1"/>
  <c r="Y99" i="23" s="1"/>
  <c r="G146" i="23"/>
  <c r="CD146" i="6" s="1"/>
  <c r="AA146" i="23"/>
  <c r="Z146" i="23" s="1"/>
  <c r="Y146" i="23" s="1"/>
  <c r="H146" i="23"/>
  <c r="H239" i="23"/>
  <c r="AA239" i="23"/>
  <c r="Z239" i="23" s="1"/>
  <c r="Y239" i="23" s="1"/>
  <c r="G239" i="23"/>
  <c r="CD239" i="6" s="1"/>
  <c r="H323" i="23"/>
  <c r="G323" i="23"/>
  <c r="CD323" i="6" s="1"/>
  <c r="AA323" i="23"/>
  <c r="Z323" i="23" s="1"/>
  <c r="Y323" i="23" s="1"/>
  <c r="H213" i="23"/>
  <c r="G213" i="23"/>
  <c r="CD213" i="6" s="1"/>
  <c r="AA213" i="23"/>
  <c r="Z213" i="23" s="1"/>
  <c r="Y213" i="23" s="1"/>
  <c r="G216" i="23"/>
  <c r="CD216" i="6" s="1"/>
  <c r="AA216" i="23"/>
  <c r="Z216" i="23" s="1"/>
  <c r="Y216" i="23" s="1"/>
  <c r="H216" i="23"/>
  <c r="D29" i="23"/>
  <c r="E29" i="23" s="1"/>
  <c r="F29" i="23" s="1"/>
  <c r="W29" i="23"/>
  <c r="G253" i="23"/>
  <c r="CD253" i="6" s="1"/>
  <c r="H253" i="23"/>
  <c r="AA253" i="23"/>
  <c r="Z253" i="23" s="1"/>
  <c r="Y253" i="23" s="1"/>
  <c r="H72" i="23"/>
  <c r="AA72" i="23"/>
  <c r="Z72" i="23" s="1"/>
  <c r="Y72" i="23" s="1"/>
  <c r="G72" i="23"/>
  <c r="CD72" i="6" s="1"/>
  <c r="G96" i="23"/>
  <c r="CD96" i="6" s="1"/>
  <c r="H96" i="23"/>
  <c r="AA96" i="23"/>
  <c r="Z96" i="23" s="1"/>
  <c r="Y96" i="23" s="1"/>
  <c r="AA42" i="23"/>
  <c r="Z42" i="23" s="1"/>
  <c r="Y42" i="23" s="1"/>
  <c r="G42" i="23"/>
  <c r="CD42" i="6" s="1"/>
  <c r="H42" i="23"/>
  <c r="G110" i="23"/>
  <c r="CD110" i="6" s="1"/>
  <c r="AA110" i="23"/>
  <c r="Z110" i="23" s="1"/>
  <c r="Y110" i="23" s="1"/>
  <c r="H110" i="23"/>
  <c r="G336" i="23"/>
  <c r="CD336" i="6" s="1"/>
  <c r="AA336" i="23"/>
  <c r="Z336" i="23" s="1"/>
  <c r="Y336" i="23" s="1"/>
  <c r="H336" i="23"/>
  <c r="AA103" i="23"/>
  <c r="Z103" i="23" s="1"/>
  <c r="Y103" i="23" s="1"/>
  <c r="H103" i="23"/>
  <c r="G103" i="23"/>
  <c r="CD103" i="6" s="1"/>
  <c r="G30" i="23"/>
  <c r="CD30" i="6" s="1"/>
  <c r="AA30" i="23"/>
  <c r="Z30" i="23" s="1"/>
  <c r="Y30" i="23" s="1"/>
  <c r="H30" i="23"/>
  <c r="G332" i="23"/>
  <c r="CD332" i="6" s="1"/>
  <c r="AA332" i="23"/>
  <c r="Z332" i="23" s="1"/>
  <c r="Y332" i="23" s="1"/>
  <c r="H332" i="23"/>
  <c r="AA341" i="23"/>
  <c r="Z341" i="23" s="1"/>
  <c r="Y341" i="23" s="1"/>
  <c r="G341" i="23"/>
  <c r="CD341" i="6" s="1"/>
  <c r="H341" i="23"/>
  <c r="AA238" i="23"/>
  <c r="Z238" i="23" s="1"/>
  <c r="Y238" i="23" s="1"/>
  <c r="G238" i="23"/>
  <c r="CD238" i="6" s="1"/>
  <c r="H238" i="23"/>
  <c r="AA303" i="23"/>
  <c r="Z303" i="23" s="1"/>
  <c r="Y303" i="23" s="1"/>
  <c r="H303" i="23"/>
  <c r="G303" i="23"/>
  <c r="CD303" i="6" s="1"/>
  <c r="AA287" i="23"/>
  <c r="Z287" i="23" s="1"/>
  <c r="Y287" i="23" s="1"/>
  <c r="H287" i="23"/>
  <c r="G287" i="23"/>
  <c r="CD287" i="6" s="1"/>
  <c r="AA35" i="23"/>
  <c r="Z35" i="23" s="1"/>
  <c r="Y35" i="23" s="1"/>
  <c r="G35" i="23"/>
  <c r="CD35" i="6" s="1"/>
  <c r="H35" i="23"/>
  <c r="AA242" i="23"/>
  <c r="Z242" i="23" s="1"/>
  <c r="Y242" i="23" s="1"/>
  <c r="G242" i="23"/>
  <c r="CD242" i="6" s="1"/>
  <c r="H242" i="23"/>
  <c r="G344" i="23"/>
  <c r="CD344" i="6" s="1"/>
  <c r="AA344" i="23"/>
  <c r="Z344" i="23" s="1"/>
  <c r="Y344" i="23" s="1"/>
  <c r="H344" i="23"/>
  <c r="AA124" i="23"/>
  <c r="Z124" i="23" s="1"/>
  <c r="Y124" i="23" s="1"/>
  <c r="G124" i="23"/>
  <c r="CD124" i="6" s="1"/>
  <c r="H124" i="23"/>
  <c r="G92" i="23"/>
  <c r="CD92" i="6" s="1"/>
  <c r="AA92" i="23"/>
  <c r="Z92" i="23" s="1"/>
  <c r="Y92" i="23" s="1"/>
  <c r="H92" i="23"/>
  <c r="AA229" i="23"/>
  <c r="Z229" i="23" s="1"/>
  <c r="Y229" i="23" s="1"/>
  <c r="G229" i="23"/>
  <c r="CD229" i="6" s="1"/>
  <c r="H229" i="23"/>
  <c r="H250" i="23"/>
  <c r="AA250" i="23"/>
  <c r="Z250" i="23" s="1"/>
  <c r="Y250" i="23" s="1"/>
  <c r="G250" i="23"/>
  <c r="CD250" i="6" s="1"/>
  <c r="G343" i="23"/>
  <c r="CD343" i="6" s="1"/>
  <c r="H343" i="23"/>
  <c r="AA343" i="23"/>
  <c r="Z343" i="23" s="1"/>
  <c r="Y343" i="23" s="1"/>
  <c r="G26" i="23"/>
  <c r="CD26" i="6" s="1"/>
  <c r="AA26" i="23"/>
  <c r="Z26" i="23" s="1"/>
  <c r="Y26" i="23" s="1"/>
  <c r="H26" i="23"/>
  <c r="AA80" i="23"/>
  <c r="Z80" i="23" s="1"/>
  <c r="Y80" i="23" s="1"/>
  <c r="H80" i="23"/>
  <c r="G80" i="23"/>
  <c r="CD80" i="6" s="1"/>
  <c r="G266" i="23"/>
  <c r="CD266" i="6" s="1"/>
  <c r="AA266" i="23"/>
  <c r="Z266" i="23" s="1"/>
  <c r="Y266" i="23" s="1"/>
  <c r="H266" i="23"/>
  <c r="AA234" i="23"/>
  <c r="Z234" i="23" s="1"/>
  <c r="Y234" i="23" s="1"/>
  <c r="G234" i="23"/>
  <c r="CD234" i="6" s="1"/>
  <c r="H234" i="23"/>
  <c r="AA334" i="23"/>
  <c r="Z334" i="23" s="1"/>
  <c r="Y334" i="23" s="1"/>
  <c r="H334" i="23"/>
  <c r="G334" i="23"/>
  <c r="CD334" i="6" s="1"/>
  <c r="G54" i="23"/>
  <c r="CD54" i="6" s="1"/>
  <c r="H54" i="23"/>
  <c r="AA54" i="23"/>
  <c r="Z54" i="23" s="1"/>
  <c r="Y54" i="23" s="1"/>
  <c r="G273" i="23"/>
  <c r="CD273" i="6" s="1"/>
  <c r="H273" i="23"/>
  <c r="AA273" i="23"/>
  <c r="Z273" i="23" s="1"/>
  <c r="Y273" i="23" s="1"/>
  <c r="D333" i="23"/>
  <c r="E333" i="23" s="1"/>
  <c r="F333" i="23" s="1"/>
  <c r="W333" i="23"/>
  <c r="G170" i="23"/>
  <c r="CD170" i="6" s="1"/>
  <c r="AA170" i="23"/>
  <c r="Z170" i="23" s="1"/>
  <c r="Y170" i="23" s="1"/>
  <c r="H170" i="23"/>
  <c r="G40" i="23"/>
  <c r="CD40" i="6" s="1"/>
  <c r="H40" i="23"/>
  <c r="AA40" i="23"/>
  <c r="Z40" i="23" s="1"/>
  <c r="Y40" i="23" s="1"/>
  <c r="G353" i="23"/>
  <c r="CD353" i="6" s="1"/>
  <c r="AA353" i="23"/>
  <c r="Z353" i="23" s="1"/>
  <c r="Y353" i="23" s="1"/>
  <c r="H353" i="23"/>
  <c r="H162" i="23"/>
  <c r="AA162" i="23"/>
  <c r="Z162" i="23" s="1"/>
  <c r="Y162" i="23" s="1"/>
  <c r="G162" i="23"/>
  <c r="CD162" i="6" s="1"/>
  <c r="AA214" i="23"/>
  <c r="Z214" i="23" s="1"/>
  <c r="Y214" i="23" s="1"/>
  <c r="G214" i="23"/>
  <c r="CD214" i="6" s="1"/>
  <c r="H214" i="23"/>
  <c r="H112" i="23"/>
  <c r="AA112" i="23"/>
  <c r="Z112" i="23" s="1"/>
  <c r="Y112" i="23" s="1"/>
  <c r="G112" i="23"/>
  <c r="CD112" i="6" s="1"/>
  <c r="G342" i="23"/>
  <c r="CD342" i="6" s="1"/>
  <c r="AA342" i="23"/>
  <c r="Z342" i="23" s="1"/>
  <c r="Y342" i="23" s="1"/>
  <c r="H342" i="23"/>
  <c r="AA232" i="23"/>
  <c r="Z232" i="23" s="1"/>
  <c r="Y232" i="23" s="1"/>
  <c r="G232" i="23"/>
  <c r="CD232" i="6" s="1"/>
  <c r="H232" i="23"/>
  <c r="AA147" i="23"/>
  <c r="Z147" i="23" s="1"/>
  <c r="Y147" i="23" s="1"/>
  <c r="G147" i="23"/>
  <c r="CD147" i="6" s="1"/>
  <c r="H147" i="23"/>
  <c r="AA203" i="23"/>
  <c r="Z203" i="23" s="1"/>
  <c r="Y203" i="23" s="1"/>
  <c r="H203" i="23"/>
  <c r="G203" i="23"/>
  <c r="CD203" i="6" s="1"/>
  <c r="H355" i="23"/>
  <c r="AA355" i="23"/>
  <c r="Z355" i="23" s="1"/>
  <c r="Y355" i="23" s="1"/>
  <c r="G355" i="23"/>
  <c r="CD355" i="6" s="1"/>
  <c r="G16" i="23"/>
  <c r="CD16" i="6" s="1"/>
  <c r="H16" i="23"/>
  <c r="AA16" i="23"/>
  <c r="Z16" i="23" s="1"/>
  <c r="Y16" i="23" s="1"/>
  <c r="G133" i="23"/>
  <c r="CD133" i="6" s="1"/>
  <c r="H133" i="23"/>
  <c r="AA133" i="23"/>
  <c r="Z133" i="23" s="1"/>
  <c r="Y133" i="23" s="1"/>
  <c r="AA191" i="23"/>
  <c r="Z191" i="23" s="1"/>
  <c r="Y191" i="23" s="1"/>
  <c r="H191" i="23"/>
  <c r="G191" i="23"/>
  <c r="CD191" i="6" s="1"/>
  <c r="H366" i="23"/>
  <c r="AA366" i="23"/>
  <c r="Z366" i="23" s="1"/>
  <c r="Y366" i="23" s="1"/>
  <c r="G366" i="23"/>
  <c r="CD366" i="6" s="1"/>
  <c r="G224" i="23"/>
  <c r="CD224" i="6" s="1"/>
  <c r="H224" i="23"/>
  <c r="AA224" i="23"/>
  <c r="Z224" i="23" s="1"/>
  <c r="Y224" i="23" s="1"/>
  <c r="AA31" i="23"/>
  <c r="Z31" i="23" s="1"/>
  <c r="Y31" i="23" s="1"/>
  <c r="H31" i="23"/>
  <c r="G31" i="23"/>
  <c r="CD31" i="6" s="1"/>
  <c r="G187" i="23"/>
  <c r="CD187" i="6" s="1"/>
  <c r="AA187" i="23"/>
  <c r="Z187" i="23" s="1"/>
  <c r="Y187" i="23" s="1"/>
  <c r="H187" i="23"/>
  <c r="G118" i="23"/>
  <c r="CD118" i="6" s="1"/>
  <c r="H118" i="23"/>
  <c r="AA118" i="23"/>
  <c r="Z118" i="23" s="1"/>
  <c r="Y118" i="23" s="1"/>
  <c r="G263" i="23"/>
  <c r="CD263" i="6" s="1"/>
  <c r="H263" i="23"/>
  <c r="AA263" i="23"/>
  <c r="Z263" i="23" s="1"/>
  <c r="Y263" i="23" s="1"/>
  <c r="H198" i="23"/>
  <c r="AA198" i="23"/>
  <c r="Z198" i="23" s="1"/>
  <c r="Y198" i="23" s="1"/>
  <c r="G198" i="23"/>
  <c r="CD198" i="6" s="1"/>
  <c r="AA48" i="23"/>
  <c r="Z48" i="23" s="1"/>
  <c r="Y48" i="23" s="1"/>
  <c r="G48" i="23"/>
  <c r="CD48" i="6" s="1"/>
  <c r="H48" i="23"/>
  <c r="G371" i="23"/>
  <c r="CD371" i="6" s="1"/>
  <c r="AA371" i="23"/>
  <c r="Z371" i="23" s="1"/>
  <c r="Y371" i="23" s="1"/>
  <c r="H371" i="23"/>
  <c r="H34" i="23"/>
  <c r="G34" i="23"/>
  <c r="CD34" i="6" s="1"/>
  <c r="AA34" i="23"/>
  <c r="Z34" i="23" s="1"/>
  <c r="Y34" i="23" s="1"/>
  <c r="H339" i="23"/>
  <c r="AA339" i="23"/>
  <c r="Z339" i="23" s="1"/>
  <c r="Y339" i="23" s="1"/>
  <c r="G339" i="23"/>
  <c r="CD339" i="6" s="1"/>
  <c r="AA157" i="23"/>
  <c r="Z157" i="23" s="1"/>
  <c r="Y157" i="23" s="1"/>
  <c r="H157" i="23"/>
  <c r="G157" i="23"/>
  <c r="CD157" i="6" s="1"/>
  <c r="W363" i="23"/>
  <c r="D363" i="23"/>
  <c r="E363" i="23" s="1"/>
  <c r="F363" i="23" s="1"/>
  <c r="AA351" i="23"/>
  <c r="Z351" i="23" s="1"/>
  <c r="Y351" i="23" s="1"/>
  <c r="G351" i="23"/>
  <c r="CD351" i="6" s="1"/>
  <c r="H351" i="23"/>
  <c r="H51" i="23"/>
  <c r="G51" i="23"/>
  <c r="CD51" i="6" s="1"/>
  <c r="K68" i="19"/>
  <c r="J68" i="19"/>
  <c r="AA185" i="23"/>
  <c r="Z185" i="23" s="1"/>
  <c r="Y185" i="23" s="1"/>
  <c r="G185" i="23"/>
  <c r="CD185" i="6" s="1"/>
  <c r="H185" i="23"/>
  <c r="H39" i="23"/>
  <c r="G39" i="23"/>
  <c r="CD39" i="6" s="1"/>
  <c r="AA39" i="23"/>
  <c r="Z39" i="23" s="1"/>
  <c r="Y39" i="23" s="1"/>
  <c r="AA109" i="23"/>
  <c r="Z109" i="23" s="1"/>
  <c r="Y109" i="23" s="1"/>
  <c r="G109" i="23"/>
  <c r="CD109" i="6" s="1"/>
  <c r="H109" i="23"/>
  <c r="G317" i="23"/>
  <c r="CD317" i="6" s="1"/>
  <c r="H317" i="23"/>
  <c r="AA317" i="23"/>
  <c r="Z317" i="23" s="1"/>
  <c r="Y317" i="23" s="1"/>
  <c r="G24" i="23"/>
  <c r="CD24" i="6" s="1"/>
  <c r="AA24" i="23"/>
  <c r="Z24" i="23" s="1"/>
  <c r="Y24" i="23" s="1"/>
  <c r="H24" i="23"/>
  <c r="AA108" i="23"/>
  <c r="Z108" i="23" s="1"/>
  <c r="Y108" i="23" s="1"/>
  <c r="H108" i="23"/>
  <c r="G108" i="23"/>
  <c r="CD108" i="6" s="1"/>
  <c r="G193" i="23"/>
  <c r="CD193" i="6" s="1"/>
  <c r="H193" i="23"/>
  <c r="AA193" i="23"/>
  <c r="Z193" i="23" s="1"/>
  <c r="Y193" i="23" s="1"/>
  <c r="AA316" i="23"/>
  <c r="Z316" i="23" s="1"/>
  <c r="Y316" i="23" s="1"/>
  <c r="H316" i="23"/>
  <c r="G316" i="23"/>
  <c r="CD316" i="6" s="1"/>
  <c r="H142" i="23"/>
  <c r="G142" i="23"/>
  <c r="CD142" i="6" s="1"/>
  <c r="AA142" i="23"/>
  <c r="Z142" i="23" s="1"/>
  <c r="Y142" i="23" s="1"/>
  <c r="AA237" i="23"/>
  <c r="Z237" i="23" s="1"/>
  <c r="Y237" i="23" s="1"/>
  <c r="G237" i="23"/>
  <c r="CD237" i="6" s="1"/>
  <c r="H237" i="23"/>
  <c r="H62" i="23"/>
  <c r="AA62" i="23"/>
  <c r="Z62" i="23" s="1"/>
  <c r="Y62" i="23" s="1"/>
  <c r="G62" i="23"/>
  <c r="CD62" i="6" s="1"/>
  <c r="AA64" i="23"/>
  <c r="Z64" i="23" s="1"/>
  <c r="Y64" i="23" s="1"/>
  <c r="G64" i="23"/>
  <c r="CD64" i="6" s="1"/>
  <c r="H64" i="23"/>
  <c r="AA225" i="23"/>
  <c r="Z225" i="23" s="1"/>
  <c r="Y225" i="23" s="1"/>
  <c r="G225" i="23"/>
  <c r="CD225" i="6" s="1"/>
  <c r="H225" i="23"/>
  <c r="H139" i="23"/>
  <c r="G139" i="23"/>
  <c r="CD139" i="6" s="1"/>
  <c r="AA139" i="23"/>
  <c r="Z139" i="23" s="1"/>
  <c r="Y139" i="23" s="1"/>
  <c r="G21" i="23"/>
  <c r="CD21" i="6" s="1"/>
  <c r="H21" i="23"/>
  <c r="AA21" i="23"/>
  <c r="Z21" i="23" s="1"/>
  <c r="Y21" i="23" s="1"/>
  <c r="G153" i="23"/>
  <c r="CD153" i="6" s="1"/>
  <c r="AA153" i="23"/>
  <c r="Z153" i="23" s="1"/>
  <c r="Y153" i="23" s="1"/>
  <c r="H153" i="23"/>
  <c r="AA94" i="23"/>
  <c r="Z94" i="23" s="1"/>
  <c r="Y94" i="23" s="1"/>
  <c r="H94" i="23"/>
  <c r="G94" i="23"/>
  <c r="CD94" i="6" s="1"/>
  <c r="H304" i="23"/>
  <c r="G304" i="23"/>
  <c r="CD304" i="6" s="1"/>
  <c r="AA304" i="23"/>
  <c r="Z304" i="23" s="1"/>
  <c r="Y304" i="23" s="1"/>
  <c r="G76" i="23"/>
  <c r="CD76" i="6" s="1"/>
  <c r="AA76" i="23"/>
  <c r="Z76" i="23" s="1"/>
  <c r="Y76" i="23" s="1"/>
  <c r="H76" i="23"/>
  <c r="AA85" i="23"/>
  <c r="Z85" i="23" s="1"/>
  <c r="Y85" i="23" s="1"/>
  <c r="G85" i="23"/>
  <c r="CD85" i="6" s="1"/>
  <c r="H85" i="23"/>
  <c r="B88" i="23"/>
  <c r="D68" i="19"/>
  <c r="AA90" i="23"/>
  <c r="Z90" i="23" s="1"/>
  <c r="Y90" i="23" s="1"/>
  <c r="H90" i="23"/>
  <c r="G90" i="23"/>
  <c r="CD90" i="6" s="1"/>
  <c r="H236" i="23"/>
  <c r="AA236" i="23"/>
  <c r="Z236" i="23" s="1"/>
  <c r="Y236" i="23" s="1"/>
  <c r="G236" i="23"/>
  <c r="CD236" i="6" s="1"/>
  <c r="H87" i="23"/>
  <c r="G87" i="23"/>
  <c r="CD87" i="6" s="1"/>
  <c r="AA87" i="23"/>
  <c r="Z87" i="23" s="1"/>
  <c r="Y87" i="23" s="1"/>
  <c r="H372" i="23"/>
  <c r="AA372" i="23"/>
  <c r="Z372" i="23" s="1"/>
  <c r="Y372" i="23" s="1"/>
  <c r="G372" i="23"/>
  <c r="CD372" i="6" s="1"/>
  <c r="B60" i="23"/>
  <c r="AK5" i="23" s="1"/>
  <c r="C68" i="19"/>
  <c r="H251" i="23"/>
  <c r="AA251" i="23"/>
  <c r="Z251" i="23" s="1"/>
  <c r="Y251" i="23" s="1"/>
  <c r="G251" i="23"/>
  <c r="CD251" i="6" s="1"/>
  <c r="H240" i="23"/>
  <c r="AA240" i="23"/>
  <c r="Z240" i="23" s="1"/>
  <c r="Y240" i="23" s="1"/>
  <c r="G240" i="23"/>
  <c r="CD240" i="6" s="1"/>
  <c r="H19" i="23"/>
  <c r="AA19" i="23"/>
  <c r="Z19" i="23" s="1"/>
  <c r="Y19" i="23" s="1"/>
  <c r="G19" i="23"/>
  <c r="CD19" i="6" s="1"/>
  <c r="AY15" i="7"/>
  <c r="Q10" i="24"/>
  <c r="Q262" i="24" s="1"/>
  <c r="P262" i="24" s="1"/>
  <c r="V262" i="24" s="1"/>
  <c r="B262" i="24" s="1"/>
  <c r="AA255" i="23"/>
  <c r="Z255" i="23" s="1"/>
  <c r="Y255" i="23" s="1"/>
  <c r="G255" i="23"/>
  <c r="CD255" i="6" s="1"/>
  <c r="H255" i="23"/>
  <c r="G137" i="23"/>
  <c r="CD137" i="6" s="1"/>
  <c r="H137" i="23"/>
  <c r="AA137" i="23"/>
  <c r="Z137" i="23" s="1"/>
  <c r="Y137" i="23" s="1"/>
  <c r="H376" i="23"/>
  <c r="AA376" i="23"/>
  <c r="Z376" i="23" s="1"/>
  <c r="Y376" i="23" s="1"/>
  <c r="G376" i="23"/>
  <c r="CD376" i="6" s="1"/>
  <c r="H168" i="23"/>
  <c r="AA168" i="23"/>
  <c r="Z168" i="23" s="1"/>
  <c r="Y168" i="23" s="1"/>
  <c r="G168" i="23"/>
  <c r="CD168" i="6" s="1"/>
  <c r="G161" i="23"/>
  <c r="CD161" i="6" s="1"/>
  <c r="AA161" i="23"/>
  <c r="Z161" i="23" s="1"/>
  <c r="Y161" i="23" s="1"/>
  <c r="H161" i="23"/>
  <c r="H369" i="23"/>
  <c r="G369" i="23"/>
  <c r="CD369" i="6" s="1"/>
  <c r="AA369" i="23"/>
  <c r="Z369" i="23" s="1"/>
  <c r="Y369" i="23" s="1"/>
  <c r="H244" i="23"/>
  <c r="G244" i="23"/>
  <c r="CD244" i="6" s="1"/>
  <c r="AA244" i="23"/>
  <c r="Z244" i="23" s="1"/>
  <c r="Y244" i="23" s="1"/>
  <c r="G150" i="23"/>
  <c r="CD150" i="6" s="1"/>
  <c r="AA150" i="23"/>
  <c r="Z150" i="23" s="1"/>
  <c r="Y150" i="23" s="1"/>
  <c r="H150" i="23"/>
  <c r="G269" i="23"/>
  <c r="CD269" i="6" s="1"/>
  <c r="AA269" i="23"/>
  <c r="Z269" i="23" s="1"/>
  <c r="Y269" i="23" s="1"/>
  <c r="H269" i="23"/>
  <c r="G86" i="23"/>
  <c r="CD86" i="6" s="1"/>
  <c r="AA86" i="23"/>
  <c r="Z86" i="23" s="1"/>
  <c r="Y86" i="23" s="1"/>
  <c r="H86" i="23"/>
  <c r="G215" i="23"/>
  <c r="CD215" i="6" s="1"/>
  <c r="AA215" i="23"/>
  <c r="Z215" i="23" s="1"/>
  <c r="Y215" i="23" s="1"/>
  <c r="H215" i="23"/>
  <c r="H259" i="23"/>
  <c r="G259" i="23"/>
  <c r="CD259" i="6" s="1"/>
  <c r="AA259" i="23"/>
  <c r="Z259" i="23" s="1"/>
  <c r="Y259" i="23" s="1"/>
  <c r="H327" i="23"/>
  <c r="AA327" i="23"/>
  <c r="Z327" i="23" s="1"/>
  <c r="Y327" i="23" s="1"/>
  <c r="G327" i="23"/>
  <c r="CD327" i="6" s="1"/>
  <c r="H67" i="23"/>
  <c r="G67" i="23"/>
  <c r="CD67" i="6" s="1"/>
  <c r="AA67" i="23"/>
  <c r="Z67" i="23" s="1"/>
  <c r="Y67" i="23" s="1"/>
  <c r="G136" i="23"/>
  <c r="CD136" i="6" s="1"/>
  <c r="H136" i="23"/>
  <c r="AA136" i="23"/>
  <c r="Z136" i="23" s="1"/>
  <c r="Y136" i="23" s="1"/>
  <c r="G134" i="23"/>
  <c r="CD134" i="6" s="1"/>
  <c r="AA134" i="23"/>
  <c r="Z134" i="23" s="1"/>
  <c r="Y134" i="23" s="1"/>
  <c r="H134" i="23"/>
  <c r="G77" i="23"/>
  <c r="CD77" i="6" s="1"/>
  <c r="H77" i="23"/>
  <c r="AA77" i="23"/>
  <c r="Z77" i="23" s="1"/>
  <c r="Y77" i="23" s="1"/>
  <c r="AA184" i="23"/>
  <c r="Z184" i="23" s="1"/>
  <c r="Y184" i="23" s="1"/>
  <c r="G184" i="23"/>
  <c r="CD184" i="6" s="1"/>
  <c r="H184" i="23"/>
  <c r="AA374" i="23"/>
  <c r="Z374" i="23" s="1"/>
  <c r="Y374" i="23" s="1"/>
  <c r="G374" i="23"/>
  <c r="CD374" i="6" s="1"/>
  <c r="H374" i="23"/>
  <c r="G132" i="23"/>
  <c r="CD132" i="6" s="1"/>
  <c r="H132" i="23"/>
  <c r="AA132" i="23"/>
  <c r="Z132" i="23" s="1"/>
  <c r="Y132" i="23" s="1"/>
  <c r="H98" i="23"/>
  <c r="G98" i="23"/>
  <c r="CD98" i="6" s="1"/>
  <c r="AA98" i="23"/>
  <c r="Z98" i="23" s="1"/>
  <c r="Y98" i="23" s="1"/>
  <c r="H84" i="23"/>
  <c r="G84" i="23"/>
  <c r="CD84" i="6" s="1"/>
  <c r="AA84" i="23"/>
  <c r="Z84" i="23" s="1"/>
  <c r="Y84" i="23" s="1"/>
  <c r="H83" i="23"/>
  <c r="G83" i="23"/>
  <c r="CD83" i="6" s="1"/>
  <c r="AA83" i="23"/>
  <c r="Z83" i="23" s="1"/>
  <c r="Y83" i="23" s="1"/>
  <c r="G56" i="23"/>
  <c r="CD56" i="6" s="1"/>
  <c r="H56" i="23"/>
  <c r="AA56" i="23"/>
  <c r="Z56" i="23" s="1"/>
  <c r="Y56" i="23" s="1"/>
  <c r="AA357" i="23"/>
  <c r="Z357" i="23" s="1"/>
  <c r="Y357" i="23" s="1"/>
  <c r="G357" i="23"/>
  <c r="CD357" i="6" s="1"/>
  <c r="H357" i="23"/>
  <c r="AA143" i="23"/>
  <c r="Z143" i="23" s="1"/>
  <c r="Y143" i="23" s="1"/>
  <c r="G143" i="23"/>
  <c r="CD143" i="6" s="1"/>
  <c r="H143" i="23"/>
  <c r="G128" i="23"/>
  <c r="CD128" i="6" s="1"/>
  <c r="AA128" i="23"/>
  <c r="Z128" i="23" s="1"/>
  <c r="Y128" i="23" s="1"/>
  <c r="H128" i="23"/>
  <c r="H221" i="23"/>
  <c r="G221" i="23"/>
  <c r="CD221" i="6" s="1"/>
  <c r="AA221" i="23"/>
  <c r="Z221" i="23" s="1"/>
  <c r="Y221" i="23" s="1"/>
  <c r="H23" i="23"/>
  <c r="G23" i="23"/>
  <c r="CD23" i="6" s="1"/>
  <c r="AA23" i="23"/>
  <c r="Z23" i="23" s="1"/>
  <c r="Y23" i="23" s="1"/>
  <c r="G313" i="23"/>
  <c r="CD313" i="6" s="1"/>
  <c r="H313" i="23"/>
  <c r="AA313" i="23"/>
  <c r="Z313" i="23" s="1"/>
  <c r="Y313" i="23" s="1"/>
  <c r="I340" i="23"/>
  <c r="I377" i="23"/>
  <c r="J75" i="23"/>
  <c r="C16" i="19"/>
  <c r="F40" i="19"/>
  <c r="AM9" i="20"/>
  <c r="AK9" i="20"/>
  <c r="AK11" i="20" s="1"/>
  <c r="AI210" i="25"/>
  <c r="AH210" i="25" s="1"/>
  <c r="AG210" i="25" s="1"/>
  <c r="AF210" i="25" s="1"/>
  <c r="AI332" i="25"/>
  <c r="AH332" i="25" s="1"/>
  <c r="AG332" i="25" s="1"/>
  <c r="AF332" i="25" s="1"/>
  <c r="AI115" i="25"/>
  <c r="AH115" i="25" s="1"/>
  <c r="AI237" i="25"/>
  <c r="AH237" i="25" s="1"/>
  <c r="AG237" i="25" s="1"/>
  <c r="AF237" i="25" s="1"/>
  <c r="AI174" i="25"/>
  <c r="AH174" i="25" s="1"/>
  <c r="AI328" i="25"/>
  <c r="AH328" i="25" s="1"/>
  <c r="AG328" i="25" s="1"/>
  <c r="AF328" i="25" s="1"/>
  <c r="AI217" i="25"/>
  <c r="AH217" i="25" s="1"/>
  <c r="AG217" i="25" s="1"/>
  <c r="AF217" i="25" s="1"/>
  <c r="AI363" i="25"/>
  <c r="AH363" i="25" s="1"/>
  <c r="AG363" i="25" s="1"/>
  <c r="AF363" i="25" s="1"/>
  <c r="AI154" i="25"/>
  <c r="AH154" i="25" s="1"/>
  <c r="AI308" i="25"/>
  <c r="AH308" i="25" s="1"/>
  <c r="AG308" i="25" s="1"/>
  <c r="AF308" i="25" s="1"/>
  <c r="AI213" i="25"/>
  <c r="AH213" i="25" s="1"/>
  <c r="AI246" i="25"/>
  <c r="AH246" i="25" s="1"/>
  <c r="AG246" i="25" s="1"/>
  <c r="AF246" i="25" s="1"/>
  <c r="AI191" i="25"/>
  <c r="AH191" i="25" s="1"/>
  <c r="AI321" i="25"/>
  <c r="AH321" i="25" s="1"/>
  <c r="AG321" i="25" s="1"/>
  <c r="AF321" i="25" s="1"/>
  <c r="AI226" i="25"/>
  <c r="AH226" i="25" s="1"/>
  <c r="AI163" i="25"/>
  <c r="AH163" i="25" s="1"/>
  <c r="AG163" i="25" s="1"/>
  <c r="AF163" i="25" s="1"/>
  <c r="AI338" i="25"/>
  <c r="AH338" i="25" s="1"/>
  <c r="AI243" i="25"/>
  <c r="AH243" i="25" s="1"/>
  <c r="AG243" i="25" s="1"/>
  <c r="AF243" i="25" s="1"/>
  <c r="AI365" i="25"/>
  <c r="AH365" i="25" s="1"/>
  <c r="AG365" i="25" s="1"/>
  <c r="AF365" i="25" s="1"/>
  <c r="AI156" i="25"/>
  <c r="AH156" i="25" s="1"/>
  <c r="AG156" i="25" s="1"/>
  <c r="AF156" i="25" s="1"/>
  <c r="AI302" i="25"/>
  <c r="AH302" i="25" s="1"/>
  <c r="AG302" i="25" s="1"/>
  <c r="AF302" i="25" s="1"/>
  <c r="AI215" i="25"/>
  <c r="AH215" i="25" s="1"/>
  <c r="AG215" i="25" s="1"/>
  <c r="AF215" i="25" s="1"/>
  <c r="AI345" i="25"/>
  <c r="AH345" i="25" s="1"/>
  <c r="AG345" i="25" s="1"/>
  <c r="AF345" i="25" s="1"/>
  <c r="AI120" i="25"/>
  <c r="AH120" i="25" s="1"/>
  <c r="AG120" i="25" s="1"/>
  <c r="AF120" i="25" s="1"/>
  <c r="AI282" i="25"/>
  <c r="AH282" i="25" s="1"/>
  <c r="AG282" i="25" s="1"/>
  <c r="AF282" i="25" s="1"/>
  <c r="AI219" i="25"/>
  <c r="AH219" i="25" s="1"/>
  <c r="AG219" i="25" s="1"/>
  <c r="AF219" i="25" s="1"/>
  <c r="AI341" i="25"/>
  <c r="AH341" i="25" s="1"/>
  <c r="AG341" i="25" s="1"/>
  <c r="AF341" i="25" s="1"/>
  <c r="AI228" i="25"/>
  <c r="AH228" i="25" s="1"/>
  <c r="AG228" i="25" s="1"/>
  <c r="AF228" i="25" s="1"/>
  <c r="AI374" i="25"/>
  <c r="AH374" i="25" s="1"/>
  <c r="AG374" i="25" s="1"/>
  <c r="AF374" i="25" s="1"/>
  <c r="AI165" i="25"/>
  <c r="AH165" i="25" s="1"/>
  <c r="AG165" i="25" s="1"/>
  <c r="AF165" i="25" s="1"/>
  <c r="AI319" i="25"/>
  <c r="AH319" i="25" s="1"/>
  <c r="AG319" i="25" s="1"/>
  <c r="AF319" i="25" s="1"/>
  <c r="AI224" i="25"/>
  <c r="AH224" i="25" s="1"/>
  <c r="AG224" i="25" s="1"/>
  <c r="AF224" i="25" s="1"/>
  <c r="AI354" i="25"/>
  <c r="AH354" i="25" s="1"/>
  <c r="AG354" i="25" s="1"/>
  <c r="AF354" i="25" s="1"/>
  <c r="AI145" i="25"/>
  <c r="AH145" i="25" s="1"/>
  <c r="AG145" i="25" s="1"/>
  <c r="AF145" i="25" s="1"/>
  <c r="AI291" i="25"/>
  <c r="AH291" i="25" s="1"/>
  <c r="AI317" i="25"/>
  <c r="AH317" i="25" s="1"/>
  <c r="AG317" i="25" s="1"/>
  <c r="AF317" i="25" s="1"/>
  <c r="AI222" i="25"/>
  <c r="AH222" i="25" s="1"/>
  <c r="AI344" i="25"/>
  <c r="AH344" i="25" s="1"/>
  <c r="AG344" i="25" s="1"/>
  <c r="AF344" i="25" s="1"/>
  <c r="AI135" i="25"/>
  <c r="AH135" i="25" s="1"/>
  <c r="AI297" i="25"/>
  <c r="AH297" i="25" s="1"/>
  <c r="AG297" i="25" s="1"/>
  <c r="AF297" i="25" s="1"/>
  <c r="AI202" i="25"/>
  <c r="AH202" i="25" s="1"/>
  <c r="AG202" i="25" s="1"/>
  <c r="AF202" i="25" s="1"/>
  <c r="AI324" i="25"/>
  <c r="AH324" i="25" s="1"/>
  <c r="AG324" i="25" s="1"/>
  <c r="AF324" i="25" s="1"/>
  <c r="AI107" i="25"/>
  <c r="AH107" i="25" s="1"/>
  <c r="AG107" i="25" s="1"/>
  <c r="AF107" i="25" s="1"/>
  <c r="AI261" i="25"/>
  <c r="AH261" i="25" s="1"/>
  <c r="AG261" i="25" s="1"/>
  <c r="AF261" i="25" s="1"/>
  <c r="AI198" i="25"/>
  <c r="AH198" i="25" s="1"/>
  <c r="AG198" i="25" s="1"/>
  <c r="AF198" i="25" s="1"/>
  <c r="AI320" i="25"/>
  <c r="AH320" i="25" s="1"/>
  <c r="AG320" i="25" s="1"/>
  <c r="AF320" i="25" s="1"/>
  <c r="AI207" i="25"/>
  <c r="AH207" i="25" s="1"/>
  <c r="AG207" i="25" s="1"/>
  <c r="AF207" i="25" s="1"/>
  <c r="AI369" i="25"/>
  <c r="AH369" i="25" s="1"/>
  <c r="AG369" i="25" s="1"/>
  <c r="AF369" i="25" s="1"/>
  <c r="AI144" i="25"/>
  <c r="AH144" i="25" s="1"/>
  <c r="AI306" i="25"/>
  <c r="AH306" i="25" s="1"/>
  <c r="AG306" i="25" s="1"/>
  <c r="AF306" i="25" s="1"/>
  <c r="AI211" i="25"/>
  <c r="AH211" i="25" s="1"/>
  <c r="AI333" i="25"/>
  <c r="AH333" i="25" s="1"/>
  <c r="AG333" i="25" s="1"/>
  <c r="AF333" i="25" s="1"/>
  <c r="AI124" i="25"/>
  <c r="AH124" i="25" s="1"/>
  <c r="AG124" i="25" s="1"/>
  <c r="AF124" i="25" s="1"/>
  <c r="AI270" i="25"/>
  <c r="AH270" i="25" s="1"/>
  <c r="AG270" i="25" s="1"/>
  <c r="AF270" i="25" s="1"/>
  <c r="AI204" i="25"/>
  <c r="AH204" i="25" s="1"/>
  <c r="AG204" i="25" s="1"/>
  <c r="AF204" i="25" s="1"/>
  <c r="AI350" i="25"/>
  <c r="AH350" i="25" s="1"/>
  <c r="AG350" i="25" s="1"/>
  <c r="AF350" i="25" s="1"/>
  <c r="AI109" i="25"/>
  <c r="AH109" i="25" s="1"/>
  <c r="AG109" i="25" s="1"/>
  <c r="AF109" i="25" s="1"/>
  <c r="AI263" i="25"/>
  <c r="AH263" i="25" s="1"/>
  <c r="AG263" i="25" s="1"/>
  <c r="AF263" i="25" s="1"/>
  <c r="AI200" i="25"/>
  <c r="AH200" i="25" s="1"/>
  <c r="AG200" i="25" s="1"/>
  <c r="AF200" i="25" s="1"/>
  <c r="AI330" i="25"/>
  <c r="AH330" i="25" s="1"/>
  <c r="AG330" i="25" s="1"/>
  <c r="AF330" i="25" s="1"/>
  <c r="AI235" i="25"/>
  <c r="AH235" i="25" s="1"/>
  <c r="AG235" i="25" s="1"/>
  <c r="AF235" i="25" s="1"/>
  <c r="AI180" i="25"/>
  <c r="AH180" i="25" s="1"/>
  <c r="AG180" i="25" s="1"/>
  <c r="AF180" i="25" s="1"/>
  <c r="AI326" i="25"/>
  <c r="AH326" i="25" s="1"/>
  <c r="AG326" i="25" s="1"/>
  <c r="AF326" i="25" s="1"/>
  <c r="AI335" i="25"/>
  <c r="AH335" i="25" s="1"/>
  <c r="AI118" i="25"/>
  <c r="AH118" i="25" s="1"/>
  <c r="AI272" i="25"/>
  <c r="AH272" i="25" s="1"/>
  <c r="AG272" i="25" s="1"/>
  <c r="AF272" i="25" s="1"/>
  <c r="AI193" i="25"/>
  <c r="AH193" i="25" s="1"/>
  <c r="AG193" i="25" s="1"/>
  <c r="AF193" i="25" s="1"/>
  <c r="AI339" i="25"/>
  <c r="AH339" i="25" s="1"/>
  <c r="AG339" i="25" s="1"/>
  <c r="AF339" i="25" s="1"/>
  <c r="AI252" i="25"/>
  <c r="AH252" i="25" s="1"/>
  <c r="AG252" i="25" s="1"/>
  <c r="AF252" i="25" s="1"/>
  <c r="AI183" i="25"/>
  <c r="AH183" i="25" s="1"/>
  <c r="AG183" i="25" s="1"/>
  <c r="AF183" i="25" s="1"/>
  <c r="AI313" i="25"/>
  <c r="AH313" i="25" s="1"/>
  <c r="AG313" i="25" s="1"/>
  <c r="AF313" i="25" s="1"/>
  <c r="AI250" i="25"/>
  <c r="AH250" i="25" s="1"/>
  <c r="AG250" i="25" s="1"/>
  <c r="AF250" i="25" s="1"/>
  <c r="AI187" i="25"/>
  <c r="AH187" i="25" s="1"/>
  <c r="AI309" i="25"/>
  <c r="AH309" i="25" s="1"/>
  <c r="AG309" i="25" s="1"/>
  <c r="AF309" i="25" s="1"/>
  <c r="AI214" i="25"/>
  <c r="AH214" i="25" s="1"/>
  <c r="AG214" i="25" s="1"/>
  <c r="AF214" i="25" s="1"/>
  <c r="AI368" i="25"/>
  <c r="AH368" i="25" s="1"/>
  <c r="AG368" i="25" s="1"/>
  <c r="AF368" i="25" s="1"/>
  <c r="AI159" i="25"/>
  <c r="AH159" i="25" s="1"/>
  <c r="AG159" i="25" s="1"/>
  <c r="AF159" i="25" s="1"/>
  <c r="AI289" i="25"/>
  <c r="AH289" i="25" s="1"/>
  <c r="AG289" i="25" s="1"/>
  <c r="AF289" i="25" s="1"/>
  <c r="AI322" i="25"/>
  <c r="AH322" i="25" s="1"/>
  <c r="AI113" i="25"/>
  <c r="AH113" i="25" s="1"/>
  <c r="AG113" i="25" s="1"/>
  <c r="AF113" i="25" s="1"/>
  <c r="AI259" i="25"/>
  <c r="AH259" i="25" s="1"/>
  <c r="AG259" i="25" s="1"/>
  <c r="AF259" i="25" s="1"/>
  <c r="AI172" i="25"/>
  <c r="AH172" i="25" s="1"/>
  <c r="AG172" i="25" s="1"/>
  <c r="AF172" i="25" s="1"/>
  <c r="AI318" i="25"/>
  <c r="AH318" i="25" s="1"/>
  <c r="AI231" i="25"/>
  <c r="AH231" i="25" s="1"/>
  <c r="AG231" i="25" s="1"/>
  <c r="AF231" i="25" s="1"/>
  <c r="AI116" i="25"/>
  <c r="AH116" i="25" s="1"/>
  <c r="AI262" i="25"/>
  <c r="AH262" i="25" s="1"/>
  <c r="AG262" i="25" s="1"/>
  <c r="AF262" i="25" s="1"/>
  <c r="AI143" i="25"/>
  <c r="AH143" i="25" s="1"/>
  <c r="AI305" i="25"/>
  <c r="AH305" i="25" s="1"/>
  <c r="AG305" i="25" s="1"/>
  <c r="AF305" i="25" s="1"/>
  <c r="AI242" i="25"/>
  <c r="AH242" i="25" s="1"/>
  <c r="AI364" i="25"/>
  <c r="AH364" i="25" s="1"/>
  <c r="AG364" i="25" s="1"/>
  <c r="AF364" i="25" s="1"/>
  <c r="AI147" i="25"/>
  <c r="AH147" i="25" s="1"/>
  <c r="AG147" i="25" s="1"/>
  <c r="AF147" i="25" s="1"/>
  <c r="AI269" i="25"/>
  <c r="AH269" i="25" s="1"/>
  <c r="AG269" i="25" s="1"/>
  <c r="AF269" i="25" s="1"/>
  <c r="AI206" i="25"/>
  <c r="AH206" i="25" s="1"/>
  <c r="AG206" i="25" s="1"/>
  <c r="AF206" i="25" s="1"/>
  <c r="AI360" i="25"/>
  <c r="AH360" i="25" s="1"/>
  <c r="AG360" i="25" s="1"/>
  <c r="AF360" i="25" s="1"/>
  <c r="AI119" i="25"/>
  <c r="AH119" i="25" s="1"/>
  <c r="AG119" i="25" s="1"/>
  <c r="AF119" i="25" s="1"/>
  <c r="AI377" i="25"/>
  <c r="AH377" i="25" s="1"/>
  <c r="AG377" i="25" s="1"/>
  <c r="AF377" i="25" s="1"/>
  <c r="AI152" i="25"/>
  <c r="AH152" i="25" s="1"/>
  <c r="AG152" i="25" s="1"/>
  <c r="AF152" i="25" s="1"/>
  <c r="AI314" i="25"/>
  <c r="AH314" i="25" s="1"/>
  <c r="AG314" i="25" s="1"/>
  <c r="AF314" i="25" s="1"/>
  <c r="AI105" i="25"/>
  <c r="AH105" i="25" s="1"/>
  <c r="AI251" i="25"/>
  <c r="AH251" i="25" s="1"/>
  <c r="AG251" i="25" s="1"/>
  <c r="AF251" i="25" s="1"/>
  <c r="AI373" i="25"/>
  <c r="AH373" i="25" s="1"/>
  <c r="AG373" i="25" s="1"/>
  <c r="AF373" i="25" s="1"/>
  <c r="AI132" i="25"/>
  <c r="AH132" i="25" s="1"/>
  <c r="AG132" i="25" s="1"/>
  <c r="AF132" i="25" s="1"/>
  <c r="AI278" i="25"/>
  <c r="AH278" i="25" s="1"/>
  <c r="AG278" i="25" s="1"/>
  <c r="AF278" i="25" s="1"/>
  <c r="AI225" i="25"/>
  <c r="AH225" i="25" s="1"/>
  <c r="AG225" i="25" s="1"/>
  <c r="AF225" i="25" s="1"/>
  <c r="AI371" i="25"/>
  <c r="AH371" i="25" s="1"/>
  <c r="AG371" i="25" s="1"/>
  <c r="AF371" i="25" s="1"/>
  <c r="AI130" i="25"/>
  <c r="AH130" i="25" s="1"/>
  <c r="AG130" i="25" s="1"/>
  <c r="AF130" i="25" s="1"/>
  <c r="AI284" i="25"/>
  <c r="AH284" i="25" s="1"/>
  <c r="AG284" i="25" s="1"/>
  <c r="AF284" i="25" s="1"/>
  <c r="AI221" i="25"/>
  <c r="AH221" i="25" s="1"/>
  <c r="AG221" i="25" s="1"/>
  <c r="AF221" i="25" s="1"/>
  <c r="AI343" i="25"/>
  <c r="AH343" i="25" s="1"/>
  <c r="AG343" i="25" s="1"/>
  <c r="AF343" i="25" s="1"/>
  <c r="AI126" i="25"/>
  <c r="AH126" i="25" s="1"/>
  <c r="AG126" i="25" s="1"/>
  <c r="AF126" i="25" s="1"/>
  <c r="AI248" i="25"/>
  <c r="AH248" i="25" s="1"/>
  <c r="AI201" i="25"/>
  <c r="AH201" i="25" s="1"/>
  <c r="AG201" i="25" s="1"/>
  <c r="AF201" i="25" s="1"/>
  <c r="AI347" i="25"/>
  <c r="AH347" i="25" s="1"/>
  <c r="AI106" i="25"/>
  <c r="AH106" i="25" s="1"/>
  <c r="AG106" i="25" s="1"/>
  <c r="AF106" i="25" s="1"/>
  <c r="AI356" i="25"/>
  <c r="AH356" i="25" s="1"/>
  <c r="AG356" i="25" s="1"/>
  <c r="AF356" i="25" s="1"/>
  <c r="AI139" i="25"/>
  <c r="AH139" i="25" s="1"/>
  <c r="AG139" i="25" s="1"/>
  <c r="AF139" i="25" s="1"/>
  <c r="AI293" i="25"/>
  <c r="AH293" i="25" s="1"/>
  <c r="AG293" i="25" s="1"/>
  <c r="AF293" i="25" s="1"/>
  <c r="AI230" i="25"/>
  <c r="AH230" i="25" s="1"/>
  <c r="AG230" i="25" s="1"/>
  <c r="AF230" i="25" s="1"/>
  <c r="AI352" i="25"/>
  <c r="AH352" i="25" s="1"/>
  <c r="AG352" i="25" s="1"/>
  <c r="AF352" i="25" s="1"/>
  <c r="AI111" i="25"/>
  <c r="AH111" i="25" s="1"/>
  <c r="AI273" i="25"/>
  <c r="AH273" i="25" s="1"/>
  <c r="AG273" i="25" s="1"/>
  <c r="AF273" i="25" s="1"/>
  <c r="AI296" i="25"/>
  <c r="AH296" i="25" s="1"/>
  <c r="AG296" i="25" s="1"/>
  <c r="AF296" i="25" s="1"/>
  <c r="AI185" i="25"/>
  <c r="AH185" i="25" s="1"/>
  <c r="AG185" i="25" s="1"/>
  <c r="AF185" i="25" s="1"/>
  <c r="AI331" i="25"/>
  <c r="AH331" i="25" s="1"/>
  <c r="AG331" i="25" s="1"/>
  <c r="AF331" i="25" s="1"/>
  <c r="AI122" i="25"/>
  <c r="AH122" i="25" s="1"/>
  <c r="AG122" i="25" s="1"/>
  <c r="AF122" i="25" s="1"/>
  <c r="AI276" i="25"/>
  <c r="AH276" i="25" s="1"/>
  <c r="AG276" i="25" s="1"/>
  <c r="AF276" i="25" s="1"/>
  <c r="AI181" i="25"/>
  <c r="AH181" i="25" s="1"/>
  <c r="AI303" i="25"/>
  <c r="AH303" i="25" s="1"/>
  <c r="AG303" i="25" s="1"/>
  <c r="AF303" i="25" s="1"/>
  <c r="AI240" i="25"/>
  <c r="AH240" i="25" s="1"/>
  <c r="AI161" i="25"/>
  <c r="AH161" i="25" s="1"/>
  <c r="AG161" i="25" s="1"/>
  <c r="AF161" i="25" s="1"/>
  <c r="AI307" i="25"/>
  <c r="AH307" i="25" s="1"/>
  <c r="AG307" i="25" s="1"/>
  <c r="AF307" i="25" s="1"/>
  <c r="AI194" i="25"/>
  <c r="AH194" i="25" s="1"/>
  <c r="AG194" i="25" s="1"/>
  <c r="AF194" i="25" s="1"/>
  <c r="AI348" i="25"/>
  <c r="AH348" i="25" s="1"/>
  <c r="AG348" i="25" s="1"/>
  <c r="AF348" i="25" s="1"/>
  <c r="AI131" i="25"/>
  <c r="AH131" i="25" s="1"/>
  <c r="AG131" i="25" s="1"/>
  <c r="AF131" i="25" s="1"/>
  <c r="AI285" i="25"/>
  <c r="AH285" i="25" s="1"/>
  <c r="AG285" i="25" s="1"/>
  <c r="AF285" i="25" s="1"/>
  <c r="AI190" i="25"/>
  <c r="AH190" i="25" s="1"/>
  <c r="AG190" i="25" s="1"/>
  <c r="AF190" i="25" s="1"/>
  <c r="AI312" i="25"/>
  <c r="AH312" i="25" s="1"/>
  <c r="AG312" i="25" s="1"/>
  <c r="AF312" i="25" s="1"/>
  <c r="AI137" i="25"/>
  <c r="AH137" i="25" s="1"/>
  <c r="AG137" i="25" s="1"/>
  <c r="AF137" i="25" s="1"/>
  <c r="AI283" i="25"/>
  <c r="AH283" i="25" s="1"/>
  <c r="AG283" i="25" s="1"/>
  <c r="AF283" i="25" s="1"/>
  <c r="AI164" i="25"/>
  <c r="AH164" i="25" s="1"/>
  <c r="AG164" i="25" s="1"/>
  <c r="AF164" i="25" s="1"/>
  <c r="AI310" i="25"/>
  <c r="AH310" i="25" s="1"/>
  <c r="AG310" i="25" s="1"/>
  <c r="AF310" i="25" s="1"/>
  <c r="AI255" i="25"/>
  <c r="AH255" i="25" s="1"/>
  <c r="AG255" i="25" s="1"/>
  <c r="AF255" i="25" s="1"/>
  <c r="AI160" i="25"/>
  <c r="AH160" i="25" s="1"/>
  <c r="AG160" i="25" s="1"/>
  <c r="AF160" i="25" s="1"/>
  <c r="AI290" i="25"/>
  <c r="AH290" i="25" s="1"/>
  <c r="AG290" i="25" s="1"/>
  <c r="AF290" i="25" s="1"/>
  <c r="AI227" i="25"/>
  <c r="AH227" i="25" s="1"/>
  <c r="AG227" i="25" s="1"/>
  <c r="AF227" i="25" s="1"/>
  <c r="AI140" i="25"/>
  <c r="AH140" i="25" s="1"/>
  <c r="AG140" i="25" s="1"/>
  <c r="AF140" i="25" s="1"/>
  <c r="AI286" i="25"/>
  <c r="AH286" i="25" s="1"/>
  <c r="AG286" i="25" s="1"/>
  <c r="AF286" i="25" s="1"/>
  <c r="AI173" i="25"/>
  <c r="AH173" i="25" s="1"/>
  <c r="AG173" i="25" s="1"/>
  <c r="AF173" i="25" s="1"/>
  <c r="AI327" i="25"/>
  <c r="AH327" i="25" s="1"/>
  <c r="AG327" i="25" s="1"/>
  <c r="AF327" i="25" s="1"/>
  <c r="AI110" i="25"/>
  <c r="AH110" i="25" s="1"/>
  <c r="AG110" i="25" s="1"/>
  <c r="AF110" i="25" s="1"/>
  <c r="AI264" i="25"/>
  <c r="AH264" i="25" s="1"/>
  <c r="AI153" i="25"/>
  <c r="AH153" i="25" s="1"/>
  <c r="AG153" i="25" s="1"/>
  <c r="AF153" i="25" s="1"/>
  <c r="AI299" i="25"/>
  <c r="AH299" i="25" s="1"/>
  <c r="AG299" i="25" s="1"/>
  <c r="AF299" i="25" s="1"/>
  <c r="AI265" i="25"/>
  <c r="AH265" i="25" s="1"/>
  <c r="AG265" i="25" s="1"/>
  <c r="AF265" i="25" s="1"/>
  <c r="AI170" i="25"/>
  <c r="AH170" i="25" s="1"/>
  <c r="AG170" i="25" s="1"/>
  <c r="AF170" i="25" s="1"/>
  <c r="AI292" i="25"/>
  <c r="AH292" i="25" s="1"/>
  <c r="AG292" i="25" s="1"/>
  <c r="AF292" i="25" s="1"/>
  <c r="AI229" i="25"/>
  <c r="AH229" i="25" s="1"/>
  <c r="AG229" i="25" s="1"/>
  <c r="AF229" i="25" s="1"/>
  <c r="AI166" i="25"/>
  <c r="AH166" i="25" s="1"/>
  <c r="AG166" i="25" s="1"/>
  <c r="AF166" i="25" s="1"/>
  <c r="AI288" i="25"/>
  <c r="AH288" i="25" s="1"/>
  <c r="AG288" i="25" s="1"/>
  <c r="AF288" i="25" s="1"/>
  <c r="AI209" i="25"/>
  <c r="AH209" i="25" s="1"/>
  <c r="AG209" i="25" s="1"/>
  <c r="AF209" i="25" s="1"/>
  <c r="AI355" i="25"/>
  <c r="AH355" i="25" s="1"/>
  <c r="AG355" i="25" s="1"/>
  <c r="AF355" i="25" s="1"/>
  <c r="AI146" i="25"/>
  <c r="AH146" i="25" s="1"/>
  <c r="AG146" i="25" s="1"/>
  <c r="AF146" i="25" s="1"/>
  <c r="AI268" i="25"/>
  <c r="AH268" i="25" s="1"/>
  <c r="AG268" i="25" s="1"/>
  <c r="AF268" i="25" s="1"/>
  <c r="AI301" i="25"/>
  <c r="AH301" i="25" s="1"/>
  <c r="AG301" i="25" s="1"/>
  <c r="AF301" i="25" s="1"/>
  <c r="AI238" i="25"/>
  <c r="AH238" i="25" s="1"/>
  <c r="AI151" i="25"/>
  <c r="AH151" i="25" s="1"/>
  <c r="AG151" i="25" s="1"/>
  <c r="AF151" i="25" s="1"/>
  <c r="AI281" i="25"/>
  <c r="AH281" i="25" s="1"/>
  <c r="AG281" i="25" s="1"/>
  <c r="AF281" i="25" s="1"/>
  <c r="AI218" i="25"/>
  <c r="AH218" i="25" s="1"/>
  <c r="AG218" i="25" s="1"/>
  <c r="AF218" i="25" s="1"/>
  <c r="AI244" i="25"/>
  <c r="AH244" i="25" s="1"/>
  <c r="AG244" i="25" s="1"/>
  <c r="AF244" i="25" s="1"/>
  <c r="AI149" i="25"/>
  <c r="AH149" i="25" s="1"/>
  <c r="AG149" i="25" s="1"/>
  <c r="AF149" i="25" s="1"/>
  <c r="AI271" i="25"/>
  <c r="AH271" i="25" s="1"/>
  <c r="AG271" i="25" s="1"/>
  <c r="AF271" i="25" s="1"/>
  <c r="AI208" i="25"/>
  <c r="AH208" i="25" s="1"/>
  <c r="AG208" i="25" s="1"/>
  <c r="AF208" i="25" s="1"/>
  <c r="AI370" i="25"/>
  <c r="AH370" i="25" s="1"/>
  <c r="AG370" i="25" s="1"/>
  <c r="AF370" i="25" s="1"/>
  <c r="AI129" i="25"/>
  <c r="AH129" i="25" s="1"/>
  <c r="AG129" i="25" s="1"/>
  <c r="AF129" i="25" s="1"/>
  <c r="AI275" i="25"/>
  <c r="AH275" i="25" s="1"/>
  <c r="AG275" i="25" s="1"/>
  <c r="AF275" i="25" s="1"/>
  <c r="AI188" i="25"/>
  <c r="AH188" i="25" s="1"/>
  <c r="AG188" i="25" s="1"/>
  <c r="AF188" i="25" s="1"/>
  <c r="AI334" i="25"/>
  <c r="AH334" i="25" s="1"/>
  <c r="AG334" i="25" s="1"/>
  <c r="AF334" i="25" s="1"/>
  <c r="AI125" i="25"/>
  <c r="AH125" i="25" s="1"/>
  <c r="AG125" i="25" s="1"/>
  <c r="AF125" i="25" s="1"/>
  <c r="AI247" i="25"/>
  <c r="AH247" i="25" s="1"/>
  <c r="AG247" i="25" s="1"/>
  <c r="AF247" i="25" s="1"/>
  <c r="AI280" i="25"/>
  <c r="AH280" i="25" s="1"/>
  <c r="AG280" i="25" s="1"/>
  <c r="AF280" i="25" s="1"/>
  <c r="AI233" i="25"/>
  <c r="AH233" i="25" s="1"/>
  <c r="AI379" i="25"/>
  <c r="AH379" i="25" s="1"/>
  <c r="AG379" i="25" s="1"/>
  <c r="AF379" i="25" s="1"/>
  <c r="AI138" i="25"/>
  <c r="AH138" i="25" s="1"/>
  <c r="AG138" i="25" s="1"/>
  <c r="AF138" i="25" s="1"/>
  <c r="AI260" i="25"/>
  <c r="AH260" i="25" s="1"/>
  <c r="AG260" i="25" s="1"/>
  <c r="AF260" i="25" s="1"/>
  <c r="AI197" i="25"/>
  <c r="AH197" i="25" s="1"/>
  <c r="AG197" i="25" s="1"/>
  <c r="AF197" i="25" s="1"/>
  <c r="AI372" i="25"/>
  <c r="AH372" i="25" s="1"/>
  <c r="AG372" i="25" s="1"/>
  <c r="AF372" i="25" s="1"/>
  <c r="AI155" i="25"/>
  <c r="AH155" i="25" s="1"/>
  <c r="AG155" i="25" s="1"/>
  <c r="AF155" i="25" s="1"/>
  <c r="AI277" i="25"/>
  <c r="AH277" i="25" s="1"/>
  <c r="AG277" i="25" s="1"/>
  <c r="AF277" i="25" s="1"/>
  <c r="AI182" i="25"/>
  <c r="AH182" i="25" s="1"/>
  <c r="AG182" i="25" s="1"/>
  <c r="AF182" i="25" s="1"/>
  <c r="AI336" i="25"/>
  <c r="AH336" i="25" s="1"/>
  <c r="AG336" i="25" s="1"/>
  <c r="AF336" i="25" s="1"/>
  <c r="AI127" i="25"/>
  <c r="AH127" i="25" s="1"/>
  <c r="AG127" i="25" s="1"/>
  <c r="AF127" i="25" s="1"/>
  <c r="AI257" i="25"/>
  <c r="AH257" i="25" s="1"/>
  <c r="AG257" i="25" s="1"/>
  <c r="AF257" i="25" s="1"/>
  <c r="AI162" i="25"/>
  <c r="AH162" i="25" s="1"/>
  <c r="AG162" i="25" s="1"/>
  <c r="AF162" i="25" s="1"/>
  <c r="AI316" i="25"/>
  <c r="AH316" i="25" s="1"/>
  <c r="AG316" i="25" s="1"/>
  <c r="AF316" i="25" s="1"/>
  <c r="AI253" i="25"/>
  <c r="AH253" i="25" s="1"/>
  <c r="AI375" i="25"/>
  <c r="AH375" i="25" s="1"/>
  <c r="AG375" i="25" s="1"/>
  <c r="AF375" i="25" s="1"/>
  <c r="AI158" i="25"/>
  <c r="AH158" i="25" s="1"/>
  <c r="AG158" i="25" s="1"/>
  <c r="AF158" i="25" s="1"/>
  <c r="AI199" i="25"/>
  <c r="AH199" i="25" s="1"/>
  <c r="AG199" i="25" s="1"/>
  <c r="AF199" i="25" s="1"/>
  <c r="AI361" i="25"/>
  <c r="AH361" i="25" s="1"/>
  <c r="AG361" i="25" s="1"/>
  <c r="AF361" i="25" s="1"/>
  <c r="AI136" i="25"/>
  <c r="AH136" i="25" s="1"/>
  <c r="AG136" i="25" s="1"/>
  <c r="AF136" i="25" s="1"/>
  <c r="AI266" i="25"/>
  <c r="AH266" i="25" s="1"/>
  <c r="AG266" i="25" s="1"/>
  <c r="AF266" i="25" s="1"/>
  <c r="AI171" i="25"/>
  <c r="AH171" i="25" s="1"/>
  <c r="AG171" i="25" s="1"/>
  <c r="AF171" i="25" s="1"/>
  <c r="AI325" i="25"/>
  <c r="AH325" i="25" s="1"/>
  <c r="AG325" i="25" s="1"/>
  <c r="AF325" i="25" s="1"/>
  <c r="AI351" i="25"/>
  <c r="AH351" i="25" s="1"/>
  <c r="AG351" i="25" s="1"/>
  <c r="AF351" i="25" s="1"/>
  <c r="AI134" i="25"/>
  <c r="AH134" i="25" s="1"/>
  <c r="AG134" i="25" s="1"/>
  <c r="AF134" i="25" s="1"/>
  <c r="AI256" i="25"/>
  <c r="AH256" i="25" s="1"/>
  <c r="AG256" i="25" s="1"/>
  <c r="AF256" i="25" s="1"/>
  <c r="AI177" i="25"/>
  <c r="AH177" i="25" s="1"/>
  <c r="AG177" i="25" s="1"/>
  <c r="AF177" i="25" s="1"/>
  <c r="AI323" i="25"/>
  <c r="AH323" i="25" s="1"/>
  <c r="AG323" i="25" s="1"/>
  <c r="AF323" i="25" s="1"/>
  <c r="AI114" i="25"/>
  <c r="AH114" i="25" s="1"/>
  <c r="AG114" i="25" s="1"/>
  <c r="AF114" i="25" s="1"/>
  <c r="AI236" i="25"/>
  <c r="AH236" i="25" s="1"/>
  <c r="AG236" i="25" s="1"/>
  <c r="AF236" i="25" s="1"/>
  <c r="AI141" i="25"/>
  <c r="AH141" i="25" s="1"/>
  <c r="AG141" i="25" s="1"/>
  <c r="AF141" i="25" s="1"/>
  <c r="AI295" i="25"/>
  <c r="AH295" i="25" s="1"/>
  <c r="AG295" i="25" s="1"/>
  <c r="AF295" i="25" s="1"/>
  <c r="AI232" i="25"/>
  <c r="AH232" i="25" s="1"/>
  <c r="AG232" i="25" s="1"/>
  <c r="AF232" i="25" s="1"/>
  <c r="AI362" i="25"/>
  <c r="AH362" i="25" s="1"/>
  <c r="AG362" i="25" s="1"/>
  <c r="AF362" i="25" s="1"/>
  <c r="AI249" i="25"/>
  <c r="AH249" i="25" s="1"/>
  <c r="AG249" i="25" s="1"/>
  <c r="AF249" i="25" s="1"/>
  <c r="AI186" i="25"/>
  <c r="AH186" i="25" s="1"/>
  <c r="AG186" i="25" s="1"/>
  <c r="AF186" i="25" s="1"/>
  <c r="AI340" i="25"/>
  <c r="AH340" i="25" s="1"/>
  <c r="AG340" i="25" s="1"/>
  <c r="AF340" i="25" s="1"/>
  <c r="AI123" i="25"/>
  <c r="AH123" i="25" s="1"/>
  <c r="AG123" i="25" s="1"/>
  <c r="AF123" i="25" s="1"/>
  <c r="AI245" i="25"/>
  <c r="AH245" i="25" s="1"/>
  <c r="AG245" i="25" s="1"/>
  <c r="AF245" i="25" s="1"/>
  <c r="AI367" i="25"/>
  <c r="AH367" i="25" s="1"/>
  <c r="AG367" i="25" s="1"/>
  <c r="AF367" i="25" s="1"/>
  <c r="AI150" i="25"/>
  <c r="AH150" i="25" s="1"/>
  <c r="AG150" i="25" s="1"/>
  <c r="AF150" i="25" s="1"/>
  <c r="AI304" i="25"/>
  <c r="AH304" i="25" s="1"/>
  <c r="AG304" i="25" s="1"/>
  <c r="AF304" i="25" s="1"/>
  <c r="AI189" i="25"/>
  <c r="AH189" i="25" s="1"/>
  <c r="AI311" i="25"/>
  <c r="AH311" i="25" s="1"/>
  <c r="AI216" i="25"/>
  <c r="AH216" i="25" s="1"/>
  <c r="AG216" i="25" s="1"/>
  <c r="AF216" i="25" s="1"/>
  <c r="AI378" i="25"/>
  <c r="AH378" i="25" s="1"/>
  <c r="AG378" i="25" s="1"/>
  <c r="AF378" i="25" s="1"/>
  <c r="AI169" i="25"/>
  <c r="AH169" i="25" s="1"/>
  <c r="AG169" i="25" s="1"/>
  <c r="AF169" i="25" s="1"/>
  <c r="AI315" i="25"/>
  <c r="AH315" i="25" s="1"/>
  <c r="AG315" i="25" s="1"/>
  <c r="AF315" i="25" s="1"/>
  <c r="AI196" i="25"/>
  <c r="AH196" i="25" s="1"/>
  <c r="AI342" i="25"/>
  <c r="AH342" i="25" s="1"/>
  <c r="AG342" i="25" s="1"/>
  <c r="AF342" i="25" s="1"/>
  <c r="AI133" i="25"/>
  <c r="AH133" i="25" s="1"/>
  <c r="AG133" i="25" s="1"/>
  <c r="AF133" i="25" s="1"/>
  <c r="AI287" i="25"/>
  <c r="AH287" i="25" s="1"/>
  <c r="AG287" i="25" s="1"/>
  <c r="AF287" i="25" s="1"/>
  <c r="AI192" i="25"/>
  <c r="AH192" i="25" s="1"/>
  <c r="AG192" i="25" s="1"/>
  <c r="AF192" i="25" s="1"/>
  <c r="AI241" i="25"/>
  <c r="AH241" i="25" s="1"/>
  <c r="AG241" i="25" s="1"/>
  <c r="AF241" i="25" s="1"/>
  <c r="AI178" i="25"/>
  <c r="AH178" i="25" s="1"/>
  <c r="AI300" i="25"/>
  <c r="AH300" i="25" s="1"/>
  <c r="AG300" i="25" s="1"/>
  <c r="AF300" i="25" s="1"/>
  <c r="AI205" i="25"/>
  <c r="AH205" i="25" s="1"/>
  <c r="AG205" i="25" s="1"/>
  <c r="AF205" i="25" s="1"/>
  <c r="AI359" i="25"/>
  <c r="AH359" i="25" s="1"/>
  <c r="AG359" i="25" s="1"/>
  <c r="AF359" i="25" s="1"/>
  <c r="AI142" i="25"/>
  <c r="AH142" i="25" s="1"/>
  <c r="AG142" i="25" s="1"/>
  <c r="AF142" i="25" s="1"/>
  <c r="AI168" i="25"/>
  <c r="AH168" i="25" s="1"/>
  <c r="AG168" i="25" s="1"/>
  <c r="AF168" i="25" s="1"/>
  <c r="AI298" i="25"/>
  <c r="AH298" i="25" s="1"/>
  <c r="AG298" i="25" s="1"/>
  <c r="AF298" i="25" s="1"/>
  <c r="AI203" i="25"/>
  <c r="AH203" i="25" s="1"/>
  <c r="AG203" i="25" s="1"/>
  <c r="AF203" i="25" s="1"/>
  <c r="AI357" i="25"/>
  <c r="AH357" i="25" s="1"/>
  <c r="AG357" i="25" s="1"/>
  <c r="AF357" i="25" s="1"/>
  <c r="AI148" i="25"/>
  <c r="AH148" i="25" s="1"/>
  <c r="AG148" i="25" s="1"/>
  <c r="AF148" i="25" s="1"/>
  <c r="AI294" i="25"/>
  <c r="AH294" i="25" s="1"/>
  <c r="AG294" i="25" s="1"/>
  <c r="AF294" i="25" s="1"/>
  <c r="AI175" i="25"/>
  <c r="AH175" i="25" s="1"/>
  <c r="AG175" i="25" s="1"/>
  <c r="AF175" i="25" s="1"/>
  <c r="AI337" i="25"/>
  <c r="AH337" i="25" s="1"/>
  <c r="AG337" i="25" s="1"/>
  <c r="AF337" i="25" s="1"/>
  <c r="AI112" i="25"/>
  <c r="AH112" i="25" s="1"/>
  <c r="AG112" i="25" s="1"/>
  <c r="AF112" i="25" s="1"/>
  <c r="AI274" i="25"/>
  <c r="AH274" i="25" s="1"/>
  <c r="AG274" i="25" s="1"/>
  <c r="AF274" i="25" s="1"/>
  <c r="AI179" i="25"/>
  <c r="AH179" i="25" s="1"/>
  <c r="AG179" i="25" s="1"/>
  <c r="AF179" i="25" s="1"/>
  <c r="AI220" i="25"/>
  <c r="AH220" i="25" s="1"/>
  <c r="AG220" i="25" s="1"/>
  <c r="AF220" i="25" s="1"/>
  <c r="AI366" i="25"/>
  <c r="AH366" i="25" s="1"/>
  <c r="AG366" i="25" s="1"/>
  <c r="AF366" i="25" s="1"/>
  <c r="AI157" i="25"/>
  <c r="AH157" i="25" s="1"/>
  <c r="AI279" i="25"/>
  <c r="AH279" i="25" s="1"/>
  <c r="AG279" i="25" s="1"/>
  <c r="AF279" i="25" s="1"/>
  <c r="AI184" i="25"/>
  <c r="AH184" i="25" s="1"/>
  <c r="AG184" i="25" s="1"/>
  <c r="AF184" i="25" s="1"/>
  <c r="AI346" i="25"/>
  <c r="AH346" i="25" s="1"/>
  <c r="AG346" i="25" s="1"/>
  <c r="AF346" i="25" s="1"/>
  <c r="AI223" i="25"/>
  <c r="AH223" i="25" s="1"/>
  <c r="AG223" i="25" s="1"/>
  <c r="AF223" i="25" s="1"/>
  <c r="AI353" i="25"/>
  <c r="AH353" i="25" s="1"/>
  <c r="AG353" i="25" s="1"/>
  <c r="AF353" i="25" s="1"/>
  <c r="AI128" i="25"/>
  <c r="AH128" i="25" s="1"/>
  <c r="AG128" i="25" s="1"/>
  <c r="AF128" i="25" s="1"/>
  <c r="AI258" i="25"/>
  <c r="AH258" i="25" s="1"/>
  <c r="AG258" i="25" s="1"/>
  <c r="AF258" i="25" s="1"/>
  <c r="AI195" i="25"/>
  <c r="AH195" i="25" s="1"/>
  <c r="AI349" i="25"/>
  <c r="AH349" i="25" s="1"/>
  <c r="AG349" i="25" s="1"/>
  <c r="AF349" i="25" s="1"/>
  <c r="AI108" i="25"/>
  <c r="AH108" i="25" s="1"/>
  <c r="AG108" i="25" s="1"/>
  <c r="AF108" i="25" s="1"/>
  <c r="AI254" i="25"/>
  <c r="AH254" i="25" s="1"/>
  <c r="AG254" i="25" s="1"/>
  <c r="AF254" i="25" s="1"/>
  <c r="AI376" i="25"/>
  <c r="AH376" i="25" s="1"/>
  <c r="AG376" i="25" s="1"/>
  <c r="AF376" i="25" s="1"/>
  <c r="AI167" i="25"/>
  <c r="AH167" i="25" s="1"/>
  <c r="AG167" i="25" s="1"/>
  <c r="AF167" i="25" s="1"/>
  <c r="AI329" i="25"/>
  <c r="AH329" i="25" s="1"/>
  <c r="AG329" i="25" s="1"/>
  <c r="AF329" i="25" s="1"/>
  <c r="AI104" i="25"/>
  <c r="AI234" i="25"/>
  <c r="AH234" i="25" s="1"/>
  <c r="AG234" i="25" s="1"/>
  <c r="AF234" i="25" s="1"/>
  <c r="AI121" i="25"/>
  <c r="AH121" i="25" s="1"/>
  <c r="AG121" i="25" s="1"/>
  <c r="AF121" i="25" s="1"/>
  <c r="AI267" i="25"/>
  <c r="AH267" i="25" s="1"/>
  <c r="AG267" i="25" s="1"/>
  <c r="AF267" i="25" s="1"/>
  <c r="AI212" i="25"/>
  <c r="AH212" i="25" s="1"/>
  <c r="AG212" i="25" s="1"/>
  <c r="AF212" i="25" s="1"/>
  <c r="AI358" i="25"/>
  <c r="AH358" i="25" s="1"/>
  <c r="AG358" i="25" s="1"/>
  <c r="AF358" i="25" s="1"/>
  <c r="AI117" i="25"/>
  <c r="AH117" i="25" s="1"/>
  <c r="AG117" i="25" s="1"/>
  <c r="AF117" i="25" s="1"/>
  <c r="AI239" i="25"/>
  <c r="AH239" i="25" s="1"/>
  <c r="AG239" i="25" s="1"/>
  <c r="AF239" i="25" s="1"/>
  <c r="AI176" i="25"/>
  <c r="AH176" i="25" s="1"/>
  <c r="AG176" i="25" s="1"/>
  <c r="AF176" i="25" s="1"/>
  <c r="G15" i="20"/>
  <c r="CB15" i="6" s="1"/>
  <c r="AA15" i="20"/>
  <c r="F381" i="20"/>
  <c r="AM10" i="20"/>
  <c r="F382" i="20"/>
  <c r="F383" i="20"/>
  <c r="F9" i="20"/>
  <c r="AK10" i="20"/>
  <c r="AK12" i="20" s="1"/>
  <c r="J15" i="18"/>
  <c r="I15" i="18"/>
  <c r="G15" i="19"/>
  <c r="F11" i="18"/>
  <c r="AB9" i="18"/>
  <c r="G383" i="18"/>
  <c r="G12" i="18" s="1"/>
  <c r="G381" i="18"/>
  <c r="G382" i="18"/>
  <c r="AL10" i="18"/>
  <c r="AA9" i="18"/>
  <c r="Z15" i="18"/>
  <c r="AL7" i="18" s="1"/>
  <c r="AA381" i="18"/>
  <c r="AA382" i="18"/>
  <c r="AA383" i="18"/>
  <c r="AM8" i="18"/>
  <c r="Q79" i="27"/>
  <c r="Y79" i="27"/>
  <c r="R73" i="27"/>
  <c r="V73" i="27"/>
  <c r="R57" i="27"/>
  <c r="T57" i="27"/>
  <c r="T61" i="27"/>
  <c r="Y61" i="27"/>
  <c r="AA72" i="27"/>
  <c r="W72" i="27"/>
  <c r="Q65" i="27"/>
  <c r="R65" i="27"/>
  <c r="V79" i="27"/>
  <c r="Z79" i="27"/>
  <c r="U79" i="27"/>
  <c r="T73" i="27"/>
  <c r="W73" i="27"/>
  <c r="X73" i="27"/>
  <c r="Y57" i="27"/>
  <c r="Z57" i="27"/>
  <c r="V57" i="27"/>
  <c r="Z61" i="27"/>
  <c r="V61" i="27"/>
  <c r="X61" i="27"/>
  <c r="Z72" i="27"/>
  <c r="R72" i="27"/>
  <c r="U72" i="27"/>
  <c r="Z65" i="27"/>
  <c r="W65" i="27"/>
  <c r="Y65" i="27"/>
  <c r="R79" i="27"/>
  <c r="T79" i="27"/>
  <c r="S79" i="27"/>
  <c r="W79" i="27"/>
  <c r="Q73" i="27"/>
  <c r="S73" i="27"/>
  <c r="Z73" i="27"/>
  <c r="Y73" i="27"/>
  <c r="AA57" i="27"/>
  <c r="X57" i="27"/>
  <c r="Q57" i="27"/>
  <c r="S57" i="27"/>
  <c r="S61" i="27"/>
  <c r="AA61" i="27"/>
  <c r="AB61" i="27" s="1"/>
  <c r="AC61" i="27" s="1"/>
  <c r="AF62" i="27" s="1"/>
  <c r="P62" i="27" s="1"/>
  <c r="G26" i="27" s="1"/>
  <c r="W61" i="27"/>
  <c r="R61" i="27"/>
  <c r="S72" i="27"/>
  <c r="Y72" i="27"/>
  <c r="Q72" i="27"/>
  <c r="T72" i="27"/>
  <c r="T65" i="27"/>
  <c r="X65" i="27"/>
  <c r="AA65" i="27"/>
  <c r="AB65" i="27" s="1"/>
  <c r="AC65" i="27" s="1"/>
  <c r="S65" i="27"/>
  <c r="X75" i="27"/>
  <c r="T75" i="27"/>
  <c r="W75" i="27"/>
  <c r="AA75" i="27"/>
  <c r="V75" i="27"/>
  <c r="Z75" i="27"/>
  <c r="Y75" i="27"/>
  <c r="R75" i="27"/>
  <c r="S75" i="27"/>
  <c r="Q75" i="27"/>
  <c r="U75" i="27"/>
  <c r="V64" i="27"/>
  <c r="W64" i="27"/>
  <c r="S64" i="27"/>
  <c r="X64" i="27"/>
  <c r="R64" i="27"/>
  <c r="AA64" i="27"/>
  <c r="AB64" i="27" s="1"/>
  <c r="AC64" i="27" s="1"/>
  <c r="AF65" i="27" s="1"/>
  <c r="P65" i="27" s="1"/>
  <c r="G29" i="27" s="1"/>
  <c r="T64" i="27"/>
  <c r="Z64" i="27"/>
  <c r="U64" i="27"/>
  <c r="Y64" i="27"/>
  <c r="Q64" i="27"/>
  <c r="R78" i="27"/>
  <c r="X78" i="27"/>
  <c r="W78" i="27"/>
  <c r="U78" i="27"/>
  <c r="Q78" i="27"/>
  <c r="V78" i="27"/>
  <c r="T78" i="27"/>
  <c r="AA78" i="27"/>
  <c r="AB78" i="27" s="1"/>
  <c r="AC78" i="27" s="1"/>
  <c r="AD78" i="27" s="1"/>
  <c r="Z78" i="27"/>
  <c r="S78" i="27"/>
  <c r="Y78" i="27"/>
  <c r="V74" i="27"/>
  <c r="Q74" i="27"/>
  <c r="R74" i="27"/>
  <c r="X74" i="27"/>
  <c r="W74" i="27"/>
  <c r="U74" i="27"/>
  <c r="AA74" i="27"/>
  <c r="AB74" i="27" s="1"/>
  <c r="AC74" i="27" s="1"/>
  <c r="AD74" i="27" s="1"/>
  <c r="Z74" i="27"/>
  <c r="T74" i="27"/>
  <c r="S74" i="27"/>
  <c r="Y74" i="27"/>
  <c r="V68" i="27"/>
  <c r="W68" i="27"/>
  <c r="Y68" i="27"/>
  <c r="Z68" i="27"/>
  <c r="R68" i="27"/>
  <c r="AA68" i="27"/>
  <c r="AB68" i="27" s="1"/>
  <c r="AC68" i="27" s="1"/>
  <c r="AD68" i="27" s="1"/>
  <c r="X68" i="27"/>
  <c r="T68" i="27"/>
  <c r="Q68" i="27"/>
  <c r="U68" i="27"/>
  <c r="S68" i="27"/>
  <c r="V58" i="27"/>
  <c r="Z58" i="27"/>
  <c r="Y58" i="27"/>
  <c r="U58" i="27"/>
  <c r="R58" i="27"/>
  <c r="X58" i="27"/>
  <c r="AA58" i="27"/>
  <c r="Q58" i="27"/>
  <c r="W58" i="27"/>
  <c r="T58" i="27"/>
  <c r="S58" i="27"/>
  <c r="AB79" i="27"/>
  <c r="AC79" i="27" s="1"/>
  <c r="AD79" i="27" s="1"/>
  <c r="AB73" i="27"/>
  <c r="AC73" i="27" s="1"/>
  <c r="AD73" i="27" s="1"/>
  <c r="AB72" i="27"/>
  <c r="AC72" i="27" s="1"/>
  <c r="AD72" i="27" s="1"/>
  <c r="AB62" i="27"/>
  <c r="AC62" i="27" s="1"/>
  <c r="V71" i="27"/>
  <c r="W71" i="27"/>
  <c r="T71" i="27"/>
  <c r="R71" i="27"/>
  <c r="Q71" i="27"/>
  <c r="U71" i="27"/>
  <c r="Y71" i="27"/>
  <c r="S71" i="27"/>
  <c r="X71" i="27"/>
  <c r="Z71" i="27"/>
  <c r="AA71" i="27"/>
  <c r="AB71" i="27" s="1"/>
  <c r="AC71" i="27" s="1"/>
  <c r="AD71" i="27" s="1"/>
  <c r="Y67" i="27"/>
  <c r="X67" i="27"/>
  <c r="U67" i="27"/>
  <c r="Z67" i="27"/>
  <c r="R67" i="27"/>
  <c r="Q67" i="27"/>
  <c r="T67" i="27"/>
  <c r="V67" i="27"/>
  <c r="W67" i="27"/>
  <c r="S67" i="27"/>
  <c r="AA67" i="27"/>
  <c r="AB67" i="27" s="1"/>
  <c r="AC67" i="27" s="1"/>
  <c r="Q76" i="27"/>
  <c r="T76" i="27"/>
  <c r="AA76" i="27"/>
  <c r="AB76" i="27" s="1"/>
  <c r="AC76" i="27" s="1"/>
  <c r="AD76" i="27" s="1"/>
  <c r="Y76" i="27"/>
  <c r="Z76" i="27"/>
  <c r="W76" i="27"/>
  <c r="S76" i="27"/>
  <c r="R76" i="27"/>
  <c r="V76" i="27"/>
  <c r="U76" i="27"/>
  <c r="X76" i="27"/>
  <c r="U70" i="27"/>
  <c r="X70" i="27"/>
  <c r="Y70" i="27"/>
  <c r="R70" i="27"/>
  <c r="Q70" i="27"/>
  <c r="AA70" i="27"/>
  <c r="AB70" i="27" s="1"/>
  <c r="AC70" i="27" s="1"/>
  <c r="AD70" i="27" s="1"/>
  <c r="V70" i="27"/>
  <c r="W70" i="27"/>
  <c r="S70" i="27"/>
  <c r="T70" i="27"/>
  <c r="Z70" i="27"/>
  <c r="U59" i="27"/>
  <c r="V59" i="27"/>
  <c r="Y59" i="27"/>
  <c r="R59" i="27"/>
  <c r="Q59" i="27"/>
  <c r="W59" i="27"/>
  <c r="T59" i="27"/>
  <c r="S59" i="27"/>
  <c r="X59" i="27"/>
  <c r="Z59" i="27"/>
  <c r="AA59" i="27"/>
  <c r="AB59" i="27" s="1"/>
  <c r="AC59" i="27" s="1"/>
  <c r="AD59" i="27" s="1"/>
  <c r="Y56" i="27"/>
  <c r="T56" i="27"/>
  <c r="U56" i="27"/>
  <c r="S56" i="27"/>
  <c r="V56" i="27"/>
  <c r="Q56" i="27"/>
  <c r="R56" i="27"/>
  <c r="Z56" i="27"/>
  <c r="W56" i="27"/>
  <c r="AA56" i="27"/>
  <c r="AB56" i="27" s="1"/>
  <c r="AC56" i="27" s="1"/>
  <c r="AD56" i="27" s="1"/>
  <c r="X56" i="27"/>
  <c r="AB77" i="27"/>
  <c r="AC77" i="27" s="1"/>
  <c r="AD77" i="27" s="1"/>
  <c r="AB63" i="27"/>
  <c r="AC63" i="27" s="1"/>
  <c r="S206" i="25"/>
  <c r="R206" i="25" s="1"/>
  <c r="S267" i="25"/>
  <c r="R267" i="25" s="1"/>
  <c r="S218" i="25"/>
  <c r="R218" i="25" s="1"/>
  <c r="S344" i="25"/>
  <c r="R344" i="25" s="1"/>
  <c r="S146" i="25"/>
  <c r="R146" i="25" s="1"/>
  <c r="S41" i="25"/>
  <c r="R41" i="25" s="1"/>
  <c r="S373" i="25"/>
  <c r="R373" i="25" s="1"/>
  <c r="S111" i="25"/>
  <c r="R111" i="25" s="1"/>
  <c r="S176" i="25"/>
  <c r="R176" i="25" s="1"/>
  <c r="S301" i="25"/>
  <c r="R301" i="25" s="1"/>
  <c r="S243" i="25"/>
  <c r="R243" i="25" s="1"/>
  <c r="S130" i="25"/>
  <c r="R130" i="25" s="1"/>
  <c r="S191" i="25"/>
  <c r="R191" i="25" s="1"/>
  <c r="S174" i="25"/>
  <c r="R174" i="25" s="1"/>
  <c r="S19" i="25"/>
  <c r="R19" i="25" s="1"/>
  <c r="S366" i="25"/>
  <c r="R366" i="25" s="1"/>
  <c r="S282" i="25"/>
  <c r="R282" i="25" s="1"/>
  <c r="S76" i="25"/>
  <c r="R76" i="25" s="1"/>
  <c r="S336" i="25"/>
  <c r="R336" i="25" s="1"/>
  <c r="S333" i="25"/>
  <c r="R333" i="25" s="1"/>
  <c r="S29" i="25"/>
  <c r="R29" i="25" s="1"/>
  <c r="R383" i="24"/>
  <c r="R381" i="24"/>
  <c r="R382" i="24"/>
  <c r="S383" i="24"/>
  <c r="D15" i="23"/>
  <c r="W15" i="23"/>
  <c r="AF382" i="24"/>
  <c r="AF381" i="24"/>
  <c r="AF383" i="24"/>
  <c r="AG91" i="25"/>
  <c r="AF91" i="25" s="1"/>
  <c r="AG213" i="25"/>
  <c r="AF213" i="25" s="1"/>
  <c r="AG135" i="25"/>
  <c r="AF135" i="25" s="1"/>
  <c r="AG72" i="25"/>
  <c r="AF72" i="25" s="1"/>
  <c r="AG46" i="25"/>
  <c r="AF46" i="25" s="1"/>
  <c r="AG89" i="25"/>
  <c r="AF89" i="25" s="1"/>
  <c r="AG26" i="25"/>
  <c r="AF26" i="25" s="1"/>
  <c r="AG335" i="25"/>
  <c r="AF335" i="25" s="1"/>
  <c r="AG118" i="25"/>
  <c r="AF118" i="25" s="1"/>
  <c r="AG63" i="25"/>
  <c r="AF63" i="25" s="1"/>
  <c r="AG98" i="25"/>
  <c r="AF98" i="25" s="1"/>
  <c r="AG35" i="25"/>
  <c r="AF35" i="25" s="1"/>
  <c r="AG68" i="25"/>
  <c r="AF68" i="25" s="1"/>
  <c r="AG64" i="25"/>
  <c r="AF64" i="25" s="1"/>
  <c r="AG95" i="25"/>
  <c r="AF95" i="25" s="1"/>
  <c r="AG67" i="25"/>
  <c r="AF67" i="25" s="1"/>
  <c r="AG59" i="25"/>
  <c r="AF59" i="25" s="1"/>
  <c r="AG86" i="25"/>
  <c r="AF86" i="25" s="1"/>
  <c r="AG240" i="25"/>
  <c r="AF240" i="25" s="1"/>
  <c r="AG31" i="25"/>
  <c r="AF31" i="25" s="1"/>
  <c r="AG103" i="25"/>
  <c r="AF103" i="25" s="1"/>
  <c r="AG36" i="25"/>
  <c r="AF36" i="25" s="1"/>
  <c r="AG45" i="25"/>
  <c r="AF45" i="25" s="1"/>
  <c r="AG15" i="25"/>
  <c r="AG311" i="25"/>
  <c r="AF311" i="25" s="1"/>
  <c r="AG74" i="25"/>
  <c r="AF74" i="25" s="1"/>
  <c r="AG178" i="25"/>
  <c r="AF178" i="25" s="1"/>
  <c r="AG83" i="25"/>
  <c r="AF83" i="25" s="1"/>
  <c r="AG57" i="25"/>
  <c r="AF57" i="25" s="1"/>
  <c r="AG33" i="25"/>
  <c r="AF33" i="25" s="1"/>
  <c r="AG66" i="25"/>
  <c r="AF66" i="25" s="1"/>
  <c r="AG62" i="25"/>
  <c r="AF62" i="25" s="1"/>
  <c r="S276" i="25"/>
  <c r="R276" i="25" s="1"/>
  <c r="S61" i="25"/>
  <c r="R61" i="25" s="1"/>
  <c r="S273" i="25"/>
  <c r="R273" i="25" s="1"/>
  <c r="S22" i="25"/>
  <c r="R22" i="25" s="1"/>
  <c r="S168" i="25"/>
  <c r="R168" i="25" s="1"/>
  <c r="S293" i="25"/>
  <c r="R293" i="25" s="1"/>
  <c r="S98" i="25"/>
  <c r="R98" i="25" s="1"/>
  <c r="S379" i="25"/>
  <c r="R379" i="25" s="1"/>
  <c r="S160" i="25"/>
  <c r="R160" i="25" s="1"/>
  <c r="S221" i="25"/>
  <c r="R221" i="25" s="1"/>
  <c r="S26" i="25"/>
  <c r="R26" i="25" s="1"/>
  <c r="S196" i="25"/>
  <c r="R196" i="25" s="1"/>
  <c r="S118" i="25"/>
  <c r="R118" i="25" s="1"/>
  <c r="S264" i="25"/>
  <c r="R264" i="25" s="1"/>
  <c r="S370" i="25"/>
  <c r="R370" i="25" s="1"/>
  <c r="S115" i="25"/>
  <c r="R115" i="25" s="1"/>
  <c r="S261" i="25"/>
  <c r="R261" i="25" s="1"/>
  <c r="S367" i="25"/>
  <c r="R367" i="25" s="1"/>
  <c r="S108" i="25"/>
  <c r="R108" i="25" s="1"/>
  <c r="S286" i="25"/>
  <c r="R286" i="25" s="1"/>
  <c r="S63" i="25"/>
  <c r="R63" i="25" s="1"/>
  <c r="S233" i="25"/>
  <c r="R233" i="25" s="1"/>
  <c r="S46" i="25"/>
  <c r="R46" i="25" s="1"/>
  <c r="S192" i="25"/>
  <c r="R192" i="25" s="1"/>
  <c r="S362" i="25"/>
  <c r="R362" i="25" s="1"/>
  <c r="S107" i="25"/>
  <c r="R107" i="25" s="1"/>
  <c r="S253" i="25"/>
  <c r="R253" i="25" s="1"/>
  <c r="S359" i="25"/>
  <c r="R359" i="25" s="1"/>
  <c r="S100" i="25"/>
  <c r="R100" i="25" s="1"/>
  <c r="S214" i="25"/>
  <c r="R214" i="25" s="1"/>
  <c r="S360" i="25"/>
  <c r="R360" i="25" s="1"/>
  <c r="S161" i="25"/>
  <c r="R161" i="25" s="1"/>
  <c r="S204" i="25"/>
  <c r="R204" i="25" s="1"/>
  <c r="S318" i="25"/>
  <c r="R318" i="25" s="1"/>
  <c r="S95" i="25"/>
  <c r="R95" i="25" s="1"/>
  <c r="S201" i="25"/>
  <c r="R201" i="25" s="1"/>
  <c r="S315" i="25"/>
  <c r="R315" i="25" s="1"/>
  <c r="S96" i="25"/>
  <c r="R96" i="25" s="1"/>
  <c r="S202" i="25"/>
  <c r="R202" i="25" s="1"/>
  <c r="S372" i="25"/>
  <c r="R372" i="25" s="1"/>
  <c r="S157" i="25"/>
  <c r="R157" i="25" s="1"/>
  <c r="S327" i="25"/>
  <c r="R327" i="25" s="1"/>
  <c r="S132" i="25"/>
  <c r="R132" i="25" s="1"/>
  <c r="S310" i="25"/>
  <c r="R310" i="25" s="1"/>
  <c r="S87" i="25"/>
  <c r="R87" i="25" s="1"/>
  <c r="S193" i="25"/>
  <c r="R193" i="25" s="1"/>
  <c r="S307" i="25"/>
  <c r="R307" i="25" s="1"/>
  <c r="S194" i="25"/>
  <c r="R194" i="25" s="1"/>
  <c r="S300" i="25"/>
  <c r="R300" i="25" s="1"/>
  <c r="S85" i="25"/>
  <c r="R85" i="25" s="1"/>
  <c r="S255" i="25"/>
  <c r="R255" i="25" s="1"/>
  <c r="S60" i="25"/>
  <c r="R60" i="25" s="1"/>
  <c r="S238" i="25"/>
  <c r="R238" i="25" s="1"/>
  <c r="S298" i="25"/>
  <c r="R298" i="25" s="1"/>
  <c r="S43" i="25"/>
  <c r="R43" i="25" s="1"/>
  <c r="S189" i="25"/>
  <c r="R189" i="25" s="1"/>
  <c r="S150" i="25"/>
  <c r="R150" i="25" s="1"/>
  <c r="S97" i="25"/>
  <c r="R97" i="25" s="1"/>
  <c r="S208" i="25"/>
  <c r="R208" i="25" s="1"/>
  <c r="S59" i="25"/>
  <c r="R59" i="25" s="1"/>
  <c r="S205" i="25"/>
  <c r="R205" i="25" s="1"/>
  <c r="S311" i="25"/>
  <c r="R311" i="25" s="1"/>
  <c r="S116" i="25"/>
  <c r="R116" i="25" s="1"/>
  <c r="S294" i="25"/>
  <c r="R294" i="25" s="1"/>
  <c r="S241" i="25"/>
  <c r="R241" i="25" s="1"/>
  <c r="S306" i="25"/>
  <c r="R306" i="25" s="1"/>
  <c r="S51" i="25"/>
  <c r="R51" i="25" s="1"/>
  <c r="S31" i="25"/>
  <c r="R31" i="25" s="1"/>
  <c r="S32" i="25"/>
  <c r="R32" i="25" s="1"/>
  <c r="S93" i="25"/>
  <c r="R93" i="25" s="1"/>
  <c r="S263" i="25"/>
  <c r="R263" i="25" s="1"/>
  <c r="S68" i="25"/>
  <c r="R68" i="25" s="1"/>
  <c r="S125" i="25"/>
  <c r="R125" i="25" s="1"/>
  <c r="S357" i="25"/>
  <c r="R357" i="25" s="1"/>
  <c r="S162" i="25"/>
  <c r="R162" i="25" s="1"/>
  <c r="S151" i="25"/>
  <c r="R151" i="25" s="1"/>
  <c r="S257" i="25"/>
  <c r="R257" i="25" s="1"/>
  <c r="S371" i="25"/>
  <c r="R371" i="25" s="1"/>
  <c r="S364" i="25"/>
  <c r="R364" i="25" s="1"/>
  <c r="S302" i="25"/>
  <c r="R302" i="25" s="1"/>
  <c r="I241" i="23"/>
  <c r="J241" i="23"/>
  <c r="J258" i="23"/>
  <c r="I258" i="23"/>
  <c r="AG81" i="25"/>
  <c r="AF81" i="25" s="1"/>
  <c r="AG75" i="25"/>
  <c r="AF75" i="25" s="1"/>
  <c r="AG20" i="25"/>
  <c r="AF20" i="25" s="1"/>
  <c r="AG47" i="25"/>
  <c r="AF47" i="25" s="1"/>
  <c r="AG51" i="25"/>
  <c r="AF51" i="25" s="1"/>
  <c r="AG92" i="25"/>
  <c r="AF92" i="25" s="1"/>
  <c r="AG29" i="25"/>
  <c r="AF29" i="25" s="1"/>
  <c r="AG27" i="25"/>
  <c r="AF27" i="25" s="1"/>
  <c r="AG34" i="25"/>
  <c r="AF34" i="25" s="1"/>
  <c r="AG30" i="25"/>
  <c r="AF30" i="25" s="1"/>
  <c r="AG71" i="25"/>
  <c r="AF71" i="25" s="1"/>
  <c r="AG43" i="25"/>
  <c r="AF43" i="25" s="1"/>
  <c r="AG32" i="25"/>
  <c r="AF32" i="25" s="1"/>
  <c r="AG253" i="25"/>
  <c r="AF253" i="25" s="1"/>
  <c r="AG78" i="25"/>
  <c r="AF78" i="25" s="1"/>
  <c r="AG189" i="25"/>
  <c r="AF189" i="25" s="1"/>
  <c r="AG94" i="25"/>
  <c r="AF94" i="25" s="1"/>
  <c r="AG196" i="25"/>
  <c r="AF196" i="25" s="1"/>
  <c r="AG70" i="25"/>
  <c r="AF70" i="25" s="1"/>
  <c r="AG19" i="25"/>
  <c r="AF19" i="25" s="1"/>
  <c r="AG157" i="25"/>
  <c r="AF157" i="25" s="1"/>
  <c r="AG49" i="25"/>
  <c r="AF49" i="25" s="1"/>
  <c r="AG58" i="25"/>
  <c r="AF58" i="25" s="1"/>
  <c r="S89" i="25"/>
  <c r="R89" i="25" s="1"/>
  <c r="S48" i="25"/>
  <c r="R48" i="25" s="1"/>
  <c r="S27" i="25"/>
  <c r="R27" i="25" s="1"/>
  <c r="S195" i="25"/>
  <c r="R195" i="25" s="1"/>
  <c r="S341" i="25"/>
  <c r="R341" i="25" s="1"/>
  <c r="S271" i="25"/>
  <c r="R271" i="25" s="1"/>
  <c r="S284" i="25"/>
  <c r="R284" i="25" s="1"/>
  <c r="S219" i="25"/>
  <c r="R219" i="25" s="1"/>
  <c r="S217" i="25"/>
  <c r="R217" i="25" s="1"/>
  <c r="S346" i="25"/>
  <c r="R346" i="25" s="1"/>
  <c r="S24" i="25"/>
  <c r="R24" i="25" s="1"/>
  <c r="S236" i="25"/>
  <c r="R236" i="25" s="1"/>
  <c r="S21" i="25"/>
  <c r="R21" i="25" s="1"/>
  <c r="S320" i="25"/>
  <c r="R320" i="25" s="1"/>
  <c r="S17" i="25"/>
  <c r="R17" i="25" s="1"/>
  <c r="S143" i="25"/>
  <c r="R143" i="25" s="1"/>
  <c r="S50" i="25"/>
  <c r="R50" i="25" s="1"/>
  <c r="S91" i="25"/>
  <c r="R91" i="25" s="1"/>
  <c r="S190" i="25"/>
  <c r="R190" i="25" s="1"/>
  <c r="S73" i="25"/>
  <c r="R73" i="25" s="1"/>
  <c r="S74" i="25"/>
  <c r="R74" i="25" s="1"/>
  <c r="I196" i="23"/>
  <c r="J196" i="23"/>
  <c r="S99" i="25"/>
  <c r="R99" i="25" s="1"/>
  <c r="S245" i="25"/>
  <c r="R245" i="25" s="1"/>
  <c r="S351" i="25"/>
  <c r="R351" i="25" s="1"/>
  <c r="S92" i="25"/>
  <c r="R92" i="25" s="1"/>
  <c r="S352" i="25"/>
  <c r="R352" i="25" s="1"/>
  <c r="S173" i="25"/>
  <c r="R173" i="25" s="1"/>
  <c r="S343" i="25"/>
  <c r="R343" i="25" s="1"/>
  <c r="S84" i="25"/>
  <c r="R84" i="25" s="1"/>
  <c r="S198" i="25"/>
  <c r="R198" i="25" s="1"/>
  <c r="S81" i="25"/>
  <c r="R81" i="25" s="1"/>
  <c r="S316" i="25"/>
  <c r="R316" i="25" s="1"/>
  <c r="S101" i="25"/>
  <c r="R101" i="25" s="1"/>
  <c r="S185" i="25"/>
  <c r="R185" i="25" s="1"/>
  <c r="S299" i="25"/>
  <c r="R299" i="25" s="1"/>
  <c r="S80" i="25"/>
  <c r="R80" i="25" s="1"/>
  <c r="S186" i="25"/>
  <c r="R186" i="25" s="1"/>
  <c r="S292" i="25"/>
  <c r="R292" i="25" s="1"/>
  <c r="S77" i="25"/>
  <c r="R77" i="25" s="1"/>
  <c r="S183" i="25"/>
  <c r="R183" i="25" s="1"/>
  <c r="S353" i="25"/>
  <c r="R353" i="25" s="1"/>
  <c r="S166" i="25"/>
  <c r="R166" i="25" s="1"/>
  <c r="S312" i="25"/>
  <c r="R312" i="25" s="1"/>
  <c r="S113" i="25"/>
  <c r="R113" i="25" s="1"/>
  <c r="S291" i="25"/>
  <c r="R291" i="25" s="1"/>
  <c r="S72" i="25"/>
  <c r="R72" i="25" s="1"/>
  <c r="S178" i="25"/>
  <c r="R178" i="25" s="1"/>
  <c r="S69" i="25"/>
  <c r="R69" i="25" s="1"/>
  <c r="S175" i="25"/>
  <c r="R175" i="25" s="1"/>
  <c r="S281" i="25"/>
  <c r="R281" i="25" s="1"/>
  <c r="S94" i="25"/>
  <c r="R94" i="25" s="1"/>
  <c r="S240" i="25"/>
  <c r="R240" i="25" s="1"/>
  <c r="S365" i="25"/>
  <c r="R365" i="25" s="1"/>
  <c r="S279" i="25"/>
  <c r="R279" i="25" s="1"/>
  <c r="S20" i="25"/>
  <c r="R20" i="25" s="1"/>
  <c r="S134" i="25"/>
  <c r="R134" i="25" s="1"/>
  <c r="S280" i="25"/>
  <c r="R280" i="25" s="1"/>
  <c r="S16" i="25"/>
  <c r="R16" i="25" s="1"/>
  <c r="S131" i="25"/>
  <c r="R131" i="25" s="1"/>
  <c r="S277" i="25"/>
  <c r="R277" i="25" s="1"/>
  <c r="S82" i="25"/>
  <c r="R82" i="25" s="1"/>
  <c r="S252" i="25"/>
  <c r="R252" i="25" s="1"/>
  <c r="S37" i="25"/>
  <c r="R37" i="25" s="1"/>
  <c r="S207" i="25"/>
  <c r="R207" i="25" s="1"/>
  <c r="S377" i="25"/>
  <c r="R377" i="25" s="1"/>
  <c r="S126" i="25"/>
  <c r="R126" i="25" s="1"/>
  <c r="S272" i="25"/>
  <c r="R272" i="25" s="1"/>
  <c r="S378" i="25"/>
  <c r="R378" i="25" s="1"/>
  <c r="S123" i="25"/>
  <c r="R123" i="25" s="1"/>
  <c r="S269" i="25"/>
  <c r="R269" i="25" s="1"/>
  <c r="S375" i="25"/>
  <c r="R375" i="25" s="1"/>
  <c r="S180" i="25"/>
  <c r="R180" i="25" s="1"/>
  <c r="S358" i="25"/>
  <c r="R358" i="25" s="1"/>
  <c r="S135" i="25"/>
  <c r="R135" i="25" s="1"/>
  <c r="S305" i="25"/>
  <c r="R305" i="25" s="1"/>
  <c r="S227" i="25"/>
  <c r="R227" i="25" s="1"/>
  <c r="S114" i="25"/>
  <c r="R114" i="25" s="1"/>
  <c r="S220" i="25"/>
  <c r="R220" i="25" s="1"/>
  <c r="S334" i="25"/>
  <c r="R334" i="25" s="1"/>
  <c r="S30" i="25"/>
  <c r="R30" i="25" s="1"/>
  <c r="S155" i="25"/>
  <c r="R155" i="25" s="1"/>
  <c r="S106" i="25"/>
  <c r="R106" i="25" s="1"/>
  <c r="S212" i="25"/>
  <c r="R212" i="25" s="1"/>
  <c r="S326" i="25"/>
  <c r="R326" i="25" s="1"/>
  <c r="S103" i="25"/>
  <c r="R103" i="25" s="1"/>
  <c r="S209" i="25"/>
  <c r="R209" i="25" s="1"/>
  <c r="S323" i="25"/>
  <c r="R323" i="25" s="1"/>
  <c r="S104" i="25"/>
  <c r="R104" i="25" s="1"/>
  <c r="S274" i="25"/>
  <c r="R274" i="25" s="1"/>
  <c r="S83" i="25"/>
  <c r="R83" i="25" s="1"/>
  <c r="S229" i="25"/>
  <c r="R229" i="25" s="1"/>
  <c r="S34" i="25"/>
  <c r="R34" i="25" s="1"/>
  <c r="S246" i="25"/>
  <c r="R246" i="25" s="1"/>
  <c r="S23" i="25"/>
  <c r="R23" i="25" s="1"/>
  <c r="S129" i="25"/>
  <c r="R129" i="25" s="1"/>
  <c r="S361" i="25"/>
  <c r="R361" i="25" s="1"/>
  <c r="S121" i="25"/>
  <c r="R121" i="25" s="1"/>
  <c r="S235" i="25"/>
  <c r="R235" i="25" s="1"/>
  <c r="S122" i="25"/>
  <c r="R122" i="25" s="1"/>
  <c r="S228" i="25"/>
  <c r="R228" i="25" s="1"/>
  <c r="S342" i="25"/>
  <c r="R342" i="25" s="1"/>
  <c r="S119" i="25"/>
  <c r="R119" i="25" s="1"/>
  <c r="S289" i="25"/>
  <c r="R289" i="25" s="1"/>
  <c r="S102" i="25"/>
  <c r="R102" i="25" s="1"/>
  <c r="S248" i="25"/>
  <c r="R248" i="25" s="1"/>
  <c r="S49" i="25"/>
  <c r="R49" i="25" s="1"/>
  <c r="S332" i="25"/>
  <c r="R332" i="25" s="1"/>
  <c r="S117" i="25"/>
  <c r="R117" i="25" s="1"/>
  <c r="S223" i="25"/>
  <c r="R223" i="25" s="1"/>
  <c r="S329" i="25"/>
  <c r="R329" i="25" s="1"/>
  <c r="S78" i="25"/>
  <c r="R78" i="25" s="1"/>
  <c r="S224" i="25"/>
  <c r="R224" i="25" s="1"/>
  <c r="S330" i="25"/>
  <c r="R330" i="25" s="1"/>
  <c r="S139" i="25"/>
  <c r="R139" i="25" s="1"/>
  <c r="S285" i="25"/>
  <c r="R285" i="25" s="1"/>
  <c r="S90" i="25"/>
  <c r="R90" i="25" s="1"/>
  <c r="S260" i="25"/>
  <c r="R260" i="25" s="1"/>
  <c r="S45" i="25"/>
  <c r="R45" i="25" s="1"/>
  <c r="S215" i="25"/>
  <c r="R215" i="25" s="1"/>
  <c r="S321" i="25"/>
  <c r="R321" i="25" s="1"/>
  <c r="S70" i="25"/>
  <c r="R70" i="25" s="1"/>
  <c r="S216" i="25"/>
  <c r="R216" i="25" s="1"/>
  <c r="S322" i="25"/>
  <c r="R322" i="25" s="1"/>
  <c r="S67" i="25"/>
  <c r="R67" i="25" s="1"/>
  <c r="S213" i="25"/>
  <c r="R213" i="25" s="1"/>
  <c r="S188" i="25"/>
  <c r="R188" i="25" s="1"/>
  <c r="S57" i="25"/>
  <c r="R57" i="25" s="1"/>
  <c r="S171" i="25"/>
  <c r="R171" i="25" s="1"/>
  <c r="S317" i="25"/>
  <c r="R317" i="25" s="1"/>
  <c r="S58" i="25"/>
  <c r="R58" i="25" s="1"/>
  <c r="S164" i="25"/>
  <c r="R164" i="25" s="1"/>
  <c r="S278" i="25"/>
  <c r="R278" i="25" s="1"/>
  <c r="S55" i="25"/>
  <c r="R55" i="25" s="1"/>
  <c r="S225" i="25"/>
  <c r="R225" i="25" s="1"/>
  <c r="S38" i="25"/>
  <c r="R38" i="25" s="1"/>
  <c r="S184" i="25"/>
  <c r="R184" i="25" s="1"/>
  <c r="S354" i="25"/>
  <c r="R354" i="25" s="1"/>
  <c r="S163" i="25"/>
  <c r="R163" i="25" s="1"/>
  <c r="S309" i="25"/>
  <c r="R309" i="25" s="1"/>
  <c r="S156" i="25"/>
  <c r="R156" i="25" s="1"/>
  <c r="S270" i="25"/>
  <c r="R270" i="25" s="1"/>
  <c r="S47" i="25"/>
  <c r="R47" i="25" s="1"/>
  <c r="S153" i="25"/>
  <c r="R153" i="25" s="1"/>
  <c r="S331" i="25"/>
  <c r="R331" i="25" s="1"/>
  <c r="S112" i="25"/>
  <c r="R112" i="25" s="1"/>
  <c r="S237" i="25"/>
  <c r="R237" i="25" s="1"/>
  <c r="S187" i="25"/>
  <c r="R187" i="25" s="1"/>
  <c r="S244" i="25"/>
  <c r="R244" i="25" s="1"/>
  <c r="S199" i="25"/>
  <c r="R199" i="25" s="1"/>
  <c r="S369" i="25"/>
  <c r="R369" i="25" s="1"/>
  <c r="S182" i="25"/>
  <c r="R182" i="25" s="1"/>
  <c r="S328" i="25"/>
  <c r="R328" i="25" s="1"/>
  <c r="S65" i="25"/>
  <c r="R65" i="25" s="1"/>
  <c r="S179" i="25"/>
  <c r="R179" i="25" s="1"/>
  <c r="S325" i="25"/>
  <c r="R325" i="25" s="1"/>
  <c r="S66" i="25"/>
  <c r="R66" i="25" s="1"/>
  <c r="S172" i="25"/>
  <c r="R172" i="25" s="1"/>
  <c r="S350" i="25"/>
  <c r="R350" i="25" s="1"/>
  <c r="S127" i="25"/>
  <c r="R127" i="25" s="1"/>
  <c r="S297" i="25"/>
  <c r="R297" i="25" s="1"/>
  <c r="S110" i="25"/>
  <c r="R110" i="25" s="1"/>
  <c r="S256" i="25"/>
  <c r="R256" i="25" s="1"/>
  <c r="S381" i="24"/>
  <c r="S382" i="24"/>
  <c r="E15" i="22"/>
  <c r="AJ9" i="22" s="1"/>
  <c r="AJ11" i="22" s="1"/>
  <c r="B68" i="19"/>
  <c r="AG115" i="25"/>
  <c r="AF115" i="25" s="1"/>
  <c r="AG28" i="25"/>
  <c r="AF28" i="25" s="1"/>
  <c r="AG174" i="25"/>
  <c r="AF174" i="25" s="1"/>
  <c r="AG87" i="25"/>
  <c r="AF87" i="25" s="1"/>
  <c r="AG154" i="25"/>
  <c r="AF154" i="25" s="1"/>
  <c r="AG100" i="25"/>
  <c r="AF100" i="25" s="1"/>
  <c r="AG191" i="25"/>
  <c r="AF191" i="25" s="1"/>
  <c r="AG96" i="25"/>
  <c r="AF96" i="25" s="1"/>
  <c r="AG226" i="25"/>
  <c r="AF226" i="25" s="1"/>
  <c r="AG17" i="25"/>
  <c r="AF17" i="25" s="1"/>
  <c r="AG338" i="25"/>
  <c r="AF338" i="25" s="1"/>
  <c r="AG97" i="25"/>
  <c r="AF97" i="25" s="1"/>
  <c r="AG93" i="25"/>
  <c r="AF93" i="25" s="1"/>
  <c r="AG73" i="25"/>
  <c r="AF73" i="25" s="1"/>
  <c r="AG102" i="25"/>
  <c r="AF102" i="25" s="1"/>
  <c r="AG291" i="25"/>
  <c r="AF291" i="25" s="1"/>
  <c r="AG76" i="25"/>
  <c r="AF76" i="25" s="1"/>
  <c r="AG222" i="25"/>
  <c r="AF222" i="25" s="1"/>
  <c r="AG52" i="25"/>
  <c r="AF52" i="25" s="1"/>
  <c r="AG144" i="25"/>
  <c r="AF144" i="25" s="1"/>
  <c r="AG211" i="25"/>
  <c r="AF211" i="25" s="1"/>
  <c r="AG82" i="25"/>
  <c r="AF82" i="25" s="1"/>
  <c r="AG85" i="25"/>
  <c r="AF85" i="25" s="1"/>
  <c r="AG61" i="25"/>
  <c r="AF61" i="25" s="1"/>
  <c r="AG88" i="25"/>
  <c r="AF88" i="25" s="1"/>
  <c r="AG41" i="25"/>
  <c r="AF41" i="25" s="1"/>
  <c r="AG187" i="25"/>
  <c r="AF187" i="25" s="1"/>
  <c r="AG322" i="25"/>
  <c r="AF322" i="25" s="1"/>
  <c r="AG318" i="25"/>
  <c r="AF318" i="25" s="1"/>
  <c r="AG77" i="25"/>
  <c r="AF77" i="25" s="1"/>
  <c r="AG116" i="25"/>
  <c r="AF116" i="25" s="1"/>
  <c r="AG21" i="25"/>
  <c r="AF21" i="25" s="1"/>
  <c r="AG143" i="25"/>
  <c r="AF143" i="25" s="1"/>
  <c r="AG80" i="25"/>
  <c r="AF80" i="25" s="1"/>
  <c r="AG242" i="25"/>
  <c r="AF242" i="25" s="1"/>
  <c r="AG60" i="25"/>
  <c r="AF60" i="25" s="1"/>
  <c r="AG105" i="25"/>
  <c r="AF105" i="25" s="1"/>
  <c r="AG69" i="25"/>
  <c r="AF69" i="25" s="1"/>
  <c r="AG248" i="25"/>
  <c r="AF248" i="25" s="1"/>
  <c r="AG347" i="25"/>
  <c r="AF347" i="25" s="1"/>
  <c r="AG84" i="25"/>
  <c r="AF84" i="25" s="1"/>
  <c r="AG111" i="25"/>
  <c r="AF111" i="25" s="1"/>
  <c r="AG48" i="25"/>
  <c r="AF48" i="25" s="1"/>
  <c r="AG55" i="25"/>
  <c r="AF55" i="25" s="1"/>
  <c r="AG181" i="25"/>
  <c r="AF181" i="25" s="1"/>
  <c r="AG44" i="25"/>
  <c r="AF44" i="25" s="1"/>
  <c r="J105" i="23"/>
  <c r="I105" i="23"/>
  <c r="AG42" i="25"/>
  <c r="AF42" i="25" s="1"/>
  <c r="AG101" i="25"/>
  <c r="AF101" i="25" s="1"/>
  <c r="AG264" i="25"/>
  <c r="AF264" i="25" s="1"/>
  <c r="AG90" i="25"/>
  <c r="AF90" i="25" s="1"/>
  <c r="AG40" i="25"/>
  <c r="AF40" i="25" s="1"/>
  <c r="AG238" i="25"/>
  <c r="AF238" i="25" s="1"/>
  <c r="AG54" i="25"/>
  <c r="AF54" i="25" s="1"/>
  <c r="AG233" i="25"/>
  <c r="AF233" i="25" s="1"/>
  <c r="AG18" i="25"/>
  <c r="AF18" i="25" s="1"/>
  <c r="AG195" i="25"/>
  <c r="AF195" i="25" s="1"/>
  <c r="AG22" i="25"/>
  <c r="AF22" i="25" s="1"/>
  <c r="S170" i="25"/>
  <c r="R170" i="25" s="1"/>
  <c r="S167" i="25"/>
  <c r="R167" i="25" s="1"/>
  <c r="S338" i="25"/>
  <c r="R338" i="25" s="1"/>
  <c r="S147" i="25"/>
  <c r="R147" i="25" s="1"/>
  <c r="S268" i="25"/>
  <c r="R268" i="25" s="1"/>
  <c r="S53" i="25"/>
  <c r="R53" i="25" s="1"/>
  <c r="S159" i="25"/>
  <c r="R159" i="25" s="1"/>
  <c r="S265" i="25"/>
  <c r="R265" i="25" s="1"/>
  <c r="S266" i="25"/>
  <c r="R266" i="25" s="1"/>
  <c r="S75" i="25"/>
  <c r="R75" i="25" s="1"/>
  <c r="S339" i="25"/>
  <c r="R339" i="25" s="1"/>
  <c r="S120" i="25"/>
  <c r="R120" i="25" s="1"/>
  <c r="S290" i="25"/>
  <c r="R290" i="25" s="1"/>
  <c r="S88" i="25"/>
  <c r="R88" i="25" s="1"/>
  <c r="S15" i="25"/>
  <c r="T382" i="25"/>
  <c r="T381" i="25"/>
  <c r="T383" i="25"/>
  <c r="S295" i="25"/>
  <c r="R295" i="25" s="1"/>
  <c r="S36" i="25"/>
  <c r="R36" i="25" s="1"/>
  <c r="S296" i="25"/>
  <c r="R296" i="25" s="1"/>
  <c r="S275" i="25"/>
  <c r="R275" i="25" s="1"/>
  <c r="S56" i="25"/>
  <c r="R56" i="25" s="1"/>
  <c r="S226" i="25"/>
  <c r="R226" i="25" s="1"/>
  <c r="S35" i="25"/>
  <c r="R35" i="25" s="1"/>
  <c r="S181" i="25"/>
  <c r="R181" i="25" s="1"/>
  <c r="S287" i="25"/>
  <c r="R287" i="25" s="1"/>
  <c r="S28" i="25"/>
  <c r="R28" i="25" s="1"/>
  <c r="S142" i="25"/>
  <c r="R142" i="25" s="1"/>
  <c r="S288" i="25"/>
  <c r="R288" i="25" s="1"/>
  <c r="S25" i="25"/>
  <c r="R25" i="25" s="1"/>
  <c r="S203" i="25"/>
  <c r="R203" i="25" s="1"/>
  <c r="S349" i="25"/>
  <c r="R349" i="25" s="1"/>
  <c r="S154" i="25"/>
  <c r="R154" i="25" s="1"/>
  <c r="S324" i="25"/>
  <c r="R324" i="25" s="1"/>
  <c r="S109" i="25"/>
  <c r="R109" i="25" s="1"/>
  <c r="S313" i="25"/>
  <c r="R313" i="25" s="1"/>
  <c r="S62" i="25"/>
  <c r="R62" i="25" s="1"/>
  <c r="S314" i="25"/>
  <c r="R314" i="25" s="1"/>
  <c r="S71" i="25"/>
  <c r="R71" i="25" s="1"/>
  <c r="S54" i="25"/>
  <c r="R54" i="25" s="1"/>
  <c r="S200" i="25"/>
  <c r="R200" i="25" s="1"/>
  <c r="S197" i="25"/>
  <c r="R197" i="25" s="1"/>
  <c r="S303" i="25"/>
  <c r="R303" i="25" s="1"/>
  <c r="S44" i="25"/>
  <c r="R44" i="25" s="1"/>
  <c r="S222" i="25"/>
  <c r="R222" i="25" s="1"/>
  <c r="S368" i="25"/>
  <c r="R368" i="25" s="1"/>
  <c r="S169" i="25"/>
  <c r="R169" i="25" s="1"/>
  <c r="S347" i="25"/>
  <c r="R347" i="25" s="1"/>
  <c r="S128" i="25"/>
  <c r="R128" i="25" s="1"/>
  <c r="S42" i="25"/>
  <c r="R42" i="25" s="1"/>
  <c r="S148" i="25"/>
  <c r="R148" i="25" s="1"/>
  <c r="S262" i="25"/>
  <c r="R262" i="25" s="1"/>
  <c r="S39" i="25"/>
  <c r="R39" i="25" s="1"/>
  <c r="S145" i="25"/>
  <c r="R145" i="25" s="1"/>
  <c r="S259" i="25"/>
  <c r="R259" i="25" s="1"/>
  <c r="S40" i="25"/>
  <c r="R40" i="25" s="1"/>
  <c r="S210" i="25"/>
  <c r="R210" i="25" s="1"/>
  <c r="S18" i="25"/>
  <c r="R18" i="25" s="1"/>
  <c r="S165" i="25"/>
  <c r="R165" i="25" s="1"/>
  <c r="S335" i="25"/>
  <c r="R335" i="25" s="1"/>
  <c r="S140" i="25"/>
  <c r="R140" i="25" s="1"/>
  <c r="S254" i="25"/>
  <c r="R254" i="25" s="1"/>
  <c r="S137" i="25"/>
  <c r="R137" i="25" s="1"/>
  <c r="S251" i="25"/>
  <c r="R251" i="25" s="1"/>
  <c r="S138" i="25"/>
  <c r="R138" i="25" s="1"/>
  <c r="S308" i="25"/>
  <c r="R308" i="25" s="1"/>
  <c r="S355" i="25"/>
  <c r="R355" i="25" s="1"/>
  <c r="S136" i="25"/>
  <c r="R136" i="25" s="1"/>
  <c r="S242" i="25"/>
  <c r="R242" i="25" s="1"/>
  <c r="S348" i="25"/>
  <c r="R348" i="25" s="1"/>
  <c r="S133" i="25"/>
  <c r="R133" i="25" s="1"/>
  <c r="S239" i="25"/>
  <c r="R239" i="25" s="1"/>
  <c r="S345" i="25"/>
  <c r="R345" i="25" s="1"/>
  <c r="S158" i="25"/>
  <c r="R158" i="25" s="1"/>
  <c r="S304" i="25"/>
  <c r="R304" i="25" s="1"/>
  <c r="S105" i="25"/>
  <c r="R105" i="25" s="1"/>
  <c r="S283" i="25"/>
  <c r="R283" i="25" s="1"/>
  <c r="S64" i="25"/>
  <c r="R64" i="25" s="1"/>
  <c r="S234" i="25"/>
  <c r="R234" i="25" s="1"/>
  <c r="S340" i="25"/>
  <c r="R340" i="25" s="1"/>
  <c r="S231" i="25"/>
  <c r="R231" i="25" s="1"/>
  <c r="S337" i="25"/>
  <c r="R337" i="25" s="1"/>
  <c r="S86" i="25"/>
  <c r="R86" i="25" s="1"/>
  <c r="S232" i="25"/>
  <c r="R232" i="25" s="1"/>
  <c r="S33" i="25"/>
  <c r="R33" i="25" s="1"/>
  <c r="S211" i="25"/>
  <c r="R211" i="25" s="1"/>
  <c r="S374" i="25"/>
  <c r="R374" i="25" s="1"/>
  <c r="S152" i="25"/>
  <c r="R152" i="25" s="1"/>
  <c r="S258" i="25"/>
  <c r="R258" i="25" s="1"/>
  <c r="S149" i="25"/>
  <c r="R149" i="25" s="1"/>
  <c r="S319" i="25"/>
  <c r="R319" i="25" s="1"/>
  <c r="S124" i="25"/>
  <c r="R124" i="25" s="1"/>
  <c r="S79" i="25"/>
  <c r="R79" i="25" s="1"/>
  <c r="S249" i="25"/>
  <c r="R249" i="25" s="1"/>
  <c r="S363" i="25"/>
  <c r="R363" i="25" s="1"/>
  <c r="S144" i="25"/>
  <c r="R144" i="25" s="1"/>
  <c r="S250" i="25"/>
  <c r="R250" i="25" s="1"/>
  <c r="S356" i="25"/>
  <c r="R356" i="25" s="1"/>
  <c r="S141" i="25"/>
  <c r="R141" i="25" s="1"/>
  <c r="S247" i="25"/>
  <c r="R247" i="25" s="1"/>
  <c r="S52" i="25"/>
  <c r="R52" i="25" s="1"/>
  <c r="S230" i="25"/>
  <c r="R230" i="25" s="1"/>
  <c r="S376" i="25"/>
  <c r="R376" i="25" s="1"/>
  <c r="S177" i="25"/>
  <c r="R177" i="25" s="1"/>
  <c r="J302" i="23"/>
  <c r="I302" i="23"/>
  <c r="J227" i="23"/>
  <c r="I227" i="23"/>
  <c r="AG16" i="25"/>
  <c r="AF16" i="25" s="1"/>
  <c r="AG25" i="25"/>
  <c r="AF25" i="25" s="1"/>
  <c r="I284" i="23" l="1"/>
  <c r="J348" i="23"/>
  <c r="I370" i="23"/>
  <c r="Q158" i="24"/>
  <c r="P158" i="24" s="1"/>
  <c r="V158" i="24" s="1"/>
  <c r="B158" i="24" s="1"/>
  <c r="D158" i="24" s="1"/>
  <c r="E158" i="24" s="1"/>
  <c r="F158" i="24" s="1"/>
  <c r="G158" i="24" s="1"/>
  <c r="CE158" i="6" s="1"/>
  <c r="J319" i="23"/>
  <c r="J46" i="23"/>
  <c r="J135" i="23"/>
  <c r="J270" i="23"/>
  <c r="I74" i="23"/>
  <c r="I289" i="23"/>
  <c r="I315" i="23"/>
  <c r="I27" i="23"/>
  <c r="AD382" i="23"/>
  <c r="AD381" i="23"/>
  <c r="AD383" i="23"/>
  <c r="I288" i="23"/>
  <c r="J93" i="23"/>
  <c r="I359" i="23"/>
  <c r="J97" i="23"/>
  <c r="J39" i="19"/>
  <c r="G31" i="19"/>
  <c r="V381" i="23"/>
  <c r="D383" i="22"/>
  <c r="I314" i="23"/>
  <c r="I82" i="23"/>
  <c r="J82" i="23"/>
  <c r="I141" i="23"/>
  <c r="J141" i="23"/>
  <c r="B383" i="23"/>
  <c r="AJ8" i="22"/>
  <c r="AJ6" i="23"/>
  <c r="V382" i="23"/>
  <c r="D382" i="22"/>
  <c r="AK6" i="23"/>
  <c r="Q107" i="24"/>
  <c r="P107" i="24" s="1"/>
  <c r="V107" i="24" s="1"/>
  <c r="B107" i="24" s="1"/>
  <c r="W107" i="24" s="1"/>
  <c r="J145" i="23"/>
  <c r="I145" i="23"/>
  <c r="J114" i="23"/>
  <c r="I114" i="23"/>
  <c r="Q245" i="24"/>
  <c r="P245" i="24" s="1"/>
  <c r="V245" i="24" s="1"/>
  <c r="B245" i="24" s="1"/>
  <c r="W245" i="24" s="1"/>
  <c r="Q128" i="24"/>
  <c r="P128" i="24" s="1"/>
  <c r="V128" i="24" s="1"/>
  <c r="B128" i="24" s="1"/>
  <c r="W128" i="24" s="1"/>
  <c r="I156" i="23"/>
  <c r="J156" i="23"/>
  <c r="J174" i="23"/>
  <c r="I174" i="23"/>
  <c r="I248" i="23"/>
  <c r="J248" i="23"/>
  <c r="I129" i="23"/>
  <c r="J129" i="23"/>
  <c r="I189" i="23"/>
  <c r="J189" i="23"/>
  <c r="B381" i="23"/>
  <c r="J283" i="23"/>
  <c r="I283" i="23"/>
  <c r="V383" i="23"/>
  <c r="D9" i="22"/>
  <c r="D11" i="22" s="1"/>
  <c r="D381" i="22"/>
  <c r="B382" i="23"/>
  <c r="H9" i="23"/>
  <c r="B18" i="19" s="1"/>
  <c r="D245" i="24"/>
  <c r="E245" i="24" s="1"/>
  <c r="F245" i="24" s="1"/>
  <c r="G245" i="24" s="1"/>
  <c r="CE245" i="6" s="1"/>
  <c r="D128" i="24"/>
  <c r="E128" i="24" s="1"/>
  <c r="F128" i="24" s="1"/>
  <c r="G128" i="24" s="1"/>
  <c r="CE128" i="6" s="1"/>
  <c r="W158" i="24"/>
  <c r="J221" i="23"/>
  <c r="I221" i="23"/>
  <c r="I143" i="23"/>
  <c r="J143" i="23"/>
  <c r="I84" i="23"/>
  <c r="J84" i="23"/>
  <c r="J184" i="23"/>
  <c r="I184" i="23"/>
  <c r="J77" i="23"/>
  <c r="I77" i="23"/>
  <c r="I134" i="23"/>
  <c r="J134" i="23"/>
  <c r="J136" i="23"/>
  <c r="I136" i="23"/>
  <c r="I67" i="23"/>
  <c r="J67" i="23"/>
  <c r="I259" i="23"/>
  <c r="J259" i="23"/>
  <c r="I86" i="23"/>
  <c r="J86" i="23"/>
  <c r="J150" i="23"/>
  <c r="I150" i="23"/>
  <c r="J369" i="23"/>
  <c r="I369" i="23"/>
  <c r="I168" i="23"/>
  <c r="J168" i="23"/>
  <c r="W262" i="24"/>
  <c r="D262" i="24"/>
  <c r="E262" i="24" s="1"/>
  <c r="F262" i="24" s="1"/>
  <c r="J240" i="23"/>
  <c r="I240" i="23"/>
  <c r="J372" i="23"/>
  <c r="I372" i="23"/>
  <c r="I236" i="23"/>
  <c r="J236" i="23"/>
  <c r="J90" i="23"/>
  <c r="I90" i="23"/>
  <c r="J85" i="23"/>
  <c r="I85" i="23"/>
  <c r="J304" i="23"/>
  <c r="I304" i="23"/>
  <c r="I94" i="23"/>
  <c r="J94" i="23"/>
  <c r="I153" i="23"/>
  <c r="J153" i="23"/>
  <c r="J21" i="23"/>
  <c r="I21" i="23"/>
  <c r="J139" i="23"/>
  <c r="I139" i="23"/>
  <c r="I64" i="23"/>
  <c r="J64" i="23"/>
  <c r="J237" i="23"/>
  <c r="I237" i="23"/>
  <c r="I193" i="23"/>
  <c r="J193" i="23"/>
  <c r="J39" i="23"/>
  <c r="I39" i="23"/>
  <c r="J351" i="23"/>
  <c r="I351" i="23"/>
  <c r="J157" i="23"/>
  <c r="I157" i="23"/>
  <c r="J339" i="23"/>
  <c r="I339" i="23"/>
  <c r="J371" i="23"/>
  <c r="I371" i="23"/>
  <c r="J198" i="23"/>
  <c r="I198" i="23"/>
  <c r="I263" i="23"/>
  <c r="J263" i="23"/>
  <c r="I224" i="23"/>
  <c r="J224" i="23"/>
  <c r="I366" i="23"/>
  <c r="J366" i="23"/>
  <c r="I191" i="23"/>
  <c r="J191" i="23"/>
  <c r="J16" i="23"/>
  <c r="I16" i="23"/>
  <c r="J355" i="23"/>
  <c r="I355" i="23"/>
  <c r="J203" i="23"/>
  <c r="I203" i="23"/>
  <c r="I147" i="23"/>
  <c r="J147" i="23"/>
  <c r="J342" i="23"/>
  <c r="I342" i="23"/>
  <c r="J214" i="23"/>
  <c r="I214" i="23"/>
  <c r="J353" i="23"/>
  <c r="I353" i="23"/>
  <c r="J40" i="23"/>
  <c r="I40" i="23"/>
  <c r="J170" i="23"/>
  <c r="I170" i="23"/>
  <c r="H333" i="23"/>
  <c r="G333" i="23"/>
  <c r="CD333" i="6" s="1"/>
  <c r="AA333" i="23"/>
  <c r="Z333" i="23" s="1"/>
  <c r="Y333" i="23" s="1"/>
  <c r="J273" i="23"/>
  <c r="I273" i="23"/>
  <c r="J334" i="23"/>
  <c r="I334" i="23"/>
  <c r="I234" i="23"/>
  <c r="J234" i="23"/>
  <c r="I229" i="23"/>
  <c r="J229" i="23"/>
  <c r="J124" i="23"/>
  <c r="I124" i="23"/>
  <c r="I242" i="23"/>
  <c r="J242" i="23"/>
  <c r="J303" i="23"/>
  <c r="I303" i="23"/>
  <c r="J238" i="23"/>
  <c r="I238" i="23"/>
  <c r="J332" i="23"/>
  <c r="I332" i="23"/>
  <c r="I110" i="23"/>
  <c r="J110" i="23"/>
  <c r="I216" i="23"/>
  <c r="J216" i="23"/>
  <c r="I323" i="23"/>
  <c r="J323" i="23"/>
  <c r="J146" i="23"/>
  <c r="I146" i="23"/>
  <c r="I277" i="23"/>
  <c r="J277" i="23"/>
  <c r="J252" i="23"/>
  <c r="I252" i="23"/>
  <c r="J235" i="23"/>
  <c r="I235" i="23"/>
  <c r="I231" i="23"/>
  <c r="J231" i="23"/>
  <c r="J275" i="23"/>
  <c r="I275" i="23"/>
  <c r="J295" i="23"/>
  <c r="I295" i="23"/>
  <c r="J20" i="23"/>
  <c r="I20" i="23"/>
  <c r="I45" i="23"/>
  <c r="J45" i="23"/>
  <c r="I154" i="23"/>
  <c r="J154" i="23"/>
  <c r="J281" i="23"/>
  <c r="I281" i="23"/>
  <c r="I160" i="23"/>
  <c r="J160" i="23"/>
  <c r="J163" i="23"/>
  <c r="I163" i="23"/>
  <c r="J200" i="23"/>
  <c r="I200" i="23"/>
  <c r="I164" i="23"/>
  <c r="J164" i="23"/>
  <c r="I347" i="23"/>
  <c r="J347" i="23"/>
  <c r="D180" i="23"/>
  <c r="E180" i="23" s="1"/>
  <c r="F180" i="23" s="1"/>
  <c r="W180" i="23"/>
  <c r="J206" i="23"/>
  <c r="I206" i="23"/>
  <c r="J65" i="23"/>
  <c r="I65" i="23"/>
  <c r="I111" i="23"/>
  <c r="J111" i="23"/>
  <c r="I338" i="23"/>
  <c r="J338" i="23"/>
  <c r="J115" i="23"/>
  <c r="I115" i="23"/>
  <c r="J330" i="23"/>
  <c r="I330" i="23"/>
  <c r="I89" i="23"/>
  <c r="J89" i="23"/>
  <c r="I37" i="23"/>
  <c r="J37" i="23"/>
  <c r="I126" i="23"/>
  <c r="J126" i="23"/>
  <c r="J308" i="23"/>
  <c r="I308" i="23"/>
  <c r="J296" i="23"/>
  <c r="I296" i="23"/>
  <c r="I264" i="23"/>
  <c r="J264" i="23"/>
  <c r="J291" i="23"/>
  <c r="I291" i="23"/>
  <c r="I63" i="23"/>
  <c r="J63" i="23"/>
  <c r="J261" i="23"/>
  <c r="I261" i="23"/>
  <c r="J326" i="23"/>
  <c r="I326" i="23"/>
  <c r="J320" i="23"/>
  <c r="I320" i="23"/>
  <c r="J58" i="23"/>
  <c r="I58" i="23"/>
  <c r="I367" i="23"/>
  <c r="J367" i="23"/>
  <c r="I192" i="23"/>
  <c r="J192" i="23"/>
  <c r="J228" i="23"/>
  <c r="I228" i="23"/>
  <c r="J49" i="23"/>
  <c r="I49" i="23"/>
  <c r="I44" i="23"/>
  <c r="J44" i="23"/>
  <c r="I219" i="23"/>
  <c r="J219" i="23"/>
  <c r="J179" i="23"/>
  <c r="I179" i="23"/>
  <c r="I285" i="23"/>
  <c r="J285" i="23"/>
  <c r="J100" i="23"/>
  <c r="I100" i="23"/>
  <c r="J107" i="23"/>
  <c r="I107" i="23"/>
  <c r="I293" i="23"/>
  <c r="J293" i="23"/>
  <c r="W210" i="23"/>
  <c r="D210" i="23"/>
  <c r="E210" i="23" s="1"/>
  <c r="F210" i="23" s="1"/>
  <c r="J309" i="23"/>
  <c r="I309" i="23"/>
  <c r="I182" i="23"/>
  <c r="J182" i="23"/>
  <c r="I324" i="23"/>
  <c r="J324" i="23"/>
  <c r="I211" i="23"/>
  <c r="J211" i="23"/>
  <c r="I61" i="23"/>
  <c r="J61" i="23"/>
  <c r="J346" i="23"/>
  <c r="I346" i="23"/>
  <c r="J350" i="23"/>
  <c r="I350" i="23"/>
  <c r="I204" i="23"/>
  <c r="J204" i="23"/>
  <c r="H380" i="22"/>
  <c r="G380" i="22"/>
  <c r="CC380" i="6" s="1"/>
  <c r="AA380" i="22"/>
  <c r="Z380" i="22" s="1"/>
  <c r="Y380" i="22" s="1"/>
  <c r="I313" i="23"/>
  <c r="J313" i="23"/>
  <c r="I23" i="23"/>
  <c r="J23" i="23"/>
  <c r="J128" i="23"/>
  <c r="I128" i="23"/>
  <c r="J357" i="23"/>
  <c r="I357" i="23"/>
  <c r="J56" i="23"/>
  <c r="I56" i="23"/>
  <c r="I83" i="23"/>
  <c r="J83" i="23"/>
  <c r="I98" i="23"/>
  <c r="J98" i="23"/>
  <c r="J132" i="23"/>
  <c r="I132" i="23"/>
  <c r="J374" i="23"/>
  <c r="I374" i="23"/>
  <c r="I327" i="23"/>
  <c r="J327" i="23"/>
  <c r="I215" i="23"/>
  <c r="J215" i="23"/>
  <c r="I269" i="23"/>
  <c r="J269" i="23"/>
  <c r="I244" i="23"/>
  <c r="J244" i="23"/>
  <c r="I161" i="23"/>
  <c r="J161" i="23"/>
  <c r="J376" i="23"/>
  <c r="I376" i="23"/>
  <c r="J137" i="23"/>
  <c r="I137" i="23"/>
  <c r="J255" i="23"/>
  <c r="I255" i="23"/>
  <c r="Q57" i="24"/>
  <c r="P57" i="24" s="1"/>
  <c r="V57" i="24" s="1"/>
  <c r="B57" i="24" s="1"/>
  <c r="Q65" i="24"/>
  <c r="P65" i="24" s="1"/>
  <c r="V65" i="24" s="1"/>
  <c r="B65" i="24" s="1"/>
  <c r="Q179" i="24"/>
  <c r="P179" i="24" s="1"/>
  <c r="V179" i="24" s="1"/>
  <c r="B179" i="24" s="1"/>
  <c r="Q373" i="24"/>
  <c r="P373" i="24" s="1"/>
  <c r="V373" i="24" s="1"/>
  <c r="B373" i="24" s="1"/>
  <c r="Q317" i="24"/>
  <c r="P317" i="24" s="1"/>
  <c r="V317" i="24" s="1"/>
  <c r="B317" i="24" s="1"/>
  <c r="Q241" i="24"/>
  <c r="P241" i="24" s="1"/>
  <c r="Q286" i="24"/>
  <c r="P286" i="24" s="1"/>
  <c r="V286" i="24" s="1"/>
  <c r="B286" i="24" s="1"/>
  <c r="Q253" i="24"/>
  <c r="P253" i="24" s="1"/>
  <c r="V253" i="24" s="1"/>
  <c r="B253" i="24" s="1"/>
  <c r="Q378" i="24"/>
  <c r="P378" i="24" s="1"/>
  <c r="V378" i="24" s="1"/>
  <c r="B378" i="24" s="1"/>
  <c r="Q313" i="24"/>
  <c r="P313" i="24" s="1"/>
  <c r="V313" i="24" s="1"/>
  <c r="B313" i="24" s="1"/>
  <c r="Q249" i="24"/>
  <c r="P249" i="24" s="1"/>
  <c r="V249" i="24" s="1"/>
  <c r="B249" i="24" s="1"/>
  <c r="Q144" i="24"/>
  <c r="P144" i="24" s="1"/>
  <c r="V144" i="24" s="1"/>
  <c r="B144" i="24" s="1"/>
  <c r="Q92" i="24"/>
  <c r="P92" i="24" s="1"/>
  <c r="V92" i="24" s="1"/>
  <c r="B92" i="24" s="1"/>
  <c r="Q370" i="24"/>
  <c r="P370" i="24" s="1"/>
  <c r="V370" i="24" s="1"/>
  <c r="B370" i="24" s="1"/>
  <c r="Q330" i="24"/>
  <c r="P330" i="24" s="1"/>
  <c r="V330" i="24" s="1"/>
  <c r="B330" i="24" s="1"/>
  <c r="Q112" i="24"/>
  <c r="P112" i="24" s="1"/>
  <c r="V112" i="24" s="1"/>
  <c r="B112" i="24" s="1"/>
  <c r="Q352" i="24"/>
  <c r="P352" i="24" s="1"/>
  <c r="V352" i="24" s="1"/>
  <c r="B352" i="24" s="1"/>
  <c r="Q175" i="24"/>
  <c r="P175" i="24" s="1"/>
  <c r="V175" i="24" s="1"/>
  <c r="B175" i="24" s="1"/>
  <c r="Q335" i="24"/>
  <c r="P335" i="24" s="1"/>
  <c r="V335" i="24" s="1"/>
  <c r="B335" i="24" s="1"/>
  <c r="Q77" i="24"/>
  <c r="P77" i="24" s="1"/>
  <c r="V77" i="24" s="1"/>
  <c r="B77" i="24" s="1"/>
  <c r="Q319" i="24"/>
  <c r="P319" i="24" s="1"/>
  <c r="V319" i="24" s="1"/>
  <c r="B319" i="24" s="1"/>
  <c r="Q46" i="24"/>
  <c r="P46" i="24" s="1"/>
  <c r="V46" i="24" s="1"/>
  <c r="B46" i="24" s="1"/>
  <c r="D46" i="24" s="1"/>
  <c r="E46" i="24" s="1"/>
  <c r="F46" i="24" s="1"/>
  <c r="Q58" i="24"/>
  <c r="P58" i="24" s="1"/>
  <c r="V58" i="24" s="1"/>
  <c r="B58" i="24" s="1"/>
  <c r="Q119" i="24"/>
  <c r="P119" i="24" s="1"/>
  <c r="Q139" i="24"/>
  <c r="P139" i="24" s="1"/>
  <c r="V139" i="24" s="1"/>
  <c r="B139" i="24" s="1"/>
  <c r="Q346" i="24"/>
  <c r="P346" i="24" s="1"/>
  <c r="V346" i="24" s="1"/>
  <c r="B346" i="24" s="1"/>
  <c r="Q200" i="24"/>
  <c r="P200" i="24" s="1"/>
  <c r="V200" i="24" s="1"/>
  <c r="B200" i="24" s="1"/>
  <c r="Q78" i="24"/>
  <c r="P78" i="24" s="1"/>
  <c r="V78" i="24" s="1"/>
  <c r="B78" i="24" s="1"/>
  <c r="Q171" i="24"/>
  <c r="P171" i="24" s="1"/>
  <c r="V171" i="24" s="1"/>
  <c r="B171" i="24" s="1"/>
  <c r="Q223" i="24"/>
  <c r="P223" i="24" s="1"/>
  <c r="V223" i="24" s="1"/>
  <c r="B223" i="24" s="1"/>
  <c r="Q277" i="24"/>
  <c r="P277" i="24" s="1"/>
  <c r="V277" i="24" s="1"/>
  <c r="B277" i="24" s="1"/>
  <c r="Q265" i="24"/>
  <c r="P265" i="24" s="1"/>
  <c r="V265" i="24" s="1"/>
  <c r="B265" i="24" s="1"/>
  <c r="Q123" i="24"/>
  <c r="P123" i="24" s="1"/>
  <c r="V123" i="24" s="1"/>
  <c r="B123" i="24" s="1"/>
  <c r="Q18" i="24"/>
  <c r="P18" i="24" s="1"/>
  <c r="V18" i="24" s="1"/>
  <c r="B18" i="24" s="1"/>
  <c r="Q115" i="24"/>
  <c r="P115" i="24" s="1"/>
  <c r="V115" i="24" s="1"/>
  <c r="B115" i="24" s="1"/>
  <c r="Q297" i="24"/>
  <c r="P297" i="24" s="1"/>
  <c r="V297" i="24" s="1"/>
  <c r="B297" i="24" s="1"/>
  <c r="Q222" i="24"/>
  <c r="P222" i="24" s="1"/>
  <c r="V222" i="24" s="1"/>
  <c r="B222" i="24" s="1"/>
  <c r="Q36" i="24"/>
  <c r="P36" i="24" s="1"/>
  <c r="V36" i="24" s="1"/>
  <c r="B36" i="24" s="1"/>
  <c r="Q104" i="24"/>
  <c r="P104" i="24" s="1"/>
  <c r="V104" i="24" s="1"/>
  <c r="B104" i="24" s="1"/>
  <c r="Q374" i="24"/>
  <c r="P374" i="24" s="1"/>
  <c r="V374" i="24" s="1"/>
  <c r="B374" i="24" s="1"/>
  <c r="Q94" i="24"/>
  <c r="P94" i="24" s="1"/>
  <c r="V94" i="24" s="1"/>
  <c r="B94" i="24" s="1"/>
  <c r="Q44" i="24"/>
  <c r="P44" i="24" s="1"/>
  <c r="V44" i="24" s="1"/>
  <c r="B44" i="24" s="1"/>
  <c r="Q327" i="24"/>
  <c r="P327" i="24" s="1"/>
  <c r="V327" i="24" s="1"/>
  <c r="B327" i="24" s="1"/>
  <c r="Q43" i="24"/>
  <c r="P43" i="24" s="1"/>
  <c r="V43" i="24" s="1"/>
  <c r="B43" i="24" s="1"/>
  <c r="Q203" i="24"/>
  <c r="P203" i="24" s="1"/>
  <c r="V203" i="24" s="1"/>
  <c r="B203" i="24" s="1"/>
  <c r="Q240" i="24"/>
  <c r="P240" i="24" s="1"/>
  <c r="V240" i="24" s="1"/>
  <c r="B240" i="24" s="1"/>
  <c r="Q336" i="24"/>
  <c r="P336" i="24" s="1"/>
  <c r="V336" i="24" s="1"/>
  <c r="B336" i="24" s="1"/>
  <c r="Q291" i="24"/>
  <c r="P291" i="24" s="1"/>
  <c r="V291" i="24" s="1"/>
  <c r="B291" i="24" s="1"/>
  <c r="Q254" i="24"/>
  <c r="P254" i="24" s="1"/>
  <c r="V254" i="24" s="1"/>
  <c r="B254" i="24" s="1"/>
  <c r="Q210" i="24"/>
  <c r="P210" i="24" s="1"/>
  <c r="Q113" i="24"/>
  <c r="P113" i="24" s="1"/>
  <c r="V113" i="24" s="1"/>
  <c r="B113" i="24" s="1"/>
  <c r="Q182" i="24"/>
  <c r="P182" i="24" s="1"/>
  <c r="V182" i="24" s="1"/>
  <c r="B182" i="24" s="1"/>
  <c r="Q261" i="24"/>
  <c r="P261" i="24" s="1"/>
  <c r="V261" i="24" s="1"/>
  <c r="B261" i="24" s="1"/>
  <c r="Q323" i="24"/>
  <c r="P323" i="24" s="1"/>
  <c r="V323" i="24" s="1"/>
  <c r="B323" i="24" s="1"/>
  <c r="Q79" i="24"/>
  <c r="P79" i="24" s="1"/>
  <c r="V79" i="24" s="1"/>
  <c r="B79" i="24" s="1"/>
  <c r="Q162" i="24"/>
  <c r="P162" i="24" s="1"/>
  <c r="V162" i="24" s="1"/>
  <c r="B162" i="24" s="1"/>
  <c r="Q148" i="24"/>
  <c r="P148" i="24" s="1"/>
  <c r="V148" i="24" s="1"/>
  <c r="B148" i="24" s="1"/>
  <c r="Q69" i="24"/>
  <c r="P69" i="24" s="1"/>
  <c r="V69" i="24" s="1"/>
  <c r="B69" i="24" s="1"/>
  <c r="Q136" i="24"/>
  <c r="P136" i="24" s="1"/>
  <c r="V136" i="24" s="1"/>
  <c r="B136" i="24" s="1"/>
  <c r="Q365" i="24"/>
  <c r="P365" i="24" s="1"/>
  <c r="V365" i="24" s="1"/>
  <c r="B365" i="24" s="1"/>
  <c r="Q357" i="24"/>
  <c r="P357" i="24" s="1"/>
  <c r="V357" i="24" s="1"/>
  <c r="B357" i="24" s="1"/>
  <c r="Q54" i="24"/>
  <c r="P54" i="24" s="1"/>
  <c r="V54" i="24" s="1"/>
  <c r="B54" i="24" s="1"/>
  <c r="Q45" i="24"/>
  <c r="P45" i="24" s="1"/>
  <c r="V45" i="24" s="1"/>
  <c r="B45" i="24" s="1"/>
  <c r="Q285" i="24"/>
  <c r="P285" i="24" s="1"/>
  <c r="V285" i="24" s="1"/>
  <c r="B285" i="24" s="1"/>
  <c r="Q100" i="24"/>
  <c r="P100" i="24" s="1"/>
  <c r="V100" i="24" s="1"/>
  <c r="B100" i="24" s="1"/>
  <c r="Q212" i="24"/>
  <c r="P212" i="24" s="1"/>
  <c r="V212" i="24" s="1"/>
  <c r="B212" i="24" s="1"/>
  <c r="Q31" i="24"/>
  <c r="P31" i="24" s="1"/>
  <c r="V31" i="24" s="1"/>
  <c r="B31" i="24" s="1"/>
  <c r="Q120" i="24"/>
  <c r="P120" i="24" s="1"/>
  <c r="V120" i="24" s="1"/>
  <c r="B120" i="24" s="1"/>
  <c r="Q205" i="24"/>
  <c r="P205" i="24" s="1"/>
  <c r="V205" i="24" s="1"/>
  <c r="B205" i="24" s="1"/>
  <c r="Q147" i="24"/>
  <c r="P147" i="24" s="1"/>
  <c r="V147" i="24" s="1"/>
  <c r="B147" i="24" s="1"/>
  <c r="Q312" i="24"/>
  <c r="P312" i="24" s="1"/>
  <c r="V312" i="24" s="1"/>
  <c r="B312" i="24" s="1"/>
  <c r="Q243" i="24"/>
  <c r="P243" i="24" s="1"/>
  <c r="V243" i="24" s="1"/>
  <c r="B243" i="24" s="1"/>
  <c r="Q164" i="24"/>
  <c r="P164" i="24" s="1"/>
  <c r="V164" i="24" s="1"/>
  <c r="B164" i="24" s="1"/>
  <c r="Q121" i="24"/>
  <c r="P121" i="24" s="1"/>
  <c r="V121" i="24" s="1"/>
  <c r="B121" i="24" s="1"/>
  <c r="Q356" i="24"/>
  <c r="P356" i="24" s="1"/>
  <c r="V356" i="24" s="1"/>
  <c r="B356" i="24" s="1"/>
  <c r="Q266" i="24"/>
  <c r="P266" i="24" s="1"/>
  <c r="V266" i="24" s="1"/>
  <c r="B266" i="24" s="1"/>
  <c r="Q64" i="24"/>
  <c r="P64" i="24" s="1"/>
  <c r="V64" i="24" s="1"/>
  <c r="B64" i="24" s="1"/>
  <c r="Q146" i="24"/>
  <c r="P146" i="24" s="1"/>
  <c r="V146" i="24" s="1"/>
  <c r="B146" i="24" s="1"/>
  <c r="Q255" i="24"/>
  <c r="P255" i="24" s="1"/>
  <c r="V255" i="24" s="1"/>
  <c r="B255" i="24" s="1"/>
  <c r="Q105" i="24"/>
  <c r="P105" i="24" s="1"/>
  <c r="V105" i="24" s="1"/>
  <c r="B105" i="24" s="1"/>
  <c r="Q229" i="24"/>
  <c r="P229" i="24" s="1"/>
  <c r="V229" i="24" s="1"/>
  <c r="B229" i="24" s="1"/>
  <c r="Q99" i="24"/>
  <c r="P99" i="24" s="1"/>
  <c r="V99" i="24" s="1"/>
  <c r="B99" i="24" s="1"/>
  <c r="Q264" i="24"/>
  <c r="P264" i="24" s="1"/>
  <c r="V264" i="24" s="1"/>
  <c r="B264" i="24" s="1"/>
  <c r="Q142" i="24"/>
  <c r="P142" i="24" s="1"/>
  <c r="V142" i="24" s="1"/>
  <c r="B142" i="24" s="1"/>
  <c r="Q235" i="24"/>
  <c r="P235" i="24" s="1"/>
  <c r="V235" i="24" s="1"/>
  <c r="B235" i="24" s="1"/>
  <c r="Q263" i="24"/>
  <c r="P263" i="24" s="1"/>
  <c r="V263" i="24" s="1"/>
  <c r="B263" i="24" s="1"/>
  <c r="Q275" i="24"/>
  <c r="P275" i="24" s="1"/>
  <c r="V275" i="24" s="1"/>
  <c r="B275" i="24" s="1"/>
  <c r="Q73" i="24"/>
  <c r="P73" i="24" s="1"/>
  <c r="V73" i="24" s="1"/>
  <c r="B73" i="24" s="1"/>
  <c r="Q273" i="24"/>
  <c r="P273" i="24" s="1"/>
  <c r="V273" i="24" s="1"/>
  <c r="B273" i="24" s="1"/>
  <c r="Q134" i="24"/>
  <c r="P134" i="24" s="1"/>
  <c r="V134" i="24" s="1"/>
  <c r="B134" i="24" s="1"/>
  <c r="Q278" i="24"/>
  <c r="P278" i="24" s="1"/>
  <c r="V278" i="24" s="1"/>
  <c r="B278" i="24" s="1"/>
  <c r="Q366" i="24"/>
  <c r="P366" i="24" s="1"/>
  <c r="V366" i="24" s="1"/>
  <c r="B366" i="24" s="1"/>
  <c r="Q276" i="24"/>
  <c r="P276" i="24" s="1"/>
  <c r="V276" i="24" s="1"/>
  <c r="B276" i="24" s="1"/>
  <c r="Q75" i="24"/>
  <c r="P75" i="24" s="1"/>
  <c r="V75" i="24" s="1"/>
  <c r="B75" i="24" s="1"/>
  <c r="AE179" i="24"/>
  <c r="AD179" i="24" s="1"/>
  <c r="AE284" i="24"/>
  <c r="AD284" i="24" s="1"/>
  <c r="AE331" i="24"/>
  <c r="AD331" i="24" s="1"/>
  <c r="AE291" i="24"/>
  <c r="AD291" i="24" s="1"/>
  <c r="AE237" i="24"/>
  <c r="AD237" i="24" s="1"/>
  <c r="AE70" i="24"/>
  <c r="AD70" i="24" s="1"/>
  <c r="AE345" i="24"/>
  <c r="AD345" i="24" s="1"/>
  <c r="AE37" i="24"/>
  <c r="AD37" i="24" s="1"/>
  <c r="AE76" i="24"/>
  <c r="AD76" i="24" s="1"/>
  <c r="AE330" i="24"/>
  <c r="AD330" i="24" s="1"/>
  <c r="AE21" i="24"/>
  <c r="AD21" i="24" s="1"/>
  <c r="AE147" i="24"/>
  <c r="AD147" i="24" s="1"/>
  <c r="AE374" i="24"/>
  <c r="AD374" i="24" s="1"/>
  <c r="AE303" i="24"/>
  <c r="AD303" i="24" s="1"/>
  <c r="AE46" i="24"/>
  <c r="AD46" i="24" s="1"/>
  <c r="AE121" i="24"/>
  <c r="AD121" i="24" s="1"/>
  <c r="AE63" i="24"/>
  <c r="AD63" i="24" s="1"/>
  <c r="AE52" i="24"/>
  <c r="AD52" i="24" s="1"/>
  <c r="AE55" i="24"/>
  <c r="AD55" i="24" s="1"/>
  <c r="AE255" i="24"/>
  <c r="AD255" i="24" s="1"/>
  <c r="AE64" i="24"/>
  <c r="AD64" i="24" s="1"/>
  <c r="AE105" i="24"/>
  <c r="AD105" i="24" s="1"/>
  <c r="AE15" i="24"/>
  <c r="AE53" i="24"/>
  <c r="AD53" i="24" s="1"/>
  <c r="AE83" i="24"/>
  <c r="AD83" i="24" s="1"/>
  <c r="AE270" i="24"/>
  <c r="AD270" i="24" s="1"/>
  <c r="AE47" i="24"/>
  <c r="AD47" i="24" s="1"/>
  <c r="AE149" i="24"/>
  <c r="AD149" i="24" s="1"/>
  <c r="AE94" i="24"/>
  <c r="AD94" i="24" s="1"/>
  <c r="AE272" i="24"/>
  <c r="AD272" i="24" s="1"/>
  <c r="AE267" i="24"/>
  <c r="AD267" i="24" s="1"/>
  <c r="AE318" i="24"/>
  <c r="AD318" i="24" s="1"/>
  <c r="AE110" i="24"/>
  <c r="AD110" i="24" s="1"/>
  <c r="AE218" i="24"/>
  <c r="AD218" i="24" s="1"/>
  <c r="AE219" i="24"/>
  <c r="AD219" i="24" s="1"/>
  <c r="AE293" i="24"/>
  <c r="AD293" i="24" s="1"/>
  <c r="AE373" i="24"/>
  <c r="AD373" i="24" s="1"/>
  <c r="AE274" i="24"/>
  <c r="AD274" i="24" s="1"/>
  <c r="AE109" i="24"/>
  <c r="AD109" i="24" s="1"/>
  <c r="AE210" i="24"/>
  <c r="AD210" i="24" s="1"/>
  <c r="AE365" i="24"/>
  <c r="AD365" i="24" s="1"/>
  <c r="AE133" i="24"/>
  <c r="AD133" i="24" s="1"/>
  <c r="AE103" i="24"/>
  <c r="AD103" i="24" s="1"/>
  <c r="AE268" i="24"/>
  <c r="AD268" i="24" s="1"/>
  <c r="AE262" i="24"/>
  <c r="AD262" i="24" s="1"/>
  <c r="AE106" i="24"/>
  <c r="AD106" i="24" s="1"/>
  <c r="AE266" i="24"/>
  <c r="AD266" i="24" s="1"/>
  <c r="AE119" i="24"/>
  <c r="AD119" i="24" s="1"/>
  <c r="AE285" i="24"/>
  <c r="AD285" i="24" s="1"/>
  <c r="AE151" i="24"/>
  <c r="AD151" i="24" s="1"/>
  <c r="AE34" i="24"/>
  <c r="AD34" i="24" s="1"/>
  <c r="AE100" i="24"/>
  <c r="AD100" i="24" s="1"/>
  <c r="AE125" i="24"/>
  <c r="AD125" i="24" s="1"/>
  <c r="AE350" i="24"/>
  <c r="AD350" i="24" s="1"/>
  <c r="AE298" i="24"/>
  <c r="AD298" i="24" s="1"/>
  <c r="AE245" i="24"/>
  <c r="AD245" i="24" s="1"/>
  <c r="AE334" i="24"/>
  <c r="AD334" i="24" s="1"/>
  <c r="AE354" i="24"/>
  <c r="AD354" i="24" s="1"/>
  <c r="AE242" i="24"/>
  <c r="AD242" i="24" s="1"/>
  <c r="AE229" i="24"/>
  <c r="AD229" i="24" s="1"/>
  <c r="AE206" i="24"/>
  <c r="AD206" i="24" s="1"/>
  <c r="AE236" i="24"/>
  <c r="AD236" i="24" s="1"/>
  <c r="AE117" i="24"/>
  <c r="AD117" i="24" s="1"/>
  <c r="AE227" i="24"/>
  <c r="AD227" i="24" s="1"/>
  <c r="AE154" i="24"/>
  <c r="AD154" i="24" s="1"/>
  <c r="AE341" i="24"/>
  <c r="AD341" i="24" s="1"/>
  <c r="AE195" i="24"/>
  <c r="AD195" i="24" s="1"/>
  <c r="AE214" i="24"/>
  <c r="AD214" i="24" s="1"/>
  <c r="AE346" i="24"/>
  <c r="AD346" i="24" s="1"/>
  <c r="AE81" i="24"/>
  <c r="AD81" i="24" s="1"/>
  <c r="AE363" i="24"/>
  <c r="AD363" i="24" s="1"/>
  <c r="AE74" i="24"/>
  <c r="AD74" i="24" s="1"/>
  <c r="AE332" i="24"/>
  <c r="AD332" i="24" s="1"/>
  <c r="AE379" i="24"/>
  <c r="AE161" i="24"/>
  <c r="AD161" i="24" s="1"/>
  <c r="AE258" i="24"/>
  <c r="AD258" i="24" s="1"/>
  <c r="AE102" i="24"/>
  <c r="AD102" i="24" s="1"/>
  <c r="AE296" i="24"/>
  <c r="AD296" i="24" s="1"/>
  <c r="AE85" i="24"/>
  <c r="AD85" i="24" s="1"/>
  <c r="AE225" i="24"/>
  <c r="AD225" i="24" s="1"/>
  <c r="AE261" i="24"/>
  <c r="AD261" i="24" s="1"/>
  <c r="AE166" i="24"/>
  <c r="AD166" i="24" s="1"/>
  <c r="AE248" i="24"/>
  <c r="AD248" i="24" s="1"/>
  <c r="AE77" i="24"/>
  <c r="AD77" i="24" s="1"/>
  <c r="AE122" i="24"/>
  <c r="AD122" i="24" s="1"/>
  <c r="AE315" i="24"/>
  <c r="AD315" i="24" s="1"/>
  <c r="AE16" i="24"/>
  <c r="AD16" i="24" s="1"/>
  <c r="AE144" i="24"/>
  <c r="AD144" i="24" s="1"/>
  <c r="AE252" i="24"/>
  <c r="AD252" i="24" s="1"/>
  <c r="AE48" i="24"/>
  <c r="AD48" i="24" s="1"/>
  <c r="AE192" i="24"/>
  <c r="AD192" i="24" s="1"/>
  <c r="AE199" i="24"/>
  <c r="AD199" i="24" s="1"/>
  <c r="AE41" i="24"/>
  <c r="AD41" i="24" s="1"/>
  <c r="AE306" i="24"/>
  <c r="AD306" i="24" s="1"/>
  <c r="AE101" i="24"/>
  <c r="AD101" i="24" s="1"/>
  <c r="AE89" i="24"/>
  <c r="AD89" i="24" s="1"/>
  <c r="AE287" i="24"/>
  <c r="AD287" i="24" s="1"/>
  <c r="AE130" i="24"/>
  <c r="AD130" i="24" s="1"/>
  <c r="AE71" i="24"/>
  <c r="AD71" i="24" s="1"/>
  <c r="AE370" i="24"/>
  <c r="AD370" i="24" s="1"/>
  <c r="AE256" i="24"/>
  <c r="AD256" i="24" s="1"/>
  <c r="AE72" i="24"/>
  <c r="AD72" i="24" s="1"/>
  <c r="AE278" i="24"/>
  <c r="AD278" i="24" s="1"/>
  <c r="AE31" i="24"/>
  <c r="AD31" i="24" s="1"/>
  <c r="AE137" i="24"/>
  <c r="AD137" i="24" s="1"/>
  <c r="AE193" i="24"/>
  <c r="AD193" i="24" s="1"/>
  <c r="AE276" i="24"/>
  <c r="AD276" i="24" s="1"/>
  <c r="AE157" i="24"/>
  <c r="AD157" i="24" s="1"/>
  <c r="AE376" i="24"/>
  <c r="AD376" i="24" s="1"/>
  <c r="AE297" i="24"/>
  <c r="AD297" i="24" s="1"/>
  <c r="AE186" i="24"/>
  <c r="AD186" i="24" s="1"/>
  <c r="AE344" i="24"/>
  <c r="AD344" i="24" s="1"/>
  <c r="AE44" i="24"/>
  <c r="AD44" i="24" s="1"/>
  <c r="AE254" i="24"/>
  <c r="AD254" i="24" s="1"/>
  <c r="AE299" i="24"/>
  <c r="AD299" i="24" s="1"/>
  <c r="AE238" i="24"/>
  <c r="AD238" i="24" s="1"/>
  <c r="AE222" i="24"/>
  <c r="AD222" i="24" s="1"/>
  <c r="AE359" i="24"/>
  <c r="AD359" i="24" s="1"/>
  <c r="AE360" i="24"/>
  <c r="AD360" i="24" s="1"/>
  <c r="AE18" i="24"/>
  <c r="AD18" i="24" s="1"/>
  <c r="AE351" i="24"/>
  <c r="AD351" i="24" s="1"/>
  <c r="AE30" i="24"/>
  <c r="AD30" i="24" s="1"/>
  <c r="AE241" i="24"/>
  <c r="AD241" i="24" s="1"/>
  <c r="AE289" i="24"/>
  <c r="AD289" i="24" s="1"/>
  <c r="AE88" i="24"/>
  <c r="AD88" i="24" s="1"/>
  <c r="AE342" i="24"/>
  <c r="AD342" i="24" s="1"/>
  <c r="AE207" i="24"/>
  <c r="AD207" i="24" s="1"/>
  <c r="AE185" i="24"/>
  <c r="AD185" i="24" s="1"/>
  <c r="AE127" i="24"/>
  <c r="AD127" i="24" s="1"/>
  <c r="AE65" i="24"/>
  <c r="AD65" i="24" s="1"/>
  <c r="AE312" i="24"/>
  <c r="AD312" i="24" s="1"/>
  <c r="AE321" i="24"/>
  <c r="AD321" i="24" s="1"/>
  <c r="AE171" i="24"/>
  <c r="AD171" i="24" s="1"/>
  <c r="AE60" i="24"/>
  <c r="AD60" i="24" s="1"/>
  <c r="AE367" i="24"/>
  <c r="AD367" i="24" s="1"/>
  <c r="AE361" i="24"/>
  <c r="AD361" i="24" s="1"/>
  <c r="AE50" i="24"/>
  <c r="AD50" i="24" s="1"/>
  <c r="AE368" i="24"/>
  <c r="AD368" i="24" s="1"/>
  <c r="AE107" i="24"/>
  <c r="AD107" i="24" s="1"/>
  <c r="AE123" i="24"/>
  <c r="AD123" i="24" s="1"/>
  <c r="AE160" i="24"/>
  <c r="AD160" i="24" s="1"/>
  <c r="AE54" i="24"/>
  <c r="AD54" i="24" s="1"/>
  <c r="AE178" i="24"/>
  <c r="AD178" i="24" s="1"/>
  <c r="AE150" i="24"/>
  <c r="AD150" i="24" s="1"/>
  <c r="AE82" i="24"/>
  <c r="AD82" i="24" s="1"/>
  <c r="AE265" i="24"/>
  <c r="AD265" i="24" s="1"/>
  <c r="AE348" i="24"/>
  <c r="AD348" i="24" s="1"/>
  <c r="AE212" i="24"/>
  <c r="AD212" i="24" s="1"/>
  <c r="AE208" i="24"/>
  <c r="AD208" i="24" s="1"/>
  <c r="AE197" i="24"/>
  <c r="AD197" i="24" s="1"/>
  <c r="AE307" i="24"/>
  <c r="AD307" i="24" s="1"/>
  <c r="AE246" i="24"/>
  <c r="AD246" i="24" s="1"/>
  <c r="AE24" i="24"/>
  <c r="AD24" i="24" s="1"/>
  <c r="AE275" i="24"/>
  <c r="AD275" i="24" s="1"/>
  <c r="AE190" i="24"/>
  <c r="AD190" i="24" s="1"/>
  <c r="AE181" i="24"/>
  <c r="AD181" i="24" s="1"/>
  <c r="AE168" i="24"/>
  <c r="AD168" i="24" s="1"/>
  <c r="AE49" i="24"/>
  <c r="AD49" i="24" s="1"/>
  <c r="AE175" i="24"/>
  <c r="AD175" i="24" s="1"/>
  <c r="AE333" i="24"/>
  <c r="AD333" i="24" s="1"/>
  <c r="AE75" i="24"/>
  <c r="AD75" i="24" s="1"/>
  <c r="AE145" i="24"/>
  <c r="AD145" i="24" s="1"/>
  <c r="AE189" i="24"/>
  <c r="AD189" i="24" s="1"/>
  <c r="AE162" i="24"/>
  <c r="AD162" i="24" s="1"/>
  <c r="AE205" i="24"/>
  <c r="AD205" i="24" s="1"/>
  <c r="AE45" i="24"/>
  <c r="AD45" i="24" s="1"/>
  <c r="AE183" i="24"/>
  <c r="AD183" i="24" s="1"/>
  <c r="AE310" i="24"/>
  <c r="AD310" i="24" s="1"/>
  <c r="AE372" i="24"/>
  <c r="AD372" i="24" s="1"/>
  <c r="AE271" i="24"/>
  <c r="AD271" i="24" s="1"/>
  <c r="AE211" i="24"/>
  <c r="AD211" i="24" s="1"/>
  <c r="AE329" i="24"/>
  <c r="AD329" i="24" s="1"/>
  <c r="AE338" i="24"/>
  <c r="AD338" i="24" s="1"/>
  <c r="AE115" i="24"/>
  <c r="AD115" i="24" s="1"/>
  <c r="AE200" i="24"/>
  <c r="AD200" i="24" s="1"/>
  <c r="AE250" i="24"/>
  <c r="AD250" i="24" s="1"/>
  <c r="AE140" i="24"/>
  <c r="AD140" i="24" s="1"/>
  <c r="AE139" i="24"/>
  <c r="AD139" i="24" s="1"/>
  <c r="AE347" i="24"/>
  <c r="AD347" i="24" s="1"/>
  <c r="AE27" i="24"/>
  <c r="AD27" i="24" s="1"/>
  <c r="AE73" i="24"/>
  <c r="AD73" i="24" s="1"/>
  <c r="AE215" i="24"/>
  <c r="AD215" i="24" s="1"/>
  <c r="AE286" i="24"/>
  <c r="AD286" i="24" s="1"/>
  <c r="Q110" i="24"/>
  <c r="P110" i="24" s="1"/>
  <c r="V110" i="24" s="1"/>
  <c r="B110" i="24" s="1"/>
  <c r="Q122" i="24"/>
  <c r="P122" i="24" s="1"/>
  <c r="V122" i="24" s="1"/>
  <c r="B122" i="24" s="1"/>
  <c r="Q153" i="24"/>
  <c r="P153" i="24" s="1"/>
  <c r="V153" i="24" s="1"/>
  <c r="B153" i="24" s="1"/>
  <c r="Q256" i="24"/>
  <c r="P256" i="24" s="1"/>
  <c r="V256" i="24" s="1"/>
  <c r="B256" i="24" s="1"/>
  <c r="Q87" i="24"/>
  <c r="P87" i="24" s="1"/>
  <c r="V87" i="24" s="1"/>
  <c r="B87" i="24" s="1"/>
  <c r="Q106" i="24"/>
  <c r="P106" i="24" s="1"/>
  <c r="V106" i="24" s="1"/>
  <c r="B106" i="24" s="1"/>
  <c r="Q76" i="24"/>
  <c r="P76" i="24" s="1"/>
  <c r="V76" i="24" s="1"/>
  <c r="B76" i="24" s="1"/>
  <c r="Q177" i="24"/>
  <c r="P177" i="24" s="1"/>
  <c r="V177" i="24" s="1"/>
  <c r="B177" i="24" s="1"/>
  <c r="Q127" i="24"/>
  <c r="P127" i="24" s="1"/>
  <c r="V127" i="24" s="1"/>
  <c r="B127" i="24" s="1"/>
  <c r="Q163" i="24"/>
  <c r="P163" i="24" s="1"/>
  <c r="V163" i="24" s="1"/>
  <c r="B163" i="24" s="1"/>
  <c r="Q296" i="24"/>
  <c r="P296" i="24" s="1"/>
  <c r="V296" i="24" s="1"/>
  <c r="B296" i="24" s="1"/>
  <c r="Q354" i="24"/>
  <c r="P354" i="24" s="1"/>
  <c r="V354" i="24" s="1"/>
  <c r="B354" i="24" s="1"/>
  <c r="D354" i="24" s="1"/>
  <c r="E354" i="24" s="1"/>
  <c r="F354" i="24" s="1"/>
  <c r="H354" i="24" s="1"/>
  <c r="Q271" i="24"/>
  <c r="P271" i="24" s="1"/>
  <c r="V271" i="24" s="1"/>
  <c r="B271" i="24" s="1"/>
  <c r="Q377" i="24"/>
  <c r="P377" i="24" s="1"/>
  <c r="V377" i="24" s="1"/>
  <c r="B377" i="24" s="1"/>
  <c r="D377" i="24" s="1"/>
  <c r="E377" i="24" s="1"/>
  <c r="F377" i="24" s="1"/>
  <c r="G377" i="24" s="1"/>
  <c r="CE377" i="6" s="1"/>
  <c r="Q85" i="24"/>
  <c r="P85" i="24" s="1"/>
  <c r="V85" i="24" s="1"/>
  <c r="B85" i="24" s="1"/>
  <c r="Q27" i="24"/>
  <c r="P27" i="24" s="1"/>
  <c r="V27" i="24" s="1"/>
  <c r="B27" i="24" s="1"/>
  <c r="Q192" i="24"/>
  <c r="P192" i="24" s="1"/>
  <c r="V192" i="24" s="1"/>
  <c r="B192" i="24" s="1"/>
  <c r="Q176" i="24"/>
  <c r="P176" i="24" s="1"/>
  <c r="V176" i="24" s="1"/>
  <c r="B176" i="24" s="1"/>
  <c r="Q333" i="24"/>
  <c r="P333" i="24" s="1"/>
  <c r="Q361" i="24"/>
  <c r="P361" i="24" s="1"/>
  <c r="V361" i="24" s="1"/>
  <c r="B361" i="24" s="1"/>
  <c r="Q236" i="24"/>
  <c r="P236" i="24" s="1"/>
  <c r="V236" i="24" s="1"/>
  <c r="B236" i="24" s="1"/>
  <c r="Q82" i="24"/>
  <c r="P82" i="24" s="1"/>
  <c r="V82" i="24" s="1"/>
  <c r="B82" i="24" s="1"/>
  <c r="Q251" i="24"/>
  <c r="P251" i="24" s="1"/>
  <c r="V251" i="24" s="1"/>
  <c r="B251" i="24" s="1"/>
  <c r="Q83" i="24"/>
  <c r="P83" i="24" s="1"/>
  <c r="V83" i="24" s="1"/>
  <c r="B83" i="24" s="1"/>
  <c r="Q196" i="24"/>
  <c r="P196" i="24" s="1"/>
  <c r="V196" i="24" s="1"/>
  <c r="Q199" i="24"/>
  <c r="P199" i="24" s="1"/>
  <c r="V199" i="24" s="1"/>
  <c r="B199" i="24" s="1"/>
  <c r="Q53" i="24"/>
  <c r="P53" i="24" s="1"/>
  <c r="V53" i="24" s="1"/>
  <c r="B53" i="24" s="1"/>
  <c r="Q282" i="24"/>
  <c r="P282" i="24" s="1"/>
  <c r="V282" i="24" s="1"/>
  <c r="B282" i="24" s="1"/>
  <c r="Q98" i="24"/>
  <c r="P98" i="24" s="1"/>
  <c r="V98" i="24" s="1"/>
  <c r="B98" i="24" s="1"/>
  <c r="Q17" i="24"/>
  <c r="P17" i="24" s="1"/>
  <c r="V17" i="24" s="1"/>
  <c r="B17" i="24" s="1"/>
  <c r="Q347" i="24"/>
  <c r="P347" i="24" s="1"/>
  <c r="V347" i="24" s="1"/>
  <c r="B347" i="24" s="1"/>
  <c r="Q221" i="24"/>
  <c r="P221" i="24" s="1"/>
  <c r="V221" i="24" s="1"/>
  <c r="B221" i="24" s="1"/>
  <c r="Q155" i="24"/>
  <c r="P155" i="24" s="1"/>
  <c r="V155" i="24" s="1"/>
  <c r="B155" i="24" s="1"/>
  <c r="Q320" i="24"/>
  <c r="P320" i="24" s="1"/>
  <c r="V320" i="24" s="1"/>
  <c r="B320" i="24" s="1"/>
  <c r="Q344" i="24"/>
  <c r="P344" i="24" s="1"/>
  <c r="V344" i="24" s="1"/>
  <c r="B344" i="24" s="1"/>
  <c r="Q242" i="24"/>
  <c r="P242" i="24" s="1"/>
  <c r="V242" i="24" s="1"/>
  <c r="B242" i="24" s="1"/>
  <c r="Q337" i="24"/>
  <c r="P337" i="24" s="1"/>
  <c r="V337" i="24" s="1"/>
  <c r="B337" i="24" s="1"/>
  <c r="Q284" i="24"/>
  <c r="P284" i="24" s="1"/>
  <c r="V284" i="24" s="1"/>
  <c r="B284" i="24" s="1"/>
  <c r="Q207" i="24"/>
  <c r="P207" i="24" s="1"/>
  <c r="V207" i="24" s="1"/>
  <c r="B207" i="24" s="1"/>
  <c r="Q290" i="24"/>
  <c r="P290" i="24" s="1"/>
  <c r="V290" i="24" s="1"/>
  <c r="B290" i="24" s="1"/>
  <c r="W290" i="24" s="1"/>
  <c r="Q169" i="24"/>
  <c r="P169" i="24" s="1"/>
  <c r="V169" i="24" s="1"/>
  <c r="B169" i="24" s="1"/>
  <c r="Q304" i="24"/>
  <c r="P304" i="24" s="1"/>
  <c r="V304" i="24" s="1"/>
  <c r="B304" i="24" s="1"/>
  <c r="Q334" i="24"/>
  <c r="P334" i="24" s="1"/>
  <c r="V334" i="24" s="1"/>
  <c r="B334" i="24" s="1"/>
  <c r="Q309" i="24"/>
  <c r="P309" i="24" s="1"/>
  <c r="V309" i="24" s="1"/>
  <c r="B309" i="24" s="1"/>
  <c r="Q20" i="24"/>
  <c r="P20" i="24" s="1"/>
  <c r="V20" i="24" s="1"/>
  <c r="B20" i="24" s="1"/>
  <c r="Q193" i="24"/>
  <c r="P193" i="24" s="1"/>
  <c r="V193" i="24" s="1"/>
  <c r="B193" i="24" s="1"/>
  <c r="Q95" i="24"/>
  <c r="P95" i="24" s="1"/>
  <c r="V95" i="24" s="1"/>
  <c r="B95" i="24" s="1"/>
  <c r="Q166" i="24"/>
  <c r="P166" i="24" s="1"/>
  <c r="V166" i="24" s="1"/>
  <c r="B166" i="24" s="1"/>
  <c r="Q202" i="24"/>
  <c r="P202" i="24" s="1"/>
  <c r="V202" i="24" s="1"/>
  <c r="B202" i="24" s="1"/>
  <c r="Q40" i="24"/>
  <c r="P40" i="24" s="1"/>
  <c r="V40" i="24" s="1"/>
  <c r="B40" i="24" s="1"/>
  <c r="Q325" i="24"/>
  <c r="P325" i="24" s="1"/>
  <c r="V325" i="24" s="1"/>
  <c r="B325" i="24" s="1"/>
  <c r="Q159" i="24"/>
  <c r="P159" i="24" s="1"/>
  <c r="V159" i="24" s="1"/>
  <c r="B159" i="24" s="1"/>
  <c r="Q138" i="24"/>
  <c r="P138" i="24" s="1"/>
  <c r="V138" i="24" s="1"/>
  <c r="B138" i="24" s="1"/>
  <c r="Q321" i="24"/>
  <c r="P321" i="24" s="1"/>
  <c r="V321" i="24" s="1"/>
  <c r="B321" i="24" s="1"/>
  <c r="Q293" i="24"/>
  <c r="P293" i="24" s="1"/>
  <c r="V293" i="24" s="1"/>
  <c r="B293" i="24" s="1"/>
  <c r="Q157" i="24"/>
  <c r="P157" i="24" s="1"/>
  <c r="V157" i="24" s="1"/>
  <c r="B157" i="24" s="1"/>
  <c r="Q30" i="24"/>
  <c r="P30" i="24" s="1"/>
  <c r="V30" i="24" s="1"/>
  <c r="B30" i="24" s="1"/>
  <c r="Q187" i="24"/>
  <c r="P187" i="24" s="1"/>
  <c r="V187" i="24" s="1"/>
  <c r="B187" i="24" s="1"/>
  <c r="Q197" i="24"/>
  <c r="P197" i="24" s="1"/>
  <c r="V197" i="24" s="1"/>
  <c r="B197" i="24" s="1"/>
  <c r="Q267" i="24"/>
  <c r="P267" i="24" s="1"/>
  <c r="V267" i="24" s="1"/>
  <c r="B267" i="24" s="1"/>
  <c r="Q129" i="24"/>
  <c r="P129" i="24" s="1"/>
  <c r="V129" i="24" s="1"/>
  <c r="B129" i="24" s="1"/>
  <c r="Q302" i="24"/>
  <c r="P302" i="24" s="1"/>
  <c r="Q287" i="24"/>
  <c r="P287" i="24" s="1"/>
  <c r="V287" i="24" s="1"/>
  <c r="B287" i="24" s="1"/>
  <c r="Q376" i="24"/>
  <c r="P376" i="24" s="1"/>
  <c r="V376" i="24" s="1"/>
  <c r="B376" i="24" s="1"/>
  <c r="Q101" i="24"/>
  <c r="P101" i="24" s="1"/>
  <c r="V101" i="24" s="1"/>
  <c r="B101" i="24" s="1"/>
  <c r="Q15" i="24"/>
  <c r="Q184" i="24"/>
  <c r="P184" i="24" s="1"/>
  <c r="V184" i="24" s="1"/>
  <c r="B184" i="24" s="1"/>
  <c r="Q189" i="24"/>
  <c r="P189" i="24" s="1"/>
  <c r="V189" i="24" s="1"/>
  <c r="B189" i="24" s="1"/>
  <c r="Q126" i="24"/>
  <c r="P126" i="24" s="1"/>
  <c r="V126" i="24" s="1"/>
  <c r="B126" i="24" s="1"/>
  <c r="Q232" i="24"/>
  <c r="P232" i="24" s="1"/>
  <c r="V232" i="24" s="1"/>
  <c r="B232" i="24" s="1"/>
  <c r="Q349" i="24"/>
  <c r="P349" i="24" s="1"/>
  <c r="V349" i="24" s="1"/>
  <c r="B349" i="24" s="1"/>
  <c r="D349" i="24" s="1"/>
  <c r="E349" i="24" s="1"/>
  <c r="F349" i="24" s="1"/>
  <c r="Q283" i="24"/>
  <c r="P283" i="24" s="1"/>
  <c r="V283" i="24" s="1"/>
  <c r="B283" i="24" s="1"/>
  <c r="Q81" i="24"/>
  <c r="P81" i="24" s="1"/>
  <c r="V81" i="24" s="1"/>
  <c r="B81" i="24" s="1"/>
  <c r="Q137" i="24"/>
  <c r="P137" i="24" s="1"/>
  <c r="V137" i="24" s="1"/>
  <c r="B137" i="24" s="1"/>
  <c r="Q298" i="24"/>
  <c r="P298" i="24" s="1"/>
  <c r="V298" i="24" s="1"/>
  <c r="B298" i="24" s="1"/>
  <c r="Q23" i="24"/>
  <c r="P23" i="24" s="1"/>
  <c r="V23" i="24" s="1"/>
  <c r="B23" i="24" s="1"/>
  <c r="Q24" i="24"/>
  <c r="P24" i="24" s="1"/>
  <c r="V24" i="24" s="1"/>
  <c r="B24" i="24" s="1"/>
  <c r="Q257" i="24"/>
  <c r="P257" i="24" s="1"/>
  <c r="V257" i="24" s="1"/>
  <c r="B257" i="24" s="1"/>
  <c r="Q63" i="24"/>
  <c r="P63" i="24" s="1"/>
  <c r="V63" i="24" s="1"/>
  <c r="B63" i="24" s="1"/>
  <c r="Q371" i="24"/>
  <c r="P371" i="24" s="1"/>
  <c r="V371" i="24" s="1"/>
  <c r="B371" i="24" s="1"/>
  <c r="Q215" i="24"/>
  <c r="P215" i="24" s="1"/>
  <c r="V215" i="24" s="1"/>
  <c r="B215" i="24" s="1"/>
  <c r="Q234" i="24"/>
  <c r="P234" i="24" s="1"/>
  <c r="V234" i="24" s="1"/>
  <c r="B234" i="24" s="1"/>
  <c r="Q90" i="24"/>
  <c r="P90" i="24" s="1"/>
  <c r="V90" i="24" s="1"/>
  <c r="B90" i="24" s="1"/>
  <c r="Q160" i="24"/>
  <c r="P160" i="24" s="1"/>
  <c r="V160" i="24" s="1"/>
  <c r="B160" i="24" s="1"/>
  <c r="Q369" i="24"/>
  <c r="P369" i="24" s="1"/>
  <c r="V369" i="24" s="1"/>
  <c r="B369" i="24" s="1"/>
  <c r="Q368" i="24"/>
  <c r="P368" i="24" s="1"/>
  <c r="V368" i="24" s="1"/>
  <c r="B368" i="24" s="1"/>
  <c r="Q348" i="24"/>
  <c r="P348" i="24" s="1"/>
  <c r="V348" i="24" s="1"/>
  <c r="B348" i="24" s="1"/>
  <c r="Q167" i="24"/>
  <c r="P167" i="24" s="1"/>
  <c r="V167" i="24" s="1"/>
  <c r="B167" i="24" s="1"/>
  <c r="Q308" i="24"/>
  <c r="P308" i="24" s="1"/>
  <c r="V308" i="24" s="1"/>
  <c r="B308" i="24" s="1"/>
  <c r="Q332" i="24"/>
  <c r="P332" i="24" s="1"/>
  <c r="V332" i="24" s="1"/>
  <c r="B332" i="24" s="1"/>
  <c r="Q156" i="24"/>
  <c r="P156" i="24" s="1"/>
  <c r="V156" i="24" s="1"/>
  <c r="B156" i="24" s="1"/>
  <c r="Q150" i="24"/>
  <c r="P150" i="24" s="1"/>
  <c r="V150" i="24" s="1"/>
  <c r="B150" i="24" s="1"/>
  <c r="Q89" i="24"/>
  <c r="P89" i="24" s="1"/>
  <c r="V89" i="24" s="1"/>
  <c r="B89" i="24" s="1"/>
  <c r="Q172" i="24"/>
  <c r="P172" i="24" s="1"/>
  <c r="V172" i="24" s="1"/>
  <c r="B172" i="24" s="1"/>
  <c r="Q109" i="24"/>
  <c r="P109" i="24" s="1"/>
  <c r="V109" i="24" s="1"/>
  <c r="B109" i="24" s="1"/>
  <c r="Q201" i="24"/>
  <c r="P201" i="24" s="1"/>
  <c r="V201" i="24" s="1"/>
  <c r="B201" i="24" s="1"/>
  <c r="Q247" i="24"/>
  <c r="P247" i="24" s="1"/>
  <c r="V247" i="24" s="1"/>
  <c r="B247" i="24" s="1"/>
  <c r="Q281" i="24"/>
  <c r="P281" i="24" s="1"/>
  <c r="V281" i="24" s="1"/>
  <c r="B281" i="24" s="1"/>
  <c r="Q56" i="24"/>
  <c r="P56" i="24" s="1"/>
  <c r="V56" i="24" s="1"/>
  <c r="B56" i="24" s="1"/>
  <c r="Q108" i="24"/>
  <c r="P108" i="24" s="1"/>
  <c r="V108" i="24" s="1"/>
  <c r="B108" i="24" s="1"/>
  <c r="Q68" i="24"/>
  <c r="P68" i="24" s="1"/>
  <c r="V68" i="24" s="1"/>
  <c r="B68" i="24" s="1"/>
  <c r="Q220" i="24"/>
  <c r="P220" i="24" s="1"/>
  <c r="V220" i="24" s="1"/>
  <c r="B220" i="24" s="1"/>
  <c r="Q28" i="24"/>
  <c r="P28" i="24" s="1"/>
  <c r="V28" i="24" s="1"/>
  <c r="B28" i="24" s="1"/>
  <c r="Q51" i="24"/>
  <c r="P51" i="24" s="1"/>
  <c r="V51" i="24" s="1"/>
  <c r="B51" i="24" s="1"/>
  <c r="Q280" i="24"/>
  <c r="P280" i="24" s="1"/>
  <c r="V280" i="24" s="1"/>
  <c r="B280" i="24" s="1"/>
  <c r="Q328" i="24"/>
  <c r="P328" i="24" s="1"/>
  <c r="V328" i="24" s="1"/>
  <c r="B328" i="24" s="1"/>
  <c r="Q130" i="24"/>
  <c r="P130" i="24" s="1"/>
  <c r="V130" i="24" s="1"/>
  <c r="B130" i="24" s="1"/>
  <c r="Q19" i="24"/>
  <c r="P19" i="24" s="1"/>
  <c r="V19" i="24" s="1"/>
  <c r="B19" i="24" s="1"/>
  <c r="Q72" i="24"/>
  <c r="P72" i="24" s="1"/>
  <c r="V72" i="24" s="1"/>
  <c r="B72" i="24" s="1"/>
  <c r="Q174" i="24"/>
  <c r="P174" i="24" s="1"/>
  <c r="V174" i="24" s="1"/>
  <c r="B174" i="24" s="1"/>
  <c r="Q32" i="24"/>
  <c r="P32" i="24" s="1"/>
  <c r="V32" i="24" s="1"/>
  <c r="B32" i="24" s="1"/>
  <c r="Q86" i="24"/>
  <c r="P86" i="24" s="1"/>
  <c r="V86" i="24" s="1"/>
  <c r="B86" i="24" s="1"/>
  <c r="Q301" i="24"/>
  <c r="P301" i="24" s="1"/>
  <c r="V301" i="24" s="1"/>
  <c r="B301" i="24" s="1"/>
  <c r="Q133" i="24"/>
  <c r="P133" i="24" s="1"/>
  <c r="V133" i="24" s="1"/>
  <c r="B133" i="24" s="1"/>
  <c r="Q165" i="24"/>
  <c r="P165" i="24" s="1"/>
  <c r="V165" i="24" s="1"/>
  <c r="B165" i="24" s="1"/>
  <c r="Q258" i="24"/>
  <c r="P258" i="24" s="1"/>
  <c r="V258" i="24" s="1"/>
  <c r="B258" i="24" s="1"/>
  <c r="Q49" i="24"/>
  <c r="P49" i="24" s="1"/>
  <c r="V49" i="24" s="1"/>
  <c r="B49" i="24" s="1"/>
  <c r="Q226" i="24"/>
  <c r="P226" i="24" s="1"/>
  <c r="V226" i="24" s="1"/>
  <c r="B226" i="24" s="1"/>
  <c r="Q250" i="24"/>
  <c r="P250" i="24" s="1"/>
  <c r="V250" i="24" s="1"/>
  <c r="B250" i="24" s="1"/>
  <c r="Q340" i="24"/>
  <c r="P340" i="24" s="1"/>
  <c r="V340" i="24" s="1"/>
  <c r="B340" i="24" s="1"/>
  <c r="Q213" i="24"/>
  <c r="P213" i="24" s="1"/>
  <c r="V213" i="24" s="1"/>
  <c r="B213" i="24" s="1"/>
  <c r="Q219" i="24"/>
  <c r="P219" i="24" s="1"/>
  <c r="V219" i="24" s="1"/>
  <c r="B219" i="24" s="1"/>
  <c r="Q96" i="24"/>
  <c r="P96" i="24" s="1"/>
  <c r="V96" i="24" s="1"/>
  <c r="B96" i="24" s="1"/>
  <c r="Q173" i="24"/>
  <c r="P173" i="24" s="1"/>
  <c r="V173" i="24" s="1"/>
  <c r="B173" i="24" s="1"/>
  <c r="Q288" i="24"/>
  <c r="P288" i="24" s="1"/>
  <c r="V288" i="24" s="1"/>
  <c r="B288" i="24" s="1"/>
  <c r="W288" i="24" s="1"/>
  <c r="Q59" i="24"/>
  <c r="P59" i="24" s="1"/>
  <c r="V59" i="24" s="1"/>
  <c r="B59" i="24" s="1"/>
  <c r="Q303" i="24"/>
  <c r="P303" i="24" s="1"/>
  <c r="V303" i="24" s="1"/>
  <c r="B303" i="24" s="1"/>
  <c r="Q237" i="24"/>
  <c r="P237" i="24" s="1"/>
  <c r="V237" i="24" s="1"/>
  <c r="B237" i="24" s="1"/>
  <c r="Q238" i="24"/>
  <c r="P238" i="24" s="1"/>
  <c r="V238" i="24" s="1"/>
  <c r="B238" i="24" s="1"/>
  <c r="Q186" i="24"/>
  <c r="P186" i="24" s="1"/>
  <c r="V186" i="24" s="1"/>
  <c r="B186" i="24" s="1"/>
  <c r="Q181" i="24"/>
  <c r="P181" i="24" s="1"/>
  <c r="V181" i="24" s="1"/>
  <c r="B181" i="24" s="1"/>
  <c r="Q299" i="24"/>
  <c r="P299" i="24" s="1"/>
  <c r="V299" i="24" s="1"/>
  <c r="B299" i="24" s="1"/>
  <c r="Q117" i="24"/>
  <c r="P117" i="24" s="1"/>
  <c r="V117" i="24" s="1"/>
  <c r="B117" i="24" s="1"/>
  <c r="Q364" i="24"/>
  <c r="P364" i="24" s="1"/>
  <c r="V364" i="24" s="1"/>
  <c r="B364" i="24" s="1"/>
  <c r="Q379" i="24"/>
  <c r="Q16" i="24"/>
  <c r="P16" i="24" s="1"/>
  <c r="V16" i="24" s="1"/>
  <c r="B16" i="24" s="1"/>
  <c r="Q116" i="24"/>
  <c r="P116" i="24" s="1"/>
  <c r="V116" i="24" s="1"/>
  <c r="B116" i="24" s="1"/>
  <c r="Q55" i="24"/>
  <c r="P55" i="24" s="1"/>
  <c r="V55" i="24" s="1"/>
  <c r="B55" i="24" s="1"/>
  <c r="Q66" i="24"/>
  <c r="P66" i="24" s="1"/>
  <c r="V66" i="24" s="1"/>
  <c r="B66" i="24" s="1"/>
  <c r="Q316" i="24"/>
  <c r="P316" i="24" s="1"/>
  <c r="V316" i="24" s="1"/>
  <c r="B316" i="24" s="1"/>
  <c r="Q35" i="24"/>
  <c r="P35" i="24" s="1"/>
  <c r="V35" i="24" s="1"/>
  <c r="B35" i="24" s="1"/>
  <c r="Q216" i="24"/>
  <c r="P216" i="24" s="1"/>
  <c r="V216" i="24" s="1"/>
  <c r="B216" i="24" s="1"/>
  <c r="Q338" i="24"/>
  <c r="P338" i="24" s="1"/>
  <c r="V338" i="24" s="1"/>
  <c r="B338" i="24" s="1"/>
  <c r="Q47" i="24"/>
  <c r="P47" i="24" s="1"/>
  <c r="V47" i="24" s="1"/>
  <c r="B47" i="24" s="1"/>
  <c r="Q103" i="24"/>
  <c r="P103" i="24" s="1"/>
  <c r="V103" i="24" s="1"/>
  <c r="B103" i="24" s="1"/>
  <c r="Q48" i="24"/>
  <c r="P48" i="24" s="1"/>
  <c r="V48" i="24" s="1"/>
  <c r="B48" i="24" s="1"/>
  <c r="Q351" i="24"/>
  <c r="P351" i="24" s="1"/>
  <c r="V351" i="24" s="1"/>
  <c r="B351" i="24" s="1"/>
  <c r="Q218" i="24"/>
  <c r="P218" i="24" s="1"/>
  <c r="V218" i="24" s="1"/>
  <c r="B218" i="24" s="1"/>
  <c r="Q270" i="24"/>
  <c r="P270" i="24" s="1"/>
  <c r="V270" i="24" s="1"/>
  <c r="B270" i="24" s="1"/>
  <c r="Q39" i="24"/>
  <c r="P39" i="24" s="1"/>
  <c r="V39" i="24" s="1"/>
  <c r="B39" i="24" s="1"/>
  <c r="Q204" i="24"/>
  <c r="P204" i="24" s="1"/>
  <c r="V204" i="24" s="1"/>
  <c r="B204" i="24" s="1"/>
  <c r="Q97" i="24"/>
  <c r="P97" i="24" s="1"/>
  <c r="V97" i="24" s="1"/>
  <c r="B97" i="24" s="1"/>
  <c r="Q211" i="24"/>
  <c r="P211" i="24" s="1"/>
  <c r="V211" i="24" s="1"/>
  <c r="B211" i="24" s="1"/>
  <c r="Q190" i="24"/>
  <c r="P190" i="24" s="1"/>
  <c r="V190" i="24" s="1"/>
  <c r="B190" i="24" s="1"/>
  <c r="Q60" i="24"/>
  <c r="P60" i="24" s="1"/>
  <c r="Q269" i="24"/>
  <c r="P269" i="24" s="1"/>
  <c r="V269" i="24" s="1"/>
  <c r="B269" i="24" s="1"/>
  <c r="Q74" i="24"/>
  <c r="P74" i="24" s="1"/>
  <c r="V74" i="24" s="1"/>
  <c r="B74" i="24" s="1"/>
  <c r="Q183" i="24"/>
  <c r="P183" i="24" s="1"/>
  <c r="V183" i="24" s="1"/>
  <c r="B183" i="24" s="1"/>
  <c r="Q195" i="24"/>
  <c r="P195" i="24" s="1"/>
  <c r="V195" i="24" s="1"/>
  <c r="B195" i="24" s="1"/>
  <c r="Q305" i="24"/>
  <c r="P305" i="24" s="1"/>
  <c r="V305" i="24" s="1"/>
  <c r="B305" i="24" s="1"/>
  <c r="Q111" i="24"/>
  <c r="P111" i="24" s="1"/>
  <c r="V111" i="24" s="1"/>
  <c r="B111" i="24" s="1"/>
  <c r="Q315" i="24"/>
  <c r="P315" i="24" s="1"/>
  <c r="V315" i="24" s="1"/>
  <c r="B315" i="24" s="1"/>
  <c r="Q300" i="24"/>
  <c r="P300" i="24" s="1"/>
  <c r="V300" i="24" s="1"/>
  <c r="B300" i="24" s="1"/>
  <c r="Q342" i="24"/>
  <c r="P342" i="24" s="1"/>
  <c r="V342" i="24" s="1"/>
  <c r="B342" i="24" s="1"/>
  <c r="Q272" i="24"/>
  <c r="P272" i="24" s="1"/>
  <c r="Q206" i="24"/>
  <c r="P206" i="24" s="1"/>
  <c r="V206" i="24" s="1"/>
  <c r="B206" i="24" s="1"/>
  <c r="Q375" i="24"/>
  <c r="P375" i="24" s="1"/>
  <c r="V375" i="24" s="1"/>
  <c r="B375" i="24" s="1"/>
  <c r="Q311" i="24"/>
  <c r="P311" i="24" s="1"/>
  <c r="V311" i="24" s="1"/>
  <c r="B311" i="24" s="1"/>
  <c r="Q208" i="24"/>
  <c r="P208" i="24" s="1"/>
  <c r="V208" i="24" s="1"/>
  <c r="B208" i="24" s="1"/>
  <c r="Q125" i="24"/>
  <c r="P125" i="24" s="1"/>
  <c r="V125" i="24" s="1"/>
  <c r="B125" i="24" s="1"/>
  <c r="Q318" i="24"/>
  <c r="P318" i="24" s="1"/>
  <c r="V318" i="24" s="1"/>
  <c r="B318" i="24" s="1"/>
  <c r="Q188" i="24"/>
  <c r="P188" i="24" s="1"/>
  <c r="V188" i="24" s="1"/>
  <c r="B188" i="24" s="1"/>
  <c r="Q34" i="24"/>
  <c r="P34" i="24" s="1"/>
  <c r="V34" i="24" s="1"/>
  <c r="B34" i="24" s="1"/>
  <c r="Q178" i="24"/>
  <c r="P178" i="24" s="1"/>
  <c r="V178" i="24" s="1"/>
  <c r="B178" i="24" s="1"/>
  <c r="Q41" i="24"/>
  <c r="P41" i="24" s="1"/>
  <c r="V41" i="24" s="1"/>
  <c r="B41" i="24" s="1"/>
  <c r="Q84" i="24"/>
  <c r="P84" i="24" s="1"/>
  <c r="V84" i="24" s="1"/>
  <c r="B84" i="24" s="1"/>
  <c r="Q25" i="24"/>
  <c r="P25" i="24" s="1"/>
  <c r="V25" i="24" s="1"/>
  <c r="B25" i="24" s="1"/>
  <c r="Q233" i="24"/>
  <c r="P233" i="24" s="1"/>
  <c r="V233" i="24" s="1"/>
  <c r="B233" i="24" s="1"/>
  <c r="Q227" i="24"/>
  <c r="P227" i="24" s="1"/>
  <c r="V227" i="24" s="1"/>
  <c r="B227" i="24" s="1"/>
  <c r="W227" i="24" s="1"/>
  <c r="BA15" i="7"/>
  <c r="AE244" i="24"/>
  <c r="AD244" i="24" s="1"/>
  <c r="AE292" i="24"/>
  <c r="AD292" i="24" s="1"/>
  <c r="AE357" i="24"/>
  <c r="AD357" i="24" s="1"/>
  <c r="AE352" i="24"/>
  <c r="AD352" i="24" s="1"/>
  <c r="AE231" i="24"/>
  <c r="AD231" i="24" s="1"/>
  <c r="AE249" i="24"/>
  <c r="AD249" i="24" s="1"/>
  <c r="AE38" i="24"/>
  <c r="AD38" i="24" s="1"/>
  <c r="AE28" i="24"/>
  <c r="AD28" i="24" s="1"/>
  <c r="AE260" i="24"/>
  <c r="AD260" i="24" s="1"/>
  <c r="AE118" i="24"/>
  <c r="AD118" i="24" s="1"/>
  <c r="AE93" i="24"/>
  <c r="AD93" i="24" s="1"/>
  <c r="AE202" i="24"/>
  <c r="AD202" i="24" s="1"/>
  <c r="AE328" i="24"/>
  <c r="AD328" i="24" s="1"/>
  <c r="AE180" i="24"/>
  <c r="AD180" i="24" s="1"/>
  <c r="AE228" i="24"/>
  <c r="AD228" i="24" s="1"/>
  <c r="AE84" i="24"/>
  <c r="AD84" i="24" s="1"/>
  <c r="AE36" i="24"/>
  <c r="AD36" i="24" s="1"/>
  <c r="AE308" i="24"/>
  <c r="AD308" i="24" s="1"/>
  <c r="AE366" i="24"/>
  <c r="AD366" i="24" s="1"/>
  <c r="AE132" i="24"/>
  <c r="AD132" i="24" s="1"/>
  <c r="AE98" i="24"/>
  <c r="AD98" i="24" s="1"/>
  <c r="AE80" i="24"/>
  <c r="AD80" i="24" s="1"/>
  <c r="AE57" i="24"/>
  <c r="AD57" i="24" s="1"/>
  <c r="AE129" i="24"/>
  <c r="AD129" i="24" s="1"/>
  <c r="AE66" i="24"/>
  <c r="AD66" i="24" s="1"/>
  <c r="AE176" i="24"/>
  <c r="AD176" i="24" s="1"/>
  <c r="AE283" i="24"/>
  <c r="AD283" i="24" s="1"/>
  <c r="AE201" i="24"/>
  <c r="AD201" i="24" s="1"/>
  <c r="AE169" i="24"/>
  <c r="AD169" i="24" s="1"/>
  <c r="AE209" i="24"/>
  <c r="AD209" i="24" s="1"/>
  <c r="AE164" i="24"/>
  <c r="AD164" i="24" s="1"/>
  <c r="AE213" i="24"/>
  <c r="AD213" i="24" s="1"/>
  <c r="AE235" i="24"/>
  <c r="AD235" i="24" s="1"/>
  <c r="AE153" i="24"/>
  <c r="AD153" i="24" s="1"/>
  <c r="AE317" i="24"/>
  <c r="AD317" i="24" s="1"/>
  <c r="AE314" i="24"/>
  <c r="AD314" i="24" s="1"/>
  <c r="AE196" i="24"/>
  <c r="AD196" i="24" s="1"/>
  <c r="AE90" i="24"/>
  <c r="AD90" i="24" s="1"/>
  <c r="AE108" i="24"/>
  <c r="AD108" i="24" s="1"/>
  <c r="AE97" i="24"/>
  <c r="AD97" i="24" s="1"/>
  <c r="AE95" i="24"/>
  <c r="AD95" i="24" s="1"/>
  <c r="AE301" i="24"/>
  <c r="AD301" i="24" s="1"/>
  <c r="AE111" i="24"/>
  <c r="AD111" i="24" s="1"/>
  <c r="AE243" i="24"/>
  <c r="AD243" i="24" s="1"/>
  <c r="AE356" i="24"/>
  <c r="AD356" i="24" s="1"/>
  <c r="AE247" i="24"/>
  <c r="AD247" i="24" s="1"/>
  <c r="AE239" i="24"/>
  <c r="AD239" i="24" s="1"/>
  <c r="AE294" i="24"/>
  <c r="AD294" i="24" s="1"/>
  <c r="AE126" i="24"/>
  <c r="AD126" i="24" s="1"/>
  <c r="AE253" i="24"/>
  <c r="AD253" i="24" s="1"/>
  <c r="AE91" i="24"/>
  <c r="AD91" i="24" s="1"/>
  <c r="AE220" i="24"/>
  <c r="AD220" i="24" s="1"/>
  <c r="AE113" i="24"/>
  <c r="AD113" i="24" s="1"/>
  <c r="AE25" i="24"/>
  <c r="AD25" i="24" s="1"/>
  <c r="AE86" i="24"/>
  <c r="AD86" i="24" s="1"/>
  <c r="AE335" i="24"/>
  <c r="AD335" i="24" s="1"/>
  <c r="AE320" i="24"/>
  <c r="AD320" i="24" s="1"/>
  <c r="AE232" i="24"/>
  <c r="AD232" i="24" s="1"/>
  <c r="AE233" i="24"/>
  <c r="AD233" i="24" s="1"/>
  <c r="AE279" i="24"/>
  <c r="AD279" i="24" s="1"/>
  <c r="AE282" i="24"/>
  <c r="AD282" i="24" s="1"/>
  <c r="AE288" i="24"/>
  <c r="AD288" i="24" s="1"/>
  <c r="AE39" i="24"/>
  <c r="AD39" i="24" s="1"/>
  <c r="AE136" i="24"/>
  <c r="AD136" i="24" s="1"/>
  <c r="AE257" i="24"/>
  <c r="AD257" i="24" s="1"/>
  <c r="AE92" i="24"/>
  <c r="AD92" i="24" s="1"/>
  <c r="AE362" i="24"/>
  <c r="AD362" i="24" s="1"/>
  <c r="AE316" i="24"/>
  <c r="AD316" i="24" s="1"/>
  <c r="AE152" i="24"/>
  <c r="AD152" i="24" s="1"/>
  <c r="AE29" i="24"/>
  <c r="AD29" i="24" s="1"/>
  <c r="AE375" i="24"/>
  <c r="AD375" i="24" s="1"/>
  <c r="AE336" i="24"/>
  <c r="AD336" i="24" s="1"/>
  <c r="AE23" i="24"/>
  <c r="AD23" i="24" s="1"/>
  <c r="AE263" i="24"/>
  <c r="AD263" i="24" s="1"/>
  <c r="AE22" i="24"/>
  <c r="AD22" i="24" s="1"/>
  <c r="AE358" i="24"/>
  <c r="AD358" i="24" s="1"/>
  <c r="AE112" i="24"/>
  <c r="AD112" i="24" s="1"/>
  <c r="AE40" i="24"/>
  <c r="AD40" i="24" s="1"/>
  <c r="AE17" i="24"/>
  <c r="AD17" i="24" s="1"/>
  <c r="AE165" i="24"/>
  <c r="AD165" i="24" s="1"/>
  <c r="AE355" i="24"/>
  <c r="AD355" i="24" s="1"/>
  <c r="AE69" i="24"/>
  <c r="AD69" i="24" s="1"/>
  <c r="AE339" i="24"/>
  <c r="AD339" i="24" s="1"/>
  <c r="AE277" i="24"/>
  <c r="AD277" i="24" s="1"/>
  <c r="AE62" i="24"/>
  <c r="AD62" i="24" s="1"/>
  <c r="AE174" i="24"/>
  <c r="AD174" i="24" s="1"/>
  <c r="AE280" i="24"/>
  <c r="AD280" i="24" s="1"/>
  <c r="AE158" i="24"/>
  <c r="AD158" i="24" s="1"/>
  <c r="AE159" i="24"/>
  <c r="AD159" i="24" s="1"/>
  <c r="AE326" i="24"/>
  <c r="AD326" i="24" s="1"/>
  <c r="AE324" i="24"/>
  <c r="AD324" i="24" s="1"/>
  <c r="AE269" i="24"/>
  <c r="AD269" i="24" s="1"/>
  <c r="AE319" i="24"/>
  <c r="AD319" i="24" s="1"/>
  <c r="AE224" i="24"/>
  <c r="AD224" i="24" s="1"/>
  <c r="AE96" i="24"/>
  <c r="AD96" i="24" s="1"/>
  <c r="AE340" i="24"/>
  <c r="AD340" i="24" s="1"/>
  <c r="AE311" i="24"/>
  <c r="AD311" i="24" s="1"/>
  <c r="AE20" i="24"/>
  <c r="AD20" i="24" s="1"/>
  <c r="AE273" i="24"/>
  <c r="AD273" i="24" s="1"/>
  <c r="AE134" i="24"/>
  <c r="AD134" i="24" s="1"/>
  <c r="AE305" i="24"/>
  <c r="AD305" i="24" s="1"/>
  <c r="AE353" i="24"/>
  <c r="AD353" i="24" s="1"/>
  <c r="AE142" i="24"/>
  <c r="AD142" i="24" s="1"/>
  <c r="AE148" i="24"/>
  <c r="AD148" i="24" s="1"/>
  <c r="AE19" i="24"/>
  <c r="AD19" i="24" s="1"/>
  <c r="AE234" i="24"/>
  <c r="AD234" i="24" s="1"/>
  <c r="AE182" i="24"/>
  <c r="AD182" i="24" s="1"/>
  <c r="AE230" i="24"/>
  <c r="AD230" i="24" s="1"/>
  <c r="AE141" i="24"/>
  <c r="AD141" i="24" s="1"/>
  <c r="AE203" i="24"/>
  <c r="AD203" i="24" s="1"/>
  <c r="AE87" i="24"/>
  <c r="AD87" i="24" s="1"/>
  <c r="AE167" i="24"/>
  <c r="AD167" i="24" s="1"/>
  <c r="AE281" i="24"/>
  <c r="AD281" i="24" s="1"/>
  <c r="AE188" i="24"/>
  <c r="AD188" i="24" s="1"/>
  <c r="AE43" i="24"/>
  <c r="AD43" i="24" s="1"/>
  <c r="AE325" i="24"/>
  <c r="AD325" i="24" s="1"/>
  <c r="AE371" i="24"/>
  <c r="AD371" i="24" s="1"/>
  <c r="AE240" i="24"/>
  <c r="AD240" i="24" s="1"/>
  <c r="AE79" i="24"/>
  <c r="AD79" i="24" s="1"/>
  <c r="AE131" i="24"/>
  <c r="AD131" i="24" s="1"/>
  <c r="AE68" i="24"/>
  <c r="AD68" i="24" s="1"/>
  <c r="AE364" i="24"/>
  <c r="AD364" i="24" s="1"/>
  <c r="AE99" i="24"/>
  <c r="AD99" i="24" s="1"/>
  <c r="AE198" i="24"/>
  <c r="AD198" i="24" s="1"/>
  <c r="AE187" i="24"/>
  <c r="AD187" i="24" s="1"/>
  <c r="AE61" i="24"/>
  <c r="AD61" i="24" s="1"/>
  <c r="AE170" i="24"/>
  <c r="AD170" i="24" s="1"/>
  <c r="AE295" i="24"/>
  <c r="AD295" i="24" s="1"/>
  <c r="AE163" i="24"/>
  <c r="AD163" i="24" s="1"/>
  <c r="AE223" i="24"/>
  <c r="AD223" i="24" s="1"/>
  <c r="AE124" i="24"/>
  <c r="AD124" i="24" s="1"/>
  <c r="AE120" i="24"/>
  <c r="AD120" i="24" s="1"/>
  <c r="AE369" i="24"/>
  <c r="AD369" i="24" s="1"/>
  <c r="AE104" i="24"/>
  <c r="AD104" i="24" s="1"/>
  <c r="AE217" i="24"/>
  <c r="AD217" i="24" s="1"/>
  <c r="AE67" i="24"/>
  <c r="AD67" i="24" s="1"/>
  <c r="AE128" i="24"/>
  <c r="AD128" i="24" s="1"/>
  <c r="AE155" i="24"/>
  <c r="AD155" i="24" s="1"/>
  <c r="AE177" i="24"/>
  <c r="AD177" i="24" s="1"/>
  <c r="AE114" i="24"/>
  <c r="AD114" i="24" s="1"/>
  <c r="AE323" i="24"/>
  <c r="AD323" i="24" s="1"/>
  <c r="AE116" i="24"/>
  <c r="AD116" i="24" s="1"/>
  <c r="AE32" i="24"/>
  <c r="AD32" i="24" s="1"/>
  <c r="AE377" i="24"/>
  <c r="AD377" i="24" s="1"/>
  <c r="AE143" i="24"/>
  <c r="AD143" i="24" s="1"/>
  <c r="AE42" i="24"/>
  <c r="AD42" i="24" s="1"/>
  <c r="AE251" i="24"/>
  <c r="AD251" i="24" s="1"/>
  <c r="AE337" i="24"/>
  <c r="AD337" i="24" s="1"/>
  <c r="AE304" i="24"/>
  <c r="AD304" i="24" s="1"/>
  <c r="AE204" i="24"/>
  <c r="AD204" i="24" s="1"/>
  <c r="AE35" i="24"/>
  <c r="AD35" i="24" s="1"/>
  <c r="AE349" i="24"/>
  <c r="AD349" i="24" s="1"/>
  <c r="AE264" i="24"/>
  <c r="AD264" i="24" s="1"/>
  <c r="AE226" i="24"/>
  <c r="AD226" i="24" s="1"/>
  <c r="AE59" i="24"/>
  <c r="AD59" i="24" s="1"/>
  <c r="AE156" i="24"/>
  <c r="AD156" i="24" s="1"/>
  <c r="AE194" i="24"/>
  <c r="AD194" i="24" s="1"/>
  <c r="AE221" i="24"/>
  <c r="AD221" i="24" s="1"/>
  <c r="AE33" i="24"/>
  <c r="AD33" i="24" s="1"/>
  <c r="AE191" i="24"/>
  <c r="AD191" i="24" s="1"/>
  <c r="AE343" i="24"/>
  <c r="AD343" i="24" s="1"/>
  <c r="AE216" i="24"/>
  <c r="AD216" i="24" s="1"/>
  <c r="AE51" i="24"/>
  <c r="AD51" i="24" s="1"/>
  <c r="AE146" i="24"/>
  <c r="AD146" i="24" s="1"/>
  <c r="AE184" i="24"/>
  <c r="AD184" i="24" s="1"/>
  <c r="AE173" i="24"/>
  <c r="AD173" i="24" s="1"/>
  <c r="AE327" i="24"/>
  <c r="AD327" i="24" s="1"/>
  <c r="AE290" i="24"/>
  <c r="AD290" i="24" s="1"/>
  <c r="AE259" i="24"/>
  <c r="AD259" i="24" s="1"/>
  <c r="AE313" i="24"/>
  <c r="AD313" i="24" s="1"/>
  <c r="AE56" i="24"/>
  <c r="AD56" i="24" s="1"/>
  <c r="AE138" i="24"/>
  <c r="AD138" i="24" s="1"/>
  <c r="AE172" i="24"/>
  <c r="AD172" i="24" s="1"/>
  <c r="AE26" i="24"/>
  <c r="AD26" i="24" s="1"/>
  <c r="AE302" i="24"/>
  <c r="AD302" i="24" s="1"/>
  <c r="AE378" i="24"/>
  <c r="AD378" i="24" s="1"/>
  <c r="AE78" i="24"/>
  <c r="AD78" i="24" s="1"/>
  <c r="AE135" i="24"/>
  <c r="AD135" i="24" s="1"/>
  <c r="AE58" i="24"/>
  <c r="AD58" i="24" s="1"/>
  <c r="AE322" i="24"/>
  <c r="AD322" i="24" s="1"/>
  <c r="AE300" i="24"/>
  <c r="AD300" i="24" s="1"/>
  <c r="AE309" i="24"/>
  <c r="AD309" i="24" s="1"/>
  <c r="Q214" i="24"/>
  <c r="P214" i="24" s="1"/>
  <c r="V214" i="24" s="1"/>
  <c r="B214" i="24" s="1"/>
  <c r="Q331" i="24"/>
  <c r="P331" i="24" s="1"/>
  <c r="V331" i="24" s="1"/>
  <c r="B331" i="24" s="1"/>
  <c r="Q355" i="24"/>
  <c r="P355" i="24" s="1"/>
  <c r="V355" i="24" s="1"/>
  <c r="B355" i="24" s="1"/>
  <c r="Q360" i="24"/>
  <c r="P360" i="24" s="1"/>
  <c r="V360" i="24" s="1"/>
  <c r="B360" i="24" s="1"/>
  <c r="Q292" i="24"/>
  <c r="P292" i="24" s="1"/>
  <c r="V292" i="24" s="1"/>
  <c r="B292" i="24" s="1"/>
  <c r="Q260" i="24"/>
  <c r="P260" i="24" s="1"/>
  <c r="V260" i="24" s="1"/>
  <c r="B260" i="24" s="1"/>
  <c r="Q180" i="24"/>
  <c r="P180" i="24" s="1"/>
  <c r="Q225" i="24"/>
  <c r="P225" i="24" s="1"/>
  <c r="V225" i="24" s="1"/>
  <c r="B225" i="24" s="1"/>
  <c r="Q350" i="24"/>
  <c r="P350" i="24" s="1"/>
  <c r="V350" i="24" s="1"/>
  <c r="B350" i="24" s="1"/>
  <c r="Q88" i="24"/>
  <c r="P88" i="24" s="1"/>
  <c r="Q289" i="24"/>
  <c r="P289" i="24" s="1"/>
  <c r="V289" i="24" s="1"/>
  <c r="B289" i="24" s="1"/>
  <c r="Q102" i="24"/>
  <c r="P102" i="24" s="1"/>
  <c r="V102" i="24" s="1"/>
  <c r="B102" i="24" s="1"/>
  <c r="Q141" i="24"/>
  <c r="P141" i="24" s="1"/>
  <c r="V141" i="24" s="1"/>
  <c r="B141" i="24" s="1"/>
  <c r="Q294" i="24"/>
  <c r="P294" i="24" s="1"/>
  <c r="V294" i="24" s="1"/>
  <c r="B294" i="24" s="1"/>
  <c r="Q80" i="24"/>
  <c r="P80" i="24" s="1"/>
  <c r="V80" i="24" s="1"/>
  <c r="B80" i="24" s="1"/>
  <c r="Q70" i="24"/>
  <c r="P70" i="24" s="1"/>
  <c r="V70" i="24" s="1"/>
  <c r="B70" i="24" s="1"/>
  <c r="Q239" i="24"/>
  <c r="P239" i="24" s="1"/>
  <c r="V239" i="24" s="1"/>
  <c r="B239" i="24" s="1"/>
  <c r="Q345" i="24"/>
  <c r="P345" i="24" s="1"/>
  <c r="V345" i="24" s="1"/>
  <c r="B345" i="24" s="1"/>
  <c r="Q314" i="24"/>
  <c r="P314" i="24" s="1"/>
  <c r="V314" i="24" s="1"/>
  <c r="B314" i="24" s="1"/>
  <c r="Q231" i="24"/>
  <c r="P231" i="24" s="1"/>
  <c r="V231" i="24" s="1"/>
  <c r="B231" i="24" s="1"/>
  <c r="Q259" i="24"/>
  <c r="P259" i="24" s="1"/>
  <c r="V259" i="24" s="1"/>
  <c r="B259" i="24" s="1"/>
  <c r="Q185" i="24"/>
  <c r="P185" i="24" s="1"/>
  <c r="V185" i="24" s="1"/>
  <c r="B185" i="24" s="1"/>
  <c r="Q358" i="24"/>
  <c r="P358" i="24" s="1"/>
  <c r="V358" i="24" s="1"/>
  <c r="B358" i="24" s="1"/>
  <c r="Q248" i="24"/>
  <c r="P248" i="24" s="1"/>
  <c r="V248" i="24" s="1"/>
  <c r="B248" i="24" s="1"/>
  <c r="Q42" i="24"/>
  <c r="P42" i="24" s="1"/>
  <c r="V42" i="24" s="1"/>
  <c r="B42" i="24" s="1"/>
  <c r="Q279" i="24"/>
  <c r="P279" i="24" s="1"/>
  <c r="V279" i="24" s="1"/>
  <c r="B279" i="24" s="1"/>
  <c r="Q152" i="24"/>
  <c r="P152" i="24" s="1"/>
  <c r="V152" i="24" s="1"/>
  <c r="B152" i="24" s="1"/>
  <c r="Q22" i="24"/>
  <c r="P22" i="24" s="1"/>
  <c r="V22" i="24" s="1"/>
  <c r="B22" i="24" s="1"/>
  <c r="Q191" i="24"/>
  <c r="P191" i="24" s="1"/>
  <c r="V191" i="24" s="1"/>
  <c r="B191" i="24" s="1"/>
  <c r="Q252" i="24"/>
  <c r="P252" i="24" s="1"/>
  <c r="V252" i="24" s="1"/>
  <c r="B252" i="24" s="1"/>
  <c r="Q38" i="24"/>
  <c r="P38" i="24" s="1"/>
  <c r="V38" i="24" s="1"/>
  <c r="B38" i="24" s="1"/>
  <c r="Q50" i="24"/>
  <c r="P50" i="24" s="1"/>
  <c r="V50" i="24" s="1"/>
  <c r="B50" i="24" s="1"/>
  <c r="Q198" i="24"/>
  <c r="P198" i="24" s="1"/>
  <c r="V198" i="24" s="1"/>
  <c r="B198" i="24" s="1"/>
  <c r="Q367" i="24"/>
  <c r="P367" i="24" s="1"/>
  <c r="V367" i="24" s="1"/>
  <c r="B367" i="24" s="1"/>
  <c r="Q170" i="24"/>
  <c r="P170" i="24" s="1"/>
  <c r="V170" i="24" s="1"/>
  <c r="B170" i="24" s="1"/>
  <c r="Q91" i="24"/>
  <c r="P91" i="24" s="1"/>
  <c r="V91" i="24" s="1"/>
  <c r="B91" i="24" s="1"/>
  <c r="Q168" i="24"/>
  <c r="P168" i="24" s="1"/>
  <c r="V168" i="24" s="1"/>
  <c r="B168" i="24" s="1"/>
  <c r="Q363" i="24"/>
  <c r="P363" i="24" s="1"/>
  <c r="Q52" i="24"/>
  <c r="P52" i="24" s="1"/>
  <c r="V52" i="24" s="1"/>
  <c r="B52" i="24" s="1"/>
  <c r="Q37" i="24"/>
  <c r="P37" i="24" s="1"/>
  <c r="V37" i="24" s="1"/>
  <c r="B37" i="24" s="1"/>
  <c r="Q131" i="24"/>
  <c r="P131" i="24" s="1"/>
  <c r="V131" i="24" s="1"/>
  <c r="B131" i="24" s="1"/>
  <c r="Q33" i="24"/>
  <c r="P33" i="24" s="1"/>
  <c r="V33" i="24" s="1"/>
  <c r="B33" i="24" s="1"/>
  <c r="Q140" i="24"/>
  <c r="P140" i="24" s="1"/>
  <c r="V140" i="24" s="1"/>
  <c r="B140" i="24" s="1"/>
  <c r="Q135" i="24"/>
  <c r="P135" i="24" s="1"/>
  <c r="V135" i="24" s="1"/>
  <c r="B135" i="24" s="1"/>
  <c r="W135" i="24" s="1"/>
  <c r="Q151" i="24"/>
  <c r="P151" i="24" s="1"/>
  <c r="V151" i="24" s="1"/>
  <c r="B151" i="24" s="1"/>
  <c r="Q161" i="24"/>
  <c r="P161" i="24" s="1"/>
  <c r="V161" i="24" s="1"/>
  <c r="B161" i="24" s="1"/>
  <c r="Q268" i="24"/>
  <c r="P268" i="24" s="1"/>
  <c r="V268" i="24" s="1"/>
  <c r="B268" i="24" s="1"/>
  <c r="W268" i="24" s="1"/>
  <c r="Q67" i="24"/>
  <c r="P67" i="24" s="1"/>
  <c r="V67" i="24" s="1"/>
  <c r="B67" i="24" s="1"/>
  <c r="Q114" i="24"/>
  <c r="P114" i="24" s="1"/>
  <c r="V114" i="24" s="1"/>
  <c r="B114" i="24" s="1"/>
  <c r="Q209" i="24"/>
  <c r="P209" i="24" s="1"/>
  <c r="V209" i="24" s="1"/>
  <c r="B209" i="24" s="1"/>
  <c r="Q246" i="24"/>
  <c r="P246" i="24" s="1"/>
  <c r="V246" i="24" s="1"/>
  <c r="B246" i="24" s="1"/>
  <c r="Q228" i="24"/>
  <c r="P228" i="24" s="1"/>
  <c r="V228" i="24" s="1"/>
  <c r="B228" i="24" s="1"/>
  <c r="Q307" i="24"/>
  <c r="P307" i="24" s="1"/>
  <c r="V307" i="24" s="1"/>
  <c r="B307" i="24" s="1"/>
  <c r="Q217" i="24"/>
  <c r="P217" i="24" s="1"/>
  <c r="V217" i="24" s="1"/>
  <c r="B217" i="24" s="1"/>
  <c r="Q343" i="24"/>
  <c r="P343" i="24" s="1"/>
  <c r="V343" i="24" s="1"/>
  <c r="B343" i="24" s="1"/>
  <c r="Q362" i="24"/>
  <c r="P362" i="24" s="1"/>
  <c r="V362" i="24" s="1"/>
  <c r="B362" i="24" s="1"/>
  <c r="Q224" i="24"/>
  <c r="P224" i="24" s="1"/>
  <c r="V224" i="24" s="1"/>
  <c r="B224" i="24" s="1"/>
  <c r="Q274" i="24"/>
  <c r="P274" i="24" s="1"/>
  <c r="V274" i="24" s="1"/>
  <c r="B274" i="24" s="1"/>
  <c r="Q310" i="24"/>
  <c r="P310" i="24" s="1"/>
  <c r="V310" i="24" s="1"/>
  <c r="B310" i="24" s="1"/>
  <c r="Q244" i="24"/>
  <c r="P244" i="24" s="1"/>
  <c r="V244" i="24" s="1"/>
  <c r="B244" i="24" s="1"/>
  <c r="Q26" i="24"/>
  <c r="P26" i="24" s="1"/>
  <c r="V26" i="24" s="1"/>
  <c r="B26" i="24" s="1"/>
  <c r="Q21" i="24"/>
  <c r="P21" i="24" s="1"/>
  <c r="V21" i="24" s="1"/>
  <c r="B21" i="24" s="1"/>
  <c r="Q353" i="24"/>
  <c r="P353" i="24" s="1"/>
  <c r="V353" i="24" s="1"/>
  <c r="B353" i="24" s="1"/>
  <c r="D353" i="24" s="1"/>
  <c r="E353" i="24" s="1"/>
  <c r="F353" i="24" s="1"/>
  <c r="H353" i="24" s="1"/>
  <c r="Q322" i="24"/>
  <c r="P322" i="24" s="1"/>
  <c r="V322" i="24" s="1"/>
  <c r="B322" i="24" s="1"/>
  <c r="Q62" i="24"/>
  <c r="P62" i="24" s="1"/>
  <c r="V62" i="24" s="1"/>
  <c r="B62" i="24" s="1"/>
  <c r="Q295" i="24"/>
  <c r="P295" i="24" s="1"/>
  <c r="V295" i="24" s="1"/>
  <c r="B295" i="24" s="1"/>
  <c r="Q61" i="24"/>
  <c r="P61" i="24" s="1"/>
  <c r="V61" i="24" s="1"/>
  <c r="B61" i="24" s="1"/>
  <c r="W61" i="24" s="1"/>
  <c r="Q359" i="24"/>
  <c r="P359" i="24" s="1"/>
  <c r="V359" i="24" s="1"/>
  <c r="B359" i="24" s="1"/>
  <c r="Q145" i="24"/>
  <c r="P145" i="24" s="1"/>
  <c r="V145" i="24" s="1"/>
  <c r="B145" i="24" s="1"/>
  <c r="Q306" i="24"/>
  <c r="P306" i="24" s="1"/>
  <c r="V306" i="24" s="1"/>
  <c r="B306" i="24" s="1"/>
  <c r="Q326" i="24"/>
  <c r="P326" i="24" s="1"/>
  <c r="V326" i="24" s="1"/>
  <c r="B326" i="24" s="1"/>
  <c r="Q132" i="24"/>
  <c r="P132" i="24" s="1"/>
  <c r="V132" i="24" s="1"/>
  <c r="B132" i="24" s="1"/>
  <c r="Q341" i="24"/>
  <c r="P341" i="24" s="1"/>
  <c r="V341" i="24" s="1"/>
  <c r="B341" i="24" s="1"/>
  <c r="D341" i="24" s="1"/>
  <c r="E341" i="24" s="1"/>
  <c r="F341" i="24" s="1"/>
  <c r="AA341" i="24" s="1"/>
  <c r="Z341" i="24" s="1"/>
  <c r="Y341" i="24" s="1"/>
  <c r="Q339" i="24"/>
  <c r="P339" i="24" s="1"/>
  <c r="V339" i="24" s="1"/>
  <c r="B339" i="24" s="1"/>
  <c r="Q29" i="24"/>
  <c r="P29" i="24" s="1"/>
  <c r="Q71" i="24"/>
  <c r="P71" i="24" s="1"/>
  <c r="V71" i="24" s="1"/>
  <c r="B71" i="24" s="1"/>
  <c r="Q372" i="24"/>
  <c r="P372" i="24" s="1"/>
  <c r="V372" i="24" s="1"/>
  <c r="B372" i="24" s="1"/>
  <c r="Q154" i="24"/>
  <c r="P154" i="24" s="1"/>
  <c r="V154" i="24" s="1"/>
  <c r="B154" i="24" s="1"/>
  <c r="Q324" i="24"/>
  <c r="P324" i="24" s="1"/>
  <c r="V324" i="24" s="1"/>
  <c r="B324" i="24" s="1"/>
  <c r="Q93" i="24"/>
  <c r="P93" i="24" s="1"/>
  <c r="V93" i="24" s="1"/>
  <c r="B93" i="24" s="1"/>
  <c r="Q149" i="24"/>
  <c r="P149" i="24" s="1"/>
  <c r="Q194" i="24"/>
  <c r="P194" i="24" s="1"/>
  <c r="V194" i="24" s="1"/>
  <c r="B194" i="24" s="1"/>
  <c r="Q118" i="24"/>
  <c r="P118" i="24" s="1"/>
  <c r="V118" i="24" s="1"/>
  <c r="B118" i="24" s="1"/>
  <c r="W118" i="24" s="1"/>
  <c r="Q329" i="24"/>
  <c r="P329" i="24" s="1"/>
  <c r="V329" i="24" s="1"/>
  <c r="B329" i="24" s="1"/>
  <c r="Q230" i="24"/>
  <c r="P230" i="24" s="1"/>
  <c r="V230" i="24" s="1"/>
  <c r="B230" i="24" s="1"/>
  <c r="D230" i="24" s="1"/>
  <c r="E230" i="24" s="1"/>
  <c r="F230" i="24" s="1"/>
  <c r="G230" i="24" s="1"/>
  <c r="CE230" i="6" s="1"/>
  <c r="Q143" i="24"/>
  <c r="P143" i="24" s="1"/>
  <c r="V143" i="24" s="1"/>
  <c r="B143" i="24" s="1"/>
  <c r="Q124" i="24"/>
  <c r="P124" i="24" s="1"/>
  <c r="V124" i="24" s="1"/>
  <c r="B124" i="24" s="1"/>
  <c r="J19" i="23"/>
  <c r="I19" i="23"/>
  <c r="I251" i="23"/>
  <c r="J251" i="23"/>
  <c r="W60" i="23"/>
  <c r="D60" i="23"/>
  <c r="E60" i="23" s="1"/>
  <c r="F60" i="23" s="1"/>
  <c r="I87" i="23"/>
  <c r="J87" i="23"/>
  <c r="D88" i="23"/>
  <c r="E88" i="23" s="1"/>
  <c r="F88" i="23" s="1"/>
  <c r="W88" i="23"/>
  <c r="I76" i="23"/>
  <c r="J76" i="23"/>
  <c r="J225" i="23"/>
  <c r="I225" i="23"/>
  <c r="I62" i="23"/>
  <c r="J62" i="23"/>
  <c r="J142" i="23"/>
  <c r="I142" i="23"/>
  <c r="J316" i="23"/>
  <c r="I316" i="23"/>
  <c r="J108" i="23"/>
  <c r="I108" i="23"/>
  <c r="J24" i="23"/>
  <c r="I24" i="23"/>
  <c r="I317" i="23"/>
  <c r="J317" i="23"/>
  <c r="I109" i="23"/>
  <c r="J109" i="23"/>
  <c r="I185" i="23"/>
  <c r="J185" i="23"/>
  <c r="I51" i="23"/>
  <c r="J51" i="23"/>
  <c r="H363" i="23"/>
  <c r="AA363" i="23"/>
  <c r="Z363" i="23" s="1"/>
  <c r="Y363" i="23" s="1"/>
  <c r="G363" i="23"/>
  <c r="CD363" i="6" s="1"/>
  <c r="I34" i="23"/>
  <c r="J34" i="23"/>
  <c r="I48" i="23"/>
  <c r="J48" i="23"/>
  <c r="I118" i="23"/>
  <c r="J118" i="23"/>
  <c r="J187" i="23"/>
  <c r="I187" i="23"/>
  <c r="J31" i="23"/>
  <c r="I31" i="23"/>
  <c r="I133" i="23"/>
  <c r="J133" i="23"/>
  <c r="J232" i="23"/>
  <c r="I232" i="23"/>
  <c r="I112" i="23"/>
  <c r="J112" i="23"/>
  <c r="I162" i="23"/>
  <c r="J162" i="23"/>
  <c r="J54" i="23"/>
  <c r="I54" i="23"/>
  <c r="I266" i="23"/>
  <c r="J266" i="23"/>
  <c r="I80" i="23"/>
  <c r="J80" i="23"/>
  <c r="J26" i="23"/>
  <c r="I26" i="23"/>
  <c r="J343" i="23"/>
  <c r="I343" i="23"/>
  <c r="I250" i="23"/>
  <c r="J250" i="23"/>
  <c r="J92" i="23"/>
  <c r="I92" i="23"/>
  <c r="J344" i="23"/>
  <c r="I344" i="23"/>
  <c r="I35" i="23"/>
  <c r="J35" i="23"/>
  <c r="J287" i="23"/>
  <c r="I287" i="23"/>
  <c r="J341" i="23"/>
  <c r="I341" i="23"/>
  <c r="I30" i="23"/>
  <c r="J30" i="23"/>
  <c r="J103" i="23"/>
  <c r="I103" i="23"/>
  <c r="J336" i="23"/>
  <c r="I336" i="23"/>
  <c r="I42" i="23"/>
  <c r="J42" i="23"/>
  <c r="I96" i="23"/>
  <c r="J96" i="23"/>
  <c r="I72" i="23"/>
  <c r="J72" i="23"/>
  <c r="J253" i="23"/>
  <c r="I253" i="23"/>
  <c r="G29" i="23"/>
  <c r="CD29" i="6" s="1"/>
  <c r="AA29" i="23"/>
  <c r="Z29" i="23" s="1"/>
  <c r="Y29" i="23" s="1"/>
  <c r="H29" i="23"/>
  <c r="J213" i="23"/>
  <c r="I213" i="23"/>
  <c r="I239" i="23"/>
  <c r="J239" i="23"/>
  <c r="J99" i="23"/>
  <c r="I99" i="23"/>
  <c r="I290" i="23"/>
  <c r="J290" i="23"/>
  <c r="I262" i="23"/>
  <c r="J262" i="23"/>
  <c r="I91" i="23"/>
  <c r="J91" i="23"/>
  <c r="J207" i="23"/>
  <c r="I207" i="23"/>
  <c r="I104" i="23"/>
  <c r="J104" i="23"/>
  <c r="I73" i="23"/>
  <c r="J73" i="23"/>
  <c r="J158" i="23"/>
  <c r="I158" i="23"/>
  <c r="I364" i="23"/>
  <c r="J364" i="23"/>
  <c r="I201" i="23"/>
  <c r="J201" i="23"/>
  <c r="J194" i="23"/>
  <c r="I194" i="23"/>
  <c r="I79" i="23"/>
  <c r="J79" i="23"/>
  <c r="I356" i="23"/>
  <c r="J356" i="23"/>
  <c r="D379" i="23"/>
  <c r="E379" i="23" s="1"/>
  <c r="F379" i="23" s="1"/>
  <c r="W379" i="23"/>
  <c r="J337" i="23"/>
  <c r="I337" i="23"/>
  <c r="I190" i="23"/>
  <c r="J190" i="23"/>
  <c r="J17" i="23"/>
  <c r="I17" i="23"/>
  <c r="I268" i="23"/>
  <c r="J268" i="23"/>
  <c r="J246" i="23"/>
  <c r="I246" i="23"/>
  <c r="J78" i="23"/>
  <c r="I78" i="23"/>
  <c r="I362" i="23"/>
  <c r="J362" i="23"/>
  <c r="J68" i="23"/>
  <c r="I68" i="23"/>
  <c r="I305" i="23"/>
  <c r="J305" i="23"/>
  <c r="J95" i="23"/>
  <c r="I95" i="23"/>
  <c r="J292" i="23"/>
  <c r="I292" i="23"/>
  <c r="J38" i="23"/>
  <c r="I38" i="23"/>
  <c r="I279" i="23"/>
  <c r="J279" i="23"/>
  <c r="M68" i="19"/>
  <c r="N68" i="19" s="1"/>
  <c r="J47" i="23"/>
  <c r="I47" i="23"/>
  <c r="I43" i="23"/>
  <c r="J43" i="23"/>
  <c r="I358" i="23"/>
  <c r="J358" i="23"/>
  <c r="G272" i="23"/>
  <c r="CD272" i="6" s="1"/>
  <c r="H272" i="23"/>
  <c r="AA272" i="23"/>
  <c r="Z272" i="23" s="1"/>
  <c r="Y272" i="23" s="1"/>
  <c r="G149" i="23"/>
  <c r="CD149" i="6" s="1"/>
  <c r="AA149" i="23"/>
  <c r="Z149" i="23" s="1"/>
  <c r="Y149" i="23" s="1"/>
  <c r="H149" i="23"/>
  <c r="I286" i="23"/>
  <c r="J286" i="23"/>
  <c r="I18" i="23"/>
  <c r="J18" i="23"/>
  <c r="J181" i="23"/>
  <c r="I181" i="23"/>
  <c r="I271" i="23"/>
  <c r="J271" i="23"/>
  <c r="J306" i="23"/>
  <c r="I306" i="23"/>
  <c r="I243" i="23"/>
  <c r="J243" i="23"/>
  <c r="I299" i="23"/>
  <c r="J299" i="23"/>
  <c r="I230" i="23"/>
  <c r="J230" i="23"/>
  <c r="I205" i="23"/>
  <c r="J205" i="23"/>
  <c r="I254" i="23"/>
  <c r="J254" i="23"/>
  <c r="I159" i="23"/>
  <c r="J159" i="23"/>
  <c r="J176" i="23"/>
  <c r="I176" i="23"/>
  <c r="J307" i="23"/>
  <c r="I307" i="23"/>
  <c r="I310" i="23"/>
  <c r="J310" i="23"/>
  <c r="I361" i="23"/>
  <c r="J361" i="23"/>
  <c r="J177" i="23"/>
  <c r="I177" i="23"/>
  <c r="J218" i="23"/>
  <c r="I218" i="23"/>
  <c r="J165" i="23"/>
  <c r="I165" i="23"/>
  <c r="I171" i="23"/>
  <c r="J171" i="23"/>
  <c r="I69" i="23"/>
  <c r="J69" i="23"/>
  <c r="I265" i="23"/>
  <c r="J265" i="23"/>
  <c r="I220" i="23"/>
  <c r="J220" i="23"/>
  <c r="J352" i="23"/>
  <c r="I352" i="23"/>
  <c r="I66" i="23"/>
  <c r="J66" i="23"/>
  <c r="J152" i="23"/>
  <c r="I152" i="23"/>
  <c r="I102" i="23"/>
  <c r="J102" i="23"/>
  <c r="I328" i="23"/>
  <c r="J328" i="23"/>
  <c r="J335" i="23"/>
  <c r="I335" i="23"/>
  <c r="I368" i="23"/>
  <c r="J368" i="23"/>
  <c r="W119" i="23"/>
  <c r="D119" i="23"/>
  <c r="E119" i="23" s="1"/>
  <c r="F119" i="23" s="1"/>
  <c r="I121" i="23"/>
  <c r="J121" i="23"/>
  <c r="J325" i="23"/>
  <c r="I325" i="23"/>
  <c r="J331" i="23"/>
  <c r="I331" i="23"/>
  <c r="J298" i="23"/>
  <c r="I298" i="23"/>
  <c r="I25" i="23"/>
  <c r="J25" i="23"/>
  <c r="J260" i="23"/>
  <c r="I260" i="23"/>
  <c r="I167" i="23"/>
  <c r="J167" i="23"/>
  <c r="I148" i="23"/>
  <c r="J148" i="23"/>
  <c r="J379" i="22"/>
  <c r="I379" i="22"/>
  <c r="AJ5" i="23"/>
  <c r="W354" i="24"/>
  <c r="W341" i="24"/>
  <c r="D15" i="19"/>
  <c r="G39" i="19"/>
  <c r="AK13" i="20"/>
  <c r="AL9" i="20"/>
  <c r="AM7" i="20"/>
  <c r="AI382" i="25"/>
  <c r="AH104" i="25"/>
  <c r="AI383" i="25"/>
  <c r="AI381" i="25"/>
  <c r="AE11" i="25"/>
  <c r="AC7" i="7"/>
  <c r="E7" i="6"/>
  <c r="I383" i="18"/>
  <c r="B15" i="6"/>
  <c r="I382" i="18"/>
  <c r="I381" i="18"/>
  <c r="H15" i="20"/>
  <c r="AA381" i="20"/>
  <c r="Z15" i="20"/>
  <c r="AL7" i="20" s="1"/>
  <c r="AL10" i="20"/>
  <c r="AA9" i="20"/>
  <c r="AA382" i="20"/>
  <c r="AA383" i="20"/>
  <c r="AM8" i="20"/>
  <c r="Z381" i="18"/>
  <c r="AL8" i="18"/>
  <c r="Y15" i="18"/>
  <c r="AL5" i="18" s="1"/>
  <c r="AL11" i="18" s="1"/>
  <c r="AJ3" i="18" s="1"/>
  <c r="O15" i="19" s="1"/>
  <c r="M15" i="19" s="1"/>
  <c r="Z382" i="18"/>
  <c r="Z383" i="18"/>
  <c r="Z9" i="18"/>
  <c r="J381" i="18"/>
  <c r="C15" i="6"/>
  <c r="J383" i="18"/>
  <c r="J382" i="18"/>
  <c r="F11" i="20"/>
  <c r="G16" i="19"/>
  <c r="J40" i="19" s="1"/>
  <c r="AB9" i="20"/>
  <c r="G381" i="20"/>
  <c r="G382" i="20"/>
  <c r="G383" i="20"/>
  <c r="G12" i="20" s="1"/>
  <c r="AD65" i="27"/>
  <c r="AB57" i="27"/>
  <c r="AC57" i="27" s="1"/>
  <c r="AD57" i="27" s="1"/>
  <c r="AB60" i="27"/>
  <c r="AC60" i="27" s="1"/>
  <c r="AD62" i="27"/>
  <c r="AF64" i="27"/>
  <c r="P64" i="27" s="1"/>
  <c r="AF61" i="27"/>
  <c r="P61" i="27" s="1"/>
  <c r="AB66" i="27"/>
  <c r="AC66" i="27" s="1"/>
  <c r="AB69" i="27"/>
  <c r="AC69" i="27" s="1"/>
  <c r="AD69" i="27" s="1"/>
  <c r="AB58" i="27"/>
  <c r="AC58" i="27" s="1"/>
  <c r="AD58" i="27" s="1"/>
  <c r="AB75" i="27"/>
  <c r="AC75" i="27" s="1"/>
  <c r="AD75" i="27" s="1"/>
  <c r="S382" i="25"/>
  <c r="S383" i="25"/>
  <c r="S381" i="25"/>
  <c r="R15" i="25"/>
  <c r="F15" i="22"/>
  <c r="AJ10" i="22"/>
  <c r="E381" i="22"/>
  <c r="E382" i="22"/>
  <c r="E9" i="22"/>
  <c r="E383" i="22"/>
  <c r="AK8" i="22"/>
  <c r="AF15" i="25"/>
  <c r="E15" i="23"/>
  <c r="W46" i="24" l="1"/>
  <c r="D288" i="24"/>
  <c r="E288" i="24" s="1"/>
  <c r="F288" i="24" s="1"/>
  <c r="G288" i="24" s="1"/>
  <c r="CE288" i="6" s="1"/>
  <c r="H245" i="24"/>
  <c r="I245" i="24" s="1"/>
  <c r="E11" i="22"/>
  <c r="F41" i="19" s="1"/>
  <c r="AK7" i="23"/>
  <c r="D227" i="24"/>
  <c r="E227" i="24" s="1"/>
  <c r="F227" i="24" s="1"/>
  <c r="H227" i="24" s="1"/>
  <c r="G353" i="24"/>
  <c r="CE353" i="6" s="1"/>
  <c r="E41" i="19"/>
  <c r="D383" i="23"/>
  <c r="G354" i="24"/>
  <c r="CE354" i="6" s="1"/>
  <c r="AJ12" i="22"/>
  <c r="AJ13" i="22" s="1"/>
  <c r="AA245" i="24"/>
  <c r="Z245" i="24" s="1"/>
  <c r="Y245" i="24" s="1"/>
  <c r="G341" i="24"/>
  <c r="CE341" i="6" s="1"/>
  <c r="W349" i="24"/>
  <c r="E15" i="19"/>
  <c r="D31" i="19"/>
  <c r="H128" i="24"/>
  <c r="I128" i="24" s="1"/>
  <c r="D135" i="24"/>
  <c r="E135" i="24" s="1"/>
  <c r="F135" i="24" s="1"/>
  <c r="H135" i="24" s="1"/>
  <c r="AA377" i="24"/>
  <c r="Z377" i="24" s="1"/>
  <c r="Y377" i="24" s="1"/>
  <c r="D107" i="24"/>
  <c r="E107" i="24" s="1"/>
  <c r="F107" i="24" s="1"/>
  <c r="H341" i="24"/>
  <c r="I341" i="24" s="1"/>
  <c r="AA230" i="24"/>
  <c r="Z230" i="24" s="1"/>
  <c r="Y230" i="24" s="1"/>
  <c r="AA353" i="24"/>
  <c r="Z353" i="24" s="1"/>
  <c r="Y353" i="24" s="1"/>
  <c r="D382" i="23"/>
  <c r="AJ9" i="23"/>
  <c r="H377" i="24"/>
  <c r="I377" i="24" s="1"/>
  <c r="W377" i="24"/>
  <c r="D290" i="24"/>
  <c r="E290" i="24" s="1"/>
  <c r="F290" i="24" s="1"/>
  <c r="H290" i="24" s="1"/>
  <c r="I290" i="24" s="1"/>
  <c r="AA128" i="24"/>
  <c r="Z128" i="24" s="1"/>
  <c r="Y128" i="24" s="1"/>
  <c r="AA354" i="24"/>
  <c r="Z354" i="24" s="1"/>
  <c r="Y354" i="24" s="1"/>
  <c r="H158" i="24"/>
  <c r="I158" i="24" s="1"/>
  <c r="D118" i="24"/>
  <c r="E118" i="24" s="1"/>
  <c r="F118" i="24" s="1"/>
  <c r="AA118" i="24" s="1"/>
  <c r="Z118" i="24" s="1"/>
  <c r="Y118" i="24" s="1"/>
  <c r="D61" i="24"/>
  <c r="E61" i="24" s="1"/>
  <c r="F61" i="24" s="1"/>
  <c r="H61" i="24" s="1"/>
  <c r="J61" i="24" s="1"/>
  <c r="AA158" i="24"/>
  <c r="Z158" i="24" s="1"/>
  <c r="Y158" i="24" s="1"/>
  <c r="D381" i="23"/>
  <c r="D9" i="23"/>
  <c r="D11" i="23" s="1"/>
  <c r="AJ8" i="23"/>
  <c r="H230" i="24"/>
  <c r="I230" i="24" s="1"/>
  <c r="AA61" i="24"/>
  <c r="Z61" i="24" s="1"/>
  <c r="Y61" i="24" s="1"/>
  <c r="W353" i="24"/>
  <c r="D268" i="24"/>
  <c r="E268" i="24" s="1"/>
  <c r="F268" i="24" s="1"/>
  <c r="H268" i="24" s="1"/>
  <c r="I268" i="24" s="1"/>
  <c r="W230" i="24"/>
  <c r="I29" i="23"/>
  <c r="J29" i="23"/>
  <c r="H60" i="23"/>
  <c r="AA60" i="23"/>
  <c r="Z60" i="23" s="1"/>
  <c r="Y60" i="23" s="1"/>
  <c r="G60" i="23"/>
  <c r="CD60" i="6" s="1"/>
  <c r="W124" i="24"/>
  <c r="D124" i="24"/>
  <c r="E124" i="24" s="1"/>
  <c r="F124" i="24" s="1"/>
  <c r="V149" i="24"/>
  <c r="AH60" i="7"/>
  <c r="W324" i="24"/>
  <c r="D324" i="24"/>
  <c r="E324" i="24" s="1"/>
  <c r="F324" i="24" s="1"/>
  <c r="W372" i="24"/>
  <c r="D372" i="24"/>
  <c r="E372" i="24" s="1"/>
  <c r="F372" i="24" s="1"/>
  <c r="AH56" i="7"/>
  <c r="V29" i="24"/>
  <c r="B29" i="24" s="1"/>
  <c r="W326" i="24"/>
  <c r="D326" i="24"/>
  <c r="E326" i="24" s="1"/>
  <c r="F326" i="24" s="1"/>
  <c r="W145" i="24"/>
  <c r="D145" i="24"/>
  <c r="E145" i="24" s="1"/>
  <c r="F145" i="24" s="1"/>
  <c r="D62" i="24"/>
  <c r="E62" i="24" s="1"/>
  <c r="F62" i="24" s="1"/>
  <c r="W62" i="24"/>
  <c r="D26" i="24"/>
  <c r="E26" i="24" s="1"/>
  <c r="F26" i="24" s="1"/>
  <c r="W26" i="24"/>
  <c r="W310" i="24"/>
  <c r="D310" i="24"/>
  <c r="E310" i="24" s="1"/>
  <c r="F310" i="24" s="1"/>
  <c r="W224" i="24"/>
  <c r="D224" i="24"/>
  <c r="E224" i="24" s="1"/>
  <c r="F224" i="24" s="1"/>
  <c r="W343" i="24"/>
  <c r="D343" i="24"/>
  <c r="E343" i="24" s="1"/>
  <c r="F343" i="24" s="1"/>
  <c r="D307" i="24"/>
  <c r="E307" i="24" s="1"/>
  <c r="F307" i="24" s="1"/>
  <c r="W307" i="24"/>
  <c r="W246" i="24"/>
  <c r="D246" i="24"/>
  <c r="E246" i="24" s="1"/>
  <c r="F246" i="24" s="1"/>
  <c r="D114" i="24"/>
  <c r="E114" i="24" s="1"/>
  <c r="F114" i="24" s="1"/>
  <c r="W114" i="24"/>
  <c r="W151" i="24"/>
  <c r="D151" i="24"/>
  <c r="E151" i="24" s="1"/>
  <c r="F151" i="24" s="1"/>
  <c r="D140" i="24"/>
  <c r="E140" i="24" s="1"/>
  <c r="F140" i="24" s="1"/>
  <c r="W140" i="24"/>
  <c r="W131" i="24"/>
  <c r="D131" i="24"/>
  <c r="E131" i="24" s="1"/>
  <c r="F131" i="24" s="1"/>
  <c r="D52" i="24"/>
  <c r="E52" i="24" s="1"/>
  <c r="F52" i="24" s="1"/>
  <c r="W52" i="24"/>
  <c r="W168" i="24"/>
  <c r="D168" i="24"/>
  <c r="E168" i="24" s="1"/>
  <c r="F168" i="24" s="1"/>
  <c r="W170" i="24"/>
  <c r="D170" i="24"/>
  <c r="E170" i="24" s="1"/>
  <c r="F170" i="24" s="1"/>
  <c r="D198" i="24"/>
  <c r="E198" i="24" s="1"/>
  <c r="F198" i="24" s="1"/>
  <c r="W198" i="24"/>
  <c r="W38" i="24"/>
  <c r="D38" i="24"/>
  <c r="E38" i="24" s="1"/>
  <c r="F38" i="24" s="1"/>
  <c r="W191" i="24"/>
  <c r="D191" i="24"/>
  <c r="E191" i="24" s="1"/>
  <c r="F191" i="24" s="1"/>
  <c r="W152" i="24"/>
  <c r="D152" i="24"/>
  <c r="E152" i="24" s="1"/>
  <c r="F152" i="24" s="1"/>
  <c r="D42" i="24"/>
  <c r="E42" i="24" s="1"/>
  <c r="F42" i="24" s="1"/>
  <c r="W42" i="24"/>
  <c r="D358" i="24"/>
  <c r="E358" i="24" s="1"/>
  <c r="F358" i="24" s="1"/>
  <c r="W358" i="24"/>
  <c r="D259" i="24"/>
  <c r="E259" i="24" s="1"/>
  <c r="F259" i="24" s="1"/>
  <c r="W259" i="24"/>
  <c r="W314" i="24"/>
  <c r="D314" i="24"/>
  <c r="E314" i="24" s="1"/>
  <c r="F314" i="24" s="1"/>
  <c r="W239" i="24"/>
  <c r="D239" i="24"/>
  <c r="E239" i="24" s="1"/>
  <c r="F239" i="24" s="1"/>
  <c r="W80" i="24"/>
  <c r="D80" i="24"/>
  <c r="E80" i="24" s="1"/>
  <c r="F80" i="24" s="1"/>
  <c r="W141" i="24"/>
  <c r="D141" i="24"/>
  <c r="E141" i="24" s="1"/>
  <c r="F141" i="24" s="1"/>
  <c r="D289" i="24"/>
  <c r="E289" i="24" s="1"/>
  <c r="F289" i="24" s="1"/>
  <c r="W289" i="24"/>
  <c r="W350" i="24"/>
  <c r="D350" i="24"/>
  <c r="E350" i="24" s="1"/>
  <c r="F350" i="24" s="1"/>
  <c r="V180" i="24"/>
  <c r="AH61" i="7"/>
  <c r="D292" i="24"/>
  <c r="E292" i="24" s="1"/>
  <c r="F292" i="24" s="1"/>
  <c r="W292" i="24"/>
  <c r="D355" i="24"/>
  <c r="E355" i="24" s="1"/>
  <c r="F355" i="24" s="1"/>
  <c r="W355" i="24"/>
  <c r="D214" i="24"/>
  <c r="E214" i="24" s="1"/>
  <c r="F214" i="24" s="1"/>
  <c r="W214" i="24"/>
  <c r="D25" i="24"/>
  <c r="E25" i="24" s="1"/>
  <c r="F25" i="24" s="1"/>
  <c r="W25" i="24"/>
  <c r="W41" i="24"/>
  <c r="D41" i="24"/>
  <c r="E41" i="24" s="1"/>
  <c r="F41" i="24" s="1"/>
  <c r="D34" i="24"/>
  <c r="E34" i="24" s="1"/>
  <c r="F34" i="24" s="1"/>
  <c r="W34" i="24"/>
  <c r="W318" i="24"/>
  <c r="D318" i="24"/>
  <c r="E318" i="24" s="1"/>
  <c r="F318" i="24" s="1"/>
  <c r="D208" i="24"/>
  <c r="E208" i="24" s="1"/>
  <c r="F208" i="24" s="1"/>
  <c r="W208" i="24"/>
  <c r="D375" i="24"/>
  <c r="E375" i="24" s="1"/>
  <c r="F375" i="24" s="1"/>
  <c r="W375" i="24"/>
  <c r="AH64" i="7"/>
  <c r="V272" i="24"/>
  <c r="D300" i="24"/>
  <c r="E300" i="24" s="1"/>
  <c r="F300" i="24" s="1"/>
  <c r="W300" i="24"/>
  <c r="D111" i="24"/>
  <c r="E111" i="24" s="1"/>
  <c r="F111" i="24" s="1"/>
  <c r="W111" i="24"/>
  <c r="D195" i="24"/>
  <c r="E195" i="24" s="1"/>
  <c r="F195" i="24" s="1"/>
  <c r="W195" i="24"/>
  <c r="W74" i="24"/>
  <c r="D74" i="24"/>
  <c r="E74" i="24" s="1"/>
  <c r="F74" i="24" s="1"/>
  <c r="AH57" i="7"/>
  <c r="V60" i="24"/>
  <c r="W211" i="24"/>
  <c r="D211" i="24"/>
  <c r="E211" i="24" s="1"/>
  <c r="F211" i="24" s="1"/>
  <c r="W204" i="24"/>
  <c r="D204" i="24"/>
  <c r="E204" i="24" s="1"/>
  <c r="F204" i="24" s="1"/>
  <c r="D270" i="24"/>
  <c r="E270" i="24" s="1"/>
  <c r="F270" i="24" s="1"/>
  <c r="W270" i="24"/>
  <c r="W351" i="24"/>
  <c r="D351" i="24"/>
  <c r="E351" i="24" s="1"/>
  <c r="F351" i="24" s="1"/>
  <c r="D103" i="24"/>
  <c r="E103" i="24" s="1"/>
  <c r="F103" i="24" s="1"/>
  <c r="W103" i="24"/>
  <c r="W338" i="24"/>
  <c r="D338" i="24"/>
  <c r="E338" i="24" s="1"/>
  <c r="F338" i="24" s="1"/>
  <c r="W35" i="24"/>
  <c r="D35" i="24"/>
  <c r="E35" i="24" s="1"/>
  <c r="F35" i="24" s="1"/>
  <c r="D66" i="24"/>
  <c r="E66" i="24" s="1"/>
  <c r="F66" i="24" s="1"/>
  <c r="W66" i="24"/>
  <c r="W116" i="24"/>
  <c r="D116" i="24"/>
  <c r="E116" i="24" s="1"/>
  <c r="F116" i="24" s="1"/>
  <c r="P379" i="24"/>
  <c r="Q12" i="25"/>
  <c r="AZ15" i="7"/>
  <c r="W117" i="24"/>
  <c r="D117" i="24"/>
  <c r="E117" i="24" s="1"/>
  <c r="F117" i="24" s="1"/>
  <c r="W181" i="24"/>
  <c r="D181" i="24"/>
  <c r="E181" i="24" s="1"/>
  <c r="F181" i="24" s="1"/>
  <c r="W238" i="24"/>
  <c r="D238" i="24"/>
  <c r="E238" i="24" s="1"/>
  <c r="F238" i="24" s="1"/>
  <c r="W303" i="24"/>
  <c r="D303" i="24"/>
  <c r="E303" i="24" s="1"/>
  <c r="F303" i="24" s="1"/>
  <c r="W96" i="24"/>
  <c r="D96" i="24"/>
  <c r="E96" i="24" s="1"/>
  <c r="F96" i="24" s="1"/>
  <c r="W213" i="24"/>
  <c r="D213" i="24"/>
  <c r="E213" i="24" s="1"/>
  <c r="F213" i="24" s="1"/>
  <c r="D250" i="24"/>
  <c r="E250" i="24" s="1"/>
  <c r="F250" i="24" s="1"/>
  <c r="W250" i="24"/>
  <c r="W49" i="24"/>
  <c r="D49" i="24"/>
  <c r="E49" i="24" s="1"/>
  <c r="F49" i="24" s="1"/>
  <c r="D165" i="24"/>
  <c r="E165" i="24" s="1"/>
  <c r="F165" i="24" s="1"/>
  <c r="W165" i="24"/>
  <c r="D301" i="24"/>
  <c r="E301" i="24" s="1"/>
  <c r="F301" i="24" s="1"/>
  <c r="W301" i="24"/>
  <c r="D32" i="24"/>
  <c r="E32" i="24" s="1"/>
  <c r="F32" i="24" s="1"/>
  <c r="W32" i="24"/>
  <c r="D72" i="24"/>
  <c r="E72" i="24" s="1"/>
  <c r="F72" i="24" s="1"/>
  <c r="W72" i="24"/>
  <c r="W130" i="24"/>
  <c r="D130" i="24"/>
  <c r="E130" i="24" s="1"/>
  <c r="F130" i="24" s="1"/>
  <c r="D280" i="24"/>
  <c r="E280" i="24" s="1"/>
  <c r="F280" i="24" s="1"/>
  <c r="W280" i="24"/>
  <c r="W28" i="24"/>
  <c r="D28" i="24"/>
  <c r="E28" i="24" s="1"/>
  <c r="F28" i="24" s="1"/>
  <c r="D68" i="24"/>
  <c r="E68" i="24" s="1"/>
  <c r="F68" i="24" s="1"/>
  <c r="W68" i="24"/>
  <c r="W56" i="24"/>
  <c r="D56" i="24"/>
  <c r="E56" i="24" s="1"/>
  <c r="F56" i="24" s="1"/>
  <c r="W247" i="24"/>
  <c r="D247" i="24"/>
  <c r="E247" i="24" s="1"/>
  <c r="F247" i="24" s="1"/>
  <c r="W109" i="24"/>
  <c r="D109" i="24"/>
  <c r="E109" i="24" s="1"/>
  <c r="F109" i="24" s="1"/>
  <c r="D89" i="24"/>
  <c r="E89" i="24" s="1"/>
  <c r="F89" i="24" s="1"/>
  <c r="W89" i="24"/>
  <c r="W156" i="24"/>
  <c r="D156" i="24"/>
  <c r="E156" i="24" s="1"/>
  <c r="F156" i="24" s="1"/>
  <c r="W308" i="24"/>
  <c r="D308" i="24"/>
  <c r="E308" i="24" s="1"/>
  <c r="F308" i="24" s="1"/>
  <c r="D348" i="24"/>
  <c r="E348" i="24" s="1"/>
  <c r="F348" i="24" s="1"/>
  <c r="W348" i="24"/>
  <c r="W369" i="24"/>
  <c r="D369" i="24"/>
  <c r="E369" i="24" s="1"/>
  <c r="F369" i="24" s="1"/>
  <c r="D90" i="24"/>
  <c r="E90" i="24" s="1"/>
  <c r="F90" i="24" s="1"/>
  <c r="W90" i="24"/>
  <c r="W215" i="24"/>
  <c r="D215" i="24"/>
  <c r="E215" i="24" s="1"/>
  <c r="F215" i="24" s="1"/>
  <c r="W63" i="24"/>
  <c r="D63" i="24"/>
  <c r="E63" i="24" s="1"/>
  <c r="F63" i="24" s="1"/>
  <c r="D24" i="24"/>
  <c r="E24" i="24" s="1"/>
  <c r="F24" i="24" s="1"/>
  <c r="W24" i="24"/>
  <c r="W298" i="24"/>
  <c r="D298" i="24"/>
  <c r="E298" i="24" s="1"/>
  <c r="F298" i="24" s="1"/>
  <c r="W81" i="24"/>
  <c r="D81" i="24"/>
  <c r="E81" i="24" s="1"/>
  <c r="F81" i="24" s="1"/>
  <c r="W126" i="24"/>
  <c r="D126" i="24"/>
  <c r="E126" i="24" s="1"/>
  <c r="F126" i="24" s="1"/>
  <c r="D184" i="24"/>
  <c r="E184" i="24" s="1"/>
  <c r="F184" i="24" s="1"/>
  <c r="W184" i="24"/>
  <c r="D101" i="24"/>
  <c r="E101" i="24" s="1"/>
  <c r="F101" i="24" s="1"/>
  <c r="W101" i="24"/>
  <c r="D287" i="24"/>
  <c r="E287" i="24" s="1"/>
  <c r="F287" i="24" s="1"/>
  <c r="W287" i="24"/>
  <c r="D129" i="24"/>
  <c r="E129" i="24" s="1"/>
  <c r="F129" i="24" s="1"/>
  <c r="W129" i="24"/>
  <c r="D197" i="24"/>
  <c r="E197" i="24" s="1"/>
  <c r="F197" i="24" s="1"/>
  <c r="W197" i="24"/>
  <c r="W30" i="24"/>
  <c r="D30" i="24"/>
  <c r="E30" i="24" s="1"/>
  <c r="F30" i="24" s="1"/>
  <c r="W293" i="24"/>
  <c r="D293" i="24"/>
  <c r="E293" i="24" s="1"/>
  <c r="F293" i="24" s="1"/>
  <c r="W138" i="24"/>
  <c r="D138" i="24"/>
  <c r="E138" i="24" s="1"/>
  <c r="F138" i="24" s="1"/>
  <c r="W325" i="24"/>
  <c r="D325" i="24"/>
  <c r="E325" i="24" s="1"/>
  <c r="F325" i="24" s="1"/>
  <c r="W202" i="24"/>
  <c r="D202" i="24"/>
  <c r="E202" i="24" s="1"/>
  <c r="F202" i="24" s="1"/>
  <c r="D95" i="24"/>
  <c r="E95" i="24" s="1"/>
  <c r="F95" i="24" s="1"/>
  <c r="W95" i="24"/>
  <c r="W20" i="24"/>
  <c r="D20" i="24"/>
  <c r="E20" i="24" s="1"/>
  <c r="F20" i="24" s="1"/>
  <c r="D334" i="24"/>
  <c r="E334" i="24" s="1"/>
  <c r="F334" i="24" s="1"/>
  <c r="W334" i="24"/>
  <c r="W169" i="24"/>
  <c r="D169" i="24"/>
  <c r="E169" i="24" s="1"/>
  <c r="F169" i="24" s="1"/>
  <c r="D207" i="24"/>
  <c r="E207" i="24" s="1"/>
  <c r="F207" i="24" s="1"/>
  <c r="W207" i="24"/>
  <c r="D344" i="24"/>
  <c r="E344" i="24" s="1"/>
  <c r="F344" i="24" s="1"/>
  <c r="W344" i="24"/>
  <c r="D155" i="24"/>
  <c r="E155" i="24" s="1"/>
  <c r="F155" i="24" s="1"/>
  <c r="W155" i="24"/>
  <c r="D347" i="24"/>
  <c r="E347" i="24" s="1"/>
  <c r="F347" i="24" s="1"/>
  <c r="W347" i="24"/>
  <c r="D98" i="24"/>
  <c r="E98" i="24" s="1"/>
  <c r="F98" i="24" s="1"/>
  <c r="W98" i="24"/>
  <c r="W53" i="24"/>
  <c r="D53" i="24"/>
  <c r="E53" i="24" s="1"/>
  <c r="F53" i="24" s="1"/>
  <c r="B196" i="24"/>
  <c r="D251" i="24"/>
  <c r="E251" i="24" s="1"/>
  <c r="F251" i="24" s="1"/>
  <c r="W251" i="24"/>
  <c r="W236" i="24"/>
  <c r="D236" i="24"/>
  <c r="E236" i="24" s="1"/>
  <c r="F236" i="24" s="1"/>
  <c r="AH66" i="7"/>
  <c r="V333" i="24"/>
  <c r="D192" i="24"/>
  <c r="E192" i="24" s="1"/>
  <c r="F192" i="24" s="1"/>
  <c r="W192" i="24"/>
  <c r="W85" i="24"/>
  <c r="D85" i="24"/>
  <c r="E85" i="24" s="1"/>
  <c r="F85" i="24" s="1"/>
  <c r="D271" i="24"/>
  <c r="E271" i="24" s="1"/>
  <c r="F271" i="24" s="1"/>
  <c r="W271" i="24"/>
  <c r="D296" i="24"/>
  <c r="E296" i="24" s="1"/>
  <c r="F296" i="24" s="1"/>
  <c r="W296" i="24"/>
  <c r="W127" i="24"/>
  <c r="D127" i="24"/>
  <c r="E127" i="24" s="1"/>
  <c r="F127" i="24" s="1"/>
  <c r="W76" i="24"/>
  <c r="D76" i="24"/>
  <c r="E76" i="24" s="1"/>
  <c r="F76" i="24" s="1"/>
  <c r="D87" i="24"/>
  <c r="E87" i="24" s="1"/>
  <c r="F87" i="24" s="1"/>
  <c r="W87" i="24"/>
  <c r="D153" i="24"/>
  <c r="E153" i="24" s="1"/>
  <c r="F153" i="24" s="1"/>
  <c r="W153" i="24"/>
  <c r="W110" i="24"/>
  <c r="D110" i="24"/>
  <c r="E110" i="24" s="1"/>
  <c r="F110" i="24" s="1"/>
  <c r="AE12" i="25"/>
  <c r="AD379" i="24"/>
  <c r="D75" i="24"/>
  <c r="E75" i="24" s="1"/>
  <c r="F75" i="24" s="1"/>
  <c r="W75" i="24"/>
  <c r="D366" i="24"/>
  <c r="E366" i="24" s="1"/>
  <c r="F366" i="24" s="1"/>
  <c r="W366" i="24"/>
  <c r="W134" i="24"/>
  <c r="D134" i="24"/>
  <c r="E134" i="24" s="1"/>
  <c r="F134" i="24" s="1"/>
  <c r="W73" i="24"/>
  <c r="D73" i="24"/>
  <c r="E73" i="24" s="1"/>
  <c r="F73" i="24" s="1"/>
  <c r="D263" i="24"/>
  <c r="E263" i="24" s="1"/>
  <c r="F263" i="24" s="1"/>
  <c r="W263" i="24"/>
  <c r="W142" i="24"/>
  <c r="D142" i="24"/>
  <c r="E142" i="24" s="1"/>
  <c r="F142" i="24" s="1"/>
  <c r="D99" i="24"/>
  <c r="E99" i="24" s="1"/>
  <c r="F99" i="24" s="1"/>
  <c r="W99" i="24"/>
  <c r="W105" i="24"/>
  <c r="D105" i="24"/>
  <c r="E105" i="24" s="1"/>
  <c r="F105" i="24" s="1"/>
  <c r="D146" i="24"/>
  <c r="E146" i="24" s="1"/>
  <c r="F146" i="24" s="1"/>
  <c r="W146" i="24"/>
  <c r="W266" i="24"/>
  <c r="D266" i="24"/>
  <c r="E266" i="24" s="1"/>
  <c r="F266" i="24" s="1"/>
  <c r="D121" i="24"/>
  <c r="E121" i="24" s="1"/>
  <c r="F121" i="24" s="1"/>
  <c r="W121" i="24"/>
  <c r="D243" i="24"/>
  <c r="E243" i="24" s="1"/>
  <c r="F243" i="24" s="1"/>
  <c r="W243" i="24"/>
  <c r="W147" i="24"/>
  <c r="D147" i="24"/>
  <c r="E147" i="24" s="1"/>
  <c r="F147" i="24" s="1"/>
  <c r="W120" i="24"/>
  <c r="D120" i="24"/>
  <c r="E120" i="24" s="1"/>
  <c r="F120" i="24" s="1"/>
  <c r="D212" i="24"/>
  <c r="E212" i="24" s="1"/>
  <c r="F212" i="24" s="1"/>
  <c r="W212" i="24"/>
  <c r="D285" i="24"/>
  <c r="E285" i="24" s="1"/>
  <c r="F285" i="24" s="1"/>
  <c r="W285" i="24"/>
  <c r="W54" i="24"/>
  <c r="D54" i="24"/>
  <c r="E54" i="24" s="1"/>
  <c r="F54" i="24" s="1"/>
  <c r="D365" i="24"/>
  <c r="E365" i="24" s="1"/>
  <c r="F365" i="24" s="1"/>
  <c r="W365" i="24"/>
  <c r="W69" i="24"/>
  <c r="D69" i="24"/>
  <c r="E69" i="24" s="1"/>
  <c r="F69" i="24" s="1"/>
  <c r="W162" i="24"/>
  <c r="D162" i="24"/>
  <c r="E162" i="24" s="1"/>
  <c r="F162" i="24" s="1"/>
  <c r="W323" i="24"/>
  <c r="D323" i="24"/>
  <c r="E323" i="24" s="1"/>
  <c r="F323" i="24" s="1"/>
  <c r="W182" i="24"/>
  <c r="D182" i="24"/>
  <c r="E182" i="24" s="1"/>
  <c r="F182" i="24" s="1"/>
  <c r="AH62" i="7"/>
  <c r="V210" i="24"/>
  <c r="B210" i="24" s="1"/>
  <c r="D291" i="24"/>
  <c r="E291" i="24" s="1"/>
  <c r="F291" i="24" s="1"/>
  <c r="W291" i="24"/>
  <c r="D240" i="24"/>
  <c r="E240" i="24" s="1"/>
  <c r="F240" i="24" s="1"/>
  <c r="W240" i="24"/>
  <c r="D43" i="24"/>
  <c r="E43" i="24" s="1"/>
  <c r="F43" i="24" s="1"/>
  <c r="W43" i="24"/>
  <c r="D44" i="24"/>
  <c r="E44" i="24" s="1"/>
  <c r="F44" i="24" s="1"/>
  <c r="W44" i="24"/>
  <c r="D374" i="24"/>
  <c r="E374" i="24" s="1"/>
  <c r="F374" i="24" s="1"/>
  <c r="W374" i="24"/>
  <c r="D36" i="24"/>
  <c r="E36" i="24" s="1"/>
  <c r="F36" i="24" s="1"/>
  <c r="W36" i="24"/>
  <c r="D297" i="24"/>
  <c r="E297" i="24" s="1"/>
  <c r="F297" i="24" s="1"/>
  <c r="W297" i="24"/>
  <c r="D18" i="24"/>
  <c r="E18" i="24" s="1"/>
  <c r="F18" i="24" s="1"/>
  <c r="W18" i="24"/>
  <c r="D265" i="24"/>
  <c r="E265" i="24" s="1"/>
  <c r="F265" i="24" s="1"/>
  <c r="W265" i="24"/>
  <c r="D223" i="24"/>
  <c r="E223" i="24" s="1"/>
  <c r="F223" i="24" s="1"/>
  <c r="W223" i="24"/>
  <c r="W78" i="24"/>
  <c r="D78" i="24"/>
  <c r="E78" i="24" s="1"/>
  <c r="F78" i="24" s="1"/>
  <c r="D346" i="24"/>
  <c r="E346" i="24" s="1"/>
  <c r="F346" i="24" s="1"/>
  <c r="W346" i="24"/>
  <c r="V119" i="24"/>
  <c r="AH59" i="7"/>
  <c r="D77" i="24"/>
  <c r="E77" i="24" s="1"/>
  <c r="F77" i="24" s="1"/>
  <c r="W77" i="24"/>
  <c r="W175" i="24"/>
  <c r="D175" i="24"/>
  <c r="E175" i="24" s="1"/>
  <c r="F175" i="24" s="1"/>
  <c r="D112" i="24"/>
  <c r="E112" i="24" s="1"/>
  <c r="F112" i="24" s="1"/>
  <c r="W112" i="24"/>
  <c r="D370" i="24"/>
  <c r="E370" i="24" s="1"/>
  <c r="F370" i="24" s="1"/>
  <c r="W370" i="24"/>
  <c r="D144" i="24"/>
  <c r="E144" i="24" s="1"/>
  <c r="F144" i="24" s="1"/>
  <c r="W144" i="24"/>
  <c r="D313" i="24"/>
  <c r="E313" i="24" s="1"/>
  <c r="F313" i="24" s="1"/>
  <c r="W313" i="24"/>
  <c r="W253" i="24"/>
  <c r="D253" i="24"/>
  <c r="E253" i="24" s="1"/>
  <c r="F253" i="24" s="1"/>
  <c r="V241" i="24"/>
  <c r="AH63" i="7"/>
  <c r="D373" i="24"/>
  <c r="E373" i="24" s="1"/>
  <c r="F373" i="24" s="1"/>
  <c r="W373" i="24"/>
  <c r="W65" i="24"/>
  <c r="D65" i="24"/>
  <c r="E65" i="24" s="1"/>
  <c r="F65" i="24" s="1"/>
  <c r="H210" i="23"/>
  <c r="G210" i="23"/>
  <c r="CD210" i="6" s="1"/>
  <c r="AA210" i="23"/>
  <c r="Z210" i="23" s="1"/>
  <c r="Y210" i="23" s="1"/>
  <c r="I333" i="23"/>
  <c r="J333" i="23"/>
  <c r="G119" i="23"/>
  <c r="CD119" i="6" s="1"/>
  <c r="AA119" i="23"/>
  <c r="Z119" i="23" s="1"/>
  <c r="Y119" i="23" s="1"/>
  <c r="H119" i="23"/>
  <c r="J149" i="23"/>
  <c r="I149" i="23"/>
  <c r="I272" i="23"/>
  <c r="J272" i="23"/>
  <c r="H379" i="23"/>
  <c r="G379" i="23"/>
  <c r="CD379" i="6" s="1"/>
  <c r="AA379" i="23"/>
  <c r="Z379" i="23" s="1"/>
  <c r="Y379" i="23" s="1"/>
  <c r="J363" i="23"/>
  <c r="I363" i="23"/>
  <c r="H88" i="23"/>
  <c r="AA88" i="23"/>
  <c r="Z88" i="23" s="1"/>
  <c r="Y88" i="23" s="1"/>
  <c r="G88" i="23"/>
  <c r="CD88" i="6" s="1"/>
  <c r="D143" i="24"/>
  <c r="E143" i="24" s="1"/>
  <c r="F143" i="24" s="1"/>
  <c r="W143" i="24"/>
  <c r="D329" i="24"/>
  <c r="E329" i="24" s="1"/>
  <c r="F329" i="24" s="1"/>
  <c r="W329" i="24"/>
  <c r="D194" i="24"/>
  <c r="E194" i="24" s="1"/>
  <c r="F194" i="24" s="1"/>
  <c r="W194" i="24"/>
  <c r="W93" i="24"/>
  <c r="D93" i="24"/>
  <c r="E93" i="24" s="1"/>
  <c r="F93" i="24" s="1"/>
  <c r="D154" i="24"/>
  <c r="E154" i="24" s="1"/>
  <c r="F154" i="24" s="1"/>
  <c r="W154" i="24"/>
  <c r="W71" i="24"/>
  <c r="D71" i="24"/>
  <c r="E71" i="24" s="1"/>
  <c r="F71" i="24" s="1"/>
  <c r="W339" i="24"/>
  <c r="D339" i="24"/>
  <c r="E339" i="24" s="1"/>
  <c r="F339" i="24" s="1"/>
  <c r="W132" i="24"/>
  <c r="D132" i="24"/>
  <c r="E132" i="24" s="1"/>
  <c r="F132" i="24" s="1"/>
  <c r="W306" i="24"/>
  <c r="D306" i="24"/>
  <c r="E306" i="24" s="1"/>
  <c r="F306" i="24" s="1"/>
  <c r="W359" i="24"/>
  <c r="D359" i="24"/>
  <c r="E359" i="24" s="1"/>
  <c r="F359" i="24" s="1"/>
  <c r="D295" i="24"/>
  <c r="E295" i="24" s="1"/>
  <c r="F295" i="24" s="1"/>
  <c r="W295" i="24"/>
  <c r="W322" i="24"/>
  <c r="D322" i="24"/>
  <c r="E322" i="24" s="1"/>
  <c r="F322" i="24" s="1"/>
  <c r="D21" i="24"/>
  <c r="E21" i="24" s="1"/>
  <c r="F21" i="24" s="1"/>
  <c r="W21" i="24"/>
  <c r="W244" i="24"/>
  <c r="D244" i="24"/>
  <c r="E244" i="24" s="1"/>
  <c r="F244" i="24" s="1"/>
  <c r="D274" i="24"/>
  <c r="E274" i="24" s="1"/>
  <c r="F274" i="24" s="1"/>
  <c r="W274" i="24"/>
  <c r="D362" i="24"/>
  <c r="E362" i="24" s="1"/>
  <c r="F362" i="24" s="1"/>
  <c r="W362" i="24"/>
  <c r="D217" i="24"/>
  <c r="E217" i="24" s="1"/>
  <c r="F217" i="24" s="1"/>
  <c r="W217" i="24"/>
  <c r="D228" i="24"/>
  <c r="E228" i="24" s="1"/>
  <c r="F228" i="24" s="1"/>
  <c r="W228" i="24"/>
  <c r="D209" i="24"/>
  <c r="E209" i="24" s="1"/>
  <c r="F209" i="24" s="1"/>
  <c r="W209" i="24"/>
  <c r="W67" i="24"/>
  <c r="D67" i="24"/>
  <c r="E67" i="24" s="1"/>
  <c r="F67" i="24" s="1"/>
  <c r="W161" i="24"/>
  <c r="D161" i="24"/>
  <c r="E161" i="24" s="1"/>
  <c r="F161" i="24" s="1"/>
  <c r="W33" i="24"/>
  <c r="D33" i="24"/>
  <c r="E33" i="24" s="1"/>
  <c r="F33" i="24" s="1"/>
  <c r="W37" i="24"/>
  <c r="D37" i="24"/>
  <c r="E37" i="24" s="1"/>
  <c r="F37" i="24" s="1"/>
  <c r="V363" i="24"/>
  <c r="AH67" i="7"/>
  <c r="D91" i="24"/>
  <c r="E91" i="24" s="1"/>
  <c r="F91" i="24" s="1"/>
  <c r="W91" i="24"/>
  <c r="W367" i="24"/>
  <c r="D367" i="24"/>
  <c r="E367" i="24" s="1"/>
  <c r="F367" i="24" s="1"/>
  <c r="W50" i="24"/>
  <c r="D50" i="24"/>
  <c r="E50" i="24" s="1"/>
  <c r="F50" i="24" s="1"/>
  <c r="W252" i="24"/>
  <c r="D252" i="24"/>
  <c r="E252" i="24" s="1"/>
  <c r="F252" i="24" s="1"/>
  <c r="W22" i="24"/>
  <c r="D22" i="24"/>
  <c r="E22" i="24" s="1"/>
  <c r="F22" i="24" s="1"/>
  <c r="D279" i="24"/>
  <c r="E279" i="24" s="1"/>
  <c r="F279" i="24" s="1"/>
  <c r="W279" i="24"/>
  <c r="W248" i="24"/>
  <c r="D248" i="24"/>
  <c r="E248" i="24" s="1"/>
  <c r="F248" i="24" s="1"/>
  <c r="D185" i="24"/>
  <c r="E185" i="24" s="1"/>
  <c r="F185" i="24" s="1"/>
  <c r="W185" i="24"/>
  <c r="D231" i="24"/>
  <c r="E231" i="24" s="1"/>
  <c r="F231" i="24" s="1"/>
  <c r="W231" i="24"/>
  <c r="W345" i="24"/>
  <c r="D345" i="24"/>
  <c r="E345" i="24" s="1"/>
  <c r="F345" i="24" s="1"/>
  <c r="W70" i="24"/>
  <c r="D70" i="24"/>
  <c r="E70" i="24" s="1"/>
  <c r="F70" i="24" s="1"/>
  <c r="D294" i="24"/>
  <c r="E294" i="24" s="1"/>
  <c r="F294" i="24" s="1"/>
  <c r="W294" i="24"/>
  <c r="W102" i="24"/>
  <c r="D102" i="24"/>
  <c r="E102" i="24" s="1"/>
  <c r="F102" i="24" s="1"/>
  <c r="AH58" i="7"/>
  <c r="V88" i="24"/>
  <c r="W225" i="24"/>
  <c r="D225" i="24"/>
  <c r="E225" i="24" s="1"/>
  <c r="F225" i="24" s="1"/>
  <c r="D260" i="24"/>
  <c r="E260" i="24" s="1"/>
  <c r="F260" i="24" s="1"/>
  <c r="W260" i="24"/>
  <c r="W360" i="24"/>
  <c r="D360" i="24"/>
  <c r="E360" i="24" s="1"/>
  <c r="F360" i="24" s="1"/>
  <c r="W331" i="24"/>
  <c r="D331" i="24"/>
  <c r="E331" i="24" s="1"/>
  <c r="F331" i="24" s="1"/>
  <c r="D233" i="24"/>
  <c r="E233" i="24" s="1"/>
  <c r="F233" i="24" s="1"/>
  <c r="W233" i="24"/>
  <c r="W84" i="24"/>
  <c r="D84" i="24"/>
  <c r="E84" i="24" s="1"/>
  <c r="F84" i="24" s="1"/>
  <c r="D178" i="24"/>
  <c r="E178" i="24" s="1"/>
  <c r="F178" i="24" s="1"/>
  <c r="W178" i="24"/>
  <c r="D188" i="24"/>
  <c r="E188" i="24" s="1"/>
  <c r="F188" i="24" s="1"/>
  <c r="W188" i="24"/>
  <c r="D125" i="24"/>
  <c r="E125" i="24" s="1"/>
  <c r="F125" i="24" s="1"/>
  <c r="W125" i="24"/>
  <c r="W311" i="24"/>
  <c r="D311" i="24"/>
  <c r="E311" i="24" s="1"/>
  <c r="F311" i="24" s="1"/>
  <c r="D206" i="24"/>
  <c r="E206" i="24" s="1"/>
  <c r="F206" i="24" s="1"/>
  <c r="W206" i="24"/>
  <c r="D342" i="24"/>
  <c r="E342" i="24" s="1"/>
  <c r="F342" i="24" s="1"/>
  <c r="W342" i="24"/>
  <c r="D315" i="24"/>
  <c r="E315" i="24" s="1"/>
  <c r="F315" i="24" s="1"/>
  <c r="W315" i="24"/>
  <c r="D305" i="24"/>
  <c r="E305" i="24" s="1"/>
  <c r="F305" i="24" s="1"/>
  <c r="W305" i="24"/>
  <c r="D183" i="24"/>
  <c r="E183" i="24" s="1"/>
  <c r="F183" i="24" s="1"/>
  <c r="W183" i="24"/>
  <c r="W269" i="24"/>
  <c r="D269" i="24"/>
  <c r="E269" i="24" s="1"/>
  <c r="F269" i="24" s="1"/>
  <c r="D190" i="24"/>
  <c r="E190" i="24" s="1"/>
  <c r="F190" i="24" s="1"/>
  <c r="W190" i="24"/>
  <c r="W97" i="24"/>
  <c r="D97" i="24"/>
  <c r="E97" i="24" s="1"/>
  <c r="F97" i="24" s="1"/>
  <c r="D39" i="24"/>
  <c r="E39" i="24" s="1"/>
  <c r="F39" i="24" s="1"/>
  <c r="W39" i="24"/>
  <c r="D218" i="24"/>
  <c r="E218" i="24" s="1"/>
  <c r="F218" i="24" s="1"/>
  <c r="W218" i="24"/>
  <c r="D48" i="24"/>
  <c r="E48" i="24" s="1"/>
  <c r="F48" i="24" s="1"/>
  <c r="W48" i="24"/>
  <c r="W47" i="24"/>
  <c r="D47" i="24"/>
  <c r="E47" i="24" s="1"/>
  <c r="F47" i="24" s="1"/>
  <c r="D216" i="24"/>
  <c r="E216" i="24" s="1"/>
  <c r="F216" i="24" s="1"/>
  <c r="W216" i="24"/>
  <c r="W316" i="24"/>
  <c r="D316" i="24"/>
  <c r="E316" i="24" s="1"/>
  <c r="F316" i="24" s="1"/>
  <c r="W55" i="24"/>
  <c r="D55" i="24"/>
  <c r="E55" i="24" s="1"/>
  <c r="F55" i="24" s="1"/>
  <c r="W16" i="24"/>
  <c r="D16" i="24"/>
  <c r="E16" i="24" s="1"/>
  <c r="F16" i="24" s="1"/>
  <c r="W364" i="24"/>
  <c r="D364" i="24"/>
  <c r="E364" i="24" s="1"/>
  <c r="F364" i="24" s="1"/>
  <c r="D299" i="24"/>
  <c r="E299" i="24" s="1"/>
  <c r="F299" i="24" s="1"/>
  <c r="W299" i="24"/>
  <c r="D186" i="24"/>
  <c r="E186" i="24" s="1"/>
  <c r="F186" i="24" s="1"/>
  <c r="W186" i="24"/>
  <c r="D237" i="24"/>
  <c r="E237" i="24" s="1"/>
  <c r="F237" i="24" s="1"/>
  <c r="W237" i="24"/>
  <c r="D59" i="24"/>
  <c r="E59" i="24" s="1"/>
  <c r="F59" i="24" s="1"/>
  <c r="W59" i="24"/>
  <c r="W173" i="24"/>
  <c r="D173" i="24"/>
  <c r="E173" i="24" s="1"/>
  <c r="F173" i="24" s="1"/>
  <c r="D219" i="24"/>
  <c r="E219" i="24" s="1"/>
  <c r="F219" i="24" s="1"/>
  <c r="W219" i="24"/>
  <c r="W340" i="24"/>
  <c r="D340" i="24"/>
  <c r="E340" i="24" s="1"/>
  <c r="F340" i="24" s="1"/>
  <c r="W226" i="24"/>
  <c r="D226" i="24"/>
  <c r="E226" i="24" s="1"/>
  <c r="F226" i="24" s="1"/>
  <c r="W258" i="24"/>
  <c r="D258" i="24"/>
  <c r="E258" i="24" s="1"/>
  <c r="F258" i="24" s="1"/>
  <c r="D133" i="24"/>
  <c r="E133" i="24" s="1"/>
  <c r="F133" i="24" s="1"/>
  <c r="W133" i="24"/>
  <c r="D86" i="24"/>
  <c r="E86" i="24" s="1"/>
  <c r="F86" i="24" s="1"/>
  <c r="W86" i="24"/>
  <c r="D174" i="24"/>
  <c r="E174" i="24" s="1"/>
  <c r="F174" i="24" s="1"/>
  <c r="W174" i="24"/>
  <c r="W19" i="24"/>
  <c r="D19" i="24"/>
  <c r="E19" i="24" s="1"/>
  <c r="F19" i="24" s="1"/>
  <c r="W328" i="24"/>
  <c r="D328" i="24"/>
  <c r="E328" i="24" s="1"/>
  <c r="F328" i="24" s="1"/>
  <c r="W51" i="24"/>
  <c r="D51" i="24"/>
  <c r="E51" i="24" s="1"/>
  <c r="F51" i="24" s="1"/>
  <c r="W220" i="24"/>
  <c r="D220" i="24"/>
  <c r="E220" i="24" s="1"/>
  <c r="F220" i="24" s="1"/>
  <c r="D108" i="24"/>
  <c r="E108" i="24" s="1"/>
  <c r="F108" i="24" s="1"/>
  <c r="W108" i="24"/>
  <c r="D281" i="24"/>
  <c r="E281" i="24" s="1"/>
  <c r="F281" i="24" s="1"/>
  <c r="W281" i="24"/>
  <c r="D201" i="24"/>
  <c r="E201" i="24" s="1"/>
  <c r="F201" i="24" s="1"/>
  <c r="W201" i="24"/>
  <c r="D172" i="24"/>
  <c r="E172" i="24" s="1"/>
  <c r="F172" i="24" s="1"/>
  <c r="W172" i="24"/>
  <c r="D150" i="24"/>
  <c r="E150" i="24" s="1"/>
  <c r="F150" i="24" s="1"/>
  <c r="W150" i="24"/>
  <c r="W332" i="24"/>
  <c r="D332" i="24"/>
  <c r="E332" i="24" s="1"/>
  <c r="F332" i="24" s="1"/>
  <c r="D167" i="24"/>
  <c r="E167" i="24" s="1"/>
  <c r="F167" i="24" s="1"/>
  <c r="W167" i="24"/>
  <c r="W368" i="24"/>
  <c r="D368" i="24"/>
  <c r="E368" i="24" s="1"/>
  <c r="F368" i="24" s="1"/>
  <c r="W160" i="24"/>
  <c r="D160" i="24"/>
  <c r="E160" i="24" s="1"/>
  <c r="F160" i="24" s="1"/>
  <c r="W234" i="24"/>
  <c r="D234" i="24"/>
  <c r="E234" i="24" s="1"/>
  <c r="F234" i="24" s="1"/>
  <c r="D371" i="24"/>
  <c r="E371" i="24" s="1"/>
  <c r="F371" i="24" s="1"/>
  <c r="W371" i="24"/>
  <c r="D257" i="24"/>
  <c r="E257" i="24" s="1"/>
  <c r="F257" i="24" s="1"/>
  <c r="W257" i="24"/>
  <c r="D23" i="24"/>
  <c r="E23" i="24" s="1"/>
  <c r="F23" i="24" s="1"/>
  <c r="W23" i="24"/>
  <c r="D137" i="24"/>
  <c r="E137" i="24" s="1"/>
  <c r="F137" i="24" s="1"/>
  <c r="W137" i="24"/>
  <c r="D283" i="24"/>
  <c r="E283" i="24" s="1"/>
  <c r="F283" i="24" s="1"/>
  <c r="W283" i="24"/>
  <c r="D232" i="24"/>
  <c r="E232" i="24" s="1"/>
  <c r="F232" i="24" s="1"/>
  <c r="W232" i="24"/>
  <c r="W189" i="24"/>
  <c r="D189" i="24"/>
  <c r="E189" i="24" s="1"/>
  <c r="F189" i="24" s="1"/>
  <c r="Q383" i="24"/>
  <c r="Q381" i="24"/>
  <c r="P15" i="24"/>
  <c r="Q382" i="24"/>
  <c r="D376" i="24"/>
  <c r="E376" i="24" s="1"/>
  <c r="F376" i="24" s="1"/>
  <c r="W376" i="24"/>
  <c r="V302" i="24"/>
  <c r="AH65" i="7"/>
  <c r="W267" i="24"/>
  <c r="D267" i="24"/>
  <c r="E267" i="24" s="1"/>
  <c r="F267" i="24" s="1"/>
  <c r="D187" i="24"/>
  <c r="E187" i="24" s="1"/>
  <c r="F187" i="24" s="1"/>
  <c r="W187" i="24"/>
  <c r="W157" i="24"/>
  <c r="D157" i="24"/>
  <c r="E157" i="24" s="1"/>
  <c r="F157" i="24" s="1"/>
  <c r="D321" i="24"/>
  <c r="E321" i="24" s="1"/>
  <c r="F321" i="24" s="1"/>
  <c r="W321" i="24"/>
  <c r="D159" i="24"/>
  <c r="E159" i="24" s="1"/>
  <c r="F159" i="24" s="1"/>
  <c r="W159" i="24"/>
  <c r="D40" i="24"/>
  <c r="E40" i="24" s="1"/>
  <c r="F40" i="24" s="1"/>
  <c r="W40" i="24"/>
  <c r="W166" i="24"/>
  <c r="D166" i="24"/>
  <c r="E166" i="24" s="1"/>
  <c r="F166" i="24" s="1"/>
  <c r="D193" i="24"/>
  <c r="E193" i="24" s="1"/>
  <c r="F193" i="24" s="1"/>
  <c r="W193" i="24"/>
  <c r="D309" i="24"/>
  <c r="E309" i="24" s="1"/>
  <c r="F309" i="24" s="1"/>
  <c r="W309" i="24"/>
  <c r="W304" i="24"/>
  <c r="D304" i="24"/>
  <c r="E304" i="24" s="1"/>
  <c r="F304" i="24" s="1"/>
  <c r="D284" i="24"/>
  <c r="E284" i="24" s="1"/>
  <c r="F284" i="24" s="1"/>
  <c r="W284" i="24"/>
  <c r="W242" i="24"/>
  <c r="D242" i="24"/>
  <c r="E242" i="24" s="1"/>
  <c r="F242" i="24" s="1"/>
  <c r="D320" i="24"/>
  <c r="E320" i="24" s="1"/>
  <c r="F320" i="24" s="1"/>
  <c r="W320" i="24"/>
  <c r="W221" i="24"/>
  <c r="D221" i="24"/>
  <c r="E221" i="24" s="1"/>
  <c r="F221" i="24" s="1"/>
  <c r="D17" i="24"/>
  <c r="E17" i="24" s="1"/>
  <c r="F17" i="24" s="1"/>
  <c r="W17" i="24"/>
  <c r="D282" i="24"/>
  <c r="E282" i="24" s="1"/>
  <c r="F282" i="24" s="1"/>
  <c r="W282" i="24"/>
  <c r="W199" i="24"/>
  <c r="D199" i="24"/>
  <c r="E199" i="24" s="1"/>
  <c r="F199" i="24" s="1"/>
  <c r="D83" i="24"/>
  <c r="E83" i="24" s="1"/>
  <c r="F83" i="24" s="1"/>
  <c r="W83" i="24"/>
  <c r="W82" i="24"/>
  <c r="D82" i="24"/>
  <c r="E82" i="24" s="1"/>
  <c r="F82" i="24" s="1"/>
  <c r="D361" i="24"/>
  <c r="E361" i="24" s="1"/>
  <c r="F361" i="24" s="1"/>
  <c r="W361" i="24"/>
  <c r="W176" i="24"/>
  <c r="D176" i="24"/>
  <c r="E176" i="24" s="1"/>
  <c r="F176" i="24" s="1"/>
  <c r="W27" i="24"/>
  <c r="D27" i="24"/>
  <c r="E27" i="24" s="1"/>
  <c r="F27" i="24" s="1"/>
  <c r="W163" i="24"/>
  <c r="D163" i="24"/>
  <c r="E163" i="24" s="1"/>
  <c r="F163" i="24" s="1"/>
  <c r="D177" i="24"/>
  <c r="E177" i="24" s="1"/>
  <c r="F177" i="24" s="1"/>
  <c r="W177" i="24"/>
  <c r="W106" i="24"/>
  <c r="D106" i="24"/>
  <c r="E106" i="24" s="1"/>
  <c r="F106" i="24" s="1"/>
  <c r="W256" i="24"/>
  <c r="D256" i="24"/>
  <c r="E256" i="24" s="1"/>
  <c r="F256" i="24" s="1"/>
  <c r="D122" i="24"/>
  <c r="E122" i="24" s="1"/>
  <c r="F122" i="24" s="1"/>
  <c r="W122" i="24"/>
  <c r="AE383" i="24"/>
  <c r="AE381" i="24"/>
  <c r="AD15" i="24"/>
  <c r="AE382" i="24"/>
  <c r="W276" i="24"/>
  <c r="D276" i="24"/>
  <c r="E276" i="24" s="1"/>
  <c r="F276" i="24" s="1"/>
  <c r="D278" i="24"/>
  <c r="E278" i="24" s="1"/>
  <c r="F278" i="24" s="1"/>
  <c r="W278" i="24"/>
  <c r="D273" i="24"/>
  <c r="E273" i="24" s="1"/>
  <c r="F273" i="24" s="1"/>
  <c r="W273" i="24"/>
  <c r="W275" i="24"/>
  <c r="D275" i="24"/>
  <c r="E275" i="24" s="1"/>
  <c r="F275" i="24" s="1"/>
  <c r="D235" i="24"/>
  <c r="E235" i="24" s="1"/>
  <c r="F235" i="24" s="1"/>
  <c r="W235" i="24"/>
  <c r="W264" i="24"/>
  <c r="D264" i="24"/>
  <c r="E264" i="24" s="1"/>
  <c r="F264" i="24" s="1"/>
  <c r="W229" i="24"/>
  <c r="D229" i="24"/>
  <c r="E229" i="24" s="1"/>
  <c r="F229" i="24" s="1"/>
  <c r="W255" i="24"/>
  <c r="D255" i="24"/>
  <c r="E255" i="24" s="1"/>
  <c r="F255" i="24" s="1"/>
  <c r="D64" i="24"/>
  <c r="E64" i="24" s="1"/>
  <c r="F64" i="24" s="1"/>
  <c r="W64" i="24"/>
  <c r="D356" i="24"/>
  <c r="E356" i="24" s="1"/>
  <c r="F356" i="24" s="1"/>
  <c r="W356" i="24"/>
  <c r="D164" i="24"/>
  <c r="E164" i="24" s="1"/>
  <c r="F164" i="24" s="1"/>
  <c r="W164" i="24"/>
  <c r="D312" i="24"/>
  <c r="E312" i="24" s="1"/>
  <c r="F312" i="24" s="1"/>
  <c r="W312" i="24"/>
  <c r="D205" i="24"/>
  <c r="E205" i="24" s="1"/>
  <c r="F205" i="24" s="1"/>
  <c r="W205" i="24"/>
  <c r="W31" i="24"/>
  <c r="D31" i="24"/>
  <c r="E31" i="24" s="1"/>
  <c r="F31" i="24" s="1"/>
  <c r="W100" i="24"/>
  <c r="D100" i="24"/>
  <c r="E100" i="24" s="1"/>
  <c r="F100" i="24" s="1"/>
  <c r="D45" i="24"/>
  <c r="E45" i="24" s="1"/>
  <c r="F45" i="24" s="1"/>
  <c r="W45" i="24"/>
  <c r="D357" i="24"/>
  <c r="E357" i="24" s="1"/>
  <c r="F357" i="24" s="1"/>
  <c r="W357" i="24"/>
  <c r="W136" i="24"/>
  <c r="D136" i="24"/>
  <c r="E136" i="24" s="1"/>
  <c r="F136" i="24" s="1"/>
  <c r="W148" i="24"/>
  <c r="D148" i="24"/>
  <c r="E148" i="24" s="1"/>
  <c r="F148" i="24" s="1"/>
  <c r="W79" i="24"/>
  <c r="D79" i="24"/>
  <c r="E79" i="24" s="1"/>
  <c r="F79" i="24" s="1"/>
  <c r="D261" i="24"/>
  <c r="E261" i="24" s="1"/>
  <c r="F261" i="24" s="1"/>
  <c r="W261" i="24"/>
  <c r="D113" i="24"/>
  <c r="E113" i="24" s="1"/>
  <c r="F113" i="24" s="1"/>
  <c r="W113" i="24"/>
  <c r="W254" i="24"/>
  <c r="D254" i="24"/>
  <c r="E254" i="24" s="1"/>
  <c r="F254" i="24" s="1"/>
  <c r="D336" i="24"/>
  <c r="E336" i="24" s="1"/>
  <c r="F336" i="24" s="1"/>
  <c r="W336" i="24"/>
  <c r="W203" i="24"/>
  <c r="D203" i="24"/>
  <c r="E203" i="24" s="1"/>
  <c r="F203" i="24" s="1"/>
  <c r="W327" i="24"/>
  <c r="D327" i="24"/>
  <c r="E327" i="24" s="1"/>
  <c r="F327" i="24" s="1"/>
  <c r="D94" i="24"/>
  <c r="E94" i="24" s="1"/>
  <c r="F94" i="24" s="1"/>
  <c r="W94" i="24"/>
  <c r="D104" i="24"/>
  <c r="E104" i="24" s="1"/>
  <c r="F104" i="24" s="1"/>
  <c r="W104" i="24"/>
  <c r="W222" i="24"/>
  <c r="D222" i="24"/>
  <c r="E222" i="24" s="1"/>
  <c r="F222" i="24" s="1"/>
  <c r="W115" i="24"/>
  <c r="D115" i="24"/>
  <c r="E115" i="24" s="1"/>
  <c r="F115" i="24" s="1"/>
  <c r="W123" i="24"/>
  <c r="D123" i="24"/>
  <c r="E123" i="24" s="1"/>
  <c r="F123" i="24" s="1"/>
  <c r="W277" i="24"/>
  <c r="D277" i="24"/>
  <c r="E277" i="24" s="1"/>
  <c r="F277" i="24" s="1"/>
  <c r="W171" i="24"/>
  <c r="D171" i="24"/>
  <c r="E171" i="24" s="1"/>
  <c r="F171" i="24" s="1"/>
  <c r="D200" i="24"/>
  <c r="E200" i="24" s="1"/>
  <c r="F200" i="24" s="1"/>
  <c r="W200" i="24"/>
  <c r="D139" i="24"/>
  <c r="E139" i="24" s="1"/>
  <c r="F139" i="24" s="1"/>
  <c r="W139" i="24"/>
  <c r="D58" i="24"/>
  <c r="E58" i="24" s="1"/>
  <c r="F58" i="24" s="1"/>
  <c r="W58" i="24"/>
  <c r="D319" i="24"/>
  <c r="E319" i="24" s="1"/>
  <c r="F319" i="24" s="1"/>
  <c r="W319" i="24"/>
  <c r="D335" i="24"/>
  <c r="E335" i="24" s="1"/>
  <c r="F335" i="24" s="1"/>
  <c r="W335" i="24"/>
  <c r="D352" i="24"/>
  <c r="E352" i="24" s="1"/>
  <c r="F352" i="24" s="1"/>
  <c r="W352" i="24"/>
  <c r="D330" i="24"/>
  <c r="E330" i="24" s="1"/>
  <c r="F330" i="24" s="1"/>
  <c r="W330" i="24"/>
  <c r="D92" i="24"/>
  <c r="E92" i="24" s="1"/>
  <c r="F92" i="24" s="1"/>
  <c r="W92" i="24"/>
  <c r="W249" i="24"/>
  <c r="D249" i="24"/>
  <c r="E249" i="24" s="1"/>
  <c r="F249" i="24" s="1"/>
  <c r="W378" i="24"/>
  <c r="D378" i="24"/>
  <c r="E378" i="24" s="1"/>
  <c r="F378" i="24" s="1"/>
  <c r="W286" i="24"/>
  <c r="D286" i="24"/>
  <c r="E286" i="24" s="1"/>
  <c r="F286" i="24" s="1"/>
  <c r="W317" i="24"/>
  <c r="D317" i="24"/>
  <c r="E317" i="24" s="1"/>
  <c r="F317" i="24" s="1"/>
  <c r="W179" i="24"/>
  <c r="D179" i="24"/>
  <c r="E179" i="24" s="1"/>
  <c r="F179" i="24" s="1"/>
  <c r="W57" i="24"/>
  <c r="D57" i="24"/>
  <c r="E57" i="24" s="1"/>
  <c r="F57" i="24" s="1"/>
  <c r="AJ7" i="23"/>
  <c r="J380" i="22"/>
  <c r="I380" i="22"/>
  <c r="H380" i="23" s="1"/>
  <c r="G180" i="23"/>
  <c r="CD180" i="6" s="1"/>
  <c r="H180" i="23"/>
  <c r="AA180" i="23"/>
  <c r="Z180" i="23" s="1"/>
  <c r="Y180" i="23" s="1"/>
  <c r="H262" i="24"/>
  <c r="AA262" i="24"/>
  <c r="Z262" i="24" s="1"/>
  <c r="Y262" i="24" s="1"/>
  <c r="G262" i="24"/>
  <c r="CE262" i="6" s="1"/>
  <c r="AA268" i="24"/>
  <c r="Z268" i="24" s="1"/>
  <c r="Y268" i="24" s="1"/>
  <c r="G290" i="24"/>
  <c r="CE290" i="6" s="1"/>
  <c r="G61" i="24"/>
  <c r="CE61" i="6" s="1"/>
  <c r="D337" i="24"/>
  <c r="E337" i="24" s="1"/>
  <c r="F337" i="24" s="1"/>
  <c r="W337" i="24"/>
  <c r="C17" i="19"/>
  <c r="D16" i="19"/>
  <c r="G40" i="19"/>
  <c r="AH381" i="25"/>
  <c r="AH383" i="25"/>
  <c r="AH382" i="25"/>
  <c r="AG104" i="25"/>
  <c r="AI7" i="7"/>
  <c r="F7" i="6"/>
  <c r="C12" i="6"/>
  <c r="C13" i="6"/>
  <c r="B13" i="6"/>
  <c r="B12" i="6"/>
  <c r="BA15" i="6"/>
  <c r="Y382" i="18"/>
  <c r="AL6" i="18"/>
  <c r="AL12" i="18" s="1"/>
  <c r="AM6" i="18"/>
  <c r="AM12" i="18" s="1"/>
  <c r="X9" i="18"/>
  <c r="Y381" i="18"/>
  <c r="Y383" i="18"/>
  <c r="Z382" i="20"/>
  <c r="AL8" i="20"/>
  <c r="Y15" i="20"/>
  <c r="Z381" i="20"/>
  <c r="Z383" i="20"/>
  <c r="Z9" i="20"/>
  <c r="I15" i="20"/>
  <c r="H15" i="22" s="1"/>
  <c r="J15" i="20"/>
  <c r="AF67" i="27"/>
  <c r="P67" i="27" s="1"/>
  <c r="A82" i="27" s="1" a="1"/>
  <c r="K88" i="27" s="1"/>
  <c r="G27" i="27"/>
  <c r="AD63" i="27" s="1"/>
  <c r="G28" i="27"/>
  <c r="AD64" i="27" s="1"/>
  <c r="G24" i="27"/>
  <c r="AD60" i="27" s="1"/>
  <c r="G25" i="27"/>
  <c r="AD61" i="27" s="1"/>
  <c r="H288" i="24"/>
  <c r="AA288" i="24"/>
  <c r="Z288" i="24" s="1"/>
  <c r="Y288" i="24" s="1"/>
  <c r="AA349" i="24"/>
  <c r="Z349" i="24" s="1"/>
  <c r="Y349" i="24" s="1"/>
  <c r="H349" i="24"/>
  <c r="G349" i="24"/>
  <c r="CE349" i="6" s="1"/>
  <c r="J268" i="24"/>
  <c r="AA15" i="22"/>
  <c r="AL9" i="22" s="1"/>
  <c r="F9" i="22"/>
  <c r="F381" i="22"/>
  <c r="F383" i="22"/>
  <c r="G15" i="22"/>
  <c r="CC15" i="6" s="1"/>
  <c r="F382" i="22"/>
  <c r="AK10" i="22"/>
  <c r="AK12" i="22" s="1"/>
  <c r="AK13" i="22" s="1"/>
  <c r="AM10" i="22"/>
  <c r="G46" i="24"/>
  <c r="CE46" i="6" s="1"/>
  <c r="AA46" i="24"/>
  <c r="Z46" i="24" s="1"/>
  <c r="Y46" i="24" s="1"/>
  <c r="H46" i="24"/>
  <c r="E383" i="23"/>
  <c r="AJ10" i="23"/>
  <c r="E381" i="23"/>
  <c r="F15" i="23"/>
  <c r="E382" i="23"/>
  <c r="E9" i="23"/>
  <c r="AK8" i="23"/>
  <c r="J354" i="24"/>
  <c r="I354" i="24"/>
  <c r="I353" i="24"/>
  <c r="J353" i="24"/>
  <c r="R383" i="25"/>
  <c r="R381" i="25"/>
  <c r="R382" i="25"/>
  <c r="J245" i="24" l="1"/>
  <c r="J158" i="24"/>
  <c r="I61" i="24"/>
  <c r="AJ12" i="23"/>
  <c r="J341" i="24"/>
  <c r="J128" i="24"/>
  <c r="G268" i="24"/>
  <c r="CE268" i="6" s="1"/>
  <c r="AJ11" i="23"/>
  <c r="G227" i="24"/>
  <c r="CE227" i="6" s="1"/>
  <c r="AA227" i="24"/>
  <c r="Z227" i="24" s="1"/>
  <c r="Y227" i="24" s="1"/>
  <c r="AK9" i="23"/>
  <c r="AK11" i="23" s="1"/>
  <c r="AM9" i="23"/>
  <c r="E42" i="19"/>
  <c r="E16" i="19"/>
  <c r="F16" i="19" s="1"/>
  <c r="J377" i="24"/>
  <c r="AA135" i="24"/>
  <c r="Z135" i="24" s="1"/>
  <c r="Y135" i="24" s="1"/>
  <c r="J230" i="24"/>
  <c r="J290" i="24"/>
  <c r="G135" i="24"/>
  <c r="CE135" i="6" s="1"/>
  <c r="F15" i="19"/>
  <c r="F31" i="19" s="1"/>
  <c r="E31" i="19"/>
  <c r="G107" i="24"/>
  <c r="CE107" i="6" s="1"/>
  <c r="H107" i="24"/>
  <c r="AA107" i="24"/>
  <c r="Z107" i="24" s="1"/>
  <c r="Y107" i="24" s="1"/>
  <c r="E11" i="23"/>
  <c r="C18" i="19" s="1"/>
  <c r="G118" i="24"/>
  <c r="CE118" i="6" s="1"/>
  <c r="H118" i="24"/>
  <c r="J118" i="24" s="1"/>
  <c r="AA290" i="24"/>
  <c r="Z290" i="24" s="1"/>
  <c r="Y290" i="24" s="1"/>
  <c r="I262" i="24"/>
  <c r="J262" i="24"/>
  <c r="J180" i="23"/>
  <c r="I180" i="23"/>
  <c r="I380" i="23"/>
  <c r="H380" i="24" s="1"/>
  <c r="J380" i="23"/>
  <c r="H92" i="24"/>
  <c r="G92" i="24"/>
  <c r="CE92" i="6" s="1"/>
  <c r="AA92" i="24"/>
  <c r="Z92" i="24" s="1"/>
  <c r="Y92" i="24" s="1"/>
  <c r="G330" i="24"/>
  <c r="CE330" i="6" s="1"/>
  <c r="H330" i="24"/>
  <c r="AA330" i="24"/>
  <c r="Z330" i="24" s="1"/>
  <c r="Y330" i="24" s="1"/>
  <c r="G352" i="24"/>
  <c r="CE352" i="6" s="1"/>
  <c r="AA352" i="24"/>
  <c r="Z352" i="24" s="1"/>
  <c r="Y352" i="24" s="1"/>
  <c r="H352" i="24"/>
  <c r="G335" i="24"/>
  <c r="CE335" i="6" s="1"/>
  <c r="AA335" i="24"/>
  <c r="Z335" i="24" s="1"/>
  <c r="Y335" i="24" s="1"/>
  <c r="H335" i="24"/>
  <c r="AA319" i="24"/>
  <c r="Z319" i="24" s="1"/>
  <c r="Y319" i="24" s="1"/>
  <c r="G319" i="24"/>
  <c r="CE319" i="6" s="1"/>
  <c r="H319" i="24"/>
  <c r="AA58" i="24"/>
  <c r="Z58" i="24" s="1"/>
  <c r="Y58" i="24" s="1"/>
  <c r="G58" i="24"/>
  <c r="CE58" i="6" s="1"/>
  <c r="H58" i="24"/>
  <c r="G139" i="24"/>
  <c r="CE139" i="6" s="1"/>
  <c r="H139" i="24"/>
  <c r="AA139" i="24"/>
  <c r="Z139" i="24" s="1"/>
  <c r="Y139" i="24" s="1"/>
  <c r="AA200" i="24"/>
  <c r="Z200" i="24" s="1"/>
  <c r="Y200" i="24" s="1"/>
  <c r="G200" i="24"/>
  <c r="CE200" i="6" s="1"/>
  <c r="H200" i="24"/>
  <c r="H104" i="24"/>
  <c r="AA104" i="24"/>
  <c r="Z104" i="24" s="1"/>
  <c r="Y104" i="24" s="1"/>
  <c r="G104" i="24"/>
  <c r="CE104" i="6" s="1"/>
  <c r="AA94" i="24"/>
  <c r="Z94" i="24" s="1"/>
  <c r="Y94" i="24" s="1"/>
  <c r="G94" i="24"/>
  <c r="CE94" i="6" s="1"/>
  <c r="H94" i="24"/>
  <c r="G336" i="24"/>
  <c r="CE336" i="6" s="1"/>
  <c r="AA336" i="24"/>
  <c r="Z336" i="24" s="1"/>
  <c r="Y336" i="24" s="1"/>
  <c r="H336" i="24"/>
  <c r="AA113" i="24"/>
  <c r="Z113" i="24" s="1"/>
  <c r="Y113" i="24" s="1"/>
  <c r="G113" i="24"/>
  <c r="CE113" i="6" s="1"/>
  <c r="H113" i="24"/>
  <c r="H261" i="24"/>
  <c r="AA261" i="24"/>
  <c r="Z261" i="24" s="1"/>
  <c r="Y261" i="24" s="1"/>
  <c r="G261" i="24"/>
  <c r="CE261" i="6" s="1"/>
  <c r="H357" i="24"/>
  <c r="G357" i="24"/>
  <c r="CE357" i="6" s="1"/>
  <c r="AA357" i="24"/>
  <c r="Z357" i="24" s="1"/>
  <c r="Y357" i="24" s="1"/>
  <c r="AA45" i="24"/>
  <c r="Z45" i="24" s="1"/>
  <c r="Y45" i="24" s="1"/>
  <c r="G45" i="24"/>
  <c r="CE45" i="6" s="1"/>
  <c r="H45" i="24"/>
  <c r="H205" i="24"/>
  <c r="AA205" i="24"/>
  <c r="Z205" i="24" s="1"/>
  <c r="Y205" i="24" s="1"/>
  <c r="G205" i="24"/>
  <c r="CE205" i="6" s="1"/>
  <c r="G312" i="24"/>
  <c r="CE312" i="6" s="1"/>
  <c r="H312" i="24"/>
  <c r="AA312" i="24"/>
  <c r="Z312" i="24" s="1"/>
  <c r="Y312" i="24" s="1"/>
  <c r="H164" i="24"/>
  <c r="AA164" i="24"/>
  <c r="Z164" i="24" s="1"/>
  <c r="Y164" i="24" s="1"/>
  <c r="G164" i="24"/>
  <c r="CE164" i="6" s="1"/>
  <c r="H356" i="24"/>
  <c r="G356" i="24"/>
  <c r="CE356" i="6" s="1"/>
  <c r="AA356" i="24"/>
  <c r="Z356" i="24" s="1"/>
  <c r="Y356" i="24" s="1"/>
  <c r="G64" i="24"/>
  <c r="CE64" i="6" s="1"/>
  <c r="H64" i="24"/>
  <c r="AA64" i="24"/>
  <c r="Z64" i="24" s="1"/>
  <c r="Y64" i="24" s="1"/>
  <c r="G235" i="24"/>
  <c r="CE235" i="6" s="1"/>
  <c r="AA235" i="24"/>
  <c r="Z235" i="24" s="1"/>
  <c r="Y235" i="24" s="1"/>
  <c r="H235" i="24"/>
  <c r="AA273" i="24"/>
  <c r="Z273" i="24" s="1"/>
  <c r="Y273" i="24" s="1"/>
  <c r="H273" i="24"/>
  <c r="G273" i="24"/>
  <c r="CE273" i="6" s="1"/>
  <c r="H278" i="24"/>
  <c r="AA278" i="24"/>
  <c r="Z278" i="24" s="1"/>
  <c r="Y278" i="24" s="1"/>
  <c r="G278" i="24"/>
  <c r="CE278" i="6" s="1"/>
  <c r="AD381" i="24"/>
  <c r="AD382" i="24"/>
  <c r="AD383" i="24"/>
  <c r="AA122" i="24"/>
  <c r="Z122" i="24" s="1"/>
  <c r="Y122" i="24" s="1"/>
  <c r="H122" i="24"/>
  <c r="G122" i="24"/>
  <c r="CE122" i="6" s="1"/>
  <c r="H177" i="24"/>
  <c r="AA177" i="24"/>
  <c r="Z177" i="24" s="1"/>
  <c r="Y177" i="24" s="1"/>
  <c r="G177" i="24"/>
  <c r="CE177" i="6" s="1"/>
  <c r="H361" i="24"/>
  <c r="G361" i="24"/>
  <c r="CE361" i="6" s="1"/>
  <c r="AA361" i="24"/>
  <c r="Z361" i="24" s="1"/>
  <c r="Y361" i="24" s="1"/>
  <c r="G83" i="24"/>
  <c r="CE83" i="6" s="1"/>
  <c r="H83" i="24"/>
  <c r="AA83" i="24"/>
  <c r="Z83" i="24" s="1"/>
  <c r="Y83" i="24" s="1"/>
  <c r="H282" i="24"/>
  <c r="G282" i="24"/>
  <c r="CE282" i="6" s="1"/>
  <c r="AA282" i="24"/>
  <c r="Z282" i="24" s="1"/>
  <c r="Y282" i="24" s="1"/>
  <c r="G17" i="24"/>
  <c r="CE17" i="6" s="1"/>
  <c r="AA17" i="24"/>
  <c r="Z17" i="24" s="1"/>
  <c r="Y17" i="24" s="1"/>
  <c r="H17" i="24"/>
  <c r="G320" i="24"/>
  <c r="CE320" i="6" s="1"/>
  <c r="H320" i="24"/>
  <c r="AA320" i="24"/>
  <c r="Z320" i="24" s="1"/>
  <c r="Y320" i="24" s="1"/>
  <c r="AA284" i="24"/>
  <c r="Z284" i="24" s="1"/>
  <c r="Y284" i="24" s="1"/>
  <c r="G284" i="24"/>
  <c r="CE284" i="6" s="1"/>
  <c r="H284" i="24"/>
  <c r="G309" i="24"/>
  <c r="CE309" i="6" s="1"/>
  <c r="AA309" i="24"/>
  <c r="Z309" i="24" s="1"/>
  <c r="Y309" i="24" s="1"/>
  <c r="H309" i="24"/>
  <c r="G193" i="24"/>
  <c r="CE193" i="6" s="1"/>
  <c r="H193" i="24"/>
  <c r="AA193" i="24"/>
  <c r="Z193" i="24" s="1"/>
  <c r="Y193" i="24" s="1"/>
  <c r="G40" i="24"/>
  <c r="CE40" i="6" s="1"/>
  <c r="H40" i="24"/>
  <c r="AA40" i="24"/>
  <c r="Z40" i="24" s="1"/>
  <c r="Y40" i="24" s="1"/>
  <c r="AA159" i="24"/>
  <c r="Z159" i="24" s="1"/>
  <c r="Y159" i="24" s="1"/>
  <c r="G159" i="24"/>
  <c r="CE159" i="6" s="1"/>
  <c r="H159" i="24"/>
  <c r="G321" i="24"/>
  <c r="CE321" i="6" s="1"/>
  <c r="H321" i="24"/>
  <c r="AA321" i="24"/>
  <c r="Z321" i="24" s="1"/>
  <c r="Y321" i="24" s="1"/>
  <c r="G187" i="24"/>
  <c r="CE187" i="6" s="1"/>
  <c r="H187" i="24"/>
  <c r="AA187" i="24"/>
  <c r="Z187" i="24" s="1"/>
  <c r="Y187" i="24" s="1"/>
  <c r="B302" i="24"/>
  <c r="K69" i="19"/>
  <c r="H376" i="24"/>
  <c r="G376" i="24"/>
  <c r="CE376" i="6" s="1"/>
  <c r="AA376" i="24"/>
  <c r="Z376" i="24" s="1"/>
  <c r="Y376" i="24" s="1"/>
  <c r="P382" i="24"/>
  <c r="P383" i="24"/>
  <c r="P381" i="24"/>
  <c r="V15" i="24"/>
  <c r="H232" i="24"/>
  <c r="G232" i="24"/>
  <c r="CE232" i="6" s="1"/>
  <c r="AA232" i="24"/>
  <c r="Z232" i="24" s="1"/>
  <c r="Y232" i="24" s="1"/>
  <c r="G283" i="24"/>
  <c r="CE283" i="6" s="1"/>
  <c r="AA283" i="24"/>
  <c r="Z283" i="24" s="1"/>
  <c r="Y283" i="24" s="1"/>
  <c r="H283" i="24"/>
  <c r="G137" i="24"/>
  <c r="CE137" i="6" s="1"/>
  <c r="H137" i="24"/>
  <c r="AA137" i="24"/>
  <c r="Z137" i="24" s="1"/>
  <c r="Y137" i="24" s="1"/>
  <c r="AA23" i="24"/>
  <c r="Z23" i="24" s="1"/>
  <c r="Y23" i="24" s="1"/>
  <c r="G23" i="24"/>
  <c r="CE23" i="6" s="1"/>
  <c r="H23" i="24"/>
  <c r="H257" i="24"/>
  <c r="G257" i="24"/>
  <c r="CE257" i="6" s="1"/>
  <c r="AA257" i="24"/>
  <c r="Z257" i="24" s="1"/>
  <c r="Y257" i="24" s="1"/>
  <c r="H371" i="24"/>
  <c r="AA371" i="24"/>
  <c r="Z371" i="24" s="1"/>
  <c r="Y371" i="24" s="1"/>
  <c r="G371" i="24"/>
  <c r="CE371" i="6" s="1"/>
  <c r="H167" i="24"/>
  <c r="G167" i="24"/>
  <c r="CE167" i="6" s="1"/>
  <c r="AA167" i="24"/>
  <c r="Z167" i="24" s="1"/>
  <c r="Y167" i="24" s="1"/>
  <c r="H150" i="24"/>
  <c r="G150" i="24"/>
  <c r="CE150" i="6" s="1"/>
  <c r="AA150" i="24"/>
  <c r="Z150" i="24" s="1"/>
  <c r="Y150" i="24" s="1"/>
  <c r="G172" i="24"/>
  <c r="CE172" i="6" s="1"/>
  <c r="H172" i="24"/>
  <c r="AA172" i="24"/>
  <c r="Z172" i="24" s="1"/>
  <c r="Y172" i="24" s="1"/>
  <c r="G201" i="24"/>
  <c r="CE201" i="6" s="1"/>
  <c r="H201" i="24"/>
  <c r="AA201" i="24"/>
  <c r="Z201" i="24" s="1"/>
  <c r="Y201" i="24" s="1"/>
  <c r="H281" i="24"/>
  <c r="AA281" i="24"/>
  <c r="Z281" i="24" s="1"/>
  <c r="Y281" i="24" s="1"/>
  <c r="G281" i="24"/>
  <c r="CE281" i="6" s="1"/>
  <c r="H108" i="24"/>
  <c r="G108" i="24"/>
  <c r="CE108" i="6" s="1"/>
  <c r="AA108" i="24"/>
  <c r="Z108" i="24" s="1"/>
  <c r="Y108" i="24" s="1"/>
  <c r="AA174" i="24"/>
  <c r="Z174" i="24" s="1"/>
  <c r="Y174" i="24" s="1"/>
  <c r="H174" i="24"/>
  <c r="G174" i="24"/>
  <c r="CE174" i="6" s="1"/>
  <c r="G86" i="24"/>
  <c r="CE86" i="6" s="1"/>
  <c r="AA86" i="24"/>
  <c r="Z86" i="24" s="1"/>
  <c r="Y86" i="24" s="1"/>
  <c r="H86" i="24"/>
  <c r="H133" i="24"/>
  <c r="G133" i="24"/>
  <c r="CE133" i="6" s="1"/>
  <c r="AA133" i="24"/>
  <c r="Z133" i="24" s="1"/>
  <c r="Y133" i="24" s="1"/>
  <c r="H219" i="24"/>
  <c r="AA219" i="24"/>
  <c r="Z219" i="24" s="1"/>
  <c r="Y219" i="24" s="1"/>
  <c r="G219" i="24"/>
  <c r="CE219" i="6" s="1"/>
  <c r="G59" i="24"/>
  <c r="CE59" i="6" s="1"/>
  <c r="H59" i="24"/>
  <c r="AA59" i="24"/>
  <c r="Z59" i="24" s="1"/>
  <c r="Y59" i="24" s="1"/>
  <c r="H237" i="24"/>
  <c r="G237" i="24"/>
  <c r="CE237" i="6" s="1"/>
  <c r="AA237" i="24"/>
  <c r="Z237" i="24" s="1"/>
  <c r="Y237" i="24" s="1"/>
  <c r="H186" i="24"/>
  <c r="G186" i="24"/>
  <c r="CE186" i="6" s="1"/>
  <c r="AA186" i="24"/>
  <c r="Z186" i="24" s="1"/>
  <c r="Y186" i="24" s="1"/>
  <c r="AA299" i="24"/>
  <c r="Z299" i="24" s="1"/>
  <c r="Y299" i="24" s="1"/>
  <c r="H299" i="24"/>
  <c r="G299" i="24"/>
  <c r="CE299" i="6" s="1"/>
  <c r="H216" i="24"/>
  <c r="G216" i="24"/>
  <c r="CE216" i="6" s="1"/>
  <c r="AA216" i="24"/>
  <c r="Z216" i="24" s="1"/>
  <c r="Y216" i="24" s="1"/>
  <c r="AA48" i="24"/>
  <c r="Z48" i="24" s="1"/>
  <c r="Y48" i="24" s="1"/>
  <c r="H48" i="24"/>
  <c r="G48" i="24"/>
  <c r="CE48" i="6" s="1"/>
  <c r="AA218" i="24"/>
  <c r="Z218" i="24" s="1"/>
  <c r="Y218" i="24" s="1"/>
  <c r="G218" i="24"/>
  <c r="CE218" i="6" s="1"/>
  <c r="H218" i="24"/>
  <c r="G39" i="24"/>
  <c r="CE39" i="6" s="1"/>
  <c r="AA39" i="24"/>
  <c r="Z39" i="24" s="1"/>
  <c r="Y39" i="24" s="1"/>
  <c r="H39" i="24"/>
  <c r="G190" i="24"/>
  <c r="CE190" i="6" s="1"/>
  <c r="H190" i="24"/>
  <c r="AA190" i="24"/>
  <c r="Z190" i="24" s="1"/>
  <c r="Y190" i="24" s="1"/>
  <c r="AA183" i="24"/>
  <c r="Z183" i="24" s="1"/>
  <c r="Y183" i="24" s="1"/>
  <c r="G183" i="24"/>
  <c r="CE183" i="6" s="1"/>
  <c r="H183" i="24"/>
  <c r="H305" i="24"/>
  <c r="G305" i="24"/>
  <c r="CE305" i="6" s="1"/>
  <c r="AA305" i="24"/>
  <c r="Z305" i="24" s="1"/>
  <c r="Y305" i="24" s="1"/>
  <c r="AA315" i="24"/>
  <c r="Z315" i="24" s="1"/>
  <c r="Y315" i="24" s="1"/>
  <c r="H315" i="24"/>
  <c r="G315" i="24"/>
  <c r="CE315" i="6" s="1"/>
  <c r="AA342" i="24"/>
  <c r="Z342" i="24" s="1"/>
  <c r="Y342" i="24" s="1"/>
  <c r="H342" i="24"/>
  <c r="G342" i="24"/>
  <c r="CE342" i="6" s="1"/>
  <c r="AA206" i="24"/>
  <c r="Z206" i="24" s="1"/>
  <c r="Y206" i="24" s="1"/>
  <c r="H206" i="24"/>
  <c r="G206" i="24"/>
  <c r="CE206" i="6" s="1"/>
  <c r="AA125" i="24"/>
  <c r="Z125" i="24" s="1"/>
  <c r="Y125" i="24" s="1"/>
  <c r="G125" i="24"/>
  <c r="CE125" i="6" s="1"/>
  <c r="H125" i="24"/>
  <c r="G188" i="24"/>
  <c r="CE188" i="6" s="1"/>
  <c r="H188" i="24"/>
  <c r="AA188" i="24"/>
  <c r="Z188" i="24" s="1"/>
  <c r="Y188" i="24" s="1"/>
  <c r="H178" i="24"/>
  <c r="AA178" i="24"/>
  <c r="Z178" i="24" s="1"/>
  <c r="Y178" i="24" s="1"/>
  <c r="G178" i="24"/>
  <c r="CE178" i="6" s="1"/>
  <c r="G233" i="24"/>
  <c r="CE233" i="6" s="1"/>
  <c r="AA233" i="24"/>
  <c r="Z233" i="24" s="1"/>
  <c r="Y233" i="24" s="1"/>
  <c r="H233" i="24"/>
  <c r="AA260" i="24"/>
  <c r="Z260" i="24" s="1"/>
  <c r="Y260" i="24" s="1"/>
  <c r="H260" i="24"/>
  <c r="G260" i="24"/>
  <c r="CE260" i="6" s="1"/>
  <c r="G294" i="24"/>
  <c r="CE294" i="6" s="1"/>
  <c r="AA294" i="24"/>
  <c r="Z294" i="24" s="1"/>
  <c r="Y294" i="24" s="1"/>
  <c r="H294" i="24"/>
  <c r="AA231" i="24"/>
  <c r="Z231" i="24" s="1"/>
  <c r="Y231" i="24" s="1"/>
  <c r="G231" i="24"/>
  <c r="CE231" i="6" s="1"/>
  <c r="H231" i="24"/>
  <c r="G185" i="24"/>
  <c r="CE185" i="6" s="1"/>
  <c r="AA185" i="24"/>
  <c r="Z185" i="24" s="1"/>
  <c r="Y185" i="24" s="1"/>
  <c r="H185" i="24"/>
  <c r="H279" i="24"/>
  <c r="G279" i="24"/>
  <c r="CE279" i="6" s="1"/>
  <c r="AA279" i="24"/>
  <c r="Z279" i="24" s="1"/>
  <c r="Y279" i="24" s="1"/>
  <c r="H91" i="24"/>
  <c r="G91" i="24"/>
  <c r="CE91" i="6" s="1"/>
  <c r="AA91" i="24"/>
  <c r="Z91" i="24" s="1"/>
  <c r="Y91" i="24" s="1"/>
  <c r="B363" i="24"/>
  <c r="H209" i="24"/>
  <c r="G209" i="24"/>
  <c r="CE209" i="6" s="1"/>
  <c r="AA209" i="24"/>
  <c r="Z209" i="24" s="1"/>
  <c r="Y209" i="24" s="1"/>
  <c r="AA228" i="24"/>
  <c r="Z228" i="24" s="1"/>
  <c r="Y228" i="24" s="1"/>
  <c r="H228" i="24"/>
  <c r="G228" i="24"/>
  <c r="CE228" i="6" s="1"/>
  <c r="G217" i="24"/>
  <c r="CE217" i="6" s="1"/>
  <c r="H217" i="24"/>
  <c r="AA217" i="24"/>
  <c r="Z217" i="24" s="1"/>
  <c r="Y217" i="24" s="1"/>
  <c r="G362" i="24"/>
  <c r="CE362" i="6" s="1"/>
  <c r="AA362" i="24"/>
  <c r="Z362" i="24" s="1"/>
  <c r="Y362" i="24" s="1"/>
  <c r="H362" i="24"/>
  <c r="G274" i="24"/>
  <c r="CE274" i="6" s="1"/>
  <c r="H274" i="24"/>
  <c r="AA274" i="24"/>
  <c r="Z274" i="24" s="1"/>
  <c r="Y274" i="24" s="1"/>
  <c r="AA21" i="24"/>
  <c r="Z21" i="24" s="1"/>
  <c r="Y21" i="24" s="1"/>
  <c r="H21" i="24"/>
  <c r="G21" i="24"/>
  <c r="CE21" i="6" s="1"/>
  <c r="H295" i="24"/>
  <c r="G295" i="24"/>
  <c r="CE295" i="6" s="1"/>
  <c r="AA295" i="24"/>
  <c r="Z295" i="24" s="1"/>
  <c r="Y295" i="24" s="1"/>
  <c r="AA154" i="24"/>
  <c r="Z154" i="24" s="1"/>
  <c r="Y154" i="24" s="1"/>
  <c r="H154" i="24"/>
  <c r="G154" i="24"/>
  <c r="CE154" i="6" s="1"/>
  <c r="AA194" i="24"/>
  <c r="Z194" i="24" s="1"/>
  <c r="Y194" i="24" s="1"/>
  <c r="H194" i="24"/>
  <c r="G194" i="24"/>
  <c r="CE194" i="6" s="1"/>
  <c r="G329" i="24"/>
  <c r="CE329" i="6" s="1"/>
  <c r="H329" i="24"/>
  <c r="AA329" i="24"/>
  <c r="Z329" i="24" s="1"/>
  <c r="Y329" i="24" s="1"/>
  <c r="H143" i="24"/>
  <c r="G143" i="24"/>
  <c r="CE143" i="6" s="1"/>
  <c r="AA143" i="24"/>
  <c r="Z143" i="24" s="1"/>
  <c r="Y143" i="24" s="1"/>
  <c r="J379" i="23"/>
  <c r="I379" i="23"/>
  <c r="I210" i="23"/>
  <c r="J210" i="23"/>
  <c r="G373" i="24"/>
  <c r="CE373" i="6" s="1"/>
  <c r="H373" i="24"/>
  <c r="AA373" i="24"/>
  <c r="Z373" i="24" s="1"/>
  <c r="Y373" i="24" s="1"/>
  <c r="B241" i="24"/>
  <c r="I69" i="19"/>
  <c r="H313" i="24"/>
  <c r="AA313" i="24"/>
  <c r="Z313" i="24" s="1"/>
  <c r="Y313" i="24" s="1"/>
  <c r="G313" i="24"/>
  <c r="CE313" i="6" s="1"/>
  <c r="H144" i="24"/>
  <c r="AA144" i="24"/>
  <c r="Z144" i="24" s="1"/>
  <c r="Y144" i="24" s="1"/>
  <c r="G144" i="24"/>
  <c r="CE144" i="6" s="1"/>
  <c r="H370" i="24"/>
  <c r="AA370" i="24"/>
  <c r="Z370" i="24" s="1"/>
  <c r="Y370" i="24" s="1"/>
  <c r="G370" i="24"/>
  <c r="CE370" i="6" s="1"/>
  <c r="G112" i="24"/>
  <c r="CE112" i="6" s="1"/>
  <c r="AA112" i="24"/>
  <c r="Z112" i="24" s="1"/>
  <c r="Y112" i="24" s="1"/>
  <c r="H112" i="24"/>
  <c r="AA77" i="24"/>
  <c r="Z77" i="24" s="1"/>
  <c r="Y77" i="24" s="1"/>
  <c r="H77" i="24"/>
  <c r="G77" i="24"/>
  <c r="CE77" i="6" s="1"/>
  <c r="B119" i="24"/>
  <c r="E69" i="19"/>
  <c r="H346" i="24"/>
  <c r="AA346" i="24"/>
  <c r="Z346" i="24" s="1"/>
  <c r="Y346" i="24" s="1"/>
  <c r="G346" i="24"/>
  <c r="CE346" i="6" s="1"/>
  <c r="AA223" i="24"/>
  <c r="Z223" i="24" s="1"/>
  <c r="Y223" i="24" s="1"/>
  <c r="H223" i="24"/>
  <c r="G223" i="24"/>
  <c r="CE223" i="6" s="1"/>
  <c r="H265" i="24"/>
  <c r="G265" i="24"/>
  <c r="CE265" i="6" s="1"/>
  <c r="AA265" i="24"/>
  <c r="Z265" i="24" s="1"/>
  <c r="Y265" i="24" s="1"/>
  <c r="G18" i="24"/>
  <c r="CE18" i="6" s="1"/>
  <c r="H18" i="24"/>
  <c r="AA18" i="24"/>
  <c r="Z18" i="24" s="1"/>
  <c r="Y18" i="24" s="1"/>
  <c r="G297" i="24"/>
  <c r="CE297" i="6" s="1"/>
  <c r="H297" i="24"/>
  <c r="AA297" i="24"/>
  <c r="Z297" i="24" s="1"/>
  <c r="Y297" i="24" s="1"/>
  <c r="G36" i="24"/>
  <c r="CE36" i="6" s="1"/>
  <c r="AA36" i="24"/>
  <c r="Z36" i="24" s="1"/>
  <c r="Y36" i="24" s="1"/>
  <c r="H36" i="24"/>
  <c r="H374" i="24"/>
  <c r="AA374" i="24"/>
  <c r="Z374" i="24" s="1"/>
  <c r="Y374" i="24" s="1"/>
  <c r="G374" i="24"/>
  <c r="CE374" i="6" s="1"/>
  <c r="G44" i="24"/>
  <c r="CE44" i="6" s="1"/>
  <c r="H44" i="24"/>
  <c r="AA44" i="24"/>
  <c r="Z44" i="24" s="1"/>
  <c r="Y44" i="24" s="1"/>
  <c r="H43" i="24"/>
  <c r="G43" i="24"/>
  <c r="CE43" i="6" s="1"/>
  <c r="AA43" i="24"/>
  <c r="Z43" i="24" s="1"/>
  <c r="Y43" i="24" s="1"/>
  <c r="H240" i="24"/>
  <c r="AA240" i="24"/>
  <c r="Z240" i="24" s="1"/>
  <c r="Y240" i="24" s="1"/>
  <c r="G240" i="24"/>
  <c r="CE240" i="6" s="1"/>
  <c r="H291" i="24"/>
  <c r="AA291" i="24"/>
  <c r="Z291" i="24" s="1"/>
  <c r="Y291" i="24" s="1"/>
  <c r="G291" i="24"/>
  <c r="CE291" i="6" s="1"/>
  <c r="H365" i="24"/>
  <c r="AA365" i="24"/>
  <c r="Z365" i="24" s="1"/>
  <c r="Y365" i="24" s="1"/>
  <c r="G365" i="24"/>
  <c r="CE365" i="6" s="1"/>
  <c r="G285" i="24"/>
  <c r="CE285" i="6" s="1"/>
  <c r="H285" i="24"/>
  <c r="AA285" i="24"/>
  <c r="Z285" i="24" s="1"/>
  <c r="Y285" i="24" s="1"/>
  <c r="H212" i="24"/>
  <c r="AA212" i="24"/>
  <c r="Z212" i="24" s="1"/>
  <c r="Y212" i="24" s="1"/>
  <c r="G212" i="24"/>
  <c r="CE212" i="6" s="1"/>
  <c r="G243" i="24"/>
  <c r="CE243" i="6" s="1"/>
  <c r="H243" i="24"/>
  <c r="AA243" i="24"/>
  <c r="Z243" i="24" s="1"/>
  <c r="Y243" i="24" s="1"/>
  <c r="H121" i="24"/>
  <c r="AA121" i="24"/>
  <c r="Z121" i="24" s="1"/>
  <c r="Y121" i="24" s="1"/>
  <c r="G121" i="24"/>
  <c r="CE121" i="6" s="1"/>
  <c r="G146" i="24"/>
  <c r="CE146" i="6" s="1"/>
  <c r="AA146" i="24"/>
  <c r="Z146" i="24" s="1"/>
  <c r="Y146" i="24" s="1"/>
  <c r="H146" i="24"/>
  <c r="G99" i="24"/>
  <c r="CE99" i="6" s="1"/>
  <c r="H99" i="24"/>
  <c r="AA99" i="24"/>
  <c r="Z99" i="24" s="1"/>
  <c r="Y99" i="24" s="1"/>
  <c r="H263" i="24"/>
  <c r="G263" i="24"/>
  <c r="CE263" i="6" s="1"/>
  <c r="AA263" i="24"/>
  <c r="Z263" i="24" s="1"/>
  <c r="Y263" i="24" s="1"/>
  <c r="H366" i="24"/>
  <c r="AA366" i="24"/>
  <c r="Z366" i="24" s="1"/>
  <c r="Y366" i="24" s="1"/>
  <c r="G366" i="24"/>
  <c r="CE366" i="6" s="1"/>
  <c r="G75" i="24"/>
  <c r="CE75" i="6" s="1"/>
  <c r="H75" i="24"/>
  <c r="AA75" i="24"/>
  <c r="Z75" i="24" s="1"/>
  <c r="Y75" i="24" s="1"/>
  <c r="H153" i="24"/>
  <c r="G153" i="24"/>
  <c r="CE153" i="6" s="1"/>
  <c r="AA153" i="24"/>
  <c r="Z153" i="24" s="1"/>
  <c r="Y153" i="24" s="1"/>
  <c r="AA87" i="24"/>
  <c r="Z87" i="24" s="1"/>
  <c r="Y87" i="24" s="1"/>
  <c r="H87" i="24"/>
  <c r="G87" i="24"/>
  <c r="CE87" i="6" s="1"/>
  <c r="AA296" i="24"/>
  <c r="Z296" i="24" s="1"/>
  <c r="Y296" i="24" s="1"/>
  <c r="G296" i="24"/>
  <c r="CE296" i="6" s="1"/>
  <c r="H296" i="24"/>
  <c r="G271" i="24"/>
  <c r="CE271" i="6" s="1"/>
  <c r="H271" i="24"/>
  <c r="AA271" i="24"/>
  <c r="Z271" i="24" s="1"/>
  <c r="Y271" i="24" s="1"/>
  <c r="AA192" i="24"/>
  <c r="Z192" i="24" s="1"/>
  <c r="Y192" i="24" s="1"/>
  <c r="H192" i="24"/>
  <c r="G192" i="24"/>
  <c r="CE192" i="6" s="1"/>
  <c r="H251" i="24"/>
  <c r="AA251" i="24"/>
  <c r="Z251" i="24" s="1"/>
  <c r="Y251" i="24" s="1"/>
  <c r="G251" i="24"/>
  <c r="CE251" i="6" s="1"/>
  <c r="W196" i="24"/>
  <c r="D196" i="24"/>
  <c r="E196" i="24" s="1"/>
  <c r="F196" i="24" s="1"/>
  <c r="G98" i="24"/>
  <c r="CE98" i="6" s="1"/>
  <c r="AA98" i="24"/>
  <c r="Z98" i="24" s="1"/>
  <c r="Y98" i="24" s="1"/>
  <c r="H98" i="24"/>
  <c r="H347" i="24"/>
  <c r="AA347" i="24"/>
  <c r="Z347" i="24" s="1"/>
  <c r="Y347" i="24" s="1"/>
  <c r="G347" i="24"/>
  <c r="CE347" i="6" s="1"/>
  <c r="G155" i="24"/>
  <c r="CE155" i="6" s="1"/>
  <c r="H155" i="24"/>
  <c r="AA155" i="24"/>
  <c r="Z155" i="24" s="1"/>
  <c r="Y155" i="24" s="1"/>
  <c r="G344" i="24"/>
  <c r="CE344" i="6" s="1"/>
  <c r="H344" i="24"/>
  <c r="AA344" i="24"/>
  <c r="Z344" i="24" s="1"/>
  <c r="Y344" i="24" s="1"/>
  <c r="H207" i="24"/>
  <c r="G207" i="24"/>
  <c r="CE207" i="6" s="1"/>
  <c r="AA207" i="24"/>
  <c r="Z207" i="24" s="1"/>
  <c r="Y207" i="24" s="1"/>
  <c r="G334" i="24"/>
  <c r="CE334" i="6" s="1"/>
  <c r="H334" i="24"/>
  <c r="AA334" i="24"/>
  <c r="Z334" i="24" s="1"/>
  <c r="Y334" i="24" s="1"/>
  <c r="AA95" i="24"/>
  <c r="Z95" i="24" s="1"/>
  <c r="Y95" i="24" s="1"/>
  <c r="G95" i="24"/>
  <c r="CE95" i="6" s="1"/>
  <c r="H95" i="24"/>
  <c r="H197" i="24"/>
  <c r="AA197" i="24"/>
  <c r="Z197" i="24" s="1"/>
  <c r="Y197" i="24" s="1"/>
  <c r="G197" i="24"/>
  <c r="CE197" i="6" s="1"/>
  <c r="G129" i="24"/>
  <c r="CE129" i="6" s="1"/>
  <c r="AA129" i="24"/>
  <c r="Z129" i="24" s="1"/>
  <c r="Y129" i="24" s="1"/>
  <c r="H129" i="24"/>
  <c r="G287" i="24"/>
  <c r="CE287" i="6" s="1"/>
  <c r="AA287" i="24"/>
  <c r="Z287" i="24" s="1"/>
  <c r="Y287" i="24" s="1"/>
  <c r="H287" i="24"/>
  <c r="AA101" i="24"/>
  <c r="Z101" i="24" s="1"/>
  <c r="Y101" i="24" s="1"/>
  <c r="H101" i="24"/>
  <c r="G101" i="24"/>
  <c r="CE101" i="6" s="1"/>
  <c r="H184" i="24"/>
  <c r="G184" i="24"/>
  <c r="CE184" i="6" s="1"/>
  <c r="AA184" i="24"/>
  <c r="Z184" i="24" s="1"/>
  <c r="Y184" i="24" s="1"/>
  <c r="G24" i="24"/>
  <c r="CE24" i="6" s="1"/>
  <c r="AA24" i="24"/>
  <c r="Z24" i="24" s="1"/>
  <c r="Y24" i="24" s="1"/>
  <c r="H24" i="24"/>
  <c r="G90" i="24"/>
  <c r="CE90" i="6" s="1"/>
  <c r="AA90" i="24"/>
  <c r="Z90" i="24" s="1"/>
  <c r="Y90" i="24" s="1"/>
  <c r="H90" i="24"/>
  <c r="AA348" i="24"/>
  <c r="Z348" i="24" s="1"/>
  <c r="Y348" i="24" s="1"/>
  <c r="G348" i="24"/>
  <c r="CE348" i="6" s="1"/>
  <c r="H348" i="24"/>
  <c r="H89" i="24"/>
  <c r="AA89" i="24"/>
  <c r="Z89" i="24" s="1"/>
  <c r="Y89" i="24" s="1"/>
  <c r="G89" i="24"/>
  <c r="CE89" i="6" s="1"/>
  <c r="AA68" i="24"/>
  <c r="Z68" i="24" s="1"/>
  <c r="Y68" i="24" s="1"/>
  <c r="H68" i="24"/>
  <c r="G68" i="24"/>
  <c r="CE68" i="6" s="1"/>
  <c r="G280" i="24"/>
  <c r="CE280" i="6" s="1"/>
  <c r="AA280" i="24"/>
  <c r="Z280" i="24" s="1"/>
  <c r="Y280" i="24" s="1"/>
  <c r="H280" i="24"/>
  <c r="H72" i="24"/>
  <c r="AA72" i="24"/>
  <c r="Z72" i="24" s="1"/>
  <c r="Y72" i="24" s="1"/>
  <c r="G72" i="24"/>
  <c r="CE72" i="6" s="1"/>
  <c r="G32" i="24"/>
  <c r="CE32" i="6" s="1"/>
  <c r="AA32" i="24"/>
  <c r="Z32" i="24" s="1"/>
  <c r="Y32" i="24" s="1"/>
  <c r="H32" i="24"/>
  <c r="AA301" i="24"/>
  <c r="Z301" i="24" s="1"/>
  <c r="Y301" i="24" s="1"/>
  <c r="G301" i="24"/>
  <c r="CE301" i="6" s="1"/>
  <c r="H301" i="24"/>
  <c r="AA165" i="24"/>
  <c r="Z165" i="24" s="1"/>
  <c r="Y165" i="24" s="1"/>
  <c r="G165" i="24"/>
  <c r="CE165" i="6" s="1"/>
  <c r="H165" i="24"/>
  <c r="G250" i="24"/>
  <c r="CE250" i="6" s="1"/>
  <c r="H250" i="24"/>
  <c r="AA250" i="24"/>
  <c r="Z250" i="24" s="1"/>
  <c r="Y250" i="24" s="1"/>
  <c r="Q10" i="25"/>
  <c r="Q84" i="25" s="1"/>
  <c r="P84" i="25" s="1"/>
  <c r="V84" i="25" s="1"/>
  <c r="B84" i="25" s="1"/>
  <c r="BE15" i="7"/>
  <c r="Q109" i="25"/>
  <c r="P109" i="25" s="1"/>
  <c r="V109" i="25" s="1"/>
  <c r="B109" i="25" s="1"/>
  <c r="Q291" i="25"/>
  <c r="P291" i="25" s="1"/>
  <c r="V291" i="25" s="1"/>
  <c r="B291" i="25" s="1"/>
  <c r="Q162" i="25"/>
  <c r="P162" i="25" s="1"/>
  <c r="V162" i="25" s="1"/>
  <c r="B162" i="25" s="1"/>
  <c r="Q234" i="25"/>
  <c r="P234" i="25" s="1"/>
  <c r="V234" i="25" s="1"/>
  <c r="B234" i="25" s="1"/>
  <c r="Q175" i="25"/>
  <c r="P175" i="25" s="1"/>
  <c r="V175" i="25" s="1"/>
  <c r="B175" i="25" s="1"/>
  <c r="Q59" i="25"/>
  <c r="P59" i="25" s="1"/>
  <c r="V59" i="25" s="1"/>
  <c r="B59" i="25" s="1"/>
  <c r="Q136" i="25"/>
  <c r="P136" i="25" s="1"/>
  <c r="V136" i="25" s="1"/>
  <c r="B136" i="25" s="1"/>
  <c r="Q101" i="25"/>
  <c r="P101" i="25" s="1"/>
  <c r="V101" i="25" s="1"/>
  <c r="B101" i="25" s="1"/>
  <c r="Q66" i="25"/>
  <c r="P66" i="25" s="1"/>
  <c r="V66" i="25" s="1"/>
  <c r="B66" i="25" s="1"/>
  <c r="Q117" i="25"/>
  <c r="P117" i="25" s="1"/>
  <c r="V117" i="25" s="1"/>
  <c r="B117" i="25" s="1"/>
  <c r="Q104" i="25"/>
  <c r="P104" i="25" s="1"/>
  <c r="V104" i="25" s="1"/>
  <c r="B104" i="25" s="1"/>
  <c r="Q243" i="25"/>
  <c r="P243" i="25" s="1"/>
  <c r="V243" i="25" s="1"/>
  <c r="B243" i="25" s="1"/>
  <c r="Q186" i="25"/>
  <c r="P186" i="25" s="1"/>
  <c r="V186" i="25" s="1"/>
  <c r="B186" i="25" s="1"/>
  <c r="Q355" i="25"/>
  <c r="P355" i="25" s="1"/>
  <c r="V355" i="25" s="1"/>
  <c r="B355" i="25" s="1"/>
  <c r="Q133" i="25"/>
  <c r="P133" i="25" s="1"/>
  <c r="V133" i="25" s="1"/>
  <c r="B133" i="25" s="1"/>
  <c r="Q282" i="25"/>
  <c r="P282" i="25" s="1"/>
  <c r="V282" i="25" s="1"/>
  <c r="B282" i="25" s="1"/>
  <c r="Q180" i="25"/>
  <c r="P180" i="25" s="1"/>
  <c r="Q139" i="25"/>
  <c r="P139" i="25" s="1"/>
  <c r="V139" i="25" s="1"/>
  <c r="B139" i="25" s="1"/>
  <c r="Q311" i="25"/>
  <c r="P311" i="25" s="1"/>
  <c r="V311" i="25" s="1"/>
  <c r="B311" i="25" s="1"/>
  <c r="Q55" i="25"/>
  <c r="P55" i="25" s="1"/>
  <c r="V55" i="25" s="1"/>
  <c r="B55" i="25" s="1"/>
  <c r="Q251" i="25"/>
  <c r="P251" i="25" s="1"/>
  <c r="V251" i="25" s="1"/>
  <c r="B251" i="25" s="1"/>
  <c r="Q142" i="25"/>
  <c r="P142" i="25" s="1"/>
  <c r="V142" i="25" s="1"/>
  <c r="B142" i="25" s="1"/>
  <c r="Q312" i="25"/>
  <c r="P312" i="25" s="1"/>
  <c r="V312" i="25" s="1"/>
  <c r="B312" i="25" s="1"/>
  <c r="Q107" i="25"/>
  <c r="P107" i="25" s="1"/>
  <c r="V107" i="25" s="1"/>
  <c r="B107" i="25" s="1"/>
  <c r="Q159" i="25"/>
  <c r="P159" i="25" s="1"/>
  <c r="V159" i="25" s="1"/>
  <c r="B159" i="25" s="1"/>
  <c r="Q45" i="25"/>
  <c r="P45" i="25" s="1"/>
  <c r="V45" i="25" s="1"/>
  <c r="B45" i="25" s="1"/>
  <c r="Q183" i="25"/>
  <c r="P183" i="25" s="1"/>
  <c r="V183" i="25" s="1"/>
  <c r="B183" i="25" s="1"/>
  <c r="Q58" i="25"/>
  <c r="P58" i="25" s="1"/>
  <c r="V58" i="25" s="1"/>
  <c r="B58" i="25" s="1"/>
  <c r="Q21" i="25"/>
  <c r="P21" i="25" s="1"/>
  <c r="V21" i="25" s="1"/>
  <c r="B21" i="25" s="1"/>
  <c r="Q379" i="25"/>
  <c r="AA116" i="24"/>
  <c r="Z116" i="24" s="1"/>
  <c r="Y116" i="24" s="1"/>
  <c r="G116" i="24"/>
  <c r="CE116" i="6" s="1"/>
  <c r="H116" i="24"/>
  <c r="G35" i="24"/>
  <c r="CE35" i="6" s="1"/>
  <c r="H35" i="24"/>
  <c r="AA35" i="24"/>
  <c r="Z35" i="24" s="1"/>
  <c r="Y35" i="24" s="1"/>
  <c r="AA338" i="24"/>
  <c r="Z338" i="24" s="1"/>
  <c r="Y338" i="24" s="1"/>
  <c r="G338" i="24"/>
  <c r="CE338" i="6" s="1"/>
  <c r="H338" i="24"/>
  <c r="AA351" i="24"/>
  <c r="Z351" i="24" s="1"/>
  <c r="Y351" i="24" s="1"/>
  <c r="H351" i="24"/>
  <c r="G351" i="24"/>
  <c r="CE351" i="6" s="1"/>
  <c r="H204" i="24"/>
  <c r="G204" i="24"/>
  <c r="CE204" i="6" s="1"/>
  <c r="AA204" i="24"/>
  <c r="Z204" i="24" s="1"/>
  <c r="Y204" i="24" s="1"/>
  <c r="G211" i="24"/>
  <c r="CE211" i="6" s="1"/>
  <c r="H211" i="24"/>
  <c r="AA211" i="24"/>
  <c r="Z211" i="24" s="1"/>
  <c r="Y211" i="24" s="1"/>
  <c r="B60" i="24"/>
  <c r="C69" i="19"/>
  <c r="H74" i="24"/>
  <c r="G74" i="24"/>
  <c r="CE74" i="6" s="1"/>
  <c r="AA74" i="24"/>
  <c r="Z74" i="24" s="1"/>
  <c r="Y74" i="24" s="1"/>
  <c r="B272" i="24"/>
  <c r="J69" i="19"/>
  <c r="AA318" i="24"/>
  <c r="Z318" i="24" s="1"/>
  <c r="Y318" i="24" s="1"/>
  <c r="H318" i="24"/>
  <c r="G318" i="24"/>
  <c r="CE318" i="6" s="1"/>
  <c r="G41" i="24"/>
  <c r="CE41" i="6" s="1"/>
  <c r="AA41" i="24"/>
  <c r="Z41" i="24" s="1"/>
  <c r="Y41" i="24" s="1"/>
  <c r="H41" i="24"/>
  <c r="H350" i="24"/>
  <c r="G350" i="24"/>
  <c r="CE350" i="6" s="1"/>
  <c r="AA350" i="24"/>
  <c r="Z350" i="24" s="1"/>
  <c r="Y350" i="24" s="1"/>
  <c r="AA141" i="24"/>
  <c r="Z141" i="24" s="1"/>
  <c r="Y141" i="24" s="1"/>
  <c r="G141" i="24"/>
  <c r="CE141" i="6" s="1"/>
  <c r="H141" i="24"/>
  <c r="G80" i="24"/>
  <c r="CE80" i="6" s="1"/>
  <c r="AA80" i="24"/>
  <c r="Z80" i="24" s="1"/>
  <c r="Y80" i="24" s="1"/>
  <c r="H80" i="24"/>
  <c r="H239" i="24"/>
  <c r="AA239" i="24"/>
  <c r="Z239" i="24" s="1"/>
  <c r="Y239" i="24" s="1"/>
  <c r="G239" i="24"/>
  <c r="CE239" i="6" s="1"/>
  <c r="H314" i="24"/>
  <c r="G314" i="24"/>
  <c r="CE314" i="6" s="1"/>
  <c r="AA314" i="24"/>
  <c r="Z314" i="24" s="1"/>
  <c r="Y314" i="24" s="1"/>
  <c r="AA152" i="24"/>
  <c r="Z152" i="24" s="1"/>
  <c r="Y152" i="24" s="1"/>
  <c r="G152" i="24"/>
  <c r="CE152" i="6" s="1"/>
  <c r="H152" i="24"/>
  <c r="AA191" i="24"/>
  <c r="Z191" i="24" s="1"/>
  <c r="Y191" i="24" s="1"/>
  <c r="G191" i="24"/>
  <c r="CE191" i="6" s="1"/>
  <c r="H191" i="24"/>
  <c r="AA38" i="24"/>
  <c r="Z38" i="24" s="1"/>
  <c r="Y38" i="24" s="1"/>
  <c r="G38" i="24"/>
  <c r="CE38" i="6" s="1"/>
  <c r="H38" i="24"/>
  <c r="AA170" i="24"/>
  <c r="Z170" i="24" s="1"/>
  <c r="Y170" i="24" s="1"/>
  <c r="H170" i="24"/>
  <c r="G170" i="24"/>
  <c r="CE170" i="6" s="1"/>
  <c r="G168" i="24"/>
  <c r="CE168" i="6" s="1"/>
  <c r="AA168" i="24"/>
  <c r="Z168" i="24" s="1"/>
  <c r="Y168" i="24" s="1"/>
  <c r="H168" i="24"/>
  <c r="H131" i="24"/>
  <c r="AA131" i="24"/>
  <c r="Z131" i="24" s="1"/>
  <c r="Y131" i="24" s="1"/>
  <c r="G131" i="24"/>
  <c r="CE131" i="6" s="1"/>
  <c r="G151" i="24"/>
  <c r="CE151" i="6" s="1"/>
  <c r="AA151" i="24"/>
  <c r="Z151" i="24" s="1"/>
  <c r="Y151" i="24" s="1"/>
  <c r="H151" i="24"/>
  <c r="AA246" i="24"/>
  <c r="Z246" i="24" s="1"/>
  <c r="Y246" i="24" s="1"/>
  <c r="H246" i="24"/>
  <c r="G246" i="24"/>
  <c r="CE246" i="6" s="1"/>
  <c r="AA343" i="24"/>
  <c r="Z343" i="24" s="1"/>
  <c r="Y343" i="24" s="1"/>
  <c r="H343" i="24"/>
  <c r="G343" i="24"/>
  <c r="CE343" i="6" s="1"/>
  <c r="H224" i="24"/>
  <c r="AA224" i="24"/>
  <c r="Z224" i="24" s="1"/>
  <c r="Y224" i="24" s="1"/>
  <c r="G224" i="24"/>
  <c r="CE224" i="6" s="1"/>
  <c r="H310" i="24"/>
  <c r="AA310" i="24"/>
  <c r="Z310" i="24" s="1"/>
  <c r="Y310" i="24" s="1"/>
  <c r="G310" i="24"/>
  <c r="CE310" i="6" s="1"/>
  <c r="AA145" i="24"/>
  <c r="Z145" i="24" s="1"/>
  <c r="Y145" i="24" s="1"/>
  <c r="G145" i="24"/>
  <c r="CE145" i="6" s="1"/>
  <c r="H145" i="24"/>
  <c r="G326" i="24"/>
  <c r="CE326" i="6" s="1"/>
  <c r="H326" i="24"/>
  <c r="AA326" i="24"/>
  <c r="Z326" i="24" s="1"/>
  <c r="Y326" i="24" s="1"/>
  <c r="D29" i="24"/>
  <c r="E29" i="24" s="1"/>
  <c r="F29" i="24" s="1"/>
  <c r="W29" i="24"/>
  <c r="AA372" i="24"/>
  <c r="Z372" i="24" s="1"/>
  <c r="Y372" i="24" s="1"/>
  <c r="H372" i="24"/>
  <c r="G372" i="24"/>
  <c r="CE372" i="6" s="1"/>
  <c r="H324" i="24"/>
  <c r="G324" i="24"/>
  <c r="CE324" i="6" s="1"/>
  <c r="AA324" i="24"/>
  <c r="Z324" i="24" s="1"/>
  <c r="Y324" i="24" s="1"/>
  <c r="AA124" i="24"/>
  <c r="Z124" i="24" s="1"/>
  <c r="Y124" i="24" s="1"/>
  <c r="H124" i="24"/>
  <c r="G124" i="24"/>
  <c r="CE124" i="6" s="1"/>
  <c r="J60" i="23"/>
  <c r="I60" i="23"/>
  <c r="AA57" i="24"/>
  <c r="Z57" i="24" s="1"/>
  <c r="Y57" i="24" s="1"/>
  <c r="G57" i="24"/>
  <c r="CE57" i="6" s="1"/>
  <c r="H57" i="24"/>
  <c r="G179" i="24"/>
  <c r="CE179" i="6" s="1"/>
  <c r="AA179" i="24"/>
  <c r="Z179" i="24" s="1"/>
  <c r="Y179" i="24" s="1"/>
  <c r="H179" i="24"/>
  <c r="H317" i="24"/>
  <c r="G317" i="24"/>
  <c r="CE317" i="6" s="1"/>
  <c r="AA317" i="24"/>
  <c r="Z317" i="24" s="1"/>
  <c r="Y317" i="24" s="1"/>
  <c r="AA286" i="24"/>
  <c r="Z286" i="24" s="1"/>
  <c r="Y286" i="24" s="1"/>
  <c r="G286" i="24"/>
  <c r="CE286" i="6" s="1"/>
  <c r="H286" i="24"/>
  <c r="AA378" i="24"/>
  <c r="Z378" i="24" s="1"/>
  <c r="Y378" i="24" s="1"/>
  <c r="H378" i="24"/>
  <c r="G378" i="24"/>
  <c r="CE378" i="6" s="1"/>
  <c r="H249" i="24"/>
  <c r="AA249" i="24"/>
  <c r="Z249" i="24" s="1"/>
  <c r="Y249" i="24" s="1"/>
  <c r="G249" i="24"/>
  <c r="CE249" i="6" s="1"/>
  <c r="G171" i="24"/>
  <c r="CE171" i="6" s="1"/>
  <c r="AA171" i="24"/>
  <c r="Z171" i="24" s="1"/>
  <c r="Y171" i="24" s="1"/>
  <c r="H171" i="24"/>
  <c r="AA277" i="24"/>
  <c r="Z277" i="24" s="1"/>
  <c r="Y277" i="24" s="1"/>
  <c r="H277" i="24"/>
  <c r="G277" i="24"/>
  <c r="CE277" i="6" s="1"/>
  <c r="AA123" i="24"/>
  <c r="Z123" i="24" s="1"/>
  <c r="Y123" i="24" s="1"/>
  <c r="G123" i="24"/>
  <c r="CE123" i="6" s="1"/>
  <c r="H123" i="24"/>
  <c r="H115" i="24"/>
  <c r="AA115" i="24"/>
  <c r="Z115" i="24" s="1"/>
  <c r="Y115" i="24" s="1"/>
  <c r="G115" i="24"/>
  <c r="CE115" i="6" s="1"/>
  <c r="G222" i="24"/>
  <c r="CE222" i="6" s="1"/>
  <c r="H222" i="24"/>
  <c r="AA222" i="24"/>
  <c r="Z222" i="24" s="1"/>
  <c r="Y222" i="24" s="1"/>
  <c r="AA327" i="24"/>
  <c r="Z327" i="24" s="1"/>
  <c r="Y327" i="24" s="1"/>
  <c r="G327" i="24"/>
  <c r="CE327" i="6" s="1"/>
  <c r="H327" i="24"/>
  <c r="AA203" i="24"/>
  <c r="Z203" i="24" s="1"/>
  <c r="Y203" i="24" s="1"/>
  <c r="G203" i="24"/>
  <c r="CE203" i="6" s="1"/>
  <c r="H203" i="24"/>
  <c r="H254" i="24"/>
  <c r="AA254" i="24"/>
  <c r="Z254" i="24" s="1"/>
  <c r="Y254" i="24" s="1"/>
  <c r="G254" i="24"/>
  <c r="CE254" i="6" s="1"/>
  <c r="H79" i="24"/>
  <c r="AA79" i="24"/>
  <c r="Z79" i="24" s="1"/>
  <c r="Y79" i="24" s="1"/>
  <c r="G79" i="24"/>
  <c r="CE79" i="6" s="1"/>
  <c r="AA148" i="24"/>
  <c r="Z148" i="24" s="1"/>
  <c r="Y148" i="24" s="1"/>
  <c r="H148" i="24"/>
  <c r="G148" i="24"/>
  <c r="CE148" i="6" s="1"/>
  <c r="AA136" i="24"/>
  <c r="Z136" i="24" s="1"/>
  <c r="Y136" i="24" s="1"/>
  <c r="G136" i="24"/>
  <c r="CE136" i="6" s="1"/>
  <c r="H136" i="24"/>
  <c r="AA100" i="24"/>
  <c r="Z100" i="24" s="1"/>
  <c r="Y100" i="24" s="1"/>
  <c r="H100" i="24"/>
  <c r="G100" i="24"/>
  <c r="CE100" i="6" s="1"/>
  <c r="AA31" i="24"/>
  <c r="Z31" i="24" s="1"/>
  <c r="Y31" i="24" s="1"/>
  <c r="H31" i="24"/>
  <c r="G31" i="24"/>
  <c r="CE31" i="6" s="1"/>
  <c r="AA255" i="24"/>
  <c r="Z255" i="24" s="1"/>
  <c r="Y255" i="24" s="1"/>
  <c r="G255" i="24"/>
  <c r="CE255" i="6" s="1"/>
  <c r="H255" i="24"/>
  <c r="G229" i="24"/>
  <c r="CE229" i="6" s="1"/>
  <c r="AA229" i="24"/>
  <c r="Z229" i="24" s="1"/>
  <c r="Y229" i="24" s="1"/>
  <c r="H229" i="24"/>
  <c r="G264" i="24"/>
  <c r="CE264" i="6" s="1"/>
  <c r="AA264" i="24"/>
  <c r="Z264" i="24" s="1"/>
  <c r="Y264" i="24" s="1"/>
  <c r="H264" i="24"/>
  <c r="AA275" i="24"/>
  <c r="Z275" i="24" s="1"/>
  <c r="Y275" i="24" s="1"/>
  <c r="G275" i="24"/>
  <c r="CE275" i="6" s="1"/>
  <c r="H275" i="24"/>
  <c r="H276" i="24"/>
  <c r="AA276" i="24"/>
  <c r="Z276" i="24" s="1"/>
  <c r="Y276" i="24" s="1"/>
  <c r="G276" i="24"/>
  <c r="CE276" i="6" s="1"/>
  <c r="G256" i="24"/>
  <c r="CE256" i="6" s="1"/>
  <c r="H256" i="24"/>
  <c r="AA256" i="24"/>
  <c r="Z256" i="24" s="1"/>
  <c r="Y256" i="24" s="1"/>
  <c r="AA106" i="24"/>
  <c r="Z106" i="24" s="1"/>
  <c r="Y106" i="24" s="1"/>
  <c r="H106" i="24"/>
  <c r="G106" i="24"/>
  <c r="CE106" i="6" s="1"/>
  <c r="G163" i="24"/>
  <c r="CE163" i="6" s="1"/>
  <c r="AA163" i="24"/>
  <c r="Z163" i="24" s="1"/>
  <c r="Y163" i="24" s="1"/>
  <c r="H163" i="24"/>
  <c r="AA27" i="24"/>
  <c r="Z27" i="24" s="1"/>
  <c r="Y27" i="24" s="1"/>
  <c r="G27" i="24"/>
  <c r="CE27" i="6" s="1"/>
  <c r="H27" i="24"/>
  <c r="AA176" i="24"/>
  <c r="Z176" i="24" s="1"/>
  <c r="Y176" i="24" s="1"/>
  <c r="G176" i="24"/>
  <c r="CE176" i="6" s="1"/>
  <c r="H176" i="24"/>
  <c r="H82" i="24"/>
  <c r="G82" i="24"/>
  <c r="CE82" i="6" s="1"/>
  <c r="AA82" i="24"/>
  <c r="Z82" i="24" s="1"/>
  <c r="Y82" i="24" s="1"/>
  <c r="G199" i="24"/>
  <c r="CE199" i="6" s="1"/>
  <c r="AA199" i="24"/>
  <c r="Z199" i="24" s="1"/>
  <c r="Y199" i="24" s="1"/>
  <c r="H199" i="24"/>
  <c r="G221" i="24"/>
  <c r="CE221" i="6" s="1"/>
  <c r="AA221" i="24"/>
  <c r="Z221" i="24" s="1"/>
  <c r="Y221" i="24" s="1"/>
  <c r="H221" i="24"/>
  <c r="H242" i="24"/>
  <c r="G242" i="24"/>
  <c r="CE242" i="6" s="1"/>
  <c r="AA242" i="24"/>
  <c r="Z242" i="24" s="1"/>
  <c r="Y242" i="24" s="1"/>
  <c r="H304" i="24"/>
  <c r="AA304" i="24"/>
  <c r="Z304" i="24" s="1"/>
  <c r="Y304" i="24" s="1"/>
  <c r="G304" i="24"/>
  <c r="CE304" i="6" s="1"/>
  <c r="G166" i="24"/>
  <c r="CE166" i="6" s="1"/>
  <c r="AA166" i="24"/>
  <c r="Z166" i="24" s="1"/>
  <c r="Y166" i="24" s="1"/>
  <c r="H166" i="24"/>
  <c r="AA157" i="24"/>
  <c r="Z157" i="24" s="1"/>
  <c r="Y157" i="24" s="1"/>
  <c r="G157" i="24"/>
  <c r="CE157" i="6" s="1"/>
  <c r="H157" i="24"/>
  <c r="H267" i="24"/>
  <c r="G267" i="24"/>
  <c r="CE267" i="6" s="1"/>
  <c r="AA267" i="24"/>
  <c r="Z267" i="24" s="1"/>
  <c r="Y267" i="24" s="1"/>
  <c r="H189" i="24"/>
  <c r="AA189" i="24"/>
  <c r="Z189" i="24" s="1"/>
  <c r="Y189" i="24" s="1"/>
  <c r="G189" i="24"/>
  <c r="CE189" i="6" s="1"/>
  <c r="G234" i="24"/>
  <c r="CE234" i="6" s="1"/>
  <c r="AA234" i="24"/>
  <c r="Z234" i="24" s="1"/>
  <c r="Y234" i="24" s="1"/>
  <c r="H234" i="24"/>
  <c r="AA160" i="24"/>
  <c r="Z160" i="24" s="1"/>
  <c r="Y160" i="24" s="1"/>
  <c r="G160" i="24"/>
  <c r="CE160" i="6" s="1"/>
  <c r="H160" i="24"/>
  <c r="H368" i="24"/>
  <c r="AA368" i="24"/>
  <c r="Z368" i="24" s="1"/>
  <c r="Y368" i="24" s="1"/>
  <c r="G368" i="24"/>
  <c r="CE368" i="6" s="1"/>
  <c r="G332" i="24"/>
  <c r="CE332" i="6" s="1"/>
  <c r="H332" i="24"/>
  <c r="AA332" i="24"/>
  <c r="Z332" i="24" s="1"/>
  <c r="Y332" i="24" s="1"/>
  <c r="AA220" i="24"/>
  <c r="Z220" i="24" s="1"/>
  <c r="Y220" i="24" s="1"/>
  <c r="H220" i="24"/>
  <c r="G220" i="24"/>
  <c r="CE220" i="6" s="1"/>
  <c r="H51" i="24"/>
  <c r="G51" i="24"/>
  <c r="CE51" i="6" s="1"/>
  <c r="AA51" i="24"/>
  <c r="Z51" i="24" s="1"/>
  <c r="Y51" i="24" s="1"/>
  <c r="AA328" i="24"/>
  <c r="Z328" i="24" s="1"/>
  <c r="Y328" i="24" s="1"/>
  <c r="H328" i="24"/>
  <c r="G328" i="24"/>
  <c r="CE328" i="6" s="1"/>
  <c r="H19" i="24"/>
  <c r="AA19" i="24"/>
  <c r="Z19" i="24" s="1"/>
  <c r="Y19" i="24" s="1"/>
  <c r="G19" i="24"/>
  <c r="CE19" i="6" s="1"/>
  <c r="H258" i="24"/>
  <c r="G258" i="24"/>
  <c r="CE258" i="6" s="1"/>
  <c r="AA258" i="24"/>
  <c r="Z258" i="24" s="1"/>
  <c r="Y258" i="24" s="1"/>
  <c r="G226" i="24"/>
  <c r="CE226" i="6" s="1"/>
  <c r="H226" i="24"/>
  <c r="AA226" i="24"/>
  <c r="Z226" i="24" s="1"/>
  <c r="Y226" i="24" s="1"/>
  <c r="AA340" i="24"/>
  <c r="Z340" i="24" s="1"/>
  <c r="Y340" i="24" s="1"/>
  <c r="H340" i="24"/>
  <c r="G340" i="24"/>
  <c r="CE340" i="6" s="1"/>
  <c r="H173" i="24"/>
  <c r="G173" i="24"/>
  <c r="CE173" i="6" s="1"/>
  <c r="AA173" i="24"/>
  <c r="Z173" i="24" s="1"/>
  <c r="Y173" i="24" s="1"/>
  <c r="AA364" i="24"/>
  <c r="Z364" i="24" s="1"/>
  <c r="Y364" i="24" s="1"/>
  <c r="H364" i="24"/>
  <c r="G364" i="24"/>
  <c r="CE364" i="6" s="1"/>
  <c r="AA16" i="24"/>
  <c r="Z16" i="24" s="1"/>
  <c r="Y16" i="24" s="1"/>
  <c r="G16" i="24"/>
  <c r="CE16" i="6" s="1"/>
  <c r="H16" i="24"/>
  <c r="AA55" i="24"/>
  <c r="Z55" i="24" s="1"/>
  <c r="Y55" i="24" s="1"/>
  <c r="H55" i="24"/>
  <c r="G55" i="24"/>
  <c r="CE55" i="6" s="1"/>
  <c r="AA316" i="24"/>
  <c r="Z316" i="24" s="1"/>
  <c r="Y316" i="24" s="1"/>
  <c r="G316" i="24"/>
  <c r="CE316" i="6" s="1"/>
  <c r="H316" i="24"/>
  <c r="AA47" i="24"/>
  <c r="Z47" i="24" s="1"/>
  <c r="Y47" i="24" s="1"/>
  <c r="H47" i="24"/>
  <c r="G47" i="24"/>
  <c r="CE47" i="6" s="1"/>
  <c r="H97" i="24"/>
  <c r="G97" i="24"/>
  <c r="CE97" i="6" s="1"/>
  <c r="AA97" i="24"/>
  <c r="Z97" i="24" s="1"/>
  <c r="Y97" i="24" s="1"/>
  <c r="AA269" i="24"/>
  <c r="Z269" i="24" s="1"/>
  <c r="Y269" i="24" s="1"/>
  <c r="G269" i="24"/>
  <c r="CE269" i="6" s="1"/>
  <c r="H269" i="24"/>
  <c r="H311" i="24"/>
  <c r="G311" i="24"/>
  <c r="CE311" i="6" s="1"/>
  <c r="AA311" i="24"/>
  <c r="Z311" i="24" s="1"/>
  <c r="Y311" i="24" s="1"/>
  <c r="AA84" i="24"/>
  <c r="Z84" i="24" s="1"/>
  <c r="Y84" i="24" s="1"/>
  <c r="H84" i="24"/>
  <c r="G84" i="24"/>
  <c r="CE84" i="6" s="1"/>
  <c r="AA331" i="24"/>
  <c r="Z331" i="24" s="1"/>
  <c r="Y331" i="24" s="1"/>
  <c r="H331" i="24"/>
  <c r="G331" i="24"/>
  <c r="CE331" i="6" s="1"/>
  <c r="AA360" i="24"/>
  <c r="Z360" i="24" s="1"/>
  <c r="Y360" i="24" s="1"/>
  <c r="H360" i="24"/>
  <c r="G360" i="24"/>
  <c r="CE360" i="6" s="1"/>
  <c r="G225" i="24"/>
  <c r="CE225" i="6" s="1"/>
  <c r="AA225" i="24"/>
  <c r="Z225" i="24" s="1"/>
  <c r="Y225" i="24" s="1"/>
  <c r="H225" i="24"/>
  <c r="B88" i="24"/>
  <c r="D69" i="19"/>
  <c r="G102" i="24"/>
  <c r="CE102" i="6" s="1"/>
  <c r="H102" i="24"/>
  <c r="AA102" i="24"/>
  <c r="Z102" i="24" s="1"/>
  <c r="Y102" i="24" s="1"/>
  <c r="AA70" i="24"/>
  <c r="Z70" i="24" s="1"/>
  <c r="Y70" i="24" s="1"/>
  <c r="H70" i="24"/>
  <c r="G70" i="24"/>
  <c r="CE70" i="6" s="1"/>
  <c r="G345" i="24"/>
  <c r="CE345" i="6" s="1"/>
  <c r="H345" i="24"/>
  <c r="AA345" i="24"/>
  <c r="Z345" i="24" s="1"/>
  <c r="Y345" i="24" s="1"/>
  <c r="G248" i="24"/>
  <c r="CE248" i="6" s="1"/>
  <c r="AA248" i="24"/>
  <c r="Z248" i="24" s="1"/>
  <c r="Y248" i="24" s="1"/>
  <c r="H248" i="24"/>
  <c r="H22" i="24"/>
  <c r="G22" i="24"/>
  <c r="CE22" i="6" s="1"/>
  <c r="AA22" i="24"/>
  <c r="Z22" i="24" s="1"/>
  <c r="Y22" i="24" s="1"/>
  <c r="G252" i="24"/>
  <c r="CE252" i="6" s="1"/>
  <c r="AA252" i="24"/>
  <c r="Z252" i="24" s="1"/>
  <c r="Y252" i="24" s="1"/>
  <c r="H252" i="24"/>
  <c r="H50" i="24"/>
  <c r="AA50" i="24"/>
  <c r="Z50" i="24" s="1"/>
  <c r="Y50" i="24" s="1"/>
  <c r="G50" i="24"/>
  <c r="CE50" i="6" s="1"/>
  <c r="AA367" i="24"/>
  <c r="Z367" i="24" s="1"/>
  <c r="Y367" i="24" s="1"/>
  <c r="G367" i="24"/>
  <c r="CE367" i="6" s="1"/>
  <c r="H367" i="24"/>
  <c r="G37" i="24"/>
  <c r="CE37" i="6" s="1"/>
  <c r="H37" i="24"/>
  <c r="AA37" i="24"/>
  <c r="Z37" i="24" s="1"/>
  <c r="Y37" i="24" s="1"/>
  <c r="H33" i="24"/>
  <c r="AA33" i="24"/>
  <c r="Z33" i="24" s="1"/>
  <c r="Y33" i="24" s="1"/>
  <c r="G33" i="24"/>
  <c r="CE33" i="6" s="1"/>
  <c r="G161" i="24"/>
  <c r="CE161" i="6" s="1"/>
  <c r="AA161" i="24"/>
  <c r="Z161" i="24" s="1"/>
  <c r="Y161" i="24" s="1"/>
  <c r="H161" i="24"/>
  <c r="G67" i="24"/>
  <c r="CE67" i="6" s="1"/>
  <c r="AA67" i="24"/>
  <c r="Z67" i="24" s="1"/>
  <c r="Y67" i="24" s="1"/>
  <c r="H67" i="24"/>
  <c r="H244" i="24"/>
  <c r="G244" i="24"/>
  <c r="CE244" i="6" s="1"/>
  <c r="AA244" i="24"/>
  <c r="Z244" i="24" s="1"/>
  <c r="Y244" i="24" s="1"/>
  <c r="AA322" i="24"/>
  <c r="Z322" i="24" s="1"/>
  <c r="Y322" i="24" s="1"/>
  <c r="H322" i="24"/>
  <c r="G322" i="24"/>
  <c r="CE322" i="6" s="1"/>
  <c r="G359" i="24"/>
  <c r="CE359" i="6" s="1"/>
  <c r="H359" i="24"/>
  <c r="AA359" i="24"/>
  <c r="Z359" i="24" s="1"/>
  <c r="Y359" i="24" s="1"/>
  <c r="G306" i="24"/>
  <c r="CE306" i="6" s="1"/>
  <c r="H306" i="24"/>
  <c r="AA306" i="24"/>
  <c r="Z306" i="24" s="1"/>
  <c r="Y306" i="24" s="1"/>
  <c r="G132" i="24"/>
  <c r="CE132" i="6" s="1"/>
  <c r="AA132" i="24"/>
  <c r="Z132" i="24" s="1"/>
  <c r="Y132" i="24" s="1"/>
  <c r="H132" i="24"/>
  <c r="H339" i="24"/>
  <c r="AA339" i="24"/>
  <c r="Z339" i="24" s="1"/>
  <c r="Y339" i="24" s="1"/>
  <c r="G339" i="24"/>
  <c r="CE339" i="6" s="1"/>
  <c r="H71" i="24"/>
  <c r="AA71" i="24"/>
  <c r="Z71" i="24" s="1"/>
  <c r="Y71" i="24" s="1"/>
  <c r="G71" i="24"/>
  <c r="CE71" i="6" s="1"/>
  <c r="AA93" i="24"/>
  <c r="Z93" i="24" s="1"/>
  <c r="Y93" i="24" s="1"/>
  <c r="G93" i="24"/>
  <c r="CE93" i="6" s="1"/>
  <c r="H93" i="24"/>
  <c r="I88" i="23"/>
  <c r="J88" i="23"/>
  <c r="I119" i="23"/>
  <c r="J119" i="23"/>
  <c r="G65" i="24"/>
  <c r="CE65" i="6" s="1"/>
  <c r="AA65" i="24"/>
  <c r="Z65" i="24" s="1"/>
  <c r="Y65" i="24" s="1"/>
  <c r="H65" i="24"/>
  <c r="G253" i="24"/>
  <c r="CE253" i="6" s="1"/>
  <c r="H253" i="24"/>
  <c r="AA253" i="24"/>
  <c r="Z253" i="24" s="1"/>
  <c r="Y253" i="24" s="1"/>
  <c r="H175" i="24"/>
  <c r="AA175" i="24"/>
  <c r="Z175" i="24" s="1"/>
  <c r="Y175" i="24" s="1"/>
  <c r="G175" i="24"/>
  <c r="CE175" i="6" s="1"/>
  <c r="H78" i="24"/>
  <c r="AA78" i="24"/>
  <c r="Z78" i="24" s="1"/>
  <c r="Y78" i="24" s="1"/>
  <c r="G78" i="24"/>
  <c r="CE78" i="6" s="1"/>
  <c r="D210" i="24"/>
  <c r="E210" i="24" s="1"/>
  <c r="F210" i="24" s="1"/>
  <c r="W210" i="24"/>
  <c r="AA182" i="24"/>
  <c r="Z182" i="24" s="1"/>
  <c r="Y182" i="24" s="1"/>
  <c r="G182" i="24"/>
  <c r="CE182" i="6" s="1"/>
  <c r="H182" i="24"/>
  <c r="AA323" i="24"/>
  <c r="Z323" i="24" s="1"/>
  <c r="Y323" i="24" s="1"/>
  <c r="G323" i="24"/>
  <c r="CE323" i="6" s="1"/>
  <c r="H323" i="24"/>
  <c r="G162" i="24"/>
  <c r="CE162" i="6" s="1"/>
  <c r="H162" i="24"/>
  <c r="AA162" i="24"/>
  <c r="Z162" i="24" s="1"/>
  <c r="Y162" i="24" s="1"/>
  <c r="G69" i="24"/>
  <c r="CE69" i="6" s="1"/>
  <c r="AA69" i="24"/>
  <c r="Z69" i="24" s="1"/>
  <c r="Y69" i="24" s="1"/>
  <c r="H69" i="24"/>
  <c r="AA54" i="24"/>
  <c r="Z54" i="24" s="1"/>
  <c r="Y54" i="24" s="1"/>
  <c r="G54" i="24"/>
  <c r="CE54" i="6" s="1"/>
  <c r="H54" i="24"/>
  <c r="G120" i="24"/>
  <c r="CE120" i="6" s="1"/>
  <c r="H120" i="24"/>
  <c r="AA120" i="24"/>
  <c r="Z120" i="24" s="1"/>
  <c r="Y120" i="24" s="1"/>
  <c r="G147" i="24"/>
  <c r="CE147" i="6" s="1"/>
  <c r="H147" i="24"/>
  <c r="AA147" i="24"/>
  <c r="Z147" i="24" s="1"/>
  <c r="Y147" i="24" s="1"/>
  <c r="AA266" i="24"/>
  <c r="Z266" i="24" s="1"/>
  <c r="Y266" i="24" s="1"/>
  <c r="G266" i="24"/>
  <c r="CE266" i="6" s="1"/>
  <c r="H266" i="24"/>
  <c r="G105" i="24"/>
  <c r="CE105" i="6" s="1"/>
  <c r="AA105" i="24"/>
  <c r="Z105" i="24" s="1"/>
  <c r="Y105" i="24" s="1"/>
  <c r="H105" i="24"/>
  <c r="AA142" i="24"/>
  <c r="Z142" i="24" s="1"/>
  <c r="Y142" i="24" s="1"/>
  <c r="H142" i="24"/>
  <c r="G142" i="24"/>
  <c r="CE142" i="6" s="1"/>
  <c r="G73" i="24"/>
  <c r="CE73" i="6" s="1"/>
  <c r="H73" i="24"/>
  <c r="AA73" i="24"/>
  <c r="Z73" i="24" s="1"/>
  <c r="Y73" i="24" s="1"/>
  <c r="G134" i="24"/>
  <c r="CE134" i="6" s="1"/>
  <c r="H134" i="24"/>
  <c r="AA134" i="24"/>
  <c r="Z134" i="24" s="1"/>
  <c r="Y134" i="24" s="1"/>
  <c r="AA110" i="24"/>
  <c r="Z110" i="24" s="1"/>
  <c r="Y110" i="24" s="1"/>
  <c r="H110" i="24"/>
  <c r="G110" i="24"/>
  <c r="CE110" i="6" s="1"/>
  <c r="H76" i="24"/>
  <c r="AA76" i="24"/>
  <c r="Z76" i="24" s="1"/>
  <c r="Y76" i="24" s="1"/>
  <c r="G76" i="24"/>
  <c r="CE76" i="6" s="1"/>
  <c r="AA127" i="24"/>
  <c r="Z127" i="24" s="1"/>
  <c r="Y127" i="24" s="1"/>
  <c r="G127" i="24"/>
  <c r="CE127" i="6" s="1"/>
  <c r="H127" i="24"/>
  <c r="G85" i="24"/>
  <c r="CE85" i="6" s="1"/>
  <c r="H85" i="24"/>
  <c r="AA85" i="24"/>
  <c r="Z85" i="24" s="1"/>
  <c r="Y85" i="24" s="1"/>
  <c r="B333" i="24"/>
  <c r="L69" i="19"/>
  <c r="H236" i="24"/>
  <c r="AA236" i="24"/>
  <c r="Z236" i="24" s="1"/>
  <c r="Y236" i="24" s="1"/>
  <c r="G236" i="24"/>
  <c r="CE236" i="6" s="1"/>
  <c r="H69" i="19"/>
  <c r="AA53" i="24"/>
  <c r="Z53" i="24" s="1"/>
  <c r="Y53" i="24" s="1"/>
  <c r="H53" i="24"/>
  <c r="G53" i="24"/>
  <c r="CE53" i="6" s="1"/>
  <c r="AA169" i="24"/>
  <c r="Z169" i="24" s="1"/>
  <c r="Y169" i="24" s="1"/>
  <c r="G169" i="24"/>
  <c r="CE169" i="6" s="1"/>
  <c r="H169" i="24"/>
  <c r="AA20" i="24"/>
  <c r="Z20" i="24" s="1"/>
  <c r="Y20" i="24" s="1"/>
  <c r="H20" i="24"/>
  <c r="G20" i="24"/>
  <c r="CE20" i="6" s="1"/>
  <c r="AA202" i="24"/>
  <c r="Z202" i="24" s="1"/>
  <c r="Y202" i="24" s="1"/>
  <c r="H202" i="24"/>
  <c r="G202" i="24"/>
  <c r="CE202" i="6" s="1"/>
  <c r="G325" i="24"/>
  <c r="CE325" i="6" s="1"/>
  <c r="AA325" i="24"/>
  <c r="Z325" i="24" s="1"/>
  <c r="Y325" i="24" s="1"/>
  <c r="H325" i="24"/>
  <c r="H138" i="24"/>
  <c r="G138" i="24"/>
  <c r="CE138" i="6" s="1"/>
  <c r="AA138" i="24"/>
  <c r="Z138" i="24" s="1"/>
  <c r="Y138" i="24" s="1"/>
  <c r="H293" i="24"/>
  <c r="G293" i="24"/>
  <c r="CE293" i="6" s="1"/>
  <c r="AA293" i="24"/>
  <c r="Z293" i="24" s="1"/>
  <c r="Y293" i="24" s="1"/>
  <c r="AA30" i="24"/>
  <c r="Z30" i="24" s="1"/>
  <c r="Y30" i="24" s="1"/>
  <c r="H30" i="24"/>
  <c r="G30" i="24"/>
  <c r="CE30" i="6" s="1"/>
  <c r="H126" i="24"/>
  <c r="G126" i="24"/>
  <c r="CE126" i="6" s="1"/>
  <c r="AA126" i="24"/>
  <c r="Z126" i="24" s="1"/>
  <c r="Y126" i="24" s="1"/>
  <c r="G81" i="24"/>
  <c r="CE81" i="6" s="1"/>
  <c r="H81" i="24"/>
  <c r="AA81" i="24"/>
  <c r="Z81" i="24" s="1"/>
  <c r="Y81" i="24" s="1"/>
  <c r="H298" i="24"/>
  <c r="G298" i="24"/>
  <c r="CE298" i="6" s="1"/>
  <c r="AA298" i="24"/>
  <c r="Z298" i="24" s="1"/>
  <c r="Y298" i="24" s="1"/>
  <c r="G63" i="24"/>
  <c r="CE63" i="6" s="1"/>
  <c r="AA63" i="24"/>
  <c r="Z63" i="24" s="1"/>
  <c r="Y63" i="24" s="1"/>
  <c r="H63" i="24"/>
  <c r="G215" i="24"/>
  <c r="CE215" i="6" s="1"/>
  <c r="H215" i="24"/>
  <c r="AA215" i="24"/>
  <c r="Z215" i="24" s="1"/>
  <c r="Y215" i="24" s="1"/>
  <c r="G369" i="24"/>
  <c r="CE369" i="6" s="1"/>
  <c r="H369" i="24"/>
  <c r="AA369" i="24"/>
  <c r="Z369" i="24" s="1"/>
  <c r="Y369" i="24" s="1"/>
  <c r="AA308" i="24"/>
  <c r="Z308" i="24" s="1"/>
  <c r="Y308" i="24" s="1"/>
  <c r="H308" i="24"/>
  <c r="G308" i="24"/>
  <c r="CE308" i="6" s="1"/>
  <c r="G156" i="24"/>
  <c r="CE156" i="6" s="1"/>
  <c r="H156" i="24"/>
  <c r="AA156" i="24"/>
  <c r="Z156" i="24" s="1"/>
  <c r="Y156" i="24" s="1"/>
  <c r="H109" i="24"/>
  <c r="G109" i="24"/>
  <c r="CE109" i="6" s="1"/>
  <c r="AA109" i="24"/>
  <c r="Z109" i="24" s="1"/>
  <c r="Y109" i="24" s="1"/>
  <c r="H247" i="24"/>
  <c r="G247" i="24"/>
  <c r="CE247" i="6" s="1"/>
  <c r="AA247" i="24"/>
  <c r="Z247" i="24" s="1"/>
  <c r="Y247" i="24" s="1"/>
  <c r="H56" i="24"/>
  <c r="AA56" i="24"/>
  <c r="Z56" i="24" s="1"/>
  <c r="Y56" i="24" s="1"/>
  <c r="G56" i="24"/>
  <c r="CE56" i="6" s="1"/>
  <c r="H28" i="24"/>
  <c r="G28" i="24"/>
  <c r="CE28" i="6" s="1"/>
  <c r="AA28" i="24"/>
  <c r="Z28" i="24" s="1"/>
  <c r="Y28" i="24" s="1"/>
  <c r="H130" i="24"/>
  <c r="AA130" i="24"/>
  <c r="Z130" i="24" s="1"/>
  <c r="Y130" i="24" s="1"/>
  <c r="G130" i="24"/>
  <c r="CE130" i="6" s="1"/>
  <c r="H49" i="24"/>
  <c r="AA49" i="24"/>
  <c r="Z49" i="24" s="1"/>
  <c r="Y49" i="24" s="1"/>
  <c r="G49" i="24"/>
  <c r="CE49" i="6" s="1"/>
  <c r="G213" i="24"/>
  <c r="CE213" i="6" s="1"/>
  <c r="H213" i="24"/>
  <c r="AA213" i="24"/>
  <c r="Z213" i="24" s="1"/>
  <c r="Y213" i="24" s="1"/>
  <c r="H96" i="24"/>
  <c r="G96" i="24"/>
  <c r="CE96" i="6" s="1"/>
  <c r="AA96" i="24"/>
  <c r="Z96" i="24" s="1"/>
  <c r="Y96" i="24" s="1"/>
  <c r="G303" i="24"/>
  <c r="CE303" i="6" s="1"/>
  <c r="H303" i="24"/>
  <c r="AA303" i="24"/>
  <c r="Z303" i="24" s="1"/>
  <c r="Y303" i="24" s="1"/>
  <c r="G238" i="24"/>
  <c r="CE238" i="6" s="1"/>
  <c r="H238" i="24"/>
  <c r="AA238" i="24"/>
  <c r="Z238" i="24" s="1"/>
  <c r="Y238" i="24" s="1"/>
  <c r="H181" i="24"/>
  <c r="AA181" i="24"/>
  <c r="Z181" i="24" s="1"/>
  <c r="Y181" i="24" s="1"/>
  <c r="G181" i="24"/>
  <c r="CE181" i="6" s="1"/>
  <c r="AA117" i="24"/>
  <c r="Z117" i="24" s="1"/>
  <c r="Y117" i="24" s="1"/>
  <c r="H117" i="24"/>
  <c r="G117" i="24"/>
  <c r="CE117" i="6" s="1"/>
  <c r="D43" i="19"/>
  <c r="V379" i="24"/>
  <c r="B379" i="24" s="1"/>
  <c r="AA66" i="24"/>
  <c r="Z66" i="24" s="1"/>
  <c r="Y66" i="24" s="1"/>
  <c r="G66" i="24"/>
  <c r="CE66" i="6" s="1"/>
  <c r="H66" i="24"/>
  <c r="AA103" i="24"/>
  <c r="Z103" i="24" s="1"/>
  <c r="Y103" i="24" s="1"/>
  <c r="G103" i="24"/>
  <c r="CE103" i="6" s="1"/>
  <c r="H103" i="24"/>
  <c r="AA270" i="24"/>
  <c r="Z270" i="24" s="1"/>
  <c r="Y270" i="24" s="1"/>
  <c r="G270" i="24"/>
  <c r="CE270" i="6" s="1"/>
  <c r="H270" i="24"/>
  <c r="G195" i="24"/>
  <c r="CE195" i="6" s="1"/>
  <c r="H195" i="24"/>
  <c r="AA195" i="24"/>
  <c r="Z195" i="24" s="1"/>
  <c r="Y195" i="24" s="1"/>
  <c r="AA111" i="24"/>
  <c r="Z111" i="24" s="1"/>
  <c r="Y111" i="24" s="1"/>
  <c r="G111" i="24"/>
  <c r="CE111" i="6" s="1"/>
  <c r="H111" i="24"/>
  <c r="H300" i="24"/>
  <c r="AA300" i="24"/>
  <c r="Z300" i="24" s="1"/>
  <c r="Y300" i="24" s="1"/>
  <c r="G300" i="24"/>
  <c r="CE300" i="6" s="1"/>
  <c r="G375" i="24"/>
  <c r="CE375" i="6" s="1"/>
  <c r="AA375" i="24"/>
  <c r="Z375" i="24" s="1"/>
  <c r="Y375" i="24" s="1"/>
  <c r="H375" i="24"/>
  <c r="H208" i="24"/>
  <c r="G208" i="24"/>
  <c r="CE208" i="6" s="1"/>
  <c r="AA208" i="24"/>
  <c r="Z208" i="24" s="1"/>
  <c r="Y208" i="24" s="1"/>
  <c r="H34" i="24"/>
  <c r="G34" i="24"/>
  <c r="CE34" i="6" s="1"/>
  <c r="AA34" i="24"/>
  <c r="Z34" i="24" s="1"/>
  <c r="Y34" i="24" s="1"/>
  <c r="G25" i="24"/>
  <c r="CE25" i="6" s="1"/>
  <c r="H25" i="24"/>
  <c r="AA25" i="24"/>
  <c r="Z25" i="24" s="1"/>
  <c r="Y25" i="24" s="1"/>
  <c r="AA214" i="24"/>
  <c r="Z214" i="24" s="1"/>
  <c r="Y214" i="24" s="1"/>
  <c r="H214" i="24"/>
  <c r="G214" i="24"/>
  <c r="CE214" i="6" s="1"/>
  <c r="AA355" i="24"/>
  <c r="Z355" i="24" s="1"/>
  <c r="Y355" i="24" s="1"/>
  <c r="G355" i="24"/>
  <c r="CE355" i="6" s="1"/>
  <c r="H355" i="24"/>
  <c r="H292" i="24"/>
  <c r="AA292" i="24"/>
  <c r="Z292" i="24" s="1"/>
  <c r="Y292" i="24" s="1"/>
  <c r="G292" i="24"/>
  <c r="CE292" i="6" s="1"/>
  <c r="B180" i="24"/>
  <c r="G69" i="19"/>
  <c r="AA289" i="24"/>
  <c r="Z289" i="24" s="1"/>
  <c r="Y289" i="24" s="1"/>
  <c r="H289" i="24"/>
  <c r="G289" i="24"/>
  <c r="CE289" i="6" s="1"/>
  <c r="G259" i="24"/>
  <c r="CE259" i="6" s="1"/>
  <c r="AA259" i="24"/>
  <c r="Z259" i="24" s="1"/>
  <c r="Y259" i="24" s="1"/>
  <c r="H259" i="24"/>
  <c r="H358" i="24"/>
  <c r="AA358" i="24"/>
  <c r="Z358" i="24" s="1"/>
  <c r="Y358" i="24" s="1"/>
  <c r="G358" i="24"/>
  <c r="CE358" i="6" s="1"/>
  <c r="G42" i="24"/>
  <c r="CE42" i="6" s="1"/>
  <c r="AA42" i="24"/>
  <c r="Z42" i="24" s="1"/>
  <c r="Y42" i="24" s="1"/>
  <c r="H42" i="24"/>
  <c r="G198" i="24"/>
  <c r="CE198" i="6" s="1"/>
  <c r="AA198" i="24"/>
  <c r="Z198" i="24" s="1"/>
  <c r="Y198" i="24" s="1"/>
  <c r="H198" i="24"/>
  <c r="G52" i="24"/>
  <c r="CE52" i="6" s="1"/>
  <c r="H52" i="24"/>
  <c r="AA52" i="24"/>
  <c r="Z52" i="24" s="1"/>
  <c r="Y52" i="24" s="1"/>
  <c r="AA140" i="24"/>
  <c r="Z140" i="24" s="1"/>
  <c r="Y140" i="24" s="1"/>
  <c r="H140" i="24"/>
  <c r="G140" i="24"/>
  <c r="CE140" i="6" s="1"/>
  <c r="AA114" i="24"/>
  <c r="Z114" i="24" s="1"/>
  <c r="Y114" i="24" s="1"/>
  <c r="G114" i="24"/>
  <c r="CE114" i="6" s="1"/>
  <c r="H114" i="24"/>
  <c r="H307" i="24"/>
  <c r="AA307" i="24"/>
  <c r="Z307" i="24" s="1"/>
  <c r="Y307" i="24" s="1"/>
  <c r="G307" i="24"/>
  <c r="CE307" i="6" s="1"/>
  <c r="AA26" i="24"/>
  <c r="Z26" i="24" s="1"/>
  <c r="Y26" i="24" s="1"/>
  <c r="G26" i="24"/>
  <c r="CE26" i="6" s="1"/>
  <c r="H26" i="24"/>
  <c r="G62" i="24"/>
  <c r="CE62" i="6" s="1"/>
  <c r="AA62" i="24"/>
  <c r="Z62" i="24" s="1"/>
  <c r="Y62" i="24" s="1"/>
  <c r="H62" i="24"/>
  <c r="B149" i="24"/>
  <c r="F69" i="19"/>
  <c r="AA337" i="24"/>
  <c r="Z337" i="24" s="1"/>
  <c r="Y337" i="24" s="1"/>
  <c r="G337" i="24"/>
  <c r="CE337" i="6" s="1"/>
  <c r="H337" i="24"/>
  <c r="AL5" i="20"/>
  <c r="AL11" i="20" s="1"/>
  <c r="AJ3" i="20" s="1"/>
  <c r="O16" i="19" s="1"/>
  <c r="AM5" i="20"/>
  <c r="AM11" i="20" s="1"/>
  <c r="AK3" i="20" s="1"/>
  <c r="Q16" i="19" s="1"/>
  <c r="AF104" i="25"/>
  <c r="AG382" i="25"/>
  <c r="AG381" i="25"/>
  <c r="AG383" i="25"/>
  <c r="J383" i="20"/>
  <c r="J381" i="20"/>
  <c r="J382" i="20"/>
  <c r="J15" i="19"/>
  <c r="J31" i="19" s="1"/>
  <c r="Z11" i="18"/>
  <c r="Z5" i="18" s="1"/>
  <c r="H15" i="19" s="1"/>
  <c r="AA11" i="18"/>
  <c r="AA5" i="18" s="1"/>
  <c r="I15" i="19" s="1"/>
  <c r="AL13" i="18"/>
  <c r="AJ4" i="18"/>
  <c r="P15" i="19" s="1"/>
  <c r="N4" i="6"/>
  <c r="I381" i="20"/>
  <c r="I383" i="20"/>
  <c r="I382" i="20"/>
  <c r="Y382" i="20"/>
  <c r="X9" i="20"/>
  <c r="AL6" i="20"/>
  <c r="AL12" i="20" s="1"/>
  <c r="Y383" i="20"/>
  <c r="Y381" i="20"/>
  <c r="AM6" i="20"/>
  <c r="AM12" i="20" s="1"/>
  <c r="AM13" i="18"/>
  <c r="AK4" i="18"/>
  <c r="R15" i="19" s="1"/>
  <c r="Y11" i="18"/>
  <c r="J88" i="27"/>
  <c r="F94" i="27"/>
  <c r="R94" i="27"/>
  <c r="K89" i="27"/>
  <c r="P90" i="27"/>
  <c r="X82" i="27"/>
  <c r="W83" i="27"/>
  <c r="U82" i="27"/>
  <c r="B93" i="27"/>
  <c r="J83" i="27"/>
  <c r="G94" i="27"/>
  <c r="P88" i="27"/>
  <c r="Y82" i="27"/>
  <c r="V87" i="27"/>
  <c r="A85" i="27"/>
  <c r="D92" i="27"/>
  <c r="G92" i="27"/>
  <c r="E82" i="27"/>
  <c r="I82" i="27"/>
  <c r="S87" i="27"/>
  <c r="T87" i="27"/>
  <c r="X88" i="27"/>
  <c r="F91" i="27"/>
  <c r="O90" i="27"/>
  <c r="D90" i="27"/>
  <c r="S88" i="27"/>
  <c r="X83" i="27"/>
  <c r="W86" i="27"/>
  <c r="U84" i="27"/>
  <c r="L92" i="27"/>
  <c r="H85" i="27"/>
  <c r="N94" i="27"/>
  <c r="R83" i="27"/>
  <c r="N84" i="27"/>
  <c r="M94" i="27"/>
  <c r="V86" i="27"/>
  <c r="X94" i="27"/>
  <c r="U85" i="27"/>
  <c r="M83" i="27"/>
  <c r="A88" i="27"/>
  <c r="K84" i="27"/>
  <c r="L89" i="27"/>
  <c r="R93" i="27"/>
  <c r="P82" i="27"/>
  <c r="Y94" i="27"/>
  <c r="O91" i="27"/>
  <c r="O93" i="27"/>
  <c r="A89" i="27"/>
  <c r="F84" i="27"/>
  <c r="K92" i="27"/>
  <c r="K94" i="27"/>
  <c r="X87" i="27"/>
  <c r="R92" i="27"/>
  <c r="Q87" i="27"/>
  <c r="Y83" i="27"/>
  <c r="H88" i="27"/>
  <c r="S94" i="27"/>
  <c r="M82" i="27"/>
  <c r="V83" i="27"/>
  <c r="Z87" i="27"/>
  <c r="F83" i="27"/>
  <c r="I91" i="27"/>
  <c r="A93" i="27"/>
  <c r="W87" i="27"/>
  <c r="X91" i="27"/>
  <c r="G83" i="27"/>
  <c r="B92" i="27"/>
  <c r="U91" i="27"/>
  <c r="F92" i="27"/>
  <c r="C87" i="27"/>
  <c r="U87" i="27"/>
  <c r="N89" i="27"/>
  <c r="P83" i="27"/>
  <c r="Z92" i="27"/>
  <c r="O92" i="27"/>
  <c r="Z91" i="27"/>
  <c r="Z85" i="27"/>
  <c r="P94" i="27"/>
  <c r="Z82" i="27"/>
  <c r="O83" i="27"/>
  <c r="G91" i="27"/>
  <c r="C93" i="27"/>
  <c r="R91" i="27"/>
  <c r="P84" i="27"/>
  <c r="O89" i="27"/>
  <c r="J84" i="27"/>
  <c r="H92" i="27"/>
  <c r="L88" i="27"/>
  <c r="V85" i="27"/>
  <c r="J89" i="27"/>
  <c r="F89" i="27"/>
  <c r="C83" i="27"/>
  <c r="H93" i="27"/>
  <c r="O94" i="27"/>
  <c r="C82" i="27"/>
  <c r="D94" i="27"/>
  <c r="A83" i="27"/>
  <c r="Q82" i="27"/>
  <c r="O87" i="27"/>
  <c r="W91" i="27"/>
  <c r="F86" i="27"/>
  <c r="Y85" i="27"/>
  <c r="R84" i="27"/>
  <c r="H94" i="27"/>
  <c r="C94" i="27"/>
  <c r="B94" i="27"/>
  <c r="L91" i="27"/>
  <c r="T84" i="27"/>
  <c r="E87" i="27"/>
  <c r="G85" i="27"/>
  <c r="B91" i="27"/>
  <c r="K87" i="27"/>
  <c r="G84" i="27"/>
  <c r="N83" i="27"/>
  <c r="D93" i="27"/>
  <c r="R86" i="27"/>
  <c r="S93" i="27"/>
  <c r="V89" i="27"/>
  <c r="N91" i="27"/>
  <c r="T86" i="27"/>
  <c r="O85" i="27"/>
  <c r="Q84" i="27"/>
  <c r="C86" i="27"/>
  <c r="X92" i="27"/>
  <c r="G90" i="27"/>
  <c r="C84" i="27"/>
  <c r="P86" i="27"/>
  <c r="J87" i="27"/>
  <c r="O84" i="27"/>
  <c r="E94" i="27"/>
  <c r="C90" i="27"/>
  <c r="E86" i="27"/>
  <c r="B90" i="27"/>
  <c r="B85" i="27"/>
  <c r="I93" i="27"/>
  <c r="J94" i="27"/>
  <c r="Y92" i="27"/>
  <c r="N92" i="27"/>
  <c r="A87" i="27"/>
  <c r="H89" i="27"/>
  <c r="V82" i="27"/>
  <c r="Y87" i="27"/>
  <c r="D89" i="27"/>
  <c r="E84" i="27"/>
  <c r="N85" i="27"/>
  <c r="S91" i="27"/>
  <c r="X85" i="27"/>
  <c r="W88" i="27"/>
  <c r="Z89" i="27"/>
  <c r="A94" i="27"/>
  <c r="Z88" i="27"/>
  <c r="E89" i="27"/>
  <c r="E83" i="27"/>
  <c r="Q85" i="27"/>
  <c r="O82" i="27"/>
  <c r="H82" i="27"/>
  <c r="E90" i="27"/>
  <c r="F85" i="27"/>
  <c r="M90" i="27"/>
  <c r="G86" i="27"/>
  <c r="D83" i="27"/>
  <c r="H84" i="27"/>
  <c r="K85" i="27"/>
  <c r="X93" i="27"/>
  <c r="U90" i="27"/>
  <c r="G88" i="27"/>
  <c r="G89" i="27"/>
  <c r="X86" i="27"/>
  <c r="L90" i="27"/>
  <c r="T85" i="27"/>
  <c r="O88" i="27"/>
  <c r="K90" i="27"/>
  <c r="W85" i="27"/>
  <c r="Y86" i="27"/>
  <c r="M86" i="27"/>
  <c r="D85" i="27"/>
  <c r="W92" i="27"/>
  <c r="D87" i="27"/>
  <c r="S89" i="27"/>
  <c r="F88" i="27"/>
  <c r="F82" i="27"/>
  <c r="R88" i="27"/>
  <c r="Q93" i="27"/>
  <c r="U93" i="27"/>
  <c r="X84" i="27"/>
  <c r="Y88" i="27"/>
  <c r="L93" i="27"/>
  <c r="L87" i="27"/>
  <c r="T88" i="27"/>
  <c r="Z94" i="27"/>
  <c r="L86" i="27"/>
  <c r="T91" i="27"/>
  <c r="O86" i="27"/>
  <c r="W84" i="27"/>
  <c r="I92" i="27"/>
  <c r="N93" i="27"/>
  <c r="Q83" i="27"/>
  <c r="V93" i="27"/>
  <c r="J90" i="27"/>
  <c r="K86" i="27"/>
  <c r="S82" i="27"/>
  <c r="G87" i="27"/>
  <c r="L83" i="27"/>
  <c r="V90" i="27"/>
  <c r="A86" i="27"/>
  <c r="B84" i="27"/>
  <c r="R85" i="27"/>
  <c r="A82" i="27"/>
  <c r="W89" i="27"/>
  <c r="J85" i="27"/>
  <c r="M91" i="27"/>
  <c r="A92" i="27"/>
  <c r="K91" i="27"/>
  <c r="K93" i="27"/>
  <c r="M87" i="27"/>
  <c r="M85" i="27"/>
  <c r="U92" i="27"/>
  <c r="G82" i="27"/>
  <c r="T83" i="27"/>
  <c r="N88" i="27"/>
  <c r="I88" i="27"/>
  <c r="I84" i="27"/>
  <c r="W94" i="27"/>
  <c r="E88" i="27"/>
  <c r="E92" i="27"/>
  <c r="L85" i="27"/>
  <c r="L94" i="27"/>
  <c r="K82" i="27"/>
  <c r="D82" i="27"/>
  <c r="J82" i="27"/>
  <c r="T93" i="27"/>
  <c r="P85" i="27"/>
  <c r="P87" i="27"/>
  <c r="V91" i="27"/>
  <c r="B82" i="27"/>
  <c r="U83" i="27"/>
  <c r="T94" i="27"/>
  <c r="W82" i="27"/>
  <c r="I89" i="27"/>
  <c r="R89" i="27"/>
  <c r="D91" i="27"/>
  <c r="Y91" i="27"/>
  <c r="J91" i="27"/>
  <c r="Q94" i="27"/>
  <c r="Y93" i="27"/>
  <c r="L84" i="27"/>
  <c r="H90" i="27"/>
  <c r="Q89" i="27"/>
  <c r="C91" i="27"/>
  <c r="S84" i="27"/>
  <c r="E85" i="27"/>
  <c r="F90" i="27"/>
  <c r="C89" i="27"/>
  <c r="J92" i="27"/>
  <c r="V84" i="27"/>
  <c r="E93" i="27"/>
  <c r="I85" i="27"/>
  <c r="Y89" i="27"/>
  <c r="M92" i="27"/>
  <c r="K83" i="27"/>
  <c r="V92" i="27"/>
  <c r="Q90" i="27"/>
  <c r="P93" i="27"/>
  <c r="S90" i="27"/>
  <c r="U86" i="27"/>
  <c r="T89" i="27"/>
  <c r="S85" i="27"/>
  <c r="M84" i="27"/>
  <c r="S83" i="27"/>
  <c r="H87" i="27"/>
  <c r="G93" i="27"/>
  <c r="A84" i="27"/>
  <c r="C85" i="27"/>
  <c r="B89" i="27"/>
  <c r="E91" i="27"/>
  <c r="Z90" i="27"/>
  <c r="Z93" i="27"/>
  <c r="R87" i="27"/>
  <c r="M93" i="27"/>
  <c r="Q91" i="27"/>
  <c r="Y90" i="27"/>
  <c r="Z83" i="27"/>
  <c r="A90" i="27"/>
  <c r="N90" i="27"/>
  <c r="I90" i="27"/>
  <c r="J86" i="27"/>
  <c r="C88" i="27"/>
  <c r="X89" i="27"/>
  <c r="H86" i="27"/>
  <c r="Q88" i="27"/>
  <c r="B86" i="27"/>
  <c r="H83" i="27"/>
  <c r="U89" i="27"/>
  <c r="R90" i="27"/>
  <c r="C92" i="27"/>
  <c r="F87" i="27"/>
  <c r="S86" i="27"/>
  <c r="Z84" i="27"/>
  <c r="A91" i="27"/>
  <c r="R82" i="27"/>
  <c r="I86" i="27"/>
  <c r="B87" i="27"/>
  <c r="L82" i="27"/>
  <c r="W90" i="27"/>
  <c r="T82" i="27"/>
  <c r="Z86" i="27"/>
  <c r="X90" i="27"/>
  <c r="Q92" i="27"/>
  <c r="H91" i="27"/>
  <c r="N86" i="27"/>
  <c r="F93" i="27"/>
  <c r="J93" i="27"/>
  <c r="P89" i="27"/>
  <c r="B83" i="27"/>
  <c r="U94" i="27"/>
  <c r="D86" i="27"/>
  <c r="T92" i="27"/>
  <c r="S92" i="27"/>
  <c r="W93" i="27"/>
  <c r="P92" i="27"/>
  <c r="V94" i="27"/>
  <c r="I94" i="27"/>
  <c r="M88" i="27"/>
  <c r="D88" i="27"/>
  <c r="V88" i="27"/>
  <c r="I87" i="27"/>
  <c r="M89" i="27"/>
  <c r="Y84" i="27"/>
  <c r="I83" i="27"/>
  <c r="N87" i="27"/>
  <c r="Q86" i="27"/>
  <c r="D84" i="27"/>
  <c r="T90" i="27"/>
  <c r="N82" i="27"/>
  <c r="B88" i="27"/>
  <c r="U88" i="27"/>
  <c r="P91" i="27"/>
  <c r="G30" i="27"/>
  <c r="AD66" i="27" s="1"/>
  <c r="G31" i="27"/>
  <c r="AD67" i="27" s="1"/>
  <c r="I46" i="24"/>
  <c r="J46" i="24"/>
  <c r="G382" i="22"/>
  <c r="G383" i="22"/>
  <c r="G12" i="22" s="1"/>
  <c r="G381" i="22"/>
  <c r="G17" i="19"/>
  <c r="J41" i="19" s="1"/>
  <c r="F11" i="22"/>
  <c r="AB9" i="22"/>
  <c r="I227" i="24"/>
  <c r="J227" i="24"/>
  <c r="I349" i="24"/>
  <c r="J349" i="24"/>
  <c r="J288" i="24"/>
  <c r="I288" i="24"/>
  <c r="I135" i="24"/>
  <c r="J135" i="24"/>
  <c r="G15" i="23"/>
  <c r="CD15" i="6" s="1"/>
  <c r="F381" i="23"/>
  <c r="F9" i="23"/>
  <c r="F382" i="23"/>
  <c r="F383" i="23"/>
  <c r="AA15" i="23"/>
  <c r="AK10" i="23"/>
  <c r="AK12" i="23" s="1"/>
  <c r="AM10" i="23"/>
  <c r="J15" i="22"/>
  <c r="I15" i="22"/>
  <c r="AA9" i="22"/>
  <c r="AL10" i="22"/>
  <c r="Z15" i="22"/>
  <c r="AL7" i="22" s="1"/>
  <c r="AA383" i="22"/>
  <c r="AA381" i="22"/>
  <c r="AA382" i="22"/>
  <c r="AM8" i="22"/>
  <c r="Q228" i="25" l="1"/>
  <c r="P228" i="25" s="1"/>
  <c r="V228" i="25" s="1"/>
  <c r="B228" i="25" s="1"/>
  <c r="Q229" i="25"/>
  <c r="P229" i="25" s="1"/>
  <c r="V229" i="25" s="1"/>
  <c r="B229" i="25" s="1"/>
  <c r="D229" i="25" s="1"/>
  <c r="E229" i="25" s="1"/>
  <c r="F229" i="25" s="1"/>
  <c r="Q47" i="25"/>
  <c r="P47" i="25" s="1"/>
  <c r="V47" i="25" s="1"/>
  <c r="B47" i="25" s="1"/>
  <c r="Q129" i="25"/>
  <c r="P129" i="25" s="1"/>
  <c r="V129" i="25" s="1"/>
  <c r="B129" i="25" s="1"/>
  <c r="D129" i="25" s="1"/>
  <c r="E129" i="25" s="1"/>
  <c r="F129" i="25" s="1"/>
  <c r="Q260" i="25"/>
  <c r="P260" i="25" s="1"/>
  <c r="V260" i="25" s="1"/>
  <c r="B260" i="25" s="1"/>
  <c r="Q153" i="25"/>
  <c r="P153" i="25" s="1"/>
  <c r="V153" i="25" s="1"/>
  <c r="B153" i="25" s="1"/>
  <c r="D153" i="25" s="1"/>
  <c r="E153" i="25" s="1"/>
  <c r="F153" i="25" s="1"/>
  <c r="G153" i="25" s="1"/>
  <c r="CF153" i="6" s="1"/>
  <c r="Q52" i="25"/>
  <c r="P52" i="25" s="1"/>
  <c r="V52" i="25" s="1"/>
  <c r="B52" i="25" s="1"/>
  <c r="Q148" i="25"/>
  <c r="P148" i="25" s="1"/>
  <c r="V148" i="25" s="1"/>
  <c r="B148" i="25" s="1"/>
  <c r="D148" i="25" s="1"/>
  <c r="E148" i="25" s="1"/>
  <c r="F148" i="25" s="1"/>
  <c r="Q333" i="25"/>
  <c r="P333" i="25" s="1"/>
  <c r="Q49" i="25"/>
  <c r="P49" i="25" s="1"/>
  <c r="V49" i="25" s="1"/>
  <c r="B49" i="25" s="1"/>
  <c r="D49" i="25" s="1"/>
  <c r="E49" i="25" s="1"/>
  <c r="F49" i="25" s="1"/>
  <c r="Q137" i="25"/>
  <c r="P137" i="25" s="1"/>
  <c r="V137" i="25" s="1"/>
  <c r="B137" i="25" s="1"/>
  <c r="Q290" i="25"/>
  <c r="P290" i="25" s="1"/>
  <c r="V290" i="25" s="1"/>
  <c r="B290" i="25" s="1"/>
  <c r="W290" i="25" s="1"/>
  <c r="Q42" i="25"/>
  <c r="P42" i="25" s="1"/>
  <c r="V42" i="25" s="1"/>
  <c r="B42" i="25" s="1"/>
  <c r="Q64" i="25"/>
  <c r="P64" i="25" s="1"/>
  <c r="V64" i="25" s="1"/>
  <c r="B64" i="25" s="1"/>
  <c r="D64" i="25" s="1"/>
  <c r="E64" i="25" s="1"/>
  <c r="F64" i="25" s="1"/>
  <c r="Q89" i="25"/>
  <c r="P89" i="25" s="1"/>
  <c r="V89" i="25" s="1"/>
  <c r="B89" i="25" s="1"/>
  <c r="Q360" i="25"/>
  <c r="P360" i="25" s="1"/>
  <c r="V360" i="25" s="1"/>
  <c r="B360" i="25" s="1"/>
  <c r="D360" i="25" s="1"/>
  <c r="E360" i="25" s="1"/>
  <c r="F360" i="25" s="1"/>
  <c r="Q71" i="25"/>
  <c r="P71" i="25" s="1"/>
  <c r="V71" i="25" s="1"/>
  <c r="B71" i="25" s="1"/>
  <c r="Q103" i="25"/>
  <c r="P103" i="25" s="1"/>
  <c r="V103" i="25" s="1"/>
  <c r="B103" i="25" s="1"/>
  <c r="W103" i="25" s="1"/>
  <c r="Q150" i="25"/>
  <c r="P150" i="25" s="1"/>
  <c r="V150" i="25" s="1"/>
  <c r="B150" i="25" s="1"/>
  <c r="Q75" i="25"/>
  <c r="P75" i="25" s="1"/>
  <c r="V75" i="25" s="1"/>
  <c r="B75" i="25" s="1"/>
  <c r="D75" i="25" s="1"/>
  <c r="E75" i="25" s="1"/>
  <c r="F75" i="25" s="1"/>
  <c r="Q235" i="25"/>
  <c r="P235" i="25" s="1"/>
  <c r="V235" i="25" s="1"/>
  <c r="B235" i="25" s="1"/>
  <c r="Q247" i="25"/>
  <c r="P247" i="25" s="1"/>
  <c r="V247" i="25" s="1"/>
  <c r="B247" i="25" s="1"/>
  <c r="D247" i="25" s="1"/>
  <c r="E247" i="25" s="1"/>
  <c r="F247" i="25" s="1"/>
  <c r="Q205" i="25"/>
  <c r="P205" i="25" s="1"/>
  <c r="V205" i="25" s="1"/>
  <c r="B205" i="25" s="1"/>
  <c r="Q119" i="25"/>
  <c r="P119" i="25" s="1"/>
  <c r="V119" i="25" s="1"/>
  <c r="B119" i="25" s="1"/>
  <c r="Q340" i="25"/>
  <c r="P340" i="25" s="1"/>
  <c r="V340" i="25" s="1"/>
  <c r="B340" i="25" s="1"/>
  <c r="Q236" i="25"/>
  <c r="P236" i="25" s="1"/>
  <c r="V236" i="25" s="1"/>
  <c r="B236" i="25" s="1"/>
  <c r="D236" i="25" s="1"/>
  <c r="E236" i="25" s="1"/>
  <c r="F236" i="25" s="1"/>
  <c r="Q196" i="25"/>
  <c r="P196" i="25" s="1"/>
  <c r="V196" i="25" s="1"/>
  <c r="Q163" i="25"/>
  <c r="P163" i="25" s="1"/>
  <c r="V163" i="25" s="1"/>
  <c r="B163" i="25" s="1"/>
  <c r="D163" i="25" s="1"/>
  <c r="E163" i="25" s="1"/>
  <c r="F163" i="25" s="1"/>
  <c r="Q65" i="25"/>
  <c r="P65" i="25" s="1"/>
  <c r="V65" i="25" s="1"/>
  <c r="B65" i="25" s="1"/>
  <c r="Q182" i="25"/>
  <c r="P182" i="25" s="1"/>
  <c r="V182" i="25" s="1"/>
  <c r="B182" i="25" s="1"/>
  <c r="W182" i="25" s="1"/>
  <c r="Q227" i="25"/>
  <c r="P227" i="25" s="1"/>
  <c r="V227" i="25" s="1"/>
  <c r="B227" i="25" s="1"/>
  <c r="Q46" i="25"/>
  <c r="P46" i="25" s="1"/>
  <c r="V46" i="25" s="1"/>
  <c r="Q88" i="25"/>
  <c r="P88" i="25" s="1"/>
  <c r="Q39" i="25"/>
  <c r="P39" i="25" s="1"/>
  <c r="V39" i="25" s="1"/>
  <c r="B39" i="25" s="1"/>
  <c r="W39" i="25" s="1"/>
  <c r="Q25" i="25"/>
  <c r="P25" i="25" s="1"/>
  <c r="V25" i="25" s="1"/>
  <c r="B25" i="25" s="1"/>
  <c r="Q96" i="25"/>
  <c r="P96" i="25" s="1"/>
  <c r="V96" i="25" s="1"/>
  <c r="B96" i="25" s="1"/>
  <c r="D96" i="25" s="1"/>
  <c r="E96" i="25" s="1"/>
  <c r="F96" i="25" s="1"/>
  <c r="Q18" i="25"/>
  <c r="P18" i="25" s="1"/>
  <c r="V18" i="25" s="1"/>
  <c r="B18" i="25" s="1"/>
  <c r="W18" i="25" s="1"/>
  <c r="Q102" i="25"/>
  <c r="P102" i="25" s="1"/>
  <c r="V102" i="25" s="1"/>
  <c r="B102" i="25" s="1"/>
  <c r="D102" i="25" s="1"/>
  <c r="E102" i="25" s="1"/>
  <c r="F102" i="25" s="1"/>
  <c r="Q300" i="25"/>
  <c r="P300" i="25" s="1"/>
  <c r="V300" i="25" s="1"/>
  <c r="B300" i="25" s="1"/>
  <c r="W300" i="25" s="1"/>
  <c r="Q310" i="25"/>
  <c r="P310" i="25" s="1"/>
  <c r="V310" i="25" s="1"/>
  <c r="B310" i="25" s="1"/>
  <c r="W310" i="25" s="1"/>
  <c r="Q168" i="25"/>
  <c r="P168" i="25" s="1"/>
  <c r="V168" i="25" s="1"/>
  <c r="B168" i="25" s="1"/>
  <c r="D168" i="25" s="1"/>
  <c r="E168" i="25" s="1"/>
  <c r="F168" i="25" s="1"/>
  <c r="Q230" i="25"/>
  <c r="P230" i="25" s="1"/>
  <c r="V230" i="25" s="1"/>
  <c r="B230" i="25" s="1"/>
  <c r="W230" i="25" s="1"/>
  <c r="Q56" i="25"/>
  <c r="P56" i="25" s="1"/>
  <c r="V56" i="25" s="1"/>
  <c r="B56" i="25" s="1"/>
  <c r="W56" i="25" s="1"/>
  <c r="Q201" i="25"/>
  <c r="P201" i="25" s="1"/>
  <c r="V201" i="25" s="1"/>
  <c r="B201" i="25" s="1"/>
  <c r="W201" i="25" s="1"/>
  <c r="Q303" i="25"/>
  <c r="P303" i="25" s="1"/>
  <c r="V303" i="25" s="1"/>
  <c r="B303" i="25" s="1"/>
  <c r="W303" i="25" s="1"/>
  <c r="Q371" i="25"/>
  <c r="P371" i="25" s="1"/>
  <c r="V371" i="25" s="1"/>
  <c r="B371" i="25" s="1"/>
  <c r="W371" i="25" s="1"/>
  <c r="Q15" i="25"/>
  <c r="P15" i="25" s="1"/>
  <c r="Q86" i="25"/>
  <c r="P86" i="25" s="1"/>
  <c r="V86" i="25" s="1"/>
  <c r="B86" i="25" s="1"/>
  <c r="D86" i="25" s="1"/>
  <c r="E86" i="25" s="1"/>
  <c r="F86" i="25" s="1"/>
  <c r="Q69" i="25"/>
  <c r="P69" i="25" s="1"/>
  <c r="V69" i="25" s="1"/>
  <c r="B69" i="25" s="1"/>
  <c r="W69" i="25" s="1"/>
  <c r="Q277" i="25"/>
  <c r="P277" i="25" s="1"/>
  <c r="V277" i="25" s="1"/>
  <c r="B277" i="25" s="1"/>
  <c r="D277" i="25" s="1"/>
  <c r="E277" i="25" s="1"/>
  <c r="F277" i="25" s="1"/>
  <c r="Q115" i="25"/>
  <c r="P115" i="25" s="1"/>
  <c r="V115" i="25" s="1"/>
  <c r="B115" i="25" s="1"/>
  <c r="D115" i="25" s="1"/>
  <c r="E115" i="25" s="1"/>
  <c r="F115" i="25" s="1"/>
  <c r="Q369" i="25"/>
  <c r="P369" i="25" s="1"/>
  <c r="V369" i="25" s="1"/>
  <c r="B369" i="25" s="1"/>
  <c r="W369" i="25" s="1"/>
  <c r="Q29" i="25"/>
  <c r="P29" i="25" s="1"/>
  <c r="V29" i="25" s="1"/>
  <c r="B29" i="25" s="1"/>
  <c r="Q38" i="25"/>
  <c r="P38" i="25" s="1"/>
  <c r="V38" i="25" s="1"/>
  <c r="B38" i="25" s="1"/>
  <c r="W38" i="25" s="1"/>
  <c r="Q108" i="25"/>
  <c r="P108" i="25" s="1"/>
  <c r="V108" i="25" s="1"/>
  <c r="B108" i="25" s="1"/>
  <c r="D108" i="25" s="1"/>
  <c r="E108" i="25" s="1"/>
  <c r="F108" i="25" s="1"/>
  <c r="Q250" i="25"/>
  <c r="P250" i="25" s="1"/>
  <c r="V250" i="25" s="1"/>
  <c r="B250" i="25" s="1"/>
  <c r="W250" i="25" s="1"/>
  <c r="Q37" i="25"/>
  <c r="P37" i="25" s="1"/>
  <c r="V37" i="25" s="1"/>
  <c r="B37" i="25" s="1"/>
  <c r="D37" i="25" s="1"/>
  <c r="E37" i="25" s="1"/>
  <c r="F37" i="25" s="1"/>
  <c r="Q343" i="25"/>
  <c r="P343" i="25" s="1"/>
  <c r="V343" i="25" s="1"/>
  <c r="B343" i="25" s="1"/>
  <c r="W343" i="25" s="1"/>
  <c r="Q77" i="25"/>
  <c r="P77" i="25" s="1"/>
  <c r="V77" i="25" s="1"/>
  <c r="B77" i="25" s="1"/>
  <c r="W77" i="25" s="1"/>
  <c r="Q208" i="25"/>
  <c r="P208" i="25" s="1"/>
  <c r="V208" i="25" s="1"/>
  <c r="B208" i="25" s="1"/>
  <c r="D208" i="25" s="1"/>
  <c r="E208" i="25" s="1"/>
  <c r="F208" i="25" s="1"/>
  <c r="Q85" i="25"/>
  <c r="P85" i="25" s="1"/>
  <c r="V85" i="25" s="1"/>
  <c r="B85" i="25" s="1"/>
  <c r="W85" i="25" s="1"/>
  <c r="Q190" i="25"/>
  <c r="P190" i="25" s="1"/>
  <c r="V190" i="25" s="1"/>
  <c r="B190" i="25" s="1"/>
  <c r="W190" i="25" s="1"/>
  <c r="Q172" i="25"/>
  <c r="P172" i="25" s="1"/>
  <c r="V172" i="25" s="1"/>
  <c r="B172" i="25" s="1"/>
  <c r="D172" i="25" s="1"/>
  <c r="E172" i="25" s="1"/>
  <c r="F172" i="25" s="1"/>
  <c r="G172" i="25" s="1"/>
  <c r="CF172" i="6" s="1"/>
  <c r="Q187" i="25"/>
  <c r="P187" i="25" s="1"/>
  <c r="V187" i="25" s="1"/>
  <c r="B187" i="25" s="1"/>
  <c r="W187" i="25" s="1"/>
  <c r="Q122" i="25"/>
  <c r="P122" i="25" s="1"/>
  <c r="V122" i="25" s="1"/>
  <c r="B122" i="25" s="1"/>
  <c r="D122" i="25" s="1"/>
  <c r="E122" i="25" s="1"/>
  <c r="F122" i="25" s="1"/>
  <c r="G122" i="25" s="1"/>
  <c r="CF122" i="6" s="1"/>
  <c r="Q233" i="25"/>
  <c r="P233" i="25" s="1"/>
  <c r="V233" i="25" s="1"/>
  <c r="B233" i="25" s="1"/>
  <c r="W233" i="25" s="1"/>
  <c r="Q278" i="25"/>
  <c r="P278" i="25" s="1"/>
  <c r="V278" i="25" s="1"/>
  <c r="B278" i="25" s="1"/>
  <c r="D278" i="25" s="1"/>
  <c r="E278" i="25" s="1"/>
  <c r="F278" i="25" s="1"/>
  <c r="G278" i="25" s="1"/>
  <c r="CF278" i="6" s="1"/>
  <c r="Q267" i="25"/>
  <c r="P267" i="25" s="1"/>
  <c r="V267" i="25" s="1"/>
  <c r="B267" i="25" s="1"/>
  <c r="W267" i="25" s="1"/>
  <c r="Q87" i="25"/>
  <c r="P87" i="25" s="1"/>
  <c r="V87" i="25" s="1"/>
  <c r="B87" i="25" s="1"/>
  <c r="W87" i="25" s="1"/>
  <c r="Q375" i="25"/>
  <c r="P375" i="25" s="1"/>
  <c r="V375" i="25" s="1"/>
  <c r="B375" i="25" s="1"/>
  <c r="W375" i="25" s="1"/>
  <c r="Q231" i="25"/>
  <c r="P231" i="25" s="1"/>
  <c r="V231" i="25" s="1"/>
  <c r="B231" i="25" s="1"/>
  <c r="D231" i="25" s="1"/>
  <c r="E231" i="25" s="1"/>
  <c r="F231" i="25" s="1"/>
  <c r="Q332" i="25"/>
  <c r="P332" i="25" s="1"/>
  <c r="V332" i="25" s="1"/>
  <c r="B332" i="25" s="1"/>
  <c r="D332" i="25" s="1"/>
  <c r="E332" i="25" s="1"/>
  <c r="F332" i="25" s="1"/>
  <c r="Q67" i="25"/>
  <c r="P67" i="25" s="1"/>
  <c r="V67" i="25" s="1"/>
  <c r="B67" i="25" s="1"/>
  <c r="W67" i="25" s="1"/>
  <c r="Q302" i="25"/>
  <c r="P302" i="25" s="1"/>
  <c r="V302" i="25" s="1"/>
  <c r="B302" i="25" s="1"/>
  <c r="Q156" i="25"/>
  <c r="P156" i="25" s="1"/>
  <c r="V156" i="25" s="1"/>
  <c r="B156" i="25" s="1"/>
  <c r="W156" i="25" s="1"/>
  <c r="Q147" i="25"/>
  <c r="P147" i="25" s="1"/>
  <c r="V147" i="25" s="1"/>
  <c r="B147" i="25" s="1"/>
  <c r="W147" i="25" s="1"/>
  <c r="Q41" i="25"/>
  <c r="P41" i="25" s="1"/>
  <c r="V41" i="25" s="1"/>
  <c r="B41" i="25" s="1"/>
  <c r="W41" i="25" s="1"/>
  <c r="Q238" i="25"/>
  <c r="P238" i="25" s="1"/>
  <c r="V238" i="25" s="1"/>
  <c r="B238" i="25" s="1"/>
  <c r="W238" i="25" s="1"/>
  <c r="Q283" i="25"/>
  <c r="P283" i="25" s="1"/>
  <c r="V283" i="25" s="1"/>
  <c r="B283" i="25" s="1"/>
  <c r="W283" i="25" s="1"/>
  <c r="Q255" i="25"/>
  <c r="P255" i="25" s="1"/>
  <c r="V255" i="25" s="1"/>
  <c r="B255" i="25" s="1"/>
  <c r="W255" i="25" s="1"/>
  <c r="Q155" i="25"/>
  <c r="P155" i="25" s="1"/>
  <c r="V155" i="25" s="1"/>
  <c r="B155" i="25" s="1"/>
  <c r="D155" i="25" s="1"/>
  <c r="E155" i="25" s="1"/>
  <c r="F155" i="25" s="1"/>
  <c r="Q19" i="25"/>
  <c r="P19" i="25" s="1"/>
  <c r="V19" i="25" s="1"/>
  <c r="B19" i="25" s="1"/>
  <c r="W19" i="25" s="1"/>
  <c r="Q320" i="25"/>
  <c r="P320" i="25" s="1"/>
  <c r="V320" i="25" s="1"/>
  <c r="B320" i="25" s="1"/>
  <c r="W320" i="25" s="1"/>
  <c r="Q279" i="25"/>
  <c r="P279" i="25" s="1"/>
  <c r="V279" i="25" s="1"/>
  <c r="B279" i="25" s="1"/>
  <c r="W279" i="25" s="1"/>
  <c r="Q169" i="25"/>
  <c r="P169" i="25" s="1"/>
  <c r="V169" i="25" s="1"/>
  <c r="B169" i="25" s="1"/>
  <c r="W169" i="25" s="1"/>
  <c r="Q339" i="25"/>
  <c r="P339" i="25" s="1"/>
  <c r="V339" i="25" s="1"/>
  <c r="B339" i="25" s="1"/>
  <c r="D339" i="25" s="1"/>
  <c r="E339" i="25" s="1"/>
  <c r="F339" i="25" s="1"/>
  <c r="Q50" i="25"/>
  <c r="P50" i="25" s="1"/>
  <c r="V50" i="25" s="1"/>
  <c r="B50" i="25" s="1"/>
  <c r="W50" i="25" s="1"/>
  <c r="Q318" i="25"/>
  <c r="P318" i="25" s="1"/>
  <c r="V318" i="25" s="1"/>
  <c r="B318" i="25" s="1"/>
  <c r="D318" i="25" s="1"/>
  <c r="E318" i="25" s="1"/>
  <c r="F318" i="25" s="1"/>
  <c r="G318" i="25" s="1"/>
  <c r="CF318" i="6" s="1"/>
  <c r="Q192" i="25"/>
  <c r="P192" i="25" s="1"/>
  <c r="V192" i="25" s="1"/>
  <c r="B192" i="25" s="1"/>
  <c r="W192" i="25" s="1"/>
  <c r="Q297" i="25"/>
  <c r="P297" i="25" s="1"/>
  <c r="V297" i="25" s="1"/>
  <c r="B297" i="25" s="1"/>
  <c r="D297" i="25" s="1"/>
  <c r="E297" i="25" s="1"/>
  <c r="F297" i="25" s="1"/>
  <c r="Q253" i="25"/>
  <c r="P253" i="25" s="1"/>
  <c r="V253" i="25" s="1"/>
  <c r="B253" i="25" s="1"/>
  <c r="W253" i="25" s="1"/>
  <c r="Q304" i="25"/>
  <c r="P304" i="25" s="1"/>
  <c r="V304" i="25" s="1"/>
  <c r="B304" i="25" s="1"/>
  <c r="D304" i="25" s="1"/>
  <c r="E304" i="25" s="1"/>
  <c r="F304" i="25" s="1"/>
  <c r="Q317" i="25"/>
  <c r="P317" i="25" s="1"/>
  <c r="V317" i="25" s="1"/>
  <c r="B317" i="25" s="1"/>
  <c r="D317" i="25" s="1"/>
  <c r="E317" i="25" s="1"/>
  <c r="F317" i="25" s="1"/>
  <c r="Q33" i="25"/>
  <c r="P33" i="25" s="1"/>
  <c r="V33" i="25" s="1"/>
  <c r="B33" i="25" s="1"/>
  <c r="D33" i="25" s="1"/>
  <c r="E33" i="25" s="1"/>
  <c r="F33" i="25" s="1"/>
  <c r="Q92" i="25"/>
  <c r="P92" i="25" s="1"/>
  <c r="V92" i="25" s="1"/>
  <c r="B92" i="25" s="1"/>
  <c r="W92" i="25" s="1"/>
  <c r="Q223" i="25"/>
  <c r="P223" i="25" s="1"/>
  <c r="V223" i="25" s="1"/>
  <c r="B223" i="25" s="1"/>
  <c r="D223" i="25" s="1"/>
  <c r="E223" i="25" s="1"/>
  <c r="F223" i="25" s="1"/>
  <c r="Q222" i="25"/>
  <c r="P222" i="25" s="1"/>
  <c r="V222" i="25" s="1"/>
  <c r="B222" i="25" s="1"/>
  <c r="W222" i="25" s="1"/>
  <c r="Q335" i="25"/>
  <c r="P335" i="25" s="1"/>
  <c r="V335" i="25" s="1"/>
  <c r="B335" i="25" s="1"/>
  <c r="D335" i="25" s="1"/>
  <c r="E335" i="25" s="1"/>
  <c r="F335" i="25" s="1"/>
  <c r="Q296" i="25"/>
  <c r="P296" i="25" s="1"/>
  <c r="V296" i="25" s="1"/>
  <c r="B296" i="25" s="1"/>
  <c r="D296" i="25" s="1"/>
  <c r="E296" i="25" s="1"/>
  <c r="F296" i="25" s="1"/>
  <c r="Q256" i="25"/>
  <c r="P256" i="25" s="1"/>
  <c r="V256" i="25" s="1"/>
  <c r="B256" i="25" s="1"/>
  <c r="D256" i="25" s="1"/>
  <c r="E256" i="25" s="1"/>
  <c r="F256" i="25" s="1"/>
  <c r="G256" i="25" s="1"/>
  <c r="CF256" i="6" s="1"/>
  <c r="Q325" i="25"/>
  <c r="P325" i="25" s="1"/>
  <c r="V325" i="25" s="1"/>
  <c r="B325" i="25" s="1"/>
  <c r="W325" i="25" s="1"/>
  <c r="Q164" i="25"/>
  <c r="P164" i="25" s="1"/>
  <c r="V164" i="25" s="1"/>
  <c r="B164" i="25" s="1"/>
  <c r="W164" i="25" s="1"/>
  <c r="Q93" i="25"/>
  <c r="P93" i="25" s="1"/>
  <c r="V93" i="25" s="1"/>
  <c r="B93" i="25" s="1"/>
  <c r="W93" i="25" s="1"/>
  <c r="Q262" i="25"/>
  <c r="P262" i="25" s="1"/>
  <c r="V262" i="25" s="1"/>
  <c r="B262" i="25" s="1"/>
  <c r="D262" i="25" s="1"/>
  <c r="E262" i="25" s="1"/>
  <c r="F262" i="25" s="1"/>
  <c r="Q217" i="25"/>
  <c r="P217" i="25" s="1"/>
  <c r="V217" i="25" s="1"/>
  <c r="B217" i="25" s="1"/>
  <c r="W217" i="25" s="1"/>
  <c r="Q177" i="25"/>
  <c r="P177" i="25" s="1"/>
  <c r="V177" i="25" s="1"/>
  <c r="B177" i="25" s="1"/>
  <c r="W177" i="25" s="1"/>
  <c r="Q125" i="25"/>
  <c r="P125" i="25" s="1"/>
  <c r="V125" i="25" s="1"/>
  <c r="B125" i="25" s="1"/>
  <c r="W125" i="25" s="1"/>
  <c r="Q347" i="25"/>
  <c r="P347" i="25" s="1"/>
  <c r="V347" i="25" s="1"/>
  <c r="B347" i="25" s="1"/>
  <c r="W347" i="25" s="1"/>
  <c r="Q79" i="25"/>
  <c r="P79" i="25" s="1"/>
  <c r="V79" i="25" s="1"/>
  <c r="B79" i="25" s="1"/>
  <c r="W79" i="25" s="1"/>
  <c r="F42" i="19"/>
  <c r="AJ13" i="23"/>
  <c r="Q193" i="25"/>
  <c r="P193" i="25" s="1"/>
  <c r="V193" i="25" s="1"/>
  <c r="B193" i="25" s="1"/>
  <c r="D193" i="25" s="1"/>
  <c r="E193" i="25" s="1"/>
  <c r="F193" i="25" s="1"/>
  <c r="G193" i="25" s="1"/>
  <c r="CF193" i="6" s="1"/>
  <c r="Q99" i="25"/>
  <c r="P99" i="25" s="1"/>
  <c r="V99" i="25" s="1"/>
  <c r="B99" i="25" s="1"/>
  <c r="D99" i="25" s="1"/>
  <c r="E99" i="25" s="1"/>
  <c r="F99" i="25" s="1"/>
  <c r="Q145" i="25"/>
  <c r="P145" i="25" s="1"/>
  <c r="V145" i="25" s="1"/>
  <c r="B145" i="25" s="1"/>
  <c r="W145" i="25" s="1"/>
  <c r="Q286" i="25"/>
  <c r="P286" i="25" s="1"/>
  <c r="V286" i="25" s="1"/>
  <c r="B286" i="25" s="1"/>
  <c r="D286" i="25" s="1"/>
  <c r="E286" i="25" s="1"/>
  <c r="F286" i="25" s="1"/>
  <c r="Q334" i="25"/>
  <c r="P334" i="25" s="1"/>
  <c r="V334" i="25" s="1"/>
  <c r="B334" i="25" s="1"/>
  <c r="W334" i="25" s="1"/>
  <c r="Q305" i="25"/>
  <c r="P305" i="25" s="1"/>
  <c r="V305" i="25" s="1"/>
  <c r="B305" i="25" s="1"/>
  <c r="D305" i="25" s="1"/>
  <c r="E305" i="25" s="1"/>
  <c r="F305" i="25" s="1"/>
  <c r="G305" i="25" s="1"/>
  <c r="CF305" i="6" s="1"/>
  <c r="Q362" i="25"/>
  <c r="P362" i="25" s="1"/>
  <c r="V362" i="25" s="1"/>
  <c r="B362" i="25" s="1"/>
  <c r="W362" i="25" s="1"/>
  <c r="Q301" i="25"/>
  <c r="P301" i="25" s="1"/>
  <c r="V301" i="25" s="1"/>
  <c r="B301" i="25" s="1"/>
  <c r="D301" i="25" s="1"/>
  <c r="E301" i="25" s="1"/>
  <c r="F301" i="25" s="1"/>
  <c r="AK13" i="23"/>
  <c r="AL9" i="23"/>
  <c r="AM7" i="23"/>
  <c r="I39" i="19"/>
  <c r="I31" i="19"/>
  <c r="H39" i="19"/>
  <c r="H31" i="19"/>
  <c r="J107" i="24"/>
  <c r="I107" i="24"/>
  <c r="I118" i="24"/>
  <c r="Q274" i="25"/>
  <c r="P274" i="25" s="1"/>
  <c r="V274" i="25" s="1"/>
  <c r="B274" i="25" s="1"/>
  <c r="D274" i="25" s="1"/>
  <c r="E274" i="25" s="1"/>
  <c r="F274" i="25" s="1"/>
  <c r="G274" i="25" s="1"/>
  <c r="CF274" i="6" s="1"/>
  <c r="Q27" i="25"/>
  <c r="P27" i="25" s="1"/>
  <c r="V27" i="25" s="1"/>
  <c r="B27" i="25" s="1"/>
  <c r="W27" i="25" s="1"/>
  <c r="Q126" i="25"/>
  <c r="P126" i="25" s="1"/>
  <c r="V126" i="25" s="1"/>
  <c r="B126" i="25" s="1"/>
  <c r="D126" i="25" s="1"/>
  <c r="E126" i="25" s="1"/>
  <c r="F126" i="25" s="1"/>
  <c r="Q351" i="25"/>
  <c r="P351" i="25" s="1"/>
  <c r="V351" i="25" s="1"/>
  <c r="B351" i="25" s="1"/>
  <c r="W351" i="25" s="1"/>
  <c r="Q342" i="25"/>
  <c r="P342" i="25" s="1"/>
  <c r="V342" i="25" s="1"/>
  <c r="B342" i="25" s="1"/>
  <c r="D342" i="25" s="1"/>
  <c r="E342" i="25" s="1"/>
  <c r="F342" i="25" s="1"/>
  <c r="G342" i="25" s="1"/>
  <c r="CF342" i="6" s="1"/>
  <c r="Q272" i="25"/>
  <c r="P272" i="25" s="1"/>
  <c r="V272" i="25" s="1"/>
  <c r="B272" i="25" s="1"/>
  <c r="Q91" i="25"/>
  <c r="P91" i="25" s="1"/>
  <c r="V91" i="25" s="1"/>
  <c r="B91" i="25" s="1"/>
  <c r="W91" i="25" s="1"/>
  <c r="Q48" i="25"/>
  <c r="P48" i="25" s="1"/>
  <c r="V48" i="25" s="1"/>
  <c r="B48" i="25" s="1"/>
  <c r="W48" i="25" s="1"/>
  <c r="Q232" i="25"/>
  <c r="P232" i="25" s="1"/>
  <c r="V232" i="25" s="1"/>
  <c r="B232" i="25" s="1"/>
  <c r="W232" i="25" s="1"/>
  <c r="Q200" i="25"/>
  <c r="P200" i="25" s="1"/>
  <c r="V200" i="25" s="1"/>
  <c r="B200" i="25" s="1"/>
  <c r="W200" i="25" s="1"/>
  <c r="Q341" i="25"/>
  <c r="P341" i="25" s="1"/>
  <c r="V341" i="25" s="1"/>
  <c r="B341" i="25" s="1"/>
  <c r="D341" i="25" s="1"/>
  <c r="E341" i="25" s="1"/>
  <c r="F341" i="25" s="1"/>
  <c r="Q82" i="25"/>
  <c r="P82" i="25" s="1"/>
  <c r="V82" i="25" s="1"/>
  <c r="B82" i="25" s="1"/>
  <c r="W82" i="25" s="1"/>
  <c r="Q23" i="25"/>
  <c r="P23" i="25" s="1"/>
  <c r="V23" i="25" s="1"/>
  <c r="B23" i="25" s="1"/>
  <c r="W23" i="25" s="1"/>
  <c r="Q202" i="25"/>
  <c r="P202" i="25" s="1"/>
  <c r="V202" i="25" s="1"/>
  <c r="B202" i="25" s="1"/>
  <c r="D202" i="25" s="1"/>
  <c r="E202" i="25" s="1"/>
  <c r="F202" i="25" s="1"/>
  <c r="G202" i="25" s="1"/>
  <c r="CF202" i="6" s="1"/>
  <c r="Q154" i="25"/>
  <c r="P154" i="25" s="1"/>
  <c r="V154" i="25" s="1"/>
  <c r="B154" i="25" s="1"/>
  <c r="W154" i="25" s="1"/>
  <c r="Q123" i="25"/>
  <c r="P123" i="25" s="1"/>
  <c r="V123" i="25" s="1"/>
  <c r="B123" i="25" s="1"/>
  <c r="D123" i="25" s="1"/>
  <c r="E123" i="25" s="1"/>
  <c r="F123" i="25" s="1"/>
  <c r="Q365" i="25"/>
  <c r="P365" i="25" s="1"/>
  <c r="V365" i="25" s="1"/>
  <c r="B365" i="25" s="1"/>
  <c r="D365" i="25" s="1"/>
  <c r="E365" i="25" s="1"/>
  <c r="F365" i="25" s="1"/>
  <c r="G365" i="25" s="1"/>
  <c r="CF365" i="6" s="1"/>
  <c r="Q98" i="25"/>
  <c r="P98" i="25" s="1"/>
  <c r="V98" i="25" s="1"/>
  <c r="B98" i="25" s="1"/>
  <c r="D98" i="25" s="1"/>
  <c r="E98" i="25" s="1"/>
  <c r="F98" i="25" s="1"/>
  <c r="Q364" i="25"/>
  <c r="P364" i="25" s="1"/>
  <c r="V364" i="25" s="1"/>
  <c r="B364" i="25" s="1"/>
  <c r="W364" i="25" s="1"/>
  <c r="Q51" i="25"/>
  <c r="P51" i="25" s="1"/>
  <c r="V51" i="25" s="1"/>
  <c r="B51" i="25" s="1"/>
  <c r="D51" i="25" s="1"/>
  <c r="E51" i="25" s="1"/>
  <c r="F51" i="25" s="1"/>
  <c r="Q194" i="25"/>
  <c r="P194" i="25" s="1"/>
  <c r="V194" i="25" s="1"/>
  <c r="B194" i="25" s="1"/>
  <c r="D194" i="25" s="1"/>
  <c r="E194" i="25" s="1"/>
  <c r="F194" i="25" s="1"/>
  <c r="Q370" i="25"/>
  <c r="P370" i="25" s="1"/>
  <c r="V370" i="25" s="1"/>
  <c r="B370" i="25" s="1"/>
  <c r="W370" i="25" s="1"/>
  <c r="Q149" i="25"/>
  <c r="P149" i="25" s="1"/>
  <c r="AH72" i="7" s="1"/>
  <c r="Q40" i="25"/>
  <c r="P40" i="25" s="1"/>
  <c r="V40" i="25" s="1"/>
  <c r="B40" i="25" s="1"/>
  <c r="D40" i="25" s="1"/>
  <c r="E40" i="25" s="1"/>
  <c r="F40" i="25" s="1"/>
  <c r="Q292" i="25"/>
  <c r="P292" i="25" s="1"/>
  <c r="V292" i="25" s="1"/>
  <c r="B292" i="25" s="1"/>
  <c r="D292" i="25" s="1"/>
  <c r="E292" i="25" s="1"/>
  <c r="F292" i="25" s="1"/>
  <c r="Q111" i="25"/>
  <c r="P111" i="25" s="1"/>
  <c r="V111" i="25" s="1"/>
  <c r="B111" i="25" s="1"/>
  <c r="W111" i="25" s="1"/>
  <c r="Q269" i="25"/>
  <c r="P269" i="25" s="1"/>
  <c r="V269" i="25" s="1"/>
  <c r="B269" i="25" s="1"/>
  <c r="D269" i="25" s="1"/>
  <c r="E269" i="25" s="1"/>
  <c r="F269" i="25" s="1"/>
  <c r="Q268" i="25"/>
  <c r="P268" i="25" s="1"/>
  <c r="V268" i="25" s="1"/>
  <c r="B268" i="25" s="1"/>
  <c r="W268" i="25" s="1"/>
  <c r="Q127" i="25"/>
  <c r="P127" i="25" s="1"/>
  <c r="V127" i="25" s="1"/>
  <c r="B127" i="25" s="1"/>
  <c r="W127" i="25" s="1"/>
  <c r="Q336" i="25"/>
  <c r="P336" i="25" s="1"/>
  <c r="V336" i="25" s="1"/>
  <c r="B336" i="25" s="1"/>
  <c r="D336" i="25" s="1"/>
  <c r="E336" i="25" s="1"/>
  <c r="F336" i="25" s="1"/>
  <c r="Q308" i="25"/>
  <c r="P308" i="25" s="1"/>
  <c r="V308" i="25" s="1"/>
  <c r="B308" i="25" s="1"/>
  <c r="W308" i="25" s="1"/>
  <c r="Q374" i="25"/>
  <c r="P374" i="25" s="1"/>
  <c r="V374" i="25" s="1"/>
  <c r="B374" i="25" s="1"/>
  <c r="D374" i="25" s="1"/>
  <c r="E374" i="25" s="1"/>
  <c r="F374" i="25" s="1"/>
  <c r="Q161" i="25"/>
  <c r="P161" i="25" s="1"/>
  <c r="V161" i="25" s="1"/>
  <c r="B161" i="25" s="1"/>
  <c r="W161" i="25" s="1"/>
  <c r="Q287" i="25"/>
  <c r="P287" i="25" s="1"/>
  <c r="V287" i="25" s="1"/>
  <c r="B287" i="25" s="1"/>
  <c r="W287" i="25" s="1"/>
  <c r="Q16" i="25"/>
  <c r="P16" i="25" s="1"/>
  <c r="V16" i="25" s="1"/>
  <c r="B16" i="25" s="1"/>
  <c r="W16" i="25" s="1"/>
  <c r="Q128" i="25"/>
  <c r="P128" i="25" s="1"/>
  <c r="V128" i="25" s="1"/>
  <c r="B128" i="25" s="1"/>
  <c r="D128" i="25" s="1"/>
  <c r="E128" i="25" s="1"/>
  <c r="F128" i="25" s="1"/>
  <c r="Q295" i="25"/>
  <c r="P295" i="25" s="1"/>
  <c r="V295" i="25" s="1"/>
  <c r="B295" i="25" s="1"/>
  <c r="D295" i="25" s="1"/>
  <c r="E295" i="25" s="1"/>
  <c r="F295" i="25" s="1"/>
  <c r="G295" i="25" s="1"/>
  <c r="CF295" i="6" s="1"/>
  <c r="Q185" i="25"/>
  <c r="P185" i="25" s="1"/>
  <c r="V185" i="25" s="1"/>
  <c r="B185" i="25" s="1"/>
  <c r="D185" i="25" s="1"/>
  <c r="E185" i="25" s="1"/>
  <c r="F185" i="25" s="1"/>
  <c r="Q330" i="25"/>
  <c r="P330" i="25" s="1"/>
  <c r="V330" i="25" s="1"/>
  <c r="B330" i="25" s="1"/>
  <c r="W330" i="25" s="1"/>
  <c r="Q218" i="25"/>
  <c r="P218" i="25" s="1"/>
  <c r="V218" i="25" s="1"/>
  <c r="B218" i="25" s="1"/>
  <c r="W218" i="25" s="1"/>
  <c r="Q219" i="25"/>
  <c r="P219" i="25" s="1"/>
  <c r="V219" i="25" s="1"/>
  <c r="B219" i="25" s="1"/>
  <c r="D219" i="25" s="1"/>
  <c r="E219" i="25" s="1"/>
  <c r="F219" i="25" s="1"/>
  <c r="Q338" i="25"/>
  <c r="P338" i="25" s="1"/>
  <c r="V338" i="25" s="1"/>
  <c r="B338" i="25" s="1"/>
  <c r="D338" i="25" s="1"/>
  <c r="E338" i="25" s="1"/>
  <c r="F338" i="25" s="1"/>
  <c r="Q184" i="25"/>
  <c r="P184" i="25" s="1"/>
  <c r="V184" i="25" s="1"/>
  <c r="B184" i="25" s="1"/>
  <c r="D184" i="25" s="1"/>
  <c r="E184" i="25" s="1"/>
  <c r="F184" i="25" s="1"/>
  <c r="G184" i="25" s="1"/>
  <c r="CF184" i="6" s="1"/>
  <c r="Q326" i="25"/>
  <c r="P326" i="25" s="1"/>
  <c r="V326" i="25" s="1"/>
  <c r="B326" i="25" s="1"/>
  <c r="W326" i="25" s="1"/>
  <c r="Q191" i="25"/>
  <c r="P191" i="25" s="1"/>
  <c r="V191" i="25" s="1"/>
  <c r="B191" i="25" s="1"/>
  <c r="W191" i="25" s="1"/>
  <c r="Q210" i="25"/>
  <c r="P210" i="25" s="1"/>
  <c r="V210" i="25" s="1"/>
  <c r="B210" i="25" s="1"/>
  <c r="Q60" i="25"/>
  <c r="P60" i="25" s="1"/>
  <c r="V60" i="25" s="1"/>
  <c r="B60" i="25" s="1"/>
  <c r="Q378" i="25"/>
  <c r="P378" i="25" s="1"/>
  <c r="V378" i="25" s="1"/>
  <c r="B378" i="25" s="1"/>
  <c r="D378" i="25" s="1"/>
  <c r="E378" i="25" s="1"/>
  <c r="F378" i="25" s="1"/>
  <c r="Q131" i="25"/>
  <c r="P131" i="25" s="1"/>
  <c r="V131" i="25" s="1"/>
  <c r="B131" i="25" s="1"/>
  <c r="W131" i="25" s="1"/>
  <c r="Q285" i="25"/>
  <c r="P285" i="25" s="1"/>
  <c r="V285" i="25" s="1"/>
  <c r="B285" i="25" s="1"/>
  <c r="W285" i="25" s="1"/>
  <c r="Q241" i="25"/>
  <c r="P241" i="25" s="1"/>
  <c r="AH75" i="7" s="1"/>
  <c r="Q314" i="25"/>
  <c r="P314" i="25" s="1"/>
  <c r="V314" i="25" s="1"/>
  <c r="B314" i="25" s="1"/>
  <c r="D314" i="25" s="1"/>
  <c r="E314" i="25" s="1"/>
  <c r="F314" i="25" s="1"/>
  <c r="Q195" i="25"/>
  <c r="P195" i="25" s="1"/>
  <c r="V195" i="25" s="1"/>
  <c r="B195" i="25" s="1"/>
  <c r="D195" i="25" s="1"/>
  <c r="E195" i="25" s="1"/>
  <c r="F195" i="25" s="1"/>
  <c r="G195" i="25" s="1"/>
  <c r="CF195" i="6" s="1"/>
  <c r="Q299" i="25"/>
  <c r="P299" i="25" s="1"/>
  <c r="V299" i="25" s="1"/>
  <c r="B299" i="25" s="1"/>
  <c r="D299" i="25" s="1"/>
  <c r="E299" i="25" s="1"/>
  <c r="F299" i="25" s="1"/>
  <c r="G299" i="25" s="1"/>
  <c r="CF299" i="6" s="1"/>
  <c r="Q322" i="25"/>
  <c r="P322" i="25" s="1"/>
  <c r="V322" i="25" s="1"/>
  <c r="B322" i="25" s="1"/>
  <c r="W322" i="25" s="1"/>
  <c r="Q170" i="25"/>
  <c r="P170" i="25" s="1"/>
  <c r="V170" i="25" s="1"/>
  <c r="B170" i="25" s="1"/>
  <c r="D170" i="25" s="1"/>
  <c r="E170" i="25" s="1"/>
  <c r="F170" i="25" s="1"/>
  <c r="Q116" i="25"/>
  <c r="P116" i="25" s="1"/>
  <c r="V116" i="25" s="1"/>
  <c r="B116" i="25" s="1"/>
  <c r="D116" i="25" s="1"/>
  <c r="E116" i="25" s="1"/>
  <c r="F116" i="25" s="1"/>
  <c r="G116" i="25" s="1"/>
  <c r="CF116" i="6" s="1"/>
  <c r="Q349" i="25"/>
  <c r="P349" i="25" s="1"/>
  <c r="V349" i="25" s="1"/>
  <c r="B349" i="25" s="1"/>
  <c r="W349" i="25" s="1"/>
  <c r="Q105" i="25"/>
  <c r="P105" i="25" s="1"/>
  <c r="V105" i="25" s="1"/>
  <c r="B105" i="25" s="1"/>
  <c r="D105" i="25" s="1"/>
  <c r="E105" i="25" s="1"/>
  <c r="F105" i="25" s="1"/>
  <c r="Q363" i="25"/>
  <c r="P363" i="25" s="1"/>
  <c r="V363" i="25" s="1"/>
  <c r="B363" i="25" s="1"/>
  <c r="Q53" i="25"/>
  <c r="P53" i="25" s="1"/>
  <c r="V53" i="25" s="1"/>
  <c r="B53" i="25" s="1"/>
  <c r="W53" i="25" s="1"/>
  <c r="Q281" i="25"/>
  <c r="P281" i="25" s="1"/>
  <c r="V281" i="25" s="1"/>
  <c r="B281" i="25" s="1"/>
  <c r="D281" i="25" s="1"/>
  <c r="E281" i="25" s="1"/>
  <c r="F281" i="25" s="1"/>
  <c r="Q176" i="25"/>
  <c r="P176" i="25" s="1"/>
  <c r="V176" i="25" s="1"/>
  <c r="B176" i="25" s="1"/>
  <c r="W176" i="25" s="1"/>
  <c r="Q327" i="25"/>
  <c r="P327" i="25" s="1"/>
  <c r="V327" i="25" s="1"/>
  <c r="B327" i="25" s="1"/>
  <c r="W327" i="25" s="1"/>
  <c r="Q215" i="25"/>
  <c r="P215" i="25" s="1"/>
  <c r="V215" i="25" s="1"/>
  <c r="B215" i="25" s="1"/>
  <c r="W215" i="25" s="1"/>
  <c r="Q152" i="25"/>
  <c r="P152" i="25" s="1"/>
  <c r="V152" i="25" s="1"/>
  <c r="B152" i="25" s="1"/>
  <c r="W152" i="25" s="1"/>
  <c r="Q57" i="25"/>
  <c r="P57" i="25" s="1"/>
  <c r="V57" i="25" s="1"/>
  <c r="B57" i="25" s="1"/>
  <c r="D57" i="25" s="1"/>
  <c r="E57" i="25" s="1"/>
  <c r="F57" i="25" s="1"/>
  <c r="Q72" i="25"/>
  <c r="P72" i="25" s="1"/>
  <c r="V72" i="25" s="1"/>
  <c r="B72" i="25" s="1"/>
  <c r="D72" i="25" s="1"/>
  <c r="E72" i="25" s="1"/>
  <c r="F72" i="25" s="1"/>
  <c r="Q316" i="25"/>
  <c r="P316" i="25" s="1"/>
  <c r="V316" i="25" s="1"/>
  <c r="B316" i="25" s="1"/>
  <c r="W316" i="25" s="1"/>
  <c r="Q373" i="25"/>
  <c r="P373" i="25" s="1"/>
  <c r="V373" i="25" s="1"/>
  <c r="B373" i="25" s="1"/>
  <c r="W373" i="25" s="1"/>
  <c r="Q258" i="25"/>
  <c r="P258" i="25" s="1"/>
  <c r="V258" i="25" s="1"/>
  <c r="B258" i="25" s="1"/>
  <c r="Q110" i="25"/>
  <c r="P110" i="25" s="1"/>
  <c r="V110" i="25" s="1"/>
  <c r="B110" i="25" s="1"/>
  <c r="W110" i="25" s="1"/>
  <c r="Q90" i="25"/>
  <c r="P90" i="25" s="1"/>
  <c r="V90" i="25" s="1"/>
  <c r="B90" i="25" s="1"/>
  <c r="W90" i="25" s="1"/>
  <c r="Q146" i="25"/>
  <c r="P146" i="25" s="1"/>
  <c r="V146" i="25" s="1"/>
  <c r="B146" i="25" s="1"/>
  <c r="W146" i="25" s="1"/>
  <c r="Q118" i="25"/>
  <c r="P118" i="25" s="1"/>
  <c r="V118" i="25" s="1"/>
  <c r="B118" i="25" s="1"/>
  <c r="D118" i="25" s="1"/>
  <c r="E118" i="25" s="1"/>
  <c r="F118" i="25" s="1"/>
  <c r="Q289" i="25"/>
  <c r="P289" i="25" s="1"/>
  <c r="V289" i="25" s="1"/>
  <c r="B289" i="25" s="1"/>
  <c r="W289" i="25" s="1"/>
  <c r="Q271" i="25"/>
  <c r="P271" i="25" s="1"/>
  <c r="V271" i="25" s="1"/>
  <c r="B271" i="25" s="1"/>
  <c r="W271" i="25" s="1"/>
  <c r="Q226" i="25"/>
  <c r="P226" i="25" s="1"/>
  <c r="V226" i="25" s="1"/>
  <c r="B226" i="25" s="1"/>
  <c r="W226" i="25" s="1"/>
  <c r="Q61" i="25"/>
  <c r="P61" i="25" s="1"/>
  <c r="V61" i="25" s="1"/>
  <c r="B61" i="25" s="1"/>
  <c r="D61" i="25" s="1"/>
  <c r="E61" i="25" s="1"/>
  <c r="F61" i="25" s="1"/>
  <c r="Q216" i="25"/>
  <c r="P216" i="25" s="1"/>
  <c r="V216" i="25" s="1"/>
  <c r="B216" i="25" s="1"/>
  <c r="W216" i="25" s="1"/>
  <c r="Q197" i="25"/>
  <c r="P197" i="25" s="1"/>
  <c r="V197" i="25" s="1"/>
  <c r="B197" i="25" s="1"/>
  <c r="D197" i="25" s="1"/>
  <c r="E197" i="25" s="1"/>
  <c r="F197" i="25" s="1"/>
  <c r="Q346" i="25"/>
  <c r="P346" i="25" s="1"/>
  <c r="V346" i="25" s="1"/>
  <c r="B346" i="25" s="1"/>
  <c r="W346" i="25" s="1"/>
  <c r="Q17" i="25"/>
  <c r="P17" i="25" s="1"/>
  <c r="V17" i="25" s="1"/>
  <c r="B17" i="25" s="1"/>
  <c r="D17" i="25" s="1"/>
  <c r="E17" i="25" s="1"/>
  <c r="F17" i="25" s="1"/>
  <c r="Q22" i="25"/>
  <c r="P22" i="25" s="1"/>
  <c r="V22" i="25" s="1"/>
  <c r="B22" i="25" s="1"/>
  <c r="W22" i="25" s="1"/>
  <c r="Q151" i="25"/>
  <c r="P151" i="25" s="1"/>
  <c r="V151" i="25" s="1"/>
  <c r="B151" i="25" s="1"/>
  <c r="W151" i="25" s="1"/>
  <c r="Q350" i="25"/>
  <c r="P350" i="25" s="1"/>
  <c r="V350" i="25" s="1"/>
  <c r="B350" i="25" s="1"/>
  <c r="D350" i="25" s="1"/>
  <c r="E350" i="25" s="1"/>
  <c r="F350" i="25" s="1"/>
  <c r="Q189" i="25"/>
  <c r="P189" i="25" s="1"/>
  <c r="V189" i="25" s="1"/>
  <c r="B189" i="25" s="1"/>
  <c r="W189" i="25" s="1"/>
  <c r="Q280" i="25"/>
  <c r="P280" i="25" s="1"/>
  <c r="V280" i="25" s="1"/>
  <c r="B280" i="25" s="1"/>
  <c r="W280" i="25" s="1"/>
  <c r="Q34" i="25"/>
  <c r="P34" i="25" s="1"/>
  <c r="V34" i="25" s="1"/>
  <c r="B34" i="25" s="1"/>
  <c r="D34" i="25" s="1"/>
  <c r="E34" i="25" s="1"/>
  <c r="F34" i="25" s="1"/>
  <c r="Q158" i="25"/>
  <c r="P158" i="25" s="1"/>
  <c r="V158" i="25" s="1"/>
  <c r="B158" i="25" s="1"/>
  <c r="D158" i="25" s="1"/>
  <c r="E158" i="25" s="1"/>
  <c r="F158" i="25" s="1"/>
  <c r="Q212" i="25"/>
  <c r="P212" i="25" s="1"/>
  <c r="V212" i="25" s="1"/>
  <c r="B212" i="25" s="1"/>
  <c r="D212" i="25" s="1"/>
  <c r="E212" i="25" s="1"/>
  <c r="F212" i="25" s="1"/>
  <c r="Q94" i="25"/>
  <c r="P94" i="25" s="1"/>
  <c r="V94" i="25" s="1"/>
  <c r="B94" i="25" s="1"/>
  <c r="D94" i="25" s="1"/>
  <c r="E94" i="25" s="1"/>
  <c r="F94" i="25" s="1"/>
  <c r="Q237" i="25"/>
  <c r="P237" i="25" s="1"/>
  <c r="V237" i="25" s="1"/>
  <c r="B237" i="25" s="1"/>
  <c r="D237" i="25" s="1"/>
  <c r="E237" i="25" s="1"/>
  <c r="F237" i="25" s="1"/>
  <c r="Q377" i="25"/>
  <c r="P377" i="25" s="1"/>
  <c r="V377" i="25" s="1"/>
  <c r="B377" i="25" s="1"/>
  <c r="W377" i="25" s="1"/>
  <c r="Q173" i="25"/>
  <c r="P173" i="25" s="1"/>
  <c r="V173" i="25" s="1"/>
  <c r="B173" i="25" s="1"/>
  <c r="W173" i="25" s="1"/>
  <c r="Q324" i="25"/>
  <c r="P324" i="25" s="1"/>
  <c r="V324" i="25" s="1"/>
  <c r="B324" i="25" s="1"/>
  <c r="W324" i="25" s="1"/>
  <c r="Q100" i="25"/>
  <c r="P100" i="25" s="1"/>
  <c r="V100" i="25" s="1"/>
  <c r="B100" i="25" s="1"/>
  <c r="W100" i="25" s="1"/>
  <c r="Q298" i="25"/>
  <c r="P298" i="25" s="1"/>
  <c r="V298" i="25" s="1"/>
  <c r="B298" i="25" s="1"/>
  <c r="W298" i="25" s="1"/>
  <c r="Q294" i="25"/>
  <c r="P294" i="25" s="1"/>
  <c r="V294" i="25" s="1"/>
  <c r="B294" i="25" s="1"/>
  <c r="D294" i="25" s="1"/>
  <c r="E294" i="25" s="1"/>
  <c r="F294" i="25" s="1"/>
  <c r="Q36" i="25"/>
  <c r="P36" i="25" s="1"/>
  <c r="V36" i="25" s="1"/>
  <c r="B36" i="25" s="1"/>
  <c r="D36" i="25" s="1"/>
  <c r="E36" i="25" s="1"/>
  <c r="F36" i="25" s="1"/>
  <c r="Q166" i="25"/>
  <c r="P166" i="25" s="1"/>
  <c r="V166" i="25" s="1"/>
  <c r="B166" i="25" s="1"/>
  <c r="Q143" i="25"/>
  <c r="P143" i="25" s="1"/>
  <c r="V143" i="25" s="1"/>
  <c r="B143" i="25" s="1"/>
  <c r="W143" i="25" s="1"/>
  <c r="Q309" i="25"/>
  <c r="P309" i="25" s="1"/>
  <c r="V309" i="25" s="1"/>
  <c r="B309" i="25" s="1"/>
  <c r="W309" i="25" s="1"/>
  <c r="Q348" i="25"/>
  <c r="P348" i="25" s="1"/>
  <c r="V348" i="25" s="1"/>
  <c r="B348" i="25" s="1"/>
  <c r="W348" i="25" s="1"/>
  <c r="Q124" i="25"/>
  <c r="P124" i="25" s="1"/>
  <c r="V124" i="25" s="1"/>
  <c r="B124" i="25" s="1"/>
  <c r="W124" i="25" s="1"/>
  <c r="Q352" i="25"/>
  <c r="P352" i="25" s="1"/>
  <c r="V352" i="25" s="1"/>
  <c r="B352" i="25" s="1"/>
  <c r="D352" i="25" s="1"/>
  <c r="E352" i="25" s="1"/>
  <c r="F352" i="25" s="1"/>
  <c r="Q246" i="25"/>
  <c r="P246" i="25" s="1"/>
  <c r="V246" i="25" s="1"/>
  <c r="B246" i="25" s="1"/>
  <c r="D246" i="25" s="1"/>
  <c r="E246" i="25" s="1"/>
  <c r="F246" i="25" s="1"/>
  <c r="Q372" i="25"/>
  <c r="P372" i="25" s="1"/>
  <c r="V372" i="25" s="1"/>
  <c r="B372" i="25" s="1"/>
  <c r="W372" i="25" s="1"/>
  <c r="Q73" i="25"/>
  <c r="P73" i="25" s="1"/>
  <c r="V73" i="25" s="1"/>
  <c r="B73" i="25" s="1"/>
  <c r="W73" i="25" s="1"/>
  <c r="Q31" i="25"/>
  <c r="P31" i="25" s="1"/>
  <c r="V31" i="25" s="1"/>
  <c r="B31" i="25" s="1"/>
  <c r="D31" i="25" s="1"/>
  <c r="E31" i="25" s="1"/>
  <c r="F31" i="25" s="1"/>
  <c r="Q245" i="25"/>
  <c r="P245" i="25" s="1"/>
  <c r="V245" i="25" s="1"/>
  <c r="B245" i="25" s="1"/>
  <c r="D245" i="25" s="1"/>
  <c r="E245" i="25" s="1"/>
  <c r="F245" i="25" s="1"/>
  <c r="Q80" i="25"/>
  <c r="P80" i="25" s="1"/>
  <c r="V80" i="25" s="1"/>
  <c r="B80" i="25" s="1"/>
  <c r="W80" i="25" s="1"/>
  <c r="Q32" i="25"/>
  <c r="P32" i="25" s="1"/>
  <c r="V32" i="25" s="1"/>
  <c r="B32" i="25" s="1"/>
  <c r="W32" i="25" s="1"/>
  <c r="Q113" i="25"/>
  <c r="P113" i="25" s="1"/>
  <c r="V113" i="25" s="1"/>
  <c r="B113" i="25" s="1"/>
  <c r="D113" i="25" s="1"/>
  <c r="E113" i="25" s="1"/>
  <c r="F113" i="25" s="1"/>
  <c r="G113" i="25" s="1"/>
  <c r="CF113" i="6" s="1"/>
  <c r="Q199" i="25"/>
  <c r="P199" i="25" s="1"/>
  <c r="V199" i="25" s="1"/>
  <c r="B199" i="25" s="1"/>
  <c r="D199" i="25" s="1"/>
  <c r="E199" i="25" s="1"/>
  <c r="F199" i="25" s="1"/>
  <c r="G199" i="25" s="1"/>
  <c r="CF199" i="6" s="1"/>
  <c r="Q248" i="25"/>
  <c r="P248" i="25" s="1"/>
  <c r="V248" i="25" s="1"/>
  <c r="B248" i="25" s="1"/>
  <c r="W248" i="25" s="1"/>
  <c r="Q76" i="25"/>
  <c r="P76" i="25" s="1"/>
  <c r="V76" i="25" s="1"/>
  <c r="B76" i="25" s="1"/>
  <c r="D76" i="25" s="1"/>
  <c r="E76" i="25" s="1"/>
  <c r="F76" i="25" s="1"/>
  <c r="Q265" i="25"/>
  <c r="P265" i="25" s="1"/>
  <c r="V265" i="25" s="1"/>
  <c r="B265" i="25" s="1"/>
  <c r="W265" i="25" s="1"/>
  <c r="Q70" i="25"/>
  <c r="P70" i="25" s="1"/>
  <c r="V70" i="25" s="1"/>
  <c r="B70" i="25" s="1"/>
  <c r="W70" i="25" s="1"/>
  <c r="Q293" i="25"/>
  <c r="P293" i="25" s="1"/>
  <c r="V293" i="25" s="1"/>
  <c r="B293" i="25" s="1"/>
  <c r="D293" i="25" s="1"/>
  <c r="E293" i="25" s="1"/>
  <c r="F293" i="25" s="1"/>
  <c r="Q376" i="25"/>
  <c r="P376" i="25" s="1"/>
  <c r="V376" i="25" s="1"/>
  <c r="B376" i="25" s="1"/>
  <c r="W376" i="25" s="1"/>
  <c r="Q81" i="25"/>
  <c r="P81" i="25" s="1"/>
  <c r="V81" i="25" s="1"/>
  <c r="B81" i="25" s="1"/>
  <c r="W81" i="25" s="1"/>
  <c r="Q328" i="25"/>
  <c r="P328" i="25" s="1"/>
  <c r="V328" i="25" s="1"/>
  <c r="B328" i="25" s="1"/>
  <c r="W328" i="25" s="1"/>
  <c r="Q261" i="25"/>
  <c r="P261" i="25" s="1"/>
  <c r="V261" i="25" s="1"/>
  <c r="B261" i="25" s="1"/>
  <c r="D261" i="25" s="1"/>
  <c r="E261" i="25" s="1"/>
  <c r="F261" i="25" s="1"/>
  <c r="Q284" i="25"/>
  <c r="P284" i="25" s="1"/>
  <c r="V284" i="25" s="1"/>
  <c r="B284" i="25" s="1"/>
  <c r="D284" i="25" s="1"/>
  <c r="E284" i="25" s="1"/>
  <c r="F284" i="25" s="1"/>
  <c r="Q141" i="25"/>
  <c r="P141" i="25" s="1"/>
  <c r="V141" i="25" s="1"/>
  <c r="B141" i="25" s="1"/>
  <c r="W141" i="25" s="1"/>
  <c r="Q353" i="25"/>
  <c r="P353" i="25" s="1"/>
  <c r="V353" i="25" s="1"/>
  <c r="B353" i="25" s="1"/>
  <c r="W353" i="25" s="1"/>
  <c r="Q24" i="25"/>
  <c r="P24" i="25" s="1"/>
  <c r="V24" i="25" s="1"/>
  <c r="B24" i="25" s="1"/>
  <c r="W24" i="25" s="1"/>
  <c r="Q263" i="25"/>
  <c r="P263" i="25" s="1"/>
  <c r="V263" i="25" s="1"/>
  <c r="B263" i="25" s="1"/>
  <c r="D263" i="25" s="1"/>
  <c r="E263" i="25" s="1"/>
  <c r="F263" i="25" s="1"/>
  <c r="Q68" i="25"/>
  <c r="P68" i="25" s="1"/>
  <c r="V68" i="25" s="1"/>
  <c r="B68" i="25" s="1"/>
  <c r="D68" i="25" s="1"/>
  <c r="E68" i="25" s="1"/>
  <c r="F68" i="25" s="1"/>
  <c r="Q257" i="25"/>
  <c r="P257" i="25" s="1"/>
  <c r="V257" i="25" s="1"/>
  <c r="B257" i="25" s="1"/>
  <c r="D257" i="25" s="1"/>
  <c r="E257" i="25" s="1"/>
  <c r="F257" i="25" s="1"/>
  <c r="Q26" i="25"/>
  <c r="P26" i="25" s="1"/>
  <c r="V26" i="25" s="1"/>
  <c r="B26" i="25" s="1"/>
  <c r="W26" i="25" s="1"/>
  <c r="Q213" i="25"/>
  <c r="P213" i="25" s="1"/>
  <c r="V213" i="25" s="1"/>
  <c r="B213" i="25" s="1"/>
  <c r="D213" i="25" s="1"/>
  <c r="E213" i="25" s="1"/>
  <c r="F213" i="25" s="1"/>
  <c r="Q225" i="25"/>
  <c r="P225" i="25" s="1"/>
  <c r="V225" i="25" s="1"/>
  <c r="B225" i="25" s="1"/>
  <c r="D225" i="25" s="1"/>
  <c r="E225" i="25" s="1"/>
  <c r="F225" i="25" s="1"/>
  <c r="G225" i="25" s="1"/>
  <c r="CF225" i="6" s="1"/>
  <c r="Q307" i="25"/>
  <c r="P307" i="25" s="1"/>
  <c r="V307" i="25" s="1"/>
  <c r="B307" i="25" s="1"/>
  <c r="W307" i="25" s="1"/>
  <c r="Q54" i="25"/>
  <c r="P54" i="25" s="1"/>
  <c r="V54" i="25" s="1"/>
  <c r="B54" i="25" s="1"/>
  <c r="D54" i="25" s="1"/>
  <c r="E54" i="25" s="1"/>
  <c r="F54" i="25" s="1"/>
  <c r="Q144" i="25"/>
  <c r="P144" i="25" s="1"/>
  <c r="V144" i="25" s="1"/>
  <c r="B144" i="25" s="1"/>
  <c r="W144" i="25" s="1"/>
  <c r="Q214" i="25"/>
  <c r="P214" i="25" s="1"/>
  <c r="V214" i="25" s="1"/>
  <c r="B214" i="25" s="1"/>
  <c r="W214" i="25" s="1"/>
  <c r="Q239" i="25"/>
  <c r="P239" i="25" s="1"/>
  <c r="V239" i="25" s="1"/>
  <c r="B239" i="25" s="1"/>
  <c r="W239" i="25" s="1"/>
  <c r="Q331" i="25"/>
  <c r="P331" i="25" s="1"/>
  <c r="V331" i="25" s="1"/>
  <c r="B331" i="25" s="1"/>
  <c r="D331" i="25" s="1"/>
  <c r="E331" i="25" s="1"/>
  <c r="F331" i="25" s="1"/>
  <c r="Q221" i="25"/>
  <c r="P221" i="25" s="1"/>
  <c r="V221" i="25" s="1"/>
  <c r="B221" i="25" s="1"/>
  <c r="W221" i="25" s="1"/>
  <c r="Q209" i="25"/>
  <c r="P209" i="25" s="1"/>
  <c r="V209" i="25" s="1"/>
  <c r="B209" i="25" s="1"/>
  <c r="D209" i="25" s="1"/>
  <c r="E209" i="25" s="1"/>
  <c r="F209" i="25" s="1"/>
  <c r="Q224" i="25"/>
  <c r="P224" i="25" s="1"/>
  <c r="V224" i="25" s="1"/>
  <c r="B224" i="25" s="1"/>
  <c r="D224" i="25" s="1"/>
  <c r="E224" i="25" s="1"/>
  <c r="F224" i="25" s="1"/>
  <c r="G224" i="25" s="1"/>
  <c r="CF224" i="6" s="1"/>
  <c r="Q319" i="25"/>
  <c r="P319" i="25" s="1"/>
  <c r="V319" i="25" s="1"/>
  <c r="B319" i="25" s="1"/>
  <c r="W319" i="25" s="1"/>
  <c r="Q366" i="25"/>
  <c r="P366" i="25" s="1"/>
  <c r="V366" i="25" s="1"/>
  <c r="B366" i="25" s="1"/>
  <c r="D366" i="25" s="1"/>
  <c r="E366" i="25" s="1"/>
  <c r="F366" i="25" s="1"/>
  <c r="Q306" i="25"/>
  <c r="P306" i="25" s="1"/>
  <c r="V306" i="25" s="1"/>
  <c r="B306" i="25" s="1"/>
  <c r="W306" i="25" s="1"/>
  <c r="Q198" i="25"/>
  <c r="P198" i="25" s="1"/>
  <c r="V198" i="25" s="1"/>
  <c r="B198" i="25" s="1"/>
  <c r="W198" i="25" s="1"/>
  <c r="Q315" i="25"/>
  <c r="P315" i="25" s="1"/>
  <c r="V315" i="25" s="1"/>
  <c r="B315" i="25" s="1"/>
  <c r="W315" i="25" s="1"/>
  <c r="Q244" i="25"/>
  <c r="P244" i="25" s="1"/>
  <c r="V244" i="25" s="1"/>
  <c r="B244" i="25" s="1"/>
  <c r="W244" i="25" s="1"/>
  <c r="Q357" i="25"/>
  <c r="P357" i="25" s="1"/>
  <c r="V357" i="25" s="1"/>
  <c r="B357" i="25" s="1"/>
  <c r="W357" i="25" s="1"/>
  <c r="Q242" i="25"/>
  <c r="P242" i="25" s="1"/>
  <c r="V242" i="25" s="1"/>
  <c r="B242" i="25" s="1"/>
  <c r="W242" i="25" s="1"/>
  <c r="Q252" i="25"/>
  <c r="P252" i="25" s="1"/>
  <c r="V252" i="25" s="1"/>
  <c r="B252" i="25" s="1"/>
  <c r="W252" i="25" s="1"/>
  <c r="Q138" i="25"/>
  <c r="P138" i="25" s="1"/>
  <c r="V138" i="25" s="1"/>
  <c r="B138" i="25" s="1"/>
  <c r="D138" i="25" s="1"/>
  <c r="E138" i="25" s="1"/>
  <c r="F138" i="25" s="1"/>
  <c r="Q130" i="25"/>
  <c r="P130" i="25" s="1"/>
  <c r="V130" i="25" s="1"/>
  <c r="B130" i="25" s="1"/>
  <c r="W130" i="25" s="1"/>
  <c r="Q135" i="25"/>
  <c r="P135" i="25" s="1"/>
  <c r="V135" i="25" s="1"/>
  <c r="B135" i="25" s="1"/>
  <c r="W135" i="25" s="1"/>
  <c r="Q359" i="25"/>
  <c r="P359" i="25" s="1"/>
  <c r="V359" i="25" s="1"/>
  <c r="B359" i="25" s="1"/>
  <c r="D359" i="25" s="1"/>
  <c r="E359" i="25" s="1"/>
  <c r="F359" i="25" s="1"/>
  <c r="Q273" i="25"/>
  <c r="P273" i="25" s="1"/>
  <c r="V273" i="25" s="1"/>
  <c r="B273" i="25" s="1"/>
  <c r="W273" i="25" s="1"/>
  <c r="Q20" i="25"/>
  <c r="P20" i="25" s="1"/>
  <c r="V20" i="25" s="1"/>
  <c r="B20" i="25" s="1"/>
  <c r="W20" i="25" s="1"/>
  <c r="Q63" i="25"/>
  <c r="P63" i="25" s="1"/>
  <c r="V63" i="25" s="1"/>
  <c r="B63" i="25" s="1"/>
  <c r="W63" i="25" s="1"/>
  <c r="Q254" i="25"/>
  <c r="P254" i="25" s="1"/>
  <c r="V254" i="25" s="1"/>
  <c r="B254" i="25" s="1"/>
  <c r="W254" i="25" s="1"/>
  <c r="Q368" i="25"/>
  <c r="P368" i="25" s="1"/>
  <c r="V368" i="25" s="1"/>
  <c r="B368" i="25" s="1"/>
  <c r="D368" i="25" s="1"/>
  <c r="E368" i="25" s="1"/>
  <c r="F368" i="25" s="1"/>
  <c r="Q270" i="25"/>
  <c r="P270" i="25" s="1"/>
  <c r="V270" i="25" s="1"/>
  <c r="B270" i="25" s="1"/>
  <c r="W270" i="25" s="1"/>
  <c r="Q207" i="25"/>
  <c r="P207" i="25" s="1"/>
  <c r="V207" i="25" s="1"/>
  <c r="B207" i="25" s="1"/>
  <c r="W207" i="25" s="1"/>
  <c r="Q358" i="25"/>
  <c r="P358" i="25" s="1"/>
  <c r="V358" i="25" s="1"/>
  <c r="B358" i="25" s="1"/>
  <c r="W358" i="25" s="1"/>
  <c r="Q367" i="25"/>
  <c r="P367" i="25" s="1"/>
  <c r="V367" i="25" s="1"/>
  <c r="B367" i="25" s="1"/>
  <c r="W367" i="25" s="1"/>
  <c r="Q62" i="25"/>
  <c r="P62" i="25" s="1"/>
  <c r="V62" i="25" s="1"/>
  <c r="B62" i="25" s="1"/>
  <c r="D62" i="25" s="1"/>
  <c r="E62" i="25" s="1"/>
  <c r="F62" i="25" s="1"/>
  <c r="Q112" i="25"/>
  <c r="P112" i="25" s="1"/>
  <c r="V112" i="25" s="1"/>
  <c r="B112" i="25" s="1"/>
  <c r="D112" i="25" s="1"/>
  <c r="E112" i="25" s="1"/>
  <c r="F112" i="25" s="1"/>
  <c r="Q323" i="25"/>
  <c r="P323" i="25" s="1"/>
  <c r="V323" i="25" s="1"/>
  <c r="B323" i="25" s="1"/>
  <c r="D323" i="25" s="1"/>
  <c r="E323" i="25" s="1"/>
  <c r="F323" i="25" s="1"/>
  <c r="Q203" i="25"/>
  <c r="P203" i="25" s="1"/>
  <c r="V203" i="25" s="1"/>
  <c r="B203" i="25" s="1"/>
  <c r="D203" i="25" s="1"/>
  <c r="E203" i="25" s="1"/>
  <c r="F203" i="25" s="1"/>
  <c r="Q321" i="25"/>
  <c r="P321" i="25" s="1"/>
  <c r="V321" i="25" s="1"/>
  <c r="B321" i="25" s="1"/>
  <c r="W321" i="25" s="1"/>
  <c r="Q174" i="25"/>
  <c r="P174" i="25" s="1"/>
  <c r="V174" i="25" s="1"/>
  <c r="B174" i="25" s="1"/>
  <c r="D174" i="25" s="1"/>
  <c r="E174" i="25" s="1"/>
  <c r="F174" i="25" s="1"/>
  <c r="G174" i="25" s="1"/>
  <c r="CF174" i="6" s="1"/>
  <c r="Q132" i="25"/>
  <c r="P132" i="25" s="1"/>
  <c r="V132" i="25" s="1"/>
  <c r="B132" i="25" s="1"/>
  <c r="D132" i="25" s="1"/>
  <c r="E132" i="25" s="1"/>
  <c r="F132" i="25" s="1"/>
  <c r="Q43" i="25"/>
  <c r="P43" i="25" s="1"/>
  <c r="V43" i="25" s="1"/>
  <c r="B43" i="25" s="1"/>
  <c r="W43" i="25" s="1"/>
  <c r="Q249" i="25"/>
  <c r="P249" i="25" s="1"/>
  <c r="V249" i="25" s="1"/>
  <c r="B249" i="25" s="1"/>
  <c r="D249" i="25" s="1"/>
  <c r="E249" i="25" s="1"/>
  <c r="F249" i="25" s="1"/>
  <c r="Q179" i="25"/>
  <c r="P179" i="25" s="1"/>
  <c r="V179" i="25" s="1"/>
  <c r="B179" i="25" s="1"/>
  <c r="W179" i="25" s="1"/>
  <c r="Q35" i="25"/>
  <c r="P35" i="25" s="1"/>
  <c r="V35" i="25" s="1"/>
  <c r="B35" i="25" s="1"/>
  <c r="W35" i="25" s="1"/>
  <c r="Q44" i="25"/>
  <c r="P44" i="25" s="1"/>
  <c r="V44" i="25" s="1"/>
  <c r="B44" i="25" s="1"/>
  <c r="D44" i="25" s="1"/>
  <c r="E44" i="25" s="1"/>
  <c r="F44" i="25" s="1"/>
  <c r="Q97" i="25"/>
  <c r="P97" i="25" s="1"/>
  <c r="V97" i="25" s="1"/>
  <c r="B97" i="25" s="1"/>
  <c r="D97" i="25" s="1"/>
  <c r="E97" i="25" s="1"/>
  <c r="F97" i="25" s="1"/>
  <c r="Q240" i="25"/>
  <c r="P240" i="25" s="1"/>
  <c r="V240" i="25" s="1"/>
  <c r="B240" i="25" s="1"/>
  <c r="D240" i="25" s="1"/>
  <c r="E240" i="25" s="1"/>
  <c r="F240" i="25" s="1"/>
  <c r="Q344" i="25"/>
  <c r="P344" i="25" s="1"/>
  <c r="V344" i="25" s="1"/>
  <c r="B344" i="25" s="1"/>
  <c r="D344" i="25" s="1"/>
  <c r="E344" i="25" s="1"/>
  <c r="F344" i="25" s="1"/>
  <c r="Q337" i="25"/>
  <c r="P337" i="25" s="1"/>
  <c r="V337" i="25" s="1"/>
  <c r="B337" i="25" s="1"/>
  <c r="W337" i="25" s="1"/>
  <c r="Q178" i="25"/>
  <c r="P178" i="25" s="1"/>
  <c r="V178" i="25" s="1"/>
  <c r="B178" i="25" s="1"/>
  <c r="D178" i="25" s="1"/>
  <c r="E178" i="25" s="1"/>
  <c r="F178" i="25" s="1"/>
  <c r="G178" i="25" s="1"/>
  <c r="CF178" i="6" s="1"/>
  <c r="Q211" i="25"/>
  <c r="P211" i="25" s="1"/>
  <c r="V211" i="25" s="1"/>
  <c r="B211" i="25" s="1"/>
  <c r="W211" i="25" s="1"/>
  <c r="Q167" i="25"/>
  <c r="P167" i="25" s="1"/>
  <c r="V167" i="25" s="1"/>
  <c r="B167" i="25" s="1"/>
  <c r="W167" i="25" s="1"/>
  <c r="Q275" i="25"/>
  <c r="P275" i="25" s="1"/>
  <c r="V275" i="25" s="1"/>
  <c r="B275" i="25" s="1"/>
  <c r="D275" i="25" s="1"/>
  <c r="E275" i="25" s="1"/>
  <c r="F275" i="25" s="1"/>
  <c r="G275" i="25" s="1"/>
  <c r="CF275" i="6" s="1"/>
  <c r="Q354" i="25"/>
  <c r="P354" i="25" s="1"/>
  <c r="V354" i="25" s="1"/>
  <c r="B354" i="25" s="1"/>
  <c r="W354" i="25" s="1"/>
  <c r="Q74" i="25"/>
  <c r="P74" i="25" s="1"/>
  <c r="V74" i="25" s="1"/>
  <c r="B74" i="25" s="1"/>
  <c r="W74" i="25" s="1"/>
  <c r="Q313" i="25"/>
  <c r="P313" i="25" s="1"/>
  <c r="V313" i="25" s="1"/>
  <c r="B313" i="25" s="1"/>
  <c r="D313" i="25" s="1"/>
  <c r="E313" i="25" s="1"/>
  <c r="F313" i="25" s="1"/>
  <c r="J62" i="24"/>
  <c r="I62" i="24"/>
  <c r="I307" i="24"/>
  <c r="J307" i="24"/>
  <c r="J52" i="24"/>
  <c r="I52" i="24"/>
  <c r="I198" i="24"/>
  <c r="J198" i="24"/>
  <c r="I358" i="24"/>
  <c r="J358" i="24"/>
  <c r="D180" i="24"/>
  <c r="E180" i="24" s="1"/>
  <c r="F180" i="24" s="1"/>
  <c r="W180" i="24"/>
  <c r="J355" i="24"/>
  <c r="I355" i="24"/>
  <c r="J214" i="24"/>
  <c r="I214" i="24"/>
  <c r="I208" i="24"/>
  <c r="J208" i="24"/>
  <c r="J300" i="24"/>
  <c r="I300" i="24"/>
  <c r="I103" i="24"/>
  <c r="J103" i="24"/>
  <c r="D379" i="24"/>
  <c r="E379" i="24" s="1"/>
  <c r="F379" i="24" s="1"/>
  <c r="W379" i="24"/>
  <c r="J303" i="24"/>
  <c r="I303" i="24"/>
  <c r="I96" i="24"/>
  <c r="J96" i="24"/>
  <c r="I213" i="24"/>
  <c r="J213" i="24"/>
  <c r="J49" i="24"/>
  <c r="I49" i="24"/>
  <c r="I28" i="24"/>
  <c r="J28" i="24"/>
  <c r="I247" i="24"/>
  <c r="J247" i="24"/>
  <c r="I308" i="24"/>
  <c r="J308" i="24"/>
  <c r="J215" i="24"/>
  <c r="I215" i="24"/>
  <c r="I63" i="24"/>
  <c r="J63" i="24"/>
  <c r="J138" i="24"/>
  <c r="I138" i="24"/>
  <c r="J20" i="24"/>
  <c r="I20" i="24"/>
  <c r="J169" i="24"/>
  <c r="I169" i="24"/>
  <c r="I53" i="24"/>
  <c r="J53" i="24"/>
  <c r="J76" i="24"/>
  <c r="I76" i="24"/>
  <c r="I110" i="24"/>
  <c r="J110" i="24"/>
  <c r="J73" i="24"/>
  <c r="I73" i="24"/>
  <c r="I266" i="24"/>
  <c r="J266" i="24"/>
  <c r="I147" i="24"/>
  <c r="J147" i="24"/>
  <c r="J69" i="24"/>
  <c r="I69" i="24"/>
  <c r="I162" i="24"/>
  <c r="J162" i="24"/>
  <c r="I323" i="24"/>
  <c r="J323" i="24"/>
  <c r="I78" i="24"/>
  <c r="J78" i="24"/>
  <c r="J93" i="24"/>
  <c r="I93" i="24"/>
  <c r="J339" i="24"/>
  <c r="I339" i="24"/>
  <c r="I359" i="24"/>
  <c r="J359" i="24"/>
  <c r="I67" i="24"/>
  <c r="J67" i="24"/>
  <c r="I33" i="24"/>
  <c r="J33" i="24"/>
  <c r="J37" i="24"/>
  <c r="I37" i="24"/>
  <c r="J367" i="24"/>
  <c r="I367" i="24"/>
  <c r="J252" i="24"/>
  <c r="I252" i="24"/>
  <c r="J248" i="24"/>
  <c r="I248" i="24"/>
  <c r="I345" i="24"/>
  <c r="J345" i="24"/>
  <c r="I102" i="24"/>
  <c r="J102" i="24"/>
  <c r="J225" i="24"/>
  <c r="I225" i="24"/>
  <c r="I360" i="24"/>
  <c r="J360" i="24"/>
  <c r="I84" i="24"/>
  <c r="J84" i="24"/>
  <c r="I311" i="24"/>
  <c r="J311" i="24"/>
  <c r="J97" i="24"/>
  <c r="I97" i="24"/>
  <c r="I47" i="24"/>
  <c r="J47" i="24"/>
  <c r="J316" i="24"/>
  <c r="I316" i="24"/>
  <c r="J55" i="24"/>
  <c r="I55" i="24"/>
  <c r="I16" i="24"/>
  <c r="J16" i="24"/>
  <c r="J364" i="24"/>
  <c r="I364" i="24"/>
  <c r="I173" i="24"/>
  <c r="J173" i="24"/>
  <c r="I340" i="24"/>
  <c r="J340" i="24"/>
  <c r="J19" i="24"/>
  <c r="I19" i="24"/>
  <c r="J328" i="24"/>
  <c r="I328" i="24"/>
  <c r="I51" i="24"/>
  <c r="J51" i="24"/>
  <c r="J220" i="24"/>
  <c r="I220" i="24"/>
  <c r="J160" i="24"/>
  <c r="I160" i="24"/>
  <c r="I189" i="24"/>
  <c r="J189" i="24"/>
  <c r="I157" i="24"/>
  <c r="J157" i="24"/>
  <c r="I304" i="24"/>
  <c r="J304" i="24"/>
  <c r="I221" i="24"/>
  <c r="J221" i="24"/>
  <c r="I82" i="24"/>
  <c r="J82" i="24"/>
  <c r="J27" i="24"/>
  <c r="I27" i="24"/>
  <c r="I256" i="24"/>
  <c r="J256" i="24"/>
  <c r="J276" i="24"/>
  <c r="I276" i="24"/>
  <c r="J264" i="24"/>
  <c r="I264" i="24"/>
  <c r="J255" i="24"/>
  <c r="I255" i="24"/>
  <c r="I31" i="24"/>
  <c r="J31" i="24"/>
  <c r="J254" i="24"/>
  <c r="I254" i="24"/>
  <c r="I327" i="24"/>
  <c r="J327" i="24"/>
  <c r="J222" i="24"/>
  <c r="I222" i="24"/>
  <c r="J115" i="24"/>
  <c r="I115" i="24"/>
  <c r="I249" i="24"/>
  <c r="J249" i="24"/>
  <c r="I378" i="24"/>
  <c r="J378" i="24"/>
  <c r="J286" i="24"/>
  <c r="I286" i="24"/>
  <c r="J179" i="24"/>
  <c r="I179" i="24"/>
  <c r="I124" i="24"/>
  <c r="J124" i="24"/>
  <c r="I324" i="24"/>
  <c r="J324" i="24"/>
  <c r="I372" i="24"/>
  <c r="J372" i="24"/>
  <c r="I310" i="24"/>
  <c r="J310" i="24"/>
  <c r="J246" i="24"/>
  <c r="I246" i="24"/>
  <c r="I151" i="24"/>
  <c r="J151" i="24"/>
  <c r="I168" i="24"/>
  <c r="J168" i="24"/>
  <c r="J170" i="24"/>
  <c r="I170" i="24"/>
  <c r="I38" i="24"/>
  <c r="J38" i="24"/>
  <c r="I152" i="24"/>
  <c r="J152" i="24"/>
  <c r="J239" i="24"/>
  <c r="I239" i="24"/>
  <c r="J141" i="24"/>
  <c r="I141" i="24"/>
  <c r="I41" i="24"/>
  <c r="J41" i="24"/>
  <c r="J318" i="24"/>
  <c r="I318" i="24"/>
  <c r="J74" i="24"/>
  <c r="I74" i="24"/>
  <c r="D60" i="24"/>
  <c r="E60" i="24" s="1"/>
  <c r="F60" i="24" s="1"/>
  <c r="W60" i="24"/>
  <c r="I211" i="24"/>
  <c r="J211" i="24"/>
  <c r="J204" i="24"/>
  <c r="I204" i="24"/>
  <c r="J351" i="24"/>
  <c r="I351" i="24"/>
  <c r="I338" i="24"/>
  <c r="J338" i="24"/>
  <c r="J35" i="24"/>
  <c r="I35" i="24"/>
  <c r="J116" i="24"/>
  <c r="I116" i="24"/>
  <c r="BF15" i="7"/>
  <c r="P379" i="25"/>
  <c r="W228" i="25"/>
  <c r="D228" i="25"/>
  <c r="E228" i="25" s="1"/>
  <c r="F228" i="25" s="1"/>
  <c r="D310" i="25"/>
  <c r="E310" i="25" s="1"/>
  <c r="F310" i="25" s="1"/>
  <c r="W21" i="25"/>
  <c r="D21" i="25"/>
  <c r="E21" i="25" s="1"/>
  <c r="F21" i="25" s="1"/>
  <c r="W168" i="25"/>
  <c r="W229" i="25"/>
  <c r="D230" i="25"/>
  <c r="E230" i="25" s="1"/>
  <c r="F230" i="25" s="1"/>
  <c r="W58" i="25"/>
  <c r="D58" i="25"/>
  <c r="E58" i="25" s="1"/>
  <c r="F58" i="25" s="1"/>
  <c r="D47" i="25"/>
  <c r="E47" i="25" s="1"/>
  <c r="F47" i="25" s="1"/>
  <c r="W47" i="25"/>
  <c r="D201" i="25"/>
  <c r="E201" i="25" s="1"/>
  <c r="F201" i="25" s="1"/>
  <c r="D183" i="25"/>
  <c r="E183" i="25" s="1"/>
  <c r="F183" i="25" s="1"/>
  <c r="G183" i="25" s="1"/>
  <c r="CF183" i="6" s="1"/>
  <c r="W183" i="25"/>
  <c r="D303" i="25"/>
  <c r="E303" i="25" s="1"/>
  <c r="F303" i="25" s="1"/>
  <c r="W129" i="25"/>
  <c r="D371" i="25"/>
  <c r="E371" i="25" s="1"/>
  <c r="F371" i="25" s="1"/>
  <c r="D45" i="25"/>
  <c r="E45" i="25" s="1"/>
  <c r="F45" i="25" s="1"/>
  <c r="W45" i="25"/>
  <c r="W260" i="25"/>
  <c r="D260" i="25"/>
  <c r="E260" i="25" s="1"/>
  <c r="F260" i="25" s="1"/>
  <c r="W86" i="25"/>
  <c r="W159" i="25"/>
  <c r="D159" i="25"/>
  <c r="E159" i="25" s="1"/>
  <c r="F159" i="25" s="1"/>
  <c r="D69" i="25"/>
  <c r="E69" i="25" s="1"/>
  <c r="F69" i="25" s="1"/>
  <c r="W153" i="25"/>
  <c r="W277" i="25"/>
  <c r="D107" i="25"/>
  <c r="E107" i="25" s="1"/>
  <c r="F107" i="25" s="1"/>
  <c r="W107" i="25"/>
  <c r="W52" i="25"/>
  <c r="D52" i="25"/>
  <c r="E52" i="25" s="1"/>
  <c r="F52" i="25" s="1"/>
  <c r="D369" i="25"/>
  <c r="E369" i="25" s="1"/>
  <c r="F369" i="25" s="1"/>
  <c r="D312" i="25"/>
  <c r="E312" i="25" s="1"/>
  <c r="F312" i="25" s="1"/>
  <c r="G312" i="25" s="1"/>
  <c r="CF312" i="6" s="1"/>
  <c r="W312" i="25"/>
  <c r="AH68" i="7"/>
  <c r="W148" i="25"/>
  <c r="D38" i="25"/>
  <c r="E38" i="25" s="1"/>
  <c r="F38" i="25" s="1"/>
  <c r="W142" i="25"/>
  <c r="D142" i="25"/>
  <c r="E142" i="25" s="1"/>
  <c r="F142" i="25" s="1"/>
  <c r="W108" i="25"/>
  <c r="V333" i="25"/>
  <c r="B333" i="25" s="1"/>
  <c r="AH78" i="7"/>
  <c r="D250" i="25"/>
  <c r="E250" i="25" s="1"/>
  <c r="F250" i="25" s="1"/>
  <c r="D251" i="25"/>
  <c r="E251" i="25" s="1"/>
  <c r="F251" i="25" s="1"/>
  <c r="W251" i="25"/>
  <c r="W49" i="25"/>
  <c r="D343" i="25"/>
  <c r="E343" i="25" s="1"/>
  <c r="F343" i="25" s="1"/>
  <c r="W55" i="25"/>
  <c r="D55" i="25"/>
  <c r="E55" i="25" s="1"/>
  <c r="F55" i="25" s="1"/>
  <c r="D77" i="25"/>
  <c r="E77" i="25" s="1"/>
  <c r="F77" i="25" s="1"/>
  <c r="D137" i="25"/>
  <c r="E137" i="25" s="1"/>
  <c r="F137" i="25" s="1"/>
  <c r="W137" i="25"/>
  <c r="W208" i="25"/>
  <c r="W311" i="25"/>
  <c r="D311" i="25"/>
  <c r="E311" i="25" s="1"/>
  <c r="F311" i="25" s="1"/>
  <c r="D290" i="25"/>
  <c r="E290" i="25" s="1"/>
  <c r="F290" i="25" s="1"/>
  <c r="D190" i="25"/>
  <c r="E190" i="25" s="1"/>
  <c r="F190" i="25" s="1"/>
  <c r="D139" i="25"/>
  <c r="E139" i="25" s="1"/>
  <c r="F139" i="25" s="1"/>
  <c r="W139" i="25"/>
  <c r="W172" i="25"/>
  <c r="D42" i="25"/>
  <c r="E42" i="25" s="1"/>
  <c r="F42" i="25" s="1"/>
  <c r="W42" i="25"/>
  <c r="D187" i="25"/>
  <c r="E187" i="25" s="1"/>
  <c r="F187" i="25" s="1"/>
  <c r="V180" i="25"/>
  <c r="B180" i="25" s="1"/>
  <c r="AH73" i="7"/>
  <c r="W64" i="25"/>
  <c r="D233" i="25"/>
  <c r="E233" i="25" s="1"/>
  <c r="F233" i="25" s="1"/>
  <c r="D282" i="25"/>
  <c r="E282" i="25" s="1"/>
  <c r="F282" i="25" s="1"/>
  <c r="W282" i="25"/>
  <c r="W278" i="25"/>
  <c r="W89" i="25"/>
  <c r="D89" i="25"/>
  <c r="E89" i="25" s="1"/>
  <c r="F89" i="25" s="1"/>
  <c r="D267" i="25"/>
  <c r="E267" i="25" s="1"/>
  <c r="F267" i="25" s="1"/>
  <c r="D133" i="25"/>
  <c r="E133" i="25" s="1"/>
  <c r="F133" i="25" s="1"/>
  <c r="W133" i="25"/>
  <c r="W360" i="25"/>
  <c r="D375" i="25"/>
  <c r="E375" i="25" s="1"/>
  <c r="F375" i="25" s="1"/>
  <c r="D355" i="25"/>
  <c r="E355" i="25" s="1"/>
  <c r="F355" i="25" s="1"/>
  <c r="W355" i="25"/>
  <c r="W231" i="25"/>
  <c r="W71" i="25"/>
  <c r="D71" i="25"/>
  <c r="E71" i="25" s="1"/>
  <c r="F71" i="25" s="1"/>
  <c r="W332" i="25"/>
  <c r="D186" i="25"/>
  <c r="E186" i="25" s="1"/>
  <c r="F186" i="25" s="1"/>
  <c r="W186" i="25"/>
  <c r="D103" i="25"/>
  <c r="E103" i="25" s="1"/>
  <c r="F103" i="25" s="1"/>
  <c r="AH77" i="7"/>
  <c r="W243" i="25"/>
  <c r="D243" i="25"/>
  <c r="E243" i="25" s="1"/>
  <c r="F243" i="25" s="1"/>
  <c r="D156" i="25"/>
  <c r="E156" i="25" s="1"/>
  <c r="F156" i="25" s="1"/>
  <c r="D150" i="25"/>
  <c r="E150" i="25" s="1"/>
  <c r="F150" i="25" s="1"/>
  <c r="G150" i="25" s="1"/>
  <c r="CF150" i="6" s="1"/>
  <c r="W150" i="25"/>
  <c r="D147" i="25"/>
  <c r="E147" i="25" s="1"/>
  <c r="F147" i="25" s="1"/>
  <c r="D104" i="25"/>
  <c r="E104" i="25" s="1"/>
  <c r="F104" i="25" s="1"/>
  <c r="G104" i="25" s="1"/>
  <c r="CF104" i="6" s="1"/>
  <c r="W104" i="25"/>
  <c r="W75" i="25"/>
  <c r="D238" i="25"/>
  <c r="E238" i="25" s="1"/>
  <c r="F238" i="25" s="1"/>
  <c r="D117" i="25"/>
  <c r="E117" i="25" s="1"/>
  <c r="F117" i="25" s="1"/>
  <c r="W117" i="25"/>
  <c r="D283" i="25"/>
  <c r="E283" i="25" s="1"/>
  <c r="F283" i="25" s="1"/>
  <c r="W235" i="25"/>
  <c r="D235" i="25"/>
  <c r="E235" i="25" s="1"/>
  <c r="F235" i="25" s="1"/>
  <c r="D255" i="25"/>
  <c r="E255" i="25" s="1"/>
  <c r="F255" i="25" s="1"/>
  <c r="W66" i="25"/>
  <c r="D66" i="25"/>
  <c r="E66" i="25" s="1"/>
  <c r="F66" i="25" s="1"/>
  <c r="W247" i="25"/>
  <c r="D19" i="25"/>
  <c r="E19" i="25" s="1"/>
  <c r="F19" i="25" s="1"/>
  <c r="D101" i="25"/>
  <c r="E101" i="25" s="1"/>
  <c r="F101" i="25" s="1"/>
  <c r="W101" i="25"/>
  <c r="D320" i="25"/>
  <c r="E320" i="25" s="1"/>
  <c r="F320" i="25" s="1"/>
  <c r="D205" i="25"/>
  <c r="E205" i="25" s="1"/>
  <c r="F205" i="25" s="1"/>
  <c r="W205" i="25"/>
  <c r="D279" i="25"/>
  <c r="E279" i="25" s="1"/>
  <c r="F279" i="25" s="1"/>
  <c r="D136" i="25"/>
  <c r="E136" i="25" s="1"/>
  <c r="F136" i="25" s="1"/>
  <c r="W136" i="25"/>
  <c r="AH71" i="7"/>
  <c r="W339" i="25"/>
  <c r="D59" i="25"/>
  <c r="E59" i="25" s="1"/>
  <c r="F59" i="25" s="1"/>
  <c r="W59" i="25"/>
  <c r="D50" i="25"/>
  <c r="E50" i="25" s="1"/>
  <c r="F50" i="25" s="1"/>
  <c r="D340" i="25"/>
  <c r="E340" i="25" s="1"/>
  <c r="F340" i="25" s="1"/>
  <c r="W340" i="25"/>
  <c r="W318" i="25"/>
  <c r="W175" i="25"/>
  <c r="D175" i="25"/>
  <c r="E175" i="25" s="1"/>
  <c r="F175" i="25" s="1"/>
  <c r="W236" i="25"/>
  <c r="W297" i="25"/>
  <c r="W234" i="25"/>
  <c r="D234" i="25"/>
  <c r="E234" i="25" s="1"/>
  <c r="F234" i="25" s="1"/>
  <c r="D253" i="25"/>
  <c r="E253" i="25" s="1"/>
  <c r="F253" i="25" s="1"/>
  <c r="B196" i="25"/>
  <c r="W304" i="25"/>
  <c r="D227" i="25"/>
  <c r="E227" i="25" s="1"/>
  <c r="F227" i="25" s="1"/>
  <c r="H227" i="25" s="1"/>
  <c r="W227" i="25"/>
  <c r="W317" i="25"/>
  <c r="D162" i="25"/>
  <c r="E162" i="25" s="1"/>
  <c r="F162" i="25" s="1"/>
  <c r="W162" i="25"/>
  <c r="W33" i="25"/>
  <c r="B46" i="25"/>
  <c r="D92" i="25"/>
  <c r="E92" i="25" s="1"/>
  <c r="F92" i="25" s="1"/>
  <c r="W163" i="25"/>
  <c r="W223" i="25"/>
  <c r="V88" i="25"/>
  <c r="B88" i="25" s="1"/>
  <c r="W88" i="25" s="1"/>
  <c r="AH70" i="7"/>
  <c r="D291" i="25"/>
  <c r="E291" i="25" s="1"/>
  <c r="F291" i="25" s="1"/>
  <c r="G291" i="25" s="1"/>
  <c r="CF291" i="6" s="1"/>
  <c r="W291" i="25"/>
  <c r="W335" i="25"/>
  <c r="D39" i="25"/>
  <c r="E39" i="25" s="1"/>
  <c r="F39" i="25" s="1"/>
  <c r="W296" i="25"/>
  <c r="W65" i="25"/>
  <c r="D65" i="25"/>
  <c r="E65" i="25" s="1"/>
  <c r="F65" i="25" s="1"/>
  <c r="W256" i="25"/>
  <c r="W25" i="25"/>
  <c r="D25" i="25"/>
  <c r="E25" i="25" s="1"/>
  <c r="F25" i="25" s="1"/>
  <c r="D182" i="25"/>
  <c r="E182" i="25" s="1"/>
  <c r="F182" i="25" s="1"/>
  <c r="D27" i="25"/>
  <c r="E27" i="25" s="1"/>
  <c r="F27" i="25" s="1"/>
  <c r="D164" i="25"/>
  <c r="E164" i="25" s="1"/>
  <c r="F164" i="25" s="1"/>
  <c r="W126" i="25"/>
  <c r="D18" i="25"/>
  <c r="E18" i="25" s="1"/>
  <c r="F18" i="25" s="1"/>
  <c r="D93" i="25"/>
  <c r="E93" i="25" s="1"/>
  <c r="F93" i="25" s="1"/>
  <c r="W96" i="25"/>
  <c r="W262" i="25"/>
  <c r="W102" i="25"/>
  <c r="D177" i="25"/>
  <c r="E177" i="25" s="1"/>
  <c r="F177" i="25" s="1"/>
  <c r="D347" i="25"/>
  <c r="E347" i="25" s="1"/>
  <c r="F347" i="25" s="1"/>
  <c r="W84" i="25"/>
  <c r="D84" i="25"/>
  <c r="E84" i="25" s="1"/>
  <c r="F84" i="25" s="1"/>
  <c r="D109" i="25"/>
  <c r="E109" i="25" s="1"/>
  <c r="F109" i="25" s="1"/>
  <c r="G109" i="25" s="1"/>
  <c r="CF109" i="6" s="1"/>
  <c r="W109" i="25"/>
  <c r="Q356" i="25"/>
  <c r="P356" i="25" s="1"/>
  <c r="V356" i="25" s="1"/>
  <c r="BG15" i="7"/>
  <c r="AE338" i="25"/>
  <c r="AD338" i="25" s="1"/>
  <c r="AE224" i="25"/>
  <c r="AD224" i="25" s="1"/>
  <c r="AE318" i="25"/>
  <c r="AD318" i="25" s="1"/>
  <c r="AE121" i="25"/>
  <c r="AD121" i="25" s="1"/>
  <c r="AE320" i="25"/>
  <c r="AD320" i="25" s="1"/>
  <c r="AE172" i="25"/>
  <c r="AD172" i="25" s="1"/>
  <c r="AE220" i="25"/>
  <c r="AD220" i="25" s="1"/>
  <c r="AE191" i="25"/>
  <c r="AD191" i="25" s="1"/>
  <c r="AE147" i="25"/>
  <c r="AD147" i="25" s="1"/>
  <c r="AE148" i="25"/>
  <c r="AD148" i="25" s="1"/>
  <c r="AE157" i="25"/>
  <c r="AD157" i="25" s="1"/>
  <c r="AE131" i="25"/>
  <c r="AD131" i="25" s="1"/>
  <c r="AE337" i="25"/>
  <c r="AD337" i="25" s="1"/>
  <c r="AE145" i="25"/>
  <c r="AD145" i="25" s="1"/>
  <c r="AE256" i="25"/>
  <c r="AD256" i="25" s="1"/>
  <c r="AE262" i="25"/>
  <c r="AD262" i="25" s="1"/>
  <c r="AE198" i="25"/>
  <c r="AD198" i="25" s="1"/>
  <c r="AE142" i="25"/>
  <c r="AD142" i="25" s="1"/>
  <c r="AE177" i="25"/>
  <c r="AD177" i="25" s="1"/>
  <c r="AE151" i="25"/>
  <c r="AD151" i="25" s="1"/>
  <c r="AE210" i="25"/>
  <c r="AD210" i="25" s="1"/>
  <c r="AE278" i="25"/>
  <c r="AD278" i="25" s="1"/>
  <c r="AE294" i="25"/>
  <c r="AD294" i="25" s="1"/>
  <c r="AE136" i="25"/>
  <c r="AD136" i="25" s="1"/>
  <c r="AE276" i="25"/>
  <c r="AD276" i="25" s="1"/>
  <c r="AE307" i="25"/>
  <c r="AD307" i="25" s="1"/>
  <c r="AE132" i="25"/>
  <c r="AD132" i="25" s="1"/>
  <c r="AE204" i="25"/>
  <c r="AD204" i="25" s="1"/>
  <c r="AE245" i="25"/>
  <c r="AD245" i="25" s="1"/>
  <c r="AE369" i="25"/>
  <c r="AD369" i="25" s="1"/>
  <c r="AE248" i="25"/>
  <c r="AD248" i="25" s="1"/>
  <c r="AE249" i="25"/>
  <c r="AD249" i="25" s="1"/>
  <c r="AE212" i="25"/>
  <c r="AD212" i="25" s="1"/>
  <c r="AE152" i="25"/>
  <c r="AD152" i="25" s="1"/>
  <c r="AE269" i="25"/>
  <c r="AD269" i="25" s="1"/>
  <c r="AE332" i="25"/>
  <c r="AD332" i="25" s="1"/>
  <c r="AE363" i="25"/>
  <c r="AD363" i="25" s="1"/>
  <c r="AE139" i="25"/>
  <c r="AD139" i="25" s="1"/>
  <c r="AE313" i="25"/>
  <c r="AD313" i="25" s="1"/>
  <c r="AE184" i="25"/>
  <c r="AD184" i="25" s="1"/>
  <c r="AE156" i="25"/>
  <c r="AD156" i="25" s="1"/>
  <c r="AE175" i="25"/>
  <c r="AD175" i="25" s="1"/>
  <c r="AE239" i="25"/>
  <c r="AD239" i="25" s="1"/>
  <c r="AE200" i="25"/>
  <c r="AD200" i="25" s="1"/>
  <c r="AE119" i="25"/>
  <c r="AD119" i="25" s="1"/>
  <c r="AE190" i="25"/>
  <c r="AD190" i="25" s="1"/>
  <c r="AE217" i="25"/>
  <c r="AD217" i="25" s="1"/>
  <c r="AE153" i="25"/>
  <c r="AD153" i="25" s="1"/>
  <c r="AE186" i="25"/>
  <c r="AD186" i="25" s="1"/>
  <c r="AE377" i="25"/>
  <c r="AD377" i="25" s="1"/>
  <c r="AE257" i="25"/>
  <c r="AD257" i="25" s="1"/>
  <c r="AE335" i="25"/>
  <c r="AD335" i="25" s="1"/>
  <c r="AE194" i="25"/>
  <c r="AD194" i="25" s="1"/>
  <c r="AE154" i="25"/>
  <c r="AD154" i="25" s="1"/>
  <c r="AE355" i="25"/>
  <c r="AD355" i="25" s="1"/>
  <c r="AE226" i="25"/>
  <c r="AD226" i="25" s="1"/>
  <c r="AE110" i="25"/>
  <c r="AD110" i="25" s="1"/>
  <c r="AE331" i="25"/>
  <c r="AD331" i="25" s="1"/>
  <c r="AE106" i="25"/>
  <c r="AD106" i="25" s="1"/>
  <c r="AE316" i="25"/>
  <c r="AD316" i="25" s="1"/>
  <c r="AE368" i="25"/>
  <c r="AD368" i="25" s="1"/>
  <c r="AE271" i="25"/>
  <c r="AD271" i="25" s="1"/>
  <c r="AE174" i="25"/>
  <c r="AD174" i="25" s="1"/>
  <c r="AE302" i="25"/>
  <c r="AD302" i="25" s="1"/>
  <c r="AE197" i="25"/>
  <c r="AD197" i="25" s="1"/>
  <c r="AE251" i="25"/>
  <c r="AD251" i="25" s="1"/>
  <c r="AE322" i="25"/>
  <c r="AD322" i="25" s="1"/>
  <c r="AE292" i="25"/>
  <c r="AD292" i="25" s="1"/>
  <c r="AE129" i="25"/>
  <c r="AD129" i="25" s="1"/>
  <c r="AE149" i="25"/>
  <c r="AD149" i="25" s="1"/>
  <c r="AE289" i="25"/>
  <c r="AD289" i="25" s="1"/>
  <c r="AE243" i="25"/>
  <c r="AD243" i="25" s="1"/>
  <c r="AE237" i="25"/>
  <c r="AD237" i="25" s="1"/>
  <c r="AE232" i="25"/>
  <c r="AD232" i="25" s="1"/>
  <c r="AE182" i="25"/>
  <c r="AD182" i="25" s="1"/>
  <c r="AE231" i="25"/>
  <c r="AD231" i="25" s="1"/>
  <c r="AE107" i="25"/>
  <c r="AD107" i="25" s="1"/>
  <c r="AE254" i="25"/>
  <c r="AD254" i="25" s="1"/>
  <c r="AE311" i="25"/>
  <c r="AD311" i="25" s="1"/>
  <c r="AE293" i="25"/>
  <c r="AD293" i="25" s="1"/>
  <c r="AE128" i="25"/>
  <c r="AD128" i="25" s="1"/>
  <c r="AE284" i="25"/>
  <c r="AD284" i="25" s="1"/>
  <c r="AE267" i="25"/>
  <c r="AD267" i="25" s="1"/>
  <c r="AE233" i="25"/>
  <c r="AD233" i="25" s="1"/>
  <c r="AE354" i="25"/>
  <c r="AD354" i="25" s="1"/>
  <c r="AE181" i="25"/>
  <c r="AD181" i="25" s="1"/>
  <c r="AE376" i="25"/>
  <c r="AD376" i="25" s="1"/>
  <c r="AE364" i="25"/>
  <c r="AD364" i="25" s="1"/>
  <c r="AE310" i="25"/>
  <c r="AD310" i="25" s="1"/>
  <c r="AE207" i="25"/>
  <c r="AD207" i="25" s="1"/>
  <c r="AE360" i="25"/>
  <c r="AD360" i="25" s="1"/>
  <c r="AE374" i="25"/>
  <c r="AD374" i="25" s="1"/>
  <c r="AE228" i="25"/>
  <c r="AD228" i="25" s="1"/>
  <c r="AE283" i="25"/>
  <c r="AD283" i="25" s="1"/>
  <c r="AE343" i="25"/>
  <c r="AD343" i="25" s="1"/>
  <c r="AE185" i="25"/>
  <c r="AD185" i="25" s="1"/>
  <c r="AE140" i="25"/>
  <c r="AD140" i="25" s="1"/>
  <c r="AE238" i="25"/>
  <c r="AD238" i="25" s="1"/>
  <c r="AE187" i="25"/>
  <c r="AD187" i="25" s="1"/>
  <c r="AE330" i="25"/>
  <c r="AD330" i="25" s="1"/>
  <c r="AE340" i="25"/>
  <c r="AD340" i="25" s="1"/>
  <c r="AE203" i="25"/>
  <c r="AD203" i="25" s="1"/>
  <c r="AE165" i="25"/>
  <c r="AD165" i="25" s="1"/>
  <c r="AE218" i="25"/>
  <c r="AD218" i="25" s="1"/>
  <c r="AE282" i="25"/>
  <c r="AD282" i="25" s="1"/>
  <c r="AE173" i="25"/>
  <c r="AD173" i="25" s="1"/>
  <c r="AE348" i="25"/>
  <c r="AD348" i="25" s="1"/>
  <c r="AE336" i="25"/>
  <c r="AD336" i="25" s="1"/>
  <c r="AE367" i="25"/>
  <c r="AD367" i="25" s="1"/>
  <c r="AE303" i="25"/>
  <c r="AD303" i="25" s="1"/>
  <c r="AE273" i="25"/>
  <c r="AD273" i="25" s="1"/>
  <c r="AE120" i="25"/>
  <c r="AD120" i="25" s="1"/>
  <c r="AE166" i="25"/>
  <c r="AD166" i="25" s="1"/>
  <c r="AE259" i="25"/>
  <c r="AD259" i="25" s="1"/>
  <c r="AE297" i="25"/>
  <c r="AD297" i="25" s="1"/>
  <c r="AE253" i="25"/>
  <c r="AD253" i="25" s="1"/>
  <c r="AE170" i="25"/>
  <c r="AD170" i="25" s="1"/>
  <c r="AE272" i="25"/>
  <c r="AD272" i="25" s="1"/>
  <c r="AE265" i="25"/>
  <c r="AD265" i="25" s="1"/>
  <c r="AE296" i="25"/>
  <c r="AD296" i="25" s="1"/>
  <c r="AE286" i="25"/>
  <c r="AD286" i="25" s="1"/>
  <c r="AE349" i="25"/>
  <c r="AD349" i="25" s="1"/>
  <c r="AE240" i="25"/>
  <c r="AD240" i="25" s="1"/>
  <c r="AE199" i="25"/>
  <c r="AD199" i="25" s="1"/>
  <c r="AE346" i="25"/>
  <c r="AD346" i="25" s="1"/>
  <c r="AE235" i="25"/>
  <c r="AD235" i="25" s="1"/>
  <c r="AE159" i="25"/>
  <c r="AD159" i="25" s="1"/>
  <c r="AE241" i="25"/>
  <c r="AD241" i="25" s="1"/>
  <c r="AE280" i="25"/>
  <c r="AD280" i="25" s="1"/>
  <c r="AE116" i="25"/>
  <c r="AD116" i="25" s="1"/>
  <c r="AE163" i="25"/>
  <c r="AD163" i="25" s="1"/>
  <c r="AE188" i="25"/>
  <c r="AD188" i="25" s="1"/>
  <c r="AE373" i="25"/>
  <c r="AD373" i="25" s="1"/>
  <c r="AE324" i="25"/>
  <c r="AD324" i="25" s="1"/>
  <c r="AE301" i="25"/>
  <c r="AD301" i="25" s="1"/>
  <c r="AE375" i="25"/>
  <c r="AD375" i="25" s="1"/>
  <c r="AE150" i="25"/>
  <c r="AD150" i="25" s="1"/>
  <c r="AE214" i="25"/>
  <c r="AD214" i="25" s="1"/>
  <c r="AE295" i="25"/>
  <c r="AD295" i="25" s="1"/>
  <c r="AE137" i="25"/>
  <c r="AD137" i="25" s="1"/>
  <c r="AE222" i="25"/>
  <c r="AD222" i="25" s="1"/>
  <c r="AE236" i="25"/>
  <c r="AD236" i="25" s="1"/>
  <c r="AE206" i="25"/>
  <c r="AD206" i="25" s="1"/>
  <c r="AE219" i="25"/>
  <c r="AD219" i="25" s="1"/>
  <c r="AE279" i="25"/>
  <c r="AD279" i="25" s="1"/>
  <c r="AE105" i="25"/>
  <c r="AD105" i="25" s="1"/>
  <c r="AE339" i="25"/>
  <c r="AD339" i="25" s="1"/>
  <c r="AE314" i="25"/>
  <c r="AD314" i="25" s="1"/>
  <c r="AE323" i="25"/>
  <c r="AD323" i="25" s="1"/>
  <c r="AE242" i="25"/>
  <c r="AD242" i="25" s="1"/>
  <c r="AE141" i="25"/>
  <c r="AD141" i="25" s="1"/>
  <c r="AE333" i="25"/>
  <c r="AD333" i="25" s="1"/>
  <c r="AE161" i="25"/>
  <c r="AD161" i="25" s="1"/>
  <c r="AE196" i="25"/>
  <c r="AD196" i="25" s="1"/>
  <c r="AE291" i="25"/>
  <c r="AD291" i="25" s="1"/>
  <c r="AE359" i="25"/>
  <c r="AD359" i="25" s="1"/>
  <c r="AE319" i="25"/>
  <c r="AD319" i="25" s="1"/>
  <c r="AE113" i="25"/>
  <c r="AD113" i="25" s="1"/>
  <c r="AE268" i="25"/>
  <c r="AD268" i="25" s="1"/>
  <c r="AE315" i="25"/>
  <c r="AD315" i="25" s="1"/>
  <c r="AE305" i="25"/>
  <c r="AD305" i="25" s="1"/>
  <c r="AE126" i="25"/>
  <c r="AD126" i="25" s="1"/>
  <c r="AE211" i="25"/>
  <c r="AD211" i="25" s="1"/>
  <c r="AE290" i="25"/>
  <c r="AD290" i="25" s="1"/>
  <c r="AE123" i="25"/>
  <c r="AD123" i="25" s="1"/>
  <c r="AE274" i="25"/>
  <c r="AD274" i="25" s="1"/>
  <c r="AE246" i="25"/>
  <c r="AD246" i="25" s="1"/>
  <c r="AE277" i="25"/>
  <c r="AD277" i="25" s="1"/>
  <c r="AE230" i="25"/>
  <c r="AD230" i="25" s="1"/>
  <c r="AE250" i="25"/>
  <c r="AD250" i="25" s="1"/>
  <c r="AE178" i="25"/>
  <c r="AD178" i="25" s="1"/>
  <c r="AE115" i="25"/>
  <c r="AD115" i="25" s="1"/>
  <c r="AE209" i="25"/>
  <c r="AD209" i="25" s="1"/>
  <c r="AE252" i="25"/>
  <c r="AD252" i="25" s="1"/>
  <c r="AE357" i="25"/>
  <c r="AD357" i="25" s="1"/>
  <c r="AE108" i="25"/>
  <c r="AD108" i="25" s="1"/>
  <c r="AE213" i="25"/>
  <c r="AD213" i="25" s="1"/>
  <c r="AE261" i="25"/>
  <c r="AD261" i="25" s="1"/>
  <c r="AE356" i="25"/>
  <c r="AD356" i="25" s="1"/>
  <c r="AE164" i="25"/>
  <c r="AD164" i="25" s="1"/>
  <c r="AE266" i="25"/>
  <c r="AD266" i="25" s="1"/>
  <c r="AE361" i="25"/>
  <c r="AD361" i="25" s="1"/>
  <c r="AE223" i="25"/>
  <c r="AD223" i="25" s="1"/>
  <c r="AE309" i="25"/>
  <c r="AD309" i="25" s="1"/>
  <c r="AE117" i="25"/>
  <c r="AD117" i="25" s="1"/>
  <c r="AE258" i="25"/>
  <c r="AD258" i="25" s="1"/>
  <c r="AE317" i="25"/>
  <c r="AD317" i="25" s="1"/>
  <c r="AE327" i="25"/>
  <c r="AD327" i="25" s="1"/>
  <c r="AE130" i="25"/>
  <c r="AD130" i="25" s="1"/>
  <c r="AE362" i="25"/>
  <c r="AD362" i="25" s="1"/>
  <c r="AE180" i="25"/>
  <c r="AD180" i="25" s="1"/>
  <c r="AE125" i="25"/>
  <c r="AD125" i="25" s="1"/>
  <c r="AE227" i="25"/>
  <c r="AD227" i="25" s="1"/>
  <c r="AE285" i="25"/>
  <c r="AD285" i="25" s="1"/>
  <c r="AE378" i="25"/>
  <c r="AD378" i="25" s="1"/>
  <c r="AE160" i="25"/>
  <c r="AD160" i="25" s="1"/>
  <c r="AE176" i="25"/>
  <c r="AD176" i="25" s="1"/>
  <c r="AE162" i="25"/>
  <c r="AD162" i="25" s="1"/>
  <c r="AE263" i="25"/>
  <c r="AD263" i="25" s="1"/>
  <c r="AE366" i="25"/>
  <c r="AD366" i="25" s="1"/>
  <c r="AE352" i="25"/>
  <c r="AD352" i="25" s="1"/>
  <c r="AE158" i="25"/>
  <c r="AD158" i="25" s="1"/>
  <c r="AE171" i="25"/>
  <c r="AD171" i="25" s="1"/>
  <c r="AE193" i="25"/>
  <c r="AD193" i="25" s="1"/>
  <c r="AE341" i="25"/>
  <c r="AD341" i="25" s="1"/>
  <c r="AE155" i="25"/>
  <c r="AD155" i="25" s="1"/>
  <c r="AE114" i="25"/>
  <c r="AD114" i="25" s="1"/>
  <c r="AE189" i="25"/>
  <c r="AD189" i="25" s="1"/>
  <c r="AE372" i="25"/>
  <c r="AD372" i="25" s="1"/>
  <c r="AE275" i="25"/>
  <c r="AD275" i="25" s="1"/>
  <c r="AE347" i="25"/>
  <c r="AD347" i="25" s="1"/>
  <c r="AE287" i="25"/>
  <c r="AD287" i="25" s="1"/>
  <c r="AE328" i="25"/>
  <c r="AD328" i="25" s="1"/>
  <c r="AE379" i="25"/>
  <c r="AD379" i="25" s="1"/>
  <c r="AE138" i="25"/>
  <c r="AD138" i="25" s="1"/>
  <c r="AE208" i="25"/>
  <c r="AD208" i="25" s="1"/>
  <c r="AE169" i="25"/>
  <c r="AD169" i="25" s="1"/>
  <c r="AE247" i="25"/>
  <c r="AD247" i="25" s="1"/>
  <c r="AE255" i="25"/>
  <c r="AD255" i="25" s="1"/>
  <c r="AE312" i="25"/>
  <c r="AD312" i="25" s="1"/>
  <c r="AE229" i="25"/>
  <c r="AD229" i="25" s="1"/>
  <c r="AE124" i="25"/>
  <c r="AD124" i="25" s="1"/>
  <c r="AE345" i="25"/>
  <c r="AD345" i="25" s="1"/>
  <c r="AE133" i="25"/>
  <c r="AD133" i="25" s="1"/>
  <c r="AE353" i="25"/>
  <c r="AD353" i="25" s="1"/>
  <c r="AE205" i="25"/>
  <c r="AD205" i="25" s="1"/>
  <c r="AE168" i="25"/>
  <c r="AD168" i="25" s="1"/>
  <c r="AE118" i="25"/>
  <c r="AD118" i="25" s="1"/>
  <c r="AE104" i="25"/>
  <c r="AE308" i="25"/>
  <c r="AD308" i="25" s="1"/>
  <c r="AE298" i="25"/>
  <c r="AD298" i="25" s="1"/>
  <c r="AE127" i="25"/>
  <c r="AD127" i="25" s="1"/>
  <c r="AE112" i="25"/>
  <c r="AD112" i="25" s="1"/>
  <c r="AE135" i="25"/>
  <c r="AD135" i="25" s="1"/>
  <c r="AE288" i="25"/>
  <c r="AD288" i="25" s="1"/>
  <c r="AE225" i="25"/>
  <c r="AD225" i="25" s="1"/>
  <c r="AE299" i="25"/>
  <c r="AD299" i="25" s="1"/>
  <c r="AE350" i="25"/>
  <c r="AD350" i="25" s="1"/>
  <c r="AE122" i="25"/>
  <c r="AD122" i="25" s="1"/>
  <c r="AE179" i="25"/>
  <c r="AD179" i="25" s="1"/>
  <c r="AE195" i="25"/>
  <c r="AD195" i="25" s="1"/>
  <c r="AE270" i="25"/>
  <c r="AD270" i="25" s="1"/>
  <c r="AE146" i="25"/>
  <c r="AD146" i="25" s="1"/>
  <c r="AE144" i="25"/>
  <c r="AD144" i="25" s="1"/>
  <c r="AE365" i="25"/>
  <c r="AD365" i="25" s="1"/>
  <c r="AE167" i="25"/>
  <c r="AD167" i="25" s="1"/>
  <c r="AE334" i="25"/>
  <c r="AD334" i="25" s="1"/>
  <c r="AE329" i="25"/>
  <c r="AD329" i="25" s="1"/>
  <c r="AE351" i="25"/>
  <c r="AD351" i="25" s="1"/>
  <c r="AE183" i="25"/>
  <c r="AD183" i="25" s="1"/>
  <c r="AE300" i="25"/>
  <c r="AD300" i="25" s="1"/>
  <c r="AE221" i="25"/>
  <c r="AD221" i="25" s="1"/>
  <c r="AE234" i="25"/>
  <c r="AD234" i="25" s="1"/>
  <c r="AE134" i="25"/>
  <c r="AD134" i="25" s="1"/>
  <c r="AE201" i="25"/>
  <c r="AD201" i="25" s="1"/>
  <c r="AE215" i="25"/>
  <c r="AD215" i="25" s="1"/>
  <c r="AE325" i="25"/>
  <c r="AD325" i="25" s="1"/>
  <c r="AE306" i="25"/>
  <c r="AD306" i="25" s="1"/>
  <c r="AE304" i="25"/>
  <c r="AD304" i="25" s="1"/>
  <c r="AE344" i="25"/>
  <c r="AD344" i="25" s="1"/>
  <c r="AE264" i="25"/>
  <c r="AD264" i="25" s="1"/>
  <c r="AE281" i="25"/>
  <c r="AD281" i="25" s="1"/>
  <c r="AE244" i="25"/>
  <c r="AD244" i="25" s="1"/>
  <c r="AE111" i="25"/>
  <c r="AD111" i="25" s="1"/>
  <c r="AE109" i="25"/>
  <c r="AD109" i="25" s="1"/>
  <c r="AA109" i="25" s="1"/>
  <c r="Z109" i="25" s="1"/>
  <c r="Y109" i="25" s="1"/>
  <c r="AE371" i="25"/>
  <c r="AD371" i="25" s="1"/>
  <c r="AE326" i="25"/>
  <c r="AD326" i="25" s="1"/>
  <c r="AE192" i="25"/>
  <c r="AD192" i="25" s="1"/>
  <c r="AE370" i="25"/>
  <c r="AD370" i="25" s="1"/>
  <c r="AE260" i="25"/>
  <c r="AD260" i="25" s="1"/>
  <c r="AE216" i="25"/>
  <c r="AD216" i="25" s="1"/>
  <c r="AE202" i="25"/>
  <c r="AD202" i="25" s="1"/>
  <c r="AE342" i="25"/>
  <c r="AD342" i="25" s="1"/>
  <c r="AE358" i="25"/>
  <c r="AD358" i="25" s="1"/>
  <c r="AE143" i="25"/>
  <c r="AD143" i="25" s="1"/>
  <c r="AE321" i="25"/>
  <c r="AD321" i="25" s="1"/>
  <c r="Q206" i="25"/>
  <c r="P206" i="25" s="1"/>
  <c r="V206" i="25" s="1"/>
  <c r="B206" i="25" s="1"/>
  <c r="Q345" i="25"/>
  <c r="P345" i="25" s="1"/>
  <c r="V345" i="25" s="1"/>
  <c r="B345" i="25" s="1"/>
  <c r="Q114" i="25"/>
  <c r="P114" i="25" s="1"/>
  <c r="V114" i="25" s="1"/>
  <c r="B114" i="25" s="1"/>
  <c r="Q134" i="25"/>
  <c r="P134" i="25" s="1"/>
  <c r="V134" i="25" s="1"/>
  <c r="B134" i="25" s="1"/>
  <c r="Q140" i="25"/>
  <c r="P140" i="25" s="1"/>
  <c r="V140" i="25" s="1"/>
  <c r="Q106" i="25"/>
  <c r="P106" i="25" s="1"/>
  <c r="V106" i="25" s="1"/>
  <c r="Q157" i="25"/>
  <c r="P157" i="25" s="1"/>
  <c r="V157" i="25" s="1"/>
  <c r="B157" i="25" s="1"/>
  <c r="Q276" i="25"/>
  <c r="P276" i="25" s="1"/>
  <c r="V276" i="25" s="1"/>
  <c r="B276" i="25" s="1"/>
  <c r="Q83" i="25"/>
  <c r="P83" i="25" s="1"/>
  <c r="V83" i="25" s="1"/>
  <c r="B83" i="25" s="1"/>
  <c r="Q181" i="25"/>
  <c r="P181" i="25" s="1"/>
  <c r="V181" i="25" s="1"/>
  <c r="B181" i="25" s="1"/>
  <c r="Q188" i="25"/>
  <c r="P188" i="25" s="1"/>
  <c r="V188" i="25" s="1"/>
  <c r="B188" i="25" s="1"/>
  <c r="Q121" i="25"/>
  <c r="P121" i="25" s="1"/>
  <c r="V121" i="25" s="1"/>
  <c r="B121" i="25" s="1"/>
  <c r="Q28" i="25"/>
  <c r="P28" i="25" s="1"/>
  <c r="V28" i="25" s="1"/>
  <c r="B28" i="25" s="1"/>
  <c r="I250" i="24"/>
  <c r="J250" i="24"/>
  <c r="J165" i="24"/>
  <c r="I165" i="24"/>
  <c r="J32" i="24"/>
  <c r="I32" i="24"/>
  <c r="I280" i="24"/>
  <c r="J280" i="24"/>
  <c r="I68" i="24"/>
  <c r="J68" i="24"/>
  <c r="J89" i="24"/>
  <c r="I89" i="24"/>
  <c r="I90" i="24"/>
  <c r="J90" i="24"/>
  <c r="J184" i="24"/>
  <c r="I184" i="24"/>
  <c r="I101" i="24"/>
  <c r="J101" i="24"/>
  <c r="J287" i="24"/>
  <c r="I287" i="24"/>
  <c r="I197" i="24"/>
  <c r="J197" i="24"/>
  <c r="I155" i="24"/>
  <c r="J155" i="24"/>
  <c r="I347" i="24"/>
  <c r="J347" i="24"/>
  <c r="G196" i="24"/>
  <c r="CE196" i="6" s="1"/>
  <c r="AA196" i="24"/>
  <c r="Z196" i="24" s="1"/>
  <c r="Y196" i="24" s="1"/>
  <c r="H196" i="24"/>
  <c r="I251" i="24"/>
  <c r="J251" i="24"/>
  <c r="I192" i="24"/>
  <c r="J192" i="24"/>
  <c r="AE87" i="25"/>
  <c r="AD87" i="25" s="1"/>
  <c r="AE86" i="25"/>
  <c r="AD86" i="25" s="1"/>
  <c r="AE92" i="25"/>
  <c r="AD92" i="25" s="1"/>
  <c r="AE58" i="25"/>
  <c r="AD58" i="25" s="1"/>
  <c r="AE32" i="25"/>
  <c r="AD32" i="25" s="1"/>
  <c r="AE45" i="25"/>
  <c r="AD45" i="25" s="1"/>
  <c r="AE59" i="25"/>
  <c r="AD59" i="25" s="1"/>
  <c r="AE35" i="25"/>
  <c r="AD35" i="25" s="1"/>
  <c r="AE27" i="25"/>
  <c r="AD27" i="25" s="1"/>
  <c r="AE96" i="25"/>
  <c r="AD96" i="25" s="1"/>
  <c r="AE89" i="25"/>
  <c r="AD89" i="25" s="1"/>
  <c r="AE29" i="25"/>
  <c r="AD29" i="25" s="1"/>
  <c r="AE26" i="25"/>
  <c r="AD26" i="25" s="1"/>
  <c r="AE33" i="25"/>
  <c r="AD33" i="25" s="1"/>
  <c r="AE67" i="25"/>
  <c r="AD67" i="25" s="1"/>
  <c r="AE36" i="25"/>
  <c r="AD36" i="25" s="1"/>
  <c r="AE69" i="25"/>
  <c r="AD69" i="25" s="1"/>
  <c r="AE47" i="25"/>
  <c r="AD47" i="25" s="1"/>
  <c r="AE66" i="25"/>
  <c r="AD66" i="25" s="1"/>
  <c r="AE17" i="25"/>
  <c r="AD17" i="25" s="1"/>
  <c r="AE62" i="25"/>
  <c r="AD62" i="25" s="1"/>
  <c r="AE82" i="25"/>
  <c r="AD82" i="25" s="1"/>
  <c r="AE57" i="25"/>
  <c r="AD57" i="25" s="1"/>
  <c r="AE84" i="25"/>
  <c r="AD84" i="25" s="1"/>
  <c r="AE48" i="25"/>
  <c r="AD48" i="25" s="1"/>
  <c r="AE31" i="25"/>
  <c r="AD31" i="25" s="1"/>
  <c r="AE68" i="25"/>
  <c r="AD68" i="25" s="1"/>
  <c r="AE94" i="25"/>
  <c r="AD94" i="25" s="1"/>
  <c r="AE74" i="25"/>
  <c r="AD74" i="25" s="1"/>
  <c r="AE21" i="25"/>
  <c r="AD21" i="25" s="1"/>
  <c r="AE98" i="25"/>
  <c r="AD98" i="25" s="1"/>
  <c r="AE73" i="25"/>
  <c r="AD73" i="25" s="1"/>
  <c r="AE71" i="25"/>
  <c r="AD71" i="25" s="1"/>
  <c r="AE93" i="25"/>
  <c r="AD93" i="25" s="1"/>
  <c r="AE80" i="25"/>
  <c r="AD80" i="25" s="1"/>
  <c r="AE101" i="25"/>
  <c r="AD101" i="25" s="1"/>
  <c r="AE46" i="25"/>
  <c r="AD46" i="25" s="1"/>
  <c r="AE97" i="25"/>
  <c r="AD97" i="25" s="1"/>
  <c r="AE28" i="25"/>
  <c r="AD28" i="25" s="1"/>
  <c r="AE56" i="25"/>
  <c r="AD56" i="25" s="1"/>
  <c r="AE22" i="25"/>
  <c r="AD22" i="25" s="1"/>
  <c r="AE75" i="25"/>
  <c r="AD75" i="25" s="1"/>
  <c r="AE40" i="25"/>
  <c r="AD40" i="25" s="1"/>
  <c r="AE83" i="25"/>
  <c r="AD83" i="25" s="1"/>
  <c r="AE100" i="25"/>
  <c r="AD100" i="25" s="1"/>
  <c r="J75" i="24"/>
  <c r="I75" i="24"/>
  <c r="I366" i="24"/>
  <c r="J366" i="24"/>
  <c r="I121" i="24"/>
  <c r="J121" i="24"/>
  <c r="J243" i="24"/>
  <c r="I243" i="24"/>
  <c r="I212" i="24"/>
  <c r="J212" i="24"/>
  <c r="I285" i="24"/>
  <c r="J285" i="24"/>
  <c r="I365" i="24"/>
  <c r="J365" i="24"/>
  <c r="I240" i="24"/>
  <c r="J240" i="24"/>
  <c r="J36" i="24"/>
  <c r="I36" i="24"/>
  <c r="I297" i="24"/>
  <c r="J297" i="24"/>
  <c r="I370" i="24"/>
  <c r="J370" i="24"/>
  <c r="I313" i="24"/>
  <c r="J313" i="24"/>
  <c r="D241" i="24"/>
  <c r="E241" i="24" s="1"/>
  <c r="F241" i="24" s="1"/>
  <c r="W241" i="24"/>
  <c r="J373" i="24"/>
  <c r="I373" i="24"/>
  <c r="J143" i="24"/>
  <c r="I143" i="24"/>
  <c r="I329" i="24"/>
  <c r="J329" i="24"/>
  <c r="J154" i="24"/>
  <c r="I154" i="24"/>
  <c r="J295" i="24"/>
  <c r="I295" i="24"/>
  <c r="I21" i="24"/>
  <c r="J21" i="24"/>
  <c r="I228" i="24"/>
  <c r="J228" i="24"/>
  <c r="I209" i="24"/>
  <c r="J209" i="24"/>
  <c r="D363" i="24"/>
  <c r="E363" i="24" s="1"/>
  <c r="F363" i="24" s="1"/>
  <c r="W363" i="24"/>
  <c r="J279" i="24"/>
  <c r="I279" i="24"/>
  <c r="I231" i="24"/>
  <c r="J231" i="24"/>
  <c r="J178" i="24"/>
  <c r="I178" i="24"/>
  <c r="J188" i="24"/>
  <c r="I188" i="24"/>
  <c r="I125" i="24"/>
  <c r="J125" i="24"/>
  <c r="J206" i="24"/>
  <c r="I206" i="24"/>
  <c r="I315" i="24"/>
  <c r="J315" i="24"/>
  <c r="J305" i="24"/>
  <c r="I305" i="24"/>
  <c r="J218" i="24"/>
  <c r="I218" i="24"/>
  <c r="I48" i="24"/>
  <c r="J48" i="24"/>
  <c r="J216" i="24"/>
  <c r="I216" i="24"/>
  <c r="J299" i="24"/>
  <c r="I299" i="24"/>
  <c r="J186" i="24"/>
  <c r="I186" i="24"/>
  <c r="J133" i="24"/>
  <c r="I133" i="24"/>
  <c r="J281" i="24"/>
  <c r="I281" i="24"/>
  <c r="J201" i="24"/>
  <c r="I201" i="24"/>
  <c r="J167" i="24"/>
  <c r="I167" i="24"/>
  <c r="J257" i="24"/>
  <c r="I257" i="24"/>
  <c r="J232" i="24"/>
  <c r="I232" i="24"/>
  <c r="J321" i="24"/>
  <c r="I321" i="24"/>
  <c r="J159" i="24"/>
  <c r="I159" i="24"/>
  <c r="J40" i="24"/>
  <c r="I40" i="24"/>
  <c r="I284" i="24"/>
  <c r="J284" i="24"/>
  <c r="J320" i="24"/>
  <c r="I320" i="24"/>
  <c r="J17" i="24"/>
  <c r="I17" i="24"/>
  <c r="J177" i="24"/>
  <c r="I177" i="24"/>
  <c r="J122" i="24"/>
  <c r="I122" i="24"/>
  <c r="J164" i="24"/>
  <c r="I164" i="24"/>
  <c r="J312" i="24"/>
  <c r="I312" i="24"/>
  <c r="I205" i="24"/>
  <c r="J205" i="24"/>
  <c r="J357" i="24"/>
  <c r="I357" i="24"/>
  <c r="I113" i="24"/>
  <c r="J113" i="24"/>
  <c r="I94" i="24"/>
  <c r="J94" i="24"/>
  <c r="I200" i="24"/>
  <c r="J200" i="24"/>
  <c r="I139" i="24"/>
  <c r="J139" i="24"/>
  <c r="I58" i="24"/>
  <c r="J58" i="24"/>
  <c r="J335" i="24"/>
  <c r="I335" i="24"/>
  <c r="W149" i="24"/>
  <c r="D149" i="24"/>
  <c r="E149" i="24" s="1"/>
  <c r="F149" i="24" s="1"/>
  <c r="J26" i="24"/>
  <c r="I26" i="24"/>
  <c r="I114" i="24"/>
  <c r="J114" i="24"/>
  <c r="J140" i="24"/>
  <c r="I140" i="24"/>
  <c r="J42" i="24"/>
  <c r="I42" i="24"/>
  <c r="I259" i="24"/>
  <c r="J259" i="24"/>
  <c r="I289" i="24"/>
  <c r="J289" i="24"/>
  <c r="I292" i="24"/>
  <c r="J292" i="24"/>
  <c r="J25" i="24"/>
  <c r="I25" i="24"/>
  <c r="I34" i="24"/>
  <c r="J34" i="24"/>
  <c r="I375" i="24"/>
  <c r="J375" i="24"/>
  <c r="J111" i="24"/>
  <c r="I111" i="24"/>
  <c r="J195" i="24"/>
  <c r="I195" i="24"/>
  <c r="J270" i="24"/>
  <c r="I270" i="24"/>
  <c r="I66" i="24"/>
  <c r="J66" i="24"/>
  <c r="I117" i="24"/>
  <c r="J117" i="24"/>
  <c r="J181" i="24"/>
  <c r="I181" i="24"/>
  <c r="J238" i="24"/>
  <c r="I238" i="24"/>
  <c r="J130" i="24"/>
  <c r="I130" i="24"/>
  <c r="I56" i="24"/>
  <c r="J56" i="24"/>
  <c r="J109" i="24"/>
  <c r="I109" i="24"/>
  <c r="J156" i="24"/>
  <c r="I156" i="24"/>
  <c r="I369" i="24"/>
  <c r="J369" i="24"/>
  <c r="J298" i="24"/>
  <c r="I298" i="24"/>
  <c r="I81" i="24"/>
  <c r="J81" i="24"/>
  <c r="I126" i="24"/>
  <c r="J126" i="24"/>
  <c r="I30" i="24"/>
  <c r="J30" i="24"/>
  <c r="I293" i="24"/>
  <c r="J293" i="24"/>
  <c r="I325" i="24"/>
  <c r="J325" i="24"/>
  <c r="I202" i="24"/>
  <c r="J202" i="24"/>
  <c r="I236" i="24"/>
  <c r="J236" i="24"/>
  <c r="W333" i="24"/>
  <c r="D333" i="24"/>
  <c r="E333" i="24" s="1"/>
  <c r="F333" i="24" s="1"/>
  <c r="I85" i="24"/>
  <c r="J85" i="24"/>
  <c r="I127" i="24"/>
  <c r="J127" i="24"/>
  <c r="I134" i="24"/>
  <c r="J134" i="24"/>
  <c r="J142" i="24"/>
  <c r="I142" i="24"/>
  <c r="J105" i="24"/>
  <c r="I105" i="24"/>
  <c r="I120" i="24"/>
  <c r="J120" i="24"/>
  <c r="I54" i="24"/>
  <c r="J54" i="24"/>
  <c r="J182" i="24"/>
  <c r="I182" i="24"/>
  <c r="G210" i="24"/>
  <c r="CE210" i="6" s="1"/>
  <c r="H210" i="24"/>
  <c r="AA210" i="24"/>
  <c r="Z210" i="24" s="1"/>
  <c r="Y210" i="24" s="1"/>
  <c r="I175" i="24"/>
  <c r="J175" i="24"/>
  <c r="J253" i="24"/>
  <c r="I253" i="24"/>
  <c r="J65" i="24"/>
  <c r="I65" i="24"/>
  <c r="I71" i="24"/>
  <c r="J71" i="24"/>
  <c r="I132" i="24"/>
  <c r="J132" i="24"/>
  <c r="I306" i="24"/>
  <c r="J306" i="24"/>
  <c r="J322" i="24"/>
  <c r="I322" i="24"/>
  <c r="I244" i="24"/>
  <c r="J244" i="24"/>
  <c r="I161" i="24"/>
  <c r="J161" i="24"/>
  <c r="J50" i="24"/>
  <c r="I50" i="24"/>
  <c r="I22" i="24"/>
  <c r="J22" i="24"/>
  <c r="J70" i="24"/>
  <c r="I70" i="24"/>
  <c r="W88" i="24"/>
  <c r="D88" i="24"/>
  <c r="E88" i="24" s="1"/>
  <c r="F88" i="24" s="1"/>
  <c r="I331" i="24"/>
  <c r="J331" i="24"/>
  <c r="I269" i="24"/>
  <c r="J269" i="24"/>
  <c r="J226" i="24"/>
  <c r="I226" i="24"/>
  <c r="I258" i="24"/>
  <c r="J258" i="24"/>
  <c r="J332" i="24"/>
  <c r="I332" i="24"/>
  <c r="I368" i="24"/>
  <c r="J368" i="24"/>
  <c r="I234" i="24"/>
  <c r="J234" i="24"/>
  <c r="J267" i="24"/>
  <c r="I267" i="24"/>
  <c r="J166" i="24"/>
  <c r="I166" i="24"/>
  <c r="I242" i="24"/>
  <c r="J242" i="24"/>
  <c r="J199" i="24"/>
  <c r="I199" i="24"/>
  <c r="I176" i="24"/>
  <c r="J176" i="24"/>
  <c r="J163" i="24"/>
  <c r="I163" i="24"/>
  <c r="J106" i="24"/>
  <c r="I106" i="24"/>
  <c r="I275" i="24"/>
  <c r="J275" i="24"/>
  <c r="I229" i="24"/>
  <c r="J229" i="24"/>
  <c r="J100" i="24"/>
  <c r="I100" i="24"/>
  <c r="J136" i="24"/>
  <c r="I136" i="24"/>
  <c r="I148" i="24"/>
  <c r="J148" i="24"/>
  <c r="J79" i="24"/>
  <c r="I79" i="24"/>
  <c r="I203" i="24"/>
  <c r="J203" i="24"/>
  <c r="J123" i="24"/>
  <c r="I123" i="24"/>
  <c r="I277" i="24"/>
  <c r="J277" i="24"/>
  <c r="I171" i="24"/>
  <c r="J171" i="24"/>
  <c r="I317" i="24"/>
  <c r="J317" i="24"/>
  <c r="I57" i="24"/>
  <c r="J57" i="24"/>
  <c r="H29" i="24"/>
  <c r="G29" i="24"/>
  <c r="CE29" i="6" s="1"/>
  <c r="AA29" i="24"/>
  <c r="Z29" i="24" s="1"/>
  <c r="Y29" i="24" s="1"/>
  <c r="I326" i="24"/>
  <c r="J326" i="24"/>
  <c r="J145" i="24"/>
  <c r="I145" i="24"/>
  <c r="J224" i="24"/>
  <c r="I224" i="24"/>
  <c r="J343" i="24"/>
  <c r="I343" i="24"/>
  <c r="I131" i="24"/>
  <c r="J131" i="24"/>
  <c r="I191" i="24"/>
  <c r="J191" i="24"/>
  <c r="I314" i="24"/>
  <c r="J314" i="24"/>
  <c r="I80" i="24"/>
  <c r="J80" i="24"/>
  <c r="I350" i="24"/>
  <c r="J350" i="24"/>
  <c r="W272" i="24"/>
  <c r="D272" i="24"/>
  <c r="E272" i="24" s="1"/>
  <c r="F272" i="24" s="1"/>
  <c r="AH69" i="7"/>
  <c r="W116" i="25"/>
  <c r="W118" i="25"/>
  <c r="Q171" i="25"/>
  <c r="P171" i="25" s="1"/>
  <c r="V171" i="25" s="1"/>
  <c r="B171" i="25" s="1"/>
  <c r="Q160" i="25"/>
  <c r="P160" i="25" s="1"/>
  <c r="V160" i="25" s="1"/>
  <c r="B160" i="25" s="1"/>
  <c r="Q95" i="25"/>
  <c r="P95" i="25" s="1"/>
  <c r="V95" i="25" s="1"/>
  <c r="B95" i="25" s="1"/>
  <c r="Q288" i="25"/>
  <c r="P288" i="25" s="1"/>
  <c r="V288" i="25" s="1"/>
  <c r="Q266" i="25"/>
  <c r="P266" i="25" s="1"/>
  <c r="V266" i="25" s="1"/>
  <c r="B266" i="25" s="1"/>
  <c r="Q165" i="25"/>
  <c r="P165" i="25" s="1"/>
  <c r="V165" i="25" s="1"/>
  <c r="B165" i="25" s="1"/>
  <c r="Q329" i="25"/>
  <c r="P329" i="25" s="1"/>
  <c r="V329" i="25" s="1"/>
  <c r="Q120" i="25"/>
  <c r="P120" i="25" s="1"/>
  <c r="V120" i="25" s="1"/>
  <c r="B120" i="25" s="1"/>
  <c r="Q361" i="25"/>
  <c r="P361" i="25" s="1"/>
  <c r="V361" i="25" s="1"/>
  <c r="B361" i="25" s="1"/>
  <c r="Q259" i="25"/>
  <c r="P259" i="25" s="1"/>
  <c r="V259" i="25" s="1"/>
  <c r="B259" i="25" s="1"/>
  <c r="Q30" i="25"/>
  <c r="P30" i="25" s="1"/>
  <c r="V30" i="25" s="1"/>
  <c r="B30" i="25" s="1"/>
  <c r="Q204" i="25"/>
  <c r="P204" i="25" s="1"/>
  <c r="V204" i="25" s="1"/>
  <c r="B204" i="25" s="1"/>
  <c r="Q78" i="25"/>
  <c r="P78" i="25" s="1"/>
  <c r="V78" i="25" s="1"/>
  <c r="Q264" i="25"/>
  <c r="P264" i="25" s="1"/>
  <c r="V264" i="25" s="1"/>
  <c r="B264" i="25" s="1"/>
  <c r="Q220" i="25"/>
  <c r="P220" i="25" s="1"/>
  <c r="V220" i="25" s="1"/>
  <c r="B220" i="25" s="1"/>
  <c r="I301" i="24"/>
  <c r="J301" i="24"/>
  <c r="I72" i="24"/>
  <c r="J72" i="24"/>
  <c r="J348" i="24"/>
  <c r="I348" i="24"/>
  <c r="J24" i="24"/>
  <c r="I24" i="24"/>
  <c r="J129" i="24"/>
  <c r="I129" i="24"/>
  <c r="I95" i="24"/>
  <c r="J95" i="24"/>
  <c r="I334" i="24"/>
  <c r="J334" i="24"/>
  <c r="I207" i="24"/>
  <c r="J207" i="24"/>
  <c r="I344" i="24"/>
  <c r="J344" i="24"/>
  <c r="I98" i="24"/>
  <c r="J98" i="24"/>
  <c r="J271" i="24"/>
  <c r="I271" i="24"/>
  <c r="I296" i="24"/>
  <c r="J296" i="24"/>
  <c r="I87" i="24"/>
  <c r="J87" i="24"/>
  <c r="J153" i="24"/>
  <c r="I153" i="24"/>
  <c r="AE42" i="25"/>
  <c r="AD42" i="25" s="1"/>
  <c r="AE39" i="25"/>
  <c r="AD39" i="25" s="1"/>
  <c r="AE76" i="25"/>
  <c r="AD76" i="25" s="1"/>
  <c r="AE37" i="25"/>
  <c r="AD37" i="25" s="1"/>
  <c r="AE23" i="25"/>
  <c r="AD23" i="25" s="1"/>
  <c r="AE77" i="25"/>
  <c r="AD77" i="25" s="1"/>
  <c r="AE102" i="25"/>
  <c r="AD102" i="25" s="1"/>
  <c r="AE91" i="25"/>
  <c r="AD91" i="25" s="1"/>
  <c r="AE64" i="25"/>
  <c r="AD64" i="25" s="1"/>
  <c r="AE85" i="25"/>
  <c r="AD85" i="25" s="1"/>
  <c r="AE99" i="25"/>
  <c r="AD99" i="25" s="1"/>
  <c r="AE78" i="25"/>
  <c r="AD78" i="25" s="1"/>
  <c r="AE55" i="25"/>
  <c r="AD55" i="25" s="1"/>
  <c r="AE38" i="25"/>
  <c r="AD38" i="25" s="1"/>
  <c r="AE81" i="25"/>
  <c r="AD81" i="25" s="1"/>
  <c r="AE49" i="25"/>
  <c r="AD49" i="25" s="1"/>
  <c r="AE16" i="25"/>
  <c r="AD16" i="25" s="1"/>
  <c r="AE61" i="25"/>
  <c r="AD61" i="25" s="1"/>
  <c r="AE43" i="25"/>
  <c r="AD43" i="25" s="1"/>
  <c r="AE41" i="25"/>
  <c r="AD41" i="25" s="1"/>
  <c r="AE15" i="25"/>
  <c r="AE19" i="25"/>
  <c r="AD19" i="25" s="1"/>
  <c r="AE25" i="25"/>
  <c r="AD25" i="25" s="1"/>
  <c r="AE24" i="25"/>
  <c r="AD24" i="25" s="1"/>
  <c r="AE65" i="25"/>
  <c r="AD65" i="25" s="1"/>
  <c r="AE54" i="25"/>
  <c r="AD54" i="25" s="1"/>
  <c r="AE88" i="25"/>
  <c r="AD88" i="25" s="1"/>
  <c r="AE51" i="25"/>
  <c r="AD51" i="25" s="1"/>
  <c r="AE90" i="25"/>
  <c r="AD90" i="25" s="1"/>
  <c r="AE53" i="25"/>
  <c r="AD53" i="25" s="1"/>
  <c r="AE70" i="25"/>
  <c r="AD70" i="25" s="1"/>
  <c r="AE50" i="25"/>
  <c r="AD50" i="25" s="1"/>
  <c r="AE79" i="25"/>
  <c r="AD79" i="25" s="1"/>
  <c r="AE20" i="25"/>
  <c r="AD20" i="25" s="1"/>
  <c r="AE52" i="25"/>
  <c r="AD52" i="25" s="1"/>
  <c r="AE18" i="25"/>
  <c r="AD18" i="25" s="1"/>
  <c r="AE103" i="25"/>
  <c r="AD103" i="25" s="1"/>
  <c r="AE95" i="25"/>
  <c r="AD95" i="25" s="1"/>
  <c r="AE30" i="25"/>
  <c r="AD30" i="25" s="1"/>
  <c r="AE44" i="25"/>
  <c r="AD44" i="25" s="1"/>
  <c r="AE60" i="25"/>
  <c r="AD60" i="25" s="1"/>
  <c r="AE63" i="25"/>
  <c r="AD63" i="25" s="1"/>
  <c r="AE34" i="25"/>
  <c r="AD34" i="25" s="1"/>
  <c r="AE72" i="25"/>
  <c r="AD72" i="25" s="1"/>
  <c r="I263" i="24"/>
  <c r="J263" i="24"/>
  <c r="I99" i="24"/>
  <c r="J99" i="24"/>
  <c r="J146" i="24"/>
  <c r="I146" i="24"/>
  <c r="J291" i="24"/>
  <c r="I291" i="24"/>
  <c r="I43" i="24"/>
  <c r="J43" i="24"/>
  <c r="I44" i="24"/>
  <c r="J44" i="24"/>
  <c r="I374" i="24"/>
  <c r="J374" i="24"/>
  <c r="I18" i="24"/>
  <c r="J18" i="24"/>
  <c r="I265" i="24"/>
  <c r="J265" i="24"/>
  <c r="I223" i="24"/>
  <c r="J223" i="24"/>
  <c r="J346" i="24"/>
  <c r="I346" i="24"/>
  <c r="W119" i="24"/>
  <c r="D119" i="24"/>
  <c r="E119" i="24" s="1"/>
  <c r="F119" i="24" s="1"/>
  <c r="I77" i="24"/>
  <c r="J77" i="24"/>
  <c r="J112" i="24"/>
  <c r="I112" i="24"/>
  <c r="J144" i="24"/>
  <c r="I144" i="24"/>
  <c r="I194" i="24"/>
  <c r="J194" i="24"/>
  <c r="I274" i="24"/>
  <c r="J274" i="24"/>
  <c r="J362" i="24"/>
  <c r="I362" i="24"/>
  <c r="I217" i="24"/>
  <c r="J217" i="24"/>
  <c r="M69" i="19"/>
  <c r="J91" i="24"/>
  <c r="I91" i="24"/>
  <c r="I185" i="24"/>
  <c r="J185" i="24"/>
  <c r="I294" i="24"/>
  <c r="J294" i="24"/>
  <c r="I260" i="24"/>
  <c r="J260" i="24"/>
  <c r="I233" i="24"/>
  <c r="J233" i="24"/>
  <c r="I342" i="24"/>
  <c r="J342" i="24"/>
  <c r="J183" i="24"/>
  <c r="I183" i="24"/>
  <c r="I190" i="24"/>
  <c r="J190" i="24"/>
  <c r="J39" i="24"/>
  <c r="I39" i="24"/>
  <c r="J237" i="24"/>
  <c r="I237" i="24"/>
  <c r="J59" i="24"/>
  <c r="I59" i="24"/>
  <c r="I219" i="24"/>
  <c r="J219" i="24"/>
  <c r="J86" i="24"/>
  <c r="I86" i="24"/>
  <c r="J174" i="24"/>
  <c r="I174" i="24"/>
  <c r="I108" i="24"/>
  <c r="J108" i="24"/>
  <c r="J172" i="24"/>
  <c r="I172" i="24"/>
  <c r="I150" i="24"/>
  <c r="J150" i="24"/>
  <c r="J371" i="24"/>
  <c r="I371" i="24"/>
  <c r="I23" i="24"/>
  <c r="J23" i="24"/>
  <c r="I137" i="24"/>
  <c r="J137" i="24"/>
  <c r="J283" i="24"/>
  <c r="I283" i="24"/>
  <c r="B69" i="19"/>
  <c r="V383" i="24"/>
  <c r="B15" i="24"/>
  <c r="V382" i="24"/>
  <c r="V381" i="24"/>
  <c r="I376" i="24"/>
  <c r="J376" i="24"/>
  <c r="W302" i="24"/>
  <c r="D302" i="24"/>
  <c r="E302" i="24" s="1"/>
  <c r="F302" i="24" s="1"/>
  <c r="J187" i="24"/>
  <c r="I187" i="24"/>
  <c r="J193" i="24"/>
  <c r="I193" i="24"/>
  <c r="J309" i="24"/>
  <c r="I309" i="24"/>
  <c r="I282" i="24"/>
  <c r="J282" i="24"/>
  <c r="J83" i="24"/>
  <c r="I83" i="24"/>
  <c r="I361" i="24"/>
  <c r="J361" i="24"/>
  <c r="I278" i="24"/>
  <c r="J278" i="24"/>
  <c r="I273" i="24"/>
  <c r="J273" i="24"/>
  <c r="J235" i="24"/>
  <c r="I235" i="24"/>
  <c r="I64" i="24"/>
  <c r="J64" i="24"/>
  <c r="J356" i="24"/>
  <c r="I356" i="24"/>
  <c r="I45" i="24"/>
  <c r="J45" i="24"/>
  <c r="J261" i="24"/>
  <c r="I261" i="24"/>
  <c r="I336" i="24"/>
  <c r="J336" i="24"/>
  <c r="J104" i="24"/>
  <c r="I104" i="24"/>
  <c r="I319" i="24"/>
  <c r="J319" i="24"/>
  <c r="J352" i="24"/>
  <c r="I352" i="24"/>
  <c r="I330" i="24"/>
  <c r="J330" i="24"/>
  <c r="J92" i="24"/>
  <c r="I92" i="24"/>
  <c r="J380" i="24"/>
  <c r="I380" i="24"/>
  <c r="H380" i="25" s="1"/>
  <c r="J337" i="24"/>
  <c r="I337" i="24"/>
  <c r="N16" i="19"/>
  <c r="M16" i="19"/>
  <c r="D17" i="19"/>
  <c r="G41" i="19"/>
  <c r="AK5" i="25"/>
  <c r="AD104" i="25"/>
  <c r="AF381" i="25"/>
  <c r="AF383" i="25"/>
  <c r="AF382" i="25"/>
  <c r="AM13" i="20"/>
  <c r="AK4" i="20"/>
  <c r="R16" i="19" s="1"/>
  <c r="J16" i="19"/>
  <c r="AA11" i="20"/>
  <c r="AA5" i="20" s="1"/>
  <c r="I16" i="19" s="1"/>
  <c r="Z11" i="20"/>
  <c r="Z5" i="20" s="1"/>
  <c r="H16" i="19" s="1"/>
  <c r="B32" i="19" s="1"/>
  <c r="Y11" i="20"/>
  <c r="AJ4" i="20"/>
  <c r="P16" i="19" s="1"/>
  <c r="AL13" i="20"/>
  <c r="I381" i="22"/>
  <c r="I383" i="22"/>
  <c r="I382" i="22"/>
  <c r="H15" i="23"/>
  <c r="Z9" i="22"/>
  <c r="AL8" i="22"/>
  <c r="Z383" i="22"/>
  <c r="Z382" i="22"/>
  <c r="Y15" i="22"/>
  <c r="AL5" i="22" s="1"/>
  <c r="AL11" i="22" s="1"/>
  <c r="AJ3" i="22" s="1"/>
  <c r="O17" i="19" s="1"/>
  <c r="Z381" i="22"/>
  <c r="J382" i="22"/>
  <c r="J383" i="22"/>
  <c r="J381" i="22"/>
  <c r="AA381" i="23"/>
  <c r="AL10" i="23"/>
  <c r="AA383" i="23"/>
  <c r="AA382" i="23"/>
  <c r="AA9" i="23"/>
  <c r="Z15" i="23"/>
  <c r="AL7" i="23" s="1"/>
  <c r="AM8" i="23"/>
  <c r="G18" i="19"/>
  <c r="J42" i="19" s="1"/>
  <c r="F11" i="23"/>
  <c r="AB9" i="23"/>
  <c r="G382" i="23"/>
  <c r="G383" i="23"/>
  <c r="G12" i="23" s="1"/>
  <c r="G381" i="23"/>
  <c r="AO7" i="7"/>
  <c r="G7" i="6"/>
  <c r="D135" i="25" l="1"/>
  <c r="E135" i="25" s="1"/>
  <c r="F135" i="25" s="1"/>
  <c r="D215" i="25"/>
  <c r="E215" i="25" s="1"/>
  <c r="F215" i="25" s="1"/>
  <c r="AA215" i="25" s="1"/>
  <c r="Z215" i="25" s="1"/>
  <c r="Y215" i="25" s="1"/>
  <c r="V241" i="25"/>
  <c r="V149" i="25"/>
  <c r="B149" i="25" s="1"/>
  <c r="W149" i="25" s="1"/>
  <c r="D362" i="25"/>
  <c r="E362" i="25" s="1"/>
  <c r="F362" i="25" s="1"/>
  <c r="G362" i="25" s="1"/>
  <c r="CF362" i="6" s="1"/>
  <c r="W193" i="25"/>
  <c r="D79" i="25"/>
  <c r="E79" i="25" s="1"/>
  <c r="F79" i="25" s="1"/>
  <c r="G79" i="25" s="1"/>
  <c r="CF79" i="6" s="1"/>
  <c r="D125" i="25"/>
  <c r="E125" i="25" s="1"/>
  <c r="F125" i="25" s="1"/>
  <c r="G125" i="25" s="1"/>
  <c r="CF125" i="6" s="1"/>
  <c r="D217" i="25"/>
  <c r="E217" i="25" s="1"/>
  <c r="F217" i="25" s="1"/>
  <c r="G217" i="25" s="1"/>
  <c r="CF217" i="6" s="1"/>
  <c r="D351" i="25"/>
  <c r="E351" i="25" s="1"/>
  <c r="F351" i="25" s="1"/>
  <c r="H351" i="25" s="1"/>
  <c r="D325" i="25"/>
  <c r="E325" i="25" s="1"/>
  <c r="F325" i="25" s="1"/>
  <c r="AA325" i="25" s="1"/>
  <c r="Z325" i="25" s="1"/>
  <c r="Y325" i="25" s="1"/>
  <c r="D222" i="25"/>
  <c r="E222" i="25" s="1"/>
  <c r="F222" i="25" s="1"/>
  <c r="AA222" i="25" s="1"/>
  <c r="Z222" i="25" s="1"/>
  <c r="Y222" i="25" s="1"/>
  <c r="D192" i="25"/>
  <c r="E192" i="25" s="1"/>
  <c r="F192" i="25" s="1"/>
  <c r="AA192" i="25" s="1"/>
  <c r="Z192" i="25" s="1"/>
  <c r="Y192" i="25" s="1"/>
  <c r="D169" i="25"/>
  <c r="E169" i="25" s="1"/>
  <c r="F169" i="25" s="1"/>
  <c r="AA169" i="25" s="1"/>
  <c r="Z169" i="25" s="1"/>
  <c r="Y169" i="25" s="1"/>
  <c r="W155" i="25"/>
  <c r="D41" i="25"/>
  <c r="E41" i="25" s="1"/>
  <c r="F41" i="25" s="1"/>
  <c r="H41" i="25" s="1"/>
  <c r="D67" i="25"/>
  <c r="E67" i="25" s="1"/>
  <c r="F67" i="25" s="1"/>
  <c r="G67" i="25" s="1"/>
  <c r="CF67" i="6" s="1"/>
  <c r="D87" i="25"/>
  <c r="E87" i="25" s="1"/>
  <c r="F87" i="25" s="1"/>
  <c r="H87" i="25" s="1"/>
  <c r="W122" i="25"/>
  <c r="D85" i="25"/>
  <c r="E85" i="25" s="1"/>
  <c r="F85" i="25" s="1"/>
  <c r="AA85" i="25" s="1"/>
  <c r="Z85" i="25" s="1"/>
  <c r="Y85" i="25" s="1"/>
  <c r="W37" i="25"/>
  <c r="W115" i="25"/>
  <c r="D56" i="25"/>
  <c r="E56" i="25" s="1"/>
  <c r="F56" i="25" s="1"/>
  <c r="H56" i="25" s="1"/>
  <c r="D300" i="25"/>
  <c r="E300" i="25" s="1"/>
  <c r="F300" i="25" s="1"/>
  <c r="G300" i="25" s="1"/>
  <c r="CF300" i="6" s="1"/>
  <c r="W246" i="25"/>
  <c r="D316" i="25"/>
  <c r="E316" i="25" s="1"/>
  <c r="F316" i="25" s="1"/>
  <c r="H316" i="25" s="1"/>
  <c r="D53" i="25"/>
  <c r="E53" i="25" s="1"/>
  <c r="F53" i="25" s="1"/>
  <c r="AA53" i="25" s="1"/>
  <c r="Z53" i="25" s="1"/>
  <c r="Y53" i="25" s="1"/>
  <c r="W219" i="25"/>
  <c r="D334" i="25"/>
  <c r="E334" i="25" s="1"/>
  <c r="F334" i="25" s="1"/>
  <c r="G334" i="25" s="1"/>
  <c r="CF334" i="6" s="1"/>
  <c r="D145" i="25"/>
  <c r="E145" i="25" s="1"/>
  <c r="F145" i="25" s="1"/>
  <c r="H145" i="25" s="1"/>
  <c r="W305" i="25"/>
  <c r="AH79" i="7"/>
  <c r="AH74" i="7"/>
  <c r="W301" i="25"/>
  <c r="W286" i="25"/>
  <c r="W99" i="25"/>
  <c r="AH76" i="7"/>
  <c r="D373" i="25"/>
  <c r="E373" i="25" s="1"/>
  <c r="F373" i="25" s="1"/>
  <c r="G373" i="25" s="1"/>
  <c r="CF373" i="6" s="1"/>
  <c r="W72" i="25"/>
  <c r="W281" i="25"/>
  <c r="D74" i="25"/>
  <c r="E74" i="25" s="1"/>
  <c r="F74" i="25" s="1"/>
  <c r="AA74" i="25" s="1"/>
  <c r="Z74" i="25" s="1"/>
  <c r="Y74" i="25" s="1"/>
  <c r="D328" i="25"/>
  <c r="E328" i="25" s="1"/>
  <c r="F328" i="25" s="1"/>
  <c r="G328" i="25" s="1"/>
  <c r="CF328" i="6" s="1"/>
  <c r="W212" i="25"/>
  <c r="W292" i="25"/>
  <c r="W341" i="25"/>
  <c r="W174" i="25"/>
  <c r="D239" i="25"/>
  <c r="E239" i="25" s="1"/>
  <c r="F239" i="25" s="1"/>
  <c r="H239" i="25" s="1"/>
  <c r="W199" i="25"/>
  <c r="W294" i="25"/>
  <c r="W17" i="25"/>
  <c r="D161" i="25"/>
  <c r="E161" i="25" s="1"/>
  <c r="F161" i="25" s="1"/>
  <c r="H161" i="25" s="1"/>
  <c r="D364" i="25"/>
  <c r="E364" i="25" s="1"/>
  <c r="F364" i="25" s="1"/>
  <c r="H364" i="25" s="1"/>
  <c r="D91" i="25"/>
  <c r="E91" i="25" s="1"/>
  <c r="F91" i="25" s="1"/>
  <c r="AA91" i="25" s="1"/>
  <c r="Z91" i="25" s="1"/>
  <c r="Y91" i="25" s="1"/>
  <c r="W240" i="25"/>
  <c r="D207" i="25"/>
  <c r="E207" i="25" s="1"/>
  <c r="F207" i="25" s="1"/>
  <c r="H207" i="25" s="1"/>
  <c r="D198" i="25"/>
  <c r="E198" i="25" s="1"/>
  <c r="F198" i="25" s="1"/>
  <c r="G198" i="25" s="1"/>
  <c r="CF198" i="6" s="1"/>
  <c r="D353" i="25"/>
  <c r="E353" i="25" s="1"/>
  <c r="F353" i="25" s="1"/>
  <c r="G353" i="25" s="1"/>
  <c r="CF353" i="6" s="1"/>
  <c r="D70" i="25"/>
  <c r="E70" i="25" s="1"/>
  <c r="F70" i="25" s="1"/>
  <c r="H70" i="25" s="1"/>
  <c r="W245" i="25"/>
  <c r="D309" i="25"/>
  <c r="E309" i="25" s="1"/>
  <c r="F309" i="25" s="1"/>
  <c r="AA309" i="25" s="1"/>
  <c r="Z309" i="25" s="1"/>
  <c r="Y309" i="25" s="1"/>
  <c r="D173" i="25"/>
  <c r="E173" i="25" s="1"/>
  <c r="F173" i="25" s="1"/>
  <c r="H173" i="25" s="1"/>
  <c r="D189" i="25"/>
  <c r="E189" i="25" s="1"/>
  <c r="F189" i="25" s="1"/>
  <c r="G189" i="25" s="1"/>
  <c r="CF189" i="6" s="1"/>
  <c r="W61" i="25"/>
  <c r="W195" i="25"/>
  <c r="D191" i="25"/>
  <c r="E191" i="25" s="1"/>
  <c r="F191" i="25" s="1"/>
  <c r="G191" i="25" s="1"/>
  <c r="CF191" i="6" s="1"/>
  <c r="W295" i="25"/>
  <c r="D127" i="25"/>
  <c r="E127" i="25" s="1"/>
  <c r="F127" i="25" s="1"/>
  <c r="H127" i="25" s="1"/>
  <c r="D154" i="25"/>
  <c r="E154" i="25" s="1"/>
  <c r="F154" i="25" s="1"/>
  <c r="AA154" i="25" s="1"/>
  <c r="Z154" i="25" s="1"/>
  <c r="Y154" i="25" s="1"/>
  <c r="W178" i="25"/>
  <c r="D35" i="25"/>
  <c r="E35" i="25" s="1"/>
  <c r="F35" i="25" s="1"/>
  <c r="AA35" i="25" s="1"/>
  <c r="Z35" i="25" s="1"/>
  <c r="Y35" i="25" s="1"/>
  <c r="W62" i="25"/>
  <c r="D254" i="25"/>
  <c r="E254" i="25" s="1"/>
  <c r="F254" i="25" s="1"/>
  <c r="G254" i="25" s="1"/>
  <c r="CF254" i="6" s="1"/>
  <c r="D357" i="25"/>
  <c r="E357" i="25" s="1"/>
  <c r="F357" i="25" s="1"/>
  <c r="H357" i="25" s="1"/>
  <c r="D319" i="25"/>
  <c r="E319" i="25" s="1"/>
  <c r="F319" i="25" s="1"/>
  <c r="G319" i="25" s="1"/>
  <c r="CF319" i="6" s="1"/>
  <c r="W225" i="25"/>
  <c r="W338" i="25"/>
  <c r="D218" i="25"/>
  <c r="E218" i="25" s="1"/>
  <c r="F218" i="25" s="1"/>
  <c r="G218" i="25" s="1"/>
  <c r="CF218" i="6" s="1"/>
  <c r="D287" i="25"/>
  <c r="E287" i="25" s="1"/>
  <c r="F287" i="25" s="1"/>
  <c r="AA287" i="25" s="1"/>
  <c r="Z287" i="25" s="1"/>
  <c r="Y287" i="25" s="1"/>
  <c r="W374" i="25"/>
  <c r="D111" i="25"/>
  <c r="E111" i="25" s="1"/>
  <c r="F111" i="25" s="1"/>
  <c r="H111" i="25" s="1"/>
  <c r="W40" i="25"/>
  <c r="W313" i="25"/>
  <c r="D354" i="25"/>
  <c r="E354" i="25" s="1"/>
  <c r="F354" i="25" s="1"/>
  <c r="H354" i="25" s="1"/>
  <c r="W132" i="25"/>
  <c r="D321" i="25"/>
  <c r="E321" i="25" s="1"/>
  <c r="F321" i="25" s="1"/>
  <c r="AA321" i="25" s="1"/>
  <c r="Z321" i="25" s="1"/>
  <c r="Y321" i="25" s="1"/>
  <c r="W359" i="25"/>
  <c r="D130" i="25"/>
  <c r="E130" i="25" s="1"/>
  <c r="F130" i="25" s="1"/>
  <c r="H130" i="25" s="1"/>
  <c r="W331" i="25"/>
  <c r="D214" i="25"/>
  <c r="E214" i="25" s="1"/>
  <c r="F214" i="25" s="1"/>
  <c r="G214" i="25" s="1"/>
  <c r="CF214" i="6" s="1"/>
  <c r="W68" i="25"/>
  <c r="W261" i="25"/>
  <c r="D81" i="25"/>
  <c r="E81" i="25" s="1"/>
  <c r="F81" i="25" s="1"/>
  <c r="AA81" i="25" s="1"/>
  <c r="Z81" i="25" s="1"/>
  <c r="Y81" i="25" s="1"/>
  <c r="D248" i="25"/>
  <c r="E248" i="25" s="1"/>
  <c r="F248" i="25" s="1"/>
  <c r="G248" i="25" s="1"/>
  <c r="CF248" i="6" s="1"/>
  <c r="W113" i="25"/>
  <c r="D372" i="25"/>
  <c r="E372" i="25" s="1"/>
  <c r="F372" i="25" s="1"/>
  <c r="AA372" i="25" s="1"/>
  <c r="Z372" i="25" s="1"/>
  <c r="Y372" i="25" s="1"/>
  <c r="W352" i="25"/>
  <c r="W36" i="25"/>
  <c r="D298" i="25"/>
  <c r="E298" i="25" s="1"/>
  <c r="F298" i="25" s="1"/>
  <c r="AA298" i="25" s="1"/>
  <c r="Z298" i="25" s="1"/>
  <c r="Y298" i="25" s="1"/>
  <c r="W94" i="25"/>
  <c r="W158" i="25"/>
  <c r="D22" i="25"/>
  <c r="E22" i="25" s="1"/>
  <c r="F22" i="25" s="1"/>
  <c r="H22" i="25" s="1"/>
  <c r="D346" i="25"/>
  <c r="E346" i="25" s="1"/>
  <c r="F346" i="25" s="1"/>
  <c r="H346" i="25" s="1"/>
  <c r="D289" i="25"/>
  <c r="E289" i="25" s="1"/>
  <c r="F289" i="25" s="1"/>
  <c r="G289" i="25" s="1"/>
  <c r="CF289" i="6" s="1"/>
  <c r="D146" i="25"/>
  <c r="E146" i="25" s="1"/>
  <c r="F146" i="25" s="1"/>
  <c r="AA146" i="25" s="1"/>
  <c r="Z146" i="25" s="1"/>
  <c r="Y146" i="25" s="1"/>
  <c r="D349" i="25"/>
  <c r="E349" i="25" s="1"/>
  <c r="F349" i="25" s="1"/>
  <c r="AA349" i="25" s="1"/>
  <c r="Z349" i="25" s="1"/>
  <c r="Y349" i="25" s="1"/>
  <c r="W170" i="25"/>
  <c r="D285" i="25"/>
  <c r="E285" i="25" s="1"/>
  <c r="F285" i="25" s="1"/>
  <c r="AA285" i="25" s="1"/>
  <c r="Z285" i="25" s="1"/>
  <c r="Y285" i="25" s="1"/>
  <c r="W123" i="25"/>
  <c r="W202" i="25"/>
  <c r="D48" i="25"/>
  <c r="E48" i="25" s="1"/>
  <c r="F48" i="25" s="1"/>
  <c r="H48" i="25" s="1"/>
  <c r="H104" i="25"/>
  <c r="J104" i="25" s="1"/>
  <c r="H150" i="25"/>
  <c r="I150" i="25" s="1"/>
  <c r="H291" i="25"/>
  <c r="J291" i="25" s="1"/>
  <c r="H153" i="25"/>
  <c r="I153" i="25" s="1"/>
  <c r="D167" i="25"/>
  <c r="E167" i="25" s="1"/>
  <c r="F167" i="25" s="1"/>
  <c r="G167" i="25" s="1"/>
  <c r="CF167" i="6" s="1"/>
  <c r="W344" i="25"/>
  <c r="W97" i="25"/>
  <c r="W249" i="25"/>
  <c r="W323" i="25"/>
  <c r="D358" i="25"/>
  <c r="E358" i="25" s="1"/>
  <c r="F358" i="25" s="1"/>
  <c r="G358" i="25" s="1"/>
  <c r="CF358" i="6" s="1"/>
  <c r="D270" i="25"/>
  <c r="E270" i="25" s="1"/>
  <c r="F270" i="25" s="1"/>
  <c r="H270" i="25" s="1"/>
  <c r="D20" i="25"/>
  <c r="E20" i="25" s="1"/>
  <c r="F20" i="25" s="1"/>
  <c r="AA20" i="25" s="1"/>
  <c r="Z20" i="25" s="1"/>
  <c r="Y20" i="25" s="1"/>
  <c r="D252" i="25"/>
  <c r="E252" i="25" s="1"/>
  <c r="F252" i="25" s="1"/>
  <c r="AA252" i="25" s="1"/>
  <c r="Z252" i="25" s="1"/>
  <c r="Y252" i="25" s="1"/>
  <c r="D315" i="25"/>
  <c r="E315" i="25" s="1"/>
  <c r="F315" i="25" s="1"/>
  <c r="G315" i="25" s="1"/>
  <c r="CF315" i="6" s="1"/>
  <c r="D306" i="25"/>
  <c r="E306" i="25" s="1"/>
  <c r="F306" i="25" s="1"/>
  <c r="G306" i="25" s="1"/>
  <c r="CF306" i="6" s="1"/>
  <c r="W209" i="25"/>
  <c r="W54" i="25"/>
  <c r="D26" i="25"/>
  <c r="E26" i="25" s="1"/>
  <c r="F26" i="25" s="1"/>
  <c r="AA26" i="25" s="1"/>
  <c r="Z26" i="25" s="1"/>
  <c r="Y26" i="25" s="1"/>
  <c r="D24" i="25"/>
  <c r="E24" i="25" s="1"/>
  <c r="F24" i="25" s="1"/>
  <c r="G24" i="25" s="1"/>
  <c r="CF24" i="6" s="1"/>
  <c r="D141" i="25"/>
  <c r="E141" i="25" s="1"/>
  <c r="F141" i="25" s="1"/>
  <c r="H141" i="25" s="1"/>
  <c r="W293" i="25"/>
  <c r="D265" i="25"/>
  <c r="E265" i="25" s="1"/>
  <c r="F265" i="25" s="1"/>
  <c r="G265" i="25" s="1"/>
  <c r="CF265" i="6" s="1"/>
  <c r="D80" i="25"/>
  <c r="E80" i="25" s="1"/>
  <c r="F80" i="25" s="1"/>
  <c r="AA80" i="25" s="1"/>
  <c r="Z80" i="25" s="1"/>
  <c r="Y80" i="25" s="1"/>
  <c r="W31" i="25"/>
  <c r="D348" i="25"/>
  <c r="E348" i="25" s="1"/>
  <c r="F348" i="25" s="1"/>
  <c r="H348" i="25" s="1"/>
  <c r="D143" i="25"/>
  <c r="E143" i="25" s="1"/>
  <c r="F143" i="25" s="1"/>
  <c r="H143" i="25" s="1"/>
  <c r="D324" i="25"/>
  <c r="E324" i="25" s="1"/>
  <c r="F324" i="25" s="1"/>
  <c r="H324" i="25" s="1"/>
  <c r="D377" i="25"/>
  <c r="E377" i="25" s="1"/>
  <c r="F377" i="25" s="1"/>
  <c r="AA377" i="25" s="1"/>
  <c r="Z377" i="25" s="1"/>
  <c r="Y377" i="25" s="1"/>
  <c r="D280" i="25"/>
  <c r="E280" i="25" s="1"/>
  <c r="F280" i="25" s="1"/>
  <c r="H280" i="25" s="1"/>
  <c r="W350" i="25"/>
  <c r="D216" i="25"/>
  <c r="E216" i="25" s="1"/>
  <c r="F216" i="25" s="1"/>
  <c r="G216" i="25" s="1"/>
  <c r="CF216" i="6" s="1"/>
  <c r="D226" i="25"/>
  <c r="E226" i="25" s="1"/>
  <c r="F226" i="25" s="1"/>
  <c r="G226" i="25" s="1"/>
  <c r="CF226" i="6" s="1"/>
  <c r="D110" i="25"/>
  <c r="E110" i="25" s="1"/>
  <c r="F110" i="25" s="1"/>
  <c r="G110" i="25" s="1"/>
  <c r="CF110" i="6" s="1"/>
  <c r="D152" i="25"/>
  <c r="E152" i="25" s="1"/>
  <c r="F152" i="25" s="1"/>
  <c r="AA152" i="25" s="1"/>
  <c r="Z152" i="25" s="1"/>
  <c r="Y152" i="25" s="1"/>
  <c r="D327" i="25"/>
  <c r="E327" i="25" s="1"/>
  <c r="F327" i="25" s="1"/>
  <c r="AA327" i="25" s="1"/>
  <c r="Z327" i="25" s="1"/>
  <c r="Y327" i="25" s="1"/>
  <c r="W299" i="25"/>
  <c r="W314" i="25"/>
  <c r="W378" i="25"/>
  <c r="D326" i="25"/>
  <c r="E326" i="25" s="1"/>
  <c r="F326" i="25" s="1"/>
  <c r="AA326" i="25" s="1"/>
  <c r="Z326" i="25" s="1"/>
  <c r="Y326" i="25" s="1"/>
  <c r="W185" i="25"/>
  <c r="W128" i="25"/>
  <c r="W336" i="25"/>
  <c r="D268" i="25"/>
  <c r="E268" i="25" s="1"/>
  <c r="F268" i="25" s="1"/>
  <c r="AA268" i="25" s="1"/>
  <c r="Z268" i="25" s="1"/>
  <c r="Y268" i="25" s="1"/>
  <c r="D370" i="25"/>
  <c r="E370" i="25" s="1"/>
  <c r="F370" i="25" s="1"/>
  <c r="H370" i="25" s="1"/>
  <c r="W51" i="25"/>
  <c r="W98" i="25"/>
  <c r="D82" i="25"/>
  <c r="E82" i="25" s="1"/>
  <c r="F82" i="25" s="1"/>
  <c r="G82" i="25" s="1"/>
  <c r="CF82" i="6" s="1"/>
  <c r="D200" i="25"/>
  <c r="E200" i="25" s="1"/>
  <c r="F200" i="25" s="1"/>
  <c r="AA200" i="25" s="1"/>
  <c r="Z200" i="25" s="1"/>
  <c r="Y200" i="25" s="1"/>
  <c r="W257" i="25"/>
  <c r="H183" i="25"/>
  <c r="J183" i="25" s="1"/>
  <c r="D211" i="25"/>
  <c r="E211" i="25" s="1"/>
  <c r="F211" i="25" s="1"/>
  <c r="G211" i="25" s="1"/>
  <c r="CF211" i="6" s="1"/>
  <c r="D179" i="25"/>
  <c r="E179" i="25" s="1"/>
  <c r="F179" i="25" s="1"/>
  <c r="H179" i="25" s="1"/>
  <c r="W112" i="25"/>
  <c r="D63" i="25"/>
  <c r="E63" i="25" s="1"/>
  <c r="F63" i="25" s="1"/>
  <c r="H63" i="25" s="1"/>
  <c r="D242" i="25"/>
  <c r="E242" i="25" s="1"/>
  <c r="F242" i="25" s="1"/>
  <c r="H242" i="25" s="1"/>
  <c r="W224" i="25"/>
  <c r="D307" i="25"/>
  <c r="E307" i="25" s="1"/>
  <c r="F307" i="25" s="1"/>
  <c r="H307" i="25" s="1"/>
  <c r="H202" i="25"/>
  <c r="I202" i="25" s="1"/>
  <c r="H98" i="25"/>
  <c r="I98" i="25" s="1"/>
  <c r="H312" i="25"/>
  <c r="I312" i="25" s="1"/>
  <c r="H164" i="25"/>
  <c r="J164" i="25" s="1"/>
  <c r="H122" i="25"/>
  <c r="J122" i="25" s="1"/>
  <c r="AA334" i="25"/>
  <c r="Z334" i="25" s="1"/>
  <c r="Y334" i="25" s="1"/>
  <c r="AA122" i="25"/>
  <c r="Z122" i="25" s="1"/>
  <c r="Y122" i="25" s="1"/>
  <c r="AA291" i="25"/>
  <c r="Z291" i="25" s="1"/>
  <c r="Y291" i="25" s="1"/>
  <c r="AA279" i="25"/>
  <c r="Z279" i="25" s="1"/>
  <c r="Y279" i="25" s="1"/>
  <c r="AA150" i="25"/>
  <c r="Z150" i="25" s="1"/>
  <c r="Y150" i="25" s="1"/>
  <c r="AA297" i="25"/>
  <c r="Z297" i="25" s="1"/>
  <c r="Y297" i="25" s="1"/>
  <c r="AA282" i="25"/>
  <c r="Z282" i="25" s="1"/>
  <c r="Y282" i="25" s="1"/>
  <c r="AA267" i="25"/>
  <c r="Z267" i="25" s="1"/>
  <c r="Y267" i="25" s="1"/>
  <c r="AA256" i="25"/>
  <c r="Z256" i="25" s="1"/>
  <c r="Y256" i="25" s="1"/>
  <c r="AA318" i="25"/>
  <c r="Z318" i="25" s="1"/>
  <c r="Y318" i="25" s="1"/>
  <c r="H40" i="19"/>
  <c r="AA362" i="25"/>
  <c r="Z362" i="25" s="1"/>
  <c r="Y362" i="25" s="1"/>
  <c r="I40" i="19"/>
  <c r="E17" i="19"/>
  <c r="F17" i="19" s="1"/>
  <c r="I227" i="25"/>
  <c r="J227" i="25"/>
  <c r="H193" i="25"/>
  <c r="I193" i="25" s="1"/>
  <c r="W275" i="25"/>
  <c r="D337" i="25"/>
  <c r="E337" i="25" s="1"/>
  <c r="F337" i="25" s="1"/>
  <c r="H337" i="25" s="1"/>
  <c r="J337" i="25" s="1"/>
  <c r="W44" i="25"/>
  <c r="D43" i="25"/>
  <c r="E43" i="25" s="1"/>
  <c r="F43" i="25" s="1"/>
  <c r="AA43" i="25" s="1"/>
  <c r="Z43" i="25" s="1"/>
  <c r="Y43" i="25" s="1"/>
  <c r="W203" i="25"/>
  <c r="D367" i="25"/>
  <c r="E367" i="25" s="1"/>
  <c r="F367" i="25" s="1"/>
  <c r="G367" i="25" s="1"/>
  <c r="CF367" i="6" s="1"/>
  <c r="W368" i="25"/>
  <c r="D273" i="25"/>
  <c r="E273" i="25" s="1"/>
  <c r="F273" i="25" s="1"/>
  <c r="AA273" i="25" s="1"/>
  <c r="Z273" i="25" s="1"/>
  <c r="Y273" i="25" s="1"/>
  <c r="W138" i="25"/>
  <c r="D244" i="25"/>
  <c r="E244" i="25" s="1"/>
  <c r="F244" i="25" s="1"/>
  <c r="G244" i="25" s="1"/>
  <c r="CF244" i="6" s="1"/>
  <c r="W366" i="25"/>
  <c r="D221" i="25"/>
  <c r="E221" i="25" s="1"/>
  <c r="F221" i="25" s="1"/>
  <c r="G221" i="25" s="1"/>
  <c r="CF221" i="6" s="1"/>
  <c r="D144" i="25"/>
  <c r="E144" i="25" s="1"/>
  <c r="F144" i="25" s="1"/>
  <c r="H144" i="25" s="1"/>
  <c r="W213" i="25"/>
  <c r="W263" i="25"/>
  <c r="W284" i="25"/>
  <c r="D376" i="25"/>
  <c r="E376" i="25" s="1"/>
  <c r="F376" i="25" s="1"/>
  <c r="H376" i="25" s="1"/>
  <c r="W76" i="25"/>
  <c r="D32" i="25"/>
  <c r="E32" i="25" s="1"/>
  <c r="F32" i="25" s="1"/>
  <c r="AA32" i="25" s="1"/>
  <c r="Z32" i="25" s="1"/>
  <c r="Y32" i="25" s="1"/>
  <c r="D73" i="25"/>
  <c r="E73" i="25" s="1"/>
  <c r="F73" i="25" s="1"/>
  <c r="G73" i="25" s="1"/>
  <c r="CF73" i="6" s="1"/>
  <c r="D124" i="25"/>
  <c r="E124" i="25" s="1"/>
  <c r="F124" i="25" s="1"/>
  <c r="H124" i="25" s="1"/>
  <c r="D100" i="25"/>
  <c r="E100" i="25" s="1"/>
  <c r="F100" i="25" s="1"/>
  <c r="AA100" i="25" s="1"/>
  <c r="Z100" i="25" s="1"/>
  <c r="Y100" i="25" s="1"/>
  <c r="W237" i="25"/>
  <c r="W34" i="25"/>
  <c r="D151" i="25"/>
  <c r="E151" i="25" s="1"/>
  <c r="F151" i="25" s="1"/>
  <c r="H151" i="25" s="1"/>
  <c r="W197" i="25"/>
  <c r="D271" i="25"/>
  <c r="E271" i="25" s="1"/>
  <c r="F271" i="25" s="1"/>
  <c r="H271" i="25" s="1"/>
  <c r="D90" i="25"/>
  <c r="E90" i="25" s="1"/>
  <c r="F90" i="25" s="1"/>
  <c r="H90" i="25" s="1"/>
  <c r="W57" i="25"/>
  <c r="D176" i="25"/>
  <c r="E176" i="25" s="1"/>
  <c r="F176" i="25" s="1"/>
  <c r="G176" i="25" s="1"/>
  <c r="CF176" i="6" s="1"/>
  <c r="W105" i="25"/>
  <c r="D322" i="25"/>
  <c r="E322" i="25" s="1"/>
  <c r="F322" i="25" s="1"/>
  <c r="G322" i="25" s="1"/>
  <c r="CF322" i="6" s="1"/>
  <c r="D131" i="25"/>
  <c r="E131" i="25" s="1"/>
  <c r="F131" i="25" s="1"/>
  <c r="H131" i="25" s="1"/>
  <c r="W184" i="25"/>
  <c r="D330" i="25"/>
  <c r="E330" i="25" s="1"/>
  <c r="F330" i="25" s="1"/>
  <c r="H330" i="25" s="1"/>
  <c r="D16" i="25"/>
  <c r="E16" i="25" s="1"/>
  <c r="F16" i="25" s="1"/>
  <c r="H16" i="25" s="1"/>
  <c r="D308" i="25"/>
  <c r="E308" i="25" s="1"/>
  <c r="F308" i="25" s="1"/>
  <c r="AA308" i="25" s="1"/>
  <c r="Z308" i="25" s="1"/>
  <c r="Y308" i="25" s="1"/>
  <c r="W269" i="25"/>
  <c r="AA371" i="25"/>
  <c r="Z371" i="25" s="1"/>
  <c r="Y371" i="25" s="1"/>
  <c r="AA183" i="25"/>
  <c r="Z183" i="25" s="1"/>
  <c r="Y183" i="25" s="1"/>
  <c r="AA162" i="25"/>
  <c r="Z162" i="25" s="1"/>
  <c r="Y162" i="25" s="1"/>
  <c r="AA303" i="25"/>
  <c r="Z303" i="25" s="1"/>
  <c r="Y303" i="25" s="1"/>
  <c r="AA243" i="25"/>
  <c r="Z243" i="25" s="1"/>
  <c r="Y243" i="25" s="1"/>
  <c r="AA175" i="25"/>
  <c r="Z175" i="25" s="1"/>
  <c r="Y175" i="25" s="1"/>
  <c r="AA369" i="25"/>
  <c r="Z369" i="25" s="1"/>
  <c r="Y369" i="25" s="1"/>
  <c r="W194" i="25"/>
  <c r="W365" i="25"/>
  <c r="D23" i="25"/>
  <c r="E23" i="25" s="1"/>
  <c r="F23" i="25" s="1"/>
  <c r="H23" i="25" s="1"/>
  <c r="D232" i="25"/>
  <c r="E232" i="25" s="1"/>
  <c r="F232" i="25" s="1"/>
  <c r="AA232" i="25" s="1"/>
  <c r="Z232" i="25" s="1"/>
  <c r="Y232" i="25" s="1"/>
  <c r="W342" i="25"/>
  <c r="W274" i="25"/>
  <c r="AA364" i="25"/>
  <c r="Z364" i="25" s="1"/>
  <c r="Y364" i="25" s="1"/>
  <c r="H342" i="25"/>
  <c r="J342" i="25" s="1"/>
  <c r="AA342" i="25"/>
  <c r="Z342" i="25" s="1"/>
  <c r="Y342" i="25" s="1"/>
  <c r="AA365" i="25"/>
  <c r="Z365" i="25" s="1"/>
  <c r="Y365" i="25" s="1"/>
  <c r="AA194" i="25"/>
  <c r="Z194" i="25" s="1"/>
  <c r="Y194" i="25" s="1"/>
  <c r="H362" i="25"/>
  <c r="J362" i="25" s="1"/>
  <c r="H305" i="25"/>
  <c r="J305" i="25" s="1"/>
  <c r="AA305" i="25"/>
  <c r="Z305" i="25" s="1"/>
  <c r="Y305" i="25" s="1"/>
  <c r="AA301" i="25"/>
  <c r="Z301" i="25" s="1"/>
  <c r="Y301" i="25" s="1"/>
  <c r="AA187" i="25"/>
  <c r="Z187" i="25" s="1"/>
  <c r="Y187" i="25" s="1"/>
  <c r="AA182" i="25"/>
  <c r="Z182" i="25" s="1"/>
  <c r="Y182" i="25" s="1"/>
  <c r="D88" i="25"/>
  <c r="E88" i="25" s="1"/>
  <c r="F88" i="25" s="1"/>
  <c r="AA88" i="25" s="1"/>
  <c r="Z88" i="25" s="1"/>
  <c r="Y88" i="25" s="1"/>
  <c r="H278" i="25"/>
  <c r="J278" i="25" s="1"/>
  <c r="H172" i="25"/>
  <c r="I172" i="25" s="1"/>
  <c r="H174" i="25"/>
  <c r="I174" i="25" s="1"/>
  <c r="H39" i="25"/>
  <c r="J39" i="25" s="1"/>
  <c r="H274" i="25"/>
  <c r="I274" i="25" s="1"/>
  <c r="H334" i="25"/>
  <c r="I334" i="25" s="1"/>
  <c r="H109" i="25"/>
  <c r="I109" i="25" s="1"/>
  <c r="H42" i="25"/>
  <c r="I42" i="25" s="1"/>
  <c r="H365" i="25"/>
  <c r="I365" i="25" s="1"/>
  <c r="AA202" i="25"/>
  <c r="Z202" i="25" s="1"/>
  <c r="Y202" i="25" s="1"/>
  <c r="AA312" i="25"/>
  <c r="Z312" i="25" s="1"/>
  <c r="Y312" i="25" s="1"/>
  <c r="AA193" i="25"/>
  <c r="Z193" i="25" s="1"/>
  <c r="Y193" i="25" s="1"/>
  <c r="AA277" i="25"/>
  <c r="Z277" i="25" s="1"/>
  <c r="Y277" i="25" s="1"/>
  <c r="AA274" i="25"/>
  <c r="Z274" i="25" s="1"/>
  <c r="Y274" i="25" s="1"/>
  <c r="AA126" i="25"/>
  <c r="Z126" i="25" s="1"/>
  <c r="Y126" i="25" s="1"/>
  <c r="AA236" i="25"/>
  <c r="Z236" i="25" s="1"/>
  <c r="Y236" i="25" s="1"/>
  <c r="AA296" i="25"/>
  <c r="Z296" i="25" s="1"/>
  <c r="Y296" i="25" s="1"/>
  <c r="AA251" i="25"/>
  <c r="Z251" i="25" s="1"/>
  <c r="Y251" i="25" s="1"/>
  <c r="AA153" i="25"/>
  <c r="Z153" i="25" s="1"/>
  <c r="Y153" i="25" s="1"/>
  <c r="AA190" i="25"/>
  <c r="Z190" i="25" s="1"/>
  <c r="Y190" i="25" s="1"/>
  <c r="AA139" i="25"/>
  <c r="Z139" i="25" s="1"/>
  <c r="Y139" i="25" s="1"/>
  <c r="AA278" i="25"/>
  <c r="Z278" i="25" s="1"/>
  <c r="Y278" i="25" s="1"/>
  <c r="AA262" i="25"/>
  <c r="Z262" i="25" s="1"/>
  <c r="Y262" i="25" s="1"/>
  <c r="AA172" i="25"/>
  <c r="Z172" i="25" s="1"/>
  <c r="Y172" i="25" s="1"/>
  <c r="AD15" i="25"/>
  <c r="AD382" i="25" s="1"/>
  <c r="AE383" i="25"/>
  <c r="AE382" i="25"/>
  <c r="AE381" i="25"/>
  <c r="W264" i="25"/>
  <c r="D264" i="25"/>
  <c r="E264" i="25" s="1"/>
  <c r="F264" i="25" s="1"/>
  <c r="G264" i="25" s="1"/>
  <c r="CF264" i="6" s="1"/>
  <c r="D204" i="25"/>
  <c r="E204" i="25" s="1"/>
  <c r="F204" i="25" s="1"/>
  <c r="AA204" i="25" s="1"/>
  <c r="Z204" i="25" s="1"/>
  <c r="Y204" i="25" s="1"/>
  <c r="W204" i="25"/>
  <c r="W259" i="25"/>
  <c r="D259" i="25"/>
  <c r="E259" i="25" s="1"/>
  <c r="F259" i="25" s="1"/>
  <c r="G259" i="25" s="1"/>
  <c r="CF259" i="6" s="1"/>
  <c r="W120" i="25"/>
  <c r="D120" i="25"/>
  <c r="E120" i="25" s="1"/>
  <c r="F120" i="25" s="1"/>
  <c r="G120" i="25" s="1"/>
  <c r="CF120" i="6" s="1"/>
  <c r="D165" i="25"/>
  <c r="E165" i="25" s="1"/>
  <c r="F165" i="25" s="1"/>
  <c r="G165" i="25" s="1"/>
  <c r="CF165" i="6" s="1"/>
  <c r="W165" i="25"/>
  <c r="B288" i="25"/>
  <c r="K70" i="19"/>
  <c r="W160" i="25"/>
  <c r="D160" i="25"/>
  <c r="E160" i="25" s="1"/>
  <c r="F160" i="25" s="1"/>
  <c r="G160" i="25" s="1"/>
  <c r="CF160" i="6" s="1"/>
  <c r="G313" i="25"/>
  <c r="CF313" i="6" s="1"/>
  <c r="H313" i="25"/>
  <c r="G344" i="25"/>
  <c r="CF344" i="6" s="1"/>
  <c r="H344" i="25"/>
  <c r="G249" i="25"/>
  <c r="CF249" i="6" s="1"/>
  <c r="AA249" i="25"/>
  <c r="Z249" i="25" s="1"/>
  <c r="Y249" i="25" s="1"/>
  <c r="H249" i="25"/>
  <c r="G132" i="25"/>
  <c r="CF132" i="6" s="1"/>
  <c r="AA132" i="25"/>
  <c r="Z132" i="25" s="1"/>
  <c r="Y132" i="25" s="1"/>
  <c r="H132" i="25"/>
  <c r="G62" i="25"/>
  <c r="CF62" i="6" s="1"/>
  <c r="H62" i="25"/>
  <c r="AA62" i="25"/>
  <c r="Z62" i="25" s="1"/>
  <c r="Y62" i="25" s="1"/>
  <c r="G359" i="25"/>
  <c r="CF359" i="6" s="1"/>
  <c r="AA359" i="25"/>
  <c r="Z359" i="25" s="1"/>
  <c r="Y359" i="25" s="1"/>
  <c r="H359" i="25"/>
  <c r="G135" i="25"/>
  <c r="CF135" i="6" s="1"/>
  <c r="AA135" i="25"/>
  <c r="Z135" i="25" s="1"/>
  <c r="Y135" i="25" s="1"/>
  <c r="G209" i="25"/>
  <c r="CF209" i="6" s="1"/>
  <c r="AA209" i="25"/>
  <c r="Z209" i="25" s="1"/>
  <c r="Y209" i="25" s="1"/>
  <c r="H209" i="25"/>
  <c r="G331" i="25"/>
  <c r="CF331" i="6" s="1"/>
  <c r="AA331" i="25"/>
  <c r="Z331" i="25" s="1"/>
  <c r="Y331" i="25" s="1"/>
  <c r="H331" i="25"/>
  <c r="AA261" i="25"/>
  <c r="Z261" i="25" s="1"/>
  <c r="Y261" i="25" s="1"/>
  <c r="G261" i="25"/>
  <c r="CF261" i="6" s="1"/>
  <c r="H261" i="25"/>
  <c r="AA70" i="25"/>
  <c r="Z70" i="25" s="1"/>
  <c r="Y70" i="25" s="1"/>
  <c r="AA31" i="25"/>
  <c r="Z31" i="25" s="1"/>
  <c r="Y31" i="25" s="1"/>
  <c r="G31" i="25"/>
  <c r="CF31" i="6" s="1"/>
  <c r="H31" i="25"/>
  <c r="H309" i="25"/>
  <c r="G70" i="19"/>
  <c r="G36" i="25"/>
  <c r="CF36" i="6" s="1"/>
  <c r="AA36" i="25"/>
  <c r="Z36" i="25" s="1"/>
  <c r="Y36" i="25" s="1"/>
  <c r="H36" i="25"/>
  <c r="G294" i="25"/>
  <c r="CF294" i="6" s="1"/>
  <c r="H294" i="25"/>
  <c r="AA294" i="25"/>
  <c r="Z294" i="25" s="1"/>
  <c r="Y294" i="25" s="1"/>
  <c r="G298" i="25"/>
  <c r="CF298" i="6" s="1"/>
  <c r="H237" i="25"/>
  <c r="G237" i="25"/>
  <c r="CF237" i="6" s="1"/>
  <c r="H94" i="25"/>
  <c r="G94" i="25"/>
  <c r="CF94" i="6" s="1"/>
  <c r="AA94" i="25"/>
  <c r="Z94" i="25" s="1"/>
  <c r="Y94" i="25" s="1"/>
  <c r="G212" i="25"/>
  <c r="CF212" i="6" s="1"/>
  <c r="H212" i="25"/>
  <c r="AA212" i="25"/>
  <c r="Z212" i="25" s="1"/>
  <c r="Y212" i="25" s="1"/>
  <c r="G34" i="25"/>
  <c r="CF34" i="6" s="1"/>
  <c r="H34" i="25"/>
  <c r="AA34" i="25"/>
  <c r="Z34" i="25" s="1"/>
  <c r="Y34" i="25" s="1"/>
  <c r="H350" i="25"/>
  <c r="G350" i="25"/>
  <c r="CF350" i="6" s="1"/>
  <c r="G17" i="25"/>
  <c r="CF17" i="6" s="1"/>
  <c r="H17" i="25"/>
  <c r="AA17" i="25"/>
  <c r="Z17" i="25" s="1"/>
  <c r="Y17" i="25" s="1"/>
  <c r="H197" i="25"/>
  <c r="AA197" i="25"/>
  <c r="Z197" i="25" s="1"/>
  <c r="Y197" i="25" s="1"/>
  <c r="G197" i="25"/>
  <c r="CF197" i="6" s="1"/>
  <c r="G61" i="25"/>
  <c r="CF61" i="6" s="1"/>
  <c r="AA61" i="25"/>
  <c r="Z61" i="25" s="1"/>
  <c r="Y61" i="25" s="1"/>
  <c r="H61" i="25"/>
  <c r="AA118" i="25"/>
  <c r="Z118" i="25" s="1"/>
  <c r="Y118" i="25" s="1"/>
  <c r="G118" i="25"/>
  <c r="CF118" i="6" s="1"/>
  <c r="J70" i="19"/>
  <c r="H373" i="25"/>
  <c r="G316" i="25"/>
  <c r="CF316" i="6" s="1"/>
  <c r="G72" i="25"/>
  <c r="CF72" i="6" s="1"/>
  <c r="AA72" i="25"/>
  <c r="Z72" i="25" s="1"/>
  <c r="Y72" i="25" s="1"/>
  <c r="H72" i="25"/>
  <c r="G215" i="25"/>
  <c r="CF215" i="6" s="1"/>
  <c r="H215" i="25"/>
  <c r="G314" i="25"/>
  <c r="CF314" i="6" s="1"/>
  <c r="H314" i="25"/>
  <c r="AA314" i="25"/>
  <c r="Z314" i="25" s="1"/>
  <c r="Y314" i="25" s="1"/>
  <c r="I70" i="19"/>
  <c r="B241" i="25"/>
  <c r="G378" i="25"/>
  <c r="CF378" i="6" s="1"/>
  <c r="H378" i="25"/>
  <c r="AA378" i="25"/>
  <c r="Z378" i="25" s="1"/>
  <c r="Y378" i="25" s="1"/>
  <c r="G185" i="25"/>
  <c r="CF185" i="6" s="1"/>
  <c r="AA185" i="25"/>
  <c r="Z185" i="25" s="1"/>
  <c r="Y185" i="25" s="1"/>
  <c r="H185" i="25"/>
  <c r="G374" i="25"/>
  <c r="CF374" i="6" s="1"/>
  <c r="H374" i="25"/>
  <c r="AA374" i="25"/>
  <c r="Z374" i="25" s="1"/>
  <c r="Y374" i="25" s="1"/>
  <c r="AA336" i="25"/>
  <c r="Z336" i="25" s="1"/>
  <c r="Y336" i="25" s="1"/>
  <c r="H336" i="25"/>
  <c r="G336" i="25"/>
  <c r="CF336" i="6" s="1"/>
  <c r="G40" i="25"/>
  <c r="CF40" i="6" s="1"/>
  <c r="H40" i="25"/>
  <c r="AA40" i="25"/>
  <c r="Z40" i="25" s="1"/>
  <c r="Y40" i="25" s="1"/>
  <c r="H272" i="24"/>
  <c r="AA272" i="24"/>
  <c r="Z272" i="24" s="1"/>
  <c r="Y272" i="24" s="1"/>
  <c r="G272" i="24"/>
  <c r="CE272" i="6" s="1"/>
  <c r="H224" i="25"/>
  <c r="I29" i="24"/>
  <c r="J29" i="24"/>
  <c r="H275" i="25"/>
  <c r="J210" i="24"/>
  <c r="I210" i="24"/>
  <c r="AA333" i="24"/>
  <c r="Z333" i="24" s="1"/>
  <c r="Y333" i="24" s="1"/>
  <c r="H333" i="24"/>
  <c r="G333" i="24"/>
  <c r="CE333" i="6" s="1"/>
  <c r="H195" i="25"/>
  <c r="G149" i="24"/>
  <c r="CE149" i="6" s="1"/>
  <c r="H149" i="24"/>
  <c r="AA149" i="24"/>
  <c r="Z149" i="24" s="1"/>
  <c r="Y149" i="24" s="1"/>
  <c r="H135" i="25"/>
  <c r="H113" i="25"/>
  <c r="H363" i="24"/>
  <c r="AA363" i="24"/>
  <c r="Z363" i="24" s="1"/>
  <c r="Y363" i="24" s="1"/>
  <c r="G363" i="24"/>
  <c r="CE363" i="6" s="1"/>
  <c r="AA241" i="24"/>
  <c r="Z241" i="24" s="1"/>
  <c r="Y241" i="24" s="1"/>
  <c r="H241" i="24"/>
  <c r="G241" i="24"/>
  <c r="CE241" i="6" s="1"/>
  <c r="J196" i="24"/>
  <c r="I196" i="24"/>
  <c r="D121" i="25"/>
  <c r="E121" i="25" s="1"/>
  <c r="F121" i="25" s="1"/>
  <c r="AA121" i="25" s="1"/>
  <c r="Z121" i="25" s="1"/>
  <c r="Y121" i="25" s="1"/>
  <c r="W121" i="25"/>
  <c r="D181" i="25"/>
  <c r="E181" i="25" s="1"/>
  <c r="F181" i="25" s="1"/>
  <c r="AA181" i="25" s="1"/>
  <c r="Z181" i="25" s="1"/>
  <c r="Y181" i="25" s="1"/>
  <c r="W181" i="25"/>
  <c r="W276" i="25"/>
  <c r="D276" i="25"/>
  <c r="E276" i="25" s="1"/>
  <c r="F276" i="25" s="1"/>
  <c r="G276" i="25" s="1"/>
  <c r="CF276" i="6" s="1"/>
  <c r="B106" i="25"/>
  <c r="E70" i="19"/>
  <c r="W134" i="25"/>
  <c r="D134" i="25"/>
  <c r="E134" i="25" s="1"/>
  <c r="F134" i="25" s="1"/>
  <c r="G134" i="25" s="1"/>
  <c r="CF134" i="6" s="1"/>
  <c r="W345" i="25"/>
  <c r="D345" i="25"/>
  <c r="E345" i="25" s="1"/>
  <c r="F345" i="25" s="1"/>
  <c r="AA345" i="25" s="1"/>
  <c r="Z345" i="25" s="1"/>
  <c r="Y345" i="25" s="1"/>
  <c r="AA281" i="25"/>
  <c r="Z281" i="25" s="1"/>
  <c r="Y281" i="25" s="1"/>
  <c r="AA344" i="25"/>
  <c r="Z344" i="25" s="1"/>
  <c r="Y344" i="25" s="1"/>
  <c r="AA350" i="25"/>
  <c r="Z350" i="25" s="1"/>
  <c r="Y350" i="25" s="1"/>
  <c r="AA225" i="25"/>
  <c r="Z225" i="25" s="1"/>
  <c r="Y225" i="25" s="1"/>
  <c r="AA275" i="25"/>
  <c r="Z275" i="25" s="1"/>
  <c r="Y275" i="25" s="1"/>
  <c r="AA113" i="25"/>
  <c r="Z113" i="25" s="1"/>
  <c r="Y113" i="25" s="1"/>
  <c r="AA219" i="25"/>
  <c r="Z219" i="25" s="1"/>
  <c r="Y219" i="25" s="1"/>
  <c r="AA116" i="25"/>
  <c r="Z116" i="25" s="1"/>
  <c r="Y116" i="25" s="1"/>
  <c r="AA199" i="25"/>
  <c r="Z199" i="25" s="1"/>
  <c r="Y199" i="25" s="1"/>
  <c r="AA284" i="25"/>
  <c r="Z284" i="25" s="1"/>
  <c r="Y284" i="25" s="1"/>
  <c r="AA293" i="25"/>
  <c r="Z293" i="25" s="1"/>
  <c r="Y293" i="25" s="1"/>
  <c r="AA316" i="25"/>
  <c r="Z316" i="25" s="1"/>
  <c r="Y316" i="25" s="1"/>
  <c r="AA184" i="25"/>
  <c r="Z184" i="25" s="1"/>
  <c r="Y184" i="25" s="1"/>
  <c r="AA224" i="25"/>
  <c r="Z224" i="25" s="1"/>
  <c r="Y224" i="25" s="1"/>
  <c r="G84" i="25"/>
  <c r="CF84" i="6" s="1"/>
  <c r="H84" i="25"/>
  <c r="AA84" i="25"/>
  <c r="Z84" i="25" s="1"/>
  <c r="Y84" i="25" s="1"/>
  <c r="G301" i="25"/>
  <c r="CF301" i="6" s="1"/>
  <c r="H301" i="25"/>
  <c r="G364" i="25"/>
  <c r="CF364" i="6" s="1"/>
  <c r="AA98" i="25"/>
  <c r="Z98" i="25" s="1"/>
  <c r="Y98" i="25" s="1"/>
  <c r="G98" i="25"/>
  <c r="CF98" i="6" s="1"/>
  <c r="AA79" i="25"/>
  <c r="Z79" i="25" s="1"/>
  <c r="Y79" i="25" s="1"/>
  <c r="H123" i="25"/>
  <c r="AA123" i="25"/>
  <c r="Z123" i="25" s="1"/>
  <c r="Y123" i="25" s="1"/>
  <c r="G123" i="25"/>
  <c r="CF123" i="6" s="1"/>
  <c r="G286" i="25"/>
  <c r="CF286" i="6" s="1"/>
  <c r="H286" i="25"/>
  <c r="AA286" i="25"/>
  <c r="Z286" i="25" s="1"/>
  <c r="Y286" i="25" s="1"/>
  <c r="G154" i="25"/>
  <c r="CF154" i="6" s="1"/>
  <c r="H347" i="25"/>
  <c r="G347" i="25"/>
  <c r="CF347" i="6" s="1"/>
  <c r="AA347" i="25"/>
  <c r="Z347" i="25" s="1"/>
  <c r="Y347" i="25" s="1"/>
  <c r="H125" i="25"/>
  <c r="G351" i="25"/>
  <c r="CF351" i="6" s="1"/>
  <c r="AA351" i="25"/>
  <c r="Z351" i="25" s="1"/>
  <c r="Y351" i="25" s="1"/>
  <c r="AA18" i="25"/>
  <c r="Z18" i="25" s="1"/>
  <c r="Y18" i="25" s="1"/>
  <c r="G18" i="25"/>
  <c r="CF18" i="6" s="1"/>
  <c r="H18" i="25"/>
  <c r="G182" i="25"/>
  <c r="CF182" i="6" s="1"/>
  <c r="H182" i="25"/>
  <c r="G325" i="25"/>
  <c r="CF325" i="6" s="1"/>
  <c r="H325" i="25"/>
  <c r="AA25" i="25"/>
  <c r="Z25" i="25" s="1"/>
  <c r="Y25" i="25" s="1"/>
  <c r="G25" i="25"/>
  <c r="CF25" i="6" s="1"/>
  <c r="H25" i="25"/>
  <c r="H65" i="25"/>
  <c r="G65" i="25"/>
  <c r="CF65" i="6" s="1"/>
  <c r="AA65" i="25"/>
  <c r="Z65" i="25" s="1"/>
  <c r="Y65" i="25" s="1"/>
  <c r="G335" i="25"/>
  <c r="CF335" i="6" s="1"/>
  <c r="AA335" i="25"/>
  <c r="Z335" i="25" s="1"/>
  <c r="Y335" i="25" s="1"/>
  <c r="H335" i="25"/>
  <c r="G222" i="25"/>
  <c r="CF222" i="6" s="1"/>
  <c r="G223" i="25"/>
  <c r="CF223" i="6" s="1"/>
  <c r="H223" i="25"/>
  <c r="AA223" i="25"/>
  <c r="Z223" i="25" s="1"/>
  <c r="Y223" i="25" s="1"/>
  <c r="G163" i="25"/>
  <c r="CF163" i="6" s="1"/>
  <c r="H163" i="25"/>
  <c r="AA163" i="25"/>
  <c r="Z163" i="25" s="1"/>
  <c r="Y163" i="25" s="1"/>
  <c r="G92" i="25"/>
  <c r="CF92" i="6" s="1"/>
  <c r="AA92" i="25"/>
  <c r="Z92" i="25" s="1"/>
  <c r="Y92" i="25" s="1"/>
  <c r="H92" i="25"/>
  <c r="C70" i="19"/>
  <c r="AA33" i="25"/>
  <c r="Z33" i="25" s="1"/>
  <c r="Y33" i="25" s="1"/>
  <c r="G33" i="25"/>
  <c r="CF33" i="6" s="1"/>
  <c r="H33" i="25"/>
  <c r="H317" i="25"/>
  <c r="AA317" i="25"/>
  <c r="Z317" i="25" s="1"/>
  <c r="Y317" i="25" s="1"/>
  <c r="G317" i="25"/>
  <c r="CF317" i="6" s="1"/>
  <c r="H70" i="19"/>
  <c r="G253" i="25"/>
  <c r="CF253" i="6" s="1"/>
  <c r="H253" i="25"/>
  <c r="AA253" i="25"/>
  <c r="Z253" i="25" s="1"/>
  <c r="Y253" i="25" s="1"/>
  <c r="H234" i="25"/>
  <c r="G234" i="25"/>
  <c r="CF234" i="6" s="1"/>
  <c r="AA234" i="25"/>
  <c r="Z234" i="25" s="1"/>
  <c r="Y234" i="25" s="1"/>
  <c r="H192" i="25"/>
  <c r="G192" i="25"/>
  <c r="CF192" i="6" s="1"/>
  <c r="H175" i="25"/>
  <c r="G175" i="25"/>
  <c r="CF175" i="6" s="1"/>
  <c r="G50" i="25"/>
  <c r="CF50" i="6" s="1"/>
  <c r="H50" i="25"/>
  <c r="AA50" i="25"/>
  <c r="Z50" i="25" s="1"/>
  <c r="Y50" i="25" s="1"/>
  <c r="G339" i="25"/>
  <c r="CF339" i="6" s="1"/>
  <c r="AA339" i="25"/>
  <c r="Z339" i="25" s="1"/>
  <c r="Y339" i="25" s="1"/>
  <c r="H339" i="25"/>
  <c r="W119" i="25"/>
  <c r="D119" i="25"/>
  <c r="E119" i="25" s="1"/>
  <c r="F119" i="25" s="1"/>
  <c r="H169" i="25"/>
  <c r="G320" i="25"/>
  <c r="CF320" i="6" s="1"/>
  <c r="H320" i="25"/>
  <c r="AA320" i="25"/>
  <c r="Z320" i="25" s="1"/>
  <c r="Y320" i="25" s="1"/>
  <c r="AA19" i="25"/>
  <c r="Z19" i="25" s="1"/>
  <c r="Y19" i="25" s="1"/>
  <c r="G19" i="25"/>
  <c r="CF19" i="6" s="1"/>
  <c r="H19" i="25"/>
  <c r="AA66" i="25"/>
  <c r="Z66" i="25" s="1"/>
  <c r="Y66" i="25" s="1"/>
  <c r="G66" i="25"/>
  <c r="CF66" i="6" s="1"/>
  <c r="H66" i="25"/>
  <c r="G255" i="25"/>
  <c r="CF255" i="6" s="1"/>
  <c r="H255" i="25"/>
  <c r="AA255" i="25"/>
  <c r="Z255" i="25" s="1"/>
  <c r="Y255" i="25" s="1"/>
  <c r="G235" i="25"/>
  <c r="CF235" i="6" s="1"/>
  <c r="AA235" i="25"/>
  <c r="Z235" i="25" s="1"/>
  <c r="Y235" i="25" s="1"/>
  <c r="H235" i="25"/>
  <c r="G283" i="25"/>
  <c r="CF283" i="6" s="1"/>
  <c r="AA283" i="25"/>
  <c r="Z283" i="25" s="1"/>
  <c r="Y283" i="25" s="1"/>
  <c r="H283" i="25"/>
  <c r="G75" i="25"/>
  <c r="CF75" i="6" s="1"/>
  <c r="AA75" i="25"/>
  <c r="Z75" i="25" s="1"/>
  <c r="Y75" i="25" s="1"/>
  <c r="H75" i="25"/>
  <c r="AA41" i="25"/>
  <c r="Z41" i="25" s="1"/>
  <c r="Y41" i="25" s="1"/>
  <c r="G156" i="25"/>
  <c r="CF156" i="6" s="1"/>
  <c r="H156" i="25"/>
  <c r="AA156" i="25"/>
  <c r="Z156" i="25" s="1"/>
  <c r="Y156" i="25" s="1"/>
  <c r="G243" i="25"/>
  <c r="CF243" i="6" s="1"/>
  <c r="H243" i="25"/>
  <c r="G103" i="25"/>
  <c r="CF103" i="6" s="1"/>
  <c r="H103" i="25"/>
  <c r="AA103" i="25"/>
  <c r="Z103" i="25" s="1"/>
  <c r="Y103" i="25" s="1"/>
  <c r="AA67" i="25"/>
  <c r="Z67" i="25" s="1"/>
  <c r="Y67" i="25" s="1"/>
  <c r="H67" i="25"/>
  <c r="G71" i="25"/>
  <c r="CF71" i="6" s="1"/>
  <c r="AA71" i="25"/>
  <c r="Z71" i="25" s="1"/>
  <c r="Y71" i="25" s="1"/>
  <c r="H71" i="25"/>
  <c r="G360" i="25"/>
  <c r="CF360" i="6" s="1"/>
  <c r="AA360" i="25"/>
  <c r="Z360" i="25" s="1"/>
  <c r="Y360" i="25" s="1"/>
  <c r="H360" i="25"/>
  <c r="G87" i="25"/>
  <c r="CF87" i="6" s="1"/>
  <c r="AA87" i="25"/>
  <c r="Z87" i="25" s="1"/>
  <c r="Y87" i="25" s="1"/>
  <c r="AA89" i="25"/>
  <c r="Z89" i="25" s="1"/>
  <c r="Y89" i="25" s="1"/>
  <c r="H89" i="25"/>
  <c r="G89" i="25"/>
  <c r="CF89" i="6" s="1"/>
  <c r="G233" i="25"/>
  <c r="CF233" i="6" s="1"/>
  <c r="H233" i="25"/>
  <c r="AA233" i="25"/>
  <c r="Z233" i="25" s="1"/>
  <c r="Y233" i="25" s="1"/>
  <c r="G187" i="25"/>
  <c r="CF187" i="6" s="1"/>
  <c r="H187" i="25"/>
  <c r="H85" i="25"/>
  <c r="G311" i="25"/>
  <c r="CF311" i="6" s="1"/>
  <c r="AA311" i="25"/>
  <c r="Z311" i="25" s="1"/>
  <c r="Y311" i="25" s="1"/>
  <c r="H311" i="25"/>
  <c r="H208" i="25"/>
  <c r="AA208" i="25"/>
  <c r="Z208" i="25" s="1"/>
  <c r="Y208" i="25" s="1"/>
  <c r="G208" i="25"/>
  <c r="CF208" i="6" s="1"/>
  <c r="G77" i="25"/>
  <c r="CF77" i="6" s="1"/>
  <c r="H77" i="25"/>
  <c r="AA77" i="25"/>
  <c r="Z77" i="25" s="1"/>
  <c r="Y77" i="25" s="1"/>
  <c r="G55" i="25"/>
  <c r="CF55" i="6" s="1"/>
  <c r="H55" i="25"/>
  <c r="AA55" i="25"/>
  <c r="Z55" i="25" s="1"/>
  <c r="Y55" i="25" s="1"/>
  <c r="G343" i="25"/>
  <c r="CF343" i="6" s="1"/>
  <c r="AA343" i="25"/>
  <c r="Z343" i="25" s="1"/>
  <c r="Y343" i="25" s="1"/>
  <c r="H343" i="25"/>
  <c r="G250" i="25"/>
  <c r="CF250" i="6" s="1"/>
  <c r="AA250" i="25"/>
  <c r="Z250" i="25" s="1"/>
  <c r="Y250" i="25" s="1"/>
  <c r="H250" i="25"/>
  <c r="G142" i="25"/>
  <c r="CF142" i="6" s="1"/>
  <c r="H142" i="25"/>
  <c r="AA142" i="25"/>
  <c r="Z142" i="25" s="1"/>
  <c r="Y142" i="25" s="1"/>
  <c r="G148" i="25"/>
  <c r="CF148" i="6" s="1"/>
  <c r="H148" i="25"/>
  <c r="AA148" i="25"/>
  <c r="Z148" i="25" s="1"/>
  <c r="Y148" i="25" s="1"/>
  <c r="W29" i="25"/>
  <c r="D29" i="25"/>
  <c r="E29" i="25" s="1"/>
  <c r="F29" i="25" s="1"/>
  <c r="H369" i="25"/>
  <c r="G369" i="25"/>
  <c r="CF369" i="6" s="1"/>
  <c r="G52" i="25"/>
  <c r="CF52" i="6" s="1"/>
  <c r="AA52" i="25"/>
  <c r="Z52" i="25" s="1"/>
  <c r="Y52" i="25" s="1"/>
  <c r="H52" i="25"/>
  <c r="H69" i="25"/>
  <c r="AA69" i="25"/>
  <c r="Z69" i="25" s="1"/>
  <c r="Y69" i="25" s="1"/>
  <c r="G69" i="25"/>
  <c r="CF69" i="6" s="1"/>
  <c r="G159" i="25"/>
  <c r="CF159" i="6" s="1"/>
  <c r="H159" i="25"/>
  <c r="AA159" i="25"/>
  <c r="Z159" i="25" s="1"/>
  <c r="Y159" i="25" s="1"/>
  <c r="AA86" i="25"/>
  <c r="Z86" i="25" s="1"/>
  <c r="Y86" i="25" s="1"/>
  <c r="G86" i="25"/>
  <c r="CF86" i="6" s="1"/>
  <c r="H86" i="25"/>
  <c r="G260" i="25"/>
  <c r="CF260" i="6" s="1"/>
  <c r="AA260" i="25"/>
  <c r="Z260" i="25" s="1"/>
  <c r="Y260" i="25" s="1"/>
  <c r="H260" i="25"/>
  <c r="Q382" i="25"/>
  <c r="V15" i="25"/>
  <c r="P383" i="25"/>
  <c r="P382" i="25"/>
  <c r="P381" i="25"/>
  <c r="G129" i="25"/>
  <c r="CF129" i="6" s="1"/>
  <c r="H129" i="25"/>
  <c r="AA129" i="25"/>
  <c r="Z129" i="25" s="1"/>
  <c r="Y129" i="25" s="1"/>
  <c r="G201" i="25"/>
  <c r="CF201" i="6" s="1"/>
  <c r="AA201" i="25"/>
  <c r="Z201" i="25" s="1"/>
  <c r="Y201" i="25" s="1"/>
  <c r="H201" i="25"/>
  <c r="AA58" i="25"/>
  <c r="Z58" i="25" s="1"/>
  <c r="Y58" i="25" s="1"/>
  <c r="H58" i="25"/>
  <c r="G58" i="25"/>
  <c r="CF58" i="6" s="1"/>
  <c r="G230" i="25"/>
  <c r="CF230" i="6" s="1"/>
  <c r="H230" i="25"/>
  <c r="AA230" i="25"/>
  <c r="Z230" i="25" s="1"/>
  <c r="Y230" i="25" s="1"/>
  <c r="AA168" i="25"/>
  <c r="Z168" i="25" s="1"/>
  <c r="Y168" i="25" s="1"/>
  <c r="H168" i="25"/>
  <c r="G168" i="25"/>
  <c r="CF168" i="6" s="1"/>
  <c r="AA21" i="25"/>
  <c r="Z21" i="25" s="1"/>
  <c r="Y21" i="25" s="1"/>
  <c r="G21" i="25"/>
  <c r="CF21" i="6" s="1"/>
  <c r="H21" i="25"/>
  <c r="G228" i="25"/>
  <c r="CF228" i="6" s="1"/>
  <c r="H228" i="25"/>
  <c r="AA228" i="25"/>
  <c r="Z228" i="25" s="1"/>
  <c r="Y228" i="25" s="1"/>
  <c r="D44" i="19"/>
  <c r="D33" i="19" s="1"/>
  <c r="V379" i="25"/>
  <c r="M70" i="19" s="1"/>
  <c r="H116" i="25"/>
  <c r="H318" i="25"/>
  <c r="H27" i="25"/>
  <c r="H97" i="25"/>
  <c r="H225" i="25"/>
  <c r="H37" i="25"/>
  <c r="H49" i="25"/>
  <c r="H118" i="25"/>
  <c r="J380" i="25"/>
  <c r="I380" i="25"/>
  <c r="I104" i="25"/>
  <c r="H302" i="24"/>
  <c r="AA302" i="24"/>
  <c r="Z302" i="24" s="1"/>
  <c r="Y302" i="24" s="1"/>
  <c r="G302" i="24"/>
  <c r="CE302" i="6" s="1"/>
  <c r="AJ5" i="24"/>
  <c r="D15" i="24"/>
  <c r="AJ6" i="24"/>
  <c r="B381" i="24"/>
  <c r="AK6" i="24"/>
  <c r="H9" i="24"/>
  <c r="B19" i="19" s="1"/>
  <c r="B382" i="24"/>
  <c r="B383" i="24"/>
  <c r="W15" i="24"/>
  <c r="N69" i="19"/>
  <c r="I342" i="25"/>
  <c r="AA119" i="24"/>
  <c r="Z119" i="24" s="1"/>
  <c r="Y119" i="24" s="1"/>
  <c r="G119" i="24"/>
  <c r="CE119" i="6" s="1"/>
  <c r="H119" i="24"/>
  <c r="W220" i="25"/>
  <c r="D220" i="25"/>
  <c r="E220" i="25" s="1"/>
  <c r="F220" i="25" s="1"/>
  <c r="G220" i="25" s="1"/>
  <c r="CF220" i="6" s="1"/>
  <c r="B78" i="25"/>
  <c r="D70" i="19"/>
  <c r="W30" i="25"/>
  <c r="D30" i="25"/>
  <c r="E30" i="25" s="1"/>
  <c r="F30" i="25" s="1"/>
  <c r="H30" i="25" s="1"/>
  <c r="W361" i="25"/>
  <c r="D361" i="25"/>
  <c r="E361" i="25" s="1"/>
  <c r="F361" i="25" s="1"/>
  <c r="B329" i="25"/>
  <c r="L70" i="19"/>
  <c r="W266" i="25"/>
  <c r="D266" i="25"/>
  <c r="E266" i="25" s="1"/>
  <c r="F266" i="25" s="1"/>
  <c r="G266" i="25" s="1"/>
  <c r="CF266" i="6" s="1"/>
  <c r="W95" i="25"/>
  <c r="D95" i="25"/>
  <c r="E95" i="25" s="1"/>
  <c r="F95" i="25" s="1"/>
  <c r="W171" i="25"/>
  <c r="D171" i="25"/>
  <c r="E171" i="25" s="1"/>
  <c r="F171" i="25" s="1"/>
  <c r="G171" i="25" s="1"/>
  <c r="CF171" i="6" s="1"/>
  <c r="G240" i="25"/>
  <c r="CF240" i="6" s="1"/>
  <c r="H240" i="25"/>
  <c r="AA97" i="25"/>
  <c r="Z97" i="25" s="1"/>
  <c r="Y97" i="25" s="1"/>
  <c r="G97" i="25"/>
  <c r="CF97" i="6" s="1"/>
  <c r="G44" i="25"/>
  <c r="CF44" i="6" s="1"/>
  <c r="AA44" i="25"/>
  <c r="Z44" i="25" s="1"/>
  <c r="Y44" i="25" s="1"/>
  <c r="H44" i="25"/>
  <c r="H203" i="25"/>
  <c r="G203" i="25"/>
  <c r="CF203" i="6" s="1"/>
  <c r="AA203" i="25"/>
  <c r="Z203" i="25" s="1"/>
  <c r="Y203" i="25" s="1"/>
  <c r="H323" i="25"/>
  <c r="G323" i="25"/>
  <c r="CF323" i="6" s="1"/>
  <c r="AA323" i="25"/>
  <c r="Z323" i="25" s="1"/>
  <c r="Y323" i="25" s="1"/>
  <c r="G112" i="25"/>
  <c r="CF112" i="6" s="1"/>
  <c r="H112" i="25"/>
  <c r="AA112" i="25"/>
  <c r="Z112" i="25" s="1"/>
  <c r="Y112" i="25" s="1"/>
  <c r="AA368" i="25"/>
  <c r="Z368" i="25" s="1"/>
  <c r="Y368" i="25" s="1"/>
  <c r="G368" i="25"/>
  <c r="CF368" i="6" s="1"/>
  <c r="H368" i="25"/>
  <c r="G138" i="25"/>
  <c r="CF138" i="6" s="1"/>
  <c r="AA138" i="25"/>
  <c r="Z138" i="25" s="1"/>
  <c r="Y138" i="25" s="1"/>
  <c r="H138" i="25"/>
  <c r="G357" i="25"/>
  <c r="CF357" i="6" s="1"/>
  <c r="AA366" i="25"/>
  <c r="Z366" i="25" s="1"/>
  <c r="Y366" i="25" s="1"/>
  <c r="G366" i="25"/>
  <c r="CF366" i="6" s="1"/>
  <c r="H366" i="25"/>
  <c r="G54" i="25"/>
  <c r="CF54" i="6" s="1"/>
  <c r="H54" i="25"/>
  <c r="AA54" i="25"/>
  <c r="Z54" i="25" s="1"/>
  <c r="Y54" i="25" s="1"/>
  <c r="G213" i="25"/>
  <c r="CF213" i="6" s="1"/>
  <c r="H213" i="25"/>
  <c r="G257" i="25"/>
  <c r="CF257" i="6" s="1"/>
  <c r="H257" i="25"/>
  <c r="H68" i="25"/>
  <c r="AA68" i="25"/>
  <c r="Z68" i="25" s="1"/>
  <c r="Y68" i="25" s="1"/>
  <c r="G68" i="25"/>
  <c r="CF68" i="6" s="1"/>
  <c r="G263" i="25"/>
  <c r="CF263" i="6" s="1"/>
  <c r="AA263" i="25"/>
  <c r="Z263" i="25" s="1"/>
  <c r="Y263" i="25" s="1"/>
  <c r="H263" i="25"/>
  <c r="G284" i="25"/>
  <c r="CF284" i="6" s="1"/>
  <c r="H284" i="25"/>
  <c r="H293" i="25"/>
  <c r="G293" i="25"/>
  <c r="CF293" i="6" s="1"/>
  <c r="AA76" i="25"/>
  <c r="Z76" i="25" s="1"/>
  <c r="Y76" i="25" s="1"/>
  <c r="H76" i="25"/>
  <c r="G76" i="25"/>
  <c r="CF76" i="6" s="1"/>
  <c r="G245" i="25"/>
  <c r="CF245" i="6" s="1"/>
  <c r="H245" i="25"/>
  <c r="G246" i="25"/>
  <c r="CF246" i="6" s="1"/>
  <c r="H246" i="25"/>
  <c r="AA246" i="25"/>
  <c r="Z246" i="25" s="1"/>
  <c r="Y246" i="25" s="1"/>
  <c r="G352" i="25"/>
  <c r="CF352" i="6" s="1"/>
  <c r="AA352" i="25"/>
  <c r="Z352" i="25" s="1"/>
  <c r="Y352" i="25" s="1"/>
  <c r="H352" i="25"/>
  <c r="D166" i="25"/>
  <c r="E166" i="25" s="1"/>
  <c r="F166" i="25" s="1"/>
  <c r="W166" i="25"/>
  <c r="G158" i="25"/>
  <c r="CF158" i="6" s="1"/>
  <c r="H158" i="25"/>
  <c r="AA158" i="25"/>
  <c r="Z158" i="25" s="1"/>
  <c r="Y158" i="25" s="1"/>
  <c r="W258" i="25"/>
  <c r="D258" i="25"/>
  <c r="E258" i="25" s="1"/>
  <c r="F258" i="25" s="1"/>
  <c r="G57" i="25"/>
  <c r="CF57" i="6" s="1"/>
  <c r="AA57" i="25"/>
  <c r="Z57" i="25" s="1"/>
  <c r="Y57" i="25" s="1"/>
  <c r="H57" i="25"/>
  <c r="G281" i="25"/>
  <c r="CF281" i="6" s="1"/>
  <c r="H281" i="25"/>
  <c r="W363" i="25"/>
  <c r="D363" i="25"/>
  <c r="E363" i="25" s="1"/>
  <c r="F363" i="25" s="1"/>
  <c r="H105" i="25"/>
  <c r="G105" i="25"/>
  <c r="CF105" i="6" s="1"/>
  <c r="AA105" i="25"/>
  <c r="Z105" i="25" s="1"/>
  <c r="Y105" i="25" s="1"/>
  <c r="G170" i="25"/>
  <c r="CF170" i="6" s="1"/>
  <c r="AA170" i="25"/>
  <c r="Z170" i="25" s="1"/>
  <c r="Y170" i="25" s="1"/>
  <c r="H170" i="25"/>
  <c r="W60" i="25"/>
  <c r="D60" i="25"/>
  <c r="E60" i="25" s="1"/>
  <c r="F60" i="25" s="1"/>
  <c r="W210" i="25"/>
  <c r="D210" i="25"/>
  <c r="E210" i="25" s="1"/>
  <c r="F210" i="25" s="1"/>
  <c r="G338" i="25"/>
  <c r="CF338" i="6" s="1"/>
  <c r="H338" i="25"/>
  <c r="AA338" i="25"/>
  <c r="Z338" i="25" s="1"/>
  <c r="Y338" i="25" s="1"/>
  <c r="G219" i="25"/>
  <c r="CF219" i="6" s="1"/>
  <c r="H219" i="25"/>
  <c r="G128" i="25"/>
  <c r="CF128" i="6" s="1"/>
  <c r="H128" i="25"/>
  <c r="G269" i="25"/>
  <c r="CF269" i="6" s="1"/>
  <c r="AA269" i="25"/>
  <c r="Z269" i="25" s="1"/>
  <c r="Y269" i="25" s="1"/>
  <c r="H269" i="25"/>
  <c r="G292" i="25"/>
  <c r="CF292" i="6" s="1"/>
  <c r="AA292" i="25"/>
  <c r="Z292" i="25" s="1"/>
  <c r="Y292" i="25" s="1"/>
  <c r="H292" i="25"/>
  <c r="H199" i="25"/>
  <c r="G88" i="24"/>
  <c r="CE88" i="6" s="1"/>
  <c r="H88" i="24"/>
  <c r="AA88" i="24"/>
  <c r="Z88" i="24" s="1"/>
  <c r="Y88" i="24" s="1"/>
  <c r="H299" i="25"/>
  <c r="H178" i="25"/>
  <c r="H295" i="25"/>
  <c r="H184" i="25"/>
  <c r="D28" i="25"/>
  <c r="E28" i="25" s="1"/>
  <c r="F28" i="25" s="1"/>
  <c r="H28" i="25" s="1"/>
  <c r="W28" i="25"/>
  <c r="D188" i="25"/>
  <c r="E188" i="25" s="1"/>
  <c r="F188" i="25" s="1"/>
  <c r="G188" i="25" s="1"/>
  <c r="CF188" i="6" s="1"/>
  <c r="W188" i="25"/>
  <c r="W83" i="25"/>
  <c r="D83" i="25"/>
  <c r="E83" i="25" s="1"/>
  <c r="F83" i="25" s="1"/>
  <c r="D157" i="25"/>
  <c r="E157" i="25" s="1"/>
  <c r="F157" i="25" s="1"/>
  <c r="AA157" i="25" s="1"/>
  <c r="Z157" i="25" s="1"/>
  <c r="Y157" i="25" s="1"/>
  <c r="W157" i="25"/>
  <c r="B140" i="25"/>
  <c r="D114" i="25"/>
  <c r="E114" i="25" s="1"/>
  <c r="F114" i="25" s="1"/>
  <c r="G114" i="25" s="1"/>
  <c r="CF114" i="6" s="1"/>
  <c r="W114" i="25"/>
  <c r="D206" i="25"/>
  <c r="E206" i="25" s="1"/>
  <c r="F206" i="25" s="1"/>
  <c r="G206" i="25" s="1"/>
  <c r="CF206" i="6" s="1"/>
  <c r="W206" i="25"/>
  <c r="AA195" i="25"/>
  <c r="Z195" i="25" s="1"/>
  <c r="Y195" i="25" s="1"/>
  <c r="AA299" i="25"/>
  <c r="Z299" i="25" s="1"/>
  <c r="Y299" i="25" s="1"/>
  <c r="AA171" i="25"/>
  <c r="Z171" i="25" s="1"/>
  <c r="Y171" i="25" s="1"/>
  <c r="AA213" i="25"/>
  <c r="Z213" i="25" s="1"/>
  <c r="Y213" i="25" s="1"/>
  <c r="AA178" i="25"/>
  <c r="Z178" i="25" s="1"/>
  <c r="Y178" i="25" s="1"/>
  <c r="AA295" i="25"/>
  <c r="Z295" i="25" s="1"/>
  <c r="Y295" i="25" s="1"/>
  <c r="AA240" i="25"/>
  <c r="Z240" i="25" s="1"/>
  <c r="Y240" i="25" s="1"/>
  <c r="AA128" i="25"/>
  <c r="Z128" i="25" s="1"/>
  <c r="Y128" i="25" s="1"/>
  <c r="AA237" i="25"/>
  <c r="Z237" i="25" s="1"/>
  <c r="Y237" i="25" s="1"/>
  <c r="AA174" i="25"/>
  <c r="Z174" i="25" s="1"/>
  <c r="Y174" i="25" s="1"/>
  <c r="AA257" i="25"/>
  <c r="Z257" i="25" s="1"/>
  <c r="Y257" i="25" s="1"/>
  <c r="AA313" i="25"/>
  <c r="Z313" i="25" s="1"/>
  <c r="Y313" i="25" s="1"/>
  <c r="AA245" i="25"/>
  <c r="Z245" i="25" s="1"/>
  <c r="Y245" i="25" s="1"/>
  <c r="B356" i="25"/>
  <c r="G194" i="25"/>
  <c r="CF194" i="6" s="1"/>
  <c r="H194" i="25"/>
  <c r="AA51" i="25"/>
  <c r="Z51" i="25" s="1"/>
  <c r="Y51" i="25" s="1"/>
  <c r="G51" i="25"/>
  <c r="CF51" i="6" s="1"/>
  <c r="G145" i="25"/>
  <c r="CF145" i="6" s="1"/>
  <c r="AA145" i="25"/>
  <c r="Z145" i="25" s="1"/>
  <c r="Y145" i="25" s="1"/>
  <c r="AA99" i="25"/>
  <c r="Z99" i="25" s="1"/>
  <c r="Y99" i="25" s="1"/>
  <c r="G99" i="25"/>
  <c r="CF99" i="6" s="1"/>
  <c r="H99" i="25"/>
  <c r="G341" i="25"/>
  <c r="CF341" i="6" s="1"/>
  <c r="AA341" i="25"/>
  <c r="Z341" i="25" s="1"/>
  <c r="Y341" i="25" s="1"/>
  <c r="H341" i="25"/>
  <c r="G177" i="25"/>
  <c r="CF177" i="6" s="1"/>
  <c r="H177" i="25"/>
  <c r="AA177" i="25"/>
  <c r="Z177" i="25" s="1"/>
  <c r="Y177" i="25" s="1"/>
  <c r="AA217" i="25"/>
  <c r="Z217" i="25" s="1"/>
  <c r="Y217" i="25" s="1"/>
  <c r="G102" i="25"/>
  <c r="CF102" i="6" s="1"/>
  <c r="AA102" i="25"/>
  <c r="Z102" i="25" s="1"/>
  <c r="Y102" i="25" s="1"/>
  <c r="H102" i="25"/>
  <c r="G262" i="25"/>
  <c r="CF262" i="6" s="1"/>
  <c r="H262" i="25"/>
  <c r="D272" i="25"/>
  <c r="E272" i="25" s="1"/>
  <c r="F272" i="25" s="1"/>
  <c r="W272" i="25"/>
  <c r="AA96" i="25"/>
  <c r="Z96" i="25" s="1"/>
  <c r="Y96" i="25" s="1"/>
  <c r="H96" i="25"/>
  <c r="G96" i="25"/>
  <c r="CF96" i="6" s="1"/>
  <c r="AA93" i="25"/>
  <c r="Z93" i="25" s="1"/>
  <c r="Y93" i="25" s="1"/>
  <c r="G93" i="25"/>
  <c r="CF93" i="6" s="1"/>
  <c r="H93" i="25"/>
  <c r="G126" i="25"/>
  <c r="CF126" i="6" s="1"/>
  <c r="H126" i="25"/>
  <c r="G164" i="25"/>
  <c r="CF164" i="6" s="1"/>
  <c r="AA164" i="25"/>
  <c r="Z164" i="25" s="1"/>
  <c r="Y164" i="25" s="1"/>
  <c r="AA27" i="25"/>
  <c r="Z27" i="25" s="1"/>
  <c r="Y27" i="25" s="1"/>
  <c r="G27" i="25"/>
  <c r="CF27" i="6" s="1"/>
  <c r="G296" i="25"/>
  <c r="CF296" i="6" s="1"/>
  <c r="H296" i="25"/>
  <c r="AA39" i="25"/>
  <c r="Z39" i="25" s="1"/>
  <c r="Y39" i="25" s="1"/>
  <c r="G39" i="25"/>
  <c r="CF39" i="6" s="1"/>
  <c r="W46" i="25"/>
  <c r="D46" i="25"/>
  <c r="E46" i="25" s="1"/>
  <c r="F46" i="25" s="1"/>
  <c r="H162" i="25"/>
  <c r="G162" i="25"/>
  <c r="CF162" i="6" s="1"/>
  <c r="AA227" i="25"/>
  <c r="Z227" i="25" s="1"/>
  <c r="Y227" i="25" s="1"/>
  <c r="G227" i="25"/>
  <c r="CF227" i="6" s="1"/>
  <c r="G304" i="25"/>
  <c r="CF304" i="6" s="1"/>
  <c r="H304" i="25"/>
  <c r="AA304" i="25"/>
  <c r="Z304" i="25" s="1"/>
  <c r="Y304" i="25" s="1"/>
  <c r="D196" i="25"/>
  <c r="E196" i="25" s="1"/>
  <c r="F196" i="25" s="1"/>
  <c r="G196" i="25" s="1"/>
  <c r="CF196" i="6" s="1"/>
  <c r="W196" i="25"/>
  <c r="H297" i="25"/>
  <c r="G297" i="25"/>
  <c r="CF297" i="6" s="1"/>
  <c r="H236" i="25"/>
  <c r="G236" i="25"/>
  <c r="CF236" i="6" s="1"/>
  <c r="G340" i="25"/>
  <c r="CF340" i="6" s="1"/>
  <c r="AA340" i="25"/>
  <c r="Z340" i="25" s="1"/>
  <c r="Y340" i="25" s="1"/>
  <c r="H340" i="25"/>
  <c r="G59" i="25"/>
  <c r="CF59" i="6" s="1"/>
  <c r="H59" i="25"/>
  <c r="AA59" i="25"/>
  <c r="Z59" i="25" s="1"/>
  <c r="Y59" i="25" s="1"/>
  <c r="AA136" i="25"/>
  <c r="Z136" i="25" s="1"/>
  <c r="Y136" i="25" s="1"/>
  <c r="H136" i="25"/>
  <c r="G136" i="25"/>
  <c r="CF136" i="6" s="1"/>
  <c r="G279" i="25"/>
  <c r="CF279" i="6" s="1"/>
  <c r="H279" i="25"/>
  <c r="G205" i="25"/>
  <c r="CF205" i="6" s="1"/>
  <c r="H205" i="25"/>
  <c r="AA205" i="25"/>
  <c r="Z205" i="25" s="1"/>
  <c r="Y205" i="25" s="1"/>
  <c r="H101" i="25"/>
  <c r="AA101" i="25"/>
  <c r="Z101" i="25" s="1"/>
  <c r="Y101" i="25" s="1"/>
  <c r="G101" i="25"/>
  <c r="CF101" i="6" s="1"/>
  <c r="AA247" i="25"/>
  <c r="Z247" i="25" s="1"/>
  <c r="Y247" i="25" s="1"/>
  <c r="H247" i="25"/>
  <c r="G247" i="25"/>
  <c r="CF247" i="6" s="1"/>
  <c r="G155" i="25"/>
  <c r="CF155" i="6" s="1"/>
  <c r="H155" i="25"/>
  <c r="AA155" i="25"/>
  <c r="Z155" i="25" s="1"/>
  <c r="Y155" i="25" s="1"/>
  <c r="G117" i="25"/>
  <c r="CF117" i="6" s="1"/>
  <c r="H117" i="25"/>
  <c r="AA117" i="25"/>
  <c r="Z117" i="25" s="1"/>
  <c r="Y117" i="25" s="1"/>
  <c r="G238" i="25"/>
  <c r="CF238" i="6" s="1"/>
  <c r="H238" i="25"/>
  <c r="AA238" i="25"/>
  <c r="Z238" i="25" s="1"/>
  <c r="Y238" i="25" s="1"/>
  <c r="G147" i="25"/>
  <c r="CF147" i="6" s="1"/>
  <c r="AA147" i="25"/>
  <c r="Z147" i="25" s="1"/>
  <c r="Y147" i="25" s="1"/>
  <c r="H147" i="25"/>
  <c r="W302" i="25"/>
  <c r="D302" i="25"/>
  <c r="E302" i="25" s="1"/>
  <c r="F302" i="25" s="1"/>
  <c r="AA186" i="25"/>
  <c r="Z186" i="25" s="1"/>
  <c r="Y186" i="25" s="1"/>
  <c r="G186" i="25"/>
  <c r="CF186" i="6" s="1"/>
  <c r="H186" i="25"/>
  <c r="G332" i="25"/>
  <c r="CF332" i="6" s="1"/>
  <c r="H332" i="25"/>
  <c r="AA332" i="25"/>
  <c r="Z332" i="25" s="1"/>
  <c r="Y332" i="25" s="1"/>
  <c r="G231" i="25"/>
  <c r="CF231" i="6" s="1"/>
  <c r="AA231" i="25"/>
  <c r="Z231" i="25" s="1"/>
  <c r="Y231" i="25" s="1"/>
  <c r="H231" i="25"/>
  <c r="G355" i="25"/>
  <c r="CF355" i="6" s="1"/>
  <c r="AA355" i="25"/>
  <c r="Z355" i="25" s="1"/>
  <c r="Y355" i="25" s="1"/>
  <c r="H355" i="25"/>
  <c r="G375" i="25"/>
  <c r="CF375" i="6" s="1"/>
  <c r="AA375" i="25"/>
  <c r="Z375" i="25" s="1"/>
  <c r="Y375" i="25" s="1"/>
  <c r="H375" i="25"/>
  <c r="G133" i="25"/>
  <c r="CF133" i="6" s="1"/>
  <c r="H133" i="25"/>
  <c r="AA133" i="25"/>
  <c r="Z133" i="25" s="1"/>
  <c r="Y133" i="25" s="1"/>
  <c r="G267" i="25"/>
  <c r="CF267" i="6" s="1"/>
  <c r="H267" i="25"/>
  <c r="H282" i="25"/>
  <c r="G282" i="25"/>
  <c r="CF282" i="6" s="1"/>
  <c r="AA64" i="25"/>
  <c r="Z64" i="25" s="1"/>
  <c r="Y64" i="25" s="1"/>
  <c r="H64" i="25"/>
  <c r="G64" i="25"/>
  <c r="CF64" i="6" s="1"/>
  <c r="D180" i="25"/>
  <c r="E180" i="25" s="1"/>
  <c r="F180" i="25" s="1"/>
  <c r="W180" i="25"/>
  <c r="AA42" i="25"/>
  <c r="Z42" i="25" s="1"/>
  <c r="Y42" i="25" s="1"/>
  <c r="G42" i="25"/>
  <c r="CF42" i="6" s="1"/>
  <c r="G139" i="25"/>
  <c r="CF139" i="6" s="1"/>
  <c r="H139" i="25"/>
  <c r="G190" i="25"/>
  <c r="CF190" i="6" s="1"/>
  <c r="H190" i="25"/>
  <c r="G290" i="25"/>
  <c r="CF290" i="6" s="1"/>
  <c r="AA290" i="25"/>
  <c r="Z290" i="25" s="1"/>
  <c r="Y290" i="25" s="1"/>
  <c r="H290" i="25"/>
  <c r="G137" i="25"/>
  <c r="CF137" i="6" s="1"/>
  <c r="AA137" i="25"/>
  <c r="Z137" i="25" s="1"/>
  <c r="Y137" i="25" s="1"/>
  <c r="H137" i="25"/>
  <c r="G49" i="25"/>
  <c r="CF49" i="6" s="1"/>
  <c r="AA49" i="25"/>
  <c r="Z49" i="25" s="1"/>
  <c r="Y49" i="25" s="1"/>
  <c r="AA37" i="25"/>
  <c r="Z37" i="25" s="1"/>
  <c r="Y37" i="25" s="1"/>
  <c r="G37" i="25"/>
  <c r="CF37" i="6" s="1"/>
  <c r="G251" i="25"/>
  <c r="CF251" i="6" s="1"/>
  <c r="H251" i="25"/>
  <c r="D333" i="25"/>
  <c r="E333" i="25" s="1"/>
  <c r="F333" i="25" s="1"/>
  <c r="W333" i="25"/>
  <c r="G108" i="25"/>
  <c r="CF108" i="6" s="1"/>
  <c r="H108" i="25"/>
  <c r="AA108" i="25"/>
  <c r="Z108" i="25" s="1"/>
  <c r="Y108" i="25" s="1"/>
  <c r="H38" i="25"/>
  <c r="G38" i="25"/>
  <c r="CF38" i="6" s="1"/>
  <c r="AA38" i="25"/>
  <c r="Z38" i="25" s="1"/>
  <c r="Y38" i="25" s="1"/>
  <c r="G115" i="25"/>
  <c r="CF115" i="6" s="1"/>
  <c r="H115" i="25"/>
  <c r="AA115" i="25"/>
  <c r="Z115" i="25" s="1"/>
  <c r="Y115" i="25" s="1"/>
  <c r="G107" i="25"/>
  <c r="CF107" i="6" s="1"/>
  <c r="AA107" i="25"/>
  <c r="Z107" i="25" s="1"/>
  <c r="Y107" i="25" s="1"/>
  <c r="H107" i="25"/>
  <c r="H277" i="25"/>
  <c r="G277" i="25"/>
  <c r="CF277" i="6" s="1"/>
  <c r="Q381" i="25"/>
  <c r="Q383" i="25"/>
  <c r="H45" i="25"/>
  <c r="G45" i="25"/>
  <c r="CF45" i="6" s="1"/>
  <c r="AA45" i="25"/>
  <c r="Z45" i="25" s="1"/>
  <c r="Y45" i="25" s="1"/>
  <c r="H371" i="25"/>
  <c r="G371" i="25"/>
  <c r="CF371" i="6" s="1"/>
  <c r="G303" i="25"/>
  <c r="CF303" i="6" s="1"/>
  <c r="H303" i="25"/>
  <c r="AA47" i="25"/>
  <c r="Z47" i="25" s="1"/>
  <c r="Y47" i="25" s="1"/>
  <c r="H47" i="25"/>
  <c r="G47" i="25"/>
  <c r="CF47" i="6" s="1"/>
  <c r="AA56" i="25"/>
  <c r="Z56" i="25" s="1"/>
  <c r="Y56" i="25" s="1"/>
  <c r="H229" i="25"/>
  <c r="G229" i="25"/>
  <c r="CF229" i="6" s="1"/>
  <c r="AA229" i="25"/>
  <c r="Z229" i="25" s="1"/>
  <c r="Y229" i="25" s="1"/>
  <c r="G310" i="25"/>
  <c r="CF310" i="6" s="1"/>
  <c r="AA310" i="25"/>
  <c r="Z310" i="25" s="1"/>
  <c r="Y310" i="25" s="1"/>
  <c r="H310" i="25"/>
  <c r="H300" i="25"/>
  <c r="AA60" i="24"/>
  <c r="Z60" i="24" s="1"/>
  <c r="Y60" i="24" s="1"/>
  <c r="G60" i="24"/>
  <c r="CE60" i="6" s="1"/>
  <c r="H60" i="24"/>
  <c r="H256" i="25"/>
  <c r="H51" i="25"/>
  <c r="AA379" i="24"/>
  <c r="Z379" i="24" s="1"/>
  <c r="Y379" i="24" s="1"/>
  <c r="H379" i="24"/>
  <c r="G379" i="24"/>
  <c r="CE379" i="6" s="1"/>
  <c r="AA180" i="24"/>
  <c r="Z180" i="24" s="1"/>
  <c r="Y180" i="24" s="1"/>
  <c r="G180" i="24"/>
  <c r="CE180" i="6" s="1"/>
  <c r="H180" i="24"/>
  <c r="N17" i="19"/>
  <c r="D18" i="19"/>
  <c r="G42" i="19"/>
  <c r="M17" i="19"/>
  <c r="AA104" i="25"/>
  <c r="Z104" i="25" s="1"/>
  <c r="Y104" i="25" s="1"/>
  <c r="AD381" i="25"/>
  <c r="H7" i="6"/>
  <c r="AU7" i="7"/>
  <c r="Y15" i="23"/>
  <c r="Z383" i="23"/>
  <c r="Z382" i="23"/>
  <c r="Z9" i="23"/>
  <c r="Z381" i="23"/>
  <c r="AL8" i="23"/>
  <c r="Y383" i="22"/>
  <c r="Y381" i="22"/>
  <c r="X9" i="22"/>
  <c r="AL6" i="22"/>
  <c r="AL12" i="22" s="1"/>
  <c r="Y382" i="22"/>
  <c r="AM6" i="22"/>
  <c r="AM12" i="22" s="1"/>
  <c r="Y11" i="22"/>
  <c r="I15" i="23"/>
  <c r="J15" i="23"/>
  <c r="AA300" i="25" l="1"/>
  <c r="Z300" i="25" s="1"/>
  <c r="Y300" i="25" s="1"/>
  <c r="F70" i="19"/>
  <c r="F57" i="19" s="1"/>
  <c r="G85" i="25"/>
  <c r="CF85" i="6" s="1"/>
  <c r="G41" i="25"/>
  <c r="CF41" i="6" s="1"/>
  <c r="G169" i="25"/>
  <c r="CF169" i="6" s="1"/>
  <c r="H222" i="25"/>
  <c r="J222" i="25" s="1"/>
  <c r="AA125" i="25"/>
  <c r="Z125" i="25" s="1"/>
  <c r="Y125" i="25" s="1"/>
  <c r="H154" i="25"/>
  <c r="I154" i="25" s="1"/>
  <c r="AA373" i="25"/>
  <c r="Z373" i="25" s="1"/>
  <c r="Y373" i="25" s="1"/>
  <c r="H146" i="25"/>
  <c r="I146" i="25" s="1"/>
  <c r="G309" i="25"/>
  <c r="CF309" i="6" s="1"/>
  <c r="G70" i="25"/>
  <c r="CF70" i="6" s="1"/>
  <c r="H328" i="25"/>
  <c r="H198" i="25"/>
  <c r="I198" i="25" s="1"/>
  <c r="G273" i="25"/>
  <c r="CF273" i="6" s="1"/>
  <c r="D149" i="25"/>
  <c r="E149" i="25" s="1"/>
  <c r="F149" i="25" s="1"/>
  <c r="G149" i="25" s="1"/>
  <c r="CF149" i="6" s="1"/>
  <c r="G56" i="25"/>
  <c r="CF56" i="6" s="1"/>
  <c r="H217" i="25"/>
  <c r="J217" i="25" s="1"/>
  <c r="AA376" i="25"/>
  <c r="Z376" i="25" s="1"/>
  <c r="Y376" i="25" s="1"/>
  <c r="AA216" i="25"/>
  <c r="Z216" i="25" s="1"/>
  <c r="Y216" i="25" s="1"/>
  <c r="H218" i="25"/>
  <c r="H167" i="25"/>
  <c r="I167" i="25" s="1"/>
  <c r="H79" i="25"/>
  <c r="AA330" i="25"/>
  <c r="Z330" i="25" s="1"/>
  <c r="Y330" i="25" s="1"/>
  <c r="G53" i="25"/>
  <c r="CF53" i="6" s="1"/>
  <c r="G307" i="25"/>
  <c r="CF307" i="6" s="1"/>
  <c r="G88" i="25"/>
  <c r="CF88" i="6" s="1"/>
  <c r="G271" i="25"/>
  <c r="CF271" i="6" s="1"/>
  <c r="H232" i="25"/>
  <c r="G161" i="25"/>
  <c r="CF161" i="6" s="1"/>
  <c r="G326" i="25"/>
  <c r="CF326" i="6" s="1"/>
  <c r="AA131" i="25"/>
  <c r="Z131" i="25" s="1"/>
  <c r="Y131" i="25" s="1"/>
  <c r="H53" i="25"/>
  <c r="H216" i="25"/>
  <c r="I216" i="25" s="1"/>
  <c r="AA239" i="25"/>
  <c r="Z239" i="25" s="1"/>
  <c r="Y239" i="25" s="1"/>
  <c r="AA130" i="25"/>
  <c r="Z130" i="25" s="1"/>
  <c r="Y130" i="25" s="1"/>
  <c r="H74" i="25"/>
  <c r="H189" i="25"/>
  <c r="I189" i="25" s="1"/>
  <c r="H315" i="25"/>
  <c r="J315" i="25" s="1"/>
  <c r="AA189" i="25"/>
  <c r="Z189" i="25" s="1"/>
  <c r="Y189" i="25" s="1"/>
  <c r="G287" i="25"/>
  <c r="CF287" i="6" s="1"/>
  <c r="AA328" i="25"/>
  <c r="Z328" i="25" s="1"/>
  <c r="Y328" i="25" s="1"/>
  <c r="AA198" i="25"/>
  <c r="Z198" i="25" s="1"/>
  <c r="Y198" i="25" s="1"/>
  <c r="H259" i="25"/>
  <c r="J259" i="25" s="1"/>
  <c r="G285" i="25"/>
  <c r="CF285" i="6" s="1"/>
  <c r="G349" i="25"/>
  <c r="CF349" i="6" s="1"/>
  <c r="G151" i="25"/>
  <c r="CF151" i="6" s="1"/>
  <c r="H372" i="25"/>
  <c r="J372" i="25" s="1"/>
  <c r="H91" i="25"/>
  <c r="J91" i="25" s="1"/>
  <c r="H82" i="25"/>
  <c r="I82" i="25" s="1"/>
  <c r="AA167" i="25"/>
  <c r="Z167" i="25" s="1"/>
  <c r="Y167" i="25" s="1"/>
  <c r="G268" i="25"/>
  <c r="CF268" i="6" s="1"/>
  <c r="G330" i="25"/>
  <c r="CF330" i="6" s="1"/>
  <c r="G327" i="25"/>
  <c r="CF327" i="6" s="1"/>
  <c r="G280" i="25"/>
  <c r="CF280" i="6" s="1"/>
  <c r="AA324" i="25"/>
  <c r="Z324" i="25" s="1"/>
  <c r="Y324" i="25" s="1"/>
  <c r="G348" i="25"/>
  <c r="CF348" i="6" s="1"/>
  <c r="H32" i="25"/>
  <c r="I32" i="25" s="1"/>
  <c r="AA353" i="25"/>
  <c r="Z353" i="25" s="1"/>
  <c r="Y353" i="25" s="1"/>
  <c r="G144" i="25"/>
  <c r="CF144" i="6" s="1"/>
  <c r="G239" i="25"/>
  <c r="CF239" i="6" s="1"/>
  <c r="H252" i="25"/>
  <c r="J252" i="25" s="1"/>
  <c r="G270" i="25"/>
  <c r="CF270" i="6" s="1"/>
  <c r="G321" i="25"/>
  <c r="CF321" i="6" s="1"/>
  <c r="G74" i="25"/>
  <c r="CF74" i="6" s="1"/>
  <c r="AA149" i="25"/>
  <c r="Z149" i="25" s="1"/>
  <c r="Y149" i="25" s="1"/>
  <c r="AA248" i="25"/>
  <c r="Z248" i="25" s="1"/>
  <c r="Y248" i="25" s="1"/>
  <c r="AA289" i="25"/>
  <c r="Z289" i="25" s="1"/>
  <c r="Y289" i="25" s="1"/>
  <c r="I164" i="25"/>
  <c r="AA271" i="25"/>
  <c r="Z271" i="25" s="1"/>
  <c r="Y271" i="25" s="1"/>
  <c r="G22" i="25"/>
  <c r="CF22" i="6" s="1"/>
  <c r="G372" i="25"/>
  <c r="CF372" i="6" s="1"/>
  <c r="I291" i="25"/>
  <c r="I362" i="25"/>
  <c r="G91" i="25"/>
  <c r="CF91" i="6" s="1"/>
  <c r="G232" i="25"/>
  <c r="CF232" i="6" s="1"/>
  <c r="AA151" i="25"/>
  <c r="Z151" i="25" s="1"/>
  <c r="Y151" i="25" s="1"/>
  <c r="AA173" i="25"/>
  <c r="Z173" i="25" s="1"/>
  <c r="Y173" i="25" s="1"/>
  <c r="H268" i="25"/>
  <c r="J268" i="25" s="1"/>
  <c r="G308" i="25"/>
  <c r="CF308" i="6" s="1"/>
  <c r="AA161" i="25"/>
  <c r="Z161" i="25" s="1"/>
  <c r="Y161" i="25" s="1"/>
  <c r="H326" i="25"/>
  <c r="I326" i="25" s="1"/>
  <c r="H327" i="25"/>
  <c r="J327" i="25" s="1"/>
  <c r="H110" i="25"/>
  <c r="J110" i="25" s="1"/>
  <c r="AA280" i="25"/>
  <c r="Z280" i="25" s="1"/>
  <c r="Y280" i="25" s="1"/>
  <c r="G324" i="25"/>
  <c r="CF324" i="6" s="1"/>
  <c r="AA348" i="25"/>
  <c r="Z348" i="25" s="1"/>
  <c r="Y348" i="25" s="1"/>
  <c r="G124" i="25"/>
  <c r="CF124" i="6" s="1"/>
  <c r="G80" i="25"/>
  <c r="CF80" i="6" s="1"/>
  <c r="G32" i="25"/>
  <c r="CF32" i="6" s="1"/>
  <c r="G376" i="25"/>
  <c r="CF376" i="6" s="1"/>
  <c r="AA24" i="25"/>
  <c r="Z24" i="25" s="1"/>
  <c r="Y24" i="25" s="1"/>
  <c r="AA144" i="25"/>
  <c r="Z144" i="25" s="1"/>
  <c r="Y144" i="25" s="1"/>
  <c r="AA214" i="25"/>
  <c r="Z214" i="25" s="1"/>
  <c r="Y214" i="25" s="1"/>
  <c r="H306" i="25"/>
  <c r="J306" i="25" s="1"/>
  <c r="AA242" i="25"/>
  <c r="Z242" i="25" s="1"/>
  <c r="Y242" i="25" s="1"/>
  <c r="G252" i="25"/>
  <c r="CF252" i="6" s="1"/>
  <c r="AA270" i="25"/>
  <c r="Z270" i="25" s="1"/>
  <c r="Y270" i="25" s="1"/>
  <c r="G207" i="25"/>
  <c r="CF207" i="6" s="1"/>
  <c r="H321" i="25"/>
  <c r="J321" i="25" s="1"/>
  <c r="G354" i="25"/>
  <c r="CF354" i="6" s="1"/>
  <c r="J98" i="25"/>
  <c r="H211" i="25"/>
  <c r="J211" i="25" s="1"/>
  <c r="AA354" i="25"/>
  <c r="Z354" i="25" s="1"/>
  <c r="Y354" i="25" s="1"/>
  <c r="AA211" i="25"/>
  <c r="Z211" i="25" s="1"/>
  <c r="Y211" i="25" s="1"/>
  <c r="AA357" i="25"/>
  <c r="Z357" i="25" s="1"/>
  <c r="Y357" i="25" s="1"/>
  <c r="H349" i="25"/>
  <c r="I349" i="25" s="1"/>
  <c r="H289" i="25"/>
  <c r="I289" i="25" s="1"/>
  <c r="H285" i="25"/>
  <c r="I285" i="25" s="1"/>
  <c r="AA22" i="25"/>
  <c r="Z22" i="25" s="1"/>
  <c r="Y22" i="25" s="1"/>
  <c r="G173" i="25"/>
  <c r="CF173" i="6" s="1"/>
  <c r="H248" i="25"/>
  <c r="J248" i="25" s="1"/>
  <c r="AA82" i="25"/>
  <c r="Z82" i="25" s="1"/>
  <c r="Y82" i="25" s="1"/>
  <c r="AA307" i="25"/>
  <c r="Z307" i="25" s="1"/>
  <c r="Y307" i="25" s="1"/>
  <c r="AA218" i="25"/>
  <c r="Z218" i="25" s="1"/>
  <c r="Y218" i="25" s="1"/>
  <c r="AA127" i="25"/>
  <c r="Z127" i="25" s="1"/>
  <c r="Y127" i="25" s="1"/>
  <c r="H308" i="25"/>
  <c r="J308" i="25" s="1"/>
  <c r="H191" i="25"/>
  <c r="J191" i="25" s="1"/>
  <c r="G131" i="25"/>
  <c r="CF131" i="6" s="1"/>
  <c r="AA110" i="25"/>
  <c r="Z110" i="25" s="1"/>
  <c r="Y110" i="25" s="1"/>
  <c r="AA124" i="25"/>
  <c r="Z124" i="25" s="1"/>
  <c r="Y124" i="25" s="1"/>
  <c r="H80" i="25"/>
  <c r="I80" i="25" s="1"/>
  <c r="H24" i="25"/>
  <c r="J24" i="25" s="1"/>
  <c r="H214" i="25"/>
  <c r="I214" i="25" s="1"/>
  <c r="AA306" i="25"/>
  <c r="Z306" i="25" s="1"/>
  <c r="Y306" i="25" s="1"/>
  <c r="G242" i="25"/>
  <c r="CF242" i="6" s="1"/>
  <c r="G130" i="25"/>
  <c r="CF130" i="6" s="1"/>
  <c r="AA207" i="25"/>
  <c r="Z207" i="25" s="1"/>
  <c r="Y207" i="25" s="1"/>
  <c r="J172" i="25"/>
  <c r="AA48" i="25"/>
  <c r="Z48" i="25" s="1"/>
  <c r="Y48" i="25" s="1"/>
  <c r="J109" i="25"/>
  <c r="AA111" i="25"/>
  <c r="Z111" i="25" s="1"/>
  <c r="Y111" i="25" s="1"/>
  <c r="G127" i="25"/>
  <c r="CF127" i="6" s="1"/>
  <c r="AA191" i="25"/>
  <c r="Z191" i="25" s="1"/>
  <c r="Y191" i="25" s="1"/>
  <c r="AA346" i="25"/>
  <c r="Z346" i="25" s="1"/>
  <c r="Y346" i="25" s="1"/>
  <c r="H353" i="25"/>
  <c r="J353" i="25" s="1"/>
  <c r="H35" i="25"/>
  <c r="J35" i="25" s="1"/>
  <c r="G48" i="25"/>
  <c r="CF48" i="6" s="1"/>
  <c r="J312" i="25"/>
  <c r="J202" i="25"/>
  <c r="AA143" i="25"/>
  <c r="Z143" i="25" s="1"/>
  <c r="Y143" i="25" s="1"/>
  <c r="J153" i="25"/>
  <c r="H287" i="25"/>
  <c r="I287" i="25" s="1"/>
  <c r="G146" i="25"/>
  <c r="CF146" i="6" s="1"/>
  <c r="H298" i="25"/>
  <c r="I298" i="25" s="1"/>
  <c r="H81" i="25"/>
  <c r="J81" i="25" s="1"/>
  <c r="AA319" i="25"/>
  <c r="Z319" i="25" s="1"/>
  <c r="Y319" i="25" s="1"/>
  <c r="H254" i="25"/>
  <c r="J254" i="25" s="1"/>
  <c r="G35" i="25"/>
  <c r="CF35" i="6" s="1"/>
  <c r="G200" i="25"/>
  <c r="CF200" i="6" s="1"/>
  <c r="H165" i="25"/>
  <c r="I165" i="25" s="1"/>
  <c r="AA370" i="25"/>
  <c r="Z370" i="25" s="1"/>
  <c r="Y370" i="25" s="1"/>
  <c r="H152" i="25"/>
  <c r="I152" i="25" s="1"/>
  <c r="AA90" i="25"/>
  <c r="Z90" i="25" s="1"/>
  <c r="Y90" i="25" s="1"/>
  <c r="H377" i="25"/>
  <c r="J377" i="25" s="1"/>
  <c r="G141" i="25"/>
  <c r="CF141" i="6" s="1"/>
  <c r="J365" i="25"/>
  <c r="H200" i="25"/>
  <c r="J200" i="25" s="1"/>
  <c r="AA276" i="25"/>
  <c r="Z276" i="25" s="1"/>
  <c r="Y276" i="25" s="1"/>
  <c r="I122" i="25"/>
  <c r="H120" i="25"/>
  <c r="J120" i="25" s="1"/>
  <c r="H226" i="25"/>
  <c r="J226" i="25" s="1"/>
  <c r="H100" i="25"/>
  <c r="J100" i="25" s="1"/>
  <c r="G377" i="25"/>
  <c r="CF377" i="6" s="1"/>
  <c r="AA141" i="25"/>
  <c r="Z141" i="25" s="1"/>
  <c r="Y141" i="25" s="1"/>
  <c r="G26" i="25"/>
  <c r="CF26" i="6" s="1"/>
  <c r="AA315" i="25"/>
  <c r="Z315" i="25" s="1"/>
  <c r="Y315" i="25" s="1"/>
  <c r="G20" i="25"/>
  <c r="CF20" i="6" s="1"/>
  <c r="H358" i="25"/>
  <c r="J358" i="25" s="1"/>
  <c r="J150" i="25"/>
  <c r="H20" i="25"/>
  <c r="I20" i="25" s="1"/>
  <c r="G111" i="25"/>
  <c r="CF111" i="6" s="1"/>
  <c r="AA322" i="25"/>
  <c r="Z322" i="25" s="1"/>
  <c r="Y322" i="25" s="1"/>
  <c r="AA176" i="25"/>
  <c r="Z176" i="25" s="1"/>
  <c r="Y176" i="25" s="1"/>
  <c r="G346" i="25"/>
  <c r="CF346" i="6" s="1"/>
  <c r="G81" i="25"/>
  <c r="CF81" i="6" s="1"/>
  <c r="H319" i="25"/>
  <c r="J319" i="25" s="1"/>
  <c r="AA254" i="25"/>
  <c r="Z254" i="25" s="1"/>
  <c r="Y254" i="25" s="1"/>
  <c r="I183" i="25"/>
  <c r="AD383" i="25"/>
  <c r="H266" i="25"/>
  <c r="I266" i="25" s="1"/>
  <c r="AA265" i="25"/>
  <c r="Z265" i="25" s="1"/>
  <c r="Y265" i="25" s="1"/>
  <c r="AA264" i="25"/>
  <c r="Z264" i="25" s="1"/>
  <c r="Y264" i="25" s="1"/>
  <c r="I305" i="25"/>
  <c r="G370" i="25"/>
  <c r="CF370" i="6" s="1"/>
  <c r="G152" i="25"/>
  <c r="CF152" i="6" s="1"/>
  <c r="G143" i="25"/>
  <c r="CF143" i="6" s="1"/>
  <c r="H26" i="25"/>
  <c r="I26" i="25" s="1"/>
  <c r="AA358" i="25"/>
  <c r="Z358" i="25" s="1"/>
  <c r="Y358" i="25" s="1"/>
  <c r="J193" i="25"/>
  <c r="H160" i="25"/>
  <c r="J160" i="25" s="1"/>
  <c r="AA23" i="25"/>
  <c r="Z23" i="25" s="1"/>
  <c r="Y23" i="25" s="1"/>
  <c r="AA226" i="25"/>
  <c r="Z226" i="25" s="1"/>
  <c r="Y226" i="25" s="1"/>
  <c r="AA120" i="25"/>
  <c r="Z120" i="25" s="1"/>
  <c r="Y120" i="25" s="1"/>
  <c r="G16" i="25"/>
  <c r="CF16" i="6" s="1"/>
  <c r="AA244" i="25"/>
  <c r="Z244" i="25" s="1"/>
  <c r="Y244" i="25" s="1"/>
  <c r="G63" i="25"/>
  <c r="CF63" i="6" s="1"/>
  <c r="AA179" i="25"/>
  <c r="Z179" i="25" s="1"/>
  <c r="Y179" i="25" s="1"/>
  <c r="H265" i="25"/>
  <c r="H134" i="25"/>
  <c r="J134" i="25" s="1"/>
  <c r="G100" i="25"/>
  <c r="CF100" i="6" s="1"/>
  <c r="H276" i="25"/>
  <c r="J276" i="25" s="1"/>
  <c r="G23" i="25"/>
  <c r="CF23" i="6" s="1"/>
  <c r="H244" i="25"/>
  <c r="J244" i="25" s="1"/>
  <c r="AA16" i="25"/>
  <c r="Z16" i="25" s="1"/>
  <c r="Y16" i="25" s="1"/>
  <c r="AA221" i="25"/>
  <c r="Z221" i="25" s="1"/>
  <c r="Y221" i="25" s="1"/>
  <c r="H273" i="25"/>
  <c r="J273" i="25" s="1"/>
  <c r="AA63" i="25"/>
  <c r="Z63" i="25" s="1"/>
  <c r="Y63" i="25" s="1"/>
  <c r="H367" i="25"/>
  <c r="I367" i="25" s="1"/>
  <c r="H43" i="25"/>
  <c r="J43" i="25" s="1"/>
  <c r="G179" i="25"/>
  <c r="CF179" i="6" s="1"/>
  <c r="G337" i="25"/>
  <c r="CF337" i="6" s="1"/>
  <c r="AL5" i="23"/>
  <c r="AL11" i="23" s="1"/>
  <c r="AJ3" i="23" s="1"/>
  <c r="O18" i="19" s="1"/>
  <c r="AM5" i="23"/>
  <c r="AM11" i="23" s="1"/>
  <c r="AK3" i="23" s="1"/>
  <c r="Q18" i="19" s="1"/>
  <c r="G90" i="25"/>
  <c r="CF90" i="6" s="1"/>
  <c r="H322" i="25"/>
  <c r="J322" i="25" s="1"/>
  <c r="H176" i="25"/>
  <c r="I176" i="25" s="1"/>
  <c r="AA73" i="25"/>
  <c r="Z73" i="25" s="1"/>
  <c r="Y73" i="25" s="1"/>
  <c r="H73" i="25"/>
  <c r="J73" i="25" s="1"/>
  <c r="H221" i="25"/>
  <c r="J221" i="25" s="1"/>
  <c r="AA367" i="25"/>
  <c r="Z367" i="25" s="1"/>
  <c r="Y367" i="25" s="1"/>
  <c r="G43" i="25"/>
  <c r="CF43" i="6" s="1"/>
  <c r="AA337" i="25"/>
  <c r="Z337" i="25" s="1"/>
  <c r="Y337" i="25" s="1"/>
  <c r="I39" i="25"/>
  <c r="E18" i="19"/>
  <c r="F18" i="19" s="1"/>
  <c r="I337" i="25"/>
  <c r="AA220" i="25"/>
  <c r="Z220" i="25" s="1"/>
  <c r="Y220" i="25" s="1"/>
  <c r="AA165" i="25"/>
  <c r="Z165" i="25" s="1"/>
  <c r="Y165" i="25" s="1"/>
  <c r="AA266" i="25"/>
  <c r="Z266" i="25" s="1"/>
  <c r="Y266" i="25" s="1"/>
  <c r="J42" i="25"/>
  <c r="J334" i="25"/>
  <c r="J274" i="25"/>
  <c r="J174" i="25"/>
  <c r="I278" i="25"/>
  <c r="H264" i="25"/>
  <c r="J264" i="25" s="1"/>
  <c r="AA259" i="25"/>
  <c r="Z259" i="25" s="1"/>
  <c r="Y259" i="25" s="1"/>
  <c r="AA160" i="25"/>
  <c r="Z160" i="25" s="1"/>
  <c r="Y160" i="25" s="1"/>
  <c r="AA134" i="25"/>
  <c r="Z134" i="25" s="1"/>
  <c r="Y134" i="25" s="1"/>
  <c r="AA206" i="25"/>
  <c r="Z206" i="25" s="1"/>
  <c r="Y206" i="25" s="1"/>
  <c r="I180" i="24"/>
  <c r="H180" i="25" s="1"/>
  <c r="J180" i="24"/>
  <c r="I379" i="24"/>
  <c r="J379" i="24"/>
  <c r="I28" i="25"/>
  <c r="J28" i="25"/>
  <c r="J189" i="25"/>
  <c r="I60" i="24"/>
  <c r="H60" i="25" s="1"/>
  <c r="J60" i="24"/>
  <c r="I229" i="25"/>
  <c r="J229" i="25"/>
  <c r="I371" i="25"/>
  <c r="J371" i="25"/>
  <c r="J107" i="25"/>
  <c r="I107" i="25"/>
  <c r="I115" i="25"/>
  <c r="J115" i="25"/>
  <c r="J38" i="25"/>
  <c r="I38" i="25"/>
  <c r="J108" i="25"/>
  <c r="I108" i="25"/>
  <c r="J251" i="25"/>
  <c r="I251" i="25"/>
  <c r="J137" i="25"/>
  <c r="I137" i="25"/>
  <c r="I190" i="25"/>
  <c r="J190" i="25"/>
  <c r="J139" i="25"/>
  <c r="I139" i="25"/>
  <c r="I282" i="25"/>
  <c r="J282" i="25"/>
  <c r="J133" i="25"/>
  <c r="I133" i="25"/>
  <c r="I375" i="25"/>
  <c r="J375" i="25"/>
  <c r="J231" i="25"/>
  <c r="I231" i="25"/>
  <c r="J332" i="25"/>
  <c r="I332" i="25"/>
  <c r="J186" i="25"/>
  <c r="I186" i="25"/>
  <c r="I117" i="25"/>
  <c r="J117" i="25"/>
  <c r="I247" i="25"/>
  <c r="J247" i="25"/>
  <c r="J101" i="25"/>
  <c r="I101" i="25"/>
  <c r="I205" i="25"/>
  <c r="J205" i="25"/>
  <c r="J279" i="25"/>
  <c r="I279" i="25"/>
  <c r="J59" i="25"/>
  <c r="I59" i="25"/>
  <c r="J340" i="25"/>
  <c r="I340" i="25"/>
  <c r="I236" i="25"/>
  <c r="J236" i="25"/>
  <c r="J297" i="25"/>
  <c r="I297" i="25"/>
  <c r="I304" i="25"/>
  <c r="J304" i="25"/>
  <c r="G46" i="25"/>
  <c r="CF46" i="6" s="1"/>
  <c r="H46" i="25"/>
  <c r="AA46" i="25"/>
  <c r="Z46" i="25" s="1"/>
  <c r="Y46" i="25" s="1"/>
  <c r="J296" i="25"/>
  <c r="I296" i="25"/>
  <c r="J126" i="25"/>
  <c r="I126" i="25"/>
  <c r="J93" i="25"/>
  <c r="I93" i="25"/>
  <c r="J96" i="25"/>
  <c r="I96" i="25"/>
  <c r="I262" i="25"/>
  <c r="J262" i="25"/>
  <c r="I102" i="25"/>
  <c r="J102" i="25"/>
  <c r="I48" i="25"/>
  <c r="J48" i="25"/>
  <c r="I217" i="25"/>
  <c r="I99" i="25"/>
  <c r="J99" i="25"/>
  <c r="J145" i="25"/>
  <c r="I145" i="25"/>
  <c r="J194" i="25"/>
  <c r="I194" i="25"/>
  <c r="M59" i="19"/>
  <c r="M58" i="19"/>
  <c r="M57" i="19"/>
  <c r="AA114" i="25"/>
  <c r="Z114" i="25" s="1"/>
  <c r="Y114" i="25" s="1"/>
  <c r="F58" i="19"/>
  <c r="H83" i="25"/>
  <c r="G83" i="25"/>
  <c r="CF83" i="6" s="1"/>
  <c r="AA83" i="25"/>
  <c r="Z83" i="25" s="1"/>
  <c r="Y83" i="25" s="1"/>
  <c r="J165" i="25"/>
  <c r="J295" i="25"/>
  <c r="I295" i="25"/>
  <c r="H188" i="25"/>
  <c r="I218" i="25"/>
  <c r="J218" i="25"/>
  <c r="J167" i="25"/>
  <c r="H114" i="25"/>
  <c r="J289" i="25"/>
  <c r="I134" i="25"/>
  <c r="I199" i="25"/>
  <c r="J199" i="25"/>
  <c r="I292" i="25"/>
  <c r="J292" i="25"/>
  <c r="I128" i="25"/>
  <c r="J128" i="25"/>
  <c r="I219" i="25"/>
  <c r="J219" i="25"/>
  <c r="J105" i="25"/>
  <c r="I105" i="25"/>
  <c r="J152" i="25"/>
  <c r="H258" i="25"/>
  <c r="G258" i="25"/>
  <c r="CF258" i="6" s="1"/>
  <c r="AA258" i="25"/>
  <c r="Z258" i="25" s="1"/>
  <c r="Y258" i="25" s="1"/>
  <c r="I143" i="25"/>
  <c r="J143" i="25"/>
  <c r="J245" i="25"/>
  <c r="I245" i="25"/>
  <c r="J293" i="25"/>
  <c r="I293" i="25"/>
  <c r="J141" i="25"/>
  <c r="I141" i="25"/>
  <c r="J263" i="25"/>
  <c r="I263" i="25"/>
  <c r="J257" i="25"/>
  <c r="I257" i="25"/>
  <c r="I54" i="25"/>
  <c r="J54" i="25"/>
  <c r="I366" i="25"/>
  <c r="J366" i="25"/>
  <c r="I357" i="25"/>
  <c r="J357" i="25"/>
  <c r="J138" i="25"/>
  <c r="I138" i="25"/>
  <c r="I112" i="25"/>
  <c r="J112" i="25"/>
  <c r="J323" i="25"/>
  <c r="I323" i="25"/>
  <c r="I44" i="25"/>
  <c r="J44" i="25"/>
  <c r="D329" i="25"/>
  <c r="E329" i="25" s="1"/>
  <c r="F329" i="25" s="1"/>
  <c r="W329" i="25"/>
  <c r="D78" i="25"/>
  <c r="E78" i="25" s="1"/>
  <c r="F78" i="25" s="1"/>
  <c r="W78" i="25"/>
  <c r="AJ7" i="24"/>
  <c r="D382" i="24"/>
  <c r="E15" i="24"/>
  <c r="AJ8" i="24"/>
  <c r="D381" i="24"/>
  <c r="D9" i="24"/>
  <c r="D11" i="24" s="1"/>
  <c r="D383" i="24"/>
  <c r="I302" i="24"/>
  <c r="H302" i="25" s="1"/>
  <c r="J302" i="24"/>
  <c r="J49" i="25"/>
  <c r="I49" i="25"/>
  <c r="J37" i="25"/>
  <c r="I37" i="25"/>
  <c r="I225" i="25"/>
  <c r="J225" i="25"/>
  <c r="H220" i="25"/>
  <c r="J27" i="25"/>
  <c r="I27" i="25"/>
  <c r="J116" i="25"/>
  <c r="I116" i="25"/>
  <c r="J228" i="25"/>
  <c r="I228" i="25"/>
  <c r="I21" i="25"/>
  <c r="J21" i="25"/>
  <c r="J168" i="25"/>
  <c r="I168" i="25"/>
  <c r="J58" i="25"/>
  <c r="I58" i="25"/>
  <c r="I201" i="25"/>
  <c r="J201" i="25"/>
  <c r="I129" i="25"/>
  <c r="J129" i="25"/>
  <c r="J86" i="25"/>
  <c r="I86" i="25"/>
  <c r="I159" i="25"/>
  <c r="J159" i="25"/>
  <c r="I69" i="25"/>
  <c r="J69" i="25"/>
  <c r="G29" i="25"/>
  <c r="CF29" i="6" s="1"/>
  <c r="AA29" i="25"/>
  <c r="Z29" i="25" s="1"/>
  <c r="Y29" i="25" s="1"/>
  <c r="H29" i="25"/>
  <c r="I142" i="25"/>
  <c r="J142" i="25"/>
  <c r="I250" i="25"/>
  <c r="J250" i="25"/>
  <c r="J77" i="25"/>
  <c r="I77" i="25"/>
  <c r="I208" i="25"/>
  <c r="J208" i="25"/>
  <c r="I233" i="25"/>
  <c r="J233" i="25"/>
  <c r="I87" i="25"/>
  <c r="J87" i="25"/>
  <c r="J360" i="25"/>
  <c r="I360" i="25"/>
  <c r="J67" i="25"/>
  <c r="I67" i="25"/>
  <c r="J103" i="25"/>
  <c r="I103" i="25"/>
  <c r="J243" i="25"/>
  <c r="I243" i="25"/>
  <c r="I75" i="25"/>
  <c r="J75" i="25"/>
  <c r="I235" i="25"/>
  <c r="J235" i="25"/>
  <c r="I255" i="25"/>
  <c r="J255" i="25"/>
  <c r="I66" i="25"/>
  <c r="J66" i="25"/>
  <c r="J169" i="25"/>
  <c r="I169" i="25"/>
  <c r="G119" i="25"/>
  <c r="CF119" i="6" s="1"/>
  <c r="AA119" i="25"/>
  <c r="Z119" i="25" s="1"/>
  <c r="Y119" i="25" s="1"/>
  <c r="I339" i="25"/>
  <c r="J339" i="25"/>
  <c r="I50" i="25"/>
  <c r="J50" i="25"/>
  <c r="J192" i="25"/>
  <c r="I192" i="25"/>
  <c r="I317" i="25"/>
  <c r="J317" i="25"/>
  <c r="C57" i="19"/>
  <c r="C58" i="19"/>
  <c r="C59" i="19"/>
  <c r="J223" i="25"/>
  <c r="I223" i="25"/>
  <c r="I222" i="25"/>
  <c r="I65" i="25"/>
  <c r="J65" i="25"/>
  <c r="I325" i="25"/>
  <c r="J325" i="25"/>
  <c r="I91" i="25"/>
  <c r="I232" i="25"/>
  <c r="J232" i="25"/>
  <c r="J82" i="25"/>
  <c r="I23" i="25"/>
  <c r="J23" i="25"/>
  <c r="I347" i="25"/>
  <c r="J347" i="25"/>
  <c r="I79" i="25"/>
  <c r="J79" i="25"/>
  <c r="J364" i="25"/>
  <c r="I364" i="25"/>
  <c r="I84" i="25"/>
  <c r="J84" i="25"/>
  <c r="W106" i="25"/>
  <c r="D106" i="25"/>
  <c r="E106" i="25" s="1"/>
  <c r="F106" i="25" s="1"/>
  <c r="H181" i="25"/>
  <c r="G181" i="25"/>
  <c r="CF181" i="6" s="1"/>
  <c r="G121" i="25"/>
  <c r="CF121" i="6" s="1"/>
  <c r="H121" i="25"/>
  <c r="H196" i="25"/>
  <c r="J363" i="24"/>
  <c r="I363" i="24"/>
  <c r="H363" i="25" s="1"/>
  <c r="J135" i="25"/>
  <c r="I135" i="25"/>
  <c r="J149" i="24"/>
  <c r="I149" i="24"/>
  <c r="I275" i="25"/>
  <c r="J275" i="25"/>
  <c r="J224" i="25"/>
  <c r="I224" i="25"/>
  <c r="J16" i="25"/>
  <c r="I16" i="25"/>
  <c r="I185" i="25"/>
  <c r="J185" i="25"/>
  <c r="I330" i="25"/>
  <c r="J330" i="25"/>
  <c r="I378" i="25"/>
  <c r="J378" i="25"/>
  <c r="J131" i="25"/>
  <c r="I131" i="25"/>
  <c r="I59" i="19"/>
  <c r="I58" i="19"/>
  <c r="I57" i="19"/>
  <c r="I314" i="25"/>
  <c r="J314" i="25"/>
  <c r="I215" i="25"/>
  <c r="J215" i="25"/>
  <c r="J373" i="25"/>
  <c r="I373" i="25"/>
  <c r="I61" i="25"/>
  <c r="J61" i="25"/>
  <c r="J346" i="25"/>
  <c r="I346" i="25"/>
  <c r="J17" i="25"/>
  <c r="I17" i="25"/>
  <c r="I34" i="25"/>
  <c r="J34" i="25"/>
  <c r="G59" i="19"/>
  <c r="G57" i="19"/>
  <c r="G58" i="19"/>
  <c r="J80" i="25"/>
  <c r="I376" i="25"/>
  <c r="J376" i="25"/>
  <c r="I81" i="25"/>
  <c r="I353" i="25"/>
  <c r="I306" i="25"/>
  <c r="I252" i="25"/>
  <c r="J359" i="25"/>
  <c r="I359" i="25"/>
  <c r="I63" i="25"/>
  <c r="J63" i="25"/>
  <c r="I254" i="25"/>
  <c r="I207" i="25"/>
  <c r="J207" i="25"/>
  <c r="J62" i="25"/>
  <c r="I62" i="25"/>
  <c r="I321" i="25"/>
  <c r="J179" i="25"/>
  <c r="I179" i="25"/>
  <c r="I344" i="25"/>
  <c r="J344" i="25"/>
  <c r="J354" i="25"/>
  <c r="I354" i="25"/>
  <c r="I74" i="25"/>
  <c r="J74" i="25"/>
  <c r="W288" i="25"/>
  <c r="D288" i="25"/>
  <c r="E288" i="25" s="1"/>
  <c r="F288" i="25" s="1"/>
  <c r="H204" i="25"/>
  <c r="G204" i="25"/>
  <c r="CF204" i="6" s="1"/>
  <c r="I51" i="25"/>
  <c r="J51" i="25"/>
  <c r="J256" i="25"/>
  <c r="I256" i="25"/>
  <c r="J300" i="25"/>
  <c r="I300" i="25"/>
  <c r="J310" i="25"/>
  <c r="I310" i="25"/>
  <c r="I56" i="25"/>
  <c r="J56" i="25"/>
  <c r="J47" i="25"/>
  <c r="I47" i="25"/>
  <c r="I303" i="25"/>
  <c r="J303" i="25"/>
  <c r="I45" i="25"/>
  <c r="J45" i="25"/>
  <c r="J277" i="25"/>
  <c r="I277" i="25"/>
  <c r="AA333" i="25"/>
  <c r="Z333" i="25" s="1"/>
  <c r="Y333" i="25" s="1"/>
  <c r="G333" i="25"/>
  <c r="CF333" i="6" s="1"/>
  <c r="J290" i="25"/>
  <c r="I290" i="25"/>
  <c r="G180" i="25"/>
  <c r="CF180" i="6" s="1"/>
  <c r="AA180" i="25"/>
  <c r="Z180" i="25" s="1"/>
  <c r="Y180" i="25" s="1"/>
  <c r="J64" i="25"/>
  <c r="I64" i="25"/>
  <c r="I267" i="25"/>
  <c r="J267" i="25"/>
  <c r="J355" i="25"/>
  <c r="I355" i="25"/>
  <c r="AA302" i="25"/>
  <c r="Z302" i="25" s="1"/>
  <c r="Y302" i="25" s="1"/>
  <c r="G302" i="25"/>
  <c r="CF302" i="6" s="1"/>
  <c r="I147" i="25"/>
  <c r="J147" i="25"/>
  <c r="J238" i="25"/>
  <c r="I238" i="25"/>
  <c r="I155" i="25"/>
  <c r="J155" i="25"/>
  <c r="I136" i="25"/>
  <c r="J136" i="25"/>
  <c r="J162" i="25"/>
  <c r="I162" i="25"/>
  <c r="G272" i="25"/>
  <c r="CF272" i="6" s="1"/>
  <c r="AA272" i="25"/>
  <c r="Z272" i="25" s="1"/>
  <c r="Y272" i="25" s="1"/>
  <c r="I200" i="25"/>
  <c r="J177" i="25"/>
  <c r="I177" i="25"/>
  <c r="J341" i="25"/>
  <c r="I341" i="25"/>
  <c r="W356" i="25"/>
  <c r="D356" i="25"/>
  <c r="E356" i="25" s="1"/>
  <c r="F356" i="25" s="1"/>
  <c r="D140" i="25"/>
  <c r="W140" i="25"/>
  <c r="G157" i="25"/>
  <c r="CF157" i="6" s="1"/>
  <c r="H157" i="25"/>
  <c r="G28" i="25"/>
  <c r="CF28" i="6" s="1"/>
  <c r="AA28" i="25"/>
  <c r="Z28" i="25" s="1"/>
  <c r="Y28" i="25" s="1"/>
  <c r="J184" i="25"/>
  <c r="I184" i="25"/>
  <c r="J178" i="25"/>
  <c r="I178" i="25"/>
  <c r="H206" i="25"/>
  <c r="J299" i="25"/>
  <c r="I299" i="25"/>
  <c r="I259" i="25"/>
  <c r="J30" i="25"/>
  <c r="I30" i="25"/>
  <c r="J88" i="24"/>
  <c r="I88" i="24"/>
  <c r="H88" i="25" s="1"/>
  <c r="I226" i="25"/>
  <c r="I370" i="25"/>
  <c r="J370" i="25"/>
  <c r="I269" i="25"/>
  <c r="J269" i="25"/>
  <c r="I338" i="25"/>
  <c r="J338" i="25"/>
  <c r="H210" i="25"/>
  <c r="G210" i="25"/>
  <c r="CF210" i="6" s="1"/>
  <c r="AA210" i="25"/>
  <c r="Z210" i="25" s="1"/>
  <c r="Y210" i="25" s="1"/>
  <c r="G60" i="25"/>
  <c r="CF60" i="6" s="1"/>
  <c r="AA60" i="25"/>
  <c r="Z60" i="25" s="1"/>
  <c r="Y60" i="25" s="1"/>
  <c r="I170" i="25"/>
  <c r="J170" i="25"/>
  <c r="AA363" i="25"/>
  <c r="Z363" i="25" s="1"/>
  <c r="Y363" i="25" s="1"/>
  <c r="G363" i="25"/>
  <c r="CF363" i="6" s="1"/>
  <c r="I281" i="25"/>
  <c r="J281" i="25"/>
  <c r="J57" i="25"/>
  <c r="I57" i="25"/>
  <c r="I271" i="25"/>
  <c r="J271" i="25"/>
  <c r="J22" i="25"/>
  <c r="I22" i="25"/>
  <c r="I151" i="25"/>
  <c r="J151" i="25"/>
  <c r="I158" i="25"/>
  <c r="J158" i="25"/>
  <c r="I377" i="25"/>
  <c r="I173" i="25"/>
  <c r="J173" i="25"/>
  <c r="G166" i="25"/>
  <c r="CF166" i="6" s="1"/>
  <c r="H166" i="25"/>
  <c r="AA166" i="25"/>
  <c r="Z166" i="25" s="1"/>
  <c r="Y166" i="25" s="1"/>
  <c r="I352" i="25"/>
  <c r="J352" i="25"/>
  <c r="I246" i="25"/>
  <c r="J246" i="25"/>
  <c r="I372" i="25"/>
  <c r="J76" i="25"/>
  <c r="I76" i="25"/>
  <c r="J284" i="25"/>
  <c r="I284" i="25"/>
  <c r="I68" i="25"/>
  <c r="J68" i="25"/>
  <c r="J213" i="25"/>
  <c r="I213" i="25"/>
  <c r="I315" i="25"/>
  <c r="J368" i="25"/>
  <c r="I368" i="25"/>
  <c r="I358" i="25"/>
  <c r="I203" i="25"/>
  <c r="J203" i="25"/>
  <c r="I240" i="25"/>
  <c r="J240" i="25"/>
  <c r="AA95" i="25"/>
  <c r="Z95" i="25" s="1"/>
  <c r="Y95" i="25" s="1"/>
  <c r="G95" i="25"/>
  <c r="CF95" i="6" s="1"/>
  <c r="L59" i="19"/>
  <c r="L58" i="19"/>
  <c r="L57" i="19"/>
  <c r="G361" i="25"/>
  <c r="CF361" i="6" s="1"/>
  <c r="H361" i="25"/>
  <c r="AA30" i="25"/>
  <c r="Z30" i="25" s="1"/>
  <c r="Y30" i="25" s="1"/>
  <c r="G30" i="25"/>
  <c r="CF30" i="6" s="1"/>
  <c r="D59" i="19"/>
  <c r="D58" i="19"/>
  <c r="D57" i="19"/>
  <c r="J119" i="24"/>
  <c r="I119" i="24"/>
  <c r="H119" i="25" s="1"/>
  <c r="I118" i="25"/>
  <c r="J118" i="25"/>
  <c r="I248" i="25"/>
  <c r="J97" i="25"/>
  <c r="I97" i="25"/>
  <c r="I276" i="25"/>
  <c r="I318" i="25"/>
  <c r="J318" i="25"/>
  <c r="B379" i="25"/>
  <c r="V380" i="25"/>
  <c r="I230" i="25"/>
  <c r="J230" i="25"/>
  <c r="B15" i="25"/>
  <c r="B70" i="19"/>
  <c r="J260" i="25"/>
  <c r="I260" i="25"/>
  <c r="I52" i="25"/>
  <c r="J52" i="25"/>
  <c r="J369" i="25"/>
  <c r="I369" i="25"/>
  <c r="I148" i="25"/>
  <c r="J148" i="25"/>
  <c r="I343" i="25"/>
  <c r="J343" i="25"/>
  <c r="J55" i="25"/>
  <c r="I55" i="25"/>
  <c r="J311" i="25"/>
  <c r="I311" i="25"/>
  <c r="I85" i="25"/>
  <c r="J85" i="25"/>
  <c r="J187" i="25"/>
  <c r="I187" i="25"/>
  <c r="I89" i="25"/>
  <c r="J89" i="25"/>
  <c r="J71" i="25"/>
  <c r="I71" i="25"/>
  <c r="J156" i="25"/>
  <c r="I156" i="25"/>
  <c r="I41" i="25"/>
  <c r="J41" i="25"/>
  <c r="J283" i="25"/>
  <c r="I283" i="25"/>
  <c r="J19" i="25"/>
  <c r="I19" i="25"/>
  <c r="I320" i="25"/>
  <c r="J320" i="25"/>
  <c r="I175" i="25"/>
  <c r="J175" i="25"/>
  <c r="I234" i="25"/>
  <c r="J234" i="25"/>
  <c r="J253" i="25"/>
  <c r="I253" i="25"/>
  <c r="H59" i="19"/>
  <c r="H58" i="19"/>
  <c r="H57" i="19"/>
  <c r="J33" i="25"/>
  <c r="I33" i="25"/>
  <c r="J92" i="25"/>
  <c r="I92" i="25"/>
  <c r="J163" i="25"/>
  <c r="I163" i="25"/>
  <c r="I335" i="25"/>
  <c r="J335" i="25"/>
  <c r="J25" i="25"/>
  <c r="I25" i="25"/>
  <c r="I182" i="25"/>
  <c r="J182" i="25"/>
  <c r="J18" i="25"/>
  <c r="I18" i="25"/>
  <c r="I351" i="25"/>
  <c r="J351" i="25"/>
  <c r="I125" i="25"/>
  <c r="J125" i="25"/>
  <c r="J154" i="25"/>
  <c r="I286" i="25"/>
  <c r="J286" i="25"/>
  <c r="J123" i="25"/>
  <c r="I123" i="25"/>
  <c r="J301" i="25"/>
  <c r="I301" i="25"/>
  <c r="AA188" i="25"/>
  <c r="Z188" i="25" s="1"/>
  <c r="Y188" i="25" s="1"/>
  <c r="AA196" i="25"/>
  <c r="Z196" i="25" s="1"/>
  <c r="Y196" i="25" s="1"/>
  <c r="AA361" i="25"/>
  <c r="Z361" i="25" s="1"/>
  <c r="Y361" i="25" s="1"/>
  <c r="G345" i="25"/>
  <c r="CF345" i="6" s="1"/>
  <c r="H345" i="25"/>
  <c r="E57" i="19"/>
  <c r="E59" i="19"/>
  <c r="E58" i="19"/>
  <c r="I90" i="25"/>
  <c r="J90" i="25"/>
  <c r="I241" i="24"/>
  <c r="J241" i="24"/>
  <c r="J113" i="25"/>
  <c r="I113" i="25"/>
  <c r="J195" i="25"/>
  <c r="I195" i="25"/>
  <c r="J333" i="24"/>
  <c r="I333" i="24"/>
  <c r="H333" i="25" s="1"/>
  <c r="I244" i="25"/>
  <c r="H171" i="25"/>
  <c r="I272" i="24"/>
  <c r="H272" i="25" s="1"/>
  <c r="J272" i="24"/>
  <c r="I40" i="25"/>
  <c r="J40" i="25"/>
  <c r="J111" i="25"/>
  <c r="I111" i="25"/>
  <c r="I127" i="25"/>
  <c r="J127" i="25"/>
  <c r="I336" i="25"/>
  <c r="J336" i="25"/>
  <c r="I374" i="25"/>
  <c r="J374" i="25"/>
  <c r="I161" i="25"/>
  <c r="J161" i="25"/>
  <c r="J326" i="25"/>
  <c r="I191" i="25"/>
  <c r="W241" i="25"/>
  <c r="D241" i="25"/>
  <c r="E241" i="25" s="1"/>
  <c r="F241" i="25" s="1"/>
  <c r="J53" i="25"/>
  <c r="I53" i="25"/>
  <c r="I327" i="25"/>
  <c r="J72" i="25"/>
  <c r="I72" i="25"/>
  <c r="J316" i="25"/>
  <c r="I316" i="25"/>
  <c r="J59" i="19"/>
  <c r="J57" i="19"/>
  <c r="J58" i="19"/>
  <c r="I110" i="25"/>
  <c r="J146" i="25"/>
  <c r="J216" i="25"/>
  <c r="I197" i="25"/>
  <c r="J197" i="25"/>
  <c r="J350" i="25"/>
  <c r="I350" i="25"/>
  <c r="I280" i="25"/>
  <c r="J280" i="25"/>
  <c r="J212" i="25"/>
  <c r="I212" i="25"/>
  <c r="I94" i="25"/>
  <c r="J94" i="25"/>
  <c r="J237" i="25"/>
  <c r="I237" i="25"/>
  <c r="I324" i="25"/>
  <c r="J324" i="25"/>
  <c r="J298" i="25"/>
  <c r="J294" i="25"/>
  <c r="I294" i="25"/>
  <c r="J36" i="25"/>
  <c r="I36" i="25"/>
  <c r="I309" i="25"/>
  <c r="J309" i="25"/>
  <c r="I348" i="25"/>
  <c r="J348" i="25"/>
  <c r="J124" i="25"/>
  <c r="I124" i="25"/>
  <c r="I31" i="25"/>
  <c r="J31" i="25"/>
  <c r="J32" i="25"/>
  <c r="I70" i="25"/>
  <c r="J70" i="25"/>
  <c r="J328" i="25"/>
  <c r="I328" i="25"/>
  <c r="I261" i="25"/>
  <c r="J261" i="25"/>
  <c r="J307" i="25"/>
  <c r="I307" i="25"/>
  <c r="I144" i="25"/>
  <c r="J144" i="25"/>
  <c r="J214" i="25"/>
  <c r="J239" i="25"/>
  <c r="I239" i="25"/>
  <c r="I331" i="25"/>
  <c r="J331" i="25"/>
  <c r="I209" i="25"/>
  <c r="J209" i="25"/>
  <c r="J198" i="25"/>
  <c r="I242" i="25"/>
  <c r="J242" i="25"/>
  <c r="J130" i="25"/>
  <c r="I130" i="25"/>
  <c r="J270" i="25"/>
  <c r="I270" i="25"/>
  <c r="I132" i="25"/>
  <c r="J132" i="25"/>
  <c r="I249" i="25"/>
  <c r="J249" i="25"/>
  <c r="J313" i="25"/>
  <c r="I313" i="25"/>
  <c r="K58" i="19"/>
  <c r="K57" i="19"/>
  <c r="K59" i="19"/>
  <c r="H95" i="25"/>
  <c r="AK7" i="25"/>
  <c r="AL13" i="22"/>
  <c r="AJ4" i="22"/>
  <c r="P17" i="19" s="1"/>
  <c r="AK4" i="22"/>
  <c r="R17" i="19" s="1"/>
  <c r="AM13" i="22"/>
  <c r="J17" i="19"/>
  <c r="Z11" i="22"/>
  <c r="Z5" i="22" s="1"/>
  <c r="AA11" i="22"/>
  <c r="AA5" i="22" s="1"/>
  <c r="I17" i="19" s="1"/>
  <c r="I381" i="23"/>
  <c r="I383" i="23"/>
  <c r="I382" i="23"/>
  <c r="Y381" i="23"/>
  <c r="Y383" i="23"/>
  <c r="AL6" i="23"/>
  <c r="AL12" i="23" s="1"/>
  <c r="X9" i="23"/>
  <c r="Y11" i="23" s="1"/>
  <c r="Y382" i="23"/>
  <c r="AM6" i="23"/>
  <c r="AM12" i="23" s="1"/>
  <c r="J382" i="23"/>
  <c r="J383" i="23"/>
  <c r="J381" i="23"/>
  <c r="I43" i="25" l="1"/>
  <c r="N18" i="19"/>
  <c r="H149" i="25"/>
  <c r="I149" i="25" s="1"/>
  <c r="J26" i="25"/>
  <c r="F59" i="19"/>
  <c r="I24" i="25"/>
  <c r="I308" i="25"/>
  <c r="J285" i="25"/>
  <c r="J349" i="25"/>
  <c r="I211" i="25"/>
  <c r="I268" i="25"/>
  <c r="I35" i="25"/>
  <c r="J287" i="25"/>
  <c r="H17" i="19"/>
  <c r="I120" i="25"/>
  <c r="J266" i="25"/>
  <c r="I100" i="25"/>
  <c r="J20" i="25"/>
  <c r="I319" i="25"/>
  <c r="M18" i="19"/>
  <c r="J367" i="25"/>
  <c r="I160" i="25"/>
  <c r="I265" i="25"/>
  <c r="J265" i="25"/>
  <c r="I273" i="25"/>
  <c r="I73" i="25"/>
  <c r="J176" i="25"/>
  <c r="I221" i="25"/>
  <c r="I322" i="25"/>
  <c r="I41" i="19"/>
  <c r="E43" i="19"/>
  <c r="H41" i="19"/>
  <c r="I264" i="25"/>
  <c r="J119" i="25"/>
  <c r="I119" i="25"/>
  <c r="I333" i="25"/>
  <c r="J333" i="25"/>
  <c r="I95" i="25"/>
  <c r="J95" i="25"/>
  <c r="J272" i="25"/>
  <c r="I272" i="25"/>
  <c r="AJ5" i="25"/>
  <c r="H9" i="25"/>
  <c r="B20" i="19" s="1"/>
  <c r="D15" i="25"/>
  <c r="B382" i="25"/>
  <c r="W15" i="25"/>
  <c r="B381" i="25"/>
  <c r="B383" i="25"/>
  <c r="AK6" i="25"/>
  <c r="D379" i="25"/>
  <c r="E379" i="25" s="1"/>
  <c r="F379" i="25" s="1"/>
  <c r="W379" i="25"/>
  <c r="J361" i="25"/>
  <c r="I361" i="25"/>
  <c r="J166" i="25"/>
  <c r="I166" i="25"/>
  <c r="I363" i="25"/>
  <c r="J363" i="25"/>
  <c r="J210" i="25"/>
  <c r="I210" i="25"/>
  <c r="J157" i="25"/>
  <c r="I157" i="25"/>
  <c r="AJ6" i="25"/>
  <c r="E140" i="25"/>
  <c r="AJ8" i="25"/>
  <c r="I302" i="25"/>
  <c r="J302" i="25"/>
  <c r="AA288" i="25"/>
  <c r="Z288" i="25" s="1"/>
  <c r="Y288" i="25" s="1"/>
  <c r="G288" i="25"/>
  <c r="CF288" i="6" s="1"/>
  <c r="H288" i="25"/>
  <c r="J196" i="25"/>
  <c r="I196" i="25"/>
  <c r="J181" i="25"/>
  <c r="I181" i="25"/>
  <c r="J220" i="25"/>
  <c r="I220" i="25"/>
  <c r="I258" i="25"/>
  <c r="J258" i="25"/>
  <c r="J188" i="25"/>
  <c r="I188" i="25"/>
  <c r="J46" i="25"/>
  <c r="I46" i="25"/>
  <c r="G241" i="25"/>
  <c r="CF241" i="6" s="1"/>
  <c r="H241" i="25"/>
  <c r="AA241" i="25"/>
  <c r="Z241" i="25" s="1"/>
  <c r="Y241" i="25" s="1"/>
  <c r="J171" i="25"/>
  <c r="I171" i="25"/>
  <c r="I345" i="25"/>
  <c r="J345" i="25"/>
  <c r="N70" i="19"/>
  <c r="B57" i="19"/>
  <c r="B59" i="19"/>
  <c r="B58" i="19"/>
  <c r="V381" i="25"/>
  <c r="V382" i="25"/>
  <c r="V383" i="25"/>
  <c r="I60" i="25"/>
  <c r="J60" i="25"/>
  <c r="I88" i="25"/>
  <c r="J88" i="25"/>
  <c r="I206" i="25"/>
  <c r="J206" i="25"/>
  <c r="G356" i="25"/>
  <c r="CF356" i="6" s="1"/>
  <c r="AA356" i="25"/>
  <c r="Z356" i="25" s="1"/>
  <c r="Y356" i="25" s="1"/>
  <c r="H356" i="25"/>
  <c r="I180" i="25"/>
  <c r="J180" i="25"/>
  <c r="I204" i="25"/>
  <c r="J204" i="25"/>
  <c r="J121" i="25"/>
  <c r="I121" i="25"/>
  <c r="G106" i="25"/>
  <c r="CF106" i="6" s="1"/>
  <c r="H106" i="25"/>
  <c r="AA106" i="25"/>
  <c r="Z106" i="25" s="1"/>
  <c r="Y106" i="25" s="1"/>
  <c r="J29" i="25"/>
  <c r="I29" i="25"/>
  <c r="AJ9" i="24"/>
  <c r="AJ11" i="24" s="1"/>
  <c r="E9" i="24"/>
  <c r="E11" i="24" s="1"/>
  <c r="E381" i="24"/>
  <c r="F15" i="24"/>
  <c r="AK8" i="24"/>
  <c r="E383" i="24"/>
  <c r="E382" i="24"/>
  <c r="AJ10" i="24"/>
  <c r="AJ12" i="24" s="1"/>
  <c r="G78" i="25"/>
  <c r="CF78" i="6" s="1"/>
  <c r="AA78" i="25"/>
  <c r="Z78" i="25" s="1"/>
  <c r="Y78" i="25" s="1"/>
  <c r="H78" i="25"/>
  <c r="G329" i="25"/>
  <c r="CF329" i="6" s="1"/>
  <c r="H329" i="25"/>
  <c r="AA329" i="25"/>
  <c r="Z329" i="25" s="1"/>
  <c r="Y329" i="25" s="1"/>
  <c r="J114" i="25"/>
  <c r="I114" i="25"/>
  <c r="I83" i="25"/>
  <c r="J83" i="25"/>
  <c r="AK9" i="25"/>
  <c r="AK11" i="25" s="1"/>
  <c r="AM9" i="25"/>
  <c r="AJ4" i="23"/>
  <c r="P18" i="19" s="1"/>
  <c r="AL13" i="23"/>
  <c r="AM13" i="23"/>
  <c r="AK4" i="23"/>
  <c r="R18" i="19" s="1"/>
  <c r="N19" i="19" s="1"/>
  <c r="J18" i="19"/>
  <c r="AA11" i="23"/>
  <c r="AA5" i="23" s="1"/>
  <c r="I18" i="19" s="1"/>
  <c r="Z11" i="23"/>
  <c r="Z5" i="23" s="1"/>
  <c r="J149" i="25" l="1"/>
  <c r="H18" i="19"/>
  <c r="I42" i="19"/>
  <c r="AJ13" i="24"/>
  <c r="F382" i="24"/>
  <c r="AA15" i="24"/>
  <c r="F381" i="24"/>
  <c r="G15" i="24"/>
  <c r="AK10" i="24"/>
  <c r="AK12" i="24" s="1"/>
  <c r="AK13" i="24" s="1"/>
  <c r="F383" i="24"/>
  <c r="H15" i="24"/>
  <c r="F9" i="24"/>
  <c r="AM10" i="24"/>
  <c r="F43" i="19"/>
  <c r="C19" i="19"/>
  <c r="N57" i="19"/>
  <c r="N59" i="19"/>
  <c r="N58" i="19"/>
  <c r="I241" i="25"/>
  <c r="J241" i="25"/>
  <c r="J288" i="25"/>
  <c r="I288" i="25"/>
  <c r="F140" i="25"/>
  <c r="B9" i="19"/>
  <c r="J329" i="25"/>
  <c r="I329" i="25"/>
  <c r="J78" i="25"/>
  <c r="I78" i="25"/>
  <c r="J106" i="25"/>
  <c r="I106" i="25"/>
  <c r="I356" i="25"/>
  <c r="J356" i="25"/>
  <c r="G379" i="25"/>
  <c r="CF379" i="6" s="1"/>
  <c r="H379" i="25"/>
  <c r="AA379" i="25"/>
  <c r="Z379" i="25" s="1"/>
  <c r="Y379" i="25" s="1"/>
  <c r="AJ7" i="25"/>
  <c r="E15" i="25"/>
  <c r="AJ10" i="25" s="1"/>
  <c r="AJ12" i="25" s="1"/>
  <c r="D383" i="25"/>
  <c r="D9" i="25"/>
  <c r="D11" i="25" s="1"/>
  <c r="D381" i="25"/>
  <c r="D382" i="25"/>
  <c r="AM7" i="25"/>
  <c r="H42" i="19" l="1"/>
  <c r="E44" i="19"/>
  <c r="I379" i="25"/>
  <c r="J379" i="25"/>
  <c r="F11" i="24"/>
  <c r="G19" i="19"/>
  <c r="J43" i="19" s="1"/>
  <c r="AB9" i="24"/>
  <c r="CE15" i="6"/>
  <c r="G381" i="24"/>
  <c r="G383" i="24"/>
  <c r="G12" i="24" s="1"/>
  <c r="G382" i="24"/>
  <c r="AL9" i="24"/>
  <c r="AL10" i="24"/>
  <c r="Z15" i="24"/>
  <c r="AA381" i="24"/>
  <c r="AA382" i="24"/>
  <c r="AA9" i="24"/>
  <c r="AA383" i="24"/>
  <c r="AM8" i="24"/>
  <c r="AJ9" i="25"/>
  <c r="AJ11" i="25" s="1"/>
  <c r="AJ13" i="25" s="1"/>
  <c r="E382" i="25"/>
  <c r="E381" i="25"/>
  <c r="AK8" i="25"/>
  <c r="F15" i="25"/>
  <c r="E9" i="25"/>
  <c r="E11" i="25" s="1"/>
  <c r="E383" i="25"/>
  <c r="G140" i="25"/>
  <c r="CF140" i="6" s="1"/>
  <c r="H140" i="25"/>
  <c r="AA140" i="25"/>
  <c r="I15" i="24"/>
  <c r="J15" i="24"/>
  <c r="E33" i="19" l="1"/>
  <c r="Z140" i="25"/>
  <c r="F44" i="19"/>
  <c r="C20" i="19"/>
  <c r="J382" i="24"/>
  <c r="J381" i="24"/>
  <c r="J383" i="24"/>
  <c r="J140" i="25"/>
  <c r="I140" i="25"/>
  <c r="F382" i="25"/>
  <c r="G15" i="25"/>
  <c r="H15" i="25"/>
  <c r="AM10" i="25"/>
  <c r="F381" i="25"/>
  <c r="F383" i="25"/>
  <c r="AA15" i="25"/>
  <c r="AL10" i="25" s="1"/>
  <c r="F9" i="25"/>
  <c r="AK10" i="25"/>
  <c r="AK12" i="25" s="1"/>
  <c r="AK13" i="25" s="1"/>
  <c r="AL7" i="24"/>
  <c r="Z381" i="24"/>
  <c r="Y15" i="24"/>
  <c r="Z383" i="24"/>
  <c r="AL8" i="24"/>
  <c r="Z9" i="24"/>
  <c r="Z382" i="24"/>
  <c r="I7" i="6"/>
  <c r="BA7" i="7"/>
  <c r="I382" i="24"/>
  <c r="I381" i="24"/>
  <c r="I383" i="24"/>
  <c r="D19" i="19"/>
  <c r="G43" i="19"/>
  <c r="AM5" i="25"/>
  <c r="AM11" i="25" s="1"/>
  <c r="AK3" i="25" s="1"/>
  <c r="Q20" i="19" s="1"/>
  <c r="E19" i="19" l="1"/>
  <c r="F19" i="19" s="1"/>
  <c r="F33" i="19"/>
  <c r="AL9" i="25"/>
  <c r="AA9" i="25"/>
  <c r="AA382" i="25"/>
  <c r="AA383" i="25"/>
  <c r="AA381" i="25"/>
  <c r="Z15" i="25"/>
  <c r="AM8" i="25"/>
  <c r="I15" i="25"/>
  <c r="J15" i="25"/>
  <c r="C9" i="19"/>
  <c r="AL5" i="24"/>
  <c r="AL11" i="24" s="1"/>
  <c r="Y383" i="24"/>
  <c r="X9" i="24"/>
  <c r="AL6" i="24"/>
  <c r="AL12" i="24" s="1"/>
  <c r="AJ4" i="24" s="1"/>
  <c r="P19" i="19" s="1"/>
  <c r="Y381" i="24"/>
  <c r="Y382" i="24"/>
  <c r="AM6" i="24"/>
  <c r="AM12" i="24" s="1"/>
  <c r="F11" i="25"/>
  <c r="G20" i="19"/>
  <c r="AB9" i="25"/>
  <c r="CF15" i="6"/>
  <c r="J2" i="6" s="1"/>
  <c r="G383" i="25"/>
  <c r="G12" i="25" s="1"/>
  <c r="G381" i="25"/>
  <c r="G382" i="25"/>
  <c r="Y140" i="25"/>
  <c r="AL8" i="25"/>
  <c r="BG7" i="7" l="1"/>
  <c r="J7" i="6"/>
  <c r="D20" i="19"/>
  <c r="G44" i="19"/>
  <c r="I382" i="25"/>
  <c r="I381" i="25"/>
  <c r="I383" i="25"/>
  <c r="AL7" i="25"/>
  <c r="Z9" i="25"/>
  <c r="Z383" i="25"/>
  <c r="Y15" i="25"/>
  <c r="AL6" i="25" s="1"/>
  <c r="AL12" i="25" s="1"/>
  <c r="AJ4" i="25" s="1"/>
  <c r="P20" i="19" s="1"/>
  <c r="Z382" i="25"/>
  <c r="Z381" i="25"/>
  <c r="J44" i="19"/>
  <c r="J33" i="19" s="1"/>
  <c r="G9" i="19"/>
  <c r="AM13" i="24"/>
  <c r="AK4" i="24"/>
  <c r="R19" i="19" s="1"/>
  <c r="N20" i="19" s="1"/>
  <c r="Y11" i="24"/>
  <c r="J19" i="19"/>
  <c r="Z11" i="24"/>
  <c r="Z5" i="24" s="1"/>
  <c r="AA11" i="24"/>
  <c r="AA5" i="24" s="1"/>
  <c r="I19" i="19" s="1"/>
  <c r="AJ3" i="24"/>
  <c r="O19" i="19" s="1"/>
  <c r="M19" i="19" s="1"/>
  <c r="AL13" i="24"/>
  <c r="J382" i="25"/>
  <c r="J381" i="25"/>
  <c r="J383" i="25"/>
  <c r="H19" i="19" l="1"/>
  <c r="I43" i="19"/>
  <c r="H43" i="19"/>
  <c r="G33" i="19"/>
  <c r="AL5" i="25"/>
  <c r="AL11" i="25" s="1"/>
  <c r="Y382" i="25"/>
  <c r="X9" i="25"/>
  <c r="Y381" i="25"/>
  <c r="Y383" i="25"/>
  <c r="AM6" i="25"/>
  <c r="AM12" i="25" s="1"/>
  <c r="Z11" i="25"/>
  <c r="Z5" i="25" s="1"/>
  <c r="D9" i="19"/>
  <c r="E20" i="19"/>
  <c r="H20" i="19" l="1"/>
  <c r="H9" i="19" s="1"/>
  <c r="F20" i="19"/>
  <c r="E9" i="19"/>
  <c r="AM13" i="25"/>
  <c r="AK4" i="25"/>
  <c r="R20" i="19" s="1"/>
  <c r="Y11" i="25"/>
  <c r="AA11" i="25"/>
  <c r="AA5" i="25" s="1"/>
  <c r="I20" i="19" s="1"/>
  <c r="J20" i="19"/>
  <c r="AJ3" i="25"/>
  <c r="O20" i="19" s="1"/>
  <c r="M20" i="19" s="1"/>
  <c r="AL13" i="25"/>
  <c r="O35" i="19" l="1"/>
  <c r="N35" i="19" s="1"/>
  <c r="O34" i="19"/>
  <c r="O36" i="19"/>
  <c r="N36" i="19" s="1"/>
  <c r="O33" i="19"/>
  <c r="N33" i="19" s="1"/>
  <c r="H44" i="19"/>
  <c r="H33" i="19" s="1"/>
  <c r="I44" i="19"/>
  <c r="I33" i="19" s="1"/>
  <c r="I9" i="19"/>
  <c r="F9" i="19"/>
  <c r="J9" i="19"/>
  <c r="O32" i="19" l="1"/>
  <c r="N34" i="19"/>
  <c r="N32" i="19" s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27" authorId="0" shapeId="0">
      <text>
        <r>
          <rPr>
            <sz val="9"/>
            <color indexed="81"/>
            <rFont val="Tahoma"/>
            <family val="2"/>
          </rPr>
          <t>Champ PV installé</t>
        </r>
      </text>
    </comment>
    <comment ref="A268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6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88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 et 17 sept</t>
        </r>
      </text>
    </comment>
  </commentList>
</comments>
</file>

<file path=xl/sharedStrings.xml><?xml version="1.0" encoding="utf-8"?>
<sst xmlns="http://schemas.openxmlformats.org/spreadsheetml/2006/main" count="2190" uniqueCount="383">
  <si>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</si>
  <si>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</si>
  <si>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</si>
  <si>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</si>
  <si>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</si>
  <si>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</si>
  <si>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</si>
  <si>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</si>
  <si>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</si>
  <si>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</si>
  <si>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</si>
  <si>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</si>
  <si>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</si>
  <si>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</si>
  <si>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</si>
  <si>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</si>
  <si>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</si>
  <si>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</si>
  <si>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</si>
  <si>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</si>
  <si>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</si>
  <si>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</si>
  <si>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</si>
  <si>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</si>
  <si>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</si>
  <si>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</si>
  <si>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</si>
  <si>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</si>
  <si>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</si>
  <si>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</si>
  <si>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</si>
  <si>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</si>
  <si>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</si>
  <si>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</si>
  <si>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</si>
  <si>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</si>
  <si>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</si>
  <si>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</si>
  <si>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</si>
  <si>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</si>
  <si>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</si>
  <si>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</si>
  <si>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</si>
  <si>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</si>
  <si>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</si>
  <si>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</si>
  <si>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</si>
  <si>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</si>
  <si>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</si>
  <si>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</si>
  <si>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</si>
  <si>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</si>
  <si>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</si>
  <si>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</si>
  <si>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</si>
  <si>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</si>
  <si>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</si>
  <si>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</si>
  <si>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</si>
  <si>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</si>
  <si>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</si>
  <si>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</si>
  <si>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</si>
  <si>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</si>
  <si>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</si>
  <si>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</si>
  <si>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</si>
  <si>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</si>
  <si>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</si>
  <si>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</si>
  <si>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</si>
  <si>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</si>
  <si>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</si>
  <si>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</si>
  <si>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</si>
  <si>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</si>
  <si>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</si>
  <si>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</si>
  <si>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</si>
  <si>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</si>
  <si>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</si>
  <si>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</si>
  <si>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</si>
  <si>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</si>
  <si>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</si>
  <si>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</si>
  <si>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</si>
  <si>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</si>
  <si>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</si>
  <si>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</si>
  <si>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</si>
  <si>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</si>
  <si>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</si>
  <si>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</si>
  <si>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</si>
  <si>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</si>
  <si>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</si>
  <si>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</si>
  <si>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</si>
  <si>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</si>
  <si>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</si>
  <si>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</si>
  <si>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</si>
  <si>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</si>
  <si>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</si>
  <si>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</si>
  <si>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</si>
  <si>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</si>
  <si>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</si>
  <si>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</si>
  <si>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</si>
  <si>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</si>
  <si>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</si>
  <si>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</si>
  <si>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</si>
  <si>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</si>
  <si>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</si>
  <si>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</si>
  <si>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</si>
  <si>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</si>
  <si>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</si>
  <si>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</si>
  <si>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</si>
  <si>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</si>
  <si>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</si>
  <si>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</si>
  <si>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</si>
  <si>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</si>
  <si>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</si>
  <si>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</si>
  <si>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</si>
  <si>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</si>
  <si>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</si>
  <si>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</si>
  <si>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</si>
  <si>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</si>
  <si>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</si>
  <si>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</si>
  <si>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</si>
  <si>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</si>
  <si>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</si>
  <si>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</si>
  <si>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</si>
  <si>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</si>
  <si>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</si>
  <si>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</si>
  <si>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</si>
  <si>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</si>
  <si>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</si>
  <si>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</si>
  <si>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</si>
  <si>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</si>
  <si>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</si>
  <si>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</si>
  <si>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</si>
  <si>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</si>
  <si>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</si>
  <si>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</si>
  <si>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</si>
  <si>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</si>
  <si>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</si>
  <si>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</si>
  <si>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</si>
  <si>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</si>
  <si>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</si>
  <si>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</si>
  <si>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</si>
  <si>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</si>
  <si>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</si>
  <si>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</si>
  <si>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</si>
  <si>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</si>
  <si>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</si>
  <si>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</si>
  <si>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</si>
  <si>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</si>
  <si>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</si>
  <si>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</si>
  <si>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</si>
  <si>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</si>
  <si>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</si>
  <si>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</si>
  <si>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</si>
  <si>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</si>
  <si>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</si>
  <si>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</si>
  <si>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</si>
  <si>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</si>
  <si>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</si>
  <si>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</si>
  <si>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</si>
  <si>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</si>
  <si>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</si>
  <si>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</si>
  <si>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</si>
  <si>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</si>
  <si>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</si>
  <si>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</si>
  <si>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</si>
  <si>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</si>
  <si>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</si>
  <si>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</si>
  <si>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</si>
  <si>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</si>
  <si>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</si>
  <si>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</si>
  <si>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</si>
  <si>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</si>
  <si>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</si>
  <si>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</si>
  <si>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</si>
  <si>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</si>
  <si>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</si>
  <si>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</si>
  <si>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</si>
  <si>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</si>
  <si>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</si>
  <si>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</si>
  <si>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</si>
  <si>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</si>
  <si>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</si>
  <si>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</si>
  <si>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</si>
  <si>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</si>
  <si>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</si>
  <si>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</si>
  <si>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</si>
  <si>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</si>
  <si>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</si>
  <si>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</si>
  <si>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</si>
  <si>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</si>
  <si>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</si>
  <si>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</si>
  <si>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</si>
  <si>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</si>
  <si>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</si>
  <si>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</si>
  <si>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</si>
  <si>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</si>
  <si>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</si>
  <si>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</si>
  <si>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</si>
  <si>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</si>
  <si>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</si>
  <si>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</si>
  <si>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</si>
  <si>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</si>
  <si>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</si>
  <si>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</si>
  <si>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</si>
  <si>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</si>
  <si>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</si>
  <si>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</si>
  <si>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</si>
  <si>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</si>
  <si>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</si>
  <si>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</si>
  <si>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</si>
  <si>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</si>
  <si>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</si>
  <si>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</si>
  <si>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</si>
  <si>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</si>
  <si>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</si>
  <si>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</si>
  <si>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</si>
  <si>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</si>
  <si>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</si>
  <si>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</si>
  <si>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</si>
  <si>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</si>
  <si>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</si>
  <si>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</si>
  <si>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</si>
  <si>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</si>
  <si>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</si>
  <si>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</si>
  <si>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</si>
  <si>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</si>
  <si>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</si>
  <si>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</si>
  <si>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</si>
  <si>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</si>
  <si>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</si>
  <si>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</si>
  <si>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</si>
  <si>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</si>
  <si>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</si>
  <si>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</si>
  <si>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</si>
  <si>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</si>
  <si>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</si>
  <si>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</si>
  <si>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</si>
  <si>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</si>
  <si>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</si>
  <si>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</si>
  <si>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</si>
  <si>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</si>
  <si>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</si>
  <si>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</si>
  <si>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</si>
  <si>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</si>
  <si>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</si>
  <si>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</si>
  <si>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</si>
  <si>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</si>
  <si>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</si>
  <si>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</si>
  <si>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</si>
  <si>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</si>
  <si>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</si>
  <si>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</si>
  <si>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</si>
  <si>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</si>
  <si>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</si>
  <si>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</si>
  <si>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</si>
  <si>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</si>
  <si>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</si>
  <si>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</si>
  <si>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</si>
  <si>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</si>
  <si>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</si>
  <si>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</si>
  <si>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</si>
  <si>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</si>
  <si>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</si>
  <si>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</si>
  <si>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</si>
  <si>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</si>
  <si>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</si>
  <si>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</si>
  <si>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Crêche d'Escalquens</t>
  </si>
  <si>
    <t>2022-01-21 Escalqu crech loin.jpg</t>
  </si>
  <si>
    <t>2022-01-21 Escalqu crech Nord.jpg</t>
  </si>
  <si>
    <t>2022-01-21 Escalqu crech face PV.jpg</t>
  </si>
  <si>
    <t>Arbre 7</t>
  </si>
  <si>
    <t>Arbre 8</t>
  </si>
  <si>
    <t>Arbre 9</t>
  </si>
  <si>
    <t>Arbre 10</t>
  </si>
  <si>
    <t>Arbre 11</t>
  </si>
  <si>
    <t>Arbre 12</t>
  </si>
  <si>
    <t>Rive 1</t>
  </si>
  <si>
    <t>Faîtage 1</t>
  </si>
  <si>
    <t>Rive 2</t>
  </si>
  <si>
    <t>Faîtage 2</t>
  </si>
  <si>
    <t>Grillage angle Est Terrain foot</t>
  </si>
  <si>
    <t>Petite arbre Sud près Arbre 1</t>
  </si>
  <si>
    <t>Panneau priorité angle Sud</t>
  </si>
  <si>
    <t>Poteaux But Nord ouest</t>
  </si>
  <si>
    <t>Porte fenêtre sous PV Ouest</t>
  </si>
  <si>
    <t>Cloture parking angle Ouest</t>
  </si>
  <si>
    <t>Hauteur 0 = Porte fenêtre sous PV Ouest</t>
  </si>
  <si>
    <t>PV</t>
  </si>
  <si>
    <t>rive</t>
  </si>
  <si>
    <t>Toiture G</t>
  </si>
  <si>
    <t>Arbre 0</t>
  </si>
  <si>
    <t>décaler  Hobs2</t>
  </si>
  <si>
    <t>Décaler Hobs1</t>
  </si>
  <si>
    <t>Comparaison H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</si>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</sst>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6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179" fontId="95" fillId="0" borderId="39" xfId="0" applyNumberFormat="1" applyFont="1" applyFill="1" applyBorder="1" applyAlignment="1" applyProtection="1">
      <alignment horizontal="center"/>
      <protection locked="0"/>
    </xf>
    <xf numFmtId="179" fontId="109" fillId="0" borderId="39" xfId="0" applyNumberFormat="1" applyFont="1" applyBorder="1" applyAlignment="1" applyProtection="1">
      <alignment horizontal="center"/>
      <protection locked="0"/>
    </xf>
    <xf numFmtId="186" fontId="42" fillId="0" borderId="3" xfId="0" applyNumberFormat="1" applyFont="1" applyBorder="1" applyAlignment="1" applyProtection="1">
      <alignment horizontal="center"/>
    </xf>
    <xf numFmtId="0" fontId="103" fillId="0" borderId="0" xfId="0" applyFont="1" applyProtection="1">
      <protection locked="0"/>
    </xf>
    <xf numFmtId="0" fontId="103" fillId="0" borderId="0" xfId="0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0" fontId="34" fillId="0" borderId="0" xfId="0" applyFont="1" applyProtection="1">
      <protection locked="0"/>
    </xf>
    <xf numFmtId="2" fontId="34" fillId="0" borderId="0" xfId="0" applyNumberFormat="1" applyFont="1" applyProtection="1"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2" fontId="100" fillId="0" borderId="0" xfId="0" applyNumberFormat="1" applyFont="1" applyFill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34" borderId="22" xfId="0" applyNumberFormat="1" applyFont="1" applyFill="1" applyBorder="1" applyProtection="1"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0" fontId="78" fillId="37" borderId="19" xfId="0" applyNumberFormat="1" applyFont="1" applyFill="1" applyBorder="1" applyAlignment="1" applyProtection="1">
      <alignment horizontal="center" vertical="center"/>
      <protection locked="0"/>
    </xf>
    <xf numFmtId="0" fontId="85" fillId="0" borderId="0" xfId="0" applyFont="1" applyAlignment="1" applyProtection="1">
      <alignment horizontal="left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7.1104965466496193</c:v>
                </c:pt>
                <c:pt idx="6">
                  <c:v>6.8651999360571985</c:v>
                </c:pt>
                <c:pt idx="7">
                  <c:v>6.2162578404800763</c:v>
                </c:pt>
                <c:pt idx="8">
                  <c:v>5.1100447550734218</c:v>
                </c:pt>
                <c:pt idx="9">
                  <c:v>3.7418450541536044</c:v>
                </c:pt>
                <c:pt idx="10">
                  <c:v>2.6092816579795821</c:v>
                </c:pt>
                <c:pt idx="11">
                  <c:v>2.0965858777373501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2.4286421738471287</c:v>
                </c:pt>
                <c:pt idx="1">
                  <c:v>3.4021958726935271</c:v>
                </c:pt>
                <c:pt idx="2">
                  <c:v>4.7219343387349637</c:v>
                </c:pt>
                <c:pt idx="3">
                  <c:v>6.0144852432792728</c:v>
                </c:pt>
                <c:pt idx="4">
                  <c:v>6.633771407178803</c:v>
                </c:pt>
                <c:pt idx="5">
                  <c:v>6.6899988905063141</c:v>
                </c:pt>
                <c:pt idx="6">
                  <c:v>6.4236615094817502</c:v>
                </c:pt>
                <c:pt idx="7">
                  <c:v>5.8055824929949287</c:v>
                </c:pt>
                <c:pt idx="8">
                  <c:v>4.7803805274535387</c:v>
                </c:pt>
                <c:pt idx="9">
                  <c:v>3.5076886016414286</c:v>
                </c:pt>
                <c:pt idx="10">
                  <c:v>2.452737740081723</c:v>
                </c:pt>
                <c:pt idx="11">
                  <c:v>1.9755264619038029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2.2920241466057041</c:v>
                </c:pt>
                <c:pt idx="1">
                  <c:v>3.2347008046568542</c:v>
                </c:pt>
                <c:pt idx="2">
                  <c:v>4.5135391274555641</c:v>
                </c:pt>
                <c:pt idx="3">
                  <c:v>5.7288795274256072</c:v>
                </c:pt>
                <c:pt idx="4">
                  <c:v>6.2982488425971654</c:v>
                </c:pt>
                <c:pt idx="5">
                  <c:v>6.3413506447642218</c:v>
                </c:pt>
                <c:pt idx="6">
                  <c:v>6.0851128453018717</c:v>
                </c:pt>
                <c:pt idx="7">
                  <c:v>5.4934135441624585</c:v>
                </c:pt>
                <c:pt idx="8">
                  <c:v>4.5100878498397377</c:v>
                </c:pt>
                <c:pt idx="9">
                  <c:v>3.3056041234128397</c:v>
                </c:pt>
                <c:pt idx="10">
                  <c:v>2.3159881715370352</c:v>
                </c:pt>
                <c:pt idx="11">
                  <c:v>1.8883987547097736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2.1950338384363173</c:v>
                </c:pt>
                <c:pt idx="1">
                  <c:v>3.0810146790121822</c:v>
                </c:pt>
                <c:pt idx="2">
                  <c:v>4.287593189069522</c:v>
                </c:pt>
                <c:pt idx="3">
                  <c:v>5.6990268493494138</c:v>
                </c:pt>
                <c:pt idx="4">
                  <c:v>6.681456671374856</c:v>
                </c:pt>
                <c:pt idx="5">
                  <c:v>6.7295411213167498</c:v>
                </c:pt>
                <c:pt idx="6">
                  <c:v>6.4517976549001155</c:v>
                </c:pt>
                <c:pt idx="7">
                  <c:v>5.8205487732004828</c:v>
                </c:pt>
                <c:pt idx="8">
                  <c:v>4.7821518343458989</c:v>
                </c:pt>
                <c:pt idx="9">
                  <c:v>3.5013117229016846</c:v>
                </c:pt>
                <c:pt idx="10">
                  <c:v>2.4441923446014275</c:v>
                </c:pt>
                <c:pt idx="11">
                  <c:v>1.9661216242730351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2.2774374730601332</c:v>
                </c:pt>
                <c:pt idx="1">
                  <c:v>3.1885334333476054</c:v>
                </c:pt>
                <c:pt idx="2">
                  <c:v>4.4297274506419599</c:v>
                </c:pt>
                <c:pt idx="3">
                  <c:v>5.6481037789346198</c:v>
                </c:pt>
                <c:pt idx="4">
                  <c:v>6.2318144598044523</c:v>
                </c:pt>
                <c:pt idx="5">
                  <c:v>6.2843944500340863</c:v>
                </c:pt>
                <c:pt idx="6">
                  <c:v>6.0364006142976852</c:v>
                </c:pt>
                <c:pt idx="7">
                  <c:v>5.4583974638047614</c:v>
                </c:pt>
                <c:pt idx="8">
                  <c:v>4.4943178631418368</c:v>
                </c:pt>
                <c:pt idx="9">
                  <c:v>3.2992679094897639</c:v>
                </c:pt>
                <c:pt idx="10">
                  <c:v>2.3108184040330242</c:v>
                </c:pt>
                <c:pt idx="11">
                  <c:v>1.8641624189385739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2.1640662548622478</c:v>
                </c:pt>
                <c:pt idx="1">
                  <c:v>3.0349251305785767</c:v>
                </c:pt>
                <c:pt idx="2">
                  <c:v>4.2233426959218461</c:v>
                </c:pt>
                <c:pt idx="3">
                  <c:v>5.4116298001518039</c:v>
                </c:pt>
                <c:pt idx="4">
                  <c:v>6.5841630496719983</c:v>
                </c:pt>
                <c:pt idx="5">
                  <c:v>6.6361100558380519</c:v>
                </c:pt>
                <c:pt idx="6">
                  <c:v>6.366299371512131</c:v>
                </c:pt>
                <c:pt idx="7">
                  <c:v>5.7460288592424789</c:v>
                </c:pt>
                <c:pt idx="8">
                  <c:v>4.7204847773137173</c:v>
                </c:pt>
                <c:pt idx="9">
                  <c:v>3.4564477264883333</c:v>
                </c:pt>
                <c:pt idx="10">
                  <c:v>2.414607525632201</c:v>
                </c:pt>
                <c:pt idx="11">
                  <c:v>1.9438239649692162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2.25278164443022</c:v>
                </c:pt>
                <c:pt idx="1">
                  <c:v>3.1542890964386263</c:v>
                </c:pt>
                <c:pt idx="2">
                  <c:v>4.3845672249046217</c:v>
                </c:pt>
                <c:pt idx="3">
                  <c:v>5.591848572397625</c:v>
                </c:pt>
                <c:pt idx="4">
                  <c:v>6.1707651838276352</c:v>
                </c:pt>
                <c:pt idx="5">
                  <c:v>6.2225158763078952</c:v>
                </c:pt>
                <c:pt idx="6">
                  <c:v>5.9760014714056258</c:v>
                </c:pt>
                <c:pt idx="7">
                  <c:v>5.4016143575567268</c:v>
                </c:pt>
                <c:pt idx="8">
                  <c:v>4.4434733144178029</c:v>
                </c:pt>
                <c:pt idx="9">
                  <c:v>3.2595218043419503</c:v>
                </c:pt>
                <c:pt idx="10">
                  <c:v>2.2829367329706982</c:v>
                </c:pt>
                <c:pt idx="11">
                  <c:v>1.8415946936040395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2.1372921675810881</c:v>
                </c:pt>
                <c:pt idx="1">
                  <c:v>2.9958065616238123</c:v>
                </c:pt>
                <c:pt idx="2">
                  <c:v>4.1703742046427408</c:v>
                </c:pt>
                <c:pt idx="3">
                  <c:v>5.3490963697368912</c:v>
                </c:pt>
                <c:pt idx="4">
                  <c:v>6.4741447405492645</c:v>
                </c:pt>
                <c:pt idx="5">
                  <c:v>6.5252403299576818</c:v>
                </c:pt>
                <c:pt idx="6">
                  <c:v>6.2600344910087324</c:v>
                </c:pt>
                <c:pt idx="7">
                  <c:v>5.6517734356683089</c:v>
                </c:pt>
                <c:pt idx="8">
                  <c:v>4.6495260413848429</c:v>
                </c:pt>
                <c:pt idx="9">
                  <c:v>3.4080930202547974</c:v>
                </c:pt>
                <c:pt idx="10">
                  <c:v>2.3795370451605127</c:v>
                </c:pt>
                <c:pt idx="11">
                  <c:v>1.9138348931308866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2.2183868793467165</c:v>
                </c:pt>
                <c:pt idx="1">
                  <c:v>3.1093109236154231</c:v>
                </c:pt>
                <c:pt idx="2">
                  <c:v>4.3175034401900243</c:v>
                </c:pt>
                <c:pt idx="3">
                  <c:v>5.5012625783556315</c:v>
                </c:pt>
                <c:pt idx="4">
                  <c:v>6.0678290108848216</c:v>
                </c:pt>
                <c:pt idx="5">
                  <c:v>6.1186548848879756</c:v>
                </c:pt>
                <c:pt idx="6">
                  <c:v>5.8764032883252169</c:v>
                </c:pt>
                <c:pt idx="7">
                  <c:v>5.3135671101002568</c:v>
                </c:pt>
                <c:pt idx="8">
                  <c:v>4.3778164941763933</c:v>
                </c:pt>
                <c:pt idx="9">
                  <c:v>3.2148913303808975</c:v>
                </c:pt>
                <c:pt idx="10">
                  <c:v>2.250270253985041</c:v>
                </c:pt>
                <c:pt idx="11">
                  <c:v>1.813828914089272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2.1054451033372628</c:v>
                </c:pt>
                <c:pt idx="1">
                  <c:v>2.9540621637155136</c:v>
                </c:pt>
                <c:pt idx="2">
                  <c:v>4.1075951862692595</c:v>
                </c:pt>
                <c:pt idx="3">
                  <c:v>5.2586460102620274</c:v>
                </c:pt>
                <c:pt idx="4">
                  <c:v>6.3647972277812404</c:v>
                </c:pt>
                <c:pt idx="5">
                  <c:v>6.4149683371014961</c:v>
                </c:pt>
                <c:pt idx="6">
                  <c:v>6.1542314938178517</c:v>
                </c:pt>
                <c:pt idx="7">
                  <c:v>5.5558238924603423</c:v>
                </c:pt>
                <c:pt idx="8">
                  <c:v>4.5685038002042848</c:v>
                </c:pt>
                <c:pt idx="9">
                  <c:v>3.3473198748776323</c:v>
                </c:pt>
                <c:pt idx="10">
                  <c:v>2.3375072809716806</c:v>
                </c:pt>
                <c:pt idx="11">
                  <c:v>1.8808010259575125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897432"/>
        <c:axId val="578900176"/>
      </c:lineChart>
      <c:dateAx>
        <c:axId val="578897432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890017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7890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88974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18.049337411510304</c:v>
                </c:pt>
                <c:pt idx="1">
                  <c:v>18.132963964574255</c:v>
                </c:pt>
                <c:pt idx="2">
                  <c:v>18.224051842477383</c:v>
                </c:pt>
                <c:pt idx="3">
                  <c:v>18.323123316644249</c:v>
                </c:pt>
                <c:pt idx="4">
                  <c:v>18.430700246298944</c:v>
                </c:pt>
                <c:pt idx="5">
                  <c:v>18.54730408361749</c:v>
                </c:pt>
                <c:pt idx="6">
                  <c:v>18.673455873978398</c:v>
                </c:pt>
                <c:pt idx="7">
                  <c:v>18.80967625581075</c:v>
                </c:pt>
                <c:pt idx="8">
                  <c:v>18.956013379351134</c:v>
                </c:pt>
                <c:pt idx="9">
                  <c:v>19.111868201328946</c:v>
                </c:pt>
                <c:pt idx="10">
                  <c:v>19.276820521142692</c:v>
                </c:pt>
                <c:pt idx="11">
                  <c:v>19.450436779206335</c:v>
                </c:pt>
                <c:pt idx="12">
                  <c:v>19.63228371175175</c:v>
                </c:pt>
                <c:pt idx="13">
                  <c:v>19.82192834991503</c:v>
                </c:pt>
                <c:pt idx="14">
                  <c:v>20.018938028522662</c:v>
                </c:pt>
                <c:pt idx="15">
                  <c:v>20.22282381522567</c:v>
                </c:pt>
                <c:pt idx="16">
                  <c:v>20.433162805648596</c:v>
                </c:pt>
                <c:pt idx="17">
                  <c:v>20.649523253080321</c:v>
                </c:pt>
                <c:pt idx="18">
                  <c:v>20.87147372933741</c:v>
                </c:pt>
                <c:pt idx="19">
                  <c:v>21.098583002382519</c:v>
                </c:pt>
                <c:pt idx="20">
                  <c:v>21.330420091872746</c:v>
                </c:pt>
                <c:pt idx="21">
                  <c:v>21.566554112358983</c:v>
                </c:pt>
                <c:pt idx="22">
                  <c:v>21.80848413406293</c:v>
                </c:pt>
                <c:pt idx="23">
                  <c:v>22.057670967607351</c:v>
                </c:pt>
                <c:pt idx="24">
                  <c:v>22.313725015813823</c:v>
                </c:pt>
                <c:pt idx="25">
                  <c:v>22.576246064824389</c:v>
                </c:pt>
                <c:pt idx="26">
                  <c:v>22.844834197092954</c:v>
                </c:pt>
                <c:pt idx="27">
                  <c:v>23.119089795172833</c:v>
                </c:pt>
                <c:pt idx="28">
                  <c:v>23.39861353439457</c:v>
                </c:pt>
                <c:pt idx="29">
                  <c:v>23.683010399501232</c:v>
                </c:pt>
                <c:pt idx="30">
                  <c:v>23.971938099270542</c:v>
                </c:pt>
                <c:pt idx="31">
                  <c:v>24.264998163849498</c:v>
                </c:pt>
                <c:pt idx="32">
                  <c:v>24.561792422775586</c:v>
                </c:pt>
                <c:pt idx="33">
                  <c:v>24.861923005001149</c:v>
                </c:pt>
                <c:pt idx="34">
                  <c:v>25.164992344432772</c:v>
                </c:pt>
                <c:pt idx="35">
                  <c:v>25.470603176094894</c:v>
                </c:pt>
                <c:pt idx="36">
                  <c:v>25.779990548892737</c:v>
                </c:pt>
                <c:pt idx="37">
                  <c:v>26.0945940322658</c:v>
                </c:pt>
                <c:pt idx="38">
                  <c:v>26.414171927090575</c:v>
                </c:pt>
                <c:pt idx="39">
                  <c:v>26.738425155400787</c:v>
                </c:pt>
                <c:pt idx="40">
                  <c:v>27.067054876186397</c:v>
                </c:pt>
                <c:pt idx="41">
                  <c:v>27.399762487286893</c:v>
                </c:pt>
                <c:pt idx="42">
                  <c:v>27.736249620390218</c:v>
                </c:pt>
                <c:pt idx="43">
                  <c:v>28.076396305113303</c:v>
                </c:pt>
                <c:pt idx="44">
                  <c:v>28.419900760115908</c:v>
                </c:pt>
                <c:pt idx="45">
                  <c:v>28.766465351854503</c:v>
                </c:pt>
                <c:pt idx="46">
                  <c:v>29.115792681109625</c:v>
                </c:pt>
                <c:pt idx="47">
                  <c:v>29.467585582583482</c:v>
                </c:pt>
                <c:pt idx="48">
                  <c:v>29.821547121533719</c:v>
                </c:pt>
                <c:pt idx="49">
                  <c:v>30.177380588418441</c:v>
                </c:pt>
                <c:pt idx="50">
                  <c:v>30.535957002893966</c:v>
                </c:pt>
                <c:pt idx="51">
                  <c:v>30.898137968177743</c:v>
                </c:pt>
                <c:pt idx="52">
                  <c:v>31.263585592782164</c:v>
                </c:pt>
                <c:pt idx="53">
                  <c:v>31.632101582848168</c:v>
                </c:pt>
                <c:pt idx="54">
                  <c:v>32.003487459309753</c:v>
                </c:pt>
                <c:pt idx="55">
                  <c:v>32.377544846105529</c:v>
                </c:pt>
                <c:pt idx="56">
                  <c:v>32.754075462499578</c:v>
                </c:pt>
                <c:pt idx="57">
                  <c:v>33.13274182243827</c:v>
                </c:pt>
                <c:pt idx="58">
                  <c:v>33.513167316145335</c:v>
                </c:pt>
                <c:pt idx="59">
                  <c:v>33.895153754324426</c:v>
                </c:pt>
                <c:pt idx="60">
                  <c:v>34.279311866097402</c:v>
                </c:pt>
                <c:pt idx="61">
                  <c:v>34.66465225515676</c:v>
                </c:pt>
                <c:pt idx="62">
                  <c:v>35.050976958658886</c:v>
                </c:pt>
                <c:pt idx="63">
                  <c:v>35.438088047407291</c:v>
                </c:pt>
                <c:pt idx="64">
                  <c:v>35.826706299091128</c:v>
                </c:pt>
                <c:pt idx="65">
                  <c:v>36.217558395471862</c:v>
                </c:pt>
                <c:pt idx="66">
                  <c:v>36.610520293236235</c:v>
                </c:pt>
                <c:pt idx="67">
                  <c:v>37.005393308539439</c:v>
                </c:pt>
                <c:pt idx="68">
                  <c:v>37.401978769906478</c:v>
                </c:pt>
                <c:pt idx="69">
                  <c:v>37.800078009290424</c:v>
                </c:pt>
                <c:pt idx="70">
                  <c:v>38.199492360961713</c:v>
                </c:pt>
                <c:pt idx="71">
                  <c:v>38.60007195993618</c:v>
                </c:pt>
                <c:pt idx="72">
                  <c:v>39.001758140216708</c:v>
                </c:pt>
                <c:pt idx="73">
                  <c:v>39.404352529340017</c:v>
                </c:pt>
                <c:pt idx="74">
                  <c:v>39.80765678658252</c:v>
                </c:pt>
                <c:pt idx="75">
                  <c:v>40.211472608593617</c:v>
                </c:pt>
                <c:pt idx="76">
                  <c:v>40.615601729890059</c:v>
                </c:pt>
                <c:pt idx="77">
                  <c:v>41.01984592973762</c:v>
                </c:pt>
                <c:pt idx="78">
                  <c:v>41.427903109376096</c:v>
                </c:pt>
                <c:pt idx="79">
                  <c:v>41.842615277241713</c:v>
                </c:pt>
                <c:pt idx="80">
                  <c:v>42.262400299575162</c:v>
                </c:pt>
                <c:pt idx="81">
                  <c:v>42.685683396125953</c:v>
                </c:pt>
                <c:pt idx="82">
                  <c:v>43.110890729355283</c:v>
                </c:pt>
                <c:pt idx="83">
                  <c:v>43.536449414210765</c:v>
                </c:pt>
                <c:pt idx="84">
                  <c:v>43.960787531638495</c:v>
                </c:pt>
                <c:pt idx="85">
                  <c:v>44.382367567720472</c:v>
                </c:pt>
                <c:pt idx="86">
                  <c:v>44.799570116455264</c:v>
                </c:pt>
                <c:pt idx="87">
                  <c:v>45.210826136001742</c:v>
                </c:pt>
                <c:pt idx="88">
                  <c:v>45.614567605882534</c:v>
                </c:pt>
                <c:pt idx="89">
                  <c:v>46.009227543085103</c:v>
                </c:pt>
                <c:pt idx="90">
                  <c:v>46.393240025666259</c:v>
                </c:pt>
                <c:pt idx="91">
                  <c:v>46.765040208361349</c:v>
                </c:pt>
                <c:pt idx="92">
                  <c:v>47.127196900588942</c:v>
                </c:pt>
                <c:pt idx="93">
                  <c:v>47.483232812280349</c:v>
                </c:pt>
                <c:pt idx="94">
                  <c:v>47.83298688703627</c:v>
                </c:pt>
                <c:pt idx="95">
                  <c:v>48.176362380035464</c:v>
                </c:pt>
                <c:pt idx="96">
                  <c:v>48.513262657579098</c:v>
                </c:pt>
                <c:pt idx="97">
                  <c:v>48.843591214344436</c:v>
                </c:pt>
                <c:pt idx="98">
                  <c:v>49.167251672688543</c:v>
                </c:pt>
                <c:pt idx="99">
                  <c:v>49.484110193984499</c:v>
                </c:pt>
                <c:pt idx="100">
                  <c:v>49.79403600853157</c:v>
                </c:pt>
                <c:pt idx="101">
                  <c:v>50.096932559464896</c:v>
                </c:pt>
                <c:pt idx="102">
                  <c:v>50.392703397116229</c:v>
                </c:pt>
                <c:pt idx="103">
                  <c:v>50.681252175884033</c:v>
                </c:pt>
                <c:pt idx="104">
                  <c:v>50.962482667156955</c:v>
                </c:pt>
                <c:pt idx="105">
                  <c:v>51.236298755963325</c:v>
                </c:pt>
                <c:pt idx="106">
                  <c:v>51.502637052487486</c:v>
                </c:pt>
                <c:pt idx="107">
                  <c:v>51.761543397027012</c:v>
                </c:pt>
                <c:pt idx="108">
                  <c:v>52.013142361744592</c:v>
                </c:pt>
                <c:pt idx="109">
                  <c:v>52.257533549200154</c:v>
                </c:pt>
                <c:pt idx="110">
                  <c:v>52.494816532210031</c:v>
                </c:pt>
                <c:pt idx="111">
                  <c:v>52.72509089412835</c:v>
                </c:pt>
                <c:pt idx="112">
                  <c:v>52.948456280010312</c:v>
                </c:pt>
                <c:pt idx="113">
                  <c:v>53.164995510115929</c:v>
                </c:pt>
                <c:pt idx="114">
                  <c:v>53.374847674572258</c:v>
                </c:pt>
                <c:pt idx="115">
                  <c:v>53.578112772121109</c:v>
                </c:pt>
                <c:pt idx="116">
                  <c:v>53.774890853278436</c:v>
                </c:pt>
                <c:pt idx="117">
                  <c:v>53.965282027614144</c:v>
                </c:pt>
                <c:pt idx="118">
                  <c:v>54.149386469628396</c:v>
                </c:pt>
                <c:pt idx="119">
                  <c:v>54.327304421526996</c:v>
                </c:pt>
                <c:pt idx="120">
                  <c:v>54.498469763430919</c:v>
                </c:pt>
                <c:pt idx="121">
                  <c:v>54.662374275866739</c:v>
                </c:pt>
                <c:pt idx="122">
                  <c:v>54.819239313728943</c:v>
                </c:pt>
                <c:pt idx="123">
                  <c:v>54.969263826392996</c:v>
                </c:pt>
                <c:pt idx="124">
                  <c:v>55.112646799602274</c:v>
                </c:pt>
                <c:pt idx="125">
                  <c:v>55.249587260013072</c:v>
                </c:pt>
                <c:pt idx="126">
                  <c:v>55.380284271722331</c:v>
                </c:pt>
                <c:pt idx="127">
                  <c:v>55.504936478403742</c:v>
                </c:pt>
                <c:pt idx="128">
                  <c:v>55.623761377235759</c:v>
                </c:pt>
                <c:pt idx="129">
                  <c:v>55.736958490624112</c:v>
                </c:pt>
                <c:pt idx="130">
                  <c:v>55.844727401282896</c:v>
                </c:pt>
                <c:pt idx="131">
                  <c:v>55.947267742300724</c:v>
                </c:pt>
                <c:pt idx="132">
                  <c:v>56.044779201596846</c:v>
                </c:pt>
                <c:pt idx="133">
                  <c:v>56.137461511877277</c:v>
                </c:pt>
                <c:pt idx="134">
                  <c:v>56.224395994645249</c:v>
                </c:pt>
                <c:pt idx="135">
                  <c:v>56.304722432716098</c:v>
                </c:pt>
                <c:pt idx="136">
                  <c:v>56.378747805143554</c:v>
                </c:pt>
                <c:pt idx="137">
                  <c:v>56.446770543392546</c:v>
                </c:pt>
                <c:pt idx="138">
                  <c:v>56.509089028067208</c:v>
                </c:pt>
                <c:pt idx="139">
                  <c:v>56.566001569525675</c:v>
                </c:pt>
                <c:pt idx="140">
                  <c:v>56.617806407377167</c:v>
                </c:pt>
                <c:pt idx="141">
                  <c:v>56.664797851216619</c:v>
                </c:pt>
                <c:pt idx="142">
                  <c:v>56.707274646638723</c:v>
                </c:pt>
                <c:pt idx="143">
                  <c:v>56.745534762881675</c:v>
                </c:pt>
                <c:pt idx="144">
                  <c:v>56.779876001605047</c:v>
                </c:pt>
                <c:pt idx="145">
                  <c:v>56.810596021563875</c:v>
                </c:pt>
                <c:pt idx="146">
                  <c:v>56.837992327566525</c:v>
                </c:pt>
                <c:pt idx="147">
                  <c:v>56.862362245893223</c:v>
                </c:pt>
                <c:pt idx="148">
                  <c:v>56.882645263047927</c:v>
                </c:pt>
                <c:pt idx="149">
                  <c:v>56.897782657664827</c:v>
                </c:pt>
                <c:pt idx="150">
                  <c:v>56.908081012417426</c:v>
                </c:pt>
                <c:pt idx="151">
                  <c:v>56.913838654623902</c:v>
                </c:pt>
                <c:pt idx="152">
                  <c:v>56.915353639044163</c:v>
                </c:pt>
                <c:pt idx="153">
                  <c:v>56.912923733887929</c:v>
                </c:pt>
                <c:pt idx="154">
                  <c:v>56.906846404801271</c:v>
                </c:pt>
                <c:pt idx="155">
                  <c:v>56.897417466731689</c:v>
                </c:pt>
                <c:pt idx="156">
                  <c:v>56.884937743134394</c:v>
                </c:pt>
                <c:pt idx="157">
                  <c:v>56.869703665309828</c:v>
                </c:pt>
                <c:pt idx="158">
                  <c:v>56.852011288114227</c:v>
                </c:pt>
                <c:pt idx="159">
                  <c:v>56.832156274898431</c:v>
                </c:pt>
                <c:pt idx="160">
                  <c:v>56.810433882521956</c:v>
                </c:pt>
                <c:pt idx="161">
                  <c:v>56.787138947859631</c:v>
                </c:pt>
                <c:pt idx="162">
                  <c:v>56.761631118388003</c:v>
                </c:pt>
                <c:pt idx="163">
                  <c:v>56.733145823610833</c:v>
                </c:pt>
                <c:pt idx="164">
                  <c:v>56.701783639463869</c:v>
                </c:pt>
                <c:pt idx="165">
                  <c:v>56.667645667098185</c:v>
                </c:pt>
                <c:pt idx="166">
                  <c:v>56.630832669923265</c:v>
                </c:pt>
                <c:pt idx="167">
                  <c:v>56.591445067148761</c:v>
                </c:pt>
                <c:pt idx="168">
                  <c:v>56.549582923390645</c:v>
                </c:pt>
                <c:pt idx="169">
                  <c:v>56.505350471235786</c:v>
                </c:pt>
                <c:pt idx="170">
                  <c:v>56.458848670282926</c:v>
                </c:pt>
                <c:pt idx="171">
                  <c:v>56.410176604463707</c:v>
                </c:pt>
                <c:pt idx="172">
                  <c:v>56.35943298911976</c:v>
                </c:pt>
                <c:pt idx="173">
                  <c:v>56.30671626096003</c:v>
                </c:pt>
                <c:pt idx="174">
                  <c:v>56.25212450097596</c:v>
                </c:pt>
                <c:pt idx="175">
                  <c:v>56.195755347434499</c:v>
                </c:pt>
                <c:pt idx="176">
                  <c:v>56.137882909381148</c:v>
                </c:pt>
                <c:pt idx="177">
                  <c:v>56.078586312991987</c:v>
                </c:pt>
                <c:pt idx="178">
                  <c:v>56.017668132344419</c:v>
                </c:pt>
                <c:pt idx="179">
                  <c:v>55.954935452705222</c:v>
                </c:pt>
                <c:pt idx="180">
                  <c:v>55.890195247356594</c:v>
                </c:pt>
                <c:pt idx="181">
                  <c:v>55.823254388754016</c:v>
                </c:pt>
                <c:pt idx="182">
                  <c:v>55.753919658248343</c:v>
                </c:pt>
                <c:pt idx="183">
                  <c:v>55.681998539507632</c:v>
                </c:pt>
                <c:pt idx="184">
                  <c:v>55.607292903710388</c:v>
                </c:pt>
                <c:pt idx="185">
                  <c:v>55.529609287972889</c:v>
                </c:pt>
                <c:pt idx="186">
                  <c:v>55.4487541919489</c:v>
                </c:pt>
                <c:pt idx="187">
                  <c:v>55.364534095645439</c:v>
                </c:pt>
                <c:pt idx="188">
                  <c:v>55.276755470618035</c:v>
                </c:pt>
                <c:pt idx="189">
                  <c:v>55.18522479901619</c:v>
                </c:pt>
                <c:pt idx="190">
                  <c:v>55.090438200257601</c:v>
                </c:pt>
                <c:pt idx="191">
                  <c:v>54.992951226429639</c:v>
                </c:pt>
                <c:pt idx="192">
                  <c:v>54.892667828173551</c:v>
                </c:pt>
                <c:pt idx="193">
                  <c:v>54.789490198138409</c:v>
                </c:pt>
                <c:pt idx="194">
                  <c:v>54.68332057144135</c:v>
                </c:pt>
                <c:pt idx="195">
                  <c:v>54.574061241131318</c:v>
                </c:pt>
                <c:pt idx="196">
                  <c:v>54.461614571799764</c:v>
                </c:pt>
                <c:pt idx="197">
                  <c:v>54.345872796343599</c:v>
                </c:pt>
                <c:pt idx="198">
                  <c:v>54.226737686456723</c:v>
                </c:pt>
                <c:pt idx="199">
                  <c:v>54.104111874588014</c:v>
                </c:pt>
                <c:pt idx="200">
                  <c:v>53.97789812447531</c:v>
                </c:pt>
                <c:pt idx="201">
                  <c:v>53.847999336867424</c:v>
                </c:pt>
                <c:pt idx="202">
                  <c:v>53.714318568987061</c:v>
                </c:pt>
                <c:pt idx="203">
                  <c:v>53.576759033965757</c:v>
                </c:pt>
                <c:pt idx="204">
                  <c:v>53.435256132308091</c:v>
                </c:pt>
                <c:pt idx="205">
                  <c:v>53.289871477724873</c:v>
                </c:pt>
                <c:pt idx="206">
                  <c:v>53.140705012967786</c:v>
                </c:pt>
                <c:pt idx="207">
                  <c:v>52.987852432419885</c:v>
                </c:pt>
                <c:pt idx="208">
                  <c:v>52.831409513325546</c:v>
                </c:pt>
                <c:pt idx="209">
                  <c:v>52.671472111598696</c:v>
                </c:pt>
                <c:pt idx="210">
                  <c:v>52.508136164334367</c:v>
                </c:pt>
                <c:pt idx="211">
                  <c:v>52.34148394989753</c:v>
                </c:pt>
                <c:pt idx="212">
                  <c:v>52.171621926141434</c:v>
                </c:pt>
                <c:pt idx="213">
                  <c:v>51.998646242862137</c:v>
                </c:pt>
                <c:pt idx="214">
                  <c:v>51.822653130928806</c:v>
                </c:pt>
                <c:pt idx="215">
                  <c:v>51.643738892300547</c:v>
                </c:pt>
                <c:pt idx="216">
                  <c:v>51.461999897779542</c:v>
                </c:pt>
                <c:pt idx="217">
                  <c:v>51.277532579531346</c:v>
                </c:pt>
                <c:pt idx="218">
                  <c:v>51.090609132951592</c:v>
                </c:pt>
                <c:pt idx="219">
                  <c:v>50.90128241011103</c:v>
                </c:pt>
                <c:pt idx="220">
                  <c:v>50.709363528177569</c:v>
                </c:pt>
                <c:pt idx="221">
                  <c:v>50.514661741591517</c:v>
                </c:pt>
                <c:pt idx="222">
                  <c:v>50.316986494451015</c:v>
                </c:pt>
                <c:pt idx="223">
                  <c:v>50.116147412953602</c:v>
                </c:pt>
                <c:pt idx="224">
                  <c:v>49.911954296900888</c:v>
                </c:pt>
                <c:pt idx="225">
                  <c:v>49.704181989256838</c:v>
                </c:pt>
                <c:pt idx="226">
                  <c:v>49.492654530863902</c:v>
                </c:pt>
                <c:pt idx="227">
                  <c:v>49.277182202993522</c:v>
                </c:pt>
                <c:pt idx="228">
                  <c:v>49.057575434423633</c:v>
                </c:pt>
                <c:pt idx="229">
                  <c:v>48.833644794110171</c:v>
                </c:pt>
                <c:pt idx="230">
                  <c:v>48.605200989103622</c:v>
                </c:pt>
                <c:pt idx="231">
                  <c:v>48.372054854858646</c:v>
                </c:pt>
                <c:pt idx="232">
                  <c:v>48.134910174233248</c:v>
                </c:pt>
                <c:pt idx="233">
                  <c:v>47.894408929640591</c:v>
                </c:pt>
                <c:pt idx="234">
                  <c:v>47.650389397702732</c:v>
                </c:pt>
                <c:pt idx="235">
                  <c:v>47.402662206446116</c:v>
                </c:pt>
                <c:pt idx="236">
                  <c:v>47.151038098243497</c:v>
                </c:pt>
                <c:pt idx="237">
                  <c:v>46.895327945824327</c:v>
                </c:pt>
                <c:pt idx="238">
                  <c:v>46.635342740445012</c:v>
                </c:pt>
                <c:pt idx="239">
                  <c:v>46.370861554362271</c:v>
                </c:pt>
                <c:pt idx="240">
                  <c:v>46.101730803772142</c:v>
                </c:pt>
                <c:pt idx="241">
                  <c:v>45.827761861134988</c:v>
                </c:pt>
                <c:pt idx="242">
                  <c:v>45.548766207431669</c:v>
                </c:pt>
                <c:pt idx="243">
                  <c:v>45.264555433406244</c:v>
                </c:pt>
                <c:pt idx="244">
                  <c:v>44.974941248456012</c:v>
                </c:pt>
                <c:pt idx="245">
                  <c:v>44.679735465193801</c:v>
                </c:pt>
                <c:pt idx="246">
                  <c:v>44.37839988666974</c:v>
                </c:pt>
                <c:pt idx="247">
                  <c:v>44.070834535048306</c:v>
                </c:pt>
                <c:pt idx="248">
                  <c:v>43.757485555482432</c:v>
                </c:pt>
                <c:pt idx="249">
                  <c:v>43.438737635290003</c:v>
                </c:pt>
                <c:pt idx="250">
                  <c:v>43.114975268063539</c:v>
                </c:pt>
                <c:pt idx="251">
                  <c:v>42.786582756603181</c:v>
                </c:pt>
                <c:pt idx="252">
                  <c:v>42.453944221861683</c:v>
                </c:pt>
                <c:pt idx="253">
                  <c:v>42.117555446687298</c:v>
                </c:pt>
                <c:pt idx="254">
                  <c:v>41.777831592379464</c:v>
                </c:pt>
                <c:pt idx="255">
                  <c:v>41.435155847366836</c:v>
                </c:pt>
                <c:pt idx="256">
                  <c:v>41.089911174056589</c:v>
                </c:pt>
                <c:pt idx="257">
                  <c:v>40.742480311297975</c:v>
                </c:pt>
                <c:pt idx="258">
                  <c:v>40.393245769056371</c:v>
                </c:pt>
                <c:pt idx="259">
                  <c:v>40.042589824092673</c:v>
                </c:pt>
                <c:pt idx="260">
                  <c:v>39.687875652691197</c:v>
                </c:pt>
                <c:pt idx="261">
                  <c:v>39.326945255573811</c:v>
                </c:pt>
                <c:pt idx="262">
                  <c:v>38.960698240332775</c:v>
                </c:pt>
                <c:pt idx="263">
                  <c:v>38.59008916345325</c:v>
                </c:pt>
                <c:pt idx="264">
                  <c:v>38.216072016210539</c:v>
                </c:pt>
                <c:pt idx="265">
                  <c:v>37.839599826497306</c:v>
                </c:pt>
                <c:pt idx="266">
                  <c:v>37.461625264971275</c:v>
                </c:pt>
                <c:pt idx="267">
                  <c:v>37.083095338088405</c:v>
                </c:pt>
                <c:pt idx="268">
                  <c:v>36.704851945359309</c:v>
                </c:pt>
                <c:pt idx="269">
                  <c:v>36.327846932094396</c:v>
                </c:pt>
                <c:pt idx="270">
                  <c:v>35.953031630686908</c:v>
                </c:pt>
                <c:pt idx="271">
                  <c:v>35.581356863195673</c:v>
                </c:pt>
                <c:pt idx="272">
                  <c:v>35.213772948129026</c:v>
                </c:pt>
                <c:pt idx="273">
                  <c:v>34.851229702265243</c:v>
                </c:pt>
                <c:pt idx="274">
                  <c:v>34.491883968199936</c:v>
                </c:pt>
                <c:pt idx="275">
                  <c:v>34.133144623214825</c:v>
                </c:pt>
                <c:pt idx="276">
                  <c:v>33.775107585024969</c:v>
                </c:pt>
                <c:pt idx="277">
                  <c:v>33.417963427913215</c:v>
                </c:pt>
                <c:pt idx="278">
                  <c:v>33.061902640396987</c:v>
                </c:pt>
                <c:pt idx="279">
                  <c:v>32.707115627114334</c:v>
                </c:pt>
                <c:pt idx="280">
                  <c:v>32.353792713768009</c:v>
                </c:pt>
                <c:pt idx="281">
                  <c:v>32.002010163670136</c:v>
                </c:pt>
                <c:pt idx="282">
                  <c:v>31.651964427813713</c:v>
                </c:pt>
                <c:pt idx="283">
                  <c:v>31.30384661053116</c:v>
                </c:pt>
                <c:pt idx="284">
                  <c:v>30.957847815824788</c:v>
                </c:pt>
                <c:pt idx="285">
                  <c:v>30.614159151685151</c:v>
                </c:pt>
                <c:pt idx="286">
                  <c:v>30.272971732290326</c:v>
                </c:pt>
                <c:pt idx="287">
                  <c:v>29.934476682617102</c:v>
                </c:pt>
                <c:pt idx="288">
                  <c:v>29.598389665616228</c:v>
                </c:pt>
                <c:pt idx="289">
                  <c:v>29.26459876448099</c:v>
                </c:pt>
                <c:pt idx="290">
                  <c:v>28.933332424144623</c:v>
                </c:pt>
                <c:pt idx="291">
                  <c:v>28.604585847461482</c:v>
                </c:pt>
                <c:pt idx="292">
                  <c:v>28.278353994231836</c:v>
                </c:pt>
                <c:pt idx="293">
                  <c:v>27.954631590560417</c:v>
                </c:pt>
                <c:pt idx="294">
                  <c:v>27.633413142203658</c:v>
                </c:pt>
                <c:pt idx="295">
                  <c:v>27.314912943912301</c:v>
                </c:pt>
                <c:pt idx="296">
                  <c:v>26.999229214530306</c:v>
                </c:pt>
                <c:pt idx="297">
                  <c:v>26.686350761506638</c:v>
                </c:pt>
                <c:pt idx="298">
                  <c:v>26.376266933250829</c:v>
                </c:pt>
                <c:pt idx="299">
                  <c:v>26.068966895917814</c:v>
                </c:pt>
                <c:pt idx="300">
                  <c:v>25.764439672113841</c:v>
                </c:pt>
                <c:pt idx="301">
                  <c:v>25.462674185312636</c:v>
                </c:pt>
                <c:pt idx="302">
                  <c:v>25.162629934217172</c:v>
                </c:pt>
                <c:pt idx="303">
                  <c:v>24.863553905853436</c:v>
                </c:pt>
                <c:pt idx="304">
                  <c:v>24.565630173582115</c:v>
                </c:pt>
                <c:pt idx="305">
                  <c:v>24.269327308107101</c:v>
                </c:pt>
                <c:pt idx="306">
                  <c:v>23.975113927443378</c:v>
                </c:pt>
                <c:pt idx="307">
                  <c:v>23.683458725360925</c:v>
                </c:pt>
                <c:pt idx="308">
                  <c:v>23.394830500477266</c:v>
                </c:pt>
                <c:pt idx="309">
                  <c:v>23.109608481791799</c:v>
                </c:pt>
                <c:pt idx="310">
                  <c:v>22.828057740087985</c:v>
                </c:pt>
                <c:pt idx="311">
                  <c:v>22.55065174184907</c:v>
                </c:pt>
                <c:pt idx="312">
                  <c:v>22.277864074592973</c:v>
                </c:pt>
                <c:pt idx="313">
                  <c:v>22.010168443386785</c:v>
                </c:pt>
                <c:pt idx="314">
                  <c:v>21.748038660381315</c:v>
                </c:pt>
                <c:pt idx="315">
                  <c:v>21.491948639447713</c:v>
                </c:pt>
                <c:pt idx="316">
                  <c:v>21.239951099659741</c:v>
                </c:pt>
                <c:pt idx="317">
                  <c:v>20.990099650190441</c:v>
                </c:pt>
                <c:pt idx="318">
                  <c:v>20.742992463082739</c:v>
                </c:pt>
                <c:pt idx="319">
                  <c:v>20.499199932731305</c:v>
                </c:pt>
                <c:pt idx="320">
                  <c:v>20.259292471602993</c:v>
                </c:pt>
                <c:pt idx="321">
                  <c:v>20.023840494323778</c:v>
                </c:pt>
                <c:pt idx="322">
                  <c:v>19.793414392248557</c:v>
                </c:pt>
                <c:pt idx="323">
                  <c:v>19.568571543919052</c:v>
                </c:pt>
                <c:pt idx="324">
                  <c:v>19.349966210977612</c:v>
                </c:pt>
                <c:pt idx="325">
                  <c:v>19.138167746900312</c:v>
                </c:pt>
                <c:pt idx="326">
                  <c:v>18.933745627881517</c:v>
                </c:pt>
                <c:pt idx="327">
                  <c:v>18.737269107364536</c:v>
                </c:pt>
                <c:pt idx="328">
                  <c:v>18.549307183300026</c:v>
                </c:pt>
                <c:pt idx="329">
                  <c:v>18.370428750030573</c:v>
                </c:pt>
                <c:pt idx="330">
                  <c:v>18.198751795318724</c:v>
                </c:pt>
                <c:pt idx="331">
                  <c:v>18.032321602369681</c:v>
                </c:pt>
                <c:pt idx="332">
                  <c:v>17.871672368751756</c:v>
                </c:pt>
                <c:pt idx="333">
                  <c:v>17.717278231754786</c:v>
                </c:pt>
                <c:pt idx="334">
                  <c:v>17.569613221951315</c:v>
                </c:pt>
                <c:pt idx="335">
                  <c:v>17.429151250712085</c:v>
                </c:pt>
                <c:pt idx="336">
                  <c:v>17.296366088491595</c:v>
                </c:pt>
                <c:pt idx="337">
                  <c:v>17.171712009458421</c:v>
                </c:pt>
                <c:pt idx="338">
                  <c:v>17.055674931326028</c:v>
                </c:pt>
                <c:pt idx="339">
                  <c:v>16.948728146584937</c:v>
                </c:pt>
                <c:pt idx="340">
                  <c:v>16.851344733841188</c:v>
                </c:pt>
                <c:pt idx="341">
                  <c:v>16.763997544195643</c:v>
                </c:pt>
                <c:pt idx="342">
                  <c:v>16.687159199014264</c:v>
                </c:pt>
                <c:pt idx="343">
                  <c:v>16.621302062318076</c:v>
                </c:pt>
                <c:pt idx="344">
                  <c:v>16.567633241736495</c:v>
                </c:pt>
                <c:pt idx="345">
                  <c:v>16.526452947923254</c:v>
                </c:pt>
                <c:pt idx="346">
                  <c:v>16.496881073508462</c:v>
                </c:pt>
                <c:pt idx="347">
                  <c:v>16.478029869742535</c:v>
                </c:pt>
                <c:pt idx="348">
                  <c:v>16.469011876079684</c:v>
                </c:pt>
                <c:pt idx="349">
                  <c:v>16.46893992241618</c:v>
                </c:pt>
                <c:pt idx="350">
                  <c:v>16.476927142362239</c:v>
                </c:pt>
                <c:pt idx="351">
                  <c:v>16.492085145679916</c:v>
                </c:pt>
                <c:pt idx="352">
                  <c:v>16.513546557941432</c:v>
                </c:pt>
                <c:pt idx="353">
                  <c:v>16.540425417509613</c:v>
                </c:pt>
                <c:pt idx="354">
                  <c:v>16.571836100180484</c:v>
                </c:pt>
                <c:pt idx="355">
                  <c:v>16.606893326627823</c:v>
                </c:pt>
                <c:pt idx="356">
                  <c:v>16.64471223023887</c:v>
                </c:pt>
                <c:pt idx="357">
                  <c:v>16.684408172998044</c:v>
                </c:pt>
                <c:pt idx="358">
                  <c:v>16.726141308098107</c:v>
                </c:pt>
                <c:pt idx="359">
                  <c:v>16.770994734811456</c:v>
                </c:pt>
                <c:pt idx="360">
                  <c:v>16.819449637877444</c:v>
                </c:pt>
                <c:pt idx="361">
                  <c:v>16.872007539197327</c:v>
                </c:pt>
                <c:pt idx="362">
                  <c:v>16.929167851352791</c:v>
                </c:pt>
                <c:pt idx="363">
                  <c:v>16.991429694808396</c:v>
                </c:pt>
                <c:pt idx="364">
                  <c:v>17.05929190487792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17.673000000000002</c:v>
                </c:pt>
                <c:pt idx="1">
                  <c:v>13.994</c:v>
                </c:pt>
                <c:pt idx="2">
                  <c:v>13.831</c:v>
                </c:pt>
                <c:pt idx="3">
                  <c:v>14.325000000000001</c:v>
                </c:pt>
                <c:pt idx="4">
                  <c:v>12.259</c:v>
                </c:pt>
                <c:pt idx="5">
                  <c:v>15.748000000000001</c:v>
                </c:pt>
                <c:pt idx="6">
                  <c:v>9.7810000000000006</c:v>
                </c:pt>
                <c:pt idx="7">
                  <c:v>7.1109999999999998</c:v>
                </c:pt>
                <c:pt idx="8">
                  <c:v>2.141</c:v>
                </c:pt>
                <c:pt idx="9">
                  <c:v>1.7110000000000001</c:v>
                </c:pt>
                <c:pt idx="10">
                  <c:v>19.919</c:v>
                </c:pt>
                <c:pt idx="11">
                  <c:v>16.901</c:v>
                </c:pt>
                <c:pt idx="12">
                  <c:v>5.532</c:v>
                </c:pt>
                <c:pt idx="13">
                  <c:v>20.355</c:v>
                </c:pt>
                <c:pt idx="14">
                  <c:v>20.306000000000001</c:v>
                </c:pt>
                <c:pt idx="15">
                  <c:v>20.027000000000001</c:v>
                </c:pt>
                <c:pt idx="16">
                  <c:v>11.805</c:v>
                </c:pt>
                <c:pt idx="17">
                  <c:v>3.8690000000000002</c:v>
                </c:pt>
                <c:pt idx="18">
                  <c:v>9.0340000000000007</c:v>
                </c:pt>
                <c:pt idx="19">
                  <c:v>6.5940000000000003</c:v>
                </c:pt>
                <c:pt idx="20">
                  <c:v>17.894000000000002</c:v>
                </c:pt>
                <c:pt idx="21">
                  <c:v>21.494</c:v>
                </c:pt>
                <c:pt idx="22">
                  <c:v>21.718</c:v>
                </c:pt>
                <c:pt idx="23">
                  <c:v>22.07</c:v>
                </c:pt>
                <c:pt idx="24">
                  <c:v>22.029</c:v>
                </c:pt>
                <c:pt idx="25">
                  <c:v>22.158999999999999</c:v>
                </c:pt>
                <c:pt idx="26">
                  <c:v>23.081</c:v>
                </c:pt>
                <c:pt idx="27">
                  <c:v>4.2919999999999998</c:v>
                </c:pt>
                <c:pt idx="28">
                  <c:v>9.7759999999999998</c:v>
                </c:pt>
                <c:pt idx="29">
                  <c:v>4.6760000000000002</c:v>
                </c:pt>
                <c:pt idx="30">
                  <c:v>8.2580000000000009</c:v>
                </c:pt>
                <c:pt idx="31">
                  <c:v>9.7029999999999994</c:v>
                </c:pt>
                <c:pt idx="32">
                  <c:v>5.4980000000000002</c:v>
                </c:pt>
                <c:pt idx="33">
                  <c:v>9.9939999999999998</c:v>
                </c:pt>
                <c:pt idx="34">
                  <c:v>9.8650000000000002</c:v>
                </c:pt>
                <c:pt idx="35">
                  <c:v>9.0739999999999998</c:v>
                </c:pt>
                <c:pt idx="36">
                  <c:v>17.315999999999999</c:v>
                </c:pt>
                <c:pt idx="37">
                  <c:v>9.2469999999999999</c:v>
                </c:pt>
                <c:pt idx="38">
                  <c:v>27.062000000000001</c:v>
                </c:pt>
                <c:pt idx="39">
                  <c:v>27.14</c:v>
                </c:pt>
                <c:pt idx="40">
                  <c:v>25.47</c:v>
                </c:pt>
                <c:pt idx="41">
                  <c:v>16.189</c:v>
                </c:pt>
                <c:pt idx="42">
                  <c:v>23.404</c:v>
                </c:pt>
                <c:pt idx="43">
                  <c:v>27.685000000000002</c:v>
                </c:pt>
                <c:pt idx="44">
                  <c:v>14.5</c:v>
                </c:pt>
                <c:pt idx="45">
                  <c:v>17.097000000000001</c:v>
                </c:pt>
                <c:pt idx="46">
                  <c:v>9.41</c:v>
                </c:pt>
                <c:pt idx="47">
                  <c:v>11.206</c:v>
                </c:pt>
                <c:pt idx="48">
                  <c:v>24.810000000000002</c:v>
                </c:pt>
                <c:pt idx="49">
                  <c:v>18.974</c:v>
                </c:pt>
                <c:pt idx="50">
                  <c:v>18.619</c:v>
                </c:pt>
                <c:pt idx="51">
                  <c:v>20.305</c:v>
                </c:pt>
                <c:pt idx="52">
                  <c:v>29.634</c:v>
                </c:pt>
                <c:pt idx="53">
                  <c:v>29.856000000000002</c:v>
                </c:pt>
                <c:pt idx="54">
                  <c:v>18.312000000000001</c:v>
                </c:pt>
                <c:pt idx="55">
                  <c:v>29.440999999999999</c:v>
                </c:pt>
                <c:pt idx="56">
                  <c:v>33.677500000000002</c:v>
                </c:pt>
                <c:pt idx="57">
                  <c:v>27.573</c:v>
                </c:pt>
                <c:pt idx="58">
                  <c:v>28.628</c:v>
                </c:pt>
                <c:pt idx="59">
                  <c:v>33.951999999999998</c:v>
                </c:pt>
                <c:pt idx="60">
                  <c:v>10.89</c:v>
                </c:pt>
                <c:pt idx="61">
                  <c:v>32.536999999999999</c:v>
                </c:pt>
                <c:pt idx="62">
                  <c:v>3.8650000000000002</c:v>
                </c:pt>
                <c:pt idx="63">
                  <c:v>13.536</c:v>
                </c:pt>
                <c:pt idx="64">
                  <c:v>15.965</c:v>
                </c:pt>
                <c:pt idx="65">
                  <c:v>34.789000000000001</c:v>
                </c:pt>
                <c:pt idx="66">
                  <c:v>27.510999999999999</c:v>
                </c:pt>
                <c:pt idx="67">
                  <c:v>29.298000000000002</c:v>
                </c:pt>
                <c:pt idx="68">
                  <c:v>22.134</c:v>
                </c:pt>
                <c:pt idx="69">
                  <c:v>14.407</c:v>
                </c:pt>
                <c:pt idx="70">
                  <c:v>16.120999999999999</c:v>
                </c:pt>
                <c:pt idx="71">
                  <c:v>9.8640000000000008</c:v>
                </c:pt>
                <c:pt idx="72">
                  <c:v>14.519</c:v>
                </c:pt>
                <c:pt idx="73">
                  <c:v>13.768000000000001</c:v>
                </c:pt>
                <c:pt idx="74">
                  <c:v>13.484</c:v>
                </c:pt>
                <c:pt idx="75">
                  <c:v>11.691000000000001</c:v>
                </c:pt>
                <c:pt idx="76">
                  <c:v>15.138</c:v>
                </c:pt>
                <c:pt idx="77">
                  <c:v>26.7</c:v>
                </c:pt>
                <c:pt idx="78">
                  <c:v>30</c:v>
                </c:pt>
                <c:pt idx="79">
                  <c:v>40.075000000000003</c:v>
                </c:pt>
                <c:pt idx="80">
                  <c:v>37.981999999999999</c:v>
                </c:pt>
                <c:pt idx="81">
                  <c:v>43.608000000000004</c:v>
                </c:pt>
                <c:pt idx="82">
                  <c:v>42.951999999999998</c:v>
                </c:pt>
                <c:pt idx="83">
                  <c:v>40.564</c:v>
                </c:pt>
                <c:pt idx="84">
                  <c:v>43.17</c:v>
                </c:pt>
                <c:pt idx="85">
                  <c:v>41.375999999999998</c:v>
                </c:pt>
                <c:pt idx="86">
                  <c:v>31.309000000000001</c:v>
                </c:pt>
                <c:pt idx="87">
                  <c:v>26.964000000000002</c:v>
                </c:pt>
                <c:pt idx="88">
                  <c:v>7.9140000000000006</c:v>
                </c:pt>
                <c:pt idx="89">
                  <c:v>28.484000000000002</c:v>
                </c:pt>
                <c:pt idx="90">
                  <c:v>32.554000000000002</c:v>
                </c:pt>
                <c:pt idx="91">
                  <c:v>20.711000000000002</c:v>
                </c:pt>
                <c:pt idx="92">
                  <c:v>21.699000000000002</c:v>
                </c:pt>
                <c:pt idx="93">
                  <c:v>43.396000000000001</c:v>
                </c:pt>
                <c:pt idx="94">
                  <c:v>48.694000000000003</c:v>
                </c:pt>
                <c:pt idx="95">
                  <c:v>11.494</c:v>
                </c:pt>
                <c:pt idx="96">
                  <c:v>34.780999999999999</c:v>
                </c:pt>
                <c:pt idx="97">
                  <c:v>27.709</c:v>
                </c:pt>
                <c:pt idx="98">
                  <c:v>36.210999999999999</c:v>
                </c:pt>
                <c:pt idx="99">
                  <c:v>49.369</c:v>
                </c:pt>
                <c:pt idx="100">
                  <c:v>41.024000000000001</c:v>
                </c:pt>
                <c:pt idx="101">
                  <c:v>35.920999999999999</c:v>
                </c:pt>
                <c:pt idx="102">
                  <c:v>7.9610000000000003</c:v>
                </c:pt>
                <c:pt idx="103">
                  <c:v>39.027000000000001</c:v>
                </c:pt>
                <c:pt idx="104">
                  <c:v>43.149000000000001</c:v>
                </c:pt>
                <c:pt idx="105">
                  <c:v>46.792000000000002</c:v>
                </c:pt>
                <c:pt idx="106">
                  <c:v>51.215000000000003</c:v>
                </c:pt>
                <c:pt idx="107">
                  <c:v>40.386000000000003</c:v>
                </c:pt>
                <c:pt idx="108">
                  <c:v>9.4359999999999999</c:v>
                </c:pt>
                <c:pt idx="109">
                  <c:v>9.8979999999999997</c:v>
                </c:pt>
                <c:pt idx="110">
                  <c:v>9.5790000000000006</c:v>
                </c:pt>
                <c:pt idx="111">
                  <c:v>27.666</c:v>
                </c:pt>
                <c:pt idx="112">
                  <c:v>9.3000000000000007</c:v>
                </c:pt>
                <c:pt idx="113">
                  <c:v>31.992000000000001</c:v>
                </c:pt>
                <c:pt idx="114">
                  <c:v>47.941000000000003</c:v>
                </c:pt>
                <c:pt idx="115">
                  <c:v>52.155999999999999</c:v>
                </c:pt>
                <c:pt idx="116">
                  <c:v>38.045999999999999</c:v>
                </c:pt>
                <c:pt idx="117">
                  <c:v>23.533999999999999</c:v>
                </c:pt>
                <c:pt idx="118">
                  <c:v>42.765000000000001</c:v>
                </c:pt>
                <c:pt idx="119">
                  <c:v>45.064</c:v>
                </c:pt>
                <c:pt idx="120">
                  <c:v>45.948</c:v>
                </c:pt>
                <c:pt idx="121">
                  <c:v>26.859000000000002</c:v>
                </c:pt>
                <c:pt idx="122">
                  <c:v>36.908999999999999</c:v>
                </c:pt>
                <c:pt idx="123">
                  <c:v>20.932000000000002</c:v>
                </c:pt>
                <c:pt idx="124">
                  <c:v>42.78</c:v>
                </c:pt>
                <c:pt idx="125">
                  <c:v>36.130000000000003</c:v>
                </c:pt>
                <c:pt idx="126">
                  <c:v>50.957000000000001</c:v>
                </c:pt>
                <c:pt idx="127">
                  <c:v>46.319000000000003</c:v>
                </c:pt>
                <c:pt idx="128">
                  <c:v>53.042999999999999</c:v>
                </c:pt>
                <c:pt idx="129">
                  <c:v>49.195</c:v>
                </c:pt>
                <c:pt idx="130">
                  <c:v>53.463999999999999</c:v>
                </c:pt>
                <c:pt idx="131">
                  <c:v>41.145000000000003</c:v>
                </c:pt>
                <c:pt idx="132">
                  <c:v>42.704000000000001</c:v>
                </c:pt>
                <c:pt idx="133">
                  <c:v>47.055</c:v>
                </c:pt>
                <c:pt idx="134">
                  <c:v>50.11</c:v>
                </c:pt>
                <c:pt idx="135">
                  <c:v>48.334000000000003</c:v>
                </c:pt>
                <c:pt idx="136">
                  <c:v>51.980000000000004</c:v>
                </c:pt>
                <c:pt idx="137">
                  <c:v>50.805</c:v>
                </c:pt>
                <c:pt idx="138">
                  <c:v>53.701999999999998</c:v>
                </c:pt>
                <c:pt idx="139">
                  <c:v>47.08</c:v>
                </c:pt>
                <c:pt idx="140">
                  <c:v>46.667999999999999</c:v>
                </c:pt>
                <c:pt idx="141">
                  <c:v>34.566000000000003</c:v>
                </c:pt>
                <c:pt idx="142">
                  <c:v>19.637</c:v>
                </c:pt>
                <c:pt idx="143">
                  <c:v>15.986000000000001</c:v>
                </c:pt>
                <c:pt idx="144">
                  <c:v>38.938000000000002</c:v>
                </c:pt>
                <c:pt idx="145">
                  <c:v>22.919</c:v>
                </c:pt>
                <c:pt idx="146">
                  <c:v>45.160000000000004</c:v>
                </c:pt>
                <c:pt idx="147">
                  <c:v>53.823</c:v>
                </c:pt>
                <c:pt idx="148">
                  <c:v>57.998000000000005</c:v>
                </c:pt>
                <c:pt idx="149">
                  <c:v>50.239000000000004</c:v>
                </c:pt>
                <c:pt idx="150">
                  <c:v>53.349000000000004</c:v>
                </c:pt>
                <c:pt idx="151">
                  <c:v>54.139000000000003</c:v>
                </c:pt>
                <c:pt idx="152">
                  <c:v>44.869</c:v>
                </c:pt>
                <c:pt idx="153">
                  <c:v>52.294000000000004</c:v>
                </c:pt>
                <c:pt idx="154">
                  <c:v>25.901</c:v>
                </c:pt>
                <c:pt idx="155">
                  <c:v>36.044000000000004</c:v>
                </c:pt>
                <c:pt idx="156">
                  <c:v>43.451000000000001</c:v>
                </c:pt>
                <c:pt idx="157">
                  <c:v>29.650000000000002</c:v>
                </c:pt>
                <c:pt idx="158">
                  <c:v>20.803000000000001</c:v>
                </c:pt>
                <c:pt idx="159">
                  <c:v>42.831000000000003</c:v>
                </c:pt>
                <c:pt idx="160">
                  <c:v>55.594000000000001</c:v>
                </c:pt>
                <c:pt idx="161">
                  <c:v>53.483000000000004</c:v>
                </c:pt>
                <c:pt idx="162">
                  <c:v>41.600999999999999</c:v>
                </c:pt>
                <c:pt idx="163">
                  <c:v>52.704999999999998</c:v>
                </c:pt>
                <c:pt idx="164">
                  <c:v>45.558999999999997</c:v>
                </c:pt>
                <c:pt idx="165">
                  <c:v>52.823</c:v>
                </c:pt>
                <c:pt idx="166">
                  <c:v>50.319000000000003</c:v>
                </c:pt>
                <c:pt idx="167">
                  <c:v>50.878</c:v>
                </c:pt>
                <c:pt idx="168">
                  <c:v>53.139000000000003</c:v>
                </c:pt>
                <c:pt idx="169">
                  <c:v>54.456000000000003</c:v>
                </c:pt>
                <c:pt idx="170">
                  <c:v>32.15</c:v>
                </c:pt>
                <c:pt idx="171">
                  <c:v>22.472999999999999</c:v>
                </c:pt>
                <c:pt idx="172">
                  <c:v>42.271999999999998</c:v>
                </c:pt>
                <c:pt idx="173">
                  <c:v>40.213000000000001</c:v>
                </c:pt>
                <c:pt idx="174">
                  <c:v>38.76</c:v>
                </c:pt>
                <c:pt idx="175">
                  <c:v>31.922000000000001</c:v>
                </c:pt>
                <c:pt idx="176">
                  <c:v>12.06</c:v>
                </c:pt>
                <c:pt idx="177">
                  <c:v>14.038</c:v>
                </c:pt>
                <c:pt idx="178">
                  <c:v>57.191000000000003</c:v>
                </c:pt>
                <c:pt idx="179">
                  <c:v>54.844999999999999</c:v>
                </c:pt>
                <c:pt idx="180">
                  <c:v>13.868</c:v>
                </c:pt>
                <c:pt idx="181">
                  <c:v>51.645000000000003</c:v>
                </c:pt>
                <c:pt idx="182">
                  <c:v>54.225000000000001</c:v>
                </c:pt>
                <c:pt idx="183">
                  <c:v>42.268999999999998</c:v>
                </c:pt>
                <c:pt idx="184">
                  <c:v>41.984999999999999</c:v>
                </c:pt>
                <c:pt idx="185">
                  <c:v>54.035000000000004</c:v>
                </c:pt>
                <c:pt idx="186">
                  <c:v>47.444000000000003</c:v>
                </c:pt>
                <c:pt idx="187">
                  <c:v>54.125</c:v>
                </c:pt>
                <c:pt idx="188">
                  <c:v>56.493000000000002</c:v>
                </c:pt>
                <c:pt idx="189">
                  <c:v>55.529000000000003</c:v>
                </c:pt>
                <c:pt idx="190">
                  <c:v>54.884</c:v>
                </c:pt>
                <c:pt idx="191">
                  <c:v>53.146000000000001</c:v>
                </c:pt>
                <c:pt idx="192">
                  <c:v>52.780999999999999</c:v>
                </c:pt>
                <c:pt idx="193">
                  <c:v>52.306000000000004</c:v>
                </c:pt>
                <c:pt idx="194">
                  <c:v>51.427</c:v>
                </c:pt>
                <c:pt idx="195">
                  <c:v>50.466000000000001</c:v>
                </c:pt>
                <c:pt idx="196">
                  <c:v>51.988</c:v>
                </c:pt>
                <c:pt idx="197">
                  <c:v>51.085999999999999</c:v>
                </c:pt>
                <c:pt idx="198">
                  <c:v>51.805</c:v>
                </c:pt>
                <c:pt idx="199">
                  <c:v>43.742000000000004</c:v>
                </c:pt>
                <c:pt idx="200">
                  <c:v>42.575000000000003</c:v>
                </c:pt>
                <c:pt idx="201">
                  <c:v>49.448</c:v>
                </c:pt>
                <c:pt idx="202">
                  <c:v>37.78</c:v>
                </c:pt>
                <c:pt idx="203">
                  <c:v>49.219000000000001</c:v>
                </c:pt>
                <c:pt idx="204">
                  <c:v>49.553000000000004</c:v>
                </c:pt>
                <c:pt idx="205">
                  <c:v>26.645</c:v>
                </c:pt>
                <c:pt idx="206">
                  <c:v>55.637</c:v>
                </c:pt>
                <c:pt idx="207">
                  <c:v>54</c:v>
                </c:pt>
                <c:pt idx="208">
                  <c:v>43.237000000000002</c:v>
                </c:pt>
                <c:pt idx="209">
                  <c:v>31.762</c:v>
                </c:pt>
                <c:pt idx="210">
                  <c:v>48.716999999999999</c:v>
                </c:pt>
                <c:pt idx="211">
                  <c:v>51.910000000000004</c:v>
                </c:pt>
                <c:pt idx="212">
                  <c:v>51.600999999999999</c:v>
                </c:pt>
                <c:pt idx="213">
                  <c:v>51.369</c:v>
                </c:pt>
                <c:pt idx="214">
                  <c:v>47.197000000000003</c:v>
                </c:pt>
                <c:pt idx="215">
                  <c:v>46.966000000000001</c:v>
                </c:pt>
                <c:pt idx="216">
                  <c:v>44.941000000000003</c:v>
                </c:pt>
                <c:pt idx="217">
                  <c:v>47.08</c:v>
                </c:pt>
                <c:pt idx="218">
                  <c:v>49.893000000000001</c:v>
                </c:pt>
                <c:pt idx="219">
                  <c:v>50.185000000000002</c:v>
                </c:pt>
                <c:pt idx="220">
                  <c:v>47.963999999999999</c:v>
                </c:pt>
                <c:pt idx="221">
                  <c:v>44.895000000000003</c:v>
                </c:pt>
                <c:pt idx="222">
                  <c:v>43.502000000000002</c:v>
                </c:pt>
                <c:pt idx="223">
                  <c:v>44.63</c:v>
                </c:pt>
                <c:pt idx="224">
                  <c:v>32.609000000000002</c:v>
                </c:pt>
                <c:pt idx="225">
                  <c:v>31.965</c:v>
                </c:pt>
                <c:pt idx="226">
                  <c:v>38.652000000000001</c:v>
                </c:pt>
                <c:pt idx="227">
                  <c:v>33.234000000000002</c:v>
                </c:pt>
                <c:pt idx="228">
                  <c:v>27.673000000000002</c:v>
                </c:pt>
                <c:pt idx="229">
                  <c:v>34.451000000000001</c:v>
                </c:pt>
                <c:pt idx="230">
                  <c:v>41.14</c:v>
                </c:pt>
                <c:pt idx="231">
                  <c:v>46.181000000000004</c:v>
                </c:pt>
                <c:pt idx="232">
                  <c:v>29.654</c:v>
                </c:pt>
                <c:pt idx="233">
                  <c:v>25.401</c:v>
                </c:pt>
                <c:pt idx="234">
                  <c:v>46.417999999999999</c:v>
                </c:pt>
                <c:pt idx="235">
                  <c:v>41.353999999999999</c:v>
                </c:pt>
                <c:pt idx="236">
                  <c:v>32.94</c:v>
                </c:pt>
                <c:pt idx="237">
                  <c:v>41.317999999999998</c:v>
                </c:pt>
                <c:pt idx="238">
                  <c:v>45.777999999999999</c:v>
                </c:pt>
                <c:pt idx="239">
                  <c:v>43.527999999999999</c:v>
                </c:pt>
                <c:pt idx="240">
                  <c:v>30.619</c:v>
                </c:pt>
                <c:pt idx="241">
                  <c:v>43.383000000000003</c:v>
                </c:pt>
                <c:pt idx="242">
                  <c:v>23.019000000000002</c:v>
                </c:pt>
                <c:pt idx="243">
                  <c:v>37.866</c:v>
                </c:pt>
                <c:pt idx="244">
                  <c:v>37.058</c:v>
                </c:pt>
                <c:pt idx="245">
                  <c:v>34.938000000000002</c:v>
                </c:pt>
                <c:pt idx="246">
                  <c:v>41.042999999999999</c:v>
                </c:pt>
                <c:pt idx="247">
                  <c:v>35.777999999999999</c:v>
                </c:pt>
                <c:pt idx="248">
                  <c:v>41.448999999999998</c:v>
                </c:pt>
                <c:pt idx="249">
                  <c:v>33.878999999999998</c:v>
                </c:pt>
                <c:pt idx="250">
                  <c:v>31.804000000000002</c:v>
                </c:pt>
                <c:pt idx="251">
                  <c:v>23.585000000000001</c:v>
                </c:pt>
                <c:pt idx="252">
                  <c:v>41.258000000000003</c:v>
                </c:pt>
                <c:pt idx="253">
                  <c:v>40.038000000000004</c:v>
                </c:pt>
                <c:pt idx="254">
                  <c:v>28.435000000000002</c:v>
                </c:pt>
                <c:pt idx="255">
                  <c:v>13.36</c:v>
                </c:pt>
                <c:pt idx="256">
                  <c:v>31.805</c:v>
                </c:pt>
                <c:pt idx="257">
                  <c:v>36.255000000000003</c:v>
                </c:pt>
                <c:pt idx="258">
                  <c:v>31.105</c:v>
                </c:pt>
                <c:pt idx="259">
                  <c:v>40.640999999999998</c:v>
                </c:pt>
                <c:pt idx="260">
                  <c:v>40.173000000000002</c:v>
                </c:pt>
                <c:pt idx="261">
                  <c:v>38.615000000000002</c:v>
                </c:pt>
                <c:pt idx="262">
                  <c:v>40.237000000000002</c:v>
                </c:pt>
                <c:pt idx="263">
                  <c:v>38.902999999999999</c:v>
                </c:pt>
                <c:pt idx="264">
                  <c:v>37.192</c:v>
                </c:pt>
                <c:pt idx="265">
                  <c:v>23.346</c:v>
                </c:pt>
                <c:pt idx="266">
                  <c:v>15.196</c:v>
                </c:pt>
                <c:pt idx="267">
                  <c:v>31.010999999999999</c:v>
                </c:pt>
                <c:pt idx="268">
                  <c:v>27.594000000000001</c:v>
                </c:pt>
                <c:pt idx="269">
                  <c:v>16.556999999999999</c:v>
                </c:pt>
                <c:pt idx="270">
                  <c:v>18.687999999999999</c:v>
                </c:pt>
                <c:pt idx="271">
                  <c:v>22.041</c:v>
                </c:pt>
                <c:pt idx="272">
                  <c:v>25.209</c:v>
                </c:pt>
                <c:pt idx="273">
                  <c:v>31.675000000000001</c:v>
                </c:pt>
                <c:pt idx="274">
                  <c:v>33.372999999999998</c:v>
                </c:pt>
                <c:pt idx="275">
                  <c:v>32.749000000000002</c:v>
                </c:pt>
                <c:pt idx="276">
                  <c:v>33.795000000000002</c:v>
                </c:pt>
                <c:pt idx="277">
                  <c:v>34.786000000000001</c:v>
                </c:pt>
                <c:pt idx="278">
                  <c:v>10.898</c:v>
                </c:pt>
                <c:pt idx="279">
                  <c:v>24.291</c:v>
                </c:pt>
                <c:pt idx="280">
                  <c:v>16.085000000000001</c:v>
                </c:pt>
                <c:pt idx="281">
                  <c:v>31.531000000000002</c:v>
                </c:pt>
                <c:pt idx="282">
                  <c:v>25.314</c:v>
                </c:pt>
                <c:pt idx="283">
                  <c:v>19.676000000000002</c:v>
                </c:pt>
                <c:pt idx="284">
                  <c:v>23.731000000000002</c:v>
                </c:pt>
                <c:pt idx="285">
                  <c:v>20.411999999999999</c:v>
                </c:pt>
                <c:pt idx="286">
                  <c:v>17.086000000000002</c:v>
                </c:pt>
                <c:pt idx="287">
                  <c:v>30.080000000000002</c:v>
                </c:pt>
                <c:pt idx="288">
                  <c:v>27.489000000000001</c:v>
                </c:pt>
                <c:pt idx="289">
                  <c:v>17.766000000000002</c:v>
                </c:pt>
                <c:pt idx="290">
                  <c:v>28.042999999999999</c:v>
                </c:pt>
                <c:pt idx="291">
                  <c:v>14.093999999999999</c:v>
                </c:pt>
                <c:pt idx="292">
                  <c:v>6.2119999999999997</c:v>
                </c:pt>
                <c:pt idx="293">
                  <c:v>14.262</c:v>
                </c:pt>
                <c:pt idx="294">
                  <c:v>27.02</c:v>
                </c:pt>
                <c:pt idx="295">
                  <c:v>15.513</c:v>
                </c:pt>
                <c:pt idx="296">
                  <c:v>19.238</c:v>
                </c:pt>
                <c:pt idx="297">
                  <c:v>19.094999999999999</c:v>
                </c:pt>
                <c:pt idx="298">
                  <c:v>11.348000000000001</c:v>
                </c:pt>
                <c:pt idx="299">
                  <c:v>11.527000000000001</c:v>
                </c:pt>
                <c:pt idx="300">
                  <c:v>15.602</c:v>
                </c:pt>
                <c:pt idx="301">
                  <c:v>21.965</c:v>
                </c:pt>
                <c:pt idx="302">
                  <c:v>18.154</c:v>
                </c:pt>
                <c:pt idx="303">
                  <c:v>17.16</c:v>
                </c:pt>
                <c:pt idx="304">
                  <c:v>17.241</c:v>
                </c:pt>
                <c:pt idx="305">
                  <c:v>23.363</c:v>
                </c:pt>
                <c:pt idx="306">
                  <c:v>9.5129999999999999</c:v>
                </c:pt>
                <c:pt idx="307">
                  <c:v>15.756</c:v>
                </c:pt>
                <c:pt idx="308">
                  <c:v>23.855</c:v>
                </c:pt>
                <c:pt idx="309">
                  <c:v>23.257000000000001</c:v>
                </c:pt>
                <c:pt idx="310">
                  <c:v>21.31</c:v>
                </c:pt>
                <c:pt idx="311">
                  <c:v>15.748000000000001</c:v>
                </c:pt>
                <c:pt idx="312">
                  <c:v>8.4290000000000003</c:v>
                </c:pt>
                <c:pt idx="313">
                  <c:v>17.862000000000002</c:v>
                </c:pt>
                <c:pt idx="314">
                  <c:v>21.045999999999999</c:v>
                </c:pt>
                <c:pt idx="315">
                  <c:v>20.852</c:v>
                </c:pt>
                <c:pt idx="316">
                  <c:v>19.911999999999999</c:v>
                </c:pt>
                <c:pt idx="317">
                  <c:v>7.9990000000000006</c:v>
                </c:pt>
                <c:pt idx="318">
                  <c:v>10.782</c:v>
                </c:pt>
                <c:pt idx="319">
                  <c:v>20.458000000000002</c:v>
                </c:pt>
                <c:pt idx="320">
                  <c:v>11.942</c:v>
                </c:pt>
                <c:pt idx="321">
                  <c:v>12.624000000000001</c:v>
                </c:pt>
                <c:pt idx="322">
                  <c:v>7.0040000000000004</c:v>
                </c:pt>
                <c:pt idx="323">
                  <c:v>12.962</c:v>
                </c:pt>
                <c:pt idx="324">
                  <c:v>3.0350000000000001</c:v>
                </c:pt>
                <c:pt idx="325">
                  <c:v>7.19</c:v>
                </c:pt>
                <c:pt idx="326">
                  <c:v>11.498000000000001</c:v>
                </c:pt>
                <c:pt idx="327">
                  <c:v>11.577999999999999</c:v>
                </c:pt>
                <c:pt idx="328">
                  <c:v>4.7110000000000003</c:v>
                </c:pt>
                <c:pt idx="329">
                  <c:v>10.575000000000001</c:v>
                </c:pt>
                <c:pt idx="330">
                  <c:v>11.918000000000001</c:v>
                </c:pt>
                <c:pt idx="331">
                  <c:v>10.119</c:v>
                </c:pt>
                <c:pt idx="332">
                  <c:v>13.599</c:v>
                </c:pt>
                <c:pt idx="333">
                  <c:v>3.835</c:v>
                </c:pt>
                <c:pt idx="334">
                  <c:v>3.6339999999999999</c:v>
                </c:pt>
                <c:pt idx="335">
                  <c:v>5.49</c:v>
                </c:pt>
                <c:pt idx="336">
                  <c:v>7.46</c:v>
                </c:pt>
                <c:pt idx="337">
                  <c:v>13.881</c:v>
                </c:pt>
                <c:pt idx="338">
                  <c:v>17.327999999999999</c:v>
                </c:pt>
                <c:pt idx="339">
                  <c:v>9.3689999999999998</c:v>
                </c:pt>
                <c:pt idx="340">
                  <c:v>15.464</c:v>
                </c:pt>
                <c:pt idx="341">
                  <c:v>3.9170000000000003</c:v>
                </c:pt>
                <c:pt idx="342">
                  <c:v>4.7590000000000003</c:v>
                </c:pt>
                <c:pt idx="343">
                  <c:v>10.8</c:v>
                </c:pt>
                <c:pt idx="344">
                  <c:v>13.195</c:v>
                </c:pt>
                <c:pt idx="345">
                  <c:v>4.1450000000000005</c:v>
                </c:pt>
                <c:pt idx="346">
                  <c:v>5.117</c:v>
                </c:pt>
                <c:pt idx="347">
                  <c:v>14.815</c:v>
                </c:pt>
                <c:pt idx="348">
                  <c:v>5.5979999999999999</c:v>
                </c:pt>
                <c:pt idx="349">
                  <c:v>5.008</c:v>
                </c:pt>
                <c:pt idx="350">
                  <c:v>3.3380000000000001</c:v>
                </c:pt>
                <c:pt idx="351">
                  <c:v>15.333</c:v>
                </c:pt>
                <c:pt idx="352">
                  <c:v>12.702999999999999</c:v>
                </c:pt>
                <c:pt idx="353">
                  <c:v>4.4619999999999997</c:v>
                </c:pt>
                <c:pt idx="354">
                  <c:v>15.907</c:v>
                </c:pt>
                <c:pt idx="355">
                  <c:v>12.202999999999999</c:v>
                </c:pt>
                <c:pt idx="356">
                  <c:v>12.838000000000001</c:v>
                </c:pt>
                <c:pt idx="357">
                  <c:v>16.495999999999999</c:v>
                </c:pt>
                <c:pt idx="358">
                  <c:v>9.447000000000001</c:v>
                </c:pt>
                <c:pt idx="359">
                  <c:v>16.068999999999999</c:v>
                </c:pt>
                <c:pt idx="360">
                  <c:v>6.53</c:v>
                </c:pt>
                <c:pt idx="361">
                  <c:v>15.540000000000001</c:v>
                </c:pt>
                <c:pt idx="362">
                  <c:v>8.7949999999999999</c:v>
                </c:pt>
                <c:pt idx="363">
                  <c:v>11.659000000000001</c:v>
                </c:pt>
                <c:pt idx="364">
                  <c:v>8.6780000000000008</c:v>
                </c:pt>
                <c:pt idx="365">
                  <c:v>3.9115000000000002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4568"/>
        <c:axId val="611434960"/>
      </c:lineChart>
      <c:dateAx>
        <c:axId val="61143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4960"/>
        <c:crosses val="autoZero"/>
        <c:auto val="1"/>
        <c:lblOffset val="100"/>
        <c:baseTimeUnit val="days"/>
        <c:majorUnit val="1"/>
        <c:majorTimeUnit val="months"/>
      </c:dateAx>
      <c:valAx>
        <c:axId val="611434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4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17.37270019601004</c:v>
                </c:pt>
                <c:pt idx="1">
                  <c:v>17.454668943884425</c:v>
                </c:pt>
                <c:pt idx="2">
                  <c:v>17.543835254493839</c:v>
                </c:pt>
                <c:pt idx="3">
                  <c:v>17.640703788854964</c:v>
                </c:pt>
                <c:pt idx="4">
                  <c:v>17.7457789480267</c:v>
                </c:pt>
                <c:pt idx="5">
                  <c:v>17.859564878031001</c:v>
                </c:pt>
                <c:pt idx="6">
                  <c:v>17.982565470210425</c:v>
                </c:pt>
                <c:pt idx="7">
                  <c:v>18.11528436132479</c:v>
                </c:pt>
                <c:pt idx="8">
                  <c:v>18.257770351261897</c:v>
                </c:pt>
                <c:pt idx="9">
                  <c:v>18.409451428290382</c:v>
                </c:pt>
                <c:pt idx="10">
                  <c:v>18.569921490799743</c:v>
                </c:pt>
                <c:pt idx="11">
                  <c:v>18.738765072807247</c:v>
                </c:pt>
                <c:pt idx="12">
                  <c:v>18.915566833689837</c:v>
                </c:pt>
                <c:pt idx="13">
                  <c:v>19.099911559312833</c:v>
                </c:pt>
                <c:pt idx="14">
                  <c:v>19.291384172539274</c:v>
                </c:pt>
                <c:pt idx="15">
                  <c:v>19.489527960769557</c:v>
                </c:pt>
                <c:pt idx="16">
                  <c:v>19.693934549936678</c:v>
                </c:pt>
                <c:pt idx="17">
                  <c:v>19.904189282040594</c:v>
                </c:pt>
                <c:pt idx="18">
                  <c:v>20.119877657435065</c:v>
                </c:pt>
                <c:pt idx="19">
                  <c:v>20.34058525111023</c:v>
                </c:pt>
                <c:pt idx="20">
                  <c:v>20.56589775560694</c:v>
                </c:pt>
                <c:pt idx="21">
                  <c:v>20.795401075245511</c:v>
                </c:pt>
                <c:pt idx="22">
                  <c:v>21.030540942759604</c:v>
                </c:pt>
                <c:pt idx="23">
                  <c:v>21.27274107435376</c:v>
                </c:pt>
                <c:pt idx="24">
                  <c:v>21.521624928263709</c:v>
                </c:pt>
                <c:pt idx="25">
                  <c:v>21.776808062149694</c:v>
                </c:pt>
                <c:pt idx="26">
                  <c:v>22.037906198609683</c:v>
                </c:pt>
                <c:pt idx="27">
                  <c:v>22.304535231071359</c:v>
                </c:pt>
                <c:pt idx="28">
                  <c:v>22.576311218821857</c:v>
                </c:pt>
                <c:pt idx="29">
                  <c:v>22.852856812378025</c:v>
                </c:pt>
                <c:pt idx="30">
                  <c:v>23.133830173642856</c:v>
                </c:pt>
                <c:pt idx="31">
                  <c:v>23.418847887068932</c:v>
                </c:pt>
                <c:pt idx="32">
                  <c:v>23.707526717520356</c:v>
                </c:pt>
                <c:pt idx="33">
                  <c:v>23.999483611418512</c:v>
                </c:pt>
                <c:pt idx="34">
                  <c:v>24.294335702989009</c:v>
                </c:pt>
                <c:pt idx="35">
                  <c:v>24.591700311235634</c:v>
                </c:pt>
                <c:pt idx="36">
                  <c:v>24.892770010525286</c:v>
                </c:pt>
                <c:pt idx="37">
                  <c:v>25.198902166250882</c:v>
                </c:pt>
                <c:pt idx="38">
                  <c:v>25.509850606430323</c:v>
                </c:pt>
                <c:pt idx="39">
                  <c:v>25.825327824038904</c:v>
                </c:pt>
                <c:pt idx="40">
                  <c:v>26.145046458921136</c:v>
                </c:pt>
                <c:pt idx="41">
                  <c:v>26.468719298794941</c:v>
                </c:pt>
                <c:pt idx="42">
                  <c:v>26.796059273425591</c:v>
                </c:pt>
                <c:pt idx="43">
                  <c:v>27.126903523918745</c:v>
                </c:pt>
                <c:pt idx="44">
                  <c:v>27.460958889499942</c:v>
                </c:pt>
                <c:pt idx="45">
                  <c:v>27.7979387434724</c:v>
                </c:pt>
                <c:pt idx="46">
                  <c:v>28.137556589302456</c:v>
                </c:pt>
                <c:pt idx="47">
                  <c:v>28.479526057916136</c:v>
                </c:pt>
                <c:pt idx="48">
                  <c:v>28.823560901928847</c:v>
                </c:pt>
                <c:pt idx="49">
                  <c:v>29.169374987749727</c:v>
                </c:pt>
                <c:pt idx="50">
                  <c:v>29.517810292565915</c:v>
                </c:pt>
                <c:pt idx="51">
                  <c:v>29.869716669706452</c:v>
                </c:pt>
                <c:pt idx="52">
                  <c:v>30.224801362445096</c:v>
                </c:pt>
                <c:pt idx="53">
                  <c:v>30.582873352750752</c:v>
                </c:pt>
                <c:pt idx="54">
                  <c:v>30.94374143731843</c:v>
                </c:pt>
                <c:pt idx="55">
                  <c:v>31.307214428701915</c:v>
                </c:pt>
                <c:pt idx="56">
                  <c:v>31.673101145267712</c:v>
                </c:pt>
                <c:pt idx="57">
                  <c:v>32.041113879677027</c:v>
                </c:pt>
                <c:pt idx="58">
                  <c:v>32.410936980228726</c:v>
                </c:pt>
                <c:pt idx="59">
                  <c:v>32.78237907942966</c:v>
                </c:pt>
                <c:pt idx="60">
                  <c:v>33.155248780885984</c:v>
                </c:pt>
                <c:pt idx="61">
                  <c:v>33.529354655059826</c:v>
                </c:pt>
                <c:pt idx="62">
                  <c:v>33.904505229314701</c:v>
                </c:pt>
                <c:pt idx="63">
                  <c:v>34.28050898656916</c:v>
                </c:pt>
                <c:pt idx="64">
                  <c:v>34.658062807733508</c:v>
                </c:pt>
                <c:pt idx="65">
                  <c:v>35.037871403853607</c:v>
                </c:pt>
                <c:pt idx="66">
                  <c:v>35.419798044054801</c:v>
                </c:pt>
                <c:pt idx="67">
                  <c:v>35.803650484050522</c:v>
                </c:pt>
                <c:pt idx="68">
                  <c:v>36.189236414867061</c:v>
                </c:pt>
                <c:pt idx="69">
                  <c:v>36.576363455200955</c:v>
                </c:pt>
                <c:pt idx="70">
                  <c:v>36.964839151702122</c:v>
                </c:pt>
                <c:pt idx="71">
                  <c:v>37.35450407678568</c:v>
                </c:pt>
                <c:pt idx="72">
                  <c:v>37.745262719779646</c:v>
                </c:pt>
                <c:pt idx="73">
                  <c:v>38.136922617831424</c:v>
                </c:pt>
                <c:pt idx="74">
                  <c:v>38.529291258851138</c:v>
                </c:pt>
                <c:pt idx="75">
                  <c:v>38.922176088134449</c:v>
                </c:pt>
                <c:pt idx="76">
                  <c:v>39.315384510205455</c:v>
                </c:pt>
                <c:pt idx="77">
                  <c:v>39.708723897022637</c:v>
                </c:pt>
                <c:pt idx="78">
                  <c:v>40.105772215673468</c:v>
                </c:pt>
                <c:pt idx="79">
                  <c:v>40.509259192989568</c:v>
                </c:pt>
                <c:pt idx="80">
                  <c:v>40.917651348881471</c:v>
                </c:pt>
                <c:pt idx="81">
                  <c:v>41.329424049592781</c:v>
                </c:pt>
                <c:pt idx="82">
                  <c:v>41.743053220121375</c:v>
                </c:pt>
                <c:pt idx="83">
                  <c:v>42.157015358928241</c:v>
                </c:pt>
                <c:pt idx="84">
                  <c:v>42.569787556794729</c:v>
                </c:pt>
                <c:pt idx="85">
                  <c:v>42.979869646263083</c:v>
                </c:pt>
                <c:pt idx="86">
                  <c:v>43.385706508902665</c:v>
                </c:pt>
                <c:pt idx="87">
                  <c:v>43.785777107689412</c:v>
                </c:pt>
                <c:pt idx="88">
                  <c:v>44.178561086884159</c:v>
                </c:pt>
                <c:pt idx="89">
                  <c:v>44.562538796343176</c:v>
                </c:pt>
                <c:pt idx="90">
                  <c:v>44.93619132354813</c:v>
                </c:pt>
                <c:pt idx="91">
                  <c:v>45.298000518325424</c:v>
                </c:pt>
                <c:pt idx="92">
                  <c:v>45.65045122348446</c:v>
                </c:pt>
                <c:pt idx="93">
                  <c:v>45.996959320044688</c:v>
                </c:pt>
                <c:pt idx="94">
                  <c:v>46.337387613651337</c:v>
                </c:pt>
                <c:pt idx="95">
                  <c:v>46.671640347414424</c:v>
                </c:pt>
                <c:pt idx="96">
                  <c:v>46.999621872099851</c:v>
                </c:pt>
                <c:pt idx="97">
                  <c:v>47.321236665978709</c:v>
                </c:pt>
                <c:pt idx="98">
                  <c:v>47.636389337278281</c:v>
                </c:pt>
                <c:pt idx="99">
                  <c:v>47.944958800666605</c:v>
                </c:pt>
                <c:pt idx="100">
                  <c:v>48.246826840791414</c:v>
                </c:pt>
                <c:pt idx="101">
                  <c:v>48.541898048215792</c:v>
                </c:pt>
                <c:pt idx="102">
                  <c:v>48.830077148828238</c:v>
                </c:pt>
                <c:pt idx="103">
                  <c:v>49.111269004238601</c:v>
                </c:pt>
                <c:pt idx="104">
                  <c:v>49.385378627703361</c:v>
                </c:pt>
                <c:pt idx="105">
                  <c:v>49.652311184262061</c:v>
                </c:pt>
                <c:pt idx="106">
                  <c:v>49.91200359534556</c:v>
                </c:pt>
                <c:pt idx="107">
                  <c:v>50.16450443901401</c:v>
                </c:pt>
                <c:pt idx="108">
                  <c:v>50.409926379815801</c:v>
                </c:pt>
                <c:pt idx="109">
                  <c:v>56.097088499170283</c:v>
                </c:pt>
                <c:pt idx="110">
                  <c:v>56.3483649136328</c:v>
                </c:pt>
                <c:pt idx="111">
                  <c:v>56.592159716194949</c:v>
                </c:pt>
                <c:pt idx="112">
                  <c:v>56.828581851503401</c:v>
                </c:pt>
                <c:pt idx="113">
                  <c:v>57.05772704972626</c:v>
                </c:pt>
                <c:pt idx="114">
                  <c:v>57.279734188209808</c:v>
                </c:pt>
                <c:pt idx="115">
                  <c:v>57.494712124596369</c:v>
                </c:pt>
                <c:pt idx="116">
                  <c:v>57.702769622416525</c:v>
                </c:pt>
                <c:pt idx="117">
                  <c:v>57.90401535594247</c:v>
                </c:pt>
                <c:pt idx="118">
                  <c:v>58.098557913661345</c:v>
                </c:pt>
                <c:pt idx="119">
                  <c:v>58.286505798580492</c:v>
                </c:pt>
                <c:pt idx="120">
                  <c:v>58.467252498584735</c:v>
                </c:pt>
                <c:pt idx="121">
                  <c:v>58.64025595632431</c:v>
                </c:pt>
                <c:pt idx="122">
                  <c:v>58.805747539973169</c:v>
                </c:pt>
                <c:pt idx="123">
                  <c:v>58.96394111053516</c:v>
                </c:pt>
                <c:pt idx="124">
                  <c:v>59.115050375137571</c:v>
                </c:pt>
                <c:pt idx="125">
                  <c:v>59.259288892306095</c:v>
                </c:pt>
                <c:pt idx="126">
                  <c:v>59.396870069075234</c:v>
                </c:pt>
                <c:pt idx="127">
                  <c:v>59.5280071317287</c:v>
                </c:pt>
                <c:pt idx="128">
                  <c:v>59.652927450301668</c:v>
                </c:pt>
                <c:pt idx="129">
                  <c:v>59.77184428066122</c:v>
                </c:pt>
                <c:pt idx="130">
                  <c:v>59.884970757234214</c:v>
                </c:pt>
                <c:pt idx="131">
                  <c:v>59.992519885984478</c:v>
                </c:pt>
                <c:pt idx="132">
                  <c:v>60.094704553430184</c:v>
                </c:pt>
                <c:pt idx="133">
                  <c:v>60.191737520733653</c:v>
                </c:pt>
                <c:pt idx="134">
                  <c:v>60.282632283954491</c:v>
                </c:pt>
                <c:pt idx="135">
                  <c:v>60.366467646468536</c:v>
                </c:pt>
                <c:pt idx="136">
                  <c:v>60.443568256425941</c:v>
                </c:pt>
                <c:pt idx="137">
                  <c:v>60.514252206520993</c:v>
                </c:pt>
                <c:pt idx="138">
                  <c:v>60.578837371959871</c:v>
                </c:pt>
                <c:pt idx="139">
                  <c:v>60.637641399627427</c:v>
                </c:pt>
                <c:pt idx="140">
                  <c:v>60.690981718009425</c:v>
                </c:pt>
                <c:pt idx="141">
                  <c:v>60.739172219832703</c:v>
                </c:pt>
                <c:pt idx="142">
                  <c:v>60.782529871447572</c:v>
                </c:pt>
                <c:pt idx="143">
                  <c:v>60.821371358015789</c:v>
                </c:pt>
                <c:pt idx="144">
                  <c:v>60.85601309573255</c:v>
                </c:pt>
                <c:pt idx="145">
                  <c:v>60.886771259424883</c:v>
                </c:pt>
                <c:pt idx="146">
                  <c:v>60.913961783376422</c:v>
                </c:pt>
                <c:pt idx="147">
                  <c:v>60.93790034777976</c:v>
                </c:pt>
                <c:pt idx="148">
                  <c:v>60.95744751867187</c:v>
                </c:pt>
                <c:pt idx="149">
                  <c:v>60.971466043461689</c:v>
                </c:pt>
                <c:pt idx="150">
                  <c:v>60.980278910863902</c:v>
                </c:pt>
                <c:pt idx="151">
                  <c:v>60.984203054186551</c:v>
                </c:pt>
                <c:pt idx="152">
                  <c:v>60.983555124612515</c:v>
                </c:pt>
                <c:pt idx="153">
                  <c:v>60.978651489783424</c:v>
                </c:pt>
                <c:pt idx="154">
                  <c:v>60.969808229749383</c:v>
                </c:pt>
                <c:pt idx="155">
                  <c:v>60.957340459225442</c:v>
                </c:pt>
                <c:pt idx="156">
                  <c:v>60.941567320686097</c:v>
                </c:pt>
                <c:pt idx="157">
                  <c:v>60.922804031275092</c:v>
                </c:pt>
                <c:pt idx="158">
                  <c:v>60.901365488486888</c:v>
                </c:pt>
                <c:pt idx="159">
                  <c:v>60.877566263341315</c:v>
                </c:pt>
                <c:pt idx="160">
                  <c:v>60.851720592704709</c:v>
                </c:pt>
                <c:pt idx="161">
                  <c:v>60.824142372222077</c:v>
                </c:pt>
                <c:pt idx="162">
                  <c:v>60.794144019481521</c:v>
                </c:pt>
                <c:pt idx="163">
                  <c:v>60.760904131194167</c:v>
                </c:pt>
                <c:pt idx="164">
                  <c:v>60.724529023454593</c:v>
                </c:pt>
                <c:pt idx="165">
                  <c:v>60.685125930335751</c:v>
                </c:pt>
                <c:pt idx="166">
                  <c:v>60.642801907903724</c:v>
                </c:pt>
                <c:pt idx="167">
                  <c:v>60.597663830576892</c:v>
                </c:pt>
                <c:pt idx="168">
                  <c:v>60.549818382083785</c:v>
                </c:pt>
                <c:pt idx="169">
                  <c:v>60.499375803823064</c:v>
                </c:pt>
                <c:pt idx="170">
                  <c:v>60.446443206889462</c:v>
                </c:pt>
                <c:pt idx="171">
                  <c:v>60.391126761901909</c:v>
                </c:pt>
                <c:pt idx="172">
                  <c:v>60.333532431438194</c:v>
                </c:pt>
                <c:pt idx="173">
                  <c:v>60.27376603891426</c:v>
                </c:pt>
                <c:pt idx="174">
                  <c:v>60.211933203269162</c:v>
                </c:pt>
                <c:pt idx="175">
                  <c:v>60.148139264400932</c:v>
                </c:pt>
                <c:pt idx="176">
                  <c:v>60.082678591228962</c:v>
                </c:pt>
                <c:pt idx="177">
                  <c:v>60.015637973663033</c:v>
                </c:pt>
                <c:pt idx="178">
                  <c:v>59.946808561483799</c:v>
                </c:pt>
                <c:pt idx="179">
                  <c:v>59.875985449611292</c:v>
                </c:pt>
                <c:pt idx="180">
                  <c:v>59.802963817594105</c:v>
                </c:pt>
                <c:pt idx="181">
                  <c:v>59.727538933264057</c:v>
                </c:pt>
                <c:pt idx="182">
                  <c:v>59.649506154132119</c:v>
                </c:pt>
                <c:pt idx="183">
                  <c:v>59.568662104508014</c:v>
                </c:pt>
                <c:pt idx="184">
                  <c:v>59.484798342432036</c:v>
                </c:pt>
                <c:pt idx="185">
                  <c:v>59.397710481255885</c:v>
                </c:pt>
                <c:pt idx="186">
                  <c:v>59.307194238494418</c:v>
                </c:pt>
                <c:pt idx="187">
                  <c:v>59.213045443457943</c:v>
                </c:pt>
                <c:pt idx="188">
                  <c:v>59.115060037579994</c:v>
                </c:pt>
                <c:pt idx="189">
                  <c:v>59.013034083010012</c:v>
                </c:pt>
                <c:pt idx="190">
                  <c:v>58.90750113073485</c:v>
                </c:pt>
                <c:pt idx="191">
                  <c:v>58.799058438631157</c:v>
                </c:pt>
                <c:pt idx="192">
                  <c:v>58.687605086460614</c:v>
                </c:pt>
                <c:pt idx="193">
                  <c:v>58.57303936651131</c:v>
                </c:pt>
                <c:pt idx="194">
                  <c:v>58.455259635446616</c:v>
                </c:pt>
                <c:pt idx="195">
                  <c:v>58.334164320199598</c:v>
                </c:pt>
                <c:pt idx="196">
                  <c:v>58.209651922409456</c:v>
                </c:pt>
                <c:pt idx="197">
                  <c:v>58.081613371304449</c:v>
                </c:pt>
                <c:pt idx="198">
                  <c:v>57.949946094540934</c:v>
                </c:pt>
                <c:pt idx="199">
                  <c:v>57.814548815327257</c:v>
                </c:pt>
                <c:pt idx="200">
                  <c:v>57.675320361320686</c:v>
                </c:pt>
                <c:pt idx="201">
                  <c:v>57.532159664185158</c:v>
                </c:pt>
                <c:pt idx="202">
                  <c:v>57.384965774634665</c:v>
                </c:pt>
                <c:pt idx="203">
                  <c:v>57.233637856902071</c:v>
                </c:pt>
                <c:pt idx="204">
                  <c:v>57.078109394031266</c:v>
                </c:pt>
                <c:pt idx="205">
                  <c:v>56.918450581182938</c:v>
                </c:pt>
                <c:pt idx="206">
                  <c:v>56.754770307675336</c:v>
                </c:pt>
                <c:pt idx="207">
                  <c:v>56.587172984712304</c:v>
                </c:pt>
                <c:pt idx="208">
                  <c:v>56.415762979091205</c:v>
                </c:pt>
                <c:pt idx="209">
                  <c:v>56.240644608599169</c:v>
                </c:pt>
                <c:pt idx="210">
                  <c:v>56.061922145362665</c:v>
                </c:pt>
                <c:pt idx="211">
                  <c:v>55.879691059734014</c:v>
                </c:pt>
                <c:pt idx="212">
                  <c:v>55.694063357332645</c:v>
                </c:pt>
                <c:pt idx="213">
                  <c:v>55.505143189937904</c:v>
                </c:pt>
                <c:pt idx="214">
                  <c:v>55.313034670186347</c:v>
                </c:pt>
                <c:pt idx="215">
                  <c:v>55.117841864773496</c:v>
                </c:pt>
                <c:pt idx="216">
                  <c:v>54.919668796319435</c:v>
                </c:pt>
                <c:pt idx="217">
                  <c:v>54.718619439981673</c:v>
                </c:pt>
                <c:pt idx="218">
                  <c:v>54.514985193456887</c:v>
                </c:pt>
                <c:pt idx="219">
                  <c:v>54.308831818096081</c:v>
                </c:pt>
                <c:pt idx="220">
                  <c:v>54.099956496638754</c:v>
                </c:pt>
                <c:pt idx="221">
                  <c:v>53.88815650689417</c:v>
                </c:pt>
                <c:pt idx="222">
                  <c:v>53.673229338409023</c:v>
                </c:pt>
                <c:pt idx="223">
                  <c:v>53.454972689628576</c:v>
                </c:pt>
                <c:pt idx="224">
                  <c:v>53.23318446392792</c:v>
                </c:pt>
                <c:pt idx="225">
                  <c:v>53.007635547769723</c:v>
                </c:pt>
                <c:pt idx="226">
                  <c:v>52.778133030641477</c:v>
                </c:pt>
                <c:pt idx="227">
                  <c:v>52.544475404679773</c:v>
                </c:pt>
                <c:pt idx="228">
                  <c:v>52.306461357928292</c:v>
                </c:pt>
                <c:pt idx="229">
                  <c:v>52.06388977030565</c:v>
                </c:pt>
                <c:pt idx="230">
                  <c:v>51.816559714837751</c:v>
                </c:pt>
                <c:pt idx="231">
                  <c:v>51.564270450439345</c:v>
                </c:pt>
                <c:pt idx="232">
                  <c:v>51.307772954111563</c:v>
                </c:pt>
                <c:pt idx="233">
                  <c:v>51.04776784184871</c:v>
                </c:pt>
                <c:pt idx="234">
                  <c:v>50.784074733154505</c:v>
                </c:pt>
                <c:pt idx="235">
                  <c:v>50.516492415388427</c:v>
                </c:pt>
                <c:pt idx="236">
                  <c:v>50.244819860555374</c:v>
                </c:pt>
                <c:pt idx="237">
                  <c:v>49.968856234608964</c:v>
                </c:pt>
                <c:pt idx="238">
                  <c:v>49.688400890681649</c:v>
                </c:pt>
                <c:pt idx="239">
                  <c:v>49.403220062434848</c:v>
                </c:pt>
                <c:pt idx="240">
                  <c:v>49.113140700406127</c:v>
                </c:pt>
                <c:pt idx="241">
                  <c:v>48.81796271774985</c:v>
                </c:pt>
                <c:pt idx="242">
                  <c:v>48.517486209809711</c:v>
                </c:pt>
                <c:pt idx="243">
                  <c:v>48.211511455129248</c:v>
                </c:pt>
                <c:pt idx="244">
                  <c:v>47.899838924580493</c:v>
                </c:pt>
                <c:pt idx="245">
                  <c:v>47.582269264612378</c:v>
                </c:pt>
                <c:pt idx="246">
                  <c:v>47.258230587137312</c:v>
                </c:pt>
                <c:pt idx="247">
                  <c:v>46.927603152877886</c:v>
                </c:pt>
                <c:pt idx="248">
                  <c:v>46.590847476823598</c:v>
                </c:pt>
                <c:pt idx="249">
                  <c:v>46.248374147025523</c:v>
                </c:pt>
                <c:pt idx="250">
                  <c:v>45.900593412341777</c:v>
                </c:pt>
                <c:pt idx="251">
                  <c:v>45.547915185194249</c:v>
                </c:pt>
                <c:pt idx="252">
                  <c:v>45.190749050931444</c:v>
                </c:pt>
                <c:pt idx="253">
                  <c:v>44.829589507552136</c:v>
                </c:pt>
                <c:pt idx="254">
                  <c:v>44.464878316427509</c:v>
                </c:pt>
                <c:pt idx="255">
                  <c:v>44.097023763513008</c:v>
                </c:pt>
                <c:pt idx="256">
                  <c:v>43.726433769585682</c:v>
                </c:pt>
                <c:pt idx="257">
                  <c:v>43.353515894666828</c:v>
                </c:pt>
                <c:pt idx="258">
                  <c:v>42.97867733444847</c:v>
                </c:pt>
                <c:pt idx="259">
                  <c:v>42.602324918066017</c:v>
                </c:pt>
                <c:pt idx="260">
                  <c:v>42.221655219989586</c:v>
                </c:pt>
                <c:pt idx="261">
                  <c:v>41.834337790211364</c:v>
                </c:pt>
                <c:pt idx="262">
                  <c:v>41.441345041112911</c:v>
                </c:pt>
                <c:pt idx="263">
                  <c:v>41.043693201559201</c:v>
                </c:pt>
                <c:pt idx="264">
                  <c:v>40.642397606133201</c:v>
                </c:pt>
                <c:pt idx="265">
                  <c:v>40.238472392298178</c:v>
                </c:pt>
                <c:pt idx="266">
                  <c:v>39.832930963165175</c:v>
                </c:pt>
                <c:pt idx="267">
                  <c:v>39.426795059431782</c:v>
                </c:pt>
                <c:pt idx="268">
                  <c:v>39.020992748344391</c:v>
                </c:pt>
                <c:pt idx="269">
                  <c:v>38.616535380678755</c:v>
                </c:pt>
                <c:pt idx="270">
                  <c:v>38.214433452993703</c:v>
                </c:pt>
                <c:pt idx="271">
                  <c:v>37.815696609382485</c:v>
                </c:pt>
                <c:pt idx="272">
                  <c:v>37.421333647178393</c:v>
                </c:pt>
                <c:pt idx="273">
                  <c:v>37.032352516855674</c:v>
                </c:pt>
                <c:pt idx="274">
                  <c:v>36.64679493367354</c:v>
                </c:pt>
                <c:pt idx="275">
                  <c:v>36.261981045908485</c:v>
                </c:pt>
                <c:pt idx="276">
                  <c:v>35.878048908523432</c:v>
                </c:pt>
                <c:pt idx="277">
                  <c:v>35.495200611673816</c:v>
                </c:pt>
                <c:pt idx="278">
                  <c:v>35.113638104855717</c:v>
                </c:pt>
                <c:pt idx="279">
                  <c:v>34.73356319713551</c:v>
                </c:pt>
                <c:pt idx="280">
                  <c:v>34.355177560381897</c:v>
                </c:pt>
                <c:pt idx="281">
                  <c:v>33.978585552086471</c:v>
                </c:pt>
                <c:pt idx="282">
                  <c:v>33.603980754098011</c:v>
                </c:pt>
                <c:pt idx="283">
                  <c:v>33.231565422743373</c:v>
                </c:pt>
                <c:pt idx="284">
                  <c:v>32.861541745919972</c:v>
                </c:pt>
                <c:pt idx="285">
                  <c:v>32.494111844783276</c:v>
                </c:pt>
                <c:pt idx="286">
                  <c:v>32.129477773178714</c:v>
                </c:pt>
                <c:pt idx="287">
                  <c:v>31.767841519666352</c:v>
                </c:pt>
                <c:pt idx="288">
                  <c:v>31.408900794125554</c:v>
                </c:pt>
                <c:pt idx="289">
                  <c:v>31.052445062059991</c:v>
                </c:pt>
                <c:pt idx="290">
                  <c:v>30.698648263975926</c:v>
                </c:pt>
                <c:pt idx="291">
                  <c:v>30.347506477833246</c:v>
                </c:pt>
                <c:pt idx="292">
                  <c:v>29.999015609974446</c:v>
                </c:pt>
                <c:pt idx="293">
                  <c:v>29.653171398940589</c:v>
                </c:pt>
                <c:pt idx="294">
                  <c:v>29.309969422771992</c:v>
                </c:pt>
                <c:pt idx="295">
                  <c:v>28.969577750677413</c:v>
                </c:pt>
                <c:pt idx="296">
                  <c:v>28.632080491749491</c:v>
                </c:pt>
                <c:pt idx="297">
                  <c:v>28.297468577363272</c:v>
                </c:pt>
                <c:pt idx="298">
                  <c:v>27.965733360806418</c:v>
                </c:pt>
                <c:pt idx="299">
                  <c:v>27.636866043236431</c:v>
                </c:pt>
                <c:pt idx="300">
                  <c:v>27.310857700260801</c:v>
                </c:pt>
                <c:pt idx="301">
                  <c:v>26.987699313958171</c:v>
                </c:pt>
                <c:pt idx="302">
                  <c:v>26.666291847331038</c:v>
                </c:pt>
                <c:pt idx="303">
                  <c:v>26.345877083020916</c:v>
                </c:pt>
                <c:pt idx="304">
                  <c:v>26.026738039505112</c:v>
                </c:pt>
                <c:pt idx="305">
                  <c:v>25.709372089231938</c:v>
                </c:pt>
                <c:pt idx="306">
                  <c:v>25.394276364518998</c:v>
                </c:pt>
                <c:pt idx="307">
                  <c:v>25.081947780501892</c:v>
                </c:pt>
                <c:pt idx="308">
                  <c:v>24.77288305978453</c:v>
                </c:pt>
                <c:pt idx="309">
                  <c:v>24.467512001692405</c:v>
                </c:pt>
                <c:pt idx="310">
                  <c:v>24.166171139874084</c:v>
                </c:pt>
                <c:pt idx="311">
                  <c:v>23.86936006607818</c:v>
                </c:pt>
                <c:pt idx="312">
                  <c:v>23.577578201301527</c:v>
                </c:pt>
                <c:pt idx="313">
                  <c:v>23.291324797281433</c:v>
                </c:pt>
                <c:pt idx="314">
                  <c:v>23.011098931618946</c:v>
                </c:pt>
                <c:pt idx="315">
                  <c:v>22.737399509239108</c:v>
                </c:pt>
                <c:pt idx="316">
                  <c:v>22.468165263356699</c:v>
                </c:pt>
                <c:pt idx="317">
                  <c:v>22.201340320008384</c:v>
                </c:pt>
                <c:pt idx="318">
                  <c:v>21.937522133356392</c:v>
                </c:pt>
                <c:pt idx="319">
                  <c:v>21.677312437810851</c:v>
                </c:pt>
                <c:pt idx="320">
                  <c:v>21.42131267050322</c:v>
                </c:pt>
                <c:pt idx="321">
                  <c:v>21.17012396323452</c:v>
                </c:pt>
                <c:pt idx="322">
                  <c:v>20.924347125051991</c:v>
                </c:pt>
                <c:pt idx="323">
                  <c:v>20.68457081071876</c:v>
                </c:pt>
                <c:pt idx="324">
                  <c:v>20.451457578163989</c:v>
                </c:pt>
                <c:pt idx="325">
                  <c:v>20.225606582576972</c:v>
                </c:pt>
                <c:pt idx="326">
                  <c:v>20.007616782217262</c:v>
                </c:pt>
                <c:pt idx="327">
                  <c:v>19.798086679183157</c:v>
                </c:pt>
                <c:pt idx="328">
                  <c:v>19.597614300496947</c:v>
                </c:pt>
                <c:pt idx="329">
                  <c:v>19.406797322681562</c:v>
                </c:pt>
                <c:pt idx="330">
                  <c:v>19.223645368033381</c:v>
                </c:pt>
                <c:pt idx="331">
                  <c:v>19.046093005920184</c:v>
                </c:pt>
                <c:pt idx="332">
                  <c:v>18.874698547654909</c:v>
                </c:pt>
                <c:pt idx="333">
                  <c:v>18.709960170788197</c:v>
                </c:pt>
                <c:pt idx="334">
                  <c:v>18.552375753719758</c:v>
                </c:pt>
                <c:pt idx="335">
                  <c:v>18.402442872032964</c:v>
                </c:pt>
                <c:pt idx="336">
                  <c:v>18.260658784819611</c:v>
                </c:pt>
                <c:pt idx="337">
                  <c:v>18.127506338097891</c:v>
                </c:pt>
                <c:pt idx="338">
                  <c:v>18.003493467185628</c:v>
                </c:pt>
                <c:pt idx="339">
                  <c:v>17.889116446277885</c:v>
                </c:pt>
                <c:pt idx="340">
                  <c:v>17.784871192632295</c:v>
                </c:pt>
                <c:pt idx="341">
                  <c:v>17.691253259173347</c:v>
                </c:pt>
                <c:pt idx="342">
                  <c:v>17.608757838541234</c:v>
                </c:pt>
                <c:pt idx="343">
                  <c:v>17.537879739779648</c:v>
                </c:pt>
                <c:pt idx="344">
                  <c:v>17.479888556928625</c:v>
                </c:pt>
                <c:pt idx="345">
                  <c:v>17.435097165931285</c:v>
                </c:pt>
                <c:pt idx="346">
                  <c:v>17.402571664863416</c:v>
                </c:pt>
                <c:pt idx="347">
                  <c:v>17.381372551091101</c:v>
                </c:pt>
                <c:pt idx="348">
                  <c:v>17.370560954323505</c:v>
                </c:pt>
                <c:pt idx="349">
                  <c:v>17.369198632639879</c:v>
                </c:pt>
                <c:pt idx="350">
                  <c:v>17.376347980608934</c:v>
                </c:pt>
                <c:pt idx="351">
                  <c:v>17.391068959695591</c:v>
                </c:pt>
                <c:pt idx="352">
                  <c:v>17.412438974626543</c:v>
                </c:pt>
                <c:pt idx="353">
                  <c:v>17.439522307182255</c:v>
                </c:pt>
                <c:pt idx="354">
                  <c:v>17.471383888496611</c:v>
                </c:pt>
                <c:pt idx="355">
                  <c:v>17.5070893036429</c:v>
                </c:pt>
                <c:pt idx="356">
                  <c:v>17.54570482699285</c:v>
                </c:pt>
                <c:pt idx="357">
                  <c:v>17.586297316822442</c:v>
                </c:pt>
                <c:pt idx="358">
                  <c:v>17.629034622642415</c:v>
                </c:pt>
                <c:pt idx="359">
                  <c:v>17.675056895141218</c:v>
                </c:pt>
                <c:pt idx="360">
                  <c:v>17.724876049845847</c:v>
                </c:pt>
                <c:pt idx="361">
                  <c:v>17.779020313361912</c:v>
                </c:pt>
                <c:pt idx="362">
                  <c:v>17.838014446082212</c:v>
                </c:pt>
                <c:pt idx="363">
                  <c:v>17.902382790333487</c:v>
                </c:pt>
                <c:pt idx="364">
                  <c:v>17.972649278663496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6.9930000000000003</c:v>
                </c:pt>
                <c:pt idx="1">
                  <c:v>3.8420000000000001</c:v>
                </c:pt>
                <c:pt idx="2">
                  <c:v>17.437999999999999</c:v>
                </c:pt>
                <c:pt idx="3">
                  <c:v>14.495000000000001</c:v>
                </c:pt>
                <c:pt idx="4">
                  <c:v>2.984</c:v>
                </c:pt>
                <c:pt idx="5">
                  <c:v>6.7650000000000006</c:v>
                </c:pt>
                <c:pt idx="6">
                  <c:v>10.904</c:v>
                </c:pt>
                <c:pt idx="7">
                  <c:v>13.531000000000001</c:v>
                </c:pt>
                <c:pt idx="8">
                  <c:v>5.7140000000000004</c:v>
                </c:pt>
                <c:pt idx="9">
                  <c:v>5.1040000000000001</c:v>
                </c:pt>
                <c:pt idx="10">
                  <c:v>4.6920000000000002</c:v>
                </c:pt>
                <c:pt idx="11">
                  <c:v>9.4550000000000001</c:v>
                </c:pt>
                <c:pt idx="12">
                  <c:v>8.6059999999999999</c:v>
                </c:pt>
                <c:pt idx="13">
                  <c:v>9.7780000000000005</c:v>
                </c:pt>
                <c:pt idx="14">
                  <c:v>13.632</c:v>
                </c:pt>
                <c:pt idx="15">
                  <c:v>12.489000000000001</c:v>
                </c:pt>
                <c:pt idx="16">
                  <c:v>6.9320000000000004</c:v>
                </c:pt>
                <c:pt idx="17">
                  <c:v>19.712</c:v>
                </c:pt>
                <c:pt idx="18">
                  <c:v>20.206</c:v>
                </c:pt>
                <c:pt idx="19">
                  <c:v>5.69</c:v>
                </c:pt>
                <c:pt idx="20">
                  <c:v>10.708</c:v>
                </c:pt>
                <c:pt idx="21">
                  <c:v>5.875</c:v>
                </c:pt>
                <c:pt idx="22">
                  <c:v>7.4340000000000002</c:v>
                </c:pt>
                <c:pt idx="23">
                  <c:v>12.698</c:v>
                </c:pt>
                <c:pt idx="24">
                  <c:v>7.5490000000000004</c:v>
                </c:pt>
                <c:pt idx="25">
                  <c:v>14.811</c:v>
                </c:pt>
                <c:pt idx="26">
                  <c:v>5.2160000000000002</c:v>
                </c:pt>
                <c:pt idx="27">
                  <c:v>14.887</c:v>
                </c:pt>
                <c:pt idx="28">
                  <c:v>13.633000000000001</c:v>
                </c:pt>
                <c:pt idx="29">
                  <c:v>7.9450000000000003</c:v>
                </c:pt>
                <c:pt idx="30">
                  <c:v>8.1419999999999995</c:v>
                </c:pt>
                <c:pt idx="31">
                  <c:v>7.3940000000000001</c:v>
                </c:pt>
                <c:pt idx="32">
                  <c:v>21.411999999999999</c:v>
                </c:pt>
                <c:pt idx="33">
                  <c:v>16.367000000000001</c:v>
                </c:pt>
                <c:pt idx="34">
                  <c:v>14.729000000000001</c:v>
                </c:pt>
                <c:pt idx="35">
                  <c:v>11.811</c:v>
                </c:pt>
                <c:pt idx="36">
                  <c:v>8.7759999999999998</c:v>
                </c:pt>
                <c:pt idx="37">
                  <c:v>15.255000000000001</c:v>
                </c:pt>
                <c:pt idx="38">
                  <c:v>4.2919999999999998</c:v>
                </c:pt>
                <c:pt idx="39">
                  <c:v>11.383000000000001</c:v>
                </c:pt>
                <c:pt idx="40">
                  <c:v>13.452999999999999</c:v>
                </c:pt>
                <c:pt idx="41">
                  <c:v>22.022000000000002</c:v>
                </c:pt>
                <c:pt idx="42">
                  <c:v>4.8870000000000005</c:v>
                </c:pt>
                <c:pt idx="43">
                  <c:v>7.5170000000000003</c:v>
                </c:pt>
                <c:pt idx="44">
                  <c:v>27.794</c:v>
                </c:pt>
                <c:pt idx="45">
                  <c:v>25.658999999999999</c:v>
                </c:pt>
                <c:pt idx="46">
                  <c:v>25.241</c:v>
                </c:pt>
                <c:pt idx="47">
                  <c:v>26.966000000000001</c:v>
                </c:pt>
                <c:pt idx="48">
                  <c:v>15.217000000000001</c:v>
                </c:pt>
                <c:pt idx="49">
                  <c:v>29.14</c:v>
                </c:pt>
                <c:pt idx="50">
                  <c:v>23.492000000000001</c:v>
                </c:pt>
                <c:pt idx="51">
                  <c:v>10.608000000000001</c:v>
                </c:pt>
                <c:pt idx="52">
                  <c:v>7.8840000000000003</c:v>
                </c:pt>
                <c:pt idx="53">
                  <c:v>26.190999999999999</c:v>
                </c:pt>
                <c:pt idx="54">
                  <c:v>30.436</c:v>
                </c:pt>
                <c:pt idx="55">
                  <c:v>27.901</c:v>
                </c:pt>
                <c:pt idx="56">
                  <c:v>8.1289999999999996</c:v>
                </c:pt>
                <c:pt idx="57">
                  <c:v>32.246000000000002</c:v>
                </c:pt>
                <c:pt idx="58">
                  <c:v>27.548999999999999</c:v>
                </c:pt>
                <c:pt idx="59">
                  <c:v>30.187000000000001</c:v>
                </c:pt>
                <c:pt idx="60">
                  <c:v>15.030000000000001</c:v>
                </c:pt>
                <c:pt idx="61">
                  <c:v>14.563000000000001</c:v>
                </c:pt>
                <c:pt idx="62">
                  <c:v>26.498999999999999</c:v>
                </c:pt>
                <c:pt idx="63">
                  <c:v>29.779</c:v>
                </c:pt>
                <c:pt idx="64">
                  <c:v>10.818</c:v>
                </c:pt>
                <c:pt idx="65">
                  <c:v>10.399000000000001</c:v>
                </c:pt>
                <c:pt idx="66">
                  <c:v>22.498000000000001</c:v>
                </c:pt>
                <c:pt idx="67">
                  <c:v>35.225999999999999</c:v>
                </c:pt>
                <c:pt idx="68">
                  <c:v>34.817999999999998</c:v>
                </c:pt>
                <c:pt idx="69">
                  <c:v>25.738</c:v>
                </c:pt>
                <c:pt idx="70">
                  <c:v>29.384</c:v>
                </c:pt>
                <c:pt idx="71">
                  <c:v>34.734000000000002</c:v>
                </c:pt>
                <c:pt idx="72">
                  <c:v>25.699000000000002</c:v>
                </c:pt>
                <c:pt idx="73">
                  <c:v>17.654</c:v>
                </c:pt>
                <c:pt idx="74">
                  <c:v>27.98</c:v>
                </c:pt>
                <c:pt idx="75">
                  <c:v>22.873999999999999</c:v>
                </c:pt>
                <c:pt idx="76">
                  <c:v>18.196000000000002</c:v>
                </c:pt>
                <c:pt idx="77">
                  <c:v>9.370000000000001</c:v>
                </c:pt>
                <c:pt idx="78">
                  <c:v>36.523000000000003</c:v>
                </c:pt>
                <c:pt idx="79">
                  <c:v>33.297000000000004</c:v>
                </c:pt>
                <c:pt idx="80">
                  <c:v>36.301000000000002</c:v>
                </c:pt>
                <c:pt idx="81">
                  <c:v>42.597999999999999</c:v>
                </c:pt>
                <c:pt idx="82">
                  <c:v>41.93</c:v>
                </c:pt>
                <c:pt idx="83">
                  <c:v>33.323</c:v>
                </c:pt>
                <c:pt idx="84">
                  <c:v>34.225000000000001</c:v>
                </c:pt>
                <c:pt idx="85">
                  <c:v>39.588999999999999</c:v>
                </c:pt>
                <c:pt idx="86">
                  <c:v>42.96</c:v>
                </c:pt>
                <c:pt idx="87">
                  <c:v>44.956000000000003</c:v>
                </c:pt>
                <c:pt idx="88">
                  <c:v>41.789000000000001</c:v>
                </c:pt>
                <c:pt idx="89">
                  <c:v>40.597999999999999</c:v>
                </c:pt>
                <c:pt idx="90">
                  <c:v>41.280999999999999</c:v>
                </c:pt>
                <c:pt idx="91">
                  <c:v>37.768000000000001</c:v>
                </c:pt>
                <c:pt idx="92">
                  <c:v>46.100999999999999</c:v>
                </c:pt>
                <c:pt idx="93">
                  <c:v>45.454000000000001</c:v>
                </c:pt>
                <c:pt idx="94">
                  <c:v>44.46</c:v>
                </c:pt>
                <c:pt idx="95">
                  <c:v>33.49</c:v>
                </c:pt>
                <c:pt idx="96">
                  <c:v>47.988</c:v>
                </c:pt>
                <c:pt idx="97">
                  <c:v>46.698</c:v>
                </c:pt>
                <c:pt idx="98">
                  <c:v>28.060000000000002</c:v>
                </c:pt>
                <c:pt idx="99">
                  <c:v>31.079000000000001</c:v>
                </c:pt>
                <c:pt idx="100">
                  <c:v>8.0180000000000007</c:v>
                </c:pt>
                <c:pt idx="101">
                  <c:v>41.75</c:v>
                </c:pt>
                <c:pt idx="102">
                  <c:v>43.381999999999998</c:v>
                </c:pt>
                <c:pt idx="103">
                  <c:v>49.484000000000002</c:v>
                </c:pt>
                <c:pt idx="104">
                  <c:v>50.262</c:v>
                </c:pt>
                <c:pt idx="105">
                  <c:v>41.582999999999998</c:v>
                </c:pt>
                <c:pt idx="106">
                  <c:v>45.100999999999999</c:v>
                </c:pt>
                <c:pt idx="107">
                  <c:v>34.841000000000001</c:v>
                </c:pt>
                <c:pt idx="108">
                  <c:v>50.308</c:v>
                </c:pt>
                <c:pt idx="109">
                  <c:v>37.545999999999999</c:v>
                </c:pt>
                <c:pt idx="110">
                  <c:v>52.642000000000003</c:v>
                </c:pt>
                <c:pt idx="111">
                  <c:v>57.116</c:v>
                </c:pt>
                <c:pt idx="112">
                  <c:v>56.776000000000003</c:v>
                </c:pt>
                <c:pt idx="113">
                  <c:v>52.228999999999999</c:v>
                </c:pt>
                <c:pt idx="114">
                  <c:v>27.78</c:v>
                </c:pt>
                <c:pt idx="115">
                  <c:v>7.6020000000000003</c:v>
                </c:pt>
                <c:pt idx="116">
                  <c:v>20.772000000000002</c:v>
                </c:pt>
                <c:pt idx="117">
                  <c:v>17.231999999999999</c:v>
                </c:pt>
                <c:pt idx="118">
                  <c:v>26.236000000000001</c:v>
                </c:pt>
                <c:pt idx="119">
                  <c:v>15.508000000000001</c:v>
                </c:pt>
                <c:pt idx="120">
                  <c:v>19.507000000000001</c:v>
                </c:pt>
                <c:pt idx="121">
                  <c:v>46.338000000000001</c:v>
                </c:pt>
                <c:pt idx="122">
                  <c:v>57.173000000000002</c:v>
                </c:pt>
                <c:pt idx="123">
                  <c:v>50.017000000000003</c:v>
                </c:pt>
                <c:pt idx="124">
                  <c:v>34.169000000000004</c:v>
                </c:pt>
                <c:pt idx="125">
                  <c:v>33.286999999999999</c:v>
                </c:pt>
                <c:pt idx="126">
                  <c:v>29.988</c:v>
                </c:pt>
                <c:pt idx="127">
                  <c:v>54.928000000000004</c:v>
                </c:pt>
                <c:pt idx="128">
                  <c:v>21.882999999999999</c:v>
                </c:pt>
                <c:pt idx="129">
                  <c:v>41.058999999999997</c:v>
                </c:pt>
                <c:pt idx="130">
                  <c:v>38.264000000000003</c:v>
                </c:pt>
                <c:pt idx="131">
                  <c:v>40.584000000000003</c:v>
                </c:pt>
                <c:pt idx="132">
                  <c:v>43.515000000000001</c:v>
                </c:pt>
                <c:pt idx="133">
                  <c:v>46.642000000000003</c:v>
                </c:pt>
                <c:pt idx="134">
                  <c:v>21.445</c:v>
                </c:pt>
                <c:pt idx="135">
                  <c:v>13.456</c:v>
                </c:pt>
                <c:pt idx="136">
                  <c:v>56.977000000000004</c:v>
                </c:pt>
                <c:pt idx="137">
                  <c:v>35.326999999999998</c:v>
                </c:pt>
                <c:pt idx="138">
                  <c:v>44.109000000000002</c:v>
                </c:pt>
                <c:pt idx="139">
                  <c:v>59.624000000000002</c:v>
                </c:pt>
                <c:pt idx="140">
                  <c:v>37.716999999999999</c:v>
                </c:pt>
                <c:pt idx="141">
                  <c:v>27.751000000000001</c:v>
                </c:pt>
                <c:pt idx="142">
                  <c:v>38.225000000000001</c:v>
                </c:pt>
                <c:pt idx="143">
                  <c:v>28.048999999999999</c:v>
                </c:pt>
                <c:pt idx="144">
                  <c:v>47.71</c:v>
                </c:pt>
                <c:pt idx="145">
                  <c:v>52.585000000000001</c:v>
                </c:pt>
                <c:pt idx="146">
                  <c:v>58.157000000000004</c:v>
                </c:pt>
                <c:pt idx="147">
                  <c:v>49.124000000000002</c:v>
                </c:pt>
                <c:pt idx="148">
                  <c:v>38.158999999999999</c:v>
                </c:pt>
                <c:pt idx="149">
                  <c:v>52.389000000000003</c:v>
                </c:pt>
                <c:pt idx="150">
                  <c:v>57.667000000000002</c:v>
                </c:pt>
                <c:pt idx="151">
                  <c:v>35.224000000000004</c:v>
                </c:pt>
                <c:pt idx="152">
                  <c:v>51.256</c:v>
                </c:pt>
                <c:pt idx="153">
                  <c:v>53.749000000000002</c:v>
                </c:pt>
                <c:pt idx="154">
                  <c:v>8.027000000000001</c:v>
                </c:pt>
                <c:pt idx="155">
                  <c:v>44.871000000000002</c:v>
                </c:pt>
                <c:pt idx="156">
                  <c:v>44.122</c:v>
                </c:pt>
                <c:pt idx="157">
                  <c:v>50.032000000000004</c:v>
                </c:pt>
                <c:pt idx="158">
                  <c:v>59.5</c:v>
                </c:pt>
                <c:pt idx="159">
                  <c:v>57.619</c:v>
                </c:pt>
                <c:pt idx="160">
                  <c:v>57.338000000000001</c:v>
                </c:pt>
                <c:pt idx="161">
                  <c:v>46.999000000000002</c:v>
                </c:pt>
                <c:pt idx="162">
                  <c:v>49.933</c:v>
                </c:pt>
                <c:pt idx="163">
                  <c:v>57.172000000000004</c:v>
                </c:pt>
                <c:pt idx="164">
                  <c:v>52.34</c:v>
                </c:pt>
                <c:pt idx="165">
                  <c:v>51.514000000000003</c:v>
                </c:pt>
                <c:pt idx="166">
                  <c:v>45.959000000000003</c:v>
                </c:pt>
                <c:pt idx="167">
                  <c:v>16.141000000000002</c:v>
                </c:pt>
                <c:pt idx="168">
                  <c:v>43.242000000000004</c:v>
                </c:pt>
                <c:pt idx="169">
                  <c:v>33.728000000000002</c:v>
                </c:pt>
                <c:pt idx="170">
                  <c:v>36.093000000000004</c:v>
                </c:pt>
                <c:pt idx="171">
                  <c:v>36.488</c:v>
                </c:pt>
                <c:pt idx="172">
                  <c:v>37.932000000000002</c:v>
                </c:pt>
                <c:pt idx="173">
                  <c:v>21.951000000000001</c:v>
                </c:pt>
                <c:pt idx="174">
                  <c:v>40.716999999999999</c:v>
                </c:pt>
                <c:pt idx="175">
                  <c:v>53.856999999999999</c:v>
                </c:pt>
                <c:pt idx="176">
                  <c:v>57.503</c:v>
                </c:pt>
                <c:pt idx="177">
                  <c:v>9.1120000000000001</c:v>
                </c:pt>
                <c:pt idx="178">
                  <c:v>32.484000000000002</c:v>
                </c:pt>
                <c:pt idx="179">
                  <c:v>42.847999999999999</c:v>
                </c:pt>
                <c:pt idx="180">
                  <c:v>52.209000000000003</c:v>
                </c:pt>
                <c:pt idx="181">
                  <c:v>53.039000000000001</c:v>
                </c:pt>
                <c:pt idx="182">
                  <c:v>52.875</c:v>
                </c:pt>
                <c:pt idx="183">
                  <c:v>35.606000000000002</c:v>
                </c:pt>
                <c:pt idx="184">
                  <c:v>37.663000000000004</c:v>
                </c:pt>
                <c:pt idx="185">
                  <c:v>57.81</c:v>
                </c:pt>
                <c:pt idx="186">
                  <c:v>21.137</c:v>
                </c:pt>
                <c:pt idx="187">
                  <c:v>44.483000000000004</c:v>
                </c:pt>
                <c:pt idx="188">
                  <c:v>49.264000000000003</c:v>
                </c:pt>
                <c:pt idx="189">
                  <c:v>58.111000000000004</c:v>
                </c:pt>
                <c:pt idx="190">
                  <c:v>50.884</c:v>
                </c:pt>
                <c:pt idx="191">
                  <c:v>49.904000000000003</c:v>
                </c:pt>
                <c:pt idx="192">
                  <c:v>13.71</c:v>
                </c:pt>
                <c:pt idx="193">
                  <c:v>25.11</c:v>
                </c:pt>
                <c:pt idx="194">
                  <c:v>28.259</c:v>
                </c:pt>
                <c:pt idx="195">
                  <c:v>39.139000000000003</c:v>
                </c:pt>
                <c:pt idx="196">
                  <c:v>40.532000000000004</c:v>
                </c:pt>
                <c:pt idx="197">
                  <c:v>57.853000000000002</c:v>
                </c:pt>
                <c:pt idx="198">
                  <c:v>51.801000000000002</c:v>
                </c:pt>
                <c:pt idx="199">
                  <c:v>56.04</c:v>
                </c:pt>
                <c:pt idx="200">
                  <c:v>43.776000000000003</c:v>
                </c:pt>
                <c:pt idx="201">
                  <c:v>45.853999999999999</c:v>
                </c:pt>
                <c:pt idx="202">
                  <c:v>51.302</c:v>
                </c:pt>
                <c:pt idx="203">
                  <c:v>42.606999999999999</c:v>
                </c:pt>
                <c:pt idx="204">
                  <c:v>28.341000000000001</c:v>
                </c:pt>
                <c:pt idx="205">
                  <c:v>33.971000000000004</c:v>
                </c:pt>
                <c:pt idx="206">
                  <c:v>35.837000000000003</c:v>
                </c:pt>
                <c:pt idx="207">
                  <c:v>43.755000000000003</c:v>
                </c:pt>
                <c:pt idx="208">
                  <c:v>25.17</c:v>
                </c:pt>
                <c:pt idx="209">
                  <c:v>52.609000000000002</c:v>
                </c:pt>
                <c:pt idx="210">
                  <c:v>18.350999999999999</c:v>
                </c:pt>
                <c:pt idx="211">
                  <c:v>12.933</c:v>
                </c:pt>
                <c:pt idx="212">
                  <c:v>46.288000000000004</c:v>
                </c:pt>
                <c:pt idx="213">
                  <c:v>50.164999999999999</c:v>
                </c:pt>
                <c:pt idx="214">
                  <c:v>35.423999999999999</c:v>
                </c:pt>
                <c:pt idx="215">
                  <c:v>37.727000000000004</c:v>
                </c:pt>
                <c:pt idx="216">
                  <c:v>50.055</c:v>
                </c:pt>
                <c:pt idx="217">
                  <c:v>20.768000000000001</c:v>
                </c:pt>
                <c:pt idx="218">
                  <c:v>24.481999999999999</c:v>
                </c:pt>
                <c:pt idx="219">
                  <c:v>39.747</c:v>
                </c:pt>
                <c:pt idx="220">
                  <c:v>50.887999999999998</c:v>
                </c:pt>
                <c:pt idx="221">
                  <c:v>47.794000000000004</c:v>
                </c:pt>
                <c:pt idx="222">
                  <c:v>42.65</c:v>
                </c:pt>
                <c:pt idx="223">
                  <c:v>44.989000000000004</c:v>
                </c:pt>
                <c:pt idx="224">
                  <c:v>33.14</c:v>
                </c:pt>
                <c:pt idx="225">
                  <c:v>45.801000000000002</c:v>
                </c:pt>
                <c:pt idx="226">
                  <c:v>21.535</c:v>
                </c:pt>
                <c:pt idx="227">
                  <c:v>31.624000000000002</c:v>
                </c:pt>
                <c:pt idx="228">
                  <c:v>40.015000000000001</c:v>
                </c:pt>
                <c:pt idx="229">
                  <c:v>50.974000000000004</c:v>
                </c:pt>
                <c:pt idx="230">
                  <c:v>42.658999999999999</c:v>
                </c:pt>
                <c:pt idx="231">
                  <c:v>48.01</c:v>
                </c:pt>
                <c:pt idx="232">
                  <c:v>45.012999999999998</c:v>
                </c:pt>
                <c:pt idx="233">
                  <c:v>20.582000000000001</c:v>
                </c:pt>
                <c:pt idx="234">
                  <c:v>48.154000000000003</c:v>
                </c:pt>
                <c:pt idx="235">
                  <c:v>42.222000000000001</c:v>
                </c:pt>
                <c:pt idx="236">
                  <c:v>44.323</c:v>
                </c:pt>
                <c:pt idx="237">
                  <c:v>47.274000000000001</c:v>
                </c:pt>
                <c:pt idx="238">
                  <c:v>42.322000000000003</c:v>
                </c:pt>
                <c:pt idx="239">
                  <c:v>48.591000000000001</c:v>
                </c:pt>
                <c:pt idx="240">
                  <c:v>47.951000000000001</c:v>
                </c:pt>
                <c:pt idx="241">
                  <c:v>46.57</c:v>
                </c:pt>
                <c:pt idx="242">
                  <c:v>46.173999999999999</c:v>
                </c:pt>
                <c:pt idx="243">
                  <c:v>31.132999999999999</c:v>
                </c:pt>
                <c:pt idx="244">
                  <c:v>19.013999999999999</c:v>
                </c:pt>
                <c:pt idx="245">
                  <c:v>31.462</c:v>
                </c:pt>
                <c:pt idx="246">
                  <c:v>40.225000000000001</c:v>
                </c:pt>
                <c:pt idx="247">
                  <c:v>40.404000000000003</c:v>
                </c:pt>
                <c:pt idx="248">
                  <c:v>43.311</c:v>
                </c:pt>
                <c:pt idx="249">
                  <c:v>33.463000000000001</c:v>
                </c:pt>
                <c:pt idx="250">
                  <c:v>30.04</c:v>
                </c:pt>
                <c:pt idx="251">
                  <c:v>17.298000000000002</c:v>
                </c:pt>
                <c:pt idx="252">
                  <c:v>37.055999999999997</c:v>
                </c:pt>
                <c:pt idx="253">
                  <c:v>38.86</c:v>
                </c:pt>
                <c:pt idx="254">
                  <c:v>41.125999999999998</c:v>
                </c:pt>
                <c:pt idx="255">
                  <c:v>28.606000000000002</c:v>
                </c:pt>
                <c:pt idx="256">
                  <c:v>17.981999999999999</c:v>
                </c:pt>
                <c:pt idx="257">
                  <c:v>27.315000000000001</c:v>
                </c:pt>
                <c:pt idx="258">
                  <c:v>19.760000000000002</c:v>
                </c:pt>
                <c:pt idx="259">
                  <c:v>39.925000000000004</c:v>
                </c:pt>
                <c:pt idx="260">
                  <c:v>9.6229999999999993</c:v>
                </c:pt>
                <c:pt idx="261">
                  <c:v>32.9</c:v>
                </c:pt>
                <c:pt idx="262">
                  <c:v>27.658999999999999</c:v>
                </c:pt>
                <c:pt idx="263">
                  <c:v>11.356</c:v>
                </c:pt>
                <c:pt idx="264">
                  <c:v>37.872</c:v>
                </c:pt>
                <c:pt idx="265">
                  <c:v>31.664999999999999</c:v>
                </c:pt>
                <c:pt idx="266">
                  <c:v>33.481999999999999</c:v>
                </c:pt>
                <c:pt idx="267">
                  <c:v>30.335000000000001</c:v>
                </c:pt>
                <c:pt idx="268">
                  <c:v>33.521999999999998</c:v>
                </c:pt>
                <c:pt idx="269">
                  <c:v>20.984000000000002</c:v>
                </c:pt>
                <c:pt idx="270">
                  <c:v>22.96</c:v>
                </c:pt>
                <c:pt idx="271">
                  <c:v>28.849</c:v>
                </c:pt>
                <c:pt idx="272">
                  <c:v>17.655999999999999</c:v>
                </c:pt>
                <c:pt idx="273">
                  <c:v>28.763999999999999</c:v>
                </c:pt>
                <c:pt idx="274">
                  <c:v>34.966999999999999</c:v>
                </c:pt>
                <c:pt idx="275">
                  <c:v>6.5890000000000004</c:v>
                </c:pt>
                <c:pt idx="276">
                  <c:v>31.17</c:v>
                </c:pt>
                <c:pt idx="277">
                  <c:v>13.839</c:v>
                </c:pt>
                <c:pt idx="278">
                  <c:v>23.303000000000001</c:v>
                </c:pt>
                <c:pt idx="279">
                  <c:v>34.859000000000002</c:v>
                </c:pt>
                <c:pt idx="280">
                  <c:v>32.082999999999998</c:v>
                </c:pt>
                <c:pt idx="281">
                  <c:v>15.371</c:v>
                </c:pt>
                <c:pt idx="282">
                  <c:v>27.908000000000001</c:v>
                </c:pt>
                <c:pt idx="283">
                  <c:v>33.384999999999998</c:v>
                </c:pt>
                <c:pt idx="284">
                  <c:v>31.751000000000001</c:v>
                </c:pt>
                <c:pt idx="285">
                  <c:v>30.52</c:v>
                </c:pt>
                <c:pt idx="286">
                  <c:v>33.105000000000004</c:v>
                </c:pt>
                <c:pt idx="287">
                  <c:v>28.908999999999999</c:v>
                </c:pt>
                <c:pt idx="288">
                  <c:v>30.185000000000002</c:v>
                </c:pt>
                <c:pt idx="289">
                  <c:v>27.908999999999999</c:v>
                </c:pt>
                <c:pt idx="290">
                  <c:v>30.063000000000002</c:v>
                </c:pt>
                <c:pt idx="291">
                  <c:v>29.619</c:v>
                </c:pt>
                <c:pt idx="292">
                  <c:v>23.821999999999999</c:v>
                </c:pt>
                <c:pt idx="293">
                  <c:v>14.756</c:v>
                </c:pt>
                <c:pt idx="294">
                  <c:v>11.656000000000001</c:v>
                </c:pt>
                <c:pt idx="295">
                  <c:v>30.204000000000001</c:v>
                </c:pt>
                <c:pt idx="296">
                  <c:v>29.423000000000002</c:v>
                </c:pt>
                <c:pt idx="297">
                  <c:v>26.969000000000001</c:v>
                </c:pt>
                <c:pt idx="298">
                  <c:v>23.263999999999999</c:v>
                </c:pt>
                <c:pt idx="299">
                  <c:v>26.189</c:v>
                </c:pt>
                <c:pt idx="300">
                  <c:v>27.173000000000002</c:v>
                </c:pt>
                <c:pt idx="301">
                  <c:v>15.242000000000001</c:v>
                </c:pt>
                <c:pt idx="302">
                  <c:v>10.016</c:v>
                </c:pt>
                <c:pt idx="303">
                  <c:v>16.917000000000002</c:v>
                </c:pt>
                <c:pt idx="304">
                  <c:v>16.052</c:v>
                </c:pt>
                <c:pt idx="305">
                  <c:v>24.013000000000002</c:v>
                </c:pt>
                <c:pt idx="306">
                  <c:v>14.702</c:v>
                </c:pt>
                <c:pt idx="307">
                  <c:v>15.055</c:v>
                </c:pt>
                <c:pt idx="308">
                  <c:v>10.502000000000001</c:v>
                </c:pt>
                <c:pt idx="309">
                  <c:v>12.021000000000001</c:v>
                </c:pt>
                <c:pt idx="310">
                  <c:v>7.7750000000000004</c:v>
                </c:pt>
                <c:pt idx="311">
                  <c:v>17.891999999999999</c:v>
                </c:pt>
                <c:pt idx="312">
                  <c:v>15.761000000000001</c:v>
                </c:pt>
                <c:pt idx="313">
                  <c:v>6.2549999999999999</c:v>
                </c:pt>
                <c:pt idx="314">
                  <c:v>10.896000000000001</c:v>
                </c:pt>
                <c:pt idx="315">
                  <c:v>6.9130000000000003</c:v>
                </c:pt>
                <c:pt idx="316">
                  <c:v>5.2869999999999999</c:v>
                </c:pt>
                <c:pt idx="317">
                  <c:v>6.0010000000000003</c:v>
                </c:pt>
                <c:pt idx="318">
                  <c:v>4.8049999999999997</c:v>
                </c:pt>
                <c:pt idx="319">
                  <c:v>8.5139999999999993</c:v>
                </c:pt>
                <c:pt idx="320">
                  <c:v>2.7269999999999999</c:v>
                </c:pt>
                <c:pt idx="321">
                  <c:v>14.987</c:v>
                </c:pt>
                <c:pt idx="322">
                  <c:v>20.527999999999999</c:v>
                </c:pt>
                <c:pt idx="323">
                  <c:v>15.93</c:v>
                </c:pt>
                <c:pt idx="324">
                  <c:v>8.120000000000001</c:v>
                </c:pt>
                <c:pt idx="325">
                  <c:v>16.654</c:v>
                </c:pt>
                <c:pt idx="326">
                  <c:v>11.13</c:v>
                </c:pt>
                <c:pt idx="327">
                  <c:v>1.7450000000000001</c:v>
                </c:pt>
                <c:pt idx="328">
                  <c:v>13.859</c:v>
                </c:pt>
                <c:pt idx="329">
                  <c:v>7.2949999999999999</c:v>
                </c:pt>
                <c:pt idx="330">
                  <c:v>13.795</c:v>
                </c:pt>
                <c:pt idx="331">
                  <c:v>6.1850000000000005</c:v>
                </c:pt>
                <c:pt idx="332">
                  <c:v>7.0360000000000005</c:v>
                </c:pt>
                <c:pt idx="333">
                  <c:v>17.893000000000001</c:v>
                </c:pt>
                <c:pt idx="334">
                  <c:v>4.0419999999999998</c:v>
                </c:pt>
                <c:pt idx="335">
                  <c:v>8.5660000000000007</c:v>
                </c:pt>
                <c:pt idx="336">
                  <c:v>12.304</c:v>
                </c:pt>
                <c:pt idx="337">
                  <c:v>6.0309999999999997</c:v>
                </c:pt>
                <c:pt idx="338">
                  <c:v>8.9649999999999999</c:v>
                </c:pt>
                <c:pt idx="339">
                  <c:v>9.8849999999999998</c:v>
                </c:pt>
                <c:pt idx="340">
                  <c:v>5.0440000000000005</c:v>
                </c:pt>
                <c:pt idx="341">
                  <c:v>8.9340000000000011</c:v>
                </c:pt>
                <c:pt idx="342">
                  <c:v>7.1820000000000004</c:v>
                </c:pt>
                <c:pt idx="343">
                  <c:v>2.056</c:v>
                </c:pt>
                <c:pt idx="344">
                  <c:v>10.131</c:v>
                </c:pt>
                <c:pt idx="345">
                  <c:v>16.920999999999999</c:v>
                </c:pt>
                <c:pt idx="346">
                  <c:v>17.466000000000001</c:v>
                </c:pt>
                <c:pt idx="347">
                  <c:v>17.670000000000002</c:v>
                </c:pt>
                <c:pt idx="348">
                  <c:v>16.224</c:v>
                </c:pt>
                <c:pt idx="349">
                  <c:v>16.905000000000001</c:v>
                </c:pt>
                <c:pt idx="350">
                  <c:v>16.978000000000002</c:v>
                </c:pt>
                <c:pt idx="351">
                  <c:v>17.283000000000001</c:v>
                </c:pt>
                <c:pt idx="352">
                  <c:v>16.97</c:v>
                </c:pt>
                <c:pt idx="353">
                  <c:v>17.481999999999999</c:v>
                </c:pt>
                <c:pt idx="354">
                  <c:v>13.827</c:v>
                </c:pt>
                <c:pt idx="355">
                  <c:v>16.542000000000002</c:v>
                </c:pt>
                <c:pt idx="356">
                  <c:v>5.9539999999999997</c:v>
                </c:pt>
                <c:pt idx="357">
                  <c:v>10.891</c:v>
                </c:pt>
                <c:pt idx="358">
                  <c:v>8.73</c:v>
                </c:pt>
                <c:pt idx="359">
                  <c:v>9.98</c:v>
                </c:pt>
                <c:pt idx="360">
                  <c:v>9.141</c:v>
                </c:pt>
                <c:pt idx="361">
                  <c:v>4.8559999999999999</c:v>
                </c:pt>
                <c:pt idx="362">
                  <c:v>3.944</c:v>
                </c:pt>
                <c:pt idx="363">
                  <c:v>14.287000000000001</c:v>
                </c:pt>
                <c:pt idx="364">
                  <c:v>17.190999999999999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5744"/>
        <c:axId val="611436136"/>
      </c:lineChart>
      <c:dateAx>
        <c:axId val="611435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6136"/>
        <c:crosses val="autoZero"/>
        <c:auto val="1"/>
        <c:lblOffset val="100"/>
        <c:baseTimeUnit val="days"/>
        <c:majorUnit val="1"/>
        <c:majorTimeUnit val="months"/>
      </c:dateAx>
      <c:valAx>
        <c:axId val="6114361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57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19.837072790642353</c:v>
                </c:pt>
                <c:pt idx="1">
                  <c:v>19.932689484511382</c:v>
                </c:pt>
                <c:pt idx="2">
                  <c:v>20.036562323986242</c:v>
                </c:pt>
                <c:pt idx="3">
                  <c:v>20.149269304010708</c:v>
                </c:pt>
                <c:pt idx="4">
                  <c:v>20.271388418173725</c:v>
                </c:pt>
                <c:pt idx="5">
                  <c:v>20.4034976621294</c:v>
                </c:pt>
                <c:pt idx="6">
                  <c:v>20.54617503145365</c:v>
                </c:pt>
                <c:pt idx="7">
                  <c:v>20.699998518904316</c:v>
                </c:pt>
                <c:pt idx="8">
                  <c:v>20.865026922719153</c:v>
                </c:pt>
                <c:pt idx="9">
                  <c:v>21.040619200681284</c:v>
                </c:pt>
                <c:pt idx="10">
                  <c:v>21.226303602898788</c:v>
                </c:pt>
                <c:pt idx="11">
                  <c:v>21.421608377455204</c:v>
                </c:pt>
                <c:pt idx="12">
                  <c:v>21.626061771818218</c:v>
                </c:pt>
                <c:pt idx="13">
                  <c:v>21.839192029954706</c:v>
                </c:pt>
                <c:pt idx="14">
                  <c:v>22.060527399982565</c:v>
                </c:pt>
                <c:pt idx="15">
                  <c:v>22.289596106092752</c:v>
                </c:pt>
                <c:pt idx="16">
                  <c:v>22.525926392520059</c:v>
                </c:pt>
                <c:pt idx="17">
                  <c:v>22.769046497718048</c:v>
                </c:pt>
                <c:pt idx="18">
                  <c:v>23.018484662845186</c:v>
                </c:pt>
                <c:pt idx="19">
                  <c:v>23.273769125079035</c:v>
                </c:pt>
                <c:pt idx="20">
                  <c:v>23.534428125658966</c:v>
                </c:pt>
                <c:pt idx="21">
                  <c:v>23.799989896901206</c:v>
                </c:pt>
                <c:pt idx="22">
                  <c:v>24.072109576698733</c:v>
                </c:pt>
                <c:pt idx="23">
                  <c:v>24.352465214792961</c:v>
                </c:pt>
                <c:pt idx="24">
                  <c:v>24.640619482085494</c:v>
                </c:pt>
                <c:pt idx="25">
                  <c:v>24.936135037095223</c:v>
                </c:pt>
                <c:pt idx="26">
                  <c:v>25.238574536784945</c:v>
                </c:pt>
                <c:pt idx="27">
                  <c:v>25.5475006395402</c:v>
                </c:pt>
                <c:pt idx="28">
                  <c:v>25.86247599584831</c:v>
                </c:pt>
                <c:pt idx="29">
                  <c:v>26.183063286893361</c:v>
                </c:pt>
                <c:pt idx="30">
                  <c:v>26.508825221580981</c:v>
                </c:pt>
                <c:pt idx="31">
                  <c:v>26.839324465189147</c:v>
                </c:pt>
                <c:pt idx="32">
                  <c:v>27.174123680079752</c:v>
                </c:pt>
                <c:pt idx="33">
                  <c:v>27.512785524729079</c:v>
                </c:pt>
                <c:pt idx="34">
                  <c:v>27.854872659247569</c:v>
                </c:pt>
                <c:pt idx="35">
                  <c:v>28.199947740997473</c:v>
                </c:pt>
                <c:pt idx="36">
                  <c:v>28.549377364626363</c:v>
                </c:pt>
                <c:pt idx="37">
                  <c:v>28.904601201772135</c:v>
                </c:pt>
                <c:pt idx="38">
                  <c:v>29.265291348277145</c:v>
                </c:pt>
                <c:pt idx="39">
                  <c:v>29.631119832859998</c:v>
                </c:pt>
                <c:pt idx="40">
                  <c:v>30.001758684269543</c:v>
                </c:pt>
                <c:pt idx="41">
                  <c:v>30.37687993568241</c:v>
                </c:pt>
                <c:pt idx="42">
                  <c:v>30.756155622166101</c:v>
                </c:pt>
                <c:pt idx="43">
                  <c:v>31.139258047452213</c:v>
                </c:pt>
                <c:pt idx="44">
                  <c:v>31.525859237146062</c:v>
                </c:pt>
                <c:pt idx="45">
                  <c:v>31.915631270948378</c:v>
                </c:pt>
                <c:pt idx="46">
                  <c:v>32.308246232461705</c:v>
                </c:pt>
                <c:pt idx="47">
                  <c:v>32.703376212926628</c:v>
                </c:pt>
                <c:pt idx="48">
                  <c:v>33.10069331171217</c:v>
                </c:pt>
                <c:pt idx="49">
                  <c:v>33.499869634493592</c:v>
                </c:pt>
                <c:pt idx="50">
                  <c:v>33.90187102650755</c:v>
                </c:pt>
                <c:pt idx="51">
                  <c:v>34.307736002674638</c:v>
                </c:pt>
                <c:pt idx="52">
                  <c:v>34.717245582507481</c:v>
                </c:pt>
                <c:pt idx="53">
                  <c:v>35.130181146223983</c:v>
                </c:pt>
                <c:pt idx="54">
                  <c:v>35.546324074066959</c:v>
                </c:pt>
                <c:pt idx="55">
                  <c:v>35.965455751371231</c:v>
                </c:pt>
                <c:pt idx="56">
                  <c:v>36.387357564997181</c:v>
                </c:pt>
                <c:pt idx="57">
                  <c:v>36.811810518837675</c:v>
                </c:pt>
                <c:pt idx="58">
                  <c:v>37.238595416589391</c:v>
                </c:pt>
                <c:pt idx="59">
                  <c:v>37.667493525251039</c:v>
                </c:pt>
                <c:pt idx="60">
                  <c:v>38.09828610467455</c:v>
                </c:pt>
                <c:pt idx="61">
                  <c:v>38.530754409423466</c:v>
                </c:pt>
                <c:pt idx="62">
                  <c:v>38.964679683897714</c:v>
                </c:pt>
                <c:pt idx="63">
                  <c:v>39.399843167114398</c:v>
                </c:pt>
                <c:pt idx="64">
                  <c:v>39.837046495407918</c:v>
                </c:pt>
                <c:pt idx="65">
                  <c:v>40.27709145352916</c:v>
                </c:pt>
                <c:pt idx="66">
                  <c:v>40.719759715362763</c:v>
                </c:pt>
                <c:pt idx="67">
                  <c:v>41.164832560314828</c:v>
                </c:pt>
                <c:pt idx="68">
                  <c:v>41.612091265983473</c:v>
                </c:pt>
                <c:pt idx="69">
                  <c:v>42.061317102922793</c:v>
                </c:pt>
                <c:pt idx="70">
                  <c:v>42.512291337916956</c:v>
                </c:pt>
                <c:pt idx="71">
                  <c:v>42.964795450486662</c:v>
                </c:pt>
                <c:pt idx="72">
                  <c:v>43.418611468480456</c:v>
                </c:pt>
                <c:pt idx="73">
                  <c:v>43.873520768683875</c:v>
                </c:pt>
                <c:pt idx="74">
                  <c:v>44.329304730066831</c:v>
                </c:pt>
                <c:pt idx="75">
                  <c:v>44.785744737084435</c:v>
                </c:pt>
                <c:pt idx="76">
                  <c:v>45.24262217666265</c:v>
                </c:pt>
                <c:pt idx="77">
                  <c:v>45.69971844172229</c:v>
                </c:pt>
                <c:pt idx="78">
                  <c:v>46.161151664531857</c:v>
                </c:pt>
                <c:pt idx="79">
                  <c:v>46.630019805629544</c:v>
                </c:pt>
                <c:pt idx="80">
                  <c:v>47.104573395920745</c:v>
                </c:pt>
                <c:pt idx="81">
                  <c:v>47.583063229956686</c:v>
                </c:pt>
                <c:pt idx="82">
                  <c:v>48.063740110602588</c:v>
                </c:pt>
                <c:pt idx="83">
                  <c:v>48.54485484632508</c:v>
                </c:pt>
                <c:pt idx="84">
                  <c:v>49.024658251285565</c:v>
                </c:pt>
                <c:pt idx="85">
                  <c:v>49.501401355144665</c:v>
                </c:pt>
                <c:pt idx="86">
                  <c:v>49.973334603417307</c:v>
                </c:pt>
                <c:pt idx="87">
                  <c:v>50.438708810044503</c:v>
                </c:pt>
                <c:pt idx="88">
                  <c:v>50.895774796744028</c:v>
                </c:pt>
                <c:pt idx="89">
                  <c:v>51.342783390692446</c:v>
                </c:pt>
                <c:pt idx="90">
                  <c:v>51.777985429481639</c:v>
                </c:pt>
                <c:pt idx="91">
                  <c:v>52.199631756121398</c:v>
                </c:pt>
                <c:pt idx="92">
                  <c:v>52.610583284213561</c:v>
                </c:pt>
                <c:pt idx="93">
                  <c:v>53.014793964996585</c:v>
                </c:pt>
                <c:pt idx="94">
                  <c:v>53.412154141019649</c:v>
                </c:pt>
                <c:pt idx="95">
                  <c:v>53.802554550971742</c:v>
                </c:pt>
                <c:pt idx="96">
                  <c:v>54.185885930763106</c:v>
                </c:pt>
                <c:pt idx="97">
                  <c:v>54.562039025046012</c:v>
                </c:pt>
                <c:pt idx="98">
                  <c:v>54.93090457867568</c:v>
                </c:pt>
                <c:pt idx="99">
                  <c:v>55.292372816909023</c:v>
                </c:pt>
                <c:pt idx="100">
                  <c:v>55.646334047852413</c:v>
                </c:pt>
                <c:pt idx="101">
                  <c:v>55.992678911164433</c:v>
                </c:pt>
                <c:pt idx="102">
                  <c:v>56.331298047693423</c:v>
                </c:pt>
                <c:pt idx="103">
                  <c:v>56.662082089479199</c:v>
                </c:pt>
                <c:pt idx="104">
                  <c:v>56.984921667455374</c:v>
                </c:pt>
                <c:pt idx="105">
                  <c:v>57.299707400716478</c:v>
                </c:pt>
                <c:pt idx="106">
                  <c:v>57.606366354173645</c:v>
                </c:pt>
                <c:pt idx="107">
                  <c:v>57.904970893659595</c:v>
                </c:pt>
                <c:pt idx="108">
                  <c:v>58.195630715252882</c:v>
                </c:pt>
                <c:pt idx="109">
                  <c:v>58.478455073462399</c:v>
                </c:pt>
                <c:pt idx="110">
                  <c:v>58.753553216555773</c:v>
                </c:pt>
                <c:pt idx="111">
                  <c:v>59.021034376970007</c:v>
                </c:pt>
                <c:pt idx="112">
                  <c:v>59.281007786672461</c:v>
                </c:pt>
                <c:pt idx="113">
                  <c:v>59.533582190361479</c:v>
                </c:pt>
                <c:pt idx="114">
                  <c:v>59.778867700049588</c:v>
                </c:pt>
                <c:pt idx="115">
                  <c:v>60.016973569957678</c:v>
                </c:pt>
                <c:pt idx="116">
                  <c:v>60.24800904555039</c:v>
                </c:pt>
                <c:pt idx="117">
                  <c:v>60.472083365292313</c:v>
                </c:pt>
                <c:pt idx="118">
                  <c:v>60.689305760855184</c:v>
                </c:pt>
                <c:pt idx="119">
                  <c:v>60.899785453915875</c:v>
                </c:pt>
                <c:pt idx="120">
                  <c:v>61.10288457067805</c:v>
                </c:pt>
                <c:pt idx="121">
                  <c:v>61.29803778604763</c:v>
                </c:pt>
                <c:pt idx="122">
                  <c:v>61.485464406612493</c:v>
                </c:pt>
                <c:pt idx="123">
                  <c:v>61.665382998640332</c:v>
                </c:pt>
                <c:pt idx="124">
                  <c:v>61.83801212175743</c:v>
                </c:pt>
                <c:pt idx="125">
                  <c:v>62.003570331184932</c:v>
                </c:pt>
                <c:pt idx="126">
                  <c:v>62.162276171527694</c:v>
                </c:pt>
                <c:pt idx="127">
                  <c:v>62.31434819742163</c:v>
                </c:pt>
                <c:pt idx="128">
                  <c:v>62.460005794467705</c:v>
                </c:pt>
                <c:pt idx="129">
                  <c:v>62.599467579792318</c:v>
                </c:pt>
                <c:pt idx="130">
                  <c:v>62.732952173422127</c:v>
                </c:pt>
                <c:pt idx="131">
                  <c:v>62.860678189147258</c:v>
                </c:pt>
                <c:pt idx="132">
                  <c:v>62.98286424247754</c:v>
                </c:pt>
                <c:pt idx="133">
                  <c:v>63.099728943282692</c:v>
                </c:pt>
                <c:pt idx="134">
                  <c:v>63.21023361249518</c:v>
                </c:pt>
                <c:pt idx="135">
                  <c:v>63.313412304942219</c:v>
                </c:pt>
                <c:pt idx="136">
                  <c:v>63.40959351796706</c:v>
                </c:pt>
                <c:pt idx="137">
                  <c:v>63.499105225506227</c:v>
                </c:pt>
                <c:pt idx="138">
                  <c:v>63.582275405545843</c:v>
                </c:pt>
                <c:pt idx="139">
                  <c:v>63.659432030476452</c:v>
                </c:pt>
                <c:pt idx="140">
                  <c:v>63.730903079642317</c:v>
                </c:pt>
                <c:pt idx="141">
                  <c:v>63.797016269802107</c:v>
                </c:pt>
                <c:pt idx="142">
                  <c:v>63.858099523041091</c:v>
                </c:pt>
                <c:pt idx="143">
                  <c:v>63.914480791040297</c:v>
                </c:pt>
                <c:pt idx="144">
                  <c:v>63.966488018208629</c:v>
                </c:pt>
                <c:pt idx="145">
                  <c:v>64.014449147758015</c:v>
                </c:pt>
                <c:pt idx="146">
                  <c:v>64.05869212692302</c:v>
                </c:pt>
                <c:pt idx="147">
                  <c:v>64.099544897394537</c:v>
                </c:pt>
                <c:pt idx="148">
                  <c:v>64.135804792341006</c:v>
                </c:pt>
                <c:pt idx="149">
                  <c:v>64.166269328744363</c:v>
                </c:pt>
                <c:pt idx="150">
                  <c:v>64.191266705003002</c:v>
                </c:pt>
                <c:pt idx="151">
                  <c:v>64.211124905220188</c:v>
                </c:pt>
                <c:pt idx="152">
                  <c:v>64.226171909425943</c:v>
                </c:pt>
                <c:pt idx="153">
                  <c:v>64.23673569939055</c:v>
                </c:pt>
                <c:pt idx="154">
                  <c:v>64.243144261771221</c:v>
                </c:pt>
                <c:pt idx="155">
                  <c:v>64.245725623323281</c:v>
                </c:pt>
                <c:pt idx="156">
                  <c:v>64.244808176141703</c:v>
                </c:pt>
                <c:pt idx="157">
                  <c:v>64.240719941595671</c:v>
                </c:pt>
                <c:pt idx="158">
                  <c:v>64.233788943166644</c:v>
                </c:pt>
                <c:pt idx="159">
                  <c:v>64.224343206456851</c:v>
                </c:pt>
                <c:pt idx="160">
                  <c:v>64.212710758068852</c:v>
                </c:pt>
                <c:pt idx="161">
                  <c:v>64.199219624847956</c:v>
                </c:pt>
                <c:pt idx="162">
                  <c:v>64.183140984808887</c:v>
                </c:pt>
                <c:pt idx="163">
                  <c:v>64.163600690688384</c:v>
                </c:pt>
                <c:pt idx="164">
                  <c:v>64.140707867241844</c:v>
                </c:pt>
                <c:pt idx="165">
                  <c:v>64.114571897817726</c:v>
                </c:pt>
                <c:pt idx="166">
                  <c:v>64.085302165187358</c:v>
                </c:pt>
                <c:pt idx="167">
                  <c:v>64.053008053483694</c:v>
                </c:pt>
                <c:pt idx="168">
                  <c:v>64.017798943888664</c:v>
                </c:pt>
                <c:pt idx="169">
                  <c:v>63.979784728188754</c:v>
                </c:pt>
                <c:pt idx="170">
                  <c:v>63.939074755630948</c:v>
                </c:pt>
                <c:pt idx="171">
                  <c:v>63.895778433225026</c:v>
                </c:pt>
                <c:pt idx="172">
                  <c:v>63.850005164252238</c:v>
                </c:pt>
                <c:pt idx="173">
                  <c:v>63.801864362333291</c:v>
                </c:pt>
                <c:pt idx="174">
                  <c:v>63.751465441137839</c:v>
                </c:pt>
                <c:pt idx="175">
                  <c:v>63.698917799334211</c:v>
                </c:pt>
                <c:pt idx="176">
                  <c:v>63.644531273449239</c:v>
                </c:pt>
                <c:pt idx="177">
                  <c:v>63.588397102741162</c:v>
                </c:pt>
                <c:pt idx="178">
                  <c:v>63.530296103155834</c:v>
                </c:pt>
                <c:pt idx="179">
                  <c:v>63.470009652999195</c:v>
                </c:pt>
                <c:pt idx="180">
                  <c:v>63.407319126423708</c:v>
                </c:pt>
                <c:pt idx="181">
                  <c:v>63.342005895860993</c:v>
                </c:pt>
                <c:pt idx="182">
                  <c:v>63.273851331438784</c:v>
                </c:pt>
                <c:pt idx="183">
                  <c:v>63.202637183965358</c:v>
                </c:pt>
                <c:pt idx="184">
                  <c:v>63.128144191365458</c:v>
                </c:pt>
                <c:pt idx="185">
                  <c:v>63.050153707415816</c:v>
                </c:pt>
                <c:pt idx="186">
                  <c:v>62.968447082935803</c:v>
                </c:pt>
                <c:pt idx="187">
                  <c:v>62.882805669202249</c:v>
                </c:pt>
                <c:pt idx="188">
                  <c:v>62.793010813204646</c:v>
                </c:pt>
                <c:pt idx="189">
                  <c:v>62.698843861317293</c:v>
                </c:pt>
                <c:pt idx="190">
                  <c:v>62.600869684607339</c:v>
                </c:pt>
                <c:pt idx="191">
                  <c:v>62.499725310846138</c:v>
                </c:pt>
                <c:pt idx="192">
                  <c:v>62.395301309048527</c:v>
                </c:pt>
                <c:pt idx="193">
                  <c:v>62.287488327228182</c:v>
                </c:pt>
                <c:pt idx="194">
                  <c:v>62.176177013948625</c:v>
                </c:pt>
                <c:pt idx="195">
                  <c:v>62.061258017948816</c:v>
                </c:pt>
                <c:pt idx="196">
                  <c:v>61.942621986300168</c:v>
                </c:pt>
                <c:pt idx="197">
                  <c:v>61.820159030071466</c:v>
                </c:pt>
                <c:pt idx="198">
                  <c:v>61.693759343098407</c:v>
                </c:pt>
                <c:pt idx="199">
                  <c:v>61.563313555127728</c:v>
                </c:pt>
                <c:pt idx="200">
                  <c:v>61.428712298231822</c:v>
                </c:pt>
                <c:pt idx="201">
                  <c:v>61.289846201295845</c:v>
                </c:pt>
                <c:pt idx="202">
                  <c:v>61.146605901366627</c:v>
                </c:pt>
                <c:pt idx="203">
                  <c:v>60.998882033493913</c:v>
                </c:pt>
                <c:pt idx="204">
                  <c:v>60.846601678384822</c:v>
                </c:pt>
                <c:pt idx="205">
                  <c:v>60.689837783237088</c:v>
                </c:pt>
                <c:pt idx="206">
                  <c:v>60.528700462840348</c:v>
                </c:pt>
                <c:pt idx="207">
                  <c:v>60.363299030384255</c:v>
                </c:pt>
                <c:pt idx="208">
                  <c:v>60.193742804274727</c:v>
                </c:pt>
                <c:pt idx="209">
                  <c:v>60.020141100872877</c:v>
                </c:pt>
                <c:pt idx="210">
                  <c:v>59.842603236252202</c:v>
                </c:pt>
                <c:pt idx="211">
                  <c:v>59.661236314391793</c:v>
                </c:pt>
                <c:pt idx="212">
                  <c:v>59.4761502144678</c:v>
                </c:pt>
                <c:pt idx="213">
                  <c:v>59.274484211586596</c:v>
                </c:pt>
                <c:pt idx="214">
                  <c:v>59.069415330870676</c:v>
                </c:pt>
                <c:pt idx="215">
                  <c:v>58.861055038920128</c:v>
                </c:pt>
                <c:pt idx="216">
                  <c:v>58.649514698991595</c:v>
                </c:pt>
                <c:pt idx="217">
                  <c:v>58.434905570119682</c:v>
                </c:pt>
                <c:pt idx="218">
                  <c:v>58.217538987358829</c:v>
                </c:pt>
                <c:pt idx="219">
                  <c:v>57.997503217087797</c:v>
                </c:pt>
                <c:pt idx="220">
                  <c:v>57.774581553046978</c:v>
                </c:pt>
                <c:pt idx="221">
                  <c:v>57.548557572353864</c:v>
                </c:pt>
                <c:pt idx="222">
                  <c:v>57.319215042456939</c:v>
                </c:pt>
                <c:pt idx="223">
                  <c:v>57.086337921626871</c:v>
                </c:pt>
                <c:pt idx="224">
                  <c:v>56.849710358162341</c:v>
                </c:pt>
                <c:pt idx="225">
                  <c:v>56.609111198951261</c:v>
                </c:pt>
                <c:pt idx="226">
                  <c:v>56.364327252925939</c:v>
                </c:pt>
                <c:pt idx="227">
                  <c:v>56.115143222057746</c:v>
                </c:pt>
                <c:pt idx="228">
                  <c:v>55.861343998847474</c:v>
                </c:pt>
                <c:pt idx="229">
                  <c:v>55.602714664571188</c:v>
                </c:pt>
                <c:pt idx="230">
                  <c:v>55.339040492912559</c:v>
                </c:pt>
                <c:pt idx="231">
                  <c:v>55.070106944327009</c:v>
                </c:pt>
                <c:pt idx="232">
                  <c:v>54.796715659413401</c:v>
                </c:pt>
                <c:pt idx="233">
                  <c:v>54.519658704228881</c:v>
                </c:pt>
                <c:pt idx="234">
                  <c:v>54.238725367935267</c:v>
                </c:pt>
                <c:pt idx="235">
                  <c:v>53.953700540391615</c:v>
                </c:pt>
                <c:pt idx="236">
                  <c:v>53.664369305129618</c:v>
                </c:pt>
                <c:pt idx="237">
                  <c:v>53.370516934630778</c:v>
                </c:pt>
                <c:pt idx="238">
                  <c:v>53.071928892456484</c:v>
                </c:pt>
                <c:pt idx="239">
                  <c:v>52.768385087748108</c:v>
                </c:pt>
                <c:pt idx="240">
                  <c:v>52.45967695761658</c:v>
                </c:pt>
                <c:pt idx="241">
                  <c:v>52.145590531259522</c:v>
                </c:pt>
                <c:pt idx="242">
                  <c:v>51.825912021487362</c:v>
                </c:pt>
                <c:pt idx="243">
                  <c:v>51.500427825305756</c:v>
                </c:pt>
                <c:pt idx="244">
                  <c:v>51.168924533078723</c:v>
                </c:pt>
                <c:pt idx="245">
                  <c:v>50.831188910005714</c:v>
                </c:pt>
                <c:pt idx="246">
                  <c:v>50.486609962492381</c:v>
                </c:pt>
                <c:pt idx="247">
                  <c:v>50.135017527128966</c:v>
                </c:pt>
                <c:pt idx="248">
                  <c:v>49.776859053357221</c:v>
                </c:pt>
                <c:pt idx="249">
                  <c:v>49.412572642062287</c:v>
                </c:pt>
                <c:pt idx="250">
                  <c:v>49.042596017728265</c:v>
                </c:pt>
                <c:pt idx="251">
                  <c:v>48.667366530411122</c:v>
                </c:pt>
                <c:pt idx="252">
                  <c:v>48.287321164919369</c:v>
                </c:pt>
                <c:pt idx="253">
                  <c:v>47.902905611729743</c:v>
                </c:pt>
                <c:pt idx="254">
                  <c:v>47.514561874252095</c:v>
                </c:pt>
                <c:pt idx="255">
                  <c:v>47.122725818033381</c:v>
                </c:pt>
                <c:pt idx="256">
                  <c:v>46.727832933021446</c:v>
                </c:pt>
                <c:pt idx="257">
                  <c:v>46.330318340244588</c:v>
                </c:pt>
                <c:pt idx="258">
                  <c:v>45.930616790324628</c:v>
                </c:pt>
                <c:pt idx="259">
                  <c:v>45.529162663788753</c:v>
                </c:pt>
                <c:pt idx="260">
                  <c:v>45.12296323356879</c:v>
                </c:pt>
                <c:pt idx="261">
                  <c:v>44.709472902885189</c:v>
                </c:pt>
                <c:pt idx="262">
                  <c:v>44.289771667405965</c:v>
                </c:pt>
                <c:pt idx="263">
                  <c:v>43.864944862126421</c:v>
                </c:pt>
                <c:pt idx="264">
                  <c:v>43.436076900045023</c:v>
                </c:pt>
                <c:pt idx="265">
                  <c:v>43.004251215571756</c:v>
                </c:pt>
                <c:pt idx="266">
                  <c:v>42.570550358649825</c:v>
                </c:pt>
                <c:pt idx="267">
                  <c:v>42.136066872720377</c:v>
                </c:pt>
                <c:pt idx="268">
                  <c:v>41.70187251500505</c:v>
                </c:pt>
                <c:pt idx="269">
                  <c:v>41.269047145342014</c:v>
                </c:pt>
                <c:pt idx="270">
                  <c:v>40.838669718040023</c:v>
                </c:pt>
                <c:pt idx="271">
                  <c:v>40.411818283999743</c:v>
                </c:pt>
                <c:pt idx="272">
                  <c:v>39.989569996579455</c:v>
                </c:pt>
                <c:pt idx="273">
                  <c:v>39.573001110746048</c:v>
                </c:pt>
                <c:pt idx="274">
                  <c:v>39.16002184321588</c:v>
                </c:pt>
                <c:pt idx="275">
                  <c:v>38.747930768998764</c:v>
                </c:pt>
                <c:pt idx="276">
                  <c:v>38.336931353044861</c:v>
                </c:pt>
                <c:pt idx="277">
                  <c:v>37.927238591640062</c:v>
                </c:pt>
                <c:pt idx="278">
                  <c:v>37.519067300261831</c:v>
                </c:pt>
                <c:pt idx="279">
                  <c:v>37.112632111169376</c:v>
                </c:pt>
                <c:pt idx="280">
                  <c:v>36.708147474309278</c:v>
                </c:pt>
                <c:pt idx="281">
                  <c:v>36.305798893082212</c:v>
                </c:pt>
                <c:pt idx="282">
                  <c:v>35.905790141912306</c:v>
                </c:pt>
                <c:pt idx="283">
                  <c:v>35.508335464900526</c:v>
                </c:pt>
                <c:pt idx="284">
                  <c:v>35.113648948482869</c:v>
                </c:pt>
                <c:pt idx="285">
                  <c:v>34.72194452191107</c:v>
                </c:pt>
                <c:pt idx="286">
                  <c:v>34.33343595608234</c:v>
                </c:pt>
                <c:pt idx="287">
                  <c:v>33.948336865941705</c:v>
                </c:pt>
                <c:pt idx="288">
                  <c:v>33.566322690332242</c:v>
                </c:pt>
                <c:pt idx="289">
                  <c:v>33.186974194090695</c:v>
                </c:pt>
                <c:pt idx="290">
                  <c:v>32.810325932582593</c:v>
                </c:pt>
                <c:pt idx="291">
                  <c:v>32.43637566171234</c:v>
                </c:pt>
                <c:pt idx="292">
                  <c:v>32.065121088691399</c:v>
                </c:pt>
                <c:pt idx="293">
                  <c:v>31.696559871742082</c:v>
                </c:pt>
                <c:pt idx="294">
                  <c:v>31.330689622386728</c:v>
                </c:pt>
                <c:pt idx="295">
                  <c:v>30.96755529742353</c:v>
                </c:pt>
                <c:pt idx="296">
                  <c:v>30.607180881512026</c:v>
                </c:pt>
                <c:pt idx="297">
                  <c:v>30.249562707670115</c:v>
                </c:pt>
                <c:pt idx="298">
                  <c:v>29.89469719003614</c:v>
                </c:pt>
                <c:pt idx="299">
                  <c:v>29.542580690200417</c:v>
                </c:pt>
                <c:pt idx="300">
                  <c:v>29.193209523128772</c:v>
                </c:pt>
                <c:pt idx="301">
                  <c:v>28.84657996742208</c:v>
                </c:pt>
                <c:pt idx="302">
                  <c:v>28.501525682697721</c:v>
                </c:pt>
                <c:pt idx="303">
                  <c:v>28.157247761527515</c:v>
                </c:pt>
                <c:pt idx="304">
                  <c:v>27.814234290045349</c:v>
                </c:pt>
                <c:pt idx="305">
                  <c:v>27.473019085741409</c:v>
                </c:pt>
                <c:pt idx="306">
                  <c:v>27.134135574362922</c:v>
                </c:pt>
                <c:pt idx="307">
                  <c:v>26.798116798559459</c:v>
                </c:pt>
                <c:pt idx="308">
                  <c:v>26.465495429187065</c:v>
                </c:pt>
                <c:pt idx="309">
                  <c:v>26.136786459633178</c:v>
                </c:pt>
                <c:pt idx="310">
                  <c:v>25.812477902428586</c:v>
                </c:pt>
                <c:pt idx="311">
                  <c:v>25.493102258391282</c:v>
                </c:pt>
                <c:pt idx="312">
                  <c:v>25.179191676934209</c:v>
                </c:pt>
                <c:pt idx="313">
                  <c:v>24.871277960881596</c:v>
                </c:pt>
                <c:pt idx="314">
                  <c:v>24.569892565624144</c:v>
                </c:pt>
                <c:pt idx="315">
                  <c:v>24.275566606105706</c:v>
                </c:pt>
                <c:pt idx="316">
                  <c:v>23.986101369212324</c:v>
                </c:pt>
                <c:pt idx="317">
                  <c:v>23.699352561728301</c:v>
                </c:pt>
                <c:pt idx="318">
                  <c:v>23.415952172758395</c:v>
                </c:pt>
                <c:pt idx="319">
                  <c:v>23.136540184747076</c:v>
                </c:pt>
                <c:pt idx="320">
                  <c:v>22.861756143594981</c:v>
                </c:pt>
                <c:pt idx="321">
                  <c:v>22.592239161418586</c:v>
                </c:pt>
                <c:pt idx="322">
                  <c:v>22.328627909688304</c:v>
                </c:pt>
                <c:pt idx="323">
                  <c:v>22.071557132043395</c:v>
                </c:pt>
                <c:pt idx="324">
                  <c:v>21.821680828090727</c:v>
                </c:pt>
                <c:pt idx="325">
                  <c:v>21.579636192065252</c:v>
                </c:pt>
                <c:pt idx="326">
                  <c:v>21.346060013904022</c:v>
                </c:pt>
                <c:pt idx="327">
                  <c:v>21.121588623875979</c:v>
                </c:pt>
                <c:pt idx="328">
                  <c:v>20.906857883453455</c:v>
                </c:pt>
                <c:pt idx="329">
                  <c:v>20.702503225536017</c:v>
                </c:pt>
                <c:pt idx="330">
                  <c:v>20.506401514573593</c:v>
                </c:pt>
                <c:pt idx="331">
                  <c:v>20.316357822279162</c:v>
                </c:pt>
                <c:pt idx="332">
                  <c:v>20.132920087776572</c:v>
                </c:pt>
                <c:pt idx="333">
                  <c:v>19.956618219846273</c:v>
                </c:pt>
                <c:pt idx="334">
                  <c:v>19.787981761173754</c:v>
                </c:pt>
                <c:pt idx="335">
                  <c:v>19.627539893012347</c:v>
                </c:pt>
                <c:pt idx="336">
                  <c:v>19.47582142888665</c:v>
                </c:pt>
                <c:pt idx="337">
                  <c:v>19.333351772504194</c:v>
                </c:pt>
                <c:pt idx="338">
                  <c:v>19.200662331474977</c:v>
                </c:pt>
                <c:pt idx="339">
                  <c:v>19.078280804846319</c:v>
                </c:pt>
                <c:pt idx="340">
                  <c:v>18.966734512510836</c:v>
                </c:pt>
                <c:pt idx="341">
                  <c:v>18.86655039334115</c:v>
                </c:pt>
                <c:pt idx="342">
                  <c:v>18.77825501497653</c:v>
                </c:pt>
                <c:pt idx="343">
                  <c:v>18.702374553895091</c:v>
                </c:pt>
                <c:pt idx="344">
                  <c:v>18.640260873700889</c:v>
                </c:pt>
                <c:pt idx="345">
                  <c:v>18.592246298216427</c:v>
                </c:pt>
                <c:pt idx="346">
                  <c:v>18.557328723394953</c:v>
                </c:pt>
                <c:pt idx="347">
                  <c:v>18.534506017517177</c:v>
                </c:pt>
                <c:pt idx="348">
                  <c:v>18.522776793979254</c:v>
                </c:pt>
                <c:pt idx="349">
                  <c:v>18.52114040246099</c:v>
                </c:pt>
                <c:pt idx="350">
                  <c:v>18.528596933316273</c:v>
                </c:pt>
                <c:pt idx="351">
                  <c:v>18.544145839304608</c:v>
                </c:pt>
                <c:pt idx="352">
                  <c:v>18.566791652535571</c:v>
                </c:pt>
                <c:pt idx="353">
                  <c:v>18.595536666016162</c:v>
                </c:pt>
                <c:pt idx="354">
                  <c:v>18.629383908330041</c:v>
                </c:pt>
                <c:pt idx="355">
                  <c:v>18.667337146475447</c:v>
                </c:pt>
                <c:pt idx="356">
                  <c:v>18.708400906469123</c:v>
                </c:pt>
                <c:pt idx="357">
                  <c:v>18.751580388604555</c:v>
                </c:pt>
                <c:pt idx="358">
                  <c:v>18.797053973018741</c:v>
                </c:pt>
                <c:pt idx="359">
                  <c:v>18.846036121293498</c:v>
                </c:pt>
                <c:pt idx="360">
                  <c:v>18.899083477639341</c:v>
                </c:pt>
                <c:pt idx="361">
                  <c:v>18.956756583528172</c:v>
                </c:pt>
                <c:pt idx="362">
                  <c:v>19.019614196438049</c:v>
                </c:pt>
                <c:pt idx="363">
                  <c:v>19.088214651137797</c:v>
                </c:pt>
                <c:pt idx="364">
                  <c:v>19.163115868721547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73">
                  <c:v>4.2519999999999998</c:v>
                </c:pt>
                <c:pt idx="274">
                  <c:v>37.603999999999999</c:v>
                </c:pt>
                <c:pt idx="275">
                  <c:v>37.164999999999999</c:v>
                </c:pt>
                <c:pt idx="276">
                  <c:v>35.950000000000003</c:v>
                </c:pt>
                <c:pt idx="277">
                  <c:v>35.628</c:v>
                </c:pt>
                <c:pt idx="278">
                  <c:v>33.067999999999998</c:v>
                </c:pt>
                <c:pt idx="279">
                  <c:v>12.294</c:v>
                </c:pt>
                <c:pt idx="280">
                  <c:v>12.217000000000001</c:v>
                </c:pt>
                <c:pt idx="281">
                  <c:v>33.241999999999997</c:v>
                </c:pt>
                <c:pt idx="282">
                  <c:v>18.212</c:v>
                </c:pt>
                <c:pt idx="283">
                  <c:v>25.311</c:v>
                </c:pt>
                <c:pt idx="284">
                  <c:v>31.262</c:v>
                </c:pt>
                <c:pt idx="285">
                  <c:v>27.513000000000002</c:v>
                </c:pt>
                <c:pt idx="286">
                  <c:v>30.286000000000001</c:v>
                </c:pt>
                <c:pt idx="287">
                  <c:v>10.467000000000001</c:v>
                </c:pt>
                <c:pt idx="288">
                  <c:v>17.056999999999999</c:v>
                </c:pt>
                <c:pt idx="289">
                  <c:v>21.744</c:v>
                </c:pt>
                <c:pt idx="290">
                  <c:v>10.292999999999999</c:v>
                </c:pt>
                <c:pt idx="291">
                  <c:v>22.702999999999999</c:v>
                </c:pt>
                <c:pt idx="292">
                  <c:v>9.7309999999999999</c:v>
                </c:pt>
                <c:pt idx="293">
                  <c:v>17.373000000000001</c:v>
                </c:pt>
                <c:pt idx="294">
                  <c:v>22.254999999999999</c:v>
                </c:pt>
                <c:pt idx="295">
                  <c:v>30.337</c:v>
                </c:pt>
                <c:pt idx="296">
                  <c:v>30.698</c:v>
                </c:pt>
                <c:pt idx="297">
                  <c:v>29.766999999999999</c:v>
                </c:pt>
                <c:pt idx="298">
                  <c:v>4.008</c:v>
                </c:pt>
                <c:pt idx="299">
                  <c:v>8.7970000000000006</c:v>
                </c:pt>
                <c:pt idx="300">
                  <c:v>3.625</c:v>
                </c:pt>
                <c:pt idx="301">
                  <c:v>4.3120000000000003</c:v>
                </c:pt>
                <c:pt idx="302">
                  <c:v>25.161999999999999</c:v>
                </c:pt>
                <c:pt idx="303">
                  <c:v>10.492000000000001</c:v>
                </c:pt>
                <c:pt idx="304">
                  <c:v>18.734000000000002</c:v>
                </c:pt>
                <c:pt idx="305">
                  <c:v>8.3290000000000006</c:v>
                </c:pt>
                <c:pt idx="306">
                  <c:v>25.122</c:v>
                </c:pt>
                <c:pt idx="307">
                  <c:v>21.498999999999999</c:v>
                </c:pt>
                <c:pt idx="308">
                  <c:v>9.4849999999999994</c:v>
                </c:pt>
                <c:pt idx="309">
                  <c:v>17.731999999999999</c:v>
                </c:pt>
                <c:pt idx="310">
                  <c:v>9.7379999999999995</c:v>
                </c:pt>
                <c:pt idx="311">
                  <c:v>13.156000000000001</c:v>
                </c:pt>
                <c:pt idx="312">
                  <c:v>5.351</c:v>
                </c:pt>
                <c:pt idx="313">
                  <c:v>16.806000000000001</c:v>
                </c:pt>
                <c:pt idx="314">
                  <c:v>19.417999999999999</c:v>
                </c:pt>
                <c:pt idx="315">
                  <c:v>21.288</c:v>
                </c:pt>
                <c:pt idx="316">
                  <c:v>7.7119999999999997</c:v>
                </c:pt>
                <c:pt idx="317">
                  <c:v>16.678000000000001</c:v>
                </c:pt>
                <c:pt idx="318">
                  <c:v>15.21</c:v>
                </c:pt>
                <c:pt idx="319">
                  <c:v>19.896999999999998</c:v>
                </c:pt>
                <c:pt idx="320">
                  <c:v>21.411000000000001</c:v>
                </c:pt>
                <c:pt idx="321">
                  <c:v>21.369</c:v>
                </c:pt>
                <c:pt idx="322">
                  <c:v>17.329999999999998</c:v>
                </c:pt>
                <c:pt idx="323">
                  <c:v>7.68</c:v>
                </c:pt>
                <c:pt idx="324">
                  <c:v>20.613</c:v>
                </c:pt>
                <c:pt idx="325">
                  <c:v>16.594000000000001</c:v>
                </c:pt>
                <c:pt idx="326">
                  <c:v>11.032</c:v>
                </c:pt>
                <c:pt idx="327">
                  <c:v>15.785</c:v>
                </c:pt>
                <c:pt idx="328">
                  <c:v>10.576000000000001</c:v>
                </c:pt>
                <c:pt idx="329">
                  <c:v>3.65</c:v>
                </c:pt>
                <c:pt idx="330">
                  <c:v>17.797000000000001</c:v>
                </c:pt>
                <c:pt idx="331">
                  <c:v>13.535</c:v>
                </c:pt>
                <c:pt idx="332">
                  <c:v>19.54</c:v>
                </c:pt>
                <c:pt idx="333">
                  <c:v>9.3539999999999992</c:v>
                </c:pt>
                <c:pt idx="334">
                  <c:v>15.047000000000001</c:v>
                </c:pt>
                <c:pt idx="335">
                  <c:v>6.7350000000000003</c:v>
                </c:pt>
                <c:pt idx="336">
                  <c:v>7.5720000000000001</c:v>
                </c:pt>
                <c:pt idx="337">
                  <c:v>5.391</c:v>
                </c:pt>
                <c:pt idx="338">
                  <c:v>14.91</c:v>
                </c:pt>
                <c:pt idx="339">
                  <c:v>11.667999999999999</c:v>
                </c:pt>
                <c:pt idx="340">
                  <c:v>15.199</c:v>
                </c:pt>
                <c:pt idx="341">
                  <c:v>10.272</c:v>
                </c:pt>
                <c:pt idx="342">
                  <c:v>5.2329999999999997</c:v>
                </c:pt>
                <c:pt idx="343">
                  <c:v>9.4619999999999997</c:v>
                </c:pt>
                <c:pt idx="344">
                  <c:v>16.05</c:v>
                </c:pt>
                <c:pt idx="345">
                  <c:v>3.2749999999999999</c:v>
                </c:pt>
                <c:pt idx="346">
                  <c:v>1.8440000000000001</c:v>
                </c:pt>
                <c:pt idx="347">
                  <c:v>2.58</c:v>
                </c:pt>
                <c:pt idx="348">
                  <c:v>5.67</c:v>
                </c:pt>
                <c:pt idx="349">
                  <c:v>3.145</c:v>
                </c:pt>
                <c:pt idx="350">
                  <c:v>14.499000000000001</c:v>
                </c:pt>
                <c:pt idx="351">
                  <c:v>10.932</c:v>
                </c:pt>
                <c:pt idx="352">
                  <c:v>16.690000000000001</c:v>
                </c:pt>
                <c:pt idx="353">
                  <c:v>8.8569999999999993</c:v>
                </c:pt>
                <c:pt idx="354">
                  <c:v>7.5890000000000004</c:v>
                </c:pt>
                <c:pt idx="355">
                  <c:v>6.0789999999999997</c:v>
                </c:pt>
                <c:pt idx="356">
                  <c:v>4.742</c:v>
                </c:pt>
                <c:pt idx="357">
                  <c:v>5.101</c:v>
                </c:pt>
                <c:pt idx="358">
                  <c:v>14.936999999999999</c:v>
                </c:pt>
                <c:pt idx="359">
                  <c:v>16.948</c:v>
                </c:pt>
                <c:pt idx="360">
                  <c:v>17.518999999999998</c:v>
                </c:pt>
                <c:pt idx="361">
                  <c:v>3.2149999999999999</c:v>
                </c:pt>
                <c:pt idx="362">
                  <c:v>4.4660000000000002</c:v>
                </c:pt>
                <c:pt idx="363">
                  <c:v>3.3079999999999998</c:v>
                </c:pt>
                <c:pt idx="364">
                  <c:v>5.6040000000000001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6920"/>
        <c:axId val="611437312"/>
      </c:lineChart>
      <c:dateAx>
        <c:axId val="611436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7312"/>
        <c:crosses val="autoZero"/>
        <c:auto val="1"/>
        <c:lblOffset val="100"/>
        <c:baseTimeUnit val="days"/>
        <c:majorUnit val="1"/>
        <c:majorTimeUnit val="months"/>
      </c:dateAx>
      <c:valAx>
        <c:axId val="6114373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69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1.9549813094950794E-4</c:v>
                </c:pt>
                <c:pt idx="214">
                  <c:v>3.9077563726979113E-4</c:v>
                </c:pt>
                <c:pt idx="215">
                  <c:v>5.8583127309492925E-4</c:v>
                </c:pt>
                <c:pt idx="216">
                  <c:v>7.8066387211572655E-4</c:v>
                </c:pt>
                <c:pt idx="217">
                  <c:v>9.7527232650977604E-4</c:v>
                </c:pt>
                <c:pt idx="218">
                  <c:v>1.1696555670883976E-3</c:v>
                </c:pt>
                <c:pt idx="219">
                  <c:v>1.3638125447541245E-3</c:v>
                </c:pt>
                <c:pt idx="220">
                  <c:v>1.5577422133358847E-3</c:v>
                </c:pt>
                <c:pt idx="221">
                  <c:v>1.7514435138419487E-3</c:v>
                </c:pt>
                <c:pt idx="222">
                  <c:v>1.9449153601445507E-3</c:v>
                </c:pt>
                <c:pt idx="223">
                  <c:v>2.1381566260843974E-3</c:v>
                </c:pt>
                <c:pt idx="224">
                  <c:v>2.331166133959321E-3</c:v>
                </c:pt>
                <c:pt idx="225">
                  <c:v>2.5239426443376574E-3</c:v>
                </c:pt>
                <c:pt idx="226">
                  <c:v>2.7164848471170188E-3</c:v>
                </c:pt>
                <c:pt idx="227">
                  <c:v>2.9087913537289294E-3</c:v>
                </c:pt>
                <c:pt idx="228">
                  <c:v>3.1008606903746212E-3</c:v>
                </c:pt>
                <c:pt idx="229">
                  <c:v>3.292691292162237E-3</c:v>
                </c:pt>
                <c:pt idx="230">
                  <c:v>3.4842814980053432E-3</c:v>
                </c:pt>
                <c:pt idx="231">
                  <c:v>3.6756295461345206E-3</c:v>
                </c:pt>
                <c:pt idx="232">
                  <c:v>3.8667335700682372E-3</c:v>
                </c:pt>
                <c:pt idx="233">
                  <c:v>4.0575915948883479E-3</c:v>
                </c:pt>
                <c:pt idx="234">
                  <c:v>4.2482015336659205E-3</c:v>
                </c:pt>
                <c:pt idx="235">
                  <c:v>4.4385611838885395E-3</c:v>
                </c:pt>
                <c:pt idx="236">
                  <c:v>4.6286682237471344E-3</c:v>
                </c:pt>
                <c:pt idx="237">
                  <c:v>4.8185202081517855E-3</c:v>
                </c:pt>
                <c:pt idx="238">
                  <c:v>5.0081145643586936E-3</c:v>
                </c:pt>
                <c:pt idx="239">
                  <c:v>5.1974485871073223E-3</c:v>
                </c:pt>
                <c:pt idx="240">
                  <c:v>5.3865194331851451E-3</c:v>
                </c:pt>
                <c:pt idx="241">
                  <c:v>5.5753241153578218E-3</c:v>
                </c:pt>
                <c:pt idx="242">
                  <c:v>5.7638594956259583E-3</c:v>
                </c:pt>
                <c:pt idx="243">
                  <c:v>5.952122277793021E-3</c:v>
                </c:pt>
                <c:pt idx="244">
                  <c:v>6.1401089993548368E-3</c:v>
                </c:pt>
                <c:pt idx="245">
                  <c:v>6.3278160227469701E-3</c:v>
                </c:pt>
                <c:pt idx="246">
                  <c:v>6.5152395260128079E-3</c:v>
                </c:pt>
                <c:pt idx="247">
                  <c:v>6.7023754929816564E-3</c:v>
                </c:pt>
                <c:pt idx="248">
                  <c:v>6.8892197030723063E-3</c:v>
                </c:pt>
                <c:pt idx="249">
                  <c:v>7.0757677208628132E-3</c:v>
                </c:pt>
                <c:pt idx="250">
                  <c:v>7.2620148855909762E-3</c:v>
                </c:pt>
                <c:pt idx="251">
                  <c:v>7.4479563007727361E-3</c:v>
                </c:pt>
                <c:pt idx="252">
                  <c:v>7.6335868241455794E-3</c:v>
                </c:pt>
                <c:pt idx="253">
                  <c:v>7.8189010581627416E-3</c:v>
                </c:pt>
                <c:pt idx="254">
                  <c:v>8.0038933412781219E-3</c:v>
                </c:pt>
                <c:pt idx="255">
                  <c:v>8.1885577402751788E-3</c:v>
                </c:pt>
                <c:pt idx="256">
                  <c:v>8.3728880439011416E-3</c:v>
                </c:pt>
                <c:pt idx="257">
                  <c:v>8.5568777580736968E-3</c:v>
                </c:pt>
                <c:pt idx="258">
                  <c:v>8.7405201029284608E-3</c:v>
                </c:pt>
                <c:pt idx="259">
                  <c:v>8.9238080119739653E-3</c:v>
                </c:pt>
                <c:pt idx="260">
                  <c:v>9.1067341336139446E-3</c:v>
                </c:pt>
                <c:pt idx="261">
                  <c:v>9.2892908352866978E-3</c:v>
                </c:pt>
                <c:pt idx="262">
                  <c:v>9.4714702104574024E-3</c:v>
                </c:pt>
                <c:pt idx="263">
                  <c:v>9.6532640886799748E-3</c:v>
                </c:pt>
                <c:pt idx="264">
                  <c:v>9.8346640489240678E-3</c:v>
                </c:pt>
                <c:pt idx="265">
                  <c:v>1.0015661436335992E-2</c:v>
                </c:pt>
                <c:pt idx="266">
                  <c:v>1.0196247382573192E-2</c:v>
                </c:pt>
                <c:pt idx="267">
                  <c:v>1.0376412829819682E-2</c:v>
                </c:pt>
                <c:pt idx="268">
                  <c:v>1.0556148558553295E-2</c:v>
                </c:pt>
                <c:pt idx="269">
                  <c:v>1.0735445219098333E-2</c:v>
                </c:pt>
                <c:pt idx="270">
                  <c:v>1.0914293366955678E-2</c:v>
                </c:pt>
                <c:pt idx="271">
                  <c:v>1.1092683501861263E-2</c:v>
                </c:pt>
                <c:pt idx="272">
                  <c:v>1.127060611047895E-2</c:v>
                </c:pt>
                <c:pt idx="273">
                  <c:v>1.144805171259018E-2</c:v>
                </c:pt>
                <c:pt idx="274">
                  <c:v>1.1625010910597314E-2</c:v>
                </c:pt>
                <c:pt idx="275">
                  <c:v>1.1801474442113295E-2</c:v>
                </c:pt>
                <c:pt idx="276">
                  <c:v>1.1977433235365209E-2</c:v>
                </c:pt>
                <c:pt idx="277">
                  <c:v>1.2152878467097786E-2</c:v>
                </c:pt>
                <c:pt idx="278">
                  <c:v>1.2327801622619941E-2</c:v>
                </c:pt>
                <c:pt idx="279">
                  <c:v>1.2502194557600332E-2</c:v>
                </c:pt>
                <c:pt idx="280">
                  <c:v>1.2676049561180052E-2</c:v>
                </c:pt>
                <c:pt idx="281">
                  <c:v>1.2849359419938826E-2</c:v>
                </c:pt>
                <c:pt idx="282">
                  <c:v>1.3022117482221131E-2</c:v>
                </c:pt>
                <c:pt idx="283">
                  <c:v>1.3194317722303783E-2</c:v>
                </c:pt>
                <c:pt idx="284">
                  <c:v>1.3365954803865985E-2</c:v>
                </c:pt>
                <c:pt idx="285">
                  <c:v>1.3537024142207081E-2</c:v>
                </c:pt>
                <c:pt idx="286">
                  <c:v>1.3707521964646271E-2</c:v>
                </c:pt>
                <c:pt idx="287">
                  <c:v>1.3877445368534467E-2</c:v>
                </c:pt>
                <c:pt idx="288">
                  <c:v>1.4046792376307548E-2</c:v>
                </c:pt>
                <c:pt idx="289">
                  <c:v>1.4215561987017752E-2</c:v>
                </c:pt>
                <c:pt idx="290">
                  <c:v>1.438375422379134E-2</c:v>
                </c:pt>
                <c:pt idx="291">
                  <c:v>1.4551370176678475E-2</c:v>
                </c:pt>
                <c:pt idx="292">
                  <c:v>1.4718412040385733E-2</c:v>
                </c:pt>
                <c:pt idx="293">
                  <c:v>1.4884883146409813E-2</c:v>
                </c:pt>
                <c:pt idx="294">
                  <c:v>1.5050787989127158E-2</c:v>
                </c:pt>
                <c:pt idx="295">
                  <c:v>1.5216132245433446E-2</c:v>
                </c:pt>
                <c:pt idx="296">
                  <c:v>1.5380922787572074E-2</c:v>
                </c:pt>
                <c:pt idx="297">
                  <c:v>1.5545167688841189E-2</c:v>
                </c:pt>
                <c:pt idx="298">
                  <c:v>1.5708876221921523E-2</c:v>
                </c:pt>
                <c:pt idx="299">
                  <c:v>1.5872058849625819E-2</c:v>
                </c:pt>
                <c:pt idx="300">
                  <c:v>1.6034727207931077E-2</c:v>
                </c:pt>
                <c:pt idx="301">
                  <c:v>1.6196894081218077E-2</c:v>
                </c:pt>
                <c:pt idx="302">
                  <c:v>1.6358573369708643E-2</c:v>
                </c:pt>
                <c:pt idx="303">
                  <c:v>1.6519780049157339E-2</c:v>
                </c:pt>
                <c:pt idx="304">
                  <c:v>1.6680530122922983E-2</c:v>
                </c:pt>
                <c:pt idx="305">
                  <c:v>1.6840840566612274E-2</c:v>
                </c:pt>
                <c:pt idx="306">
                  <c:v>1.7000729265555528E-2</c:v>
                </c:pt>
                <c:pt idx="307">
                  <c:v>1.7160214945441014E-2</c:v>
                </c:pt>
                <c:pt idx="308">
                  <c:v>1.7319317096497845E-2</c:v>
                </c:pt>
                <c:pt idx="309">
                  <c:v>1.7478055891679476E-2</c:v>
                </c:pt>
                <c:pt idx="310">
                  <c:v>1.7636452099358369E-2</c:v>
                </c:pt>
                <c:pt idx="311">
                  <c:v>1.7794526991096436E-2</c:v>
                </c:pt>
                <c:pt idx="312">
                  <c:v>1.7952302245106942E-2</c:v>
                </c:pt>
                <c:pt idx="313">
                  <c:v>1.810979984606783E-2</c:v>
                </c:pt>
                <c:pt idx="314">
                  <c:v>1.8267041981987007E-2</c:v>
                </c:pt>
                <c:pt idx="315">
                  <c:v>1.8424050938853281E-2</c:v>
                </c:pt>
                <c:pt idx="316">
                  <c:v>1.8580848993834786E-2</c:v>
                </c:pt>
                <c:pt idx="317">
                  <c:v>1.8737458307807122E-2</c:v>
                </c:pt>
                <c:pt idx="318">
                  <c:v>1.8893900818007445E-2</c:v>
                </c:pt>
                <c:pt idx="319">
                  <c:v>1.9050198131617711E-2</c:v>
                </c:pt>
                <c:pt idx="320">
                  <c:v>1.9206371421079591E-2</c:v>
                </c:pt>
                <c:pt idx="321">
                  <c:v>1.9362441321935757E-2</c:v>
                </c:pt>
                <c:pt idx="322">
                  <c:v>1.9518427833977101E-2</c:v>
                </c:pt>
                <c:pt idx="323">
                  <c:v>1.9674350226453044E-2</c:v>
                </c:pt>
                <c:pt idx="324">
                  <c:v>1.9830226948072398E-2</c:v>
                </c:pt>
                <c:pt idx="325">
                  <c:v>1.9986075542486357E-2</c:v>
                </c:pt>
                <c:pt idx="326">
                  <c:v>2.0141912569901534E-2</c:v>
                </c:pt>
                <c:pt idx="327">
                  <c:v>2.0297753535422743E-2</c:v>
                </c:pt>
                <c:pt idx="328">
                  <c:v>2.0453612824669575E-2</c:v>
                </c:pt>
                <c:pt idx="329">
                  <c:v>2.0609503647151476E-2</c:v>
                </c:pt>
                <c:pt idx="330">
                  <c:v>2.0765437987820441E-2</c:v>
                </c:pt>
                <c:pt idx="331">
                  <c:v>2.0921426567152616E-2</c:v>
                </c:pt>
                <c:pt idx="332">
                  <c:v>2.1077478810036656E-2</c:v>
                </c:pt>
                <c:pt idx="333">
                  <c:v>2.1233602823672634E-2</c:v>
                </c:pt>
                <c:pt idx="334">
                  <c:v>2.1389805384607375E-2</c:v>
                </c:pt>
                <c:pt idx="335">
                  <c:v>2.1546091934954277E-2</c:v>
                </c:pt>
                <c:pt idx="336">
                  <c:v>2.1702466587766398E-2</c:v>
                </c:pt>
                <c:pt idx="337">
                  <c:v>2.1858932141452972E-2</c:v>
                </c:pt>
                <c:pt idx="338">
                  <c:v>2.201549010305167E-2</c:v>
                </c:pt>
                <c:pt idx="339">
                  <c:v>2.2172140720092996E-2</c:v>
                </c:pt>
                <c:pt idx="340">
                  <c:v>2.2328883020719583E-2</c:v>
                </c:pt>
                <c:pt idx="341">
                  <c:v>2.2485714861653069E-2</c:v>
                </c:pt>
                <c:pt idx="342">
                  <c:v>2.2642632983534208E-2</c:v>
                </c:pt>
                <c:pt idx="343">
                  <c:v>2.2799633073100716E-2</c:v>
                </c:pt>
                <c:pt idx="344">
                  <c:v>2.2956709831609912E-2</c:v>
                </c:pt>
                <c:pt idx="345">
                  <c:v>2.3113857048862624E-2</c:v>
                </c:pt>
                <c:pt idx="346">
                  <c:v>2.3271067682139497E-2</c:v>
                </c:pt>
                <c:pt idx="347">
                  <c:v>2.3428333939323174E-2</c:v>
                </c:pt>
                <c:pt idx="348">
                  <c:v>2.3585647365447857E-2</c:v>
                </c:pt>
                <c:pt idx="349">
                  <c:v>2.3742998931894313E-2</c:v>
                </c:pt>
                <c:pt idx="350">
                  <c:v>2.3900379127431971E-2</c:v>
                </c:pt>
                <c:pt idx="351">
                  <c:v>2.4057778050300408E-2</c:v>
                </c:pt>
                <c:pt idx="352">
                  <c:v>2.4215185500522162E-2</c:v>
                </c:pt>
                <c:pt idx="353">
                  <c:v>2.4372591071644932E-2</c:v>
                </c:pt>
                <c:pt idx="354">
                  <c:v>2.4529984241125981E-2</c:v>
                </c:pt>
                <c:pt idx="355">
                  <c:v>2.4687354458593058E-2</c:v>
                </c:pt>
                <c:pt idx="356">
                  <c:v>2.4844691231245143E-2</c:v>
                </c:pt>
                <c:pt idx="357">
                  <c:v>2.5001984205692444E-2</c:v>
                </c:pt>
                <c:pt idx="358">
                  <c:v>2.5159223245577338E-2</c:v>
                </c:pt>
                <c:pt idx="359">
                  <c:v>2.5316398504366698E-2</c:v>
                </c:pt>
                <c:pt idx="360">
                  <c:v>2.547350049275977E-2</c:v>
                </c:pt>
                <c:pt idx="361">
                  <c:v>2.5630520140215253E-2</c:v>
                </c:pt>
                <c:pt idx="362">
                  <c:v>2.5787448850164572E-2</c:v>
                </c:pt>
                <c:pt idx="363">
                  <c:v>2.5944278548545301E-2</c:v>
                </c:pt>
                <c:pt idx="364">
                  <c:v>2.6101001725359299E-2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3.315310925116133E-10</c:v>
                </c:pt>
                <c:pt idx="1">
                  <c:v>8.529591938245971E-9</c:v>
                </c:pt>
                <c:pt idx="2">
                  <c:v>1.7282623120454999E-8</c:v>
                </c:pt>
                <c:pt idx="3">
                  <c:v>2.6651319554998629E-8</c:v>
                </c:pt>
                <c:pt idx="4">
                  <c:v>3.6698011780875521E-8</c:v>
                </c:pt>
                <c:pt idx="5">
                  <c:v>4.7486512160876812E-8</c:v>
                </c:pt>
                <c:pt idx="6">
                  <c:v>5.9081938344161205E-8</c:v>
                </c:pt>
                <c:pt idx="7">
                  <c:v>7.1550516201316764E-8</c:v>
                </c:pt>
                <c:pt idx="8">
                  <c:v>8.4961478981515391E-8</c:v>
                </c:pt>
                <c:pt idx="9">
                  <c:v>9.9488197559699808E-8</c:v>
                </c:pt>
                <c:pt idx="10">
                  <c:v>1.1514356105794756E-7</c:v>
                </c:pt>
                <c:pt idx="11">
                  <c:v>1.3201279649612952E-7</c:v>
                </c:pt>
                <c:pt idx="12">
                  <c:v>1.5018510248303818E-7</c:v>
                </c:pt>
                <c:pt idx="13">
                  <c:v>1.6975386983636536E-7</c:v>
                </c:pt>
                <c:pt idx="14">
                  <c:v>1.9081692699179546E-7</c:v>
                </c:pt>
                <c:pt idx="15">
                  <c:v>2.1439691422548418E-7</c:v>
                </c:pt>
                <c:pt idx="16">
                  <c:v>2.4069589451287767E-7</c:v>
                </c:pt>
                <c:pt idx="17">
                  <c:v>2.700275619943642E-7</c:v>
                </c:pt>
                <c:pt idx="18">
                  <c:v>3.027199243397728E-7</c:v>
                </c:pt>
                <c:pt idx="19">
                  <c:v>3.391180090218982E-7</c:v>
                </c:pt>
                <c:pt idx="20">
                  <c:v>3.7958475385925807E-7</c:v>
                </c:pt>
                <c:pt idx="21">
                  <c:v>4.244999494626072E-7</c:v>
                </c:pt>
                <c:pt idx="22">
                  <c:v>4.7422086272834608E-7</c:v>
                </c:pt>
                <c:pt idx="23">
                  <c:v>5.3049991813746197E-7</c:v>
                </c:pt>
                <c:pt idx="24">
                  <c:v>5.9366673505251865E-7</c:v>
                </c:pt>
                <c:pt idx="25">
                  <c:v>6.6434448461273669E-7</c:v>
                </c:pt>
                <c:pt idx="26">
                  <c:v>7.431849025807636E-7</c:v>
                </c:pt>
                <c:pt idx="27">
                  <c:v>8.308703791968264E-7</c:v>
                </c:pt>
                <c:pt idx="28">
                  <c:v>9.2811625454957969E-7</c:v>
                </c:pt>
                <c:pt idx="29">
                  <c:v>1.0347292178919924E-6</c:v>
                </c:pt>
                <c:pt idx="30">
                  <c:v>1.1491651374128822E-6</c:v>
                </c:pt>
                <c:pt idx="31">
                  <c:v>1.2718118432770203E-6</c:v>
                </c:pt>
                <c:pt idx="32">
                  <c:v>1.4030801702272382E-6</c:v>
                </c:pt>
                <c:pt idx="33">
                  <c:v>1.5434055972873991E-6</c:v>
                </c:pt>
                <c:pt idx="34">
                  <c:v>1.693249964617596E-6</c:v>
                </c:pt>
                <c:pt idx="35">
                  <c:v>1.8531032771353199E-6</c:v>
                </c:pt>
                <c:pt idx="36">
                  <c:v>2.0233577468914859E-6</c:v>
                </c:pt>
                <c:pt idx="37">
                  <c:v>2.1975818329730533E-6</c:v>
                </c:pt>
                <c:pt idx="38">
                  <c:v>2.3727002848153407E-6</c:v>
                </c:pt>
                <c:pt idx="39">
                  <c:v>2.5480584375442768E-6</c:v>
                </c:pt>
                <c:pt idx="40">
                  <c:v>2.7229714347324082E-6</c:v>
                </c:pt>
                <c:pt idx="41">
                  <c:v>2.8967216688976359E-6</c:v>
                </c:pt>
                <c:pt idx="42">
                  <c:v>3.0685559879646353E-6</c:v>
                </c:pt>
                <c:pt idx="43">
                  <c:v>3.2291148071524322E-6</c:v>
                </c:pt>
                <c:pt idx="44">
                  <c:v>3.378340108537252E-6</c:v>
                </c:pt>
                <c:pt idx="45">
                  <c:v>3.514532233333373E-6</c:v>
                </c:pt>
                <c:pt idx="46">
                  <c:v>3.6358966934085968E-6</c:v>
                </c:pt>
                <c:pt idx="47">
                  <c:v>3.7405367184809415E-6</c:v>
                </c:pt>
                <c:pt idx="48">
                  <c:v>3.8264452765132145E-6</c:v>
                </c:pt>
                <c:pt idx="49">
                  <c:v>3.8914965338463544E-6</c:v>
                </c:pt>
                <c:pt idx="50">
                  <c:v>3.9332866124332661E-6</c:v>
                </c:pt>
                <c:pt idx="51">
                  <c:v>3.9558618493911078E-6</c:v>
                </c:pt>
                <c:pt idx="52">
                  <c:v>3.9691598537785393E-6</c:v>
                </c:pt>
                <c:pt idx="53">
                  <c:v>3.9724426011030663E-6</c:v>
                </c:pt>
                <c:pt idx="54">
                  <c:v>3.9649508689774161E-6</c:v>
                </c:pt>
                <c:pt idx="55">
                  <c:v>3.9458822704964528E-6</c:v>
                </c:pt>
                <c:pt idx="56">
                  <c:v>3.914388637667713E-6</c:v>
                </c:pt>
                <c:pt idx="57">
                  <c:v>3.8800862502180799E-6</c:v>
                </c:pt>
                <c:pt idx="58">
                  <c:v>3.8575443647914908E-6</c:v>
                </c:pt>
                <c:pt idx="59">
                  <c:v>3.8483564345053759E-6</c:v>
                </c:pt>
                <c:pt idx="60">
                  <c:v>3.8542124628896624E-6</c:v>
                </c:pt>
                <c:pt idx="61">
                  <c:v>3.8769054117884762E-6</c:v>
                </c:pt>
                <c:pt idx="62">
                  <c:v>3.9183380246275812E-6</c:v>
                </c:pt>
                <c:pt idx="63">
                  <c:v>3.9805300914050675E-6</c:v>
                </c:pt>
                <c:pt idx="64">
                  <c:v>4.0655220484972607E-6</c:v>
                </c:pt>
                <c:pt idx="65">
                  <c:v>4.1716144468825483E-6</c:v>
                </c:pt>
                <c:pt idx="66">
                  <c:v>4.2899627933499868E-6</c:v>
                </c:pt>
                <c:pt idx="67">
                  <c:v>4.421635833284255E-6</c:v>
                </c:pt>
                <c:pt idx="68">
                  <c:v>4.5677649988137573E-6</c:v>
                </c:pt>
                <c:pt idx="69">
                  <c:v>4.7295483325469205E-6</c:v>
                </c:pt>
                <c:pt idx="70">
                  <c:v>4.9082546586615308E-6</c:v>
                </c:pt>
                <c:pt idx="71">
                  <c:v>5.1001215745515144E-6</c:v>
                </c:pt>
                <c:pt idx="72">
                  <c:v>5.2889297736566731E-6</c:v>
                </c:pt>
                <c:pt idx="73">
                  <c:v>5.4739852311182135E-6</c:v>
                </c:pt>
                <c:pt idx="74">
                  <c:v>5.6545449237383097E-6</c:v>
                </c:pt>
                <c:pt idx="75">
                  <c:v>5.8298133093689027E-6</c:v>
                </c:pt>
                <c:pt idx="76">
                  <c:v>5.9989385645716295E-6</c:v>
                </c:pt>
                <c:pt idx="77">
                  <c:v>6.1610085655394435E-6</c:v>
                </c:pt>
                <c:pt idx="78">
                  <c:v>6.3144535291409816E-6</c:v>
                </c:pt>
                <c:pt idx="79">
                  <c:v>6.4527585958103176E-6</c:v>
                </c:pt>
                <c:pt idx="80">
                  <c:v>6.5807764729584846E-6</c:v>
                </c:pt>
                <c:pt idx="81">
                  <c:v>6.6976042683615898E-6</c:v>
                </c:pt>
                <c:pt idx="82">
                  <c:v>6.8022758296792708E-6</c:v>
                </c:pt>
                <c:pt idx="83">
                  <c:v>6.8937527260926364E-6</c:v>
                </c:pt>
                <c:pt idx="84">
                  <c:v>6.9709145734509865E-6</c:v>
                </c:pt>
                <c:pt idx="85">
                  <c:v>7.0283605711590098E-6</c:v>
                </c:pt>
                <c:pt idx="86">
                  <c:v>7.0725941959084082E-6</c:v>
                </c:pt>
                <c:pt idx="87">
                  <c:v>7.1025487430760912E-6</c:v>
                </c:pt>
                <c:pt idx="88">
                  <c:v>7.1170568058558208E-6</c:v>
                </c:pt>
                <c:pt idx="89">
                  <c:v>7.1148393169715179E-6</c:v>
                </c:pt>
                <c:pt idx="90">
                  <c:v>7.094493619048448E-6</c:v>
                </c:pt>
                <c:pt idx="91">
                  <c:v>7.054480433083484E-6</c:v>
                </c:pt>
                <c:pt idx="92">
                  <c:v>6.9924967960572198E-6</c:v>
                </c:pt>
                <c:pt idx="93">
                  <c:v>6.9109732766332152E-6</c:v>
                </c:pt>
                <c:pt idx="94">
                  <c:v>6.816395808282514E-6</c:v>
                </c:pt>
                <c:pt idx="95">
                  <c:v>6.7078418694223405E-6</c:v>
                </c:pt>
                <c:pt idx="96">
                  <c:v>6.5843326808740742E-6</c:v>
                </c:pt>
                <c:pt idx="97">
                  <c:v>6.4448302732122653E-6</c:v>
                </c:pt>
                <c:pt idx="98">
                  <c:v>6.288234461598952E-6</c:v>
                </c:pt>
                <c:pt idx="99">
                  <c:v>6.1229092168300404E-6</c:v>
                </c:pt>
                <c:pt idx="100">
                  <c:v>5.9554980999394739E-6</c:v>
                </c:pt>
                <c:pt idx="101">
                  <c:v>5.7864860066442158E-6</c:v>
                </c:pt>
                <c:pt idx="102">
                  <c:v>5.6164193609345857E-6</c:v>
                </c:pt>
                <c:pt idx="103">
                  <c:v>5.4459114039944055E-6</c:v>
                </c:pt>
                <c:pt idx="104">
                  <c:v>5.275647822097546E-6</c:v>
                </c:pt>
                <c:pt idx="105">
                  <c:v>5.106392727814575E-6</c:v>
                </c:pt>
                <c:pt idx="106">
                  <c:v>4.9389918760121619E-6</c:v>
                </c:pt>
                <c:pt idx="107">
                  <c:v>4.7822460513411764E-6</c:v>
                </c:pt>
                <c:pt idx="108">
                  <c:v>4.6296705437696797E-6</c:v>
                </c:pt>
                <c:pt idx="109">
                  <c:v>4.4824086110657853E-6</c:v>
                </c:pt>
                <c:pt idx="110">
                  <c:v>4.3417317313327614E-6</c:v>
                </c:pt>
                <c:pt idx="111">
                  <c:v>4.2090337614301562E-6</c:v>
                </c:pt>
                <c:pt idx="112">
                  <c:v>4.0858273907822014E-6</c:v>
                </c:pt>
                <c:pt idx="113">
                  <c:v>3.9817949412525275E-6</c:v>
                </c:pt>
                <c:pt idx="114">
                  <c:v>3.8835290794980057E-6</c:v>
                </c:pt>
                <c:pt idx="115">
                  <c:v>3.7921831099490808E-6</c:v>
                </c:pt>
                <c:pt idx="116">
                  <c:v>3.7090171819572327E-6</c:v>
                </c:pt>
                <c:pt idx="117">
                  <c:v>3.6354045744700015E-6</c:v>
                </c:pt>
                <c:pt idx="118">
                  <c:v>3.5728380780635099E-6</c:v>
                </c:pt>
                <c:pt idx="119">
                  <c:v>3.5229364398247872E-6</c:v>
                </c:pt>
                <c:pt idx="120">
                  <c:v>3.4874934708676674E-6</c:v>
                </c:pt>
                <c:pt idx="121">
                  <c:v>3.4738683466307694E-6</c:v>
                </c:pt>
                <c:pt idx="122">
                  <c:v>3.4713067931191171E-6</c:v>
                </c:pt>
                <c:pt idx="123">
                  <c:v>3.4811794467782174E-6</c:v>
                </c:pt>
                <c:pt idx="124">
                  <c:v>3.5049613592495427E-6</c:v>
                </c:pt>
                <c:pt idx="125">
                  <c:v>3.5442360476340883E-6</c:v>
                </c:pt>
                <c:pt idx="126">
                  <c:v>3.6006993333281026E-6</c:v>
                </c:pt>
                <c:pt idx="127">
                  <c:v>3.6758859006755167E-6</c:v>
                </c:pt>
                <c:pt idx="128">
                  <c:v>3.7580776367499484E-6</c:v>
                </c:pt>
                <c:pt idx="129">
                  <c:v>3.8478553807070662E-6</c:v>
                </c:pt>
                <c:pt idx="130">
                  <c:v>3.9458340396897143E-6</c:v>
                </c:pt>
                <c:pt idx="131">
                  <c:v>4.0526631112781155E-6</c:v>
                </c:pt>
                <c:pt idx="132">
                  <c:v>4.1690270468884379E-6</c:v>
                </c:pt>
                <c:pt idx="133">
                  <c:v>4.2956454390050612E-6</c:v>
                </c:pt>
                <c:pt idx="134">
                  <c:v>4.4333611912249407E-6</c:v>
                </c:pt>
                <c:pt idx="135">
                  <c:v>4.585389153799855E-6</c:v>
                </c:pt>
                <c:pt idx="136">
                  <c:v>4.7436838952670412E-6</c:v>
                </c:pt>
                <c:pt idx="137">
                  <c:v>4.9084439448559484E-6</c:v>
                </c:pt>
                <c:pt idx="138">
                  <c:v>5.0798673267501693E-6</c:v>
                </c:pt>
                <c:pt idx="139">
                  <c:v>5.25815079086399E-6</c:v>
                </c:pt>
                <c:pt idx="140">
                  <c:v>5.4434889899214781E-6</c:v>
                </c:pt>
                <c:pt idx="141">
                  <c:v>5.6401048767824356E-6</c:v>
                </c:pt>
                <c:pt idx="142">
                  <c:v>5.8490020768939109E-6</c:v>
                </c:pt>
                <c:pt idx="143">
                  <c:v>6.070783741746052E-6</c:v>
                </c:pt>
                <c:pt idx="144">
                  <c:v>6.3060983628294259E-6</c:v>
                </c:pt>
                <c:pt idx="145">
                  <c:v>6.5556051392699855E-6</c:v>
                </c:pt>
                <c:pt idx="146">
                  <c:v>6.8199719296048036E-6</c:v>
                </c:pt>
                <c:pt idx="147">
                  <c:v>7.0998730173466383E-6</c:v>
                </c:pt>
                <c:pt idx="148">
                  <c:v>7.3961631982119634E-6</c:v>
                </c:pt>
                <c:pt idx="149">
                  <c:v>7.7067937378630411E-6</c:v>
                </c:pt>
                <c:pt idx="150">
                  <c:v>8.0285070770648874E-6</c:v>
                </c:pt>
                <c:pt idx="151">
                  <c:v>8.3614442045742925E-6</c:v>
                </c:pt>
                <c:pt idx="152">
                  <c:v>8.705728901214977E-6</c:v>
                </c:pt>
                <c:pt idx="153">
                  <c:v>9.0614666732734384E-6</c:v>
                </c:pt>
                <c:pt idx="154">
                  <c:v>9.4287437494348102E-6</c:v>
                </c:pt>
                <c:pt idx="155">
                  <c:v>9.806953008715914E-6</c:v>
                </c:pt>
                <c:pt idx="156">
                  <c:v>1.0189846881421863E-5</c:v>
                </c:pt>
                <c:pt idx="157">
                  <c:v>1.0576905499340597E-5</c:v>
                </c:pt>
                <c:pt idx="158">
                  <c:v>1.0967578933437053E-5</c:v>
                </c:pt>
                <c:pt idx="159">
                  <c:v>1.1361288669737896E-5</c:v>
                </c:pt>
                <c:pt idx="160">
                  <c:v>1.1757429297213725E-5</c:v>
                </c:pt>
                <c:pt idx="161">
                  <c:v>1.2155370397397286E-5</c:v>
                </c:pt>
                <c:pt idx="162">
                  <c:v>1.2554665344570263E-5</c:v>
                </c:pt>
                <c:pt idx="163">
                  <c:v>1.2947916432459944E-5</c:v>
                </c:pt>
                <c:pt idx="164">
                  <c:v>1.3338359055375965E-5</c:v>
                </c:pt>
                <c:pt idx="165">
                  <c:v>1.3725190267816596E-5</c:v>
                </c:pt>
                <c:pt idx="166">
                  <c:v>1.4107599946671958E-5</c:v>
                </c:pt>
                <c:pt idx="167">
                  <c:v>1.4484773822546802E-5</c:v>
                </c:pt>
                <c:pt idx="168">
                  <c:v>1.4855896515907551E-5</c:v>
                </c:pt>
                <c:pt idx="169">
                  <c:v>1.5212219358558581E-5</c:v>
                </c:pt>
                <c:pt idx="170">
                  <c:v>1.5553412059507356E-5</c:v>
                </c:pt>
                <c:pt idx="171">
                  <c:v>1.5878262447229218E-5</c:v>
                </c:pt>
                <c:pt idx="172">
                  <c:v>1.6185573966073385E-5</c:v>
                </c:pt>
                <c:pt idx="173">
                  <c:v>1.6474000940426324E-5</c:v>
                </c:pt>
                <c:pt idx="174">
                  <c:v>1.674220048702982E-5</c:v>
                </c:pt>
                <c:pt idx="175">
                  <c:v>1.6989015592866692E-5</c:v>
                </c:pt>
                <c:pt idx="176">
                  <c:v>1.7213266202191552E-5</c:v>
                </c:pt>
                <c:pt idx="177">
                  <c:v>1.7412789463294971E-5</c:v>
                </c:pt>
                <c:pt idx="178">
                  <c:v>1.7595875148148851E-5</c:v>
                </c:pt>
                <c:pt idx="179">
                  <c:v>1.7761984922790453E-5</c:v>
                </c:pt>
                <c:pt idx="180">
                  <c:v>1.7910614722481237E-5</c:v>
                </c:pt>
                <c:pt idx="181">
                  <c:v>1.8041294801769817E-5</c:v>
                </c:pt>
                <c:pt idx="182">
                  <c:v>1.8153589489657223E-5</c:v>
                </c:pt>
                <c:pt idx="183">
                  <c:v>1.8241051766049723E-5</c:v>
                </c:pt>
                <c:pt idx="184">
                  <c:v>1.831321323725245E-5</c:v>
                </c:pt>
                <c:pt idx="185">
                  <c:v>1.8369897897190258E-5</c:v>
                </c:pt>
                <c:pt idx="186">
                  <c:v>1.8410955529500388E-5</c:v>
                </c:pt>
                <c:pt idx="187">
                  <c:v>1.8436260253175138E-5</c:v>
                </c:pt>
                <c:pt idx="188">
                  <c:v>1.8445708920843751E-5</c:v>
                </c:pt>
                <c:pt idx="189">
                  <c:v>1.8439219381616837E-5</c:v>
                </c:pt>
                <c:pt idx="190">
                  <c:v>1.8416498127738481E-5</c:v>
                </c:pt>
                <c:pt idx="191">
                  <c:v>1.8388934953315859E-5</c:v>
                </c:pt>
                <c:pt idx="192">
                  <c:v>1.8358159445953561E-5</c:v>
                </c:pt>
                <c:pt idx="193">
                  <c:v>1.8324538193153718E-5</c:v>
                </c:pt>
                <c:pt idx="194">
                  <c:v>1.8288439272867821E-5</c:v>
                </c:pt>
                <c:pt idx="195">
                  <c:v>1.8250231167740382E-5</c:v>
                </c:pt>
                <c:pt idx="196">
                  <c:v>1.8210281764515833E-5</c:v>
                </c:pt>
                <c:pt idx="197">
                  <c:v>1.8177699888272651E-5</c:v>
                </c:pt>
                <c:pt idx="198">
                  <c:v>1.8160246303652379E-5</c:v>
                </c:pt>
                <c:pt idx="199">
                  <c:v>1.8158718013926101E-5</c:v>
                </c:pt>
                <c:pt idx="200">
                  <c:v>1.8173897884674404E-5</c:v>
                </c:pt>
                <c:pt idx="201">
                  <c:v>1.8206555388231825E-5</c:v>
                </c:pt>
                <c:pt idx="202">
                  <c:v>1.8257447503601387E-5</c:v>
                </c:pt>
                <c:pt idx="203">
                  <c:v>1.8327319771929336E-5</c:v>
                </c:pt>
                <c:pt idx="204">
                  <c:v>1.8416866714601047E-5</c:v>
                </c:pt>
                <c:pt idx="205">
                  <c:v>1.8525252679199975E-5</c:v>
                </c:pt>
                <c:pt idx="206">
                  <c:v>1.8639650062747866E-5</c:v>
                </c:pt>
                <c:pt idx="207">
                  <c:v>1.8760326218620229E-5</c:v>
                </c:pt>
                <c:pt idx="208">
                  <c:v>1.8887543915463325E-5</c:v>
                </c:pt>
                <c:pt idx="209">
                  <c:v>1.9021561289102117E-5</c:v>
                </c:pt>
                <c:pt idx="210">
                  <c:v>1.9162631817007831E-5</c:v>
                </c:pt>
                <c:pt idx="211">
                  <c:v>1.9348135205853568E-5</c:v>
                </c:pt>
                <c:pt idx="212">
                  <c:v>1.9569246693179043E-5</c:v>
                </c:pt>
                <c:pt idx="213">
                  <c:v>1.982679983073902E-5</c:v>
                </c:pt>
                <c:pt idx="214">
                  <c:v>2.0121617540858815E-5</c:v>
                </c:pt>
                <c:pt idx="215">
                  <c:v>2.0454512899398477E-5</c:v>
                </c:pt>
                <c:pt idx="216">
                  <c:v>2.0826289858256206E-5</c:v>
                </c:pt>
                <c:pt idx="217">
                  <c:v>2.1237743906737172E-5</c:v>
                </c:pt>
                <c:pt idx="218">
                  <c:v>2.1689588086750367E-5</c:v>
                </c:pt>
                <c:pt idx="219">
                  <c:v>2.2259637692754353E-5</c:v>
                </c:pt>
                <c:pt idx="220">
                  <c:v>2.2951967930309391E-5</c:v>
                </c:pt>
                <c:pt idx="221">
                  <c:v>2.3769054387636703E-5</c:v>
                </c:pt>
                <c:pt idx="222">
                  <c:v>2.4713382554173271E-5</c:v>
                </c:pt>
                <c:pt idx="223">
                  <c:v>2.578745706279028E-5</c:v>
                </c:pt>
                <c:pt idx="224">
                  <c:v>2.6993811143970389E-5</c:v>
                </c:pt>
                <c:pt idx="225">
                  <c:v>2.8432062406950852E-5</c:v>
                </c:pt>
                <c:pt idx="226">
                  <c:v>3.006559878762557E-5</c:v>
                </c:pt>
                <c:pt idx="227">
                  <c:v>3.1898202528901031E-5</c:v>
                </c:pt>
                <c:pt idx="228">
                  <c:v>3.3933741351492627E-5</c:v>
                </c:pt>
                <c:pt idx="229">
                  <c:v>3.6176184041167655E-5</c:v>
                </c:pt>
                <c:pt idx="230">
                  <c:v>3.8629616605831395E-5</c:v>
                </c:pt>
                <c:pt idx="231">
                  <c:v>4.1298259080475203E-5</c:v>
                </c:pt>
                <c:pt idx="232">
                  <c:v>4.4185663813773289E-5</c:v>
                </c:pt>
                <c:pt idx="233">
                  <c:v>4.745834620773306E-5</c:v>
                </c:pt>
                <c:pt idx="234">
                  <c:v>5.1038886721168803E-5</c:v>
                </c:pt>
                <c:pt idx="235">
                  <c:v>5.4933364331996996E-5</c:v>
                </c:pt>
                <c:pt idx="236">
                  <c:v>5.914808911099021E-5</c:v>
                </c:pt>
                <c:pt idx="237">
                  <c:v>6.368957489495741E-5</c:v>
                </c:pt>
                <c:pt idx="238">
                  <c:v>6.8564597147153153E-5</c:v>
                </c:pt>
                <c:pt idx="239">
                  <c:v>7.3889028908330248E-5</c:v>
                </c:pt>
                <c:pt idx="240">
                  <c:v>7.9565456709934765E-5</c:v>
                </c:pt>
                <c:pt idx="241">
                  <c:v>8.5601704326578772E-5</c:v>
                </c:pt>
                <c:pt idx="242">
                  <c:v>9.2005986831588611E-5</c:v>
                </c:pt>
                <c:pt idx="243">
                  <c:v>9.8786946450095189E-5</c:v>
                </c:pt>
                <c:pt idx="244">
                  <c:v>1.0595369058853874E-4</c:v>
                </c:pt>
                <c:pt idx="245">
                  <c:v>1.1351583234892707E-4</c:v>
                </c:pt>
                <c:pt idx="246">
                  <c:v>1.2148449113211965E-4</c:v>
                </c:pt>
                <c:pt idx="247">
                  <c:v>1.2974542605782534E-4</c:v>
                </c:pt>
                <c:pt idx="248">
                  <c:v>1.3812511194521794E-4</c:v>
                </c:pt>
                <c:pt idx="249">
                  <c:v>1.4662658824531028E-4</c:v>
                </c:pt>
                <c:pt idx="250">
                  <c:v>1.5525277191583245E-4</c:v>
                </c:pt>
                <c:pt idx="251">
                  <c:v>1.6400644110716573E-4</c:v>
                </c:pt>
                <c:pt idx="252">
                  <c:v>1.7289021738785504E-4</c:v>
                </c:pt>
                <c:pt idx="253">
                  <c:v>1.8171708760184637E-4</c:v>
                </c:pt>
                <c:pt idx="254">
                  <c:v>1.9036344431647194E-4</c:v>
                </c:pt>
                <c:pt idx="255">
                  <c:v>1.9882373915637699E-4</c:v>
                </c:pt>
                <c:pt idx="256">
                  <c:v>2.0709194757289988E-4</c:v>
                </c:pt>
                <c:pt idx="257">
                  <c:v>2.1516156088751542E-4</c:v>
                </c:pt>
                <c:pt idx="258">
                  <c:v>2.2302557954625453E-4</c:v>
                </c:pt>
                <c:pt idx="259">
                  <c:v>2.3067650779923286E-4</c:v>
                </c:pt>
                <c:pt idx="260">
                  <c:v>2.3812442808401158E-4</c:v>
                </c:pt>
                <c:pt idx="261">
                  <c:v>2.4511346382490045E-4</c:v>
                </c:pt>
                <c:pt idx="262">
                  <c:v>2.5176900928955821E-4</c:v>
                </c:pt>
                <c:pt idx="263">
                  <c:v>2.5807777836185186E-4</c:v>
                </c:pt>
                <c:pt idx="264">
                  <c:v>2.6402528885044647E-4</c:v>
                </c:pt>
                <c:pt idx="265">
                  <c:v>2.6959731805890891E-4</c:v>
                </c:pt>
                <c:pt idx="266">
                  <c:v>2.7477787681289391E-4</c:v>
                </c:pt>
                <c:pt idx="267">
                  <c:v>2.792910875309091E-4</c:v>
                </c:pt>
                <c:pt idx="268">
                  <c:v>2.8332577843585372E-4</c:v>
                </c:pt>
                <c:pt idx="269">
                  <c:v>2.8686032302385951E-4</c:v>
                </c:pt>
                <c:pt idx="270">
                  <c:v>2.8987215686416092E-4</c:v>
                </c:pt>
                <c:pt idx="271">
                  <c:v>2.9233789447911436E-4</c:v>
                </c:pt>
                <c:pt idx="272">
                  <c:v>2.9423346645076687E-4</c:v>
                </c:pt>
                <c:pt idx="273">
                  <c:v>2.9553427856727598E-4</c:v>
                </c:pt>
                <c:pt idx="274">
                  <c:v>2.9623932932424865E-4</c:v>
                </c:pt>
                <c:pt idx="275">
                  <c:v>2.9733179001484983E-4</c:v>
                </c:pt>
                <c:pt idx="276">
                  <c:v>2.9912356971570239E-4</c:v>
                </c:pt>
                <c:pt idx="277">
                  <c:v>3.0163085318100344E-4</c:v>
                </c:pt>
                <c:pt idx="278">
                  <c:v>3.0486995856949639E-4</c:v>
                </c:pt>
                <c:pt idx="279">
                  <c:v>3.0885729193562552E-4</c:v>
                </c:pt>
                <c:pt idx="280">
                  <c:v>3.1360929901214871E-4</c:v>
                </c:pt>
                <c:pt idx="281">
                  <c:v>3.1993444723400755E-4</c:v>
                </c:pt>
                <c:pt idx="282">
                  <c:v>3.2816262153781059E-4</c:v>
                </c:pt>
                <c:pt idx="283">
                  <c:v>3.3833737098032683E-4</c:v>
                </c:pt>
                <c:pt idx="284">
                  <c:v>3.5050201740089522E-4</c:v>
                </c:pt>
                <c:pt idx="285">
                  <c:v>3.6469950651275027E-4</c:v>
                </c:pt>
                <c:pt idx="286">
                  <c:v>3.8097225328246009E-4</c:v>
                </c:pt>
                <c:pt idx="287">
                  <c:v>3.9936198174631818E-4</c:v>
                </c:pt>
                <c:pt idx="288">
                  <c:v>4.1991628724014123E-4</c:v>
                </c:pt>
                <c:pt idx="289">
                  <c:v>4.4122436262149109E-4</c:v>
                </c:pt>
                <c:pt idx="290">
                  <c:v>4.6218953357990964E-4</c:v>
                </c:pt>
                <c:pt idx="291">
                  <c:v>4.8279740905529753E-4</c:v>
                </c:pt>
                <c:pt idx="292">
                  <c:v>5.0303385991773972E-4</c:v>
                </c:pt>
                <c:pt idx="293">
                  <c:v>5.2288505715290064E-4</c:v>
                </c:pt>
                <c:pt idx="294">
                  <c:v>5.4233750699880974E-4</c:v>
                </c:pt>
                <c:pt idx="295">
                  <c:v>5.5984850888149797E-4</c:v>
                </c:pt>
                <c:pt idx="296">
                  <c:v>5.7448720991894371E-4</c:v>
                </c:pt>
                <c:pt idx="297">
                  <c:v>5.8619276435283388E-4</c:v>
                </c:pt>
                <c:pt idx="298">
                  <c:v>5.9489972803236277E-4</c:v>
                </c:pt>
                <c:pt idx="299">
                  <c:v>6.0054243799621593E-4</c:v>
                </c:pt>
                <c:pt idx="300">
                  <c:v>6.0305488041740077E-4</c:v>
                </c:pt>
                <c:pt idx="301">
                  <c:v>6.0237053440143735E-4</c:v>
                </c:pt>
                <c:pt idx="302">
                  <c:v>5.9844658691169447E-4</c:v>
                </c:pt>
                <c:pt idx="303">
                  <c:v>5.9091484322880829E-4</c:v>
                </c:pt>
                <c:pt idx="304">
                  <c:v>5.8132089198122702E-4</c:v>
                </c:pt>
                <c:pt idx="305">
                  <c:v>5.6961058362144708E-4</c:v>
                </c:pt>
                <c:pt idx="306">
                  <c:v>5.557284938402685E-4</c:v>
                </c:pt>
                <c:pt idx="307">
                  <c:v>5.3961814437396131E-4</c:v>
                </c:pt>
                <c:pt idx="308">
                  <c:v>5.2122226485713449E-4</c:v>
                </c:pt>
                <c:pt idx="309">
                  <c:v>5.0114525004580463E-4</c:v>
                </c:pt>
                <c:pt idx="310">
                  <c:v>4.810557819877683E-4</c:v>
                </c:pt>
                <c:pt idx="311">
                  <c:v>4.6095085573607256E-4</c:v>
                </c:pt>
                <c:pt idx="312">
                  <c:v>4.4082836295942298E-4</c:v>
                </c:pt>
                <c:pt idx="313">
                  <c:v>4.206871768594463E-4</c:v>
                </c:pt>
                <c:pt idx="314">
                  <c:v>4.0052724600891254E-4</c:v>
                </c:pt>
                <c:pt idx="315">
                  <c:v>3.8034969617246753E-4</c:v>
                </c:pt>
                <c:pt idx="316">
                  <c:v>3.6019790848091564E-4</c:v>
                </c:pt>
                <c:pt idx="317">
                  <c:v>3.4089215218239974E-4</c:v>
                </c:pt>
                <c:pt idx="318">
                  <c:v>3.2279732546633123E-4</c:v>
                </c:pt>
                <c:pt idx="319">
                  <c:v>3.0593327593554805E-4</c:v>
                </c:pt>
                <c:pt idx="320">
                  <c:v>2.9032169825307105E-4</c:v>
                </c:pt>
                <c:pt idx="321">
                  <c:v>2.7598596375322525E-4</c:v>
                </c:pt>
                <c:pt idx="322">
                  <c:v>2.6295091399507073E-4</c:v>
                </c:pt>
                <c:pt idx="323">
                  <c:v>2.5140066268050979E-4</c:v>
                </c:pt>
                <c:pt idx="324">
                  <c:v>2.4062531883547943E-4</c:v>
                </c:pt>
                <c:pt idx="325">
                  <c:v>2.3063996981376175E-4</c:v>
                </c:pt>
                <c:pt idx="326">
                  <c:v>2.214589311981637E-4</c:v>
                </c:pt>
                <c:pt idx="327">
                  <c:v>2.1309800208949288E-4</c:v>
                </c:pt>
                <c:pt idx="328">
                  <c:v>2.0557421114716551E-4</c:v>
                </c:pt>
                <c:pt idx="329">
                  <c:v>1.9890432540196827E-4</c:v>
                </c:pt>
                <c:pt idx="330">
                  <c:v>1.9313052847339744E-4</c:v>
                </c:pt>
                <c:pt idx="331">
                  <c:v>1.8840186728136219E-4</c:v>
                </c:pt>
                <c:pt idx="332">
                  <c:v>1.8386492817703184E-4</c:v>
                </c:pt>
                <c:pt idx="333">
                  <c:v>1.7952009585102172E-4</c:v>
                </c:pt>
                <c:pt idx="334">
                  <c:v>1.7536791697509869E-4</c:v>
                </c:pt>
                <c:pt idx="335">
                  <c:v>1.7140907490833938E-4</c:v>
                </c:pt>
                <c:pt idx="336">
                  <c:v>1.6764435966337408E-4</c:v>
                </c:pt>
                <c:pt idx="337">
                  <c:v>1.6423200596350649E-4</c:v>
                </c:pt>
                <c:pt idx="338">
                  <c:v>1.6100231570535494E-4</c:v>
                </c:pt>
                <c:pt idx="339">
                  <c:v>1.5795583053200115E-4</c:v>
                </c:pt>
                <c:pt idx="340">
                  <c:v>1.5509303656309966E-4</c:v>
                </c:pt>
                <c:pt idx="341">
                  <c:v>1.5241431670863021E-4</c:v>
                </c:pt>
                <c:pt idx="342">
                  <c:v>1.4991989983320782E-4</c:v>
                </c:pt>
                <c:pt idx="343">
                  <c:v>1.4760980786846314E-4</c:v>
                </c:pt>
                <c:pt idx="344">
                  <c:v>1.4547735495544156E-4</c:v>
                </c:pt>
                <c:pt idx="345">
                  <c:v>1.4352368496283493E-4</c:v>
                </c:pt>
                <c:pt idx="346">
                  <c:v>1.4171916070799431E-4</c:v>
                </c:pt>
                <c:pt idx="347">
                  <c:v>1.4007379112491696E-4</c:v>
                </c:pt>
                <c:pt idx="348">
                  <c:v>1.3859681845292826E-4</c:v>
                </c:pt>
                <c:pt idx="349">
                  <c:v>1.3729674247455812E-4</c:v>
                </c:pt>
                <c:pt idx="350">
                  <c:v>1.3618136028560563E-4</c:v>
                </c:pt>
                <c:pt idx="351">
                  <c:v>1.3533166580005448E-4</c:v>
                </c:pt>
                <c:pt idx="352">
                  <c:v>1.3459409300994781E-4</c:v>
                </c:pt>
                <c:pt idx="353">
                  <c:v>1.3397527398816892E-4</c:v>
                </c:pt>
                <c:pt idx="354">
                  <c:v>1.3348152477896355E-4</c:v>
                </c:pt>
                <c:pt idx="355">
                  <c:v>1.331188928571397E-4</c:v>
                </c:pt>
                <c:pt idx="356">
                  <c:v>1.3289153123218246E-4</c:v>
                </c:pt>
                <c:pt idx="357">
                  <c:v>1.3280667031051978E-4</c:v>
                </c:pt>
                <c:pt idx="358">
                  <c:v>1.3286099382721616E-4</c:v>
                </c:pt>
                <c:pt idx="359">
                  <c:v>1.3304388933342586E-4</c:v>
                </c:pt>
                <c:pt idx="360">
                  <c:v>1.3350549754856771E-4</c:v>
                </c:pt>
                <c:pt idx="361">
                  <c:v>1.3416642854738618E-4</c:v>
                </c:pt>
                <c:pt idx="362">
                  <c:v>1.3501960505253285E-4</c:v>
                </c:pt>
                <c:pt idx="363">
                  <c:v>1.3605771717326088E-4</c:v>
                </c:pt>
                <c:pt idx="364">
                  <c:v>1.3727318130422116E-4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8096"/>
        <c:axId val="611438488"/>
      </c:lineChart>
      <c:dateAx>
        <c:axId val="6114380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8488"/>
        <c:crosses val="autoZero"/>
        <c:auto val="1"/>
        <c:lblOffset val="100"/>
        <c:baseTimeUnit val="days"/>
        <c:majorUnit val="1"/>
        <c:majorTimeUnit val="months"/>
      </c:dateAx>
      <c:valAx>
        <c:axId val="6114384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8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135649710452859E-2"/>
          <c:y val="0.58991183794333402"/>
          <c:w val="0.19574886472524267"/>
          <c:h val="0.972348071875630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2.6257611469032348E-2</c:v>
                </c:pt>
                <c:pt idx="1">
                  <c:v>2.641410149342624E-2</c:v>
                </c:pt>
                <c:pt idx="2">
                  <c:v>2.6570466157429154E-2</c:v>
                </c:pt>
                <c:pt idx="3">
                  <c:v>2.6726700477124971E-2</c:v>
                </c:pt>
                <c:pt idx="4">
                  <c:v>2.6882800130616349E-2</c:v>
                </c:pt>
                <c:pt idx="5">
                  <c:v>2.7038761455649079E-2</c:v>
                </c:pt>
                <c:pt idx="6">
                  <c:v>2.7194581440255713E-2</c:v>
                </c:pt>
                <c:pt idx="7">
                  <c:v>2.735025770670365E-2</c:v>
                </c:pt>
                <c:pt idx="8">
                  <c:v>2.7505788489097644E-2</c:v>
                </c:pt>
                <c:pt idx="9">
                  <c:v>2.7661172605044942E-2</c:v>
                </c:pt>
                <c:pt idx="10">
                  <c:v>2.7816409421848001E-2</c:v>
                </c:pt>
                <c:pt idx="11">
                  <c:v>2.7971498817737504E-2</c:v>
                </c:pt>
                <c:pt idx="12">
                  <c:v>2.8126441138703523E-2</c:v>
                </c:pt>
                <c:pt idx="13">
                  <c:v>2.8281237151519343E-2</c:v>
                </c:pt>
                <c:pt idx="14">
                  <c:v>2.8435887993583913E-2</c:v>
                </c:pt>
                <c:pt idx="15">
                  <c:v>2.8590395120233005E-2</c:v>
                </c:pt>
                <c:pt idx="16">
                  <c:v>2.8744760250186012E-2</c:v>
                </c:pt>
                <c:pt idx="17">
                  <c:v>2.8898985309805836E-2</c:v>
                </c:pt>
                <c:pt idx="18">
                  <c:v>2.9053072376851952E-2</c:v>
                </c:pt>
                <c:pt idx="19">
                  <c:v>2.9207023624402261E-2</c:v>
                </c:pt>
                <c:pt idx="20">
                  <c:v>2.9360841265608485E-2</c:v>
                </c:pt>
                <c:pt idx="21">
                  <c:v>2.9514527499931636E-2</c:v>
                </c:pt>
                <c:pt idx="22">
                  <c:v>2.9668084461478811E-2</c:v>
                </c:pt>
                <c:pt idx="23">
                  <c:v>2.98215141700327E-2</c:v>
                </c:pt>
                <c:pt idx="24">
                  <c:v>2.9974818485327348E-2</c:v>
                </c:pt>
                <c:pt idx="25">
                  <c:v>3.0127999065081949E-2</c:v>
                </c:pt>
                <c:pt idx="26">
                  <c:v>3.0281057327257398E-2</c:v>
                </c:pt>
                <c:pt idx="27">
                  <c:v>3.0433994416948402E-2</c:v>
                </c:pt>
                <c:pt idx="28">
                  <c:v>3.0586811178269051E-2</c:v>
                </c:pt>
                <c:pt idx="29">
                  <c:v>3.0739508131531201E-2</c:v>
                </c:pt>
                <c:pt idx="30">
                  <c:v>3.0892085455954177E-2</c:v>
                </c:pt>
                <c:pt idx="31">
                  <c:v>3.104454297808127E-2</c:v>
                </c:pt>
                <c:pt idx="32">
                  <c:v>3.1196880166015503E-2</c:v>
                </c:pt>
                <c:pt idx="33">
                  <c:v>3.134909612952208E-2</c:v>
                </c:pt>
                <c:pt idx="34">
                  <c:v>3.1501189625981606E-2</c:v>
                </c:pt>
                <c:pt idx="35">
                  <c:v>3.1653159072115182E-2</c:v>
                </c:pt>
                <c:pt idx="36">
                  <c:v>3.180500256134091E-2</c:v>
                </c:pt>
                <c:pt idx="37">
                  <c:v>3.1956717886562881E-2</c:v>
                </c:pt>
                <c:pt idx="38">
                  <c:v>3.2108302568137306E-2</c:v>
                </c:pt>
                <c:pt idx="39">
                  <c:v>3.2259753886707848E-2</c:v>
                </c:pt>
                <c:pt idx="40">
                  <c:v>3.2411068920554363E-2</c:v>
                </c:pt>
                <c:pt idx="41">
                  <c:v>3.256224458705393E-2</c:v>
                </c:pt>
                <c:pt idx="42">
                  <c:v>3.2713277687815366E-2</c:v>
                </c:pt>
                <c:pt idx="43">
                  <c:v>3.2864164957013518E-2</c:v>
                </c:pt>
                <c:pt idx="44">
                  <c:v>3.3014903112421702E-2</c:v>
                </c:pt>
                <c:pt idx="45">
                  <c:v>3.3165488908618673E-2</c:v>
                </c:pt>
                <c:pt idx="46">
                  <c:v>3.3315919191828802E-2</c:v>
                </c:pt>
                <c:pt idx="47">
                  <c:v>3.3466190955845555E-2</c:v>
                </c:pt>
                <c:pt idx="48">
                  <c:v>3.3616301398482262E-2</c:v>
                </c:pt>
                <c:pt idx="49">
                  <c:v>3.3766247977997224E-2</c:v>
                </c:pt>
                <c:pt idx="50">
                  <c:v>3.391602846894734E-2</c:v>
                </c:pt>
                <c:pt idx="51">
                  <c:v>3.4065641016938042E-2</c:v>
                </c:pt>
                <c:pt idx="52">
                  <c:v>3.421508419175627E-2</c:v>
                </c:pt>
                <c:pt idx="53">
                  <c:v>3.4364357038397721E-2</c:v>
                </c:pt>
                <c:pt idx="54">
                  <c:v>3.4513459125528154E-2</c:v>
                </c:pt>
                <c:pt idx="55">
                  <c:v>3.4662390590952448E-2</c:v>
                </c:pt>
                <c:pt idx="56">
                  <c:v>3.4811152183702378E-2</c:v>
                </c:pt>
                <c:pt idx="57">
                  <c:v>3.4959745302394887E-2</c:v>
                </c:pt>
                <c:pt idx="58">
                  <c:v>3.5108172029556899E-2</c:v>
                </c:pt>
                <c:pt idx="59">
                  <c:v>3.5256435161658148E-2</c:v>
                </c:pt>
                <c:pt idx="60">
                  <c:v>3.5404538234642187E-2</c:v>
                </c:pt>
                <c:pt idx="61">
                  <c:v>3.5552485544794406E-2</c:v>
                </c:pt>
                <c:pt idx="62">
                  <c:v>3.5700282164835756E-2</c:v>
                </c:pt>
                <c:pt idx="63">
                  <c:v>3.5847933955180065E-2</c:v>
                </c:pt>
                <c:pt idx="64">
                  <c:v>3.5995447570342773E-2</c:v>
                </c:pt>
                <c:pt idx="65">
                  <c:v>3.6142830460534986E-2</c:v>
                </c:pt>
                <c:pt idx="66">
                  <c:v>3.6290090868524305E-2</c:v>
                </c:pt>
                <c:pt idx="67">
                  <c:v>3.6437237821886466E-2</c:v>
                </c:pt>
                <c:pt idx="68">
                  <c:v>3.6584281120812509E-2</c:v>
                </c:pt>
                <c:pt idx="69">
                  <c:v>3.6731231321674135E-2</c:v>
                </c:pt>
                <c:pt idx="70">
                  <c:v>3.6878099716583311E-2</c:v>
                </c:pt>
                <c:pt idx="71">
                  <c:v>3.7024898309211539E-2</c:v>
                </c:pt>
                <c:pt idx="72">
                  <c:v>3.717163978716026E-2</c:v>
                </c:pt>
                <c:pt idx="73">
                  <c:v>3.7318337491193565E-2</c:v>
                </c:pt>
                <c:pt idx="74">
                  <c:v>3.7465005381661177E-2</c:v>
                </c:pt>
                <c:pt idx="75">
                  <c:v>3.7611658002449942E-2</c:v>
                </c:pt>
                <c:pt idx="76">
                  <c:v>3.7758310442808751E-2</c:v>
                </c:pt>
                <c:pt idx="77">
                  <c:v>3.7904978297392179E-2</c:v>
                </c:pt>
                <c:pt idx="78">
                  <c:v>3.8051677624865228E-2</c:v>
                </c:pt>
                <c:pt idx="79">
                  <c:v>3.8198424905402255E-2</c:v>
                </c:pt>
                <c:pt idx="80">
                  <c:v>3.8345236997400854E-2</c:v>
                </c:pt>
                <c:pt idx="81">
                  <c:v>3.8492131093713952E-2</c:v>
                </c:pt>
                <c:pt idx="82">
                  <c:v>3.8639124677682296E-2</c:v>
                </c:pt>
                <c:pt idx="83">
                  <c:v>3.8786235479224968E-2</c:v>
                </c:pt>
                <c:pt idx="84">
                  <c:v>3.8933481431217665E-2</c:v>
                </c:pt>
                <c:pt idx="85">
                  <c:v>3.9080880626358352E-2</c:v>
                </c:pt>
                <c:pt idx="86">
                  <c:v>3.9228451274686604E-2</c:v>
                </c:pt>
                <c:pt idx="87">
                  <c:v>3.9376211661889982E-2</c:v>
                </c:pt>
                <c:pt idx="88">
                  <c:v>3.9524180108494247E-2</c:v>
                </c:pt>
                <c:pt idx="89">
                  <c:v>3.9672374929998956E-2</c:v>
                </c:pt>
                <c:pt idx="90">
                  <c:v>3.9820814397984815E-2</c:v>
                </c:pt>
                <c:pt idx="91">
                  <c:v>3.9969516702182621E-2</c:v>
                </c:pt>
                <c:pt idx="92">
                  <c:v>4.0118499913461364E-2</c:v>
                </c:pt>
                <c:pt idx="93">
                  <c:v>4.0267781947659412E-2</c:v>
                </c:pt>
                <c:pt idx="94">
                  <c:v>4.0417380530154014E-2</c:v>
                </c:pt>
                <c:pt idx="95">
                  <c:v>4.0567313161036088E-2</c:v>
                </c:pt>
                <c:pt idx="96">
                  <c:v>4.0717597080734337E-2</c:v>
                </c:pt>
                <c:pt idx="97">
                  <c:v>4.0868249235911681E-2</c:v>
                </c:pt>
                <c:pt idx="98">
                  <c:v>4.101928624544126E-2</c:v>
                </c:pt>
                <c:pt idx="99">
                  <c:v>4.1170724366257204E-2</c:v>
                </c:pt>
                <c:pt idx="100">
                  <c:v>4.132257945886781E-2</c:v>
                </c:pt>
                <c:pt idx="101">
                  <c:v>4.1474866952316808E-2</c:v>
                </c:pt>
                <c:pt idx="102">
                  <c:v>4.162760180838021E-2</c:v>
                </c:pt>
                <c:pt idx="103">
                  <c:v>4.1780798484794518E-2</c:v>
                </c:pt>
                <c:pt idx="104">
                  <c:v>4.1934470897323377E-2</c:v>
                </c:pt>
                <c:pt idx="105">
                  <c:v>4.2088632380488364E-2</c:v>
                </c:pt>
                <c:pt idx="106">
                  <c:v>4.2243295646810938E-2</c:v>
                </c:pt>
                <c:pt idx="107">
                  <c:v>4.2398472744439822E-2</c:v>
                </c:pt>
                <c:pt idx="108">
                  <c:v>4.2554175013068886E-2</c:v>
                </c:pt>
                <c:pt idx="109">
                  <c:v>4.2710413038085759E-2</c:v>
                </c:pt>
                <c:pt idx="110">
                  <c:v>4.2867196602930063E-2</c:v>
                </c:pt>
                <c:pt idx="111">
                  <c:v>4.3024534639681866E-2</c:v>
                </c:pt>
                <c:pt idx="112">
                  <c:v>4.3182435177944983E-2</c:v>
                </c:pt>
                <c:pt idx="113">
                  <c:v>4.3340905292136613E-2</c:v>
                </c:pt>
                <c:pt idx="114">
                  <c:v>4.3499951047341931E-2</c:v>
                </c:pt>
                <c:pt idx="115">
                  <c:v>4.3659577443941534E-2</c:v>
                </c:pt>
                <c:pt idx="116">
                  <c:v>4.3819788361267632E-2</c:v>
                </c:pt>
                <c:pt idx="117">
                  <c:v>4.3980586500594145E-2</c:v>
                </c:pt>
                <c:pt idx="118">
                  <c:v>4.4141973327811189E-2</c:v>
                </c:pt>
                <c:pt idx="119">
                  <c:v>4.4303949016181704E-2</c:v>
                </c:pt>
                <c:pt idx="120">
                  <c:v>4.4466512389618906E-2</c:v>
                </c:pt>
                <c:pt idx="121">
                  <c:v>4.4629660866963058E-2</c:v>
                </c:pt>
                <c:pt idx="122">
                  <c:v>4.4793390407771833E-2</c:v>
                </c:pt>
                <c:pt idx="123">
                  <c:v>4.4957695460169665E-2</c:v>
                </c:pt>
                <c:pt idx="124">
                  <c:v>4.5122568911326488E-2</c:v>
                </c:pt>
                <c:pt idx="125">
                  <c:v>4.5288002041157988E-2</c:v>
                </c:pt>
                <c:pt idx="126">
                  <c:v>4.545398447985332E-2</c:v>
                </c:pt>
                <c:pt idx="127">
                  <c:v>4.562050416984384E-2</c:v>
                </c:pt>
                <c:pt idx="128">
                  <c:v>4.5787547332828735E-2</c:v>
                </c:pt>
                <c:pt idx="129">
                  <c:v>4.5955098442466688E-2</c:v>
                </c:pt>
                <c:pt idx="130">
                  <c:v>4.6123140203330304E-2</c:v>
                </c:pt>
                <c:pt idx="131">
                  <c:v>4.6291653536699708E-2</c:v>
                </c:pt>
                <c:pt idx="132">
                  <c:v>4.6460617573743986E-2</c:v>
                </c:pt>
                <c:pt idx="133">
                  <c:v>4.6630009656604514E-2</c:v>
                </c:pt>
                <c:pt idx="134">
                  <c:v>4.6799805347852094E-2</c:v>
                </c:pt>
                <c:pt idx="135">
                  <c:v>4.6969978448741352E-2</c:v>
                </c:pt>
                <c:pt idx="136">
                  <c:v>4.7140501026629353E-2</c:v>
                </c:pt>
                <c:pt idx="137">
                  <c:v>4.7311343451865738E-2</c:v>
                </c:pt>
                <c:pt idx="138">
                  <c:v>4.7482474444392214E-2</c:v>
                </c:pt>
                <c:pt idx="139">
                  <c:v>4.7653861130218668E-2</c:v>
                </c:pt>
                <c:pt idx="140">
                  <c:v>4.7825469107864796E-2</c:v>
                </c:pt>
                <c:pt idx="141">
                  <c:v>4.7997262524776735E-2</c:v>
                </c:pt>
                <c:pt idx="142">
                  <c:v>4.8169204163643217E-2</c:v>
                </c:pt>
                <c:pt idx="143">
                  <c:v>4.8341255538450291E-2</c:v>
                </c:pt>
                <c:pt idx="144">
                  <c:v>4.8513377000025955E-2</c:v>
                </c:pt>
                <c:pt idx="145">
                  <c:v>4.8685527850737979E-2</c:v>
                </c:pt>
                <c:pt idx="146">
                  <c:v>4.8857666467920065E-2</c:v>
                </c:pt>
                <c:pt idx="147">
                  <c:v>4.9029750435515641E-2</c:v>
                </c:pt>
                <c:pt idx="148">
                  <c:v>4.9201736683343315E-2</c:v>
                </c:pt>
                <c:pt idx="149">
                  <c:v>4.9373581633307212E-2</c:v>
                </c:pt>
                <c:pt idx="150">
                  <c:v>4.9545241351798122E-2</c:v>
                </c:pt>
                <c:pt idx="151">
                  <c:v>4.9716671707458283E-2</c:v>
                </c:pt>
                <c:pt idx="152">
                  <c:v>4.9887828533416501E-2</c:v>
                </c:pt>
                <c:pt idx="153">
                  <c:v>5.005866779303908E-2</c:v>
                </c:pt>
                <c:pt idx="154">
                  <c:v>5.0229145748189812E-2</c:v>
                </c:pt>
                <c:pt idx="155">
                  <c:v>5.0399219128945877E-2</c:v>
                </c:pt>
                <c:pt idx="156">
                  <c:v>5.0568845303680658E-2</c:v>
                </c:pt>
                <c:pt idx="157">
                  <c:v>5.07379824483963E-2</c:v>
                </c:pt>
                <c:pt idx="158">
                  <c:v>5.0906589714170017E-2</c:v>
                </c:pt>
                <c:pt idx="159">
                  <c:v>5.1074627391570676E-2</c:v>
                </c:pt>
                <c:pt idx="160">
                  <c:v>5.124205707090293E-2</c:v>
                </c:pt>
                <c:pt idx="161">
                  <c:v>5.1408841797148018E-2</c:v>
                </c:pt>
                <c:pt idx="162">
                  <c:v>5.1574946218492963E-2</c:v>
                </c:pt>
                <c:pt idx="163">
                  <c:v>5.1740336727371529E-2</c:v>
                </c:pt>
                <c:pt idx="164">
                  <c:v>5.1904981592983117E-2</c:v>
                </c:pt>
                <c:pt idx="165">
                  <c:v>5.206885108430772E-2</c:v>
                </c:pt>
                <c:pt idx="166">
                  <c:v>5.223191758269688E-2</c:v>
                </c:pt>
                <c:pt idx="167">
                  <c:v>5.2394155683190863E-2</c:v>
                </c:pt>
                <c:pt idx="168">
                  <c:v>5.2555542283791612E-2</c:v>
                </c:pt>
                <c:pt idx="169">
                  <c:v>5.2716056662007724E-2</c:v>
                </c:pt>
                <c:pt idx="170">
                  <c:v>5.2875680538081109E-2</c:v>
                </c:pt>
                <c:pt idx="171">
                  <c:v>5.3034398124405704E-2</c:v>
                </c:pt>
                <c:pt idx="172">
                  <c:v>5.3192196160752714E-2</c:v>
                </c:pt>
                <c:pt idx="173">
                  <c:v>5.3349063935027856E-2</c:v>
                </c:pt>
                <c:pt idx="174">
                  <c:v>5.3504993289397583E-2</c:v>
                </c:pt>
                <c:pt idx="175">
                  <c:v>5.365997861173722E-2</c:v>
                </c:pt>
                <c:pt idx="176">
                  <c:v>5.3814016812470465E-2</c:v>
                </c:pt>
                <c:pt idx="177">
                  <c:v>5.3967107286984957E-2</c:v>
                </c:pt>
                <c:pt idx="178">
                  <c:v>5.4119251863925417E-2</c:v>
                </c:pt>
                <c:pt idx="179">
                  <c:v>5.4270454739777887E-2</c:v>
                </c:pt>
                <c:pt idx="180">
                  <c:v>5.4420722400268878E-2</c:v>
                </c:pt>
                <c:pt idx="181">
                  <c:v>5.4570063529208852E-2</c:v>
                </c:pt>
                <c:pt idx="182">
                  <c:v>5.4718488905509108E-2</c:v>
                </c:pt>
                <c:pt idx="183">
                  <c:v>5.4866011289195417E-2</c:v>
                </c:pt>
                <c:pt idx="184">
                  <c:v>5.501264529732721E-2</c:v>
                </c:pt>
                <c:pt idx="185">
                  <c:v>5.5158407270810207E-2</c:v>
                </c:pt>
                <c:pt idx="186">
                  <c:v>5.5303315133158483E-2</c:v>
                </c:pt>
                <c:pt idx="187">
                  <c:v>5.5447388242321878E-2</c:v>
                </c:pt>
                <c:pt idx="188">
                  <c:v>5.5590647236743722E-2</c:v>
                </c:pt>
                <c:pt idx="189">
                  <c:v>5.573311387685146E-2</c:v>
                </c:pt>
                <c:pt idx="190">
                  <c:v>5.5874810883210307E-2</c:v>
                </c:pt>
                <c:pt idx="191">
                  <c:v>5.6015761772585236E-2</c:v>
                </c:pt>
                <c:pt idx="192">
                  <c:v>5.6155990693160185E-2</c:v>
                </c:pt>
                <c:pt idx="193">
                  <c:v>5.6295522260155599E-2</c:v>
                </c:pt>
                <c:pt idx="194">
                  <c:v>5.6434381393065926E-2</c:v>
                </c:pt>
                <c:pt idx="195">
                  <c:v>5.6572593155706861E-2</c:v>
                </c:pt>
                <c:pt idx="196">
                  <c:v>5.6710182600220795E-2</c:v>
                </c:pt>
                <c:pt idx="197">
                  <c:v>5.684717461613522E-2</c:v>
                </c:pt>
                <c:pt idx="198">
                  <c:v>5.6983593785506097E-2</c:v>
                </c:pt>
                <c:pt idx="199">
                  <c:v>5.7119464245105236E-2</c:v>
                </c:pt>
                <c:pt idx="200">
                  <c:v>5.7254809556529625E-2</c:v>
                </c:pt>
                <c:pt idx="201">
                  <c:v>5.7389652585021059E-2</c:v>
                </c:pt>
                <c:pt idx="202">
                  <c:v>5.7524015387687949E-2</c:v>
                </c:pt>
                <c:pt idx="203">
                  <c:v>5.7657919111719483E-2</c:v>
                </c:pt>
                <c:pt idx="204">
                  <c:v>5.7791383903074436E-2</c:v>
                </c:pt>
                <c:pt idx="205">
                  <c:v>5.7924428826016366E-2</c:v>
                </c:pt>
                <c:pt idx="206">
                  <c:v>5.8057071793753516E-2</c:v>
                </c:pt>
                <c:pt idx="207">
                  <c:v>5.8189329510326376E-2</c:v>
                </c:pt>
                <c:pt idx="208">
                  <c:v>5.8321217423771297E-2</c:v>
                </c:pt>
                <c:pt idx="209">
                  <c:v>5.8452749690474287E-2</c:v>
                </c:pt>
                <c:pt idx="210">
                  <c:v>5.8583939150517524E-2</c:v>
                </c:pt>
                <c:pt idx="211">
                  <c:v>5.8714797313712833E-2</c:v>
                </c:pt>
                <c:pt idx="212">
                  <c:v>5.8845334355912826E-2</c:v>
                </c:pt>
                <c:pt idx="213">
                  <c:v>5.8975559125092933E-2</c:v>
                </c:pt>
                <c:pt idx="214">
                  <c:v>5.9105479156605932E-2</c:v>
                </c:pt>
                <c:pt idx="215">
                  <c:v>5.9235100696928042E-2</c:v>
                </c:pt>
                <c:pt idx="216">
                  <c:v>5.9364428735141035E-2</c:v>
                </c:pt>
                <c:pt idx="217">
                  <c:v>5.9493467041329615E-2</c:v>
                </c:pt>
                <c:pt idx="218">
                  <c:v>5.9622218211018943E-2</c:v>
                </c:pt>
                <c:pt idx="219">
                  <c:v>5.9750683714732966E-2</c:v>
                </c:pt>
                <c:pt idx="220">
                  <c:v>5.9878863951722178E-2</c:v>
                </c:pt>
                <c:pt idx="221">
                  <c:v>6.0006758306887675E-2</c:v>
                </c:pt>
                <c:pt idx="222">
                  <c:v>6.0134365209919903E-2</c:v>
                </c:pt>
                <c:pt idx="223">
                  <c:v>6.0261682195673509E-2</c:v>
                </c:pt>
                <c:pt idx="224">
                  <c:v>6.0388705964813882E-2</c:v>
                </c:pt>
                <c:pt idx="225">
                  <c:v>6.0515432443798457E-2</c:v>
                </c:pt>
                <c:pt idx="226">
                  <c:v>6.0641856843293082E-2</c:v>
                </c:pt>
                <c:pt idx="227">
                  <c:v>6.0767973714173897E-2</c:v>
                </c:pt>
                <c:pt idx="228">
                  <c:v>6.089377700032373E-2</c:v>
                </c:pt>
                <c:pt idx="229">
                  <c:v>6.1019260087502553E-2</c:v>
                </c:pt>
                <c:pt idx="230">
                  <c:v>6.1144415847648688E-2</c:v>
                </c:pt>
                <c:pt idx="231">
                  <c:v>6.1269236678055602E-2</c:v>
                </c:pt>
                <c:pt idx="232">
                  <c:v>6.1393714534961383E-2</c:v>
                </c:pt>
                <c:pt idx="233">
                  <c:v>6.151784096118857E-2</c:v>
                </c:pt>
                <c:pt idx="234">
                  <c:v>6.164160710757647E-2</c:v>
                </c:pt>
                <c:pt idx="235">
                  <c:v>6.1765003748056123E-2</c:v>
                </c:pt>
                <c:pt idx="236">
                  <c:v>6.1888021288329396E-2</c:v>
                </c:pt>
                <c:pt idx="237">
                  <c:v>6.2010649768224596E-2</c:v>
                </c:pt>
                <c:pt idx="238">
                  <c:v>6.2132878857913437E-2</c:v>
                </c:pt>
                <c:pt idx="239">
                  <c:v>6.2254697848283642E-2</c:v>
                </c:pt>
                <c:pt idx="240">
                  <c:v>6.2376095635868892E-2</c:v>
                </c:pt>
                <c:pt idx="241">
                  <c:v>6.2497060702840147E-2</c:v>
                </c:pt>
                <c:pt idx="242">
                  <c:v>6.261758109266094E-2</c:v>
                </c:pt>
                <c:pt idx="243">
                  <c:v>6.2737644382098445E-2</c:v>
                </c:pt>
                <c:pt idx="244">
                  <c:v>6.2857237650366327E-2</c:v>
                </c:pt>
                <c:pt idx="245">
                  <c:v>6.2976347446248332E-2</c:v>
                </c:pt>
                <c:pt idx="246">
                  <c:v>6.3094959754116275E-2</c:v>
                </c:pt>
                <c:pt idx="247">
                  <c:v>6.3213059959808499E-2</c:v>
                </c:pt>
                <c:pt idx="248">
                  <c:v>6.3330632817377414E-2</c:v>
                </c:pt>
                <c:pt idx="249">
                  <c:v>6.3447662417742412E-2</c:v>
                </c:pt>
                <c:pt idx="250">
                  <c:v>6.3564132160303252E-2</c:v>
                </c:pt>
                <c:pt idx="251">
                  <c:v>6.3680024728569762E-2</c:v>
                </c:pt>
                <c:pt idx="252">
                  <c:v>6.3795322070855531E-2</c:v>
                </c:pt>
                <c:pt idx="253">
                  <c:v>6.3910005387058724E-2</c:v>
                </c:pt>
                <c:pt idx="254">
                  <c:v>6.4024055122516105E-2</c:v>
                </c:pt>
                <c:pt idx="255">
                  <c:v>6.4137450969865992E-2</c:v>
                </c:pt>
                <c:pt idx="256">
                  <c:v>6.4250171879792525E-2</c:v>
                </c:pt>
                <c:pt idx="257">
                  <c:v>6.4362196081447762E-2</c:v>
                </c:pt>
                <c:pt idx="258">
                  <c:v>6.447350111326039E-2</c:v>
                </c:pt>
                <c:pt idx="259">
                  <c:v>6.4584063864741331E-2</c:v>
                </c:pt>
                <c:pt idx="260">
                  <c:v>6.4693860629787506E-2</c:v>
                </c:pt>
                <c:pt idx="261">
                  <c:v>6.4802867171867382E-2</c:v>
                </c:pt>
                <c:pt idx="262">
                  <c:v>6.4911058801345747E-2</c:v>
                </c:pt>
                <c:pt idx="263">
                  <c:v>6.5018410465072549E-2</c:v>
                </c:pt>
                <c:pt idx="264">
                  <c:v>6.512489684822334E-2</c:v>
                </c:pt>
                <c:pt idx="265">
                  <c:v>6.5230492488235842E-2</c:v>
                </c:pt>
                <c:pt idx="266">
                  <c:v>6.5335171900543207E-2</c:v>
                </c:pt>
                <c:pt idx="267">
                  <c:v>6.5438909715659924E-2</c:v>
                </c:pt>
                <c:pt idx="268">
                  <c:v>6.5541680827029491E-2</c:v>
                </c:pt>
                <c:pt idx="269">
                  <c:v>6.5643460548902716E-2</c:v>
                </c:pt>
                <c:pt idx="270">
                  <c:v>6.5744224783374008E-2</c:v>
                </c:pt>
                <c:pt idx="271">
                  <c:v>6.5843950195571516E-2</c:v>
                </c:pt>
                <c:pt idx="272">
                  <c:v>6.5942614395868321E-2</c:v>
                </c:pt>
                <c:pt idx="273">
                  <c:v>6.6040196127864118E-2</c:v>
                </c:pt>
                <c:pt idx="274">
                  <c:v>6.6136675460777269E-2</c:v>
                </c:pt>
                <c:pt idx="275">
                  <c:v>6.6232033984789163E-2</c:v>
                </c:pt>
                <c:pt idx="276">
                  <c:v>6.6326255007796917E-2</c:v>
                </c:pt>
                <c:pt idx="277">
                  <c:v>6.6419323751957832E-2</c:v>
                </c:pt>
                <c:pt idx="278">
                  <c:v>6.6511227548350274E-2</c:v>
                </c:pt>
                <c:pt idx="279">
                  <c:v>6.6601956028033454E-2</c:v>
                </c:pt>
                <c:pt idx="280">
                  <c:v>6.6691501307760026E-2</c:v>
                </c:pt>
                <c:pt idx="281">
                  <c:v>6.6779858168585865E-2</c:v>
                </c:pt>
                <c:pt idx="282">
                  <c:v>6.6867024225626112E-2</c:v>
                </c:pt>
                <c:pt idx="283">
                  <c:v>6.6953000087231082E-2</c:v>
                </c:pt>
                <c:pt idx="284">
                  <c:v>6.7037789501894346E-2</c:v>
                </c:pt>
                <c:pt idx="285">
                  <c:v>6.7121399491263806E-2</c:v>
                </c:pt>
                <c:pt idx="286">
                  <c:v>6.7203840467700088E-2</c:v>
                </c:pt>
                <c:pt idx="287">
                  <c:v>6.7285126334917067E-2</c:v>
                </c:pt>
                <c:pt idx="288">
                  <c:v>6.7365274570344941E-2</c:v>
                </c:pt>
                <c:pt idx="289">
                  <c:v>6.7444306287978692E-2</c:v>
                </c:pt>
                <c:pt idx="290">
                  <c:v>6.7522246280607712E-2</c:v>
                </c:pt>
                <c:pt idx="291">
                  <c:v>6.7599123040472039E-2</c:v>
                </c:pt>
                <c:pt idx="292">
                  <c:v>6.7674968757549234E-2</c:v>
                </c:pt>
                <c:pt idx="293">
                  <c:v>6.77498192948459E-2</c:v>
                </c:pt>
                <c:pt idx="294">
                  <c:v>6.782371414024696E-2</c:v>
                </c:pt>
                <c:pt idx="295">
                  <c:v>6.7896696334661097E-2</c:v>
                </c:pt>
                <c:pt idx="296">
                  <c:v>6.7968812376392601E-2</c:v>
                </c:pt>
                <c:pt idx="297">
                  <c:v>6.8040112101865488E-2</c:v>
                </c:pt>
                <c:pt idx="298">
                  <c:v>6.8110648543022539E-2</c:v>
                </c:pt>
                <c:pt idx="299">
                  <c:v>6.8180477761920183E-2</c:v>
                </c:pt>
                <c:pt idx="300">
                  <c:v>6.8249658663235638E-2</c:v>
                </c:pt>
                <c:pt idx="301">
                  <c:v>6.831825278559564E-2</c:v>
                </c:pt>
                <c:pt idx="302">
                  <c:v>6.8386324072823315E-2</c:v>
                </c:pt>
                <c:pt idx="303">
                  <c:v>6.8453938626379371E-2</c:v>
                </c:pt>
                <c:pt idx="304">
                  <c:v>6.852116444044587E-2</c:v>
                </c:pt>
                <c:pt idx="305">
                  <c:v>6.8588071121260641E-2</c:v>
                </c:pt>
                <c:pt idx="306">
                  <c:v>6.8654729592459968E-2</c:v>
                </c:pt>
                <c:pt idx="307">
                  <c:v>6.8721211788321399E-2</c:v>
                </c:pt>
                <c:pt idx="308">
                  <c:v>6.8787590336918683E-2</c:v>
                </c:pt>
                <c:pt idx="309">
                  <c:v>6.8853938235305501E-2</c:v>
                </c:pt>
                <c:pt idx="310">
                  <c:v>6.8920328518929624E-2</c:v>
                </c:pt>
                <c:pt idx="311">
                  <c:v>6.8986833927549063E-2</c:v>
                </c:pt>
                <c:pt idx="312">
                  <c:v>6.9053526569970033E-2</c:v>
                </c:pt>
                <c:pt idx="313">
                  <c:v>6.9120477589956847E-2</c:v>
                </c:pt>
                <c:pt idx="314">
                  <c:v>6.9187756835673145E-2</c:v>
                </c:pt>
                <c:pt idx="315">
                  <c:v>6.9255432535004255E-2</c:v>
                </c:pt>
                <c:pt idx="316">
                  <c:v>6.9323570979079138E-2</c:v>
                </c:pt>
                <c:pt idx="317">
                  <c:v>6.9392236216259978E-2</c:v>
                </c:pt>
                <c:pt idx="318">
                  <c:v>6.9461489758797068E-2</c:v>
                </c:pt>
                <c:pt idx="319">
                  <c:v>6.9531390304257729E-2</c:v>
                </c:pt>
                <c:pt idx="320">
                  <c:v>6.9601993473728793E-2</c:v>
                </c:pt>
                <c:pt idx="321">
                  <c:v>6.967335156866801E-2</c:v>
                </c:pt>
                <c:pt idx="322">
                  <c:v>6.974551334813732E-2</c:v>
                </c:pt>
                <c:pt idx="323">
                  <c:v>6.9818523827993445E-2</c:v>
                </c:pt>
                <c:pt idx="324">
                  <c:v>6.9892424103440987E-2</c:v>
                </c:pt>
                <c:pt idx="325">
                  <c:v>6.9967251196169533E-2</c:v>
                </c:pt>
                <c:pt idx="326">
                  <c:v>7.0043037927101981E-2</c:v>
                </c:pt>
                <c:pt idx="327">
                  <c:v>7.0119812815578941E-2</c:v>
                </c:pt>
                <c:pt idx="328">
                  <c:v>7.0197600005593316E-2</c:v>
                </c:pt>
                <c:pt idx="329">
                  <c:v>7.0276419219474251E-2</c:v>
                </c:pt>
                <c:pt idx="330">
                  <c:v>7.0356285739200095E-2</c:v>
                </c:pt>
                <c:pt idx="331">
                  <c:v>7.0437210415301266E-2</c:v>
                </c:pt>
                <c:pt idx="332">
                  <c:v>7.051919970309288E-2</c:v>
                </c:pt>
                <c:pt idx="333">
                  <c:v>7.0602255725761606E-2</c:v>
                </c:pt>
                <c:pt idx="334">
                  <c:v>7.0686376363617714E-2</c:v>
                </c:pt>
                <c:pt idx="335">
                  <c:v>7.0771555368618955E-2</c:v>
                </c:pt>
                <c:pt idx="336">
                  <c:v>7.0857782503073855E-2</c:v>
                </c:pt>
                <c:pt idx="337">
                  <c:v>7.0945043701246352E-2</c:v>
                </c:pt>
                <c:pt idx="338">
                  <c:v>7.1033321252407272E-2</c:v>
                </c:pt>
                <c:pt idx="339">
                  <c:v>7.1122594003716219E-2</c:v>
                </c:pt>
                <c:pt idx="340">
                  <c:v>7.1212837581170543E-2</c:v>
                </c:pt>
                <c:pt idx="341">
                  <c:v>7.1304024626726567E-2</c:v>
                </c:pt>
                <c:pt idx="342">
                  <c:v>7.139612504958387E-2</c:v>
                </c:pt>
                <c:pt idx="343">
                  <c:v>7.148910628952887E-2</c:v>
                </c:pt>
                <c:pt idx="344">
                  <c:v>7.1582933590155925E-2</c:v>
                </c:pt>
                <c:pt idx="345">
                  <c:v>7.1677570279727584E-2</c:v>
                </c:pt>
                <c:pt idx="346">
                  <c:v>7.1772978057398421E-2</c:v>
                </c:pt>
                <c:pt idx="347">
                  <c:v>7.1869117282510456E-2</c:v>
                </c:pt>
                <c:pt idx="348">
                  <c:v>7.1965947264670566E-2</c:v>
                </c:pt>
                <c:pt idx="349">
                  <c:v>7.2063426552345142E-2</c:v>
                </c:pt>
                <c:pt idx="350">
                  <c:v>7.216151321774994E-2</c:v>
                </c:pt>
                <c:pt idx="351">
                  <c:v>7.2260165135876242E-2</c:v>
                </c:pt>
                <c:pt idx="352">
                  <c:v>7.2359340255575361E-2</c:v>
                </c:pt>
                <c:pt idx="353">
                  <c:v>7.2458996860723018E-2</c:v>
                </c:pt>
                <c:pt idx="354">
                  <c:v>7.2559093819600559E-2</c:v>
                </c:pt>
                <c:pt idx="355">
                  <c:v>7.2659590820761122E-2</c:v>
                </c:pt>
                <c:pt idx="356">
                  <c:v>7.2760448593794477E-2</c:v>
                </c:pt>
                <c:pt idx="357">
                  <c:v>7.2861629113561463E-2</c:v>
                </c:pt>
                <c:pt idx="358">
                  <c:v>7.2963095786638552E-2</c:v>
                </c:pt>
                <c:pt idx="359">
                  <c:v>7.3064813618891333E-2</c:v>
                </c:pt>
                <c:pt idx="360">
                  <c:v>7.3166749363281186E-2</c:v>
                </c:pt>
                <c:pt idx="361">
                  <c:v>7.3268871647201708E-2</c:v>
                </c:pt>
                <c:pt idx="362">
                  <c:v>7.3371151078836988E-2</c:v>
                </c:pt>
                <c:pt idx="363">
                  <c:v>7.3473560332231541E-2</c:v>
                </c:pt>
                <c:pt idx="364">
                  <c:v>7.3576074210959477E-2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1.3865843780398894E-4</c:v>
                </c:pt>
                <c:pt idx="1">
                  <c:v>1.4025119874997309E-4</c:v>
                </c:pt>
                <c:pt idx="2">
                  <c:v>1.4203499475645413E-4</c:v>
                </c:pt>
                <c:pt idx="3">
                  <c:v>1.4400028133921538E-4</c:v>
                </c:pt>
                <c:pt idx="4">
                  <c:v>1.4613705805569015E-4</c:v>
                </c:pt>
                <c:pt idx="5">
                  <c:v>1.4843486756220068E-4</c:v>
                </c:pt>
                <c:pt idx="6">
                  <c:v>1.5088280419326151E-4</c:v>
                </c:pt>
                <c:pt idx="7">
                  <c:v>1.5346953191801079E-4</c:v>
                </c:pt>
                <c:pt idx="8">
                  <c:v>1.5618719776492923E-4</c:v>
                </c:pt>
                <c:pt idx="9">
                  <c:v>1.5919113554223012E-4</c:v>
                </c:pt>
                <c:pt idx="10">
                  <c:v>1.623297473007514E-4</c:v>
                </c:pt>
                <c:pt idx="11">
                  <c:v>1.6559851588032165E-4</c:v>
                </c:pt>
                <c:pt idx="12">
                  <c:v>1.6899298747682421E-4</c:v>
                </c:pt>
                <c:pt idx="13">
                  <c:v>1.7250880979252086E-4</c:v>
                </c:pt>
                <c:pt idx="14">
                  <c:v>1.761417654469096E-4</c:v>
                </c:pt>
                <c:pt idx="15">
                  <c:v>1.8066313296720055E-4</c:v>
                </c:pt>
                <c:pt idx="16">
                  <c:v>1.8594853945417449E-4</c:v>
                </c:pt>
                <c:pt idx="17">
                  <c:v>1.9197305742475247E-4</c:v>
                </c:pt>
                <c:pt idx="18">
                  <c:v>1.9871180970445373E-4</c:v>
                </c:pt>
                <c:pt idx="19">
                  <c:v>2.061413148742171E-4</c:v>
                </c:pt>
                <c:pt idx="20">
                  <c:v>2.1423922985969036E-4</c:v>
                </c:pt>
                <c:pt idx="21">
                  <c:v>2.2298312077788637E-4</c:v>
                </c:pt>
                <c:pt idx="22">
                  <c:v>2.3233091151271998E-4</c:v>
                </c:pt>
                <c:pt idx="23">
                  <c:v>2.4287609727618119E-4</c:v>
                </c:pt>
                <c:pt idx="24">
                  <c:v>2.5443729668073168E-4</c:v>
                </c:pt>
                <c:pt idx="25">
                  <c:v>2.6697412486740852E-4</c:v>
                </c:pt>
                <c:pt idx="26">
                  <c:v>2.8044727308228706E-4</c:v>
                </c:pt>
                <c:pt idx="27">
                  <c:v>2.9481873449634051E-4</c:v>
                </c:pt>
                <c:pt idx="28">
                  <c:v>3.1005199475889401E-4</c:v>
                </c:pt>
                <c:pt idx="29">
                  <c:v>3.2581491121687562E-4</c:v>
                </c:pt>
                <c:pt idx="30">
                  <c:v>3.4143152867015611E-4</c:v>
                </c:pt>
                <c:pt idx="31">
                  <c:v>3.5690499149655886E-4</c:v>
                </c:pt>
                <c:pt idx="32">
                  <c:v>3.7223952536930883E-4</c:v>
                </c:pt>
                <c:pt idx="33">
                  <c:v>3.8744033991169782E-4</c:v>
                </c:pt>
                <c:pt idx="34">
                  <c:v>4.0251353806133958E-4</c:v>
                </c:pt>
                <c:pt idx="35">
                  <c:v>4.1746603278830995E-4</c:v>
                </c:pt>
                <c:pt idx="36">
                  <c:v>4.3227815536078784E-4</c:v>
                </c:pt>
                <c:pt idx="37">
                  <c:v>4.4554650063427298E-4</c:v>
                </c:pt>
                <c:pt idx="38">
                  <c:v>4.5679291731232069E-4</c:v>
                </c:pt>
                <c:pt idx="39">
                  <c:v>4.6608996645738855E-4</c:v>
                </c:pt>
                <c:pt idx="40">
                  <c:v>4.7350903343544272E-4</c:v>
                </c:pt>
                <c:pt idx="41">
                  <c:v>4.7912006757693529E-4</c:v>
                </c:pt>
                <c:pt idx="42">
                  <c:v>4.8299136051477867E-4</c:v>
                </c:pt>
                <c:pt idx="43">
                  <c:v>4.8390540637446123E-4</c:v>
                </c:pt>
                <c:pt idx="44">
                  <c:v>4.8222031758735762E-4</c:v>
                </c:pt>
                <c:pt idx="45">
                  <c:v>4.7803376801897431E-4</c:v>
                </c:pt>
                <c:pt idx="46">
                  <c:v>4.7143981919665749E-4</c:v>
                </c:pt>
                <c:pt idx="47">
                  <c:v>4.6252878672699353E-4</c:v>
                </c:pt>
                <c:pt idx="48">
                  <c:v>4.5138713643821547E-4</c:v>
                </c:pt>
                <c:pt idx="49">
                  <c:v>4.3809740592120055E-4</c:v>
                </c:pt>
                <c:pt idx="50">
                  <c:v>4.2272201531099455E-4</c:v>
                </c:pt>
                <c:pt idx="51">
                  <c:v>4.0599840032081249E-4</c:v>
                </c:pt>
                <c:pt idx="52">
                  <c:v>3.8913355707316592E-4</c:v>
                </c:pt>
                <c:pt idx="53">
                  <c:v>3.7213647266447008E-4</c:v>
                </c:pt>
                <c:pt idx="54">
                  <c:v>3.5501737241115297E-4</c:v>
                </c:pt>
                <c:pt idx="55">
                  <c:v>3.3778564863420961E-4</c:v>
                </c:pt>
                <c:pt idx="56">
                  <c:v>3.2044988312463413E-4</c:v>
                </c:pt>
                <c:pt idx="57">
                  <c:v>3.038411182779739E-4</c:v>
                </c:pt>
                <c:pt idx="58">
                  <c:v>2.8902227973229137E-4</c:v>
                </c:pt>
                <c:pt idx="59">
                  <c:v>2.7593943532673869E-4</c:v>
                </c:pt>
                <c:pt idx="60">
                  <c:v>2.6454037882779841E-4</c:v>
                </c:pt>
                <c:pt idx="61">
                  <c:v>2.547746685857602E-4</c:v>
                </c:pt>
                <c:pt idx="62">
                  <c:v>2.4659366042272939E-4</c:v>
                </c:pt>
                <c:pt idx="63">
                  <c:v>2.3995053552699816E-4</c:v>
                </c:pt>
                <c:pt idx="64">
                  <c:v>2.347943099919539E-4</c:v>
                </c:pt>
                <c:pt idx="65">
                  <c:v>2.3086254184274092E-4</c:v>
                </c:pt>
                <c:pt idx="66">
                  <c:v>2.2754469409418704E-4</c:v>
                </c:pt>
                <c:pt idx="67">
                  <c:v>2.2482480148750705E-4</c:v>
                </c:pt>
                <c:pt idx="68">
                  <c:v>2.2268747197672919E-4</c:v>
                </c:pt>
                <c:pt idx="69">
                  <c:v>2.2111790983362758E-4</c:v>
                </c:pt>
                <c:pt idx="70">
                  <c:v>2.2010193658424248E-4</c:v>
                </c:pt>
                <c:pt idx="71">
                  <c:v>2.1940633182381537E-4</c:v>
                </c:pt>
                <c:pt idx="72">
                  <c:v>2.1831661059225569E-4</c:v>
                </c:pt>
                <c:pt idx="73">
                  <c:v>2.1684567707224987E-4</c:v>
                </c:pt>
                <c:pt idx="74">
                  <c:v>2.150058338548289E-4</c:v>
                </c:pt>
                <c:pt idx="75">
                  <c:v>2.1280877381206861E-4</c:v>
                </c:pt>
                <c:pt idx="76">
                  <c:v>2.102655728436981E-4</c:v>
                </c:pt>
                <c:pt idx="77">
                  <c:v>2.0738668335637165E-4</c:v>
                </c:pt>
                <c:pt idx="78">
                  <c:v>2.0416275292875564E-4</c:v>
                </c:pt>
                <c:pt idx="79">
                  <c:v>2.0043535344665958E-4</c:v>
                </c:pt>
                <c:pt idx="80">
                  <c:v>1.9641330202034736E-4</c:v>
                </c:pt>
                <c:pt idx="81">
                  <c:v>1.9211226409178561E-4</c:v>
                </c:pt>
                <c:pt idx="82">
                  <c:v>1.8754656912924668E-4</c:v>
                </c:pt>
                <c:pt idx="83">
                  <c:v>1.8272914892810159E-4</c:v>
                </c:pt>
                <c:pt idx="84">
                  <c:v>1.7767148983086184E-4</c:v>
                </c:pt>
                <c:pt idx="85">
                  <c:v>1.722809373453475E-4</c:v>
                </c:pt>
                <c:pt idx="86">
                  <c:v>1.6676209579789722E-4</c:v>
                </c:pt>
                <c:pt idx="87">
                  <c:v>1.6111997613279261E-4</c:v>
                </c:pt>
                <c:pt idx="88">
                  <c:v>1.5535826179285717E-4</c:v>
                </c:pt>
                <c:pt idx="89">
                  <c:v>1.4947931703498929E-4</c:v>
                </c:pt>
                <c:pt idx="90">
                  <c:v>1.4348419361429827E-4</c:v>
                </c:pt>
                <c:pt idx="91">
                  <c:v>1.3737263448384917E-4</c:v>
                </c:pt>
                <c:pt idx="92">
                  <c:v>1.3113158165585021E-4</c:v>
                </c:pt>
                <c:pt idx="93">
                  <c:v>1.2483686606427352E-4</c:v>
                </c:pt>
                <c:pt idx="94">
                  <c:v>1.1862533059788674E-4</c:v>
                </c:pt>
                <c:pt idx="95">
                  <c:v>1.1249066257305738E-4</c:v>
                </c:pt>
                <c:pt idx="96">
                  <c:v>1.0642660829786328E-4</c:v>
                </c:pt>
                <c:pt idx="97">
                  <c:v>1.0042696278137266E-4</c:v>
                </c:pt>
                <c:pt idx="98">
                  <c:v>9.4485559903325676E-5</c:v>
                </c:pt>
                <c:pt idx="99">
                  <c:v>8.8734366115458298E-5</c:v>
                </c:pt>
                <c:pt idx="100">
                  <c:v>8.3262781462625408E-5</c:v>
                </c:pt>
                <c:pt idx="101">
                  <c:v>7.806387385475043E-5</c:v>
                </c:pt>
                <c:pt idx="102">
                  <c:v>7.3131220272076134E-5</c:v>
                </c:pt>
                <c:pt idx="103">
                  <c:v>6.8458899903523336E-5</c:v>
                </c:pt>
                <c:pt idx="104">
                  <c:v>6.404148840464006E-5</c:v>
                </c:pt>
                <c:pt idx="105">
                  <c:v>5.987405327199706E-5</c:v>
                </c:pt>
                <c:pt idx="106">
                  <c:v>5.5952114842723868E-5</c:v>
                </c:pt>
                <c:pt idx="107">
                  <c:v>5.2357776891997139E-5</c:v>
                </c:pt>
                <c:pt idx="108">
                  <c:v>4.8999341967372445E-5</c:v>
                </c:pt>
                <c:pt idx="109">
                  <c:v>4.587380541390999E-5</c:v>
                </c:pt>
                <c:pt idx="110">
                  <c:v>4.2978799116923743E-5</c:v>
                </c:pt>
                <c:pt idx="111">
                  <c:v>4.0312433433672277E-5</c:v>
                </c:pt>
                <c:pt idx="112">
                  <c:v>3.7873186607018705E-5</c:v>
                </c:pt>
                <c:pt idx="113">
                  <c:v>3.573209170041199E-5</c:v>
                </c:pt>
                <c:pt idx="114">
                  <c:v>3.3749621430228407E-5</c:v>
                </c:pt>
                <c:pt idx="115">
                  <c:v>3.1925088243409775E-5</c:v>
                </c:pt>
                <c:pt idx="116">
                  <c:v>3.0258149819658857E-5</c:v>
                </c:pt>
                <c:pt idx="117">
                  <c:v>2.8748806638598334E-5</c:v>
                </c:pt>
                <c:pt idx="118">
                  <c:v>2.7397399925194624E-5</c:v>
                </c:pt>
                <c:pt idx="119">
                  <c:v>2.6204609877371178E-5</c:v>
                </c:pt>
                <c:pt idx="120">
                  <c:v>2.517176183614101E-5</c:v>
                </c:pt>
                <c:pt idx="121">
                  <c:v>2.4338499850654211E-5</c:v>
                </c:pt>
                <c:pt idx="122">
                  <c:v>2.3616146927414051E-5</c:v>
                </c:pt>
                <c:pt idx="123">
                  <c:v>2.3005717656671686E-5</c:v>
                </c:pt>
                <c:pt idx="124">
                  <c:v>2.250847161188582E-5</c:v>
                </c:pt>
                <c:pt idx="125">
                  <c:v>2.2125909879705294E-5</c:v>
                </c:pt>
                <c:pt idx="126">
                  <c:v>2.1859771415245079E-5</c:v>
                </c:pt>
                <c:pt idx="127">
                  <c:v>2.1710393033428015E-5</c:v>
                </c:pt>
                <c:pt idx="128">
                  <c:v>2.1601653797046512E-5</c:v>
                </c:pt>
                <c:pt idx="129">
                  <c:v>2.1534074810802885E-5</c:v>
                </c:pt>
                <c:pt idx="130">
                  <c:v>2.150824615415108E-5</c:v>
                </c:pt>
                <c:pt idx="131">
                  <c:v>2.1524824849276189E-5</c:v>
                </c:pt>
                <c:pt idx="132">
                  <c:v>2.1584532645022149E-5</c:v>
                </c:pt>
                <c:pt idx="133">
                  <c:v>2.1688153601846045E-5</c:v>
                </c:pt>
                <c:pt idx="134">
                  <c:v>2.1836965782794198E-5</c:v>
                </c:pt>
                <c:pt idx="135">
                  <c:v>2.2043497235220977E-5</c:v>
                </c:pt>
                <c:pt idx="136">
                  <c:v>2.2266215455497525E-5</c:v>
                </c:pt>
                <c:pt idx="137">
                  <c:v>2.2505213635494663E-5</c:v>
                </c:pt>
                <c:pt idx="138">
                  <c:v>2.2760587453978917E-5</c:v>
                </c:pt>
                <c:pt idx="139">
                  <c:v>2.3032433456338309E-5</c:v>
                </c:pt>
                <c:pt idx="140">
                  <c:v>2.3320847398786849E-5</c:v>
                </c:pt>
                <c:pt idx="141">
                  <c:v>2.3642821296270276E-5</c:v>
                </c:pt>
                <c:pt idx="142">
                  <c:v>2.4000721346508656E-5</c:v>
                </c:pt>
                <c:pt idx="143">
                  <c:v>2.4395127596908316E-5</c:v>
                </c:pt>
                <c:pt idx="144">
                  <c:v>2.4826774697502968E-5</c:v>
                </c:pt>
                <c:pt idx="145">
                  <c:v>2.5296407713704811E-5</c:v>
                </c:pt>
                <c:pt idx="146">
                  <c:v>2.5804778178843601E-5</c:v>
                </c:pt>
                <c:pt idx="147">
                  <c:v>2.6352639984035352E-5</c:v>
                </c:pt>
                <c:pt idx="148">
                  <c:v>2.6941388044367755E-5</c:v>
                </c:pt>
                <c:pt idx="149">
                  <c:v>2.7561975113787211E-5</c:v>
                </c:pt>
                <c:pt idx="150">
                  <c:v>2.8201798628826956E-5</c:v>
                </c:pt>
                <c:pt idx="151">
                  <c:v>2.886090736375446E-5</c:v>
                </c:pt>
                <c:pt idx="152">
                  <c:v>2.9539325991625424E-5</c:v>
                </c:pt>
                <c:pt idx="153">
                  <c:v>3.0237053865081251E-5</c:v>
                </c:pt>
                <c:pt idx="154">
                  <c:v>3.0954063902444773E-5</c:v>
                </c:pt>
                <c:pt idx="155">
                  <c:v>3.1688126537426959E-5</c:v>
                </c:pt>
                <c:pt idx="156">
                  <c:v>3.2419239385915512E-5</c:v>
                </c:pt>
                <c:pt idx="157">
                  <c:v>3.3146580697204742E-5</c:v>
                </c:pt>
                <c:pt idx="158">
                  <c:v>3.386929471204391E-5</c:v>
                </c:pt>
                <c:pt idx="159">
                  <c:v>3.4586494418625558E-5</c:v>
                </c:pt>
                <c:pt idx="160">
                  <c:v>3.5297264520646487E-5</c:v>
                </c:pt>
                <c:pt idx="161">
                  <c:v>3.6051382292326319E-5</c:v>
                </c:pt>
                <c:pt idx="162">
                  <c:v>3.6813344005131518E-5</c:v>
                </c:pt>
                <c:pt idx="163">
                  <c:v>3.7548362895554244E-5</c:v>
                </c:pt>
                <c:pt idx="164">
                  <c:v>3.8267301872834873E-5</c:v>
                </c:pt>
                <c:pt idx="165">
                  <c:v>3.8969128554216201E-5</c:v>
                </c:pt>
                <c:pt idx="166">
                  <c:v>3.9652810359089997E-5</c:v>
                </c:pt>
                <c:pt idx="167">
                  <c:v>4.0317318380067075E-5</c:v>
                </c:pt>
                <c:pt idx="168">
                  <c:v>4.0961631180627536E-5</c:v>
                </c:pt>
                <c:pt idx="169">
                  <c:v>4.1562791505009842E-5</c:v>
                </c:pt>
                <c:pt idx="170">
                  <c:v>4.212068099719092E-5</c:v>
                </c:pt>
                <c:pt idx="171">
                  <c:v>4.2633345893995802E-5</c:v>
                </c:pt>
                <c:pt idx="172">
                  <c:v>4.3098866206790621E-5</c:v>
                </c:pt>
                <c:pt idx="173">
                  <c:v>4.3514916164983698E-5</c:v>
                </c:pt>
                <c:pt idx="174">
                  <c:v>4.387917548972558E-5</c:v>
                </c:pt>
                <c:pt idx="175">
                  <c:v>4.418980236099208E-5</c:v>
                </c:pt>
                <c:pt idx="176">
                  <c:v>4.4444873819745521E-5</c:v>
                </c:pt>
                <c:pt idx="177">
                  <c:v>4.4641463035748688E-5</c:v>
                </c:pt>
                <c:pt idx="178">
                  <c:v>4.4802571347153273E-5</c:v>
                </c:pt>
                <c:pt idx="179">
                  <c:v>4.492775195052676E-5</c:v>
                </c:pt>
                <c:pt idx="180">
                  <c:v>4.5016606767131789E-5</c:v>
                </c:pt>
                <c:pt idx="181">
                  <c:v>4.5068784831760646E-5</c:v>
                </c:pt>
                <c:pt idx="182">
                  <c:v>4.5083980310424628E-5</c:v>
                </c:pt>
                <c:pt idx="183">
                  <c:v>4.504862389534765E-5</c:v>
                </c:pt>
                <c:pt idx="184">
                  <c:v>4.4987952764657359E-5</c:v>
                </c:pt>
                <c:pt idx="185">
                  <c:v>4.4902283153803157E-5</c:v>
                </c:pt>
                <c:pt idx="186">
                  <c:v>4.4791950569591097E-5</c:v>
                </c:pt>
                <c:pt idx="187">
                  <c:v>4.4657306604466008E-5</c:v>
                </c:pt>
                <c:pt idx="188">
                  <c:v>4.4498715721199531E-5</c:v>
                </c:pt>
                <c:pt idx="189">
                  <c:v>4.4316552016484166E-5</c:v>
                </c:pt>
                <c:pt idx="190">
                  <c:v>4.411064390150103E-5</c:v>
                </c:pt>
                <c:pt idx="191">
                  <c:v>4.3909531024729034E-5</c:v>
                </c:pt>
                <c:pt idx="192">
                  <c:v>4.3714530932417885E-5</c:v>
                </c:pt>
                <c:pt idx="193">
                  <c:v>4.3526439179134652E-5</c:v>
                </c:pt>
                <c:pt idx="194">
                  <c:v>4.3346040558991558E-5</c:v>
                </c:pt>
                <c:pt idx="195">
                  <c:v>4.3174108248504734E-5</c:v>
                </c:pt>
                <c:pt idx="196">
                  <c:v>4.3011403140186292E-5</c:v>
                </c:pt>
                <c:pt idx="197">
                  <c:v>4.2890602875181984E-5</c:v>
                </c:pt>
                <c:pt idx="198">
                  <c:v>4.2827600712250533E-5</c:v>
                </c:pt>
                <c:pt idx="199">
                  <c:v>4.2824329321814964E-5</c:v>
                </c:pt>
                <c:pt idx="200">
                  <c:v>4.2882680366019966E-5</c:v>
                </c:pt>
                <c:pt idx="201">
                  <c:v>4.3004508433502152E-5</c:v>
                </c:pt>
                <c:pt idx="202">
                  <c:v>4.3191635305023616E-5</c:v>
                </c:pt>
                <c:pt idx="203">
                  <c:v>4.3445854542229081E-5</c:v>
                </c:pt>
                <c:pt idx="204">
                  <c:v>4.3768839446625884E-5</c:v>
                </c:pt>
                <c:pt idx="205">
                  <c:v>4.4160263353175548E-5</c:v>
                </c:pt>
                <c:pt idx="206">
                  <c:v>4.4589935788564147E-5</c:v>
                </c:pt>
                <c:pt idx="207">
                  <c:v>4.5058803196444313E-5</c:v>
                </c:pt>
                <c:pt idx="208">
                  <c:v>4.5567791693945874E-5</c:v>
                </c:pt>
                <c:pt idx="209">
                  <c:v>4.6117808112895569E-5</c:v>
                </c:pt>
                <c:pt idx="210">
                  <c:v>4.6709741020089843E-5</c:v>
                </c:pt>
                <c:pt idx="211">
                  <c:v>4.7422396339267355E-5</c:v>
                </c:pt>
                <c:pt idx="212">
                  <c:v>4.8220815963135745E-5</c:v>
                </c:pt>
                <c:pt idx="213">
                  <c:v>4.9106070767403697E-5</c:v>
                </c:pt>
                <c:pt idx="214">
                  <c:v>5.0079243077716748E-5</c:v>
                </c:pt>
                <c:pt idx="215">
                  <c:v>5.1141427029724438E-5</c:v>
                </c:pt>
                <c:pt idx="216">
                  <c:v>5.2293728767020765E-5</c:v>
                </c:pt>
                <c:pt idx="217">
                  <c:v>5.3537266488727142E-5</c:v>
                </c:pt>
                <c:pt idx="218">
                  <c:v>5.4872981664749522E-5</c:v>
                </c:pt>
                <c:pt idx="219">
                  <c:v>5.6472774595168589E-5</c:v>
                </c:pt>
                <c:pt idx="220">
                  <c:v>5.8342635984533278E-5</c:v>
                </c:pt>
                <c:pt idx="221">
                  <c:v>6.0486819969039882E-5</c:v>
                </c:pt>
                <c:pt idx="222">
                  <c:v>6.2909673833576682E-5</c:v>
                </c:pt>
                <c:pt idx="223">
                  <c:v>6.5615655136847754E-5</c:v>
                </c:pt>
                <c:pt idx="224">
                  <c:v>6.86093492888504E-5</c:v>
                </c:pt>
                <c:pt idx="225">
                  <c:v>7.2115013626673544E-5</c:v>
                </c:pt>
                <c:pt idx="226">
                  <c:v>7.6057253683131827E-5</c:v>
                </c:pt>
                <c:pt idx="227">
                  <c:v>8.0443553736200449E-5</c:v>
                </c:pt>
                <c:pt idx="228">
                  <c:v>8.5281656207981344E-5</c:v>
                </c:pt>
                <c:pt idx="229">
                  <c:v>9.0579592918812817E-5</c:v>
                </c:pt>
                <c:pt idx="230">
                  <c:v>9.6345717681046129E-5</c:v>
                </c:pt>
                <c:pt idx="231">
                  <c:v>1.0258874041609459E-4</c:v>
                </c:pt>
                <c:pt idx="232">
                  <c:v>1.0931573615681725E-4</c:v>
                </c:pt>
                <c:pt idx="233">
                  <c:v>1.1692257266454998E-4</c:v>
                </c:pt>
                <c:pt idx="234">
                  <c:v>1.2523998140647941E-4</c:v>
                </c:pt>
                <c:pt idx="235">
                  <c:v>1.3428139279519319E-4</c:v>
                </c:pt>
                <c:pt idx="236">
                  <c:v>1.4406082115059457E-4</c:v>
                </c:pt>
                <c:pt idx="237">
                  <c:v>1.5459279136866732E-4</c:v>
                </c:pt>
                <c:pt idx="238">
                  <c:v>1.6589247433104412E-4</c:v>
                </c:pt>
                <c:pt idx="239">
                  <c:v>1.782398993878105E-4</c:v>
                </c:pt>
                <c:pt idx="240">
                  <c:v>1.9141741076978579E-4</c:v>
                </c:pt>
                <c:pt idx="241">
                  <c:v>2.0544322859539311E-4</c:v>
                </c:pt>
                <c:pt idx="242">
                  <c:v>2.2033651669364603E-4</c:v>
                </c:pt>
                <c:pt idx="243">
                  <c:v>2.3611746524943375E-4</c:v>
                </c:pt>
                <c:pt idx="244">
                  <c:v>2.528073786564202E-4</c:v>
                </c:pt>
                <c:pt idx="245">
                  <c:v>2.7042876930453611E-4</c:v>
                </c:pt>
                <c:pt idx="246">
                  <c:v>2.8900773540224602E-4</c:v>
                </c:pt>
                <c:pt idx="247">
                  <c:v>3.0823026176039591E-4</c:v>
                </c:pt>
                <c:pt idx="248">
                  <c:v>3.2768385503592059E-4</c:v>
                </c:pt>
                <c:pt idx="249">
                  <c:v>3.4737496713728845E-4</c:v>
                </c:pt>
                <c:pt idx="250">
                  <c:v>3.673097109819567E-4</c:v>
                </c:pt>
                <c:pt idx="251">
                  <c:v>3.8749382458712464E-4</c:v>
                </c:pt>
                <c:pt idx="252">
                  <c:v>4.0793263194628915E-4</c:v>
                </c:pt>
                <c:pt idx="253">
                  <c:v>4.2803046041813811E-4</c:v>
                </c:pt>
                <c:pt idx="254">
                  <c:v>4.4748398359893579E-4</c:v>
                </c:pt>
                <c:pt idx="255">
                  <c:v>4.6627528438632253E-4</c:v>
                </c:pt>
                <c:pt idx="256">
                  <c:v>4.843851669105411E-4</c:v>
                </c:pt>
                <c:pt idx="257">
                  <c:v>5.0179315157026117E-4</c:v>
                </c:pt>
                <c:pt idx="258">
                  <c:v>5.1847747467911583E-4</c:v>
                </c:pt>
                <c:pt idx="259">
                  <c:v>5.3441509336830029E-4</c:v>
                </c:pt>
                <c:pt idx="260">
                  <c:v>5.4962342301141187E-4</c:v>
                </c:pt>
                <c:pt idx="261">
                  <c:v>5.6348856108717467E-4</c:v>
                </c:pt>
                <c:pt idx="262">
                  <c:v>5.7634934512690501E-4</c:v>
                </c:pt>
                <c:pt idx="263">
                  <c:v>5.8816908858130043E-4</c:v>
                </c:pt>
                <c:pt idx="264">
                  <c:v>5.9890826867861082E-4</c:v>
                </c:pt>
                <c:pt idx="265">
                  <c:v>6.0852786815920532E-4</c:v>
                </c:pt>
                <c:pt idx="266">
                  <c:v>6.1698480482984958E-4</c:v>
                </c:pt>
                <c:pt idx="267">
                  <c:v>6.23871492495259E-4</c:v>
                </c:pt>
                <c:pt idx="268">
                  <c:v>6.2981077437047255E-4</c:v>
                </c:pt>
                <c:pt idx="269">
                  <c:v>6.3475942344459638E-4</c:v>
                </c:pt>
                <c:pt idx="270">
                  <c:v>6.3867248058324666E-4</c:v>
                </c:pt>
                <c:pt idx="271">
                  <c:v>6.4150349723536755E-4</c:v>
                </c:pt>
                <c:pt idx="272">
                  <c:v>6.4320481836077506E-4</c:v>
                </c:pt>
                <c:pt idx="273">
                  <c:v>6.4372790906307826E-4</c:v>
                </c:pt>
                <c:pt idx="274">
                  <c:v>6.4307568537389761E-4</c:v>
                </c:pt>
                <c:pt idx="275">
                  <c:v>6.4344895567222454E-4</c:v>
                </c:pt>
                <c:pt idx="276">
                  <c:v>6.4558930784964629E-4</c:v>
                </c:pt>
                <c:pt idx="277">
                  <c:v>6.4953847839809085E-4</c:v>
                </c:pt>
                <c:pt idx="278">
                  <c:v>6.5533863313898915E-4</c:v>
                </c:pt>
                <c:pt idx="279">
                  <c:v>6.6303225074598965E-4</c:v>
                </c:pt>
                <c:pt idx="280">
                  <c:v>6.7266199928262384E-4</c:v>
                </c:pt>
                <c:pt idx="281">
                  <c:v>6.8579515783253459E-4</c:v>
                </c:pt>
                <c:pt idx="282">
                  <c:v>7.0291896015522146E-4</c:v>
                </c:pt>
                <c:pt idx="283">
                  <c:v>7.2412335387854953E-4</c:v>
                </c:pt>
                <c:pt idx="284">
                  <c:v>7.4949787815788626E-4</c:v>
                </c:pt>
                <c:pt idx="285">
                  <c:v>7.7913134876019137E-4</c:v>
                </c:pt>
                <c:pt idx="286">
                  <c:v>8.1311153142601023E-4</c:v>
                </c:pt>
                <c:pt idx="287">
                  <c:v>8.5152480380021973E-4</c:v>
                </c:pt>
                <c:pt idx="288">
                  <c:v>8.9447013727410709E-4</c:v>
                </c:pt>
                <c:pt idx="289">
                  <c:v>9.3884697674463322E-4</c:v>
                </c:pt>
                <c:pt idx="290">
                  <c:v>9.8220378895832604E-4</c:v>
                </c:pt>
                <c:pt idx="291">
                  <c:v>1.0245040351768665E-3</c:v>
                </c:pt>
                <c:pt idx="292">
                  <c:v>1.0657117207877535E-3</c:v>
                </c:pt>
                <c:pt idx="293">
                  <c:v>1.1057914711818438E-3</c:v>
                </c:pt>
                <c:pt idx="294">
                  <c:v>1.1447085991992904E-3</c:v>
                </c:pt>
                <c:pt idx="295">
                  <c:v>1.1794022696479129E-3</c:v>
                </c:pt>
                <c:pt idx="296">
                  <c:v>1.2080752980815597E-3</c:v>
                </c:pt>
                <c:pt idx="297">
                  <c:v>1.2306021748475682E-3</c:v>
                </c:pt>
                <c:pt idx="298">
                  <c:v>1.2468475891563946E-3</c:v>
                </c:pt>
                <c:pt idx="299">
                  <c:v>1.2566756749794105E-3</c:v>
                </c:pt>
                <c:pt idx="300">
                  <c:v>1.2599497347126646E-3</c:v>
                </c:pt>
                <c:pt idx="301">
                  <c:v>1.2565319123846051E-3</c:v>
                </c:pt>
                <c:pt idx="302">
                  <c:v>1.2463336224091278E-3</c:v>
                </c:pt>
                <c:pt idx="303">
                  <c:v>1.2288294957831616E-3</c:v>
                </c:pt>
                <c:pt idx="304">
                  <c:v>1.2074226371498356E-3</c:v>
                </c:pt>
                <c:pt idx="305">
                  <c:v>1.1820097080440985E-3</c:v>
                </c:pt>
                <c:pt idx="306">
                  <c:v>1.1524850103862528E-3</c:v>
                </c:pt>
                <c:pt idx="307">
                  <c:v>1.1187409107995105E-3</c:v>
                </c:pt>
                <c:pt idx="308">
                  <c:v>1.0806683438762297E-3</c:v>
                </c:pt>
                <c:pt idx="309">
                  <c:v>1.0394968442202235E-3</c:v>
                </c:pt>
                <c:pt idx="310">
                  <c:v>9.9853042891755693E-4</c:v>
                </c:pt>
                <c:pt idx="311">
                  <c:v>9.5776769625473723E-4</c:v>
                </c:pt>
                <c:pt idx="312">
                  <c:v>9.1720909444615434E-4</c:v>
                </c:pt>
                <c:pt idx="313">
                  <c:v>8.7685705024842964E-4</c:v>
                </c:pt>
                <c:pt idx="314">
                  <c:v>8.3671610990499802E-4</c:v>
                </c:pt>
                <c:pt idx="315">
                  <c:v>7.9679309007929695E-4</c:v>
                </c:pt>
                <c:pt idx="316">
                  <c:v>7.571833593925302E-4</c:v>
                </c:pt>
                <c:pt idx="317">
                  <c:v>7.1947609099828186E-4</c:v>
                </c:pt>
                <c:pt idx="318">
                  <c:v>6.8416302621828503E-4</c:v>
                </c:pt>
                <c:pt idx="319">
                  <c:v>6.5128181131831958E-4</c:v>
                </c:pt>
                <c:pt idx="320">
                  <c:v>6.2087364130687271E-4</c:v>
                </c:pt>
                <c:pt idx="321">
                  <c:v>5.9298291547551423E-4</c:v>
                </c:pt>
                <c:pt idx="322">
                  <c:v>5.6765682278259687E-4</c:v>
                </c:pt>
                <c:pt idx="323">
                  <c:v>5.4524878760740651E-4</c:v>
                </c:pt>
                <c:pt idx="324">
                  <c:v>5.2431974757000794E-4</c:v>
                </c:pt>
                <c:pt idx="325">
                  <c:v>5.0489641737384416E-4</c:v>
                </c:pt>
                <c:pt idx="326">
                  <c:v>4.8700358206103269E-4</c:v>
                </c:pt>
                <c:pt idx="327">
                  <c:v>4.7066908233206635E-4</c:v>
                </c:pt>
                <c:pt idx="328">
                  <c:v>4.5592339300836972E-4</c:v>
                </c:pt>
                <c:pt idx="329">
                  <c:v>4.427964538687596E-4</c:v>
                </c:pt>
                <c:pt idx="330">
                  <c:v>4.3137513162134724E-4</c:v>
                </c:pt>
                <c:pt idx="331">
                  <c:v>4.2197429389091658E-4</c:v>
                </c:pt>
                <c:pt idx="332">
                  <c:v>4.1295193395213205E-4</c:v>
                </c:pt>
                <c:pt idx="333">
                  <c:v>4.0430735527555004E-4</c:v>
                </c:pt>
                <c:pt idx="334">
                  <c:v>3.9604012184801444E-4</c:v>
                </c:pt>
                <c:pt idx="335">
                  <c:v>3.8815001359220985E-4</c:v>
                </c:pt>
                <c:pt idx="336">
                  <c:v>3.8063697394173201E-4</c:v>
                </c:pt>
                <c:pt idx="337">
                  <c:v>3.7384513634534651E-4</c:v>
                </c:pt>
                <c:pt idx="338">
                  <c:v>3.674471529083029E-4</c:v>
                </c:pt>
                <c:pt idx="339">
                  <c:v>3.6144286513139443E-4</c:v>
                </c:pt>
                <c:pt idx="340">
                  <c:v>3.5583189516379582E-4</c:v>
                </c:pt>
                <c:pt idx="341">
                  <c:v>3.5061354794597348E-4</c:v>
                </c:pt>
                <c:pt idx="342">
                  <c:v>3.4578670851163483E-4</c:v>
                </c:pt>
                <c:pt idx="343">
                  <c:v>3.4134973694506743E-4</c:v>
                </c:pt>
                <c:pt idx="344">
                  <c:v>3.3728541619770135E-4</c:v>
                </c:pt>
                <c:pt idx="345">
                  <c:v>3.3359457585202648E-4</c:v>
                </c:pt>
                <c:pt idx="346">
                  <c:v>3.3018133139586157E-4</c:v>
                </c:pt>
                <c:pt idx="347">
                  <c:v>3.2706757124327328E-4</c:v>
                </c:pt>
                <c:pt idx="348">
                  <c:v>3.2427377361450902E-4</c:v>
                </c:pt>
                <c:pt idx="349">
                  <c:v>3.2181903494881846E-4</c:v>
                </c:pt>
                <c:pt idx="350">
                  <c:v>3.1972113051957624E-4</c:v>
                </c:pt>
                <c:pt idx="351">
                  <c:v>3.1812051317266948E-4</c:v>
                </c:pt>
                <c:pt idx="352">
                  <c:v>3.1668277767474788E-4</c:v>
                </c:pt>
                <c:pt idx="353">
                  <c:v>3.1542393031166251E-4</c:v>
                </c:pt>
                <c:pt idx="354">
                  <c:v>3.1435942219425038E-4</c:v>
                </c:pt>
                <c:pt idx="355">
                  <c:v>3.1350420730309693E-4</c:v>
                </c:pt>
                <c:pt idx="356">
                  <c:v>3.1287000138455044E-4</c:v>
                </c:pt>
                <c:pt idx="357">
                  <c:v>3.1247347846175585E-4</c:v>
                </c:pt>
                <c:pt idx="358">
                  <c:v>3.1230768450416261E-4</c:v>
                </c:pt>
                <c:pt idx="359">
                  <c:v>3.1234856952641133E-4</c:v>
                </c:pt>
                <c:pt idx="360">
                  <c:v>3.1292439863382876E-4</c:v>
                </c:pt>
                <c:pt idx="361">
                  <c:v>3.1389828204622113E-4</c:v>
                </c:pt>
                <c:pt idx="362">
                  <c:v>3.1525467963495416E-4</c:v>
                </c:pt>
                <c:pt idx="363">
                  <c:v>3.1697766722438769E-4</c:v>
                </c:pt>
                <c:pt idx="364">
                  <c:v>3.1905085707534736E-4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9272"/>
        <c:axId val="611439664"/>
      </c:lineChart>
      <c:dateAx>
        <c:axId val="6114392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9664"/>
        <c:crosses val="autoZero"/>
        <c:auto val="1"/>
        <c:lblOffset val="100"/>
        <c:baseTimeUnit val="days"/>
        <c:majorUnit val="1"/>
        <c:majorTimeUnit val="months"/>
      </c:dateAx>
      <c:valAx>
        <c:axId val="611439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92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19.244875336849237</c:v>
                </c:pt>
                <c:pt idx="1">
                  <c:v>19.334049246649304</c:v>
                </c:pt>
                <c:pt idx="2">
                  <c:v>19.431194399759807</c:v>
                </c:pt>
                <c:pt idx="3">
                  <c:v>19.536867037337739</c:v>
                </c:pt>
                <c:pt idx="4">
                  <c:v>19.651622982602177</c:v>
                </c:pt>
                <c:pt idx="5">
                  <c:v>19.776017645198316</c:v>
                </c:pt>
                <c:pt idx="6">
                  <c:v>19.910606020252384</c:v>
                </c:pt>
                <c:pt idx="7">
                  <c:v>20.055942686927956</c:v>
                </c:pt>
                <c:pt idx="8">
                  <c:v>20.212078787017628</c:v>
                </c:pt>
                <c:pt idx="9">
                  <c:v>20.378384277919711</c:v>
                </c:pt>
                <c:pt idx="10">
                  <c:v>20.554399700595294</c:v>
                </c:pt>
                <c:pt idx="11">
                  <c:v>20.739662979563899</c:v>
                </c:pt>
                <c:pt idx="12">
                  <c:v>20.933712372650927</c:v>
                </c:pt>
                <c:pt idx="13">
                  <c:v>21.136086468136352</c:v>
                </c:pt>
                <c:pt idx="14">
                  <c:v>21.34632419217937</c:v>
                </c:pt>
                <c:pt idx="15">
                  <c:v>21.563948079348048</c:v>
                </c:pt>
                <c:pt idx="16">
                  <c:v>21.788499826338022</c:v>
                </c:pt>
                <c:pt idx="17">
                  <c:v>22.019519356831275</c:v>
                </c:pt>
                <c:pt idx="18">
                  <c:v>22.256546934138861</c:v>
                </c:pt>
                <c:pt idx="19">
                  <c:v>22.49912312966217</c:v>
                </c:pt>
                <c:pt idx="20">
                  <c:v>22.746788839861672</c:v>
                </c:pt>
                <c:pt idx="21">
                  <c:v>22.999085305331413</c:v>
                </c:pt>
                <c:pt idx="22">
                  <c:v>23.257609517949597</c:v>
                </c:pt>
                <c:pt idx="23">
                  <c:v>23.523964487841074</c:v>
                </c:pt>
                <c:pt idx="24">
                  <c:v>23.797726708283111</c:v>
                </c:pt>
                <c:pt idx="25">
                  <c:v>24.078469757420986</c:v>
                </c:pt>
                <c:pt idx="26">
                  <c:v>24.365767527659717</c:v>
                </c:pt>
                <c:pt idx="27">
                  <c:v>24.659194228812584</c:v>
                </c:pt>
                <c:pt idx="28">
                  <c:v>24.958324379385694</c:v>
                </c:pt>
                <c:pt idx="29">
                  <c:v>25.26274033276729</c:v>
                </c:pt>
                <c:pt idx="30">
                  <c:v>25.572033958077384</c:v>
                </c:pt>
                <c:pt idx="31">
                  <c:v>25.885780724766416</c:v>
                </c:pt>
                <c:pt idx="32">
                  <c:v>26.203556416896365</c:v>
                </c:pt>
                <c:pt idx="33">
                  <c:v>26.524937132406649</c:v>
                </c:pt>
                <c:pt idx="34">
                  <c:v>26.849499288478921</c:v>
                </c:pt>
                <c:pt idx="35">
                  <c:v>27.176819617167236</c:v>
                </c:pt>
                <c:pt idx="36">
                  <c:v>27.508214065619754</c:v>
                </c:pt>
                <c:pt idx="37">
                  <c:v>27.845106355210969</c:v>
                </c:pt>
                <c:pt idx="38">
                  <c:v>28.187192612427108</c:v>
                </c:pt>
                <c:pt idx="39">
                  <c:v>28.534154212841202</c:v>
                </c:pt>
                <c:pt idx="40">
                  <c:v>28.885672775019234</c:v>
                </c:pt>
                <c:pt idx="41">
                  <c:v>29.241430163606456</c:v>
                </c:pt>
                <c:pt idx="42">
                  <c:v>29.601108485467542</c:v>
                </c:pt>
                <c:pt idx="43">
                  <c:v>29.96442857954456</c:v>
                </c:pt>
                <c:pt idx="44">
                  <c:v>30.331065534386088</c:v>
                </c:pt>
                <c:pt idx="45">
                  <c:v>30.700702199703994</c:v>
                </c:pt>
                <c:pt idx="46">
                  <c:v>31.073021662808966</c:v>
                </c:pt>
                <c:pt idx="47">
                  <c:v>31.447707249854268</c:v>
                </c:pt>
                <c:pt idx="48">
                  <c:v>31.824442523845072</c:v>
                </c:pt>
                <c:pt idx="49">
                  <c:v>32.202911280352708</c:v>
                </c:pt>
                <c:pt idx="50">
                  <c:v>32.584041509322113</c:v>
                </c:pt>
                <c:pt idx="51">
                  <c:v>32.968808301690046</c:v>
                </c:pt>
                <c:pt idx="52">
                  <c:v>33.356961300340551</c:v>
                </c:pt>
                <c:pt idx="53">
                  <c:v>33.74828885998663</c:v>
                </c:pt>
                <c:pt idx="54">
                  <c:v>34.142579401332533</c:v>
                </c:pt>
                <c:pt idx="55">
                  <c:v>34.539621480639838</c:v>
                </c:pt>
                <c:pt idx="56">
                  <c:v>34.939203783383228</c:v>
                </c:pt>
                <c:pt idx="57">
                  <c:v>35.341086020413996</c:v>
                </c:pt>
                <c:pt idx="58">
                  <c:v>35.745018381256223</c:v>
                </c:pt>
                <c:pt idx="59">
                  <c:v>36.150789815712329</c:v>
                </c:pt>
                <c:pt idx="60">
                  <c:v>36.55818938368207</c:v>
                </c:pt>
                <c:pt idx="61">
                  <c:v>36.967006254191325</c:v>
                </c:pt>
                <c:pt idx="62">
                  <c:v>37.377029697971551</c:v>
                </c:pt>
                <c:pt idx="63">
                  <c:v>37.788049089339346</c:v>
                </c:pt>
                <c:pt idx="64">
                  <c:v>38.200832621392962</c:v>
                </c:pt>
                <c:pt idx="65">
                  <c:v>38.616156158531588</c:v>
                </c:pt>
                <c:pt idx="66">
                  <c:v>39.033830845189655</c:v>
                </c:pt>
                <c:pt idx="67">
                  <c:v>39.453645468783613</c:v>
                </c:pt>
                <c:pt idx="68">
                  <c:v>39.875388914377375</c:v>
                </c:pt>
                <c:pt idx="69">
                  <c:v>40.298850157888083</c:v>
                </c:pt>
                <c:pt idx="70">
                  <c:v>40.723818267647381</c:v>
                </c:pt>
                <c:pt idx="71">
                  <c:v>41.150091442022124</c:v>
                </c:pt>
                <c:pt idx="72">
                  <c:v>41.577488384746843</c:v>
                </c:pt>
                <c:pt idx="73">
                  <c:v>42.00579855679571</c:v>
                </c:pt>
                <c:pt idx="74">
                  <c:v>42.434811518268553</c:v>
                </c:pt>
                <c:pt idx="75">
                  <c:v>42.864316932023499</c:v>
                </c:pt>
                <c:pt idx="76">
                  <c:v>43.294104561534873</c:v>
                </c:pt>
                <c:pt idx="77">
                  <c:v>43.723964275275065</c:v>
                </c:pt>
                <c:pt idx="78">
                  <c:v>44.157835395057702</c:v>
                </c:pt>
                <c:pt idx="79">
                  <c:v>44.598685194928102</c:v>
                </c:pt>
                <c:pt idx="80">
                  <c:v>45.044827643830104</c:v>
                </c:pt>
                <c:pt idx="81">
                  <c:v>45.494586238923347</c:v>
                </c:pt>
                <c:pt idx="82">
                  <c:v>45.94628562062853</c:v>
                </c:pt>
                <c:pt idx="83">
                  <c:v>46.398251572921822</c:v>
                </c:pt>
                <c:pt idx="84">
                  <c:v>46.848811027020012</c:v>
                </c:pt>
                <c:pt idx="85">
                  <c:v>47.296296924282899</c:v>
                </c:pt>
                <c:pt idx="86">
                  <c:v>47.739029281275265</c:v>
                </c:pt>
                <c:pt idx="87">
                  <c:v>48.175338475404416</c:v>
                </c:pt>
                <c:pt idx="88">
                  <c:v>48.603556053057488</c:v>
                </c:pt>
                <c:pt idx="89">
                  <c:v>49.022014734351117</c:v>
                </c:pt>
                <c:pt idx="90">
                  <c:v>49.429048425502657</c:v>
                </c:pt>
                <c:pt idx="91">
                  <c:v>49.822992222354692</c:v>
                </c:pt>
                <c:pt idx="92">
                  <c:v>50.20658237725592</c:v>
                </c:pt>
                <c:pt idx="93">
                  <c:v>50.583591922480338</c:v>
                </c:pt>
                <c:pt idx="94">
                  <c:v>50.953911679183008</c:v>
                </c:pt>
                <c:pt idx="95">
                  <c:v>51.317439691513144</c:v>
                </c:pt>
                <c:pt idx="96">
                  <c:v>51.674074079177444</c:v>
                </c:pt>
                <c:pt idx="97">
                  <c:v>52.02371305225175</c:v>
                </c:pt>
                <c:pt idx="98">
                  <c:v>52.36625490692515</c:v>
                </c:pt>
                <c:pt idx="99">
                  <c:v>52.701590757341179</c:v>
                </c:pt>
                <c:pt idx="100">
                  <c:v>53.029613893269143</c:v>
                </c:pt>
                <c:pt idx="101">
                  <c:v>53.350222727783013</c:v>
                </c:pt>
                <c:pt idx="102">
                  <c:v>53.663315770702411</c:v>
                </c:pt>
                <c:pt idx="103">
                  <c:v>53.968791623248642</c:v>
                </c:pt>
                <c:pt idx="104">
                  <c:v>54.266548989696915</c:v>
                </c:pt>
                <c:pt idx="105">
                  <c:v>54.556486671601704</c:v>
                </c:pt>
                <c:pt idx="106">
                  <c:v>54.838538280125512</c:v>
                </c:pt>
                <c:pt idx="107">
                  <c:v>55.112771501623385</c:v>
                </c:pt>
                <c:pt idx="108">
                  <c:v>55.379298259363516</c:v>
                </c:pt>
                <c:pt idx="109">
                  <c:v>55.638225627869076</c:v>
                </c:pt>
                <c:pt idx="110">
                  <c:v>55.889660645463756</c:v>
                </c:pt>
                <c:pt idx="111">
                  <c:v>56.133710316724923</c:v>
                </c:pt>
                <c:pt idx="112">
                  <c:v>56.370481636469506</c:v>
                </c:pt>
                <c:pt idx="113">
                  <c:v>56.600077500242882</c:v>
                </c:pt>
                <c:pt idx="114">
                  <c:v>56.822612711575047</c:v>
                </c:pt>
                <c:pt idx="115">
                  <c:v>57.038194294210435</c:v>
                </c:pt>
                <c:pt idx="116">
                  <c:v>57.246929266636677</c:v>
                </c:pt>
                <c:pt idx="117">
                  <c:v>57.44892464812677</c:v>
                </c:pt>
                <c:pt idx="118">
                  <c:v>57.644287463296813</c:v>
                </c:pt>
                <c:pt idx="119">
                  <c:v>57.833124743388247</c:v>
                </c:pt>
                <c:pt idx="120">
                  <c:v>58.014834186274349</c:v>
                </c:pt>
                <c:pt idx="121">
                  <c:v>58.188881036642357</c:v>
                </c:pt>
                <c:pt idx="122">
                  <c:v>58.355482177397505</c:v>
                </c:pt>
                <c:pt idx="123">
                  <c:v>58.51484926848552</c:v>
                </c:pt>
                <c:pt idx="124">
                  <c:v>58.667193923983532</c:v>
                </c:pt>
                <c:pt idx="125">
                  <c:v>58.812727716819062</c:v>
                </c:pt>
                <c:pt idx="126">
                  <c:v>58.951662175166554</c:v>
                </c:pt>
                <c:pt idx="127">
                  <c:v>59.084208884274695</c:v>
                </c:pt>
                <c:pt idx="128">
                  <c:v>59.210583935667898</c:v>
                </c:pt>
                <c:pt idx="129">
                  <c:v>59.330998881421195</c:v>
                </c:pt>
                <c:pt idx="130">
                  <c:v>59.445665248463328</c:v>
                </c:pt>
                <c:pt idx="131">
                  <c:v>59.554794529962727</c:v>
                </c:pt>
                <c:pt idx="132">
                  <c:v>59.658598192390464</c:v>
                </c:pt>
                <c:pt idx="133">
                  <c:v>59.757287667518064</c:v>
                </c:pt>
                <c:pt idx="134">
                  <c:v>59.849883885846822</c:v>
                </c:pt>
                <c:pt idx="135">
                  <c:v>59.935477028264955</c:v>
                </c:pt>
                <c:pt idx="136">
                  <c:v>60.014385849525425</c:v>
                </c:pt>
                <c:pt idx="137">
                  <c:v>60.08692649550116</c:v>
                </c:pt>
                <c:pt idx="138">
                  <c:v>60.15341499211484</c:v>
                </c:pt>
                <c:pt idx="139">
                  <c:v>60.214167230390991</c:v>
                </c:pt>
                <c:pt idx="140">
                  <c:v>60.26949897190751</c:v>
                </c:pt>
                <c:pt idx="141">
                  <c:v>60.319724810754117</c:v>
                </c:pt>
                <c:pt idx="142">
                  <c:v>60.365160070947461</c:v>
                </c:pt>
                <c:pt idx="143">
                  <c:v>60.406120029597183</c:v>
                </c:pt>
                <c:pt idx="144">
                  <c:v>60.442919783339867</c:v>
                </c:pt>
                <c:pt idx="145">
                  <c:v>60.475874251591947</c:v>
                </c:pt>
                <c:pt idx="146">
                  <c:v>60.505298172101014</c:v>
                </c:pt>
                <c:pt idx="147">
                  <c:v>60.531506082180023</c:v>
                </c:pt>
                <c:pt idx="148">
                  <c:v>60.553367172453044</c:v>
                </c:pt>
                <c:pt idx="149">
                  <c:v>60.569752228781361</c:v>
                </c:pt>
                <c:pt idx="150">
                  <c:v>60.580977723120938</c:v>
                </c:pt>
                <c:pt idx="151">
                  <c:v>60.587359123155757</c:v>
                </c:pt>
                <c:pt idx="152">
                  <c:v>60.58921163937061</c:v>
                </c:pt>
                <c:pt idx="153">
                  <c:v>60.586850218615062</c:v>
                </c:pt>
                <c:pt idx="154">
                  <c:v>60.58058953526416</c:v>
                </c:pt>
                <c:pt idx="155">
                  <c:v>60.570744103780534</c:v>
                </c:pt>
                <c:pt idx="156">
                  <c:v>60.557629217170351</c:v>
                </c:pt>
                <c:pt idx="157">
                  <c:v>60.541558691931932</c:v>
                </c:pt>
                <c:pt idx="158">
                  <c:v>60.522846024563371</c:v>
                </c:pt>
                <c:pt idx="159">
                  <c:v>60.501804381518788</c:v>
                </c:pt>
                <c:pt idx="160">
                  <c:v>60.478746588686292</c:v>
                </c:pt>
                <c:pt idx="161">
                  <c:v>60.453982055663772</c:v>
                </c:pt>
                <c:pt idx="162">
                  <c:v>60.426830006763581</c:v>
                </c:pt>
                <c:pt idx="163">
                  <c:v>60.39647282905225</c:v>
                </c:pt>
                <c:pt idx="164">
                  <c:v>60.363016668603493</c:v>
                </c:pt>
                <c:pt idx="165">
                  <c:v>60.326568163163515</c:v>
                </c:pt>
                <c:pt idx="166">
                  <c:v>60.287233715623074</c:v>
                </c:pt>
                <c:pt idx="167">
                  <c:v>60.245119489641347</c:v>
                </c:pt>
                <c:pt idx="168">
                  <c:v>60.200331400338236</c:v>
                </c:pt>
                <c:pt idx="169">
                  <c:v>60.152976435770654</c:v>
                </c:pt>
                <c:pt idx="170">
                  <c:v>60.10315995139856</c:v>
                </c:pt>
                <c:pt idx="171">
                  <c:v>60.050987159289754</c:v>
                </c:pt>
                <c:pt idx="172">
                  <c:v>59.996563010621998</c:v>
                </c:pt>
                <c:pt idx="173">
                  <c:v>59.939992225309922</c:v>
                </c:pt>
                <c:pt idx="174">
                  <c:v>59.881379267704446</c:v>
                </c:pt>
                <c:pt idx="175">
                  <c:v>59.820828317134691</c:v>
                </c:pt>
                <c:pt idx="176">
                  <c:v>59.758631505959343</c:v>
                </c:pt>
                <c:pt idx="177">
                  <c:v>59.694875369657133</c:v>
                </c:pt>
                <c:pt idx="178">
                  <c:v>59.629353930853163</c:v>
                </c:pt>
                <c:pt idx="179">
                  <c:v>59.561862606433834</c:v>
                </c:pt>
                <c:pt idx="180">
                  <c:v>59.492196803665621</c:v>
                </c:pt>
                <c:pt idx="181">
                  <c:v>59.420151927077839</c:v>
                </c:pt>
                <c:pt idx="182">
                  <c:v>59.345523383338744</c:v>
                </c:pt>
                <c:pt idx="183">
                  <c:v>59.268107376996859</c:v>
                </c:pt>
                <c:pt idx="184">
                  <c:v>59.187697826998424</c:v>
                </c:pt>
                <c:pt idx="185">
                  <c:v>59.104090159647548</c:v>
                </c:pt>
                <c:pt idx="186">
                  <c:v>59.017079832558856</c:v>
                </c:pt>
                <c:pt idx="187">
                  <c:v>58.926462346580358</c:v>
                </c:pt>
                <c:pt idx="188">
                  <c:v>58.832033250509681</c:v>
                </c:pt>
                <c:pt idx="189">
                  <c:v>58.733588154060911</c:v>
                </c:pt>
                <c:pt idx="190">
                  <c:v>58.631656602346226</c:v>
                </c:pt>
                <c:pt idx="191">
                  <c:v>58.526834288136968</c:v>
                </c:pt>
                <c:pt idx="192">
                  <c:v>58.419018586423363</c:v>
                </c:pt>
                <c:pt idx="193">
                  <c:v>58.308106940419293</c:v>
                </c:pt>
                <c:pt idx="194">
                  <c:v>58.193996842653185</c:v>
                </c:pt>
                <c:pt idx="195">
                  <c:v>58.076585844733223</c:v>
                </c:pt>
                <c:pt idx="196">
                  <c:v>57.955771565445772</c:v>
                </c:pt>
                <c:pt idx="197">
                  <c:v>57.83144985934112</c:v>
                </c:pt>
                <c:pt idx="198">
                  <c:v>57.70351764794885</c:v>
                </c:pt>
                <c:pt idx="199">
                  <c:v>57.571872763322382</c:v>
                </c:pt>
                <c:pt idx="200">
                  <c:v>57.436413145510954</c:v>
                </c:pt>
                <c:pt idx="201">
                  <c:v>57.297036844648531</c:v>
                </c:pt>
                <c:pt idx="202">
                  <c:v>57.153642038142493</c:v>
                </c:pt>
                <c:pt idx="203">
                  <c:v>57.006127027046873</c:v>
                </c:pt>
                <c:pt idx="204">
                  <c:v>56.854424300699094</c:v>
                </c:pt>
                <c:pt idx="205">
                  <c:v>56.698602760763578</c:v>
                </c:pt>
                <c:pt idx="206">
                  <c:v>56.538767063076754</c:v>
                </c:pt>
                <c:pt idx="207">
                  <c:v>56.375020092904592</c:v>
                </c:pt>
                <c:pt idx="208">
                  <c:v>56.207464751358614</c:v>
                </c:pt>
                <c:pt idx="209">
                  <c:v>56.036203950674754</c:v>
                </c:pt>
                <c:pt idx="210">
                  <c:v>55.861340617118714</c:v>
                </c:pt>
                <c:pt idx="211">
                  <c:v>55.682973354924307</c:v>
                </c:pt>
                <c:pt idx="212">
                  <c:v>55.501207152865831</c:v>
                </c:pt>
                <c:pt idx="213">
                  <c:v>55.316144991978476</c:v>
                </c:pt>
                <c:pt idx="214">
                  <c:v>55.1278898696469</c:v>
                </c:pt>
                <c:pt idx="215">
                  <c:v>54.936544791267728</c:v>
                </c:pt>
                <c:pt idx="216">
                  <c:v>54.742212770403562</c:v>
                </c:pt>
                <c:pt idx="217">
                  <c:v>54.544996823588626</c:v>
                </c:pt>
                <c:pt idx="218">
                  <c:v>54.345186837080988</c:v>
                </c:pt>
                <c:pt idx="219">
                  <c:v>54.142859506162495</c:v>
                </c:pt>
                <c:pt idx="220">
                  <c:v>53.937811937015439</c:v>
                </c:pt>
                <c:pt idx="221">
                  <c:v>53.72984152263961</c:v>
                </c:pt>
                <c:pt idx="222">
                  <c:v>53.51874583909639</c:v>
                </c:pt>
                <c:pt idx="223">
                  <c:v>53.304322640721608</c:v>
                </c:pt>
                <c:pt idx="224">
                  <c:v>53.086369854251423</c:v>
                </c:pt>
                <c:pt idx="225">
                  <c:v>52.864673970093456</c:v>
                </c:pt>
                <c:pt idx="226">
                  <c:v>52.639037618400337</c:v>
                </c:pt>
                <c:pt idx="227">
                  <c:v>52.409259187691418</c:v>
                </c:pt>
                <c:pt idx="228">
                  <c:v>52.175137222274671</c:v>
                </c:pt>
                <c:pt idx="229">
                  <c:v>51.936470416621553</c:v>
                </c:pt>
                <c:pt idx="230">
                  <c:v>51.693057615097338</c:v>
                </c:pt>
                <c:pt idx="231">
                  <c:v>51.444697803373636</c:v>
                </c:pt>
                <c:pt idx="232">
                  <c:v>51.192139327708617</c:v>
                </c:pt>
                <c:pt idx="233">
                  <c:v>50.936110267316614</c:v>
                </c:pt>
                <c:pt idx="234">
                  <c:v>50.676418477238293</c:v>
                </c:pt>
                <c:pt idx="235">
                  <c:v>50.412862574453854</c:v>
                </c:pt>
                <c:pt idx="236">
                  <c:v>50.145241314430848</c:v>
                </c:pt>
                <c:pt idx="237">
                  <c:v>49.873353589320594</c:v>
                </c:pt>
                <c:pt idx="238">
                  <c:v>49.596998426671021</c:v>
                </c:pt>
                <c:pt idx="239">
                  <c:v>49.315961956325559</c:v>
                </c:pt>
                <c:pt idx="240">
                  <c:v>49.030055184234172</c:v>
                </c:pt>
                <c:pt idx="241">
                  <c:v>48.739077527391302</c:v>
                </c:pt>
                <c:pt idx="242">
                  <c:v>48.442828530222577</c:v>
                </c:pt>
                <c:pt idx="243">
                  <c:v>48.141107864955131</c:v>
                </c:pt>
                <c:pt idx="244">
                  <c:v>47.833715340046787</c:v>
                </c:pt>
                <c:pt idx="245">
                  <c:v>47.520450882717455</c:v>
                </c:pt>
                <c:pt idx="246">
                  <c:v>47.200742441845463</c:v>
                </c:pt>
                <c:pt idx="247">
                  <c:v>46.874440116016054</c:v>
                </c:pt>
                <c:pt idx="248">
                  <c:v>46.54197302448015</c:v>
                </c:pt>
                <c:pt idx="249">
                  <c:v>46.203750113514317</c:v>
                </c:pt>
                <c:pt idx="250">
                  <c:v>45.860180076806806</c:v>
                </c:pt>
                <c:pt idx="251">
                  <c:v>45.51167135782319</c:v>
                </c:pt>
                <c:pt idx="252">
                  <c:v>45.158632158712557</c:v>
                </c:pt>
                <c:pt idx="253">
                  <c:v>44.801497351076762</c:v>
                </c:pt>
                <c:pt idx="254">
                  <c:v>44.440687675105828</c:v>
                </c:pt>
                <c:pt idx="255">
                  <c:v>44.076610562939202</c:v>
                </c:pt>
                <c:pt idx="256">
                  <c:v>43.709673183587206</c:v>
                </c:pt>
                <c:pt idx="257">
                  <c:v>43.340282448078824</c:v>
                </c:pt>
                <c:pt idx="258">
                  <c:v>42.968845006677398</c:v>
                </c:pt>
                <c:pt idx="259">
                  <c:v>42.595767247501826</c:v>
                </c:pt>
                <c:pt idx="260">
                  <c:v>42.218248148319269</c:v>
                </c:pt>
                <c:pt idx="261">
                  <c:v>41.833919664631814</c:v>
                </c:pt>
                <c:pt idx="262">
                  <c:v>41.443781473512402</c:v>
                </c:pt>
                <c:pt idx="263">
                  <c:v>41.048848491248499</c:v>
                </c:pt>
                <c:pt idx="264">
                  <c:v>40.650134992017442</c:v>
                </c:pt>
                <c:pt idx="265">
                  <c:v>40.248654481918948</c:v>
                </c:pt>
                <c:pt idx="266">
                  <c:v>39.845419895999491</c:v>
                </c:pt>
                <c:pt idx="267">
                  <c:v>39.441457825298727</c:v>
                </c:pt>
                <c:pt idx="268">
                  <c:v>39.03775330960962</c:v>
                </c:pt>
                <c:pt idx="269">
                  <c:v>38.635317519650009</c:v>
                </c:pt>
                <c:pt idx="270">
                  <c:v>38.235161011506612</c:v>
                </c:pt>
                <c:pt idx="271">
                  <c:v>37.8382937301106</c:v>
                </c:pt>
                <c:pt idx="272">
                  <c:v>37.445725016747019</c:v>
                </c:pt>
                <c:pt idx="273">
                  <c:v>37.058463610824333</c:v>
                </c:pt>
                <c:pt idx="274">
                  <c:v>36.67455237441191</c:v>
                </c:pt>
                <c:pt idx="275">
                  <c:v>36.291416576150411</c:v>
                </c:pt>
                <c:pt idx="276">
                  <c:v>35.909231761487462</c:v>
                </c:pt>
                <c:pt idx="277">
                  <c:v>35.528199285733272</c:v>
                </c:pt>
                <c:pt idx="278">
                  <c:v>35.148520343176685</c:v>
                </c:pt>
                <c:pt idx="279">
                  <c:v>34.770395965535549</c:v>
                </c:pt>
                <c:pt idx="280">
                  <c:v>34.394027023932111</c:v>
                </c:pt>
                <c:pt idx="281">
                  <c:v>34.019562330588229</c:v>
                </c:pt>
                <c:pt idx="282">
                  <c:v>33.647189172327451</c:v>
                </c:pt>
                <c:pt idx="283">
                  <c:v>33.277108539013454</c:v>
                </c:pt>
                <c:pt idx="284">
                  <c:v>32.909521306714467</c:v>
                </c:pt>
                <c:pt idx="285">
                  <c:v>32.54462824127792</c:v>
                </c:pt>
                <c:pt idx="286">
                  <c:v>32.182630000523687</c:v>
                </c:pt>
                <c:pt idx="287">
                  <c:v>31.823727139915253</c:v>
                </c:pt>
                <c:pt idx="288">
                  <c:v>31.467615495621065</c:v>
                </c:pt>
                <c:pt idx="289">
                  <c:v>31.113956294559728</c:v>
                </c:pt>
                <c:pt idx="290">
                  <c:v>30.762823372304648</c:v>
                </c:pt>
                <c:pt idx="291">
                  <c:v>30.414213541232414</c:v>
                </c:pt>
                <c:pt idx="292">
                  <c:v>30.068123502416586</c:v>
                </c:pt>
                <c:pt idx="293">
                  <c:v>29.724549851128508</c:v>
                </c:pt>
                <c:pt idx="294">
                  <c:v>29.38348908532096</c:v>
                </c:pt>
                <c:pt idx="295">
                  <c:v>29.045025630880815</c:v>
                </c:pt>
                <c:pt idx="296">
                  <c:v>28.709203473574735</c:v>
                </c:pt>
                <c:pt idx="297">
                  <c:v>28.376016751815651</c:v>
                </c:pt>
                <c:pt idx="298">
                  <c:v>28.045459789467699</c:v>
                </c:pt>
                <c:pt idx="299">
                  <c:v>27.717526835426565</c:v>
                </c:pt>
                <c:pt idx="300">
                  <c:v>27.392212081343711</c:v>
                </c:pt>
                <c:pt idx="301">
                  <c:v>27.069509683835506</c:v>
                </c:pt>
                <c:pt idx="302">
                  <c:v>26.748322000490351</c:v>
                </c:pt>
                <c:pt idx="303">
                  <c:v>26.427898796927604</c:v>
                </c:pt>
                <c:pt idx="304">
                  <c:v>26.10864477725325</c:v>
                </c:pt>
                <c:pt idx="305">
                  <c:v>25.791059473446104</c:v>
                </c:pt>
                <c:pt idx="306">
                  <c:v>25.475642300900351</c:v>
                </c:pt>
                <c:pt idx="307">
                  <c:v>25.162892575735221</c:v>
                </c:pt>
                <c:pt idx="308">
                  <c:v>24.853309533607408</c:v>
                </c:pt>
                <c:pt idx="309">
                  <c:v>24.547359431792053</c:v>
                </c:pt>
                <c:pt idx="310">
                  <c:v>24.245459751457918</c:v>
                </c:pt>
                <c:pt idx="311">
                  <c:v>23.94811122682605</c:v>
                </c:pt>
                <c:pt idx="312">
                  <c:v>23.655814538378895</c:v>
                </c:pt>
                <c:pt idx="313">
                  <c:v>23.369070315869614</c:v>
                </c:pt>
                <c:pt idx="314">
                  <c:v>23.088379134848299</c:v>
                </c:pt>
                <c:pt idx="315">
                  <c:v>22.814241519424495</c:v>
                </c:pt>
                <c:pt idx="316">
                  <c:v>22.544591466527908</c:v>
                </c:pt>
                <c:pt idx="317">
                  <c:v>22.277397393349428</c:v>
                </c:pt>
                <c:pt idx="318">
                  <c:v>22.013251899703025</c:v>
                </c:pt>
                <c:pt idx="319">
                  <c:v>21.752757926490176</c:v>
                </c:pt>
                <c:pt idx="320">
                  <c:v>21.496518289678058</c:v>
                </c:pt>
                <c:pt idx="321">
                  <c:v>21.245135673622318</c:v>
                </c:pt>
                <c:pt idx="322">
                  <c:v>20.999212614567327</c:v>
                </c:pt>
                <c:pt idx="323">
                  <c:v>20.759345178863782</c:v>
                </c:pt>
                <c:pt idx="324">
                  <c:v>20.526166398817285</c:v>
                </c:pt>
                <c:pt idx="325">
                  <c:v>20.300278005434681</c:v>
                </c:pt>
                <c:pt idx="326">
                  <c:v>20.082281611809126</c:v>
                </c:pt>
                <c:pt idx="327">
                  <c:v>19.87277858940622</c:v>
                </c:pt>
                <c:pt idx="328">
                  <c:v>19.672370047937072</c:v>
                </c:pt>
                <c:pt idx="329">
                  <c:v>19.481656890427399</c:v>
                </c:pt>
                <c:pt idx="330">
                  <c:v>19.298643487260193</c:v>
                </c:pt>
                <c:pt idx="331">
                  <c:v>19.121263699642984</c:v>
                </c:pt>
                <c:pt idx="332">
                  <c:v>18.950050672452029</c:v>
                </c:pt>
                <c:pt idx="333">
                  <c:v>18.78550539653649</c:v>
                </c:pt>
                <c:pt idx="334">
                  <c:v>18.628128671596098</c:v>
                </c:pt>
                <c:pt idx="335">
                  <c:v>18.478421100442581</c:v>
                </c:pt>
                <c:pt idx="336">
                  <c:v>18.336883073239722</c:v>
                </c:pt>
                <c:pt idx="337">
                  <c:v>18.204008492834216</c:v>
                </c:pt>
                <c:pt idx="338">
                  <c:v>18.08030333756664</c:v>
                </c:pt>
                <c:pt idx="339">
                  <c:v>17.966267296327946</c:v>
                </c:pt>
                <c:pt idx="340">
                  <c:v>17.862399799181532</c:v>
                </c:pt>
                <c:pt idx="341">
                  <c:v>17.769200008186768</c:v>
                </c:pt>
                <c:pt idx="342">
                  <c:v>17.687166819804716</c:v>
                </c:pt>
                <c:pt idx="343">
                  <c:v>17.61679883993741</c:v>
                </c:pt>
                <c:pt idx="344">
                  <c:v>17.559372704374042</c:v>
                </c:pt>
                <c:pt idx="345">
                  <c:v>17.515204639009809</c:v>
                </c:pt>
                <c:pt idx="346">
                  <c:v>17.483354831065611</c:v>
                </c:pt>
                <c:pt idx="347">
                  <c:v>17.462881781247496</c:v>
                </c:pt>
                <c:pt idx="348">
                  <c:v>17.452844426880134</c:v>
                </c:pt>
                <c:pt idx="349">
                  <c:v>17.452302140277617</c:v>
                </c:pt>
                <c:pt idx="350">
                  <c:v>17.460314739080559</c:v>
                </c:pt>
                <c:pt idx="351">
                  <c:v>17.475940317654061</c:v>
                </c:pt>
                <c:pt idx="352">
                  <c:v>17.498245708326337</c:v>
                </c:pt>
                <c:pt idx="353">
                  <c:v>17.52629207240907</c:v>
                </c:pt>
                <c:pt idx="354">
                  <c:v>17.559141032640845</c:v>
                </c:pt>
                <c:pt idx="355">
                  <c:v>17.595854679366397</c:v>
                </c:pt>
                <c:pt idx="356">
                  <c:v>17.635495613031061</c:v>
                </c:pt>
                <c:pt idx="357">
                  <c:v>17.677126810621715</c:v>
                </c:pt>
                <c:pt idx="358">
                  <c:v>17.720917272649494</c:v>
                </c:pt>
                <c:pt idx="359">
                  <c:v>17.768012999616847</c:v>
                </c:pt>
                <c:pt idx="360">
                  <c:v>17.818936566275351</c:v>
                </c:pt>
                <c:pt idx="361">
                  <c:v>17.874218472635533</c:v>
                </c:pt>
                <c:pt idx="362">
                  <c:v>17.934386739870899</c:v>
                </c:pt>
                <c:pt idx="363">
                  <c:v>17.999969063608809</c:v>
                </c:pt>
                <c:pt idx="364">
                  <c:v>18.071492821401669</c:v>
                </c:pt>
                <c:pt idx="365">
                  <c:v>18.658184079125455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1.643</c:v>
                </c:pt>
                <c:pt idx="1">
                  <c:v>6.4939999999999998</c:v>
                </c:pt>
                <c:pt idx="2">
                  <c:v>19.096</c:v>
                </c:pt>
                <c:pt idx="3">
                  <c:v>19.411000000000001</c:v>
                </c:pt>
                <c:pt idx="4">
                  <c:v>19.122</c:v>
                </c:pt>
                <c:pt idx="5">
                  <c:v>4.2949999999999999</c:v>
                </c:pt>
                <c:pt idx="6">
                  <c:v>2.5419999999999998</c:v>
                </c:pt>
                <c:pt idx="7">
                  <c:v>4.13</c:v>
                </c:pt>
                <c:pt idx="8">
                  <c:v>10.311</c:v>
                </c:pt>
                <c:pt idx="9">
                  <c:v>10.057</c:v>
                </c:pt>
                <c:pt idx="10">
                  <c:v>19.044</c:v>
                </c:pt>
                <c:pt idx="11">
                  <c:v>9.016</c:v>
                </c:pt>
                <c:pt idx="12">
                  <c:v>3.7240000000000002</c:v>
                </c:pt>
                <c:pt idx="13">
                  <c:v>5.1539999999999999</c:v>
                </c:pt>
                <c:pt idx="14">
                  <c:v>20.824000000000002</c:v>
                </c:pt>
                <c:pt idx="15">
                  <c:v>20.545000000000002</c:v>
                </c:pt>
                <c:pt idx="16">
                  <c:v>10.069000000000001</c:v>
                </c:pt>
                <c:pt idx="17">
                  <c:v>12.98</c:v>
                </c:pt>
                <c:pt idx="18">
                  <c:v>15.516</c:v>
                </c:pt>
                <c:pt idx="19">
                  <c:v>7.2679999999999998</c:v>
                </c:pt>
                <c:pt idx="20">
                  <c:v>6.048</c:v>
                </c:pt>
                <c:pt idx="21">
                  <c:v>9.4250000000000007</c:v>
                </c:pt>
                <c:pt idx="22">
                  <c:v>9.7759999999999998</c:v>
                </c:pt>
                <c:pt idx="23">
                  <c:v>11.539</c:v>
                </c:pt>
                <c:pt idx="24">
                  <c:v>5.3090000000000002</c:v>
                </c:pt>
                <c:pt idx="25">
                  <c:v>12.180999999999999</c:v>
                </c:pt>
                <c:pt idx="26">
                  <c:v>13.507</c:v>
                </c:pt>
                <c:pt idx="27">
                  <c:v>11.863</c:v>
                </c:pt>
                <c:pt idx="28">
                  <c:v>5.5919999999999996</c:v>
                </c:pt>
                <c:pt idx="29">
                  <c:v>7.4939999999999998</c:v>
                </c:pt>
                <c:pt idx="30">
                  <c:v>7.5830000000000002</c:v>
                </c:pt>
                <c:pt idx="31">
                  <c:v>20.398</c:v>
                </c:pt>
                <c:pt idx="32">
                  <c:v>3.129</c:v>
                </c:pt>
                <c:pt idx="33">
                  <c:v>11.928000000000001</c:v>
                </c:pt>
                <c:pt idx="34">
                  <c:v>20.93</c:v>
                </c:pt>
                <c:pt idx="35">
                  <c:v>3.5710000000000002</c:v>
                </c:pt>
                <c:pt idx="36">
                  <c:v>10.936999999999999</c:v>
                </c:pt>
                <c:pt idx="37">
                  <c:v>6.6360000000000001</c:v>
                </c:pt>
                <c:pt idx="38">
                  <c:v>23.454999999999998</c:v>
                </c:pt>
                <c:pt idx="39">
                  <c:v>25.204999999999998</c:v>
                </c:pt>
                <c:pt idx="40">
                  <c:v>9.0660000000000007</c:v>
                </c:pt>
                <c:pt idx="41">
                  <c:v>18.308</c:v>
                </c:pt>
                <c:pt idx="42">
                  <c:v>29.913</c:v>
                </c:pt>
                <c:pt idx="43">
                  <c:v>30.881</c:v>
                </c:pt>
                <c:pt idx="44">
                  <c:v>30.997</c:v>
                </c:pt>
                <c:pt idx="45">
                  <c:v>31.257999999999999</c:v>
                </c:pt>
                <c:pt idx="46">
                  <c:v>31.826000000000001</c:v>
                </c:pt>
                <c:pt idx="47">
                  <c:v>32.213000000000001</c:v>
                </c:pt>
                <c:pt idx="48">
                  <c:v>32.073</c:v>
                </c:pt>
                <c:pt idx="49">
                  <c:v>27.338999999999999</c:v>
                </c:pt>
                <c:pt idx="50">
                  <c:v>32.372</c:v>
                </c:pt>
                <c:pt idx="51">
                  <c:v>32.253</c:v>
                </c:pt>
                <c:pt idx="52">
                  <c:v>32.776000000000003</c:v>
                </c:pt>
                <c:pt idx="53">
                  <c:v>33.011000000000003</c:v>
                </c:pt>
                <c:pt idx="54">
                  <c:v>33.246000000000002</c:v>
                </c:pt>
                <c:pt idx="55">
                  <c:v>33.939</c:v>
                </c:pt>
                <c:pt idx="56">
                  <c:v>30.7</c:v>
                </c:pt>
                <c:pt idx="57">
                  <c:v>34.470999999999997</c:v>
                </c:pt>
                <c:pt idx="58">
                  <c:v>28.754000000000001</c:v>
                </c:pt>
                <c:pt idx="59">
                  <c:v>14.547000000000001</c:v>
                </c:pt>
                <c:pt idx="60">
                  <c:v>20.169</c:v>
                </c:pt>
                <c:pt idx="61">
                  <c:v>32.534999999999997</c:v>
                </c:pt>
                <c:pt idx="62">
                  <c:v>13.057</c:v>
                </c:pt>
                <c:pt idx="63">
                  <c:v>36.994</c:v>
                </c:pt>
                <c:pt idx="64">
                  <c:v>22.010999999999999</c:v>
                </c:pt>
                <c:pt idx="65">
                  <c:v>35.003999999999998</c:v>
                </c:pt>
                <c:pt idx="66">
                  <c:v>20.952000000000002</c:v>
                </c:pt>
                <c:pt idx="67">
                  <c:v>18.452000000000002</c:v>
                </c:pt>
                <c:pt idx="68">
                  <c:v>13.340999999999999</c:v>
                </c:pt>
                <c:pt idx="69">
                  <c:v>27.411999999999999</c:v>
                </c:pt>
                <c:pt idx="70">
                  <c:v>34.097000000000001</c:v>
                </c:pt>
                <c:pt idx="71">
                  <c:v>25.83</c:v>
                </c:pt>
                <c:pt idx="72">
                  <c:v>22.544</c:v>
                </c:pt>
                <c:pt idx="73">
                  <c:v>12.568</c:v>
                </c:pt>
                <c:pt idx="74">
                  <c:v>41.045000000000002</c:v>
                </c:pt>
                <c:pt idx="75">
                  <c:v>15.138</c:v>
                </c:pt>
                <c:pt idx="76">
                  <c:v>30.997</c:v>
                </c:pt>
                <c:pt idx="77">
                  <c:v>11.967000000000001</c:v>
                </c:pt>
                <c:pt idx="78">
                  <c:v>43.445999999999998</c:v>
                </c:pt>
                <c:pt idx="79">
                  <c:v>44.396999999999998</c:v>
                </c:pt>
                <c:pt idx="80">
                  <c:v>43.552</c:v>
                </c:pt>
                <c:pt idx="81">
                  <c:v>41.122999999999998</c:v>
                </c:pt>
                <c:pt idx="82">
                  <c:v>45.186999999999998</c:v>
                </c:pt>
                <c:pt idx="83">
                  <c:v>39.798000000000002</c:v>
                </c:pt>
                <c:pt idx="84">
                  <c:v>48.417999999999999</c:v>
                </c:pt>
                <c:pt idx="85">
                  <c:v>47.591000000000001</c:v>
                </c:pt>
                <c:pt idx="86">
                  <c:v>46.692999999999998</c:v>
                </c:pt>
                <c:pt idx="87">
                  <c:v>47.454000000000001</c:v>
                </c:pt>
                <c:pt idx="88">
                  <c:v>48.362000000000002</c:v>
                </c:pt>
                <c:pt idx="89">
                  <c:v>40.569000000000003</c:v>
                </c:pt>
                <c:pt idx="90">
                  <c:v>36.999000000000002</c:v>
                </c:pt>
                <c:pt idx="91">
                  <c:v>16.962</c:v>
                </c:pt>
                <c:pt idx="92">
                  <c:v>15.32</c:v>
                </c:pt>
                <c:pt idx="93">
                  <c:v>40.21</c:v>
                </c:pt>
                <c:pt idx="94">
                  <c:v>48.128999999999998</c:v>
                </c:pt>
                <c:pt idx="95">
                  <c:v>21.202000000000002</c:v>
                </c:pt>
                <c:pt idx="96">
                  <c:v>33.456000000000003</c:v>
                </c:pt>
                <c:pt idx="97">
                  <c:v>32.527999999999999</c:v>
                </c:pt>
                <c:pt idx="98">
                  <c:v>40.341000000000001</c:v>
                </c:pt>
                <c:pt idx="99">
                  <c:v>32.177</c:v>
                </c:pt>
                <c:pt idx="100">
                  <c:v>9.9819999999999993</c:v>
                </c:pt>
                <c:pt idx="101">
                  <c:v>54.468000000000004</c:v>
                </c:pt>
                <c:pt idx="102">
                  <c:v>54.064999999999998</c:v>
                </c:pt>
                <c:pt idx="103">
                  <c:v>28.143000000000001</c:v>
                </c:pt>
                <c:pt idx="104">
                  <c:v>37.11</c:v>
                </c:pt>
                <c:pt idx="105">
                  <c:v>35.137</c:v>
                </c:pt>
                <c:pt idx="106">
                  <c:v>36.055</c:v>
                </c:pt>
                <c:pt idx="107">
                  <c:v>27.689</c:v>
                </c:pt>
                <c:pt idx="108">
                  <c:v>48.122999999999998</c:v>
                </c:pt>
                <c:pt idx="109">
                  <c:v>47.396999999999998</c:v>
                </c:pt>
                <c:pt idx="110">
                  <c:v>18.942</c:v>
                </c:pt>
                <c:pt idx="111">
                  <c:v>32.731999999999999</c:v>
                </c:pt>
                <c:pt idx="112">
                  <c:v>35.305999999999997</c:v>
                </c:pt>
                <c:pt idx="113">
                  <c:v>49.259</c:v>
                </c:pt>
                <c:pt idx="114">
                  <c:v>32.680999999999997</c:v>
                </c:pt>
                <c:pt idx="115">
                  <c:v>29.015000000000001</c:v>
                </c:pt>
                <c:pt idx="116">
                  <c:v>30.263999999999999</c:v>
                </c:pt>
                <c:pt idx="117">
                  <c:v>44.125999999999998</c:v>
                </c:pt>
                <c:pt idx="118">
                  <c:v>50.819000000000003</c:v>
                </c:pt>
                <c:pt idx="119">
                  <c:v>57.951000000000001</c:v>
                </c:pt>
                <c:pt idx="120">
                  <c:v>52.639000000000003</c:v>
                </c:pt>
                <c:pt idx="121">
                  <c:v>31.635000000000002</c:v>
                </c:pt>
                <c:pt idx="122">
                  <c:v>20.138000000000002</c:v>
                </c:pt>
                <c:pt idx="123">
                  <c:v>33.838999999999999</c:v>
                </c:pt>
                <c:pt idx="124">
                  <c:v>46.912999999999997</c:v>
                </c:pt>
                <c:pt idx="125">
                  <c:v>60.201999999999998</c:v>
                </c:pt>
                <c:pt idx="126">
                  <c:v>43.439</c:v>
                </c:pt>
                <c:pt idx="127">
                  <c:v>29.178999999999998</c:v>
                </c:pt>
                <c:pt idx="128">
                  <c:v>44.087000000000003</c:v>
                </c:pt>
                <c:pt idx="129">
                  <c:v>38.094000000000001</c:v>
                </c:pt>
                <c:pt idx="130">
                  <c:v>35.802999999999997</c:v>
                </c:pt>
                <c:pt idx="131">
                  <c:v>55.999000000000002</c:v>
                </c:pt>
                <c:pt idx="132">
                  <c:v>61.991</c:v>
                </c:pt>
                <c:pt idx="133">
                  <c:v>59.902999999999999</c:v>
                </c:pt>
                <c:pt idx="134">
                  <c:v>60.787999999999997</c:v>
                </c:pt>
                <c:pt idx="135">
                  <c:v>51.371000000000002</c:v>
                </c:pt>
                <c:pt idx="136">
                  <c:v>6.6619999999999999</c:v>
                </c:pt>
                <c:pt idx="137">
                  <c:v>37.018999999999998</c:v>
                </c:pt>
                <c:pt idx="138">
                  <c:v>26.363</c:v>
                </c:pt>
                <c:pt idx="139">
                  <c:v>53.271000000000001</c:v>
                </c:pt>
                <c:pt idx="140">
                  <c:v>49.439</c:v>
                </c:pt>
                <c:pt idx="141">
                  <c:v>58.683</c:v>
                </c:pt>
                <c:pt idx="142">
                  <c:v>48.332000000000001</c:v>
                </c:pt>
                <c:pt idx="143">
                  <c:v>12.319000000000001</c:v>
                </c:pt>
                <c:pt idx="144">
                  <c:v>25.25</c:v>
                </c:pt>
                <c:pt idx="145">
                  <c:v>27.71</c:v>
                </c:pt>
                <c:pt idx="146">
                  <c:v>31.785</c:v>
                </c:pt>
                <c:pt idx="147">
                  <c:v>27.984999999999999</c:v>
                </c:pt>
                <c:pt idx="148">
                  <c:v>39.606000000000002</c:v>
                </c:pt>
                <c:pt idx="149">
                  <c:v>54.645000000000003</c:v>
                </c:pt>
                <c:pt idx="150">
                  <c:v>60.344000000000001</c:v>
                </c:pt>
                <c:pt idx="151">
                  <c:v>61.505000000000003</c:v>
                </c:pt>
                <c:pt idx="152">
                  <c:v>59.93</c:v>
                </c:pt>
                <c:pt idx="153">
                  <c:v>48.241999999999997</c:v>
                </c:pt>
                <c:pt idx="154">
                  <c:v>52.762999999999998</c:v>
                </c:pt>
                <c:pt idx="155">
                  <c:v>10.250999999999999</c:v>
                </c:pt>
                <c:pt idx="156">
                  <c:v>59.783000000000001</c:v>
                </c:pt>
                <c:pt idx="157">
                  <c:v>21.245000000000001</c:v>
                </c:pt>
                <c:pt idx="158">
                  <c:v>60.573999999999998</c:v>
                </c:pt>
                <c:pt idx="159">
                  <c:v>48.863</c:v>
                </c:pt>
                <c:pt idx="160">
                  <c:v>20.381</c:v>
                </c:pt>
                <c:pt idx="161">
                  <c:v>33.116</c:v>
                </c:pt>
                <c:pt idx="162">
                  <c:v>52.289000000000001</c:v>
                </c:pt>
                <c:pt idx="163">
                  <c:v>62.027000000000001</c:v>
                </c:pt>
                <c:pt idx="164">
                  <c:v>24.65</c:v>
                </c:pt>
                <c:pt idx="165">
                  <c:v>25.303000000000001</c:v>
                </c:pt>
                <c:pt idx="166">
                  <c:v>61.679000000000002</c:v>
                </c:pt>
                <c:pt idx="167">
                  <c:v>59.722999999999999</c:v>
                </c:pt>
                <c:pt idx="168">
                  <c:v>57.204999999999998</c:v>
                </c:pt>
                <c:pt idx="169">
                  <c:v>48.7</c:v>
                </c:pt>
                <c:pt idx="170">
                  <c:v>25.757999999999999</c:v>
                </c:pt>
                <c:pt idx="171">
                  <c:v>11.257999999999999</c:v>
                </c:pt>
                <c:pt idx="172">
                  <c:v>56.084000000000003</c:v>
                </c:pt>
                <c:pt idx="173">
                  <c:v>53.423999999999999</c:v>
                </c:pt>
                <c:pt idx="174">
                  <c:v>37.863</c:v>
                </c:pt>
                <c:pt idx="175">
                  <c:v>56.561</c:v>
                </c:pt>
                <c:pt idx="176">
                  <c:v>57.642000000000003</c:v>
                </c:pt>
                <c:pt idx="177">
                  <c:v>57.545999999999999</c:v>
                </c:pt>
                <c:pt idx="178">
                  <c:v>58.600999999999999</c:v>
                </c:pt>
                <c:pt idx="179">
                  <c:v>54.823999999999998</c:v>
                </c:pt>
                <c:pt idx="180">
                  <c:v>53.298000000000002</c:v>
                </c:pt>
                <c:pt idx="181">
                  <c:v>18.254000000000001</c:v>
                </c:pt>
                <c:pt idx="182">
                  <c:v>31.843</c:v>
                </c:pt>
                <c:pt idx="183">
                  <c:v>47.518999999999998</c:v>
                </c:pt>
                <c:pt idx="184">
                  <c:v>55.552</c:v>
                </c:pt>
                <c:pt idx="185">
                  <c:v>54.395000000000003</c:v>
                </c:pt>
                <c:pt idx="186">
                  <c:v>53.033000000000001</c:v>
                </c:pt>
                <c:pt idx="187">
                  <c:v>50.731999999999999</c:v>
                </c:pt>
                <c:pt idx="188">
                  <c:v>33.895000000000003</c:v>
                </c:pt>
                <c:pt idx="189">
                  <c:v>20.18</c:v>
                </c:pt>
                <c:pt idx="190">
                  <c:v>59.506999999999998</c:v>
                </c:pt>
                <c:pt idx="191">
                  <c:v>58.753</c:v>
                </c:pt>
                <c:pt idx="192">
                  <c:v>59.258000000000003</c:v>
                </c:pt>
                <c:pt idx="193">
                  <c:v>50.692</c:v>
                </c:pt>
                <c:pt idx="194">
                  <c:v>58.798999999999999</c:v>
                </c:pt>
                <c:pt idx="195">
                  <c:v>60.313000000000002</c:v>
                </c:pt>
                <c:pt idx="196">
                  <c:v>58.093000000000004</c:v>
                </c:pt>
                <c:pt idx="197">
                  <c:v>50.226999999999997</c:v>
                </c:pt>
                <c:pt idx="198">
                  <c:v>42.981999999999999</c:v>
                </c:pt>
                <c:pt idx="199">
                  <c:v>56.146999999999998</c:v>
                </c:pt>
                <c:pt idx="200">
                  <c:v>28.469000000000001</c:v>
                </c:pt>
                <c:pt idx="201">
                  <c:v>45.732999999999997</c:v>
                </c:pt>
                <c:pt idx="202">
                  <c:v>49.503999999999998</c:v>
                </c:pt>
                <c:pt idx="203">
                  <c:v>53.401000000000003</c:v>
                </c:pt>
                <c:pt idx="204">
                  <c:v>53.613999999999997</c:v>
                </c:pt>
                <c:pt idx="205">
                  <c:v>53.976999999999997</c:v>
                </c:pt>
                <c:pt idx="206">
                  <c:v>22.449000000000002</c:v>
                </c:pt>
                <c:pt idx="207">
                  <c:v>12.471</c:v>
                </c:pt>
                <c:pt idx="208">
                  <c:v>53.89</c:v>
                </c:pt>
                <c:pt idx="209">
                  <c:v>55.679000000000002</c:v>
                </c:pt>
                <c:pt idx="210">
                  <c:v>27.978999999999999</c:v>
                </c:pt>
                <c:pt idx="211">
                  <c:v>52.654000000000003</c:v>
                </c:pt>
                <c:pt idx="212">
                  <c:v>50.177</c:v>
                </c:pt>
                <c:pt idx="213">
                  <c:v>52.523000000000003</c:v>
                </c:pt>
                <c:pt idx="214">
                  <c:v>52.951999999999998</c:v>
                </c:pt>
                <c:pt idx="215">
                  <c:v>49.905999999999999</c:v>
                </c:pt>
                <c:pt idx="216">
                  <c:v>50.805</c:v>
                </c:pt>
                <c:pt idx="217">
                  <c:v>37.393000000000001</c:v>
                </c:pt>
                <c:pt idx="218">
                  <c:v>43.079000000000001</c:v>
                </c:pt>
                <c:pt idx="219">
                  <c:v>51.235999999999997</c:v>
                </c:pt>
                <c:pt idx="220">
                  <c:v>46.753999999999998</c:v>
                </c:pt>
                <c:pt idx="221">
                  <c:v>38.340000000000003</c:v>
                </c:pt>
                <c:pt idx="222">
                  <c:v>23.600999999999999</c:v>
                </c:pt>
                <c:pt idx="223">
                  <c:v>27.358000000000001</c:v>
                </c:pt>
                <c:pt idx="224">
                  <c:v>46.12</c:v>
                </c:pt>
                <c:pt idx="225">
                  <c:v>52.555</c:v>
                </c:pt>
                <c:pt idx="226">
                  <c:v>28.596</c:v>
                </c:pt>
                <c:pt idx="227">
                  <c:v>50.966999999999999</c:v>
                </c:pt>
                <c:pt idx="228">
                  <c:v>50.573999999999998</c:v>
                </c:pt>
                <c:pt idx="229">
                  <c:v>32.656999999999996</c:v>
                </c:pt>
                <c:pt idx="230">
                  <c:v>33.372999999999998</c:v>
                </c:pt>
                <c:pt idx="231">
                  <c:v>31.821999999999999</c:v>
                </c:pt>
                <c:pt idx="232">
                  <c:v>47.317</c:v>
                </c:pt>
                <c:pt idx="233">
                  <c:v>51.593000000000004</c:v>
                </c:pt>
                <c:pt idx="234">
                  <c:v>48.86</c:v>
                </c:pt>
                <c:pt idx="235">
                  <c:v>48.607999999999997</c:v>
                </c:pt>
                <c:pt idx="236">
                  <c:v>45.247</c:v>
                </c:pt>
                <c:pt idx="237">
                  <c:v>39.58</c:v>
                </c:pt>
                <c:pt idx="238">
                  <c:v>30.016999999999999</c:v>
                </c:pt>
                <c:pt idx="239">
                  <c:v>38.122999999999998</c:v>
                </c:pt>
                <c:pt idx="240">
                  <c:v>46.085000000000001</c:v>
                </c:pt>
                <c:pt idx="241">
                  <c:v>45.151000000000003</c:v>
                </c:pt>
                <c:pt idx="242">
                  <c:v>42.841000000000001</c:v>
                </c:pt>
                <c:pt idx="243">
                  <c:v>16.97</c:v>
                </c:pt>
                <c:pt idx="244">
                  <c:v>46.893000000000001</c:v>
                </c:pt>
                <c:pt idx="245">
                  <c:v>47.774000000000001</c:v>
                </c:pt>
                <c:pt idx="246">
                  <c:v>47.192</c:v>
                </c:pt>
                <c:pt idx="247">
                  <c:v>36.222999999999999</c:v>
                </c:pt>
                <c:pt idx="248">
                  <c:v>48.591999999999999</c:v>
                </c:pt>
                <c:pt idx="249">
                  <c:v>42.798999999999999</c:v>
                </c:pt>
                <c:pt idx="250">
                  <c:v>41.56</c:v>
                </c:pt>
                <c:pt idx="251">
                  <c:v>34.628999999999998</c:v>
                </c:pt>
                <c:pt idx="252">
                  <c:v>13.079000000000001</c:v>
                </c:pt>
                <c:pt idx="253">
                  <c:v>43.749000000000002</c:v>
                </c:pt>
                <c:pt idx="254">
                  <c:v>44.042999999999999</c:v>
                </c:pt>
                <c:pt idx="255">
                  <c:v>33.142000000000003</c:v>
                </c:pt>
                <c:pt idx="256">
                  <c:v>38.313000000000002</c:v>
                </c:pt>
                <c:pt idx="257">
                  <c:v>38.335999999999999</c:v>
                </c:pt>
                <c:pt idx="258">
                  <c:v>38.030999999999999</c:v>
                </c:pt>
                <c:pt idx="259">
                  <c:v>36.942</c:v>
                </c:pt>
                <c:pt idx="260">
                  <c:v>25.058</c:v>
                </c:pt>
                <c:pt idx="261">
                  <c:v>38.212000000000003</c:v>
                </c:pt>
                <c:pt idx="262">
                  <c:v>38.837000000000003</c:v>
                </c:pt>
                <c:pt idx="263">
                  <c:v>30.623000000000001</c:v>
                </c:pt>
                <c:pt idx="264">
                  <c:v>8.5210000000000008</c:v>
                </c:pt>
                <c:pt idx="265">
                  <c:v>36.271000000000001</c:v>
                </c:pt>
                <c:pt idx="266">
                  <c:v>25.134</c:v>
                </c:pt>
                <c:pt idx="267">
                  <c:v>28.286999999999999</c:v>
                </c:pt>
                <c:pt idx="268">
                  <c:v>32.619999999999997</c:v>
                </c:pt>
                <c:pt idx="269">
                  <c:v>31.369</c:v>
                </c:pt>
                <c:pt idx="270">
                  <c:v>33.121000000000002</c:v>
                </c:pt>
                <c:pt idx="271">
                  <c:v>36.460999999999999</c:v>
                </c:pt>
                <c:pt idx="272">
                  <c:v>25.702999999999999</c:v>
                </c:pt>
                <c:pt idx="273">
                  <c:v>27.85</c:v>
                </c:pt>
                <c:pt idx="274">
                  <c:v>21.707999999999998</c:v>
                </c:pt>
                <c:pt idx="275">
                  <c:v>32.247</c:v>
                </c:pt>
                <c:pt idx="276">
                  <c:v>10.016</c:v>
                </c:pt>
                <c:pt idx="277">
                  <c:v>33.609000000000002</c:v>
                </c:pt>
                <c:pt idx="278">
                  <c:v>17.295000000000002</c:v>
                </c:pt>
                <c:pt idx="279">
                  <c:v>25.966000000000001</c:v>
                </c:pt>
                <c:pt idx="280">
                  <c:v>32.465000000000003</c:v>
                </c:pt>
                <c:pt idx="281">
                  <c:v>9.2479999999999993</c:v>
                </c:pt>
                <c:pt idx="282">
                  <c:v>24.423999999999999</c:v>
                </c:pt>
                <c:pt idx="283">
                  <c:v>33.444000000000003</c:v>
                </c:pt>
                <c:pt idx="284">
                  <c:v>19.332999999999998</c:v>
                </c:pt>
                <c:pt idx="285">
                  <c:v>31.931000000000001</c:v>
                </c:pt>
                <c:pt idx="286">
                  <c:v>9.9130000000000003</c:v>
                </c:pt>
                <c:pt idx="287">
                  <c:v>26.783000000000001</c:v>
                </c:pt>
                <c:pt idx="288">
                  <c:v>27.052</c:v>
                </c:pt>
                <c:pt idx="289">
                  <c:v>18.768999999999998</c:v>
                </c:pt>
                <c:pt idx="290">
                  <c:v>14.234999999999999</c:v>
                </c:pt>
                <c:pt idx="291">
                  <c:v>26.096</c:v>
                </c:pt>
                <c:pt idx="292">
                  <c:v>11.313000000000001</c:v>
                </c:pt>
                <c:pt idx="293">
                  <c:v>21.684999999999999</c:v>
                </c:pt>
                <c:pt idx="294">
                  <c:v>4.66</c:v>
                </c:pt>
                <c:pt idx="295">
                  <c:v>16.577000000000002</c:v>
                </c:pt>
                <c:pt idx="296">
                  <c:v>15.404</c:v>
                </c:pt>
                <c:pt idx="297">
                  <c:v>26.135000000000002</c:v>
                </c:pt>
                <c:pt idx="298">
                  <c:v>28.218</c:v>
                </c:pt>
                <c:pt idx="299">
                  <c:v>19.507000000000001</c:v>
                </c:pt>
                <c:pt idx="300">
                  <c:v>9.0120000000000005</c:v>
                </c:pt>
                <c:pt idx="301">
                  <c:v>24.687000000000001</c:v>
                </c:pt>
                <c:pt idx="302">
                  <c:v>20.13</c:v>
                </c:pt>
                <c:pt idx="303">
                  <c:v>16.042999999999999</c:v>
                </c:pt>
                <c:pt idx="304">
                  <c:v>6.9610000000000003</c:v>
                </c:pt>
                <c:pt idx="305">
                  <c:v>5.2050000000000001</c:v>
                </c:pt>
                <c:pt idx="306">
                  <c:v>12.432</c:v>
                </c:pt>
                <c:pt idx="307">
                  <c:v>8.6859999999999999</c:v>
                </c:pt>
                <c:pt idx="308">
                  <c:v>11.724</c:v>
                </c:pt>
                <c:pt idx="309">
                  <c:v>11.922000000000001</c:v>
                </c:pt>
                <c:pt idx="310">
                  <c:v>4.024</c:v>
                </c:pt>
                <c:pt idx="311">
                  <c:v>11.849</c:v>
                </c:pt>
                <c:pt idx="312">
                  <c:v>15.496</c:v>
                </c:pt>
                <c:pt idx="313">
                  <c:v>14.773</c:v>
                </c:pt>
                <c:pt idx="314">
                  <c:v>18.356999999999999</c:v>
                </c:pt>
                <c:pt idx="315">
                  <c:v>15.753</c:v>
                </c:pt>
                <c:pt idx="316">
                  <c:v>16.699000000000002</c:v>
                </c:pt>
                <c:pt idx="317">
                  <c:v>5.73</c:v>
                </c:pt>
                <c:pt idx="318">
                  <c:v>9.6639999999999997</c:v>
                </c:pt>
                <c:pt idx="319">
                  <c:v>11.891999999999999</c:v>
                </c:pt>
                <c:pt idx="320">
                  <c:v>11.552</c:v>
                </c:pt>
                <c:pt idx="321">
                  <c:v>10.215999999999999</c:v>
                </c:pt>
                <c:pt idx="322">
                  <c:v>16.994</c:v>
                </c:pt>
                <c:pt idx="323">
                  <c:v>21.222000000000001</c:v>
                </c:pt>
                <c:pt idx="324">
                  <c:v>20.992999999999999</c:v>
                </c:pt>
                <c:pt idx="325">
                  <c:v>10.427</c:v>
                </c:pt>
                <c:pt idx="326">
                  <c:v>5.9690000000000003</c:v>
                </c:pt>
                <c:pt idx="327">
                  <c:v>11.785</c:v>
                </c:pt>
                <c:pt idx="328">
                  <c:v>10.864000000000001</c:v>
                </c:pt>
                <c:pt idx="329">
                  <c:v>14.535</c:v>
                </c:pt>
                <c:pt idx="330">
                  <c:v>13.795999999999999</c:v>
                </c:pt>
                <c:pt idx="331">
                  <c:v>10.061999999999999</c:v>
                </c:pt>
                <c:pt idx="332">
                  <c:v>13.35</c:v>
                </c:pt>
                <c:pt idx="333">
                  <c:v>10.358000000000001</c:v>
                </c:pt>
                <c:pt idx="334">
                  <c:v>7.3479999999999999</c:v>
                </c:pt>
                <c:pt idx="335">
                  <c:v>4.08</c:v>
                </c:pt>
                <c:pt idx="336">
                  <c:v>4.6109999999999998</c:v>
                </c:pt>
                <c:pt idx="337">
                  <c:v>5.7069999999999999</c:v>
                </c:pt>
                <c:pt idx="338">
                  <c:v>7.3949999999999996</c:v>
                </c:pt>
                <c:pt idx="339">
                  <c:v>8.7959999999999994</c:v>
                </c:pt>
                <c:pt idx="340">
                  <c:v>12.816000000000001</c:v>
                </c:pt>
                <c:pt idx="341">
                  <c:v>13.061999999999999</c:v>
                </c:pt>
                <c:pt idx="342">
                  <c:v>9.4390000000000001</c:v>
                </c:pt>
                <c:pt idx="343">
                  <c:v>15.12</c:v>
                </c:pt>
                <c:pt idx="344">
                  <c:v>1.7410000000000001</c:v>
                </c:pt>
                <c:pt idx="345">
                  <c:v>4.5389999999999997</c:v>
                </c:pt>
                <c:pt idx="346">
                  <c:v>2.2669999999999999</c:v>
                </c:pt>
                <c:pt idx="347">
                  <c:v>14.742000000000001</c:v>
                </c:pt>
                <c:pt idx="348">
                  <c:v>17.167999999999999</c:v>
                </c:pt>
                <c:pt idx="349">
                  <c:v>11.65</c:v>
                </c:pt>
                <c:pt idx="350">
                  <c:v>10.029</c:v>
                </c:pt>
                <c:pt idx="351">
                  <c:v>14.544</c:v>
                </c:pt>
                <c:pt idx="352">
                  <c:v>8.2850000000000001</c:v>
                </c:pt>
                <c:pt idx="353">
                  <c:v>7.718</c:v>
                </c:pt>
                <c:pt idx="354">
                  <c:v>13.731</c:v>
                </c:pt>
                <c:pt idx="355">
                  <c:v>5.6050000000000004</c:v>
                </c:pt>
                <c:pt idx="356">
                  <c:v>5.35</c:v>
                </c:pt>
                <c:pt idx="357">
                  <c:v>11.223000000000001</c:v>
                </c:pt>
                <c:pt idx="358">
                  <c:v>9.984</c:v>
                </c:pt>
                <c:pt idx="359">
                  <c:v>7.141</c:v>
                </c:pt>
                <c:pt idx="360">
                  <c:v>15.382999999999999</c:v>
                </c:pt>
                <c:pt idx="361">
                  <c:v>4.0910000000000002</c:v>
                </c:pt>
                <c:pt idx="362">
                  <c:v>18.736999999999998</c:v>
                </c:pt>
                <c:pt idx="363">
                  <c:v>17.282</c:v>
                </c:pt>
                <c:pt idx="364">
                  <c:v>11.547000000000001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0448"/>
        <c:axId val="611440840"/>
      </c:lineChart>
      <c:dateAx>
        <c:axId val="61144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0840"/>
        <c:crosses val="autoZero"/>
        <c:auto val="1"/>
        <c:lblOffset val="100"/>
        <c:baseTimeUnit val="days"/>
        <c:majorUnit val="1"/>
        <c:majorTimeUnit val="months"/>
      </c:dateAx>
      <c:valAx>
        <c:axId val="6114408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04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1.686775502655613E-2</c:v>
                </c:pt>
                <c:pt idx="214">
                  <c:v>1.6890633950160439E-2</c:v>
                </c:pt>
                <c:pt idx="215">
                  <c:v>1.6913512341338754E-2</c:v>
                </c:pt>
                <c:pt idx="216">
                  <c:v>1.6936390200103513E-2</c:v>
                </c:pt>
                <c:pt idx="217">
                  <c:v>1.6959267526467037E-2</c:v>
                </c:pt>
                <c:pt idx="218">
                  <c:v>1.6982144320441761E-2</c:v>
                </c:pt>
                <c:pt idx="219">
                  <c:v>1.700502058204012E-2</c:v>
                </c:pt>
                <c:pt idx="220">
                  <c:v>1.7027896311274437E-2</c:v>
                </c:pt>
                <c:pt idx="221">
                  <c:v>1.7050771508157037E-2</c:v>
                </c:pt>
                <c:pt idx="222">
                  <c:v>1.7073646172700463E-2</c:v>
                </c:pt>
                <c:pt idx="223">
                  <c:v>1.709652030491704E-2</c:v>
                </c:pt>
                <c:pt idx="224">
                  <c:v>1.7119393904819091E-2</c:v>
                </c:pt>
                <c:pt idx="225">
                  <c:v>1.7142266972419051E-2</c:v>
                </c:pt>
                <c:pt idx="226">
                  <c:v>1.7165139507729354E-2</c:v>
                </c:pt>
                <c:pt idx="227">
                  <c:v>1.7188011510762324E-2</c:v>
                </c:pt>
                <c:pt idx="228">
                  <c:v>1.7210882981530395E-2</c:v>
                </c:pt>
                <c:pt idx="229">
                  <c:v>1.7233753920045891E-2</c:v>
                </c:pt>
                <c:pt idx="230">
                  <c:v>1.7256624326321246E-2</c:v>
                </c:pt>
                <c:pt idx="231">
                  <c:v>1.7279494200368894E-2</c:v>
                </c:pt>
                <c:pt idx="232">
                  <c:v>1.7302363542201049E-2</c:v>
                </c:pt>
                <c:pt idx="233">
                  <c:v>1.7325232351830255E-2</c:v>
                </c:pt>
                <c:pt idx="234">
                  <c:v>1.7348100629268948E-2</c:v>
                </c:pt>
                <c:pt idx="235">
                  <c:v>1.7370968374529339E-2</c:v>
                </c:pt>
                <c:pt idx="236">
                  <c:v>1.7393835587623863E-2</c:v>
                </c:pt>
                <c:pt idx="237">
                  <c:v>1.7416702268564954E-2</c:v>
                </c:pt>
                <c:pt idx="238">
                  <c:v>1.7439568417364937E-2</c:v>
                </c:pt>
                <c:pt idx="239">
                  <c:v>1.7462434034036245E-2</c:v>
                </c:pt>
                <c:pt idx="240">
                  <c:v>1.7485299118591313E-2</c:v>
                </c:pt>
                <c:pt idx="241">
                  <c:v>1.7508163671042465E-2</c:v>
                </c:pt>
                <c:pt idx="242">
                  <c:v>1.7531027691402024E-2</c:v>
                </c:pt>
                <c:pt idx="243">
                  <c:v>1.7553891179682424E-2</c:v>
                </c:pt>
                <c:pt idx="244">
                  <c:v>1.75767541358961E-2</c:v>
                </c:pt>
                <c:pt idx="245">
                  <c:v>1.7599616560055265E-2</c:v>
                </c:pt>
                <c:pt idx="246">
                  <c:v>1.7622478452172574E-2</c:v>
                </c:pt>
                <c:pt idx="247">
                  <c:v>1.764533981226013E-2</c:v>
                </c:pt>
                <c:pt idx="248">
                  <c:v>1.7668200640330478E-2</c:v>
                </c:pt>
                <c:pt idx="249">
                  <c:v>1.7691060936396052E-2</c:v>
                </c:pt>
                <c:pt idx="250">
                  <c:v>1.7713920700469066E-2</c:v>
                </c:pt>
                <c:pt idx="251">
                  <c:v>1.7736779932561952E-2</c:v>
                </c:pt>
                <c:pt idx="252">
                  <c:v>1.7759638632687147E-2</c:v>
                </c:pt>
                <c:pt idx="253">
                  <c:v>1.7782496800856973E-2</c:v>
                </c:pt>
                <c:pt idx="254">
                  <c:v>1.7805354437083754E-2</c:v>
                </c:pt>
                <c:pt idx="255">
                  <c:v>1.7828211541380035E-2</c:v>
                </c:pt>
                <c:pt idx="256">
                  <c:v>1.785106811375814E-2</c:v>
                </c:pt>
                <c:pt idx="257">
                  <c:v>1.7873924154230392E-2</c:v>
                </c:pt>
                <c:pt idx="258">
                  <c:v>1.7896779662809115E-2</c:v>
                </c:pt>
                <c:pt idx="259">
                  <c:v>1.7919634639506854E-2</c:v>
                </c:pt>
                <c:pt idx="260">
                  <c:v>1.7942489084335822E-2</c:v>
                </c:pt>
                <c:pt idx="261">
                  <c:v>1.7965342997308564E-2</c:v>
                </c:pt>
                <c:pt idx="262">
                  <c:v>1.7988196378437293E-2</c:v>
                </c:pt>
                <c:pt idx="263">
                  <c:v>1.8011049227734555E-2</c:v>
                </c:pt>
                <c:pt idx="264">
                  <c:v>1.803390154521245E-2</c:v>
                </c:pt>
                <c:pt idx="265">
                  <c:v>1.8056753330883635E-2</c:v>
                </c:pt>
                <c:pt idx="266">
                  <c:v>1.8079604584760434E-2</c:v>
                </c:pt>
                <c:pt idx="267">
                  <c:v>1.810245530685517E-2</c:v>
                </c:pt>
                <c:pt idx="268">
                  <c:v>1.8125305497180166E-2</c:v>
                </c:pt>
                <c:pt idx="269">
                  <c:v>1.8148155155747858E-2</c:v>
                </c:pt>
                <c:pt idx="270">
                  <c:v>1.8171004282570569E-2</c:v>
                </c:pt>
                <c:pt idx="271">
                  <c:v>1.8193852877660732E-2</c:v>
                </c:pt>
                <c:pt idx="272">
                  <c:v>1.8216700941030783E-2</c:v>
                </c:pt>
                <c:pt idx="273">
                  <c:v>1.8239548472692935E-2</c:v>
                </c:pt>
                <c:pt idx="274">
                  <c:v>1.8262395472659732E-2</c:v>
                </c:pt>
                <c:pt idx="275">
                  <c:v>1.8285241940943386E-2</c:v>
                </c:pt>
                <c:pt idx="276">
                  <c:v>1.8308087877556334E-2</c:v>
                </c:pt>
                <c:pt idx="277">
                  <c:v>1.8330933282511008E-2</c:v>
                </c:pt>
                <c:pt idx="278">
                  <c:v>1.8353778155819733E-2</c:v>
                </c:pt>
                <c:pt idx="279">
                  <c:v>1.8376622497494943E-2</c:v>
                </c:pt>
                <c:pt idx="280">
                  <c:v>1.8399466307548851E-2</c:v>
                </c:pt>
                <c:pt idx="281">
                  <c:v>1.8422309585994001E-2</c:v>
                </c:pt>
                <c:pt idx="282">
                  <c:v>1.8445152332842607E-2</c:v>
                </c:pt>
                <c:pt idx="283">
                  <c:v>1.8467994548107214E-2</c:v>
                </c:pt>
                <c:pt idx="284">
                  <c:v>1.8490836231800034E-2</c:v>
                </c:pt>
                <c:pt idx="285">
                  <c:v>1.8513677383933502E-2</c:v>
                </c:pt>
                <c:pt idx="286">
                  <c:v>1.8536518004520053E-2</c:v>
                </c:pt>
                <c:pt idx="287">
                  <c:v>1.8559358093571898E-2</c:v>
                </c:pt>
                <c:pt idx="288">
                  <c:v>1.8582197651101584E-2</c:v>
                </c:pt>
                <c:pt idx="289">
                  <c:v>1.8605036677121323E-2</c:v>
                </c:pt>
                <c:pt idx="290">
                  <c:v>1.862787517164366E-2</c:v>
                </c:pt>
                <c:pt idx="291">
                  <c:v>1.8650713134680807E-2</c:v>
                </c:pt>
                <c:pt idx="292">
                  <c:v>1.8673550566245201E-2</c:v>
                </c:pt>
                <c:pt idx="293">
                  <c:v>1.8696387466349162E-2</c:v>
                </c:pt>
                <c:pt idx="294">
                  <c:v>1.8719223835005128E-2</c:v>
                </c:pt>
                <c:pt idx="295">
                  <c:v>1.874205967222542E-2</c:v>
                </c:pt>
                <c:pt idx="296">
                  <c:v>1.8764894978022473E-2</c:v>
                </c:pt>
                <c:pt idx="297">
                  <c:v>1.8787729752408611E-2</c:v>
                </c:pt>
                <c:pt idx="298">
                  <c:v>1.8810563995396046E-2</c:v>
                </c:pt>
                <c:pt idx="299">
                  <c:v>1.8833397706997435E-2</c:v>
                </c:pt>
                <c:pt idx="300">
                  <c:v>1.885623088722499E-2</c:v>
                </c:pt>
                <c:pt idx="301">
                  <c:v>1.8879063536091034E-2</c:v>
                </c:pt>
                <c:pt idx="302">
                  <c:v>1.8901895653608003E-2</c:v>
                </c:pt>
                <c:pt idx="303">
                  <c:v>1.8924727239788219E-2</c:v>
                </c:pt>
                <c:pt idx="304">
                  <c:v>1.8947558294644007E-2</c:v>
                </c:pt>
                <c:pt idx="305">
                  <c:v>1.8970388818187911E-2</c:v>
                </c:pt>
                <c:pt idx="306">
                  <c:v>1.8993218810432144E-2</c:v>
                </c:pt>
                <c:pt idx="307">
                  <c:v>1.901604827138903E-2</c:v>
                </c:pt>
                <c:pt idx="308">
                  <c:v>1.9038877201071114E-2</c:v>
                </c:pt>
                <c:pt idx="309">
                  <c:v>1.9061705599490608E-2</c:v>
                </c:pt>
                <c:pt idx="310">
                  <c:v>1.9084533466659948E-2</c:v>
                </c:pt>
                <c:pt idx="311">
                  <c:v>1.9107360802591455E-2</c:v>
                </c:pt>
                <c:pt idx="312">
                  <c:v>1.9130187607297455E-2</c:v>
                </c:pt>
                <c:pt idx="313">
                  <c:v>1.9153013880790382E-2</c:v>
                </c:pt>
                <c:pt idx="314">
                  <c:v>1.9175839623082669E-2</c:v>
                </c:pt>
                <c:pt idx="315">
                  <c:v>1.9198664834186419E-2</c:v>
                </c:pt>
                <c:pt idx="316">
                  <c:v>1.9221489514114287E-2</c:v>
                </c:pt>
                <c:pt idx="317">
                  <c:v>1.9244313662878487E-2</c:v>
                </c:pt>
                <c:pt idx="318">
                  <c:v>1.9267137280491453E-2</c:v>
                </c:pt>
                <c:pt idx="319">
                  <c:v>1.9289960366965397E-2</c:v>
                </c:pt>
                <c:pt idx="320">
                  <c:v>1.9312782922312755E-2</c:v>
                </c:pt>
                <c:pt idx="321">
                  <c:v>1.933560494654607E-2</c:v>
                </c:pt>
                <c:pt idx="322">
                  <c:v>1.9358426439677334E-2</c:v>
                </c:pt>
                <c:pt idx="323">
                  <c:v>1.9381247401719315E-2</c:v>
                </c:pt>
                <c:pt idx="324">
                  <c:v>1.9404067832684002E-2</c:v>
                </c:pt>
                <c:pt idx="325">
                  <c:v>1.9426887732584053E-2</c:v>
                </c:pt>
                <c:pt idx="326">
                  <c:v>1.9449707101431568E-2</c:v>
                </c:pt>
                <c:pt idx="327">
                  <c:v>1.9472525939239094E-2</c:v>
                </c:pt>
                <c:pt idx="328">
                  <c:v>1.9495344246018953E-2</c:v>
                </c:pt>
                <c:pt idx="329">
                  <c:v>1.9518162021783469E-2</c:v>
                </c:pt>
                <c:pt idx="330">
                  <c:v>1.9540979266544967E-2</c:v>
                </c:pt>
                <c:pt idx="331">
                  <c:v>1.9563795980315879E-2</c:v>
                </c:pt>
                <c:pt idx="332">
                  <c:v>1.958661216310853E-2</c:v>
                </c:pt>
                <c:pt idx="333">
                  <c:v>1.9609427814935354E-2</c:v>
                </c:pt>
                <c:pt idx="334">
                  <c:v>1.9632242935808453E-2</c:v>
                </c:pt>
                <c:pt idx="335">
                  <c:v>1.9655057525740482E-2</c:v>
                </c:pt>
                <c:pt idx="336">
                  <c:v>1.9677871584743656E-2</c:v>
                </c:pt>
                <c:pt idx="337">
                  <c:v>1.9700685112830296E-2</c:v>
                </c:pt>
                <c:pt idx="338">
                  <c:v>1.9723498110012838E-2</c:v>
                </c:pt>
                <c:pt idx="339">
                  <c:v>1.9746310576303716E-2</c:v>
                </c:pt>
                <c:pt idx="340">
                  <c:v>1.9769122511715032E-2</c:v>
                </c:pt>
                <c:pt idx="341">
                  <c:v>1.979193391625933E-2</c:v>
                </c:pt>
                <c:pt idx="342">
                  <c:v>1.9814744789948935E-2</c:v>
                </c:pt>
                <c:pt idx="343">
                  <c:v>1.983755513279617E-2</c:v>
                </c:pt>
                <c:pt idx="344">
                  <c:v>1.9860364944813358E-2</c:v>
                </c:pt>
                <c:pt idx="345">
                  <c:v>1.9883174226012934E-2</c:v>
                </c:pt>
                <c:pt idx="346">
                  <c:v>1.9905982976407222E-2</c:v>
                </c:pt>
                <c:pt idx="347">
                  <c:v>1.9928791196008655E-2</c:v>
                </c:pt>
                <c:pt idx="348">
                  <c:v>1.9951598884829336E-2</c:v>
                </c:pt>
                <c:pt idx="349">
                  <c:v>1.997440604288192E-2</c:v>
                </c:pt>
                <c:pt idx="350">
                  <c:v>1.999721267017851E-2</c:v>
                </c:pt>
                <c:pt idx="351">
                  <c:v>2.002001876673154E-2</c:v>
                </c:pt>
                <c:pt idx="352">
                  <c:v>2.0042824332553444E-2</c:v>
                </c:pt>
                <c:pt idx="353">
                  <c:v>2.0065629367656546E-2</c:v>
                </c:pt>
                <c:pt idx="354">
                  <c:v>2.0088433872053169E-2</c:v>
                </c:pt>
                <c:pt idx="355">
                  <c:v>2.0111237845755636E-2</c:v>
                </c:pt>
                <c:pt idx="356">
                  <c:v>2.0134041288776272E-2</c:v>
                </c:pt>
                <c:pt idx="357">
                  <c:v>2.0156844201127511E-2</c:v>
                </c:pt>
                <c:pt idx="358">
                  <c:v>2.0179646582821675E-2</c:v>
                </c:pt>
                <c:pt idx="359">
                  <c:v>2.020244843387109E-2</c:v>
                </c:pt>
                <c:pt idx="360">
                  <c:v>2.0225249754288188E-2</c:v>
                </c:pt>
                <c:pt idx="361">
                  <c:v>2.0248050544085183E-2</c:v>
                </c:pt>
                <c:pt idx="362">
                  <c:v>2.0270850803274509E-2</c:v>
                </c:pt>
                <c:pt idx="363">
                  <c:v>2.029365053186849E-2</c:v>
                </c:pt>
                <c:pt idx="364">
                  <c:v>2.0316449729879449E-2</c:v>
                </c:pt>
                <c:pt idx="365">
                  <c:v>2.033924839731982E-2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7.3678669690477289E-2</c:v>
                </c:pt>
                <c:pt idx="1">
                  <c:v>7.3781325939436565E-2</c:v>
                </c:pt>
                <c:pt idx="2">
                  <c:v>7.3884024320420572E-2</c:v>
                </c:pt>
                <c:pt idx="3">
                  <c:v>7.3986748370749186E-2</c:v>
                </c:pt>
                <c:pt idx="4">
                  <c:v>7.4089483764167324E-2</c:v>
                </c:pt>
                <c:pt idx="5">
                  <c:v>7.419221825439419E-2</c:v>
                </c:pt>
                <c:pt idx="6">
                  <c:v>7.4294941601659184E-2</c:v>
                </c:pt>
                <c:pt idx="7">
                  <c:v>7.4397645483487637E-2</c:v>
                </c:pt>
                <c:pt idx="8">
                  <c:v>7.4500323391121323E-2</c:v>
                </c:pt>
                <c:pt idx="9">
                  <c:v>7.4602970513065844E-2</c:v>
                </c:pt>
                <c:pt idx="10">
                  <c:v>7.4705583607348719E-2</c:v>
                </c:pt>
                <c:pt idx="11">
                  <c:v>7.4808160864145101E-2</c:v>
                </c:pt>
                <c:pt idx="12">
                  <c:v>7.4910701760486656E-2</c:v>
                </c:pt>
                <c:pt idx="13">
                  <c:v>7.5013206908807736E-2</c:v>
                </c:pt>
                <c:pt idx="14">
                  <c:v>7.5115677901104919E-2</c:v>
                </c:pt>
                <c:pt idx="15">
                  <c:v>7.5218117150491037E-2</c:v>
                </c:pt>
                <c:pt idx="16">
                  <c:v>7.5320527731910156E-2</c:v>
                </c:pt>
                <c:pt idx="17">
                  <c:v>7.5422913223750512E-2</c:v>
                </c:pt>
                <c:pt idx="18">
                  <c:v>7.5525277552045259E-2</c:v>
                </c:pt>
                <c:pt idx="19">
                  <c:v>7.5627624838887617E-2</c:v>
                </c:pt>
                <c:pt idx="20">
                  <c:v>7.5729959256609358E-2</c:v>
                </c:pt>
                <c:pt idx="21">
                  <c:v>7.5832284889179771E-2</c:v>
                </c:pt>
                <c:pt idx="22">
                  <c:v>7.5934605602176852E-2</c:v>
                </c:pt>
                <c:pt idx="23">
                  <c:v>7.6036924922567084E-2</c:v>
                </c:pt>
                <c:pt idx="24">
                  <c:v>7.6139245929401952E-2</c:v>
                </c:pt>
                <c:pt idx="25">
                  <c:v>7.62415711564048E-2</c:v>
                </c:pt>
                <c:pt idx="26">
                  <c:v>7.6343902507278419E-2</c:v>
                </c:pt>
                <c:pt idx="27">
                  <c:v>7.6446241184414343E-2</c:v>
                </c:pt>
                <c:pt idx="28">
                  <c:v>7.65485876315328E-2</c:v>
                </c:pt>
                <c:pt idx="29">
                  <c:v>7.6650941490625873E-2</c:v>
                </c:pt>
                <c:pt idx="30">
                  <c:v>7.6753301573420599E-2</c:v>
                </c:pt>
                <c:pt idx="31">
                  <c:v>7.6855665847422386E-2</c:v>
                </c:pt>
                <c:pt idx="32">
                  <c:v>7.6958031436446458E-2</c:v>
                </c:pt>
                <c:pt idx="33">
                  <c:v>7.7060394635394228E-2</c:v>
                </c:pt>
                <c:pt idx="34">
                  <c:v>7.7162750938888316E-2</c:v>
                </c:pt>
                <c:pt idx="35">
                  <c:v>7.7265095083241683E-2</c:v>
                </c:pt>
                <c:pt idx="36">
                  <c:v>7.7367421101106892E-2</c:v>
                </c:pt>
                <c:pt idx="37">
                  <c:v>7.7469722388030959E-2</c:v>
                </c:pt>
                <c:pt idx="38">
                  <c:v>7.7571991780032143E-2</c:v>
                </c:pt>
                <c:pt idx="39">
                  <c:v>7.7674221641214972E-2</c:v>
                </c:pt>
                <c:pt idx="40">
                  <c:v>7.7776403960354706E-2</c:v>
                </c:pt>
                <c:pt idx="41">
                  <c:v>7.7878530455307932E-2</c:v>
                </c:pt>
                <c:pt idx="42">
                  <c:v>7.7980592684045766E-2</c:v>
                </c:pt>
                <c:pt idx="43">
                  <c:v>7.8082582161060496E-2</c:v>
                </c:pt>
                <c:pt idx="44">
                  <c:v>7.8184490477862481E-2</c:v>
                </c:pt>
                <c:pt idx="45">
                  <c:v>7.8286309426268116E-2</c:v>
                </c:pt>
                <c:pt idx="46">
                  <c:v>7.838803112317265E-2</c:v>
                </c:pt>
                <c:pt idx="47">
                  <c:v>7.8489648135513623E-2</c:v>
                </c:pt>
                <c:pt idx="48">
                  <c:v>7.8591153604152197E-2</c:v>
                </c:pt>
                <c:pt idx="49">
                  <c:v>7.8692541365436131E-2</c:v>
                </c:pt>
                <c:pt idx="50">
                  <c:v>7.8793806069255942E-2</c:v>
                </c:pt>
                <c:pt idx="51">
                  <c:v>7.889494329246631E-2</c:v>
                </c:pt>
                <c:pt idx="52">
                  <c:v>7.8995949646613633E-2</c:v>
                </c:pt>
                <c:pt idx="53">
                  <c:v>7.9096822878992487E-2</c:v>
                </c:pt>
                <c:pt idx="54">
                  <c:v>7.9197561966140209E-2</c:v>
                </c:pt>
                <c:pt idx="55">
                  <c:v>7.9298167198976116E-2</c:v>
                </c:pt>
                <c:pt idx="56">
                  <c:v>7.9398640258893163E-2</c:v>
                </c:pt>
                <c:pt idx="57">
                  <c:v>7.9498984284216548E-2</c:v>
                </c:pt>
                <c:pt idx="58">
                  <c:v>7.9599203926554729E-2</c:v>
                </c:pt>
                <c:pt idx="59">
                  <c:v>7.969930539667984E-2</c:v>
                </c:pt>
                <c:pt idx="60">
                  <c:v>7.9799296499689393E-2</c:v>
                </c:pt>
                <c:pt idx="61">
                  <c:v>7.9899186659312449E-2</c:v>
                </c:pt>
                <c:pt idx="62">
                  <c:v>7.9998986931335891E-2</c:v>
                </c:pt>
                <c:pt idx="63">
                  <c:v>8.0098710006234114E-2</c:v>
                </c:pt>
                <c:pt idx="64">
                  <c:v>8.0198370201189598E-2</c:v>
                </c:pt>
                <c:pt idx="65">
                  <c:v>8.0297983441790288E-2</c:v>
                </c:pt>
                <c:pt idx="66">
                  <c:v>8.03975672337819E-2</c:v>
                </c:pt>
                <c:pt idx="67">
                  <c:v>8.0497140625338914E-2</c:v>
                </c:pt>
                <c:pt idx="68">
                  <c:v>8.0596724160393235E-2</c:v>
                </c:pt>
                <c:pt idx="69">
                  <c:v>8.0696339823628907E-2</c:v>
                </c:pt>
                <c:pt idx="70">
                  <c:v>8.0796010977808197E-2</c:v>
                </c:pt>
                <c:pt idx="71">
                  <c:v>8.0895762294143095E-2</c:v>
                </c:pt>
                <c:pt idx="72">
                  <c:v>8.0995619676463709E-2</c:v>
                </c:pt>
                <c:pt idx="73">
                  <c:v>8.1095610179962321E-2</c:v>
                </c:pt>
                <c:pt idx="74">
                  <c:v>8.1195761925307711E-2</c:v>
                </c:pt>
                <c:pt idx="75">
                  <c:v>8.1296104008930753E-2</c:v>
                </c:pt>
                <c:pt idx="76">
                  <c:v>8.1396666410276292E-2</c:v>
                </c:pt>
                <c:pt idx="77">
                  <c:v>8.1497479896802033E-2</c:v>
                </c:pt>
                <c:pt idx="78">
                  <c:v>8.1598575927480085E-2</c:v>
                </c:pt>
                <c:pt idx="79">
                  <c:v>8.1699986555522075E-2</c:v>
                </c:pt>
                <c:pt idx="80">
                  <c:v>8.1801744331007065E-2</c:v>
                </c:pt>
                <c:pt idx="81">
                  <c:v>8.1903882204039713E-2</c:v>
                </c:pt>
                <c:pt idx="82">
                  <c:v>8.2006433429010317E-2</c:v>
                </c:pt>
                <c:pt idx="83">
                  <c:v>8.2109431470463234E-2</c:v>
                </c:pt>
                <c:pt idx="84">
                  <c:v>8.2212909911013182E-2</c:v>
                </c:pt>
                <c:pt idx="85">
                  <c:v>8.2316902361676034E-2</c:v>
                </c:pt>
                <c:pt idx="86">
                  <c:v>8.2421442374905646E-2</c:v>
                </c:pt>
                <c:pt idx="87">
                  <c:v>8.2526563360551808E-2</c:v>
                </c:pt>
                <c:pt idx="88">
                  <c:v>8.2632298504877549E-2</c:v>
                </c:pt>
                <c:pt idx="89">
                  <c:v>8.2738680692696298E-2</c:v>
                </c:pt>
                <c:pt idx="90">
                  <c:v>8.2845742432616637E-2</c:v>
                </c:pt>
                <c:pt idx="91">
                  <c:v>8.2953515785308976E-2</c:v>
                </c:pt>
                <c:pt idx="92">
                  <c:v>8.3062032294641666E-2</c:v>
                </c:pt>
                <c:pt idx="93">
                  <c:v>8.31713229214711E-2</c:v>
                </c:pt>
                <c:pt idx="94">
                  <c:v>8.3281417979813852E-2</c:v>
                </c:pt>
                <c:pt idx="95">
                  <c:v>8.3392347075078477E-2</c:v>
                </c:pt>
                <c:pt idx="96">
                  <c:v>8.3504139043992676E-2</c:v>
                </c:pt>
                <c:pt idx="97">
                  <c:v>8.3616821895827684E-2</c:v>
                </c:pt>
                <c:pt idx="98">
                  <c:v>8.3730422754495604E-2</c:v>
                </c:pt>
                <c:pt idx="99">
                  <c:v>8.3844967801080708E-2</c:v>
                </c:pt>
                <c:pt idx="100">
                  <c:v>8.3960482216357837E-2</c:v>
                </c:pt>
                <c:pt idx="101">
                  <c:v>8.4076990122855855E-2</c:v>
                </c:pt>
                <c:pt idx="102">
                  <c:v>8.4194514526035588E-2</c:v>
                </c:pt>
                <c:pt idx="103">
                  <c:v>8.4313077254176291E-2</c:v>
                </c:pt>
                <c:pt idx="104">
                  <c:v>8.4432698896595507E-2</c:v>
                </c:pt>
                <c:pt idx="105">
                  <c:v>8.4553398739869334E-2</c:v>
                </c:pt>
                <c:pt idx="106">
                  <c:v>8.4675194701770623E-2</c:v>
                </c:pt>
                <c:pt idx="107">
                  <c:v>8.4798103262699681E-2</c:v>
                </c:pt>
                <c:pt idx="108">
                  <c:v>8.492213939444955E-2</c:v>
                </c:pt>
                <c:pt idx="109">
                  <c:v>8.5047316486217814E-2</c:v>
                </c:pt>
                <c:pt idx="110">
                  <c:v>8.5173646267856798E-2</c:v>
                </c:pt>
                <c:pt idx="111">
                  <c:v>8.5301138730434989E-2</c:v>
                </c:pt>
                <c:pt idx="112">
                  <c:v>8.5429802044269282E-2</c:v>
                </c:pt>
                <c:pt idx="113">
                  <c:v>8.5559642474675471E-2</c:v>
                </c:pt>
                <c:pt idx="114">
                  <c:v>8.5690664295774141E-2</c:v>
                </c:pt>
                <c:pt idx="115">
                  <c:v>8.5822869702778706E-2</c:v>
                </c:pt>
                <c:pt idx="116">
                  <c:v>8.5956258723280388E-2</c:v>
                </c:pt>
                <c:pt idx="117">
                  <c:v>8.6090829128130375E-2</c:v>
                </c:pt>
                <c:pt idx="118">
                  <c:v>8.6226576342601446E-2</c:v>
                </c:pt>
                <c:pt idx="119">
                  <c:v>8.6363493358587715E-2</c:v>
                </c:pt>
                <c:pt idx="120">
                  <c:v>8.6501570648672421E-2</c:v>
                </c:pt>
                <c:pt idx="121">
                  <c:v>8.6640796082955329E-2</c:v>
                </c:pt>
                <c:pt idx="122">
                  <c:v>8.6781154849587622E-2</c:v>
                </c:pt>
                <c:pt idx="123">
                  <c:v>8.6922629380006416E-2</c:v>
                </c:pt>
                <c:pt idx="124">
                  <c:v>8.7065199279896033E-2</c:v>
                </c:pt>
                <c:pt idx="125">
                  <c:v>8.7208841266926865E-2</c:v>
                </c:pt>
                <c:pt idx="126">
                  <c:v>8.7353529116336107E-2</c:v>
                </c:pt>
                <c:pt idx="127">
                  <c:v>8.7499233615411676E-2</c:v>
                </c:pt>
                <c:pt idx="128">
                  <c:v>8.7645922527930659E-2</c:v>
                </c:pt>
                <c:pt idx="129">
                  <c:v>8.7793560569576032E-2</c:v>
                </c:pt>
                <c:pt idx="130">
                  <c:v>8.7942109395316506E-2</c:v>
                </c:pt>
                <c:pt idx="131">
                  <c:v>8.8091527599683528E-2</c:v>
                </c:pt>
                <c:pt idx="132">
                  <c:v>8.8241770730813809E-2</c:v>
                </c:pt>
                <c:pt idx="133">
                  <c:v>8.8392791319048231E-2</c:v>
                </c:pt>
                <c:pt idx="134">
                  <c:v>8.8544538920790283E-2</c:v>
                </c:pt>
                <c:pt idx="135">
                  <c:v>8.8696960178225065E-2</c:v>
                </c:pt>
                <c:pt idx="136">
                  <c:v>8.884999889538947E-2</c:v>
                </c:pt>
                <c:pt idx="137">
                  <c:v>8.9003596130964049E-2</c:v>
                </c:pt>
                <c:pt idx="138">
                  <c:v>8.9157690308026533E-2</c:v>
                </c:pt>
                <c:pt idx="139">
                  <c:v>8.9312217340871733E-2</c:v>
                </c:pt>
                <c:pt idx="140">
                  <c:v>8.9467110778858522E-2</c:v>
                </c:pt>
                <c:pt idx="141">
                  <c:v>8.9622301967097695E-2</c:v>
                </c:pt>
                <c:pt idx="142">
                  <c:v>8.9777720223643734E-2</c:v>
                </c:pt>
                <c:pt idx="143">
                  <c:v>8.9933293032700035E-2</c:v>
                </c:pt>
                <c:pt idx="144">
                  <c:v>9.0088946253194635E-2</c:v>
                </c:pt>
                <c:pt idx="145">
                  <c:v>9.0244604341932141E-2</c:v>
                </c:pt>
                <c:pt idx="146">
                  <c:v>9.0400190590377322E-2</c:v>
                </c:pt>
                <c:pt idx="147">
                  <c:v>9.0555627373983455E-2</c:v>
                </c:pt>
                <c:pt idx="148">
                  <c:v>9.0710836412838544E-2</c:v>
                </c:pt>
                <c:pt idx="149">
                  <c:v>9.0865739042273047E-2</c:v>
                </c:pt>
                <c:pt idx="150">
                  <c:v>9.1020256491950322E-2</c:v>
                </c:pt>
                <c:pt idx="151">
                  <c:v>9.1174310171851028E-2</c:v>
                </c:pt>
                <c:pt idx="152">
                  <c:v>9.1327821963462147E-2</c:v>
                </c:pt>
                <c:pt idx="153">
                  <c:v>9.1480714514396808E-2</c:v>
                </c:pt>
                <c:pt idx="154">
                  <c:v>9.1632911534597405E-2</c:v>
                </c:pt>
                <c:pt idx="155">
                  <c:v>9.1784338092218795E-2</c:v>
                </c:pt>
                <c:pt idx="156">
                  <c:v>9.1934920907247322E-2</c:v>
                </c:pt>
                <c:pt idx="157">
                  <c:v>9.2084588640886603E-2</c:v>
                </c:pt>
                <c:pt idx="158">
                  <c:v>9.2233272178734463E-2</c:v>
                </c:pt>
                <c:pt idx="159">
                  <c:v>9.2380904905785391E-2</c:v>
                </c:pt>
                <c:pt idx="160">
                  <c:v>9.2527422971321535E-2</c:v>
                </c:pt>
                <c:pt idx="161">
                  <c:v>9.2672765541800151E-2</c:v>
                </c:pt>
                <c:pt idx="162">
                  <c:v>9.2816875039909569E-2</c:v>
                </c:pt>
                <c:pt idx="163">
                  <c:v>9.2959697368044811E-2</c:v>
                </c:pt>
                <c:pt idx="164">
                  <c:v>9.3101182114552788E-2</c:v>
                </c:pt>
                <c:pt idx="165">
                  <c:v>9.3241282741207271E-2</c:v>
                </c:pt>
                <c:pt idx="166">
                  <c:v>9.3379956750503701E-2</c:v>
                </c:pt>
                <c:pt idx="167">
                  <c:v>9.351716583150399E-2</c:v>
                </c:pt>
                <c:pt idx="168">
                  <c:v>9.3652875983116807E-2</c:v>
                </c:pt>
                <c:pt idx="169">
                  <c:v>9.3787057613863523E-2</c:v>
                </c:pt>
                <c:pt idx="170">
                  <c:v>9.3919685617356113E-2</c:v>
                </c:pt>
                <c:pt idx="171">
                  <c:v>9.4050739422897267E-2</c:v>
                </c:pt>
                <c:pt idx="172">
                  <c:v>9.4180203020802669E-2</c:v>
                </c:pt>
                <c:pt idx="173">
                  <c:v>9.4308064962241922E-2</c:v>
                </c:pt>
                <c:pt idx="174">
                  <c:v>9.4434318333591782E-2</c:v>
                </c:pt>
                <c:pt idx="175">
                  <c:v>9.4558960705495951E-2</c:v>
                </c:pt>
                <c:pt idx="176">
                  <c:v>9.4681994057023877E-2</c:v>
                </c:pt>
                <c:pt idx="177">
                  <c:v>9.4803424675518097E-2</c:v>
                </c:pt>
                <c:pt idx="178">
                  <c:v>9.4923263032910016E-2</c:v>
                </c:pt>
                <c:pt idx="179">
                  <c:v>9.5041523639471437E-2</c:v>
                </c:pt>
                <c:pt idx="180">
                  <c:v>9.5158224876144851E-2</c:v>
                </c:pt>
                <c:pt idx="181">
                  <c:v>9.5273388806763351E-2</c:v>
                </c:pt>
                <c:pt idx="182">
                  <c:v>9.5387040971627632E-2</c:v>
                </c:pt>
                <c:pt idx="183">
                  <c:v>9.5499210164049442E-2</c:v>
                </c:pt>
                <c:pt idx="184">
                  <c:v>9.5609928191599969E-2</c:v>
                </c:pt>
                <c:pt idx="185">
                  <c:v>9.5719229623913923E-2</c:v>
                </c:pt>
                <c:pt idx="186">
                  <c:v>9.5827151528996221E-2</c:v>
                </c:pt>
                <c:pt idx="187">
                  <c:v>9.5933733200056215E-2</c:v>
                </c:pt>
                <c:pt idx="188">
                  <c:v>9.6039015874953906E-2</c:v>
                </c:pt>
                <c:pt idx="189">
                  <c:v>9.6143042450382493E-2</c:v>
                </c:pt>
                <c:pt idx="190">
                  <c:v>9.6245857192933659E-2</c:v>
                </c:pt>
                <c:pt idx="191">
                  <c:v>9.6347505449191573E-2</c:v>
                </c:pt>
                <c:pt idx="192">
                  <c:v>9.6448033356983889E-2</c:v>
                </c:pt>
                <c:pt idx="193">
                  <c:v>9.6547487559879741E-2</c:v>
                </c:pt>
                <c:pt idx="194">
                  <c:v>9.6645914926966947E-2</c:v>
                </c:pt>
                <c:pt idx="195">
                  <c:v>9.6743362279864992E-2</c:v>
                </c:pt>
                <c:pt idx="196">
                  <c:v>9.683987612883678E-2</c:v>
                </c:pt>
                <c:pt idx="197">
                  <c:v>9.6935502419751796E-2</c:v>
                </c:pt>
                <c:pt idx="198">
                  <c:v>9.7030286293526363E-2</c:v>
                </c:pt>
                <c:pt idx="199">
                  <c:v>9.7124271859527947E-2</c:v>
                </c:pt>
                <c:pt idx="200">
                  <c:v>9.7217501984275034E-2</c:v>
                </c:pt>
                <c:pt idx="201">
                  <c:v>9.7310018096601295E-2</c:v>
                </c:pt>
                <c:pt idx="202">
                  <c:v>9.7401860010278049E-2</c:v>
                </c:pt>
                <c:pt idx="203">
                  <c:v>9.7493065764906045E-2</c:v>
                </c:pt>
                <c:pt idx="204">
                  <c:v>9.7583671485701629E-2</c:v>
                </c:pt>
                <c:pt idx="205">
                  <c:v>9.7673711262609195E-2</c:v>
                </c:pt>
                <c:pt idx="206">
                  <c:v>9.7763217048978432E-2</c:v>
                </c:pt>
                <c:pt idx="207">
                  <c:v>9.785221857985224E-2</c:v>
                </c:pt>
                <c:pt idx="208">
                  <c:v>9.7940743309718012E-2</c:v>
                </c:pt>
                <c:pt idx="209">
                  <c:v>9.8028816369389621E-2</c:v>
                </c:pt>
                <c:pt idx="210">
                  <c:v>9.8116460541504399E-2</c:v>
                </c:pt>
                <c:pt idx="211">
                  <c:v>9.8203696253947453E-2</c:v>
                </c:pt>
                <c:pt idx="212">
                  <c:v>9.8290541590350916E-2</c:v>
                </c:pt>
                <c:pt idx="213">
                  <c:v>9.8377012316664861E-2</c:v>
                </c:pt>
                <c:pt idx="214">
                  <c:v>9.846312192265623E-2</c:v>
                </c:pt>
                <c:pt idx="215">
                  <c:v>9.8548881677068476E-2</c:v>
                </c:pt>
                <c:pt idx="216">
                  <c:v>9.8634300695065222E-2</c:v>
                </c:pt>
                <c:pt idx="217">
                  <c:v>9.871938601649019E-2</c:v>
                </c:pt>
                <c:pt idx="218">
                  <c:v>9.8804142693399544E-2</c:v>
                </c:pt>
                <c:pt idx="219">
                  <c:v>9.8888573885270142E-2</c:v>
                </c:pt>
                <c:pt idx="220">
                  <c:v>9.8972680960247431E-2</c:v>
                </c:pt>
                <c:pt idx="221">
                  <c:v>9.9056463600782726E-2</c:v>
                </c:pt>
                <c:pt idx="222">
                  <c:v>9.9139919912009836E-2</c:v>
                </c:pt>
                <c:pt idx="223">
                  <c:v>9.9223046531234121E-2</c:v>
                </c:pt>
                <c:pt idx="224">
                  <c:v>9.9305838736948288E-2</c:v>
                </c:pt>
                <c:pt idx="225">
                  <c:v>9.938829055584833E-2</c:v>
                </c:pt>
                <c:pt idx="226">
                  <c:v>9.9470394866401343E-2</c:v>
                </c:pt>
                <c:pt idx="227">
                  <c:v>9.9552143497611809E-2</c:v>
                </c:pt>
                <c:pt idx="228">
                  <c:v>9.9633527321742674E-2</c:v>
                </c:pt>
                <c:pt idx="229">
                  <c:v>9.9714536339874565E-2</c:v>
                </c:pt>
                <c:pt idx="230">
                  <c:v>9.9795159759322752E-2</c:v>
                </c:pt>
                <c:pt idx="231">
                  <c:v>9.9875386062083474E-2</c:v>
                </c:pt>
                <c:pt idx="232">
                  <c:v>9.9955203063639891E-2</c:v>
                </c:pt>
                <c:pt idx="233">
                  <c:v>0.10003459796162624</c:v>
                </c:pt>
                <c:pt idx="234">
                  <c:v>0.10011355737402229</c:v>
                </c:pt>
                <c:pt idx="235">
                  <c:v>0.10019206736672837</c:v>
                </c:pt>
                <c:pt idx="236">
                  <c:v>0.10027011347055113</c:v>
                </c:pt>
                <c:pt idx="237">
                  <c:v>0.10034768068780883</c:v>
                </c:pt>
                <c:pt idx="238">
                  <c:v>0.1004247534889441</c:v>
                </c:pt>
                <c:pt idx="239">
                  <c:v>0.10050131579970231</c:v>
                </c:pt>
                <c:pt idx="240">
                  <c:v>0.10057735097960341</c:v>
                </c:pt>
                <c:pt idx="241">
                  <c:v>0.10065284179258982</c:v>
                </c:pt>
                <c:pt idx="242">
                  <c:v>0.10072777037088285</c:v>
                </c:pt>
                <c:pt idx="243">
                  <c:v>0.10080211817321426</c:v>
                </c:pt>
                <c:pt idx="244">
                  <c:v>0.10087586593872164</c:v>
                </c:pt>
                <c:pt idx="245">
                  <c:v>0.10094899363790114</c:v>
                </c:pt>
                <c:pt idx="246">
                  <c:v>0.10102148042210217</c:v>
                </c:pt>
                <c:pt idx="247">
                  <c:v>0.1010933045731174</c:v>
                </c:pt>
                <c:pt idx="248">
                  <c:v>0.10116444345447495</c:v>
                </c:pt>
                <c:pt idx="249">
                  <c:v>0.10123487346607095</c:v>
                </c:pt>
                <c:pt idx="250">
                  <c:v>0.10130457000379237</c:v>
                </c:pt>
                <c:pt idx="251">
                  <c:v>0.10137350742576989</c:v>
                </c:pt>
                <c:pt idx="252">
                  <c:v>0.10144165902687154</c:v>
                </c:pt>
                <c:pt idx="253">
                  <c:v>0.10150899702299411</c:v>
                </c:pt>
                <c:pt idx="254">
                  <c:v>0.1015754925466395</c:v>
                </c:pt>
                <c:pt idx="255">
                  <c:v>0.10164111565516835</c:v>
                </c:pt>
                <c:pt idx="256">
                  <c:v>0.10170583535301372</c:v>
                </c:pt>
                <c:pt idx="257">
                  <c:v>0.10176961962900535</c:v>
                </c:pt>
                <c:pt idx="258">
                  <c:v>0.10183243550980949</c:v>
                </c:pt>
                <c:pt idx="259">
                  <c:v>0.1018942491303238</c:v>
                </c:pt>
                <c:pt idx="260">
                  <c:v>0.10195502582169147</c:v>
                </c:pt>
                <c:pt idx="261">
                  <c:v>0.10201473021740715</c:v>
                </c:pt>
                <c:pt idx="262">
                  <c:v>0.1020733263777869</c:v>
                </c:pt>
                <c:pt idx="263">
                  <c:v>0.10213077793286589</c:v>
                </c:pt>
                <c:pt idx="264">
                  <c:v>0.10218704824357086</c:v>
                </c:pt>
                <c:pt idx="265">
                  <c:v>0.10224210058079536</c:v>
                </c:pt>
                <c:pt idx="266">
                  <c:v>0.1022958983217845</c:v>
                </c:pt>
                <c:pt idx="267">
                  <c:v>0.10234840516301358</c:v>
                </c:pt>
                <c:pt idx="268">
                  <c:v>0.10239958534852858</c:v>
                </c:pt>
                <c:pt idx="269">
                  <c:v>0.10244940391250279</c:v>
                </c:pt>
                <c:pt idx="270">
                  <c:v>0.1024978269345585</c:v>
                </c:pt>
                <c:pt idx="271">
                  <c:v>0.10254482180620893</c:v>
                </c:pt>
                <c:pt idx="272">
                  <c:v>0.10259035750659139</c:v>
                </c:pt>
                <c:pt idx="273">
                  <c:v>0.10263440488549484</c:v>
                </c:pt>
                <c:pt idx="274">
                  <c:v>0.10267693695153322</c:v>
                </c:pt>
                <c:pt idx="275">
                  <c:v>0.10271792916318126</c:v>
                </c:pt>
                <c:pt idx="276">
                  <c:v>0.1027573597202761</c:v>
                </c:pt>
                <c:pt idx="277">
                  <c:v>0.10279520985349572</c:v>
                </c:pt>
                <c:pt idx="278">
                  <c:v>0.10283146410925448</c:v>
                </c:pt>
                <c:pt idx="279">
                  <c:v>0.1028661106274113</c:v>
                </c:pt>
                <c:pt idx="280">
                  <c:v>0.10289914140916337</c:v>
                </c:pt>
                <c:pt idx="281">
                  <c:v>0.10293055257250393</c:v>
                </c:pt>
                <c:pt idx="282">
                  <c:v>0.10296034459265004</c:v>
                </c:pt>
                <c:pt idx="283">
                  <c:v>0.10298852252490448</c:v>
                </c:pt>
                <c:pt idx="284">
                  <c:v>0.10301509620749394</c:v>
                </c:pt>
                <c:pt idx="285">
                  <c:v>0.1030400804420345</c:v>
                </c:pt>
                <c:pt idx="286">
                  <c:v>0.10306349514940438</c:v>
                </c:pt>
                <c:pt idx="287">
                  <c:v>0.10308536549895937</c:v>
                </c:pt>
                <c:pt idx="288">
                  <c:v>0.10310572200920247</c:v>
                </c:pt>
                <c:pt idx="289">
                  <c:v>0.1031246006182181</c:v>
                </c:pt>
                <c:pt idx="290">
                  <c:v>0.10314204272239731</c:v>
                </c:pt>
                <c:pt idx="291">
                  <c:v>0.10315809518221737</c:v>
                </c:pt>
                <c:pt idx="292">
                  <c:v>0.1031728102940872</c:v>
                </c:pt>
                <c:pt idx="293">
                  <c:v>0.10318624572753671</c:v>
                </c:pt>
                <c:pt idx="294">
                  <c:v>0.10319846442730099</c:v>
                </c:pt>
                <c:pt idx="295">
                  <c:v>0.10320953448013563</c:v>
                </c:pt>
                <c:pt idx="296">
                  <c:v>0.10321952894648788</c:v>
                </c:pt>
                <c:pt idx="297">
                  <c:v>0.10322852565744225</c:v>
                </c:pt>
                <c:pt idx="298">
                  <c:v>0.10323660697765208</c:v>
                </c:pt>
                <c:pt idx="299">
                  <c:v>0.10324385953526087</c:v>
                </c:pt>
                <c:pt idx="300">
                  <c:v>0.10325037392010314</c:v>
                </c:pt>
                <c:pt idx="301">
                  <c:v>0.10325624435175407</c:v>
                </c:pt>
                <c:pt idx="302">
                  <c:v>0.10326156831926589</c:v>
                </c:pt>
                <c:pt idx="303">
                  <c:v>0.10326644619468506</c:v>
                </c:pt>
                <c:pt idx="304">
                  <c:v>0.10327098082268454</c:v>
                </c:pt>
                <c:pt idx="305">
                  <c:v>0.10327527708886938</c:v>
                </c:pt>
                <c:pt idx="306">
                  <c:v>0.10327944146951548</c:v>
                </c:pt>
                <c:pt idx="307">
                  <c:v>0.10328358156568442</c:v>
                </c:pt>
                <c:pt idx="308">
                  <c:v>0.10328780562481246</c:v>
                </c:pt>
                <c:pt idx="309">
                  <c:v>0.1032922220530065</c:v>
                </c:pt>
                <c:pt idx="310">
                  <c:v>0.10329693892138267</c:v>
                </c:pt>
                <c:pt idx="311">
                  <c:v>0.10330206346986257</c:v>
                </c:pt>
                <c:pt idx="312">
                  <c:v>0.1033077016118898</c:v>
                </c:pt>
                <c:pt idx="313">
                  <c:v>0.10331395744354965</c:v>
                </c:pt>
                <c:pt idx="314">
                  <c:v>0.10332093276056366</c:v>
                </c:pt>
                <c:pt idx="315">
                  <c:v>0.10332872658659134</c:v>
                </c:pt>
                <c:pt idx="316">
                  <c:v>0.10333743471620181</c:v>
                </c:pt>
                <c:pt idx="317">
                  <c:v>0.10334714927577916</c:v>
                </c:pt>
                <c:pt idx="318">
                  <c:v>0.10335795830549845</c:v>
                </c:pt>
                <c:pt idx="319">
                  <c:v>0.10336994536535575</c:v>
                </c:pt>
                <c:pt idx="320">
                  <c:v>0.10338318916805526</c:v>
                </c:pt>
                <c:pt idx="321">
                  <c:v>0.10339776324135248</c:v>
                </c:pt>
                <c:pt idx="322">
                  <c:v>0.10341373562222518</c:v>
                </c:pt>
                <c:pt idx="323">
                  <c:v>0.1034311685849971</c:v>
                </c:pt>
                <c:pt idx="324">
                  <c:v>0.10345011840527291</c:v>
                </c:pt>
                <c:pt idx="325">
                  <c:v>0.10347063516126181</c:v>
                </c:pt>
                <c:pt idx="326">
                  <c:v>0.10349276257377077</c:v>
                </c:pt>
                <c:pt idx="327">
                  <c:v>0.10351653788584356</c:v>
                </c:pt>
                <c:pt idx="328">
                  <c:v>0.10354199178270637</c:v>
                </c:pt>
                <c:pt idx="329">
                  <c:v>0.10356914835236185</c:v>
                </c:pt>
                <c:pt idx="330">
                  <c:v>0.10359802508685129</c:v>
                </c:pt>
                <c:pt idx="331">
                  <c:v>0.10362863292388305</c:v>
                </c:pt>
                <c:pt idx="332">
                  <c:v>0.10366097632820756</c:v>
                </c:pt>
                <c:pt idx="333">
                  <c:v>0.10369505341180735</c:v>
                </c:pt>
                <c:pt idx="334">
                  <c:v>0.1037308560916671</c:v>
                </c:pt>
                <c:pt idx="335">
                  <c:v>0.10376837028359877</c:v>
                </c:pt>
                <c:pt idx="336">
                  <c:v>0.10380757613031916</c:v>
                </c:pt>
                <c:pt idx="337">
                  <c:v>0.10384844826171759</c:v>
                </c:pt>
                <c:pt idx="338">
                  <c:v>0.10389095608501048</c:v>
                </c:pt>
                <c:pt idx="339">
                  <c:v>0.10393506410225993</c:v>
                </c:pt>
                <c:pt idx="340">
                  <c:v>0.10398073225253614</c:v>
                </c:pt>
                <c:pt idx="341">
                  <c:v>0.10402791627583276</c:v>
                </c:pt>
                <c:pt idx="342">
                  <c:v>0.10407656809569646</c:v>
                </c:pt>
                <c:pt idx="343">
                  <c:v>0.10412663621741604</c:v>
                </c:pt>
                <c:pt idx="344">
                  <c:v>0.1041780661385238</c:v>
                </c:pt>
                <c:pt idx="345">
                  <c:v>0.10423080076830253</c:v>
                </c:pt>
                <c:pt idx="346">
                  <c:v>0.10428478085295843</c:v>
                </c:pt>
                <c:pt idx="347">
                  <c:v>0.10433994540311819</c:v>
                </c:pt>
                <c:pt idx="348">
                  <c:v>0.10439623212033562</c:v>
                </c:pt>
                <c:pt idx="349">
                  <c:v>0.10445357781934754</c:v>
                </c:pt>
                <c:pt idx="350">
                  <c:v>0.10451191884290405</c:v>
                </c:pt>
                <c:pt idx="351">
                  <c:v>0.10457119146610713</c:v>
                </c:pt>
                <c:pt idx="352">
                  <c:v>0.1046313322873296</c:v>
                </c:pt>
                <c:pt idx="353">
                  <c:v>0.10469227860294628</c:v>
                </c:pt>
                <c:pt idx="354">
                  <c:v>0.10475396876329438</c:v>
                </c:pt>
                <c:pt idx="355">
                  <c:v>0.10481634250748219</c:v>
                </c:pt>
                <c:pt idx="356">
                  <c:v>0.10487934127489108</c:v>
                </c:pt>
                <c:pt idx="357">
                  <c:v>0.10494290849145353</c:v>
                </c:pt>
                <c:pt idx="358">
                  <c:v>0.10500698982904452</c:v>
                </c:pt>
                <c:pt idx="359">
                  <c:v>0.10507153343658832</c:v>
                </c:pt>
                <c:pt idx="360">
                  <c:v>0.10513649014175828</c:v>
                </c:pt>
                <c:pt idx="361">
                  <c:v>0.10520181362242684</c:v>
                </c:pt>
                <c:pt idx="362">
                  <c:v>0.10526746054730682</c:v>
                </c:pt>
                <c:pt idx="363">
                  <c:v>0.10533339068551296</c:v>
                </c:pt>
                <c:pt idx="364">
                  <c:v>0.10539956698505228</c:v>
                </c:pt>
                <c:pt idx="365">
                  <c:v>0.10546595562053501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3.2145787650178026E-4</c:v>
                </c:pt>
                <c:pt idx="1">
                  <c:v>3.2430670597084109E-4</c:v>
                </c:pt>
                <c:pt idx="2">
                  <c:v>3.2756543550691312E-4</c:v>
                </c:pt>
                <c:pt idx="3">
                  <c:v>3.3121344569901016E-4</c:v>
                </c:pt>
                <c:pt idx="4">
                  <c:v>3.3522921620841032E-4</c:v>
                </c:pt>
                <c:pt idx="5">
                  <c:v>3.3959032071686053E-4</c:v>
                </c:pt>
                <c:pt idx="6">
                  <c:v>3.4427344190348302E-4</c:v>
                </c:pt>
                <c:pt idx="7">
                  <c:v>3.4925440611887449E-4</c:v>
                </c:pt>
                <c:pt idx="8">
                  <c:v>3.545170585188813E-4</c:v>
                </c:pt>
                <c:pt idx="9">
                  <c:v>3.6036054417298353E-4</c:v>
                </c:pt>
                <c:pt idx="10">
                  <c:v>3.6645575937591942E-4</c:v>
                </c:pt>
                <c:pt idx="11">
                  <c:v>3.7279506525608611E-4</c:v>
                </c:pt>
                <c:pt idx="12">
                  <c:v>3.7937092324429267E-4</c:v>
                </c:pt>
                <c:pt idx="13">
                  <c:v>3.8617596219983234E-4</c:v>
                </c:pt>
                <c:pt idx="14">
                  <c:v>3.9320303727443729E-4</c:v>
                </c:pt>
                <c:pt idx="15">
                  <c:v>4.0193427734548442E-4</c:v>
                </c:pt>
                <c:pt idx="16">
                  <c:v>4.1211163977719406E-4</c:v>
                </c:pt>
                <c:pt idx="17">
                  <c:v>4.2368845587171638E-4</c:v>
                </c:pt>
                <c:pt idx="18">
                  <c:v>4.3661810557539277E-4</c:v>
                </c:pt>
                <c:pt idx="19">
                  <c:v>4.5085690048435545E-4</c:v>
                </c:pt>
                <c:pt idx="20">
                  <c:v>4.663634137594036E-4</c:v>
                </c:pt>
                <c:pt idx="21">
                  <c:v>4.8309573735081876E-4</c:v>
                </c:pt>
                <c:pt idx="22">
                  <c:v>5.0096932561253843E-4</c:v>
                </c:pt>
                <c:pt idx="23">
                  <c:v>5.2118308767386571E-4</c:v>
                </c:pt>
                <c:pt idx="24">
                  <c:v>5.4338761517400635E-4</c:v>
                </c:pt>
                <c:pt idx="25">
                  <c:v>5.6750413250233867E-4</c:v>
                </c:pt>
                <c:pt idx="26">
                  <c:v>5.9345585517029363E-4</c:v>
                </c:pt>
                <c:pt idx="27">
                  <c:v>6.211684339792917E-4</c:v>
                </c:pt>
                <c:pt idx="28">
                  <c:v>6.5057033031617193E-4</c:v>
                </c:pt>
                <c:pt idx="29">
                  <c:v>6.8120314477093365E-4</c:v>
                </c:pt>
                <c:pt idx="30">
                  <c:v>7.1176247362835052E-4</c:v>
                </c:pt>
                <c:pt idx="31">
                  <c:v>7.4224703517766961E-4</c:v>
                </c:pt>
                <c:pt idx="32">
                  <c:v>7.7265779334874407E-4</c:v>
                </c:pt>
                <c:pt idx="33">
                  <c:v>8.0299780422315298E-4</c:v>
                </c:pt>
                <c:pt idx="34">
                  <c:v>8.3327207012968594E-4</c:v>
                </c:pt>
                <c:pt idx="35">
                  <c:v>8.6348740309655887E-4</c:v>
                </c:pt>
                <c:pt idx="36">
                  <c:v>8.9359583148843687E-4</c:v>
                </c:pt>
                <c:pt idx="37">
                  <c:v>9.2082314262555652E-4</c:v>
                </c:pt>
                <c:pt idx="38">
                  <c:v>9.4419753356741738E-4</c:v>
                </c:pt>
                <c:pt idx="39">
                  <c:v>9.6385806893033968E-4</c:v>
                </c:pt>
                <c:pt idx="40">
                  <c:v>9.7994171890143362E-4</c:v>
                </c:pt>
                <c:pt idx="41">
                  <c:v>9.9258286076574849E-4</c:v>
                </c:pt>
                <c:pt idx="42">
                  <c:v>1.0019128548815562E-3</c:v>
                </c:pt>
                <c:pt idx="43">
                  <c:v>1.0052547688785662E-3</c:v>
                </c:pt>
                <c:pt idx="44">
                  <c:v>1.0031575247965946E-3</c:v>
                </c:pt>
                <c:pt idx="45">
                  <c:v>9.9582711152070426E-4</c:v>
                </c:pt>
                <c:pt idx="46">
                  <c:v>9.8346212522309648E-4</c:v>
                </c:pt>
                <c:pt idx="47">
                  <c:v>9.6625349166167039E-4</c:v>
                </c:pt>
                <c:pt idx="48">
                  <c:v>9.4438425161499115E-4</c:v>
                </c:pt>
                <c:pt idx="49">
                  <c:v>9.1802940043269926E-4</c:v>
                </c:pt>
                <c:pt idx="50">
                  <c:v>8.8732191087922431E-4</c:v>
                </c:pt>
                <c:pt idx="51">
                  <c:v>8.5368179710104632E-4</c:v>
                </c:pt>
                <c:pt idx="52">
                  <c:v>8.1949265676965787E-4</c:v>
                </c:pt>
                <c:pt idx="53">
                  <c:v>7.8478223669504056E-4</c:v>
                </c:pt>
                <c:pt idx="54">
                  <c:v>7.4958066581131853E-4</c:v>
                </c:pt>
                <c:pt idx="55">
                  <c:v>7.1391610061424858E-4</c:v>
                </c:pt>
                <c:pt idx="56">
                  <c:v>6.7781476682633398E-4</c:v>
                </c:pt>
                <c:pt idx="57">
                  <c:v>6.4312668288678688E-4</c:v>
                </c:pt>
                <c:pt idx="58">
                  <c:v>6.1217324571236466E-4</c:v>
                </c:pt>
                <c:pt idx="59">
                  <c:v>5.8484026212871976E-4</c:v>
                </c:pt>
                <c:pt idx="60">
                  <c:v>5.6101706289965155E-4</c:v>
                </c:pt>
                <c:pt idx="61">
                  <c:v>5.4059657798344221E-4</c:v>
                </c:pt>
                <c:pt idx="62">
                  <c:v>5.234753993385746E-4</c:v>
                </c:pt>
                <c:pt idx="63">
                  <c:v>5.0955383287114037E-4</c:v>
                </c:pt>
                <c:pt idx="64">
                  <c:v>4.9872316657732676E-4</c:v>
                </c:pt>
                <c:pt idx="65">
                  <c:v>4.905917524214167E-4</c:v>
                </c:pt>
                <c:pt idx="66">
                  <c:v>4.8398853068463288E-4</c:v>
                </c:pt>
                <c:pt idx="67">
                  <c:v>4.7887235623125416E-4</c:v>
                </c:pt>
                <c:pt idx="68">
                  <c:v>4.7520356371591937E-4</c:v>
                </c:pt>
                <c:pt idx="69">
                  <c:v>4.7294402231395097E-4</c:v>
                </c:pt>
                <c:pt idx="70">
                  <c:v>4.720571850273847E-4</c:v>
                </c:pt>
                <c:pt idx="71">
                  <c:v>4.7199270920428603E-4</c:v>
                </c:pt>
                <c:pt idx="72">
                  <c:v>4.7116888793925283E-4</c:v>
                </c:pt>
                <c:pt idx="73">
                  <c:v>4.6961253900452222E-4</c:v>
                </c:pt>
                <c:pt idx="74">
                  <c:v>4.6734941676045361E-4</c:v>
                </c:pt>
                <c:pt idx="75">
                  <c:v>4.6440420040850757E-4</c:v>
                </c:pt>
                <c:pt idx="76">
                  <c:v>4.6080048428251213E-4</c:v>
                </c:pt>
                <c:pt idx="77">
                  <c:v>4.5656076990681376E-4</c:v>
                </c:pt>
                <c:pt idx="78">
                  <c:v>4.5166403828517381E-4</c:v>
                </c:pt>
                <c:pt idx="79">
                  <c:v>4.4560836338698983E-4</c:v>
                </c:pt>
                <c:pt idx="80">
                  <c:v>4.3869235056358708E-4</c:v>
                </c:pt>
                <c:pt idx="81">
                  <c:v>4.3095682470739599E-4</c:v>
                </c:pt>
                <c:pt idx="82">
                  <c:v>4.2243977147329983E-4</c:v>
                </c:pt>
                <c:pt idx="83">
                  <c:v>4.1317611491279284E-4</c:v>
                </c:pt>
                <c:pt idx="84">
                  <c:v>4.0319753527812136E-4</c:v>
                </c:pt>
                <c:pt idx="85">
                  <c:v>3.9225577533127433E-4</c:v>
                </c:pt>
                <c:pt idx="86">
                  <c:v>3.8083426045732805E-4</c:v>
                </c:pt>
                <c:pt idx="87">
                  <c:v>3.6894981682244338E-4</c:v>
                </c:pt>
                <c:pt idx="88">
                  <c:v>3.5661597410584429E-4</c:v>
                </c:pt>
                <c:pt idx="89">
                  <c:v>3.4384293582067103E-4</c:v>
                </c:pt>
                <c:pt idx="90">
                  <c:v>3.3063755099374363E-4</c:v>
                </c:pt>
                <c:pt idx="91">
                  <c:v>3.170032832688802E-4</c:v>
                </c:pt>
                <c:pt idx="92">
                  <c:v>3.0291362815987484E-4</c:v>
                </c:pt>
                <c:pt idx="93">
                  <c:v>2.8855251400434942E-4</c:v>
                </c:pt>
                <c:pt idx="94">
                  <c:v>2.7436206966733923E-4</c:v>
                </c:pt>
                <c:pt idx="95">
                  <c:v>2.6032865404957122E-4</c:v>
                </c:pt>
                <c:pt idx="96">
                  <c:v>2.464387253413867E-4</c:v>
                </c:pt>
                <c:pt idx="97">
                  <c:v>2.3267881893734589E-4</c:v>
                </c:pt>
                <c:pt idx="98">
                  <c:v>2.1903552629201655E-4</c:v>
                </c:pt>
                <c:pt idx="99">
                  <c:v>2.0581438761901037E-4</c:v>
                </c:pt>
                <c:pt idx="100">
                  <c:v>1.9325810130304993E-4</c:v>
                </c:pt>
                <c:pt idx="101">
                  <c:v>1.8135032153499279E-4</c:v>
                </c:pt>
                <c:pt idx="102">
                  <c:v>1.7007587672226743E-4</c:v>
                </c:pt>
                <c:pt idx="103">
                  <c:v>1.5942075048522978E-4</c:v>
                </c:pt>
                <c:pt idx="104">
                  <c:v>1.4937206508557511E-4</c:v>
                </c:pt>
                <c:pt idx="105">
                  <c:v>1.3991806726968662E-4</c:v>
                </c:pt>
                <c:pt idx="106">
                  <c:v>1.3104803339315674E-4</c:v>
                </c:pt>
                <c:pt idx="107">
                  <c:v>1.2293616267555182E-4</c:v>
                </c:pt>
                <c:pt idx="108">
                  <c:v>1.153660778624122E-4</c:v>
                </c:pt>
                <c:pt idx="109">
                  <c:v>1.0833010620027434E-4</c:v>
                </c:pt>
                <c:pt idx="110">
                  <c:v>1.018219665732008E-4</c:v>
                </c:pt>
                <c:pt idx="111">
                  <c:v>9.5836393797348553E-5</c:v>
                </c:pt>
                <c:pt idx="112">
                  <c:v>9.036886901145733E-5</c:v>
                </c:pt>
                <c:pt idx="113">
                  <c:v>8.5563297085172442E-5</c:v>
                </c:pt>
                <c:pt idx="114">
                  <c:v>8.1099540532525265E-5</c:v>
                </c:pt>
                <c:pt idx="115">
                  <c:v>7.6974787522977005E-5</c:v>
                </c:pt>
                <c:pt idx="116">
                  <c:v>7.3186886948424726E-5</c:v>
                </c:pt>
                <c:pt idx="117">
                  <c:v>6.9734337498480816E-5</c:v>
                </c:pt>
                <c:pt idx="118">
                  <c:v>6.661627753514092E-5</c:v>
                </c:pt>
                <c:pt idx="119">
                  <c:v>6.3832475589211941E-5</c:v>
                </c:pt>
                <c:pt idx="120">
                  <c:v>6.1384071803063841E-5</c:v>
                </c:pt>
                <c:pt idx="121">
                  <c:v>5.9342134398482735E-5</c:v>
                </c:pt>
                <c:pt idx="122">
                  <c:v>5.751857011808981E-5</c:v>
                </c:pt>
                <c:pt idx="123">
                  <c:v>5.5913648504361111E-5</c:v>
                </c:pt>
                <c:pt idx="124">
                  <c:v>5.4528049577945309E-5</c:v>
                </c:pt>
                <c:pt idx="125">
                  <c:v>5.3362852901000356E-5</c:v>
                </c:pt>
                <c:pt idx="126">
                  <c:v>5.2419526612553932E-5</c:v>
                </c:pt>
                <c:pt idx="127">
                  <c:v>5.1698962630011319E-5</c:v>
                </c:pt>
                <c:pt idx="128">
                  <c:v>5.1047483134558328E-5</c:v>
                </c:pt>
                <c:pt idx="129">
                  <c:v>5.046492274513512E-5</c:v>
                </c:pt>
                <c:pt idx="130">
                  <c:v>4.9951218621823529E-5</c:v>
                </c:pt>
                <c:pt idx="131">
                  <c:v>4.9506406738852705E-5</c:v>
                </c:pt>
                <c:pt idx="132">
                  <c:v>4.9130618110086849E-5</c:v>
                </c:pt>
                <c:pt idx="133">
                  <c:v>4.8824074960682246E-5</c:v>
                </c:pt>
                <c:pt idx="134">
                  <c:v>4.8588053212978867E-5</c:v>
                </c:pt>
                <c:pt idx="135">
                  <c:v>4.8468833681560903E-5</c:v>
                </c:pt>
                <c:pt idx="136">
                  <c:v>4.8393163541377085E-5</c:v>
                </c:pt>
                <c:pt idx="137">
                  <c:v>4.8361509791285425E-5</c:v>
                </c:pt>
                <c:pt idx="138">
                  <c:v>4.8374416520596484E-5</c:v>
                </c:pt>
                <c:pt idx="139">
                  <c:v>4.843250191360106E-5</c:v>
                </c:pt>
                <c:pt idx="140">
                  <c:v>4.8536454992090558E-5</c:v>
                </c:pt>
                <c:pt idx="141">
                  <c:v>4.8722059738710356E-5</c:v>
                </c:pt>
                <c:pt idx="142">
                  <c:v>4.8991575453628954E-5</c:v>
                </c:pt>
                <c:pt idx="143">
                  <c:v>4.9346559638516523E-5</c:v>
                </c:pt>
                <c:pt idx="144">
                  <c:v>4.9788943719723019E-5</c:v>
                </c:pt>
                <c:pt idx="145">
                  <c:v>5.0320732534520218E-5</c:v>
                </c:pt>
                <c:pt idx="146">
                  <c:v>5.0943995467308611E-5</c:v>
                </c:pt>
                <c:pt idx="147">
                  <c:v>5.1660857004311433E-5</c:v>
                </c:pt>
                <c:pt idx="148">
                  <c:v>5.2474738967538514E-5</c:v>
                </c:pt>
                <c:pt idx="149">
                  <c:v>5.3375276166338553E-5</c:v>
                </c:pt>
                <c:pt idx="150">
                  <c:v>5.4311178084446246E-5</c:v>
                </c:pt>
                <c:pt idx="151">
                  <c:v>5.528269465692728E-5</c:v>
                </c:pt>
                <c:pt idx="152">
                  <c:v>5.6290059026415881E-5</c:v>
                </c:pt>
                <c:pt idx="153">
                  <c:v>5.7333485103077006E-5</c:v>
                </c:pt>
                <c:pt idx="154">
                  <c:v>5.8413165178065654E-5</c:v>
                </c:pt>
                <c:pt idx="155">
                  <c:v>5.9533397101561676E-5</c:v>
                </c:pt>
                <c:pt idx="156">
                  <c:v>6.0654556797962845E-5</c:v>
                </c:pt>
                <c:pt idx="157">
                  <c:v>6.1775942297792431E-5</c:v>
                </c:pt>
                <c:pt idx="158">
                  <c:v>6.289682014949079E-5</c:v>
                </c:pt>
                <c:pt idx="159">
                  <c:v>6.4016427628160901E-5</c:v>
                </c:pt>
                <c:pt idx="160">
                  <c:v>6.5133975092664573E-5</c:v>
                </c:pt>
                <c:pt idx="161">
                  <c:v>6.6248648477134546E-5</c:v>
                </c:pt>
                <c:pt idx="162">
                  <c:v>6.7360721044051606E-5</c:v>
                </c:pt>
                <c:pt idx="163">
                  <c:v>6.8430713893289543E-5</c:v>
                </c:pt>
                <c:pt idx="164">
                  <c:v>6.9472257206963791E-5</c:v>
                </c:pt>
                <c:pt idx="165">
                  <c:v>7.0484085006768509E-5</c:v>
                </c:pt>
                <c:pt idx="166">
                  <c:v>7.146494085959941E-5</c:v>
                </c:pt>
                <c:pt idx="167">
                  <c:v>7.2413582545463717E-5</c:v>
                </c:pt>
                <c:pt idx="168">
                  <c:v>7.3328786564345422E-5</c:v>
                </c:pt>
                <c:pt idx="169">
                  <c:v>7.4167413110810395E-5</c:v>
                </c:pt>
                <c:pt idx="170">
                  <c:v>7.492189574974125E-5</c:v>
                </c:pt>
                <c:pt idx="171">
                  <c:v>7.5589882819472132E-5</c:v>
                </c:pt>
                <c:pt idx="172">
                  <c:v>7.6169077779075182E-5</c:v>
                </c:pt>
                <c:pt idx="173">
                  <c:v>7.6656460982148374E-5</c:v>
                </c:pt>
                <c:pt idx="174">
                  <c:v>7.7049020726828579E-5</c:v>
                </c:pt>
                <c:pt idx="175">
                  <c:v>7.7344578494372993E-5</c:v>
                </c:pt>
                <c:pt idx="176">
                  <c:v>7.7540797036878425E-5</c:v>
                </c:pt>
                <c:pt idx="177">
                  <c:v>7.7641703331960635E-5</c:v>
                </c:pt>
                <c:pt idx="178">
                  <c:v>7.7690742891416226E-5</c:v>
                </c:pt>
                <c:pt idx="179">
                  <c:v>7.7687595183029411E-5</c:v>
                </c:pt>
                <c:pt idx="180">
                  <c:v>7.7631998737134623E-5</c:v>
                </c:pt>
                <c:pt idx="181">
                  <c:v>7.7523748022468751E-5</c:v>
                </c:pt>
                <c:pt idx="182">
                  <c:v>7.7362689894483916E-5</c:v>
                </c:pt>
                <c:pt idx="183">
                  <c:v>7.7132215636861821E-5</c:v>
                </c:pt>
                <c:pt idx="184">
                  <c:v>7.6878451879365339E-5</c:v>
                </c:pt>
                <c:pt idx="185">
                  <c:v>7.6601986105811326E-5</c:v>
                </c:pt>
                <c:pt idx="186">
                  <c:v>7.6303423700274401E-5</c:v>
                </c:pt>
                <c:pt idx="187">
                  <c:v>7.5983384331154068E-5</c:v>
                </c:pt>
                <c:pt idx="188">
                  <c:v>7.5642498352968232E-5</c:v>
                </c:pt>
                <c:pt idx="189">
                  <c:v>7.5281403227783967E-5</c:v>
                </c:pt>
                <c:pt idx="190">
                  <c:v>7.489980255413555E-5</c:v>
                </c:pt>
                <c:pt idx="191">
                  <c:v>7.454857194503508E-5</c:v>
                </c:pt>
                <c:pt idx="192">
                  <c:v>7.4221914937244667E-5</c:v>
                </c:pt>
                <c:pt idx="193">
                  <c:v>7.3920922777021675E-5</c:v>
                </c:pt>
                <c:pt idx="194">
                  <c:v>7.3646673831164172E-5</c:v>
                </c:pt>
                <c:pt idx="195">
                  <c:v>7.3400233437250333E-5</c:v>
                </c:pt>
                <c:pt idx="196">
                  <c:v>7.3182653994714522E-5</c:v>
                </c:pt>
                <c:pt idx="197">
                  <c:v>7.3076865633728492E-5</c:v>
                </c:pt>
                <c:pt idx="198">
                  <c:v>7.3102659075643242E-5</c:v>
                </c:pt>
                <c:pt idx="199">
                  <c:v>7.3262604981416625E-5</c:v>
                </c:pt>
                <c:pt idx="200">
                  <c:v>7.3559252540931382E-5</c:v>
                </c:pt>
                <c:pt idx="201">
                  <c:v>7.3995137580502599E-5</c:v>
                </c:pt>
                <c:pt idx="202">
                  <c:v>7.4572791001841017E-5</c:v>
                </c:pt>
                <c:pt idx="203">
                  <c:v>7.529474755840907E-5</c:v>
                </c:pt>
                <c:pt idx="204">
                  <c:v>7.6163386280334253E-5</c:v>
                </c:pt>
                <c:pt idx="205">
                  <c:v>7.7180953031381137E-5</c:v>
                </c:pt>
                <c:pt idx="206">
                  <c:v>7.8294732372084682E-5</c:v>
                </c:pt>
                <c:pt idx="207">
                  <c:v>7.9506229145540292E-5</c:v>
                </c:pt>
                <c:pt idx="208">
                  <c:v>8.0816948275692473E-5</c:v>
                </c:pt>
                <c:pt idx="209">
                  <c:v>8.222839567080222E-5</c:v>
                </c:pt>
                <c:pt idx="210">
                  <c:v>8.3742079008032117E-5</c:v>
                </c:pt>
                <c:pt idx="211">
                  <c:v>8.5476854184426255E-5</c:v>
                </c:pt>
                <c:pt idx="212">
                  <c:v>8.7346930562561795E-5</c:v>
                </c:pt>
                <c:pt idx="213">
                  <c:v>8.935395505066599E-5</c:v>
                </c:pt>
                <c:pt idx="214">
                  <c:v>9.1499598753991631E-5</c:v>
                </c:pt>
                <c:pt idx="215">
                  <c:v>9.3785556637580875E-5</c:v>
                </c:pt>
                <c:pt idx="216">
                  <c:v>9.6213546962537703E-5</c:v>
                </c:pt>
                <c:pt idx="217">
                  <c:v>9.8785310520458424E-5</c:v>
                </c:pt>
                <c:pt idx="218">
                  <c:v>1.0150226065072714E-4</c:v>
                </c:pt>
                <c:pt idx="219">
                  <c:v>1.0464448037261638E-4</c:v>
                </c:pt>
                <c:pt idx="220">
                  <c:v>1.0821794824648353E-4</c:v>
                </c:pt>
                <c:pt idx="221">
                  <c:v>1.1222899783714228E-4</c:v>
                </c:pt>
                <c:pt idx="222">
                  <c:v>1.16684156694542E-4</c:v>
                </c:pt>
                <c:pt idx="223">
                  <c:v>1.2159017185608209E-4</c:v>
                </c:pt>
                <c:pt idx="224">
                  <c:v>1.2695403612512923E-4</c:v>
                </c:pt>
                <c:pt idx="225">
                  <c:v>1.3314949305525596E-4</c:v>
                </c:pt>
                <c:pt idx="226">
                  <c:v>1.4006407438116894E-4</c:v>
                </c:pt>
                <c:pt idx="227">
                  <c:v>1.4770937696236504E-4</c:v>
                </c:pt>
                <c:pt idx="228">
                  <c:v>1.5609748532933971E-4</c:v>
                </c:pt>
                <c:pt idx="229">
                  <c:v>1.6524102002003459E-4</c:v>
                </c:pt>
                <c:pt idx="230">
                  <c:v>1.7515318821389913E-4</c:v>
                </c:pt>
                <c:pt idx="231">
                  <c:v>1.8584783697545213E-4</c:v>
                </c:pt>
                <c:pt idx="232">
                  <c:v>1.9733585061369895E-4</c:v>
                </c:pt>
                <c:pt idx="233">
                  <c:v>2.1030939959162324E-4</c:v>
                </c:pt>
                <c:pt idx="234">
                  <c:v>2.2449456602544727E-4</c:v>
                </c:pt>
                <c:pt idx="235">
                  <c:v>2.3991319342442878E-4</c:v>
                </c:pt>
                <c:pt idx="236">
                  <c:v>2.5658819969623918E-4</c:v>
                </c:pt>
                <c:pt idx="237">
                  <c:v>2.7454343666803959E-4</c:v>
                </c:pt>
                <c:pt idx="238">
                  <c:v>2.9380392331666833E-4</c:v>
                </c:pt>
                <c:pt idx="239">
                  <c:v>3.1486492695015957E-4</c:v>
                </c:pt>
                <c:pt idx="240">
                  <c:v>3.3736581227808069E-4</c:v>
                </c:pt>
                <c:pt idx="241">
                  <c:v>3.613373243127522E-4</c:v>
                </c:pt>
                <c:pt idx="242">
                  <c:v>3.8681190003395473E-4</c:v>
                </c:pt>
                <c:pt idx="243">
                  <c:v>4.1382380703796495E-4</c:v>
                </c:pt>
                <c:pt idx="244">
                  <c:v>4.4240929135112947E-4</c:v>
                </c:pt>
                <c:pt idx="245">
                  <c:v>4.7260673566686107E-4</c:v>
                </c:pt>
                <c:pt idx="246">
                  <c:v>5.0446080439702173E-4</c:v>
                </c:pt>
                <c:pt idx="247">
                  <c:v>5.3736491468698287E-4</c:v>
                </c:pt>
                <c:pt idx="248">
                  <c:v>5.7060005096937606E-4</c:v>
                </c:pt>
                <c:pt idx="249">
                  <c:v>6.0417698958524675E-4</c:v>
                </c:pt>
                <c:pt idx="250">
                  <c:v>6.3810581911816569E-4</c:v>
                </c:pt>
                <c:pt idx="251">
                  <c:v>6.7239588415887914E-4</c:v>
                </c:pt>
                <c:pt idx="252">
                  <c:v>7.0705572363849336E-4</c:v>
                </c:pt>
                <c:pt idx="253">
                  <c:v>7.4084296743403308E-4</c:v>
                </c:pt>
                <c:pt idx="254">
                  <c:v>7.7321838329287432E-4</c:v>
                </c:pt>
                <c:pt idx="255">
                  <c:v>8.041467324519429E-4</c:v>
                </c:pt>
                <c:pt idx="256">
                  <c:v>8.3359023368580404E-4</c:v>
                </c:pt>
                <c:pt idx="257">
                  <c:v>8.6150858163299945E-4</c:v>
                </c:pt>
                <c:pt idx="258">
                  <c:v>8.8785897472343982E-4</c:v>
                </c:pt>
                <c:pt idx="259">
                  <c:v>9.1259615403904639E-4</c:v>
                </c:pt>
                <c:pt idx="260">
                  <c:v>9.3574349473901728E-4</c:v>
                </c:pt>
                <c:pt idx="261">
                  <c:v>9.5622561045531607E-4</c:v>
                </c:pt>
                <c:pt idx="262">
                  <c:v>9.7468856333045447E-4</c:v>
                </c:pt>
                <c:pt idx="263">
                  <c:v>9.9106288759766552E-4</c:v>
                </c:pt>
                <c:pt idx="264">
                  <c:v>1.0052741392472121E-3</c:v>
                </c:pt>
                <c:pt idx="265">
                  <c:v>1.0172485631366531E-3</c:v>
                </c:pt>
                <c:pt idx="266">
                  <c:v>1.0269054584582961E-3</c:v>
                </c:pt>
                <c:pt idx="267">
                  <c:v>1.0338622282592299E-3</c:v>
                </c:pt>
                <c:pt idx="268">
                  <c:v>1.0394313882878569E-3</c:v>
                </c:pt>
                <c:pt idx="269">
                  <c:v>1.0435467885735361E-3</c:v>
                </c:pt>
                <c:pt idx="270">
                  <c:v>1.0461399857917232E-3</c:v>
                </c:pt>
                <c:pt idx="271">
                  <c:v>1.0471406132116796E-3</c:v>
                </c:pt>
                <c:pt idx="272">
                  <c:v>1.0464768112109961E-3</c:v>
                </c:pt>
                <c:pt idx="273">
                  <c:v>1.0440757233259267E-3</c:v>
                </c:pt>
                <c:pt idx="274">
                  <c:v>1.0399480848662739E-3</c:v>
                </c:pt>
                <c:pt idx="275">
                  <c:v>1.0377466965037188E-3</c:v>
                </c:pt>
                <c:pt idx="276">
                  <c:v>1.0387617148508263E-3</c:v>
                </c:pt>
                <c:pt idx="277">
                  <c:v>1.043068967854639E-3</c:v>
                </c:pt>
                <c:pt idx="278">
                  <c:v>1.0507452252879607E-3</c:v>
                </c:pt>
                <c:pt idx="279">
                  <c:v>1.0618679825068194E-3</c:v>
                </c:pt>
                <c:pt idx="280">
                  <c:v>1.0765152315765809E-3</c:v>
                </c:pt>
                <c:pt idx="281">
                  <c:v>1.0969553541254136E-3</c:v>
                </c:pt>
                <c:pt idx="282">
                  <c:v>1.1236526907868463E-3</c:v>
                </c:pt>
                <c:pt idx="283">
                  <c:v>1.1567471880689364E-3</c:v>
                </c:pt>
                <c:pt idx="284">
                  <c:v>1.1963782050737463E-3</c:v>
                </c:pt>
                <c:pt idx="285">
                  <c:v>1.242684017795285E-3</c:v>
                </c:pt>
                <c:pt idx="286">
                  <c:v>1.2958013052199551E-3</c:v>
                </c:pt>
                <c:pt idx="287">
                  <c:v>1.3558646176670055E-3</c:v>
                </c:pt>
                <c:pt idx="288">
                  <c:v>1.4230286273376419E-3</c:v>
                </c:pt>
                <c:pt idx="289">
                  <c:v>1.4922242249941215E-3</c:v>
                </c:pt>
                <c:pt idx="290">
                  <c:v>1.5593857225754254E-3</c:v>
                </c:pt>
                <c:pt idx="291">
                  <c:v>1.6244468337290483E-3</c:v>
                </c:pt>
                <c:pt idx="292">
                  <c:v>1.6873421019244796E-3</c:v>
                </c:pt>
                <c:pt idx="293">
                  <c:v>1.7480070143563676E-3</c:v>
                </c:pt>
                <c:pt idx="294">
                  <c:v>1.8063780996541931E-3</c:v>
                </c:pt>
                <c:pt idx="295">
                  <c:v>1.8579073192420089E-3</c:v>
                </c:pt>
                <c:pt idx="296">
                  <c:v>1.8999996592961985E-3</c:v>
                </c:pt>
                <c:pt idx="297">
                  <c:v>1.932460133440261E-3</c:v>
                </c:pt>
                <c:pt idx="298">
                  <c:v>1.9550782093620401E-3</c:v>
                </c:pt>
                <c:pt idx="299">
                  <c:v>1.9676423990391163E-3</c:v>
                </c:pt>
                <c:pt idx="300">
                  <c:v>1.9699398233459222E-3</c:v>
                </c:pt>
                <c:pt idx="301">
                  <c:v>1.961755697812274E-3</c:v>
                </c:pt>
                <c:pt idx="302">
                  <c:v>1.9429519427989579E-3</c:v>
                </c:pt>
                <c:pt idx="303">
                  <c:v>1.9130608097120984E-3</c:v>
                </c:pt>
                <c:pt idx="304">
                  <c:v>1.8776552123773388E-3</c:v>
                </c:pt>
                <c:pt idx="305">
                  <c:v>1.8365868665704396E-3</c:v>
                </c:pt>
                <c:pt idx="306">
                  <c:v>1.7897042855022805E-3</c:v>
                </c:pt>
                <c:pt idx="307">
                  <c:v>1.7368533863936109E-3</c:v>
                </c:pt>
                <c:pt idx="308">
                  <c:v>1.6778782110057971E-3</c:v>
                </c:pt>
                <c:pt idx="309">
                  <c:v>1.6146526171380493E-3</c:v>
                </c:pt>
                <c:pt idx="310">
                  <c:v>1.552078613737838E-3</c:v>
                </c:pt>
                <c:pt idx="311">
                  <c:v>1.490161078770861E-3</c:v>
                </c:pt>
                <c:pt idx="312">
                  <c:v>1.428907749218937E-3</c:v>
                </c:pt>
                <c:pt idx="313">
                  <c:v>1.3683293518186993E-3</c:v>
                </c:pt>
                <c:pt idx="314">
                  <c:v>1.3084397440111808E-3</c:v>
                </c:pt>
                <c:pt idx="315">
                  <c:v>1.2492560608925412E-3</c:v>
                </c:pt>
                <c:pt idx="316">
                  <c:v>1.1909343223950703E-3</c:v>
                </c:pt>
                <c:pt idx="317">
                  <c:v>1.1357795954274358E-3</c:v>
                </c:pt>
                <c:pt idx="318">
                  <c:v>1.0841693579328165E-3</c:v>
                </c:pt>
                <c:pt idx="319">
                  <c:v>1.0361574105531813E-3</c:v>
                </c:pt>
                <c:pt idx="320">
                  <c:v>9.9180263103465223E-4</c:v>
                </c:pt>
                <c:pt idx="321">
                  <c:v>9.5116845409889733E-4</c:v>
                </c:pt>
                <c:pt idx="322">
                  <c:v>9.1432224887851488E-4</c:v>
                </c:pt>
                <c:pt idx="323">
                  <c:v>8.8177197714451173E-4</c:v>
                </c:pt>
                <c:pt idx="324">
                  <c:v>8.5133090129175008E-4</c:v>
                </c:pt>
                <c:pt idx="325">
                  <c:v>8.230341049955544E-4</c:v>
                </c:pt>
                <c:pt idx="326">
                  <c:v>7.9691318267869878E-4</c:v>
                </c:pt>
                <c:pt idx="327">
                  <c:v>7.7300443346569258E-4</c:v>
                </c:pt>
                <c:pt idx="328">
                  <c:v>7.5134836024638621E-4</c:v>
                </c:pt>
                <c:pt idx="329">
                  <c:v>7.3198463549532182E-4</c:v>
                </c:pt>
                <c:pt idx="330">
                  <c:v>7.1504749568864487E-4</c:v>
                </c:pt>
                <c:pt idx="331">
                  <c:v>7.010346546701162E-4</c:v>
                </c:pt>
                <c:pt idx="332">
                  <c:v>6.8758155399438318E-4</c:v>
                </c:pt>
                <c:pt idx="333">
                  <c:v>6.7468498129406699E-4</c:v>
                </c:pt>
                <c:pt idx="334">
                  <c:v>6.6234201697692226E-4</c:v>
                </c:pt>
                <c:pt idx="335">
                  <c:v>6.5054997659735989E-4</c:v>
                </c:pt>
                <c:pt idx="336">
                  <c:v>6.3930634390930551E-4</c:v>
                </c:pt>
                <c:pt idx="337">
                  <c:v>6.2916903082425207E-4</c:v>
                </c:pt>
                <c:pt idx="338">
                  <c:v>6.1966528497608823E-4</c:v>
                </c:pt>
                <c:pt idx="339">
                  <c:v>6.1079301256549334E-4</c:v>
                </c:pt>
                <c:pt idx="340">
                  <c:v>6.0254962690481145E-4</c:v>
                </c:pt>
                <c:pt idx="341">
                  <c:v>5.9493189795164656E-4</c:v>
                </c:pt>
                <c:pt idx="342">
                  <c:v>5.8793579677031231E-4</c:v>
                </c:pt>
                <c:pt idx="343">
                  <c:v>5.8155633911951079E-4</c:v>
                </c:pt>
                <c:pt idx="344">
                  <c:v>5.7576191656642621E-4</c:v>
                </c:pt>
                <c:pt idx="345">
                  <c:v>5.7055158846064239E-4</c:v>
                </c:pt>
                <c:pt idx="346">
                  <c:v>5.6572634774983729E-4</c:v>
                </c:pt>
                <c:pt idx="347">
                  <c:v>5.6132186502165342E-4</c:v>
                </c:pt>
                <c:pt idx="348">
                  <c:v>5.5737188015740017E-4</c:v>
                </c:pt>
                <c:pt idx="349">
                  <c:v>5.5390821466294268E-4</c:v>
                </c:pt>
                <c:pt idx="350">
                  <c:v>5.5096083403785383E-4</c:v>
                </c:pt>
                <c:pt idx="351">
                  <c:v>5.4870796579096234E-4</c:v>
                </c:pt>
                <c:pt idx="352">
                  <c:v>5.4660692082562164E-4</c:v>
                </c:pt>
                <c:pt idx="353">
                  <c:v>5.4468585873170515E-4</c:v>
                </c:pt>
                <c:pt idx="354">
                  <c:v>5.4297222057574058E-4</c:v>
                </c:pt>
                <c:pt idx="355">
                  <c:v>5.4149276046944021E-4</c:v>
                </c:pt>
                <c:pt idx="356">
                  <c:v>5.402709486080436E-4</c:v>
                </c:pt>
                <c:pt idx="357">
                  <c:v>5.3933434643641551E-4</c:v>
                </c:pt>
                <c:pt idx="358">
                  <c:v>5.3867203836672009E-4</c:v>
                </c:pt>
                <c:pt idx="359">
                  <c:v>5.3824369165804474E-4</c:v>
                </c:pt>
                <c:pt idx="360">
                  <c:v>5.3858387887771369E-4</c:v>
                </c:pt>
                <c:pt idx="361">
                  <c:v>5.3952025644798452E-4</c:v>
                </c:pt>
                <c:pt idx="362">
                  <c:v>5.4102742594150008E-4</c:v>
                </c:pt>
                <c:pt idx="363">
                  <c:v>5.4307953520855892E-4</c:v>
                </c:pt>
                <c:pt idx="364">
                  <c:v>5.4565016315028751E-4</c:v>
                </c:pt>
                <c:pt idx="365">
                  <c:v>5.4871222705292076E-4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1624"/>
        <c:axId val="611442016"/>
      </c:lineChart>
      <c:dateAx>
        <c:axId val="6114416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2016"/>
        <c:crosses val="autoZero"/>
        <c:auto val="1"/>
        <c:lblOffset val="100"/>
        <c:baseTimeUnit val="days"/>
        <c:majorUnit val="1"/>
        <c:majorTimeUnit val="months"/>
      </c:dateAx>
      <c:valAx>
        <c:axId val="6114420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1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18.149485049533226</c:v>
                </c:pt>
                <c:pt idx="1">
                  <c:v>18.23447018528908</c:v>
                </c:pt>
                <c:pt idx="2">
                  <c:v>18.326974849687328</c:v>
                </c:pt>
                <c:pt idx="3">
                  <c:v>18.42752511916019</c:v>
                </c:pt>
                <c:pt idx="4">
                  <c:v>18.536646747066907</c:v>
                </c:pt>
                <c:pt idx="5">
                  <c:v>18.65486516834612</c:v>
                </c:pt>
                <c:pt idx="6">
                  <c:v>18.782705499302466</c:v>
                </c:pt>
                <c:pt idx="7">
                  <c:v>18.920692537039322</c:v>
                </c:pt>
                <c:pt idx="8">
                  <c:v>19.068876095862091</c:v>
                </c:pt>
                <c:pt idx="9">
                  <c:v>19.226660355012452</c:v>
                </c:pt>
                <c:pt idx="10">
                  <c:v>19.393616438459183</c:v>
                </c:pt>
                <c:pt idx="11">
                  <c:v>19.569309592515385</c:v>
                </c:pt>
                <c:pt idx="12">
                  <c:v>19.753305271860093</c:v>
                </c:pt>
                <c:pt idx="13">
                  <c:v>19.945169139053963</c:v>
                </c:pt>
                <c:pt idx="14">
                  <c:v>20.144467073807633</c:v>
                </c:pt>
                <c:pt idx="15">
                  <c:v>20.350734854128504</c:v>
                </c:pt>
                <c:pt idx="16">
                  <c:v>20.563543014678171</c:v>
                </c:pt>
                <c:pt idx="17">
                  <c:v>20.782458086576742</c:v>
                </c:pt>
                <c:pt idx="18">
                  <c:v>21.007046831410765</c:v>
                </c:pt>
                <c:pt idx="19">
                  <c:v>21.23687618529625</c:v>
                </c:pt>
                <c:pt idx="20">
                  <c:v>21.47151328830023</c:v>
                </c:pt>
                <c:pt idx="21">
                  <c:v>21.710525540094451</c:v>
                </c:pt>
                <c:pt idx="22">
                  <c:v>21.9554214283331</c:v>
                </c:pt>
                <c:pt idx="23">
                  <c:v>22.207700981550801</c:v>
                </c:pt>
                <c:pt idx="24">
                  <c:v>22.46696800172877</c:v>
                </c:pt>
                <c:pt idx="25">
                  <c:v>22.732820662924748</c:v>
                </c:pt>
                <c:pt idx="26">
                  <c:v>23.004857363925982</c:v>
                </c:pt>
                <c:pt idx="27">
                  <c:v>23.2826767330879</c:v>
                </c:pt>
                <c:pt idx="28">
                  <c:v>23.565877621888973</c:v>
                </c:pt>
                <c:pt idx="29">
                  <c:v>23.854068428531367</c:v>
                </c:pt>
                <c:pt idx="30">
                  <c:v>24.146878758539273</c:v>
                </c:pt>
                <c:pt idx="31">
                  <c:v>24.443908154281647</c:v>
                </c:pt>
                <c:pt idx="32">
                  <c:v>24.744756392226162</c:v>
                </c:pt>
                <c:pt idx="33">
                  <c:v>25.049023483337624</c:v>
                </c:pt>
                <c:pt idx="34">
                  <c:v>25.356309678980633</c:v>
                </c:pt>
                <c:pt idx="35">
                  <c:v>25.666215467347318</c:v>
                </c:pt>
                <c:pt idx="36">
                  <c:v>25.9799846269628</c:v>
                </c:pt>
                <c:pt idx="37">
                  <c:v>26.298998283234493</c:v>
                </c:pt>
                <c:pt idx="38">
                  <c:v>26.622984417760705</c:v>
                </c:pt>
                <c:pt idx="39">
                  <c:v>26.951642625150303</c:v>
                </c:pt>
                <c:pt idx="40">
                  <c:v>27.284672685033534</c:v>
                </c:pt>
                <c:pt idx="41">
                  <c:v>27.621774563877658</c:v>
                </c:pt>
                <c:pt idx="42">
                  <c:v>27.96264840992167</c:v>
                </c:pt>
                <c:pt idx="43">
                  <c:v>28.307074028816253</c:v>
                </c:pt>
                <c:pt idx="44">
                  <c:v>28.654742671966659</c:v>
                </c:pt>
                <c:pt idx="45">
                  <c:v>29.005355057889105</c:v>
                </c:pt>
                <c:pt idx="46">
                  <c:v>29.358612078123627</c:v>
                </c:pt>
                <c:pt idx="47">
                  <c:v>29.714214796106443</c:v>
                </c:pt>
                <c:pt idx="48">
                  <c:v>30.071864442894498</c:v>
                </c:pt>
                <c:pt idx="49">
                  <c:v>30.431262410679654</c:v>
                </c:pt>
                <c:pt idx="50">
                  <c:v>30.793286393135997</c:v>
                </c:pt>
                <c:pt idx="51">
                  <c:v>31.158839628714496</c:v>
                </c:pt>
                <c:pt idx="52">
                  <c:v>31.527650765407898</c:v>
                </c:pt>
                <c:pt idx="53">
                  <c:v>31.899520227600849</c:v>
                </c:pt>
                <c:pt idx="54">
                  <c:v>32.274248370579983</c:v>
                </c:pt>
                <c:pt idx="55">
                  <c:v>32.651635614583022</c:v>
                </c:pt>
                <c:pt idx="56">
                  <c:v>33.031482436263595</c:v>
                </c:pt>
                <c:pt idx="57">
                  <c:v>33.413528324131093</c:v>
                </c:pt>
                <c:pt idx="58">
                  <c:v>33.797494013657854</c:v>
                </c:pt>
                <c:pt idx="59">
                  <c:v>34.183179966773459</c:v>
                </c:pt>
                <c:pt idx="60">
                  <c:v>34.57038667161833</c:v>
                </c:pt>
                <c:pt idx="61">
                  <c:v>34.958914639555218</c:v>
                </c:pt>
                <c:pt idx="62">
                  <c:v>35.348564396186823</c:v>
                </c:pt>
                <c:pt idx="63">
                  <c:v>35.73913648129421</c:v>
                </c:pt>
                <c:pt idx="64">
                  <c:v>36.131357386283405</c:v>
                </c:pt>
                <c:pt idx="65">
                  <c:v>36.525963646961948</c:v>
                </c:pt>
                <c:pt idx="66">
                  <c:v>36.922795467773753</c:v>
                </c:pt>
                <c:pt idx="67">
                  <c:v>37.32165269887718</c:v>
                </c:pt>
                <c:pt idx="68">
                  <c:v>37.722335189260932</c:v>
                </c:pt>
                <c:pt idx="69">
                  <c:v>38.124642779485342</c:v>
                </c:pt>
                <c:pt idx="70">
                  <c:v>38.52837530254687</c:v>
                </c:pt>
                <c:pt idx="71">
                  <c:v>38.933352656227143</c:v>
                </c:pt>
                <c:pt idx="72">
                  <c:v>39.339436222054836</c:v>
                </c:pt>
                <c:pt idx="73">
                  <c:v>39.746425997367439</c:v>
                </c:pt>
                <c:pt idx="74">
                  <c:v>40.154121989080039</c:v>
                </c:pt>
                <c:pt idx="75">
                  <c:v>40.562324219052428</c:v>
                </c:pt>
                <c:pt idx="76">
                  <c:v>40.970832724263367</c:v>
                </c:pt>
                <c:pt idx="77">
                  <c:v>41.379447563415312</c:v>
                </c:pt>
                <c:pt idx="78">
                  <c:v>41.791896821521931</c:v>
                </c:pt>
                <c:pt idx="79">
                  <c:v>42.211003230818925</c:v>
                </c:pt>
                <c:pt idx="80">
                  <c:v>42.635167707696709</c:v>
                </c:pt>
                <c:pt idx="81">
                  <c:v>43.062802511649139</c:v>
                </c:pt>
                <c:pt idx="82">
                  <c:v>43.492320694669168</c:v>
                </c:pt>
                <c:pt idx="83">
                  <c:v>43.922136110104283</c:v>
                </c:pt>
                <c:pt idx="84">
                  <c:v>44.350663425376347</c:v>
                </c:pt>
                <c:pt idx="85">
                  <c:v>44.776330525714116</c:v>
                </c:pt>
                <c:pt idx="86">
                  <c:v>45.197533365533062</c:v>
                </c:pt>
                <c:pt idx="87">
                  <c:v>45.61268911510485</c:v>
                </c:pt>
                <c:pt idx="88">
                  <c:v>46.020215821021715</c:v>
                </c:pt>
                <c:pt idx="89">
                  <c:v>46.418532422740832</c:v>
                </c:pt>
                <c:pt idx="90">
                  <c:v>46.806058776847081</c:v>
                </c:pt>
                <c:pt idx="91">
                  <c:v>47.181215673407301</c:v>
                </c:pt>
                <c:pt idx="92">
                  <c:v>47.546592418102421</c:v>
                </c:pt>
                <c:pt idx="93">
                  <c:v>47.905754879540744</c:v>
                </c:pt>
                <c:pt idx="94">
                  <c:v>48.258583047187678</c:v>
                </c:pt>
                <c:pt idx="95">
                  <c:v>48.604978527809045</c:v>
                </c:pt>
                <c:pt idx="96">
                  <c:v>48.944843023085518</c:v>
                </c:pt>
                <c:pt idx="97">
                  <c:v>49.27807834758454</c:v>
                </c:pt>
                <c:pt idx="98">
                  <c:v>49.604586428647174</c:v>
                </c:pt>
                <c:pt idx="99">
                  <c:v>49.924253395688162</c:v>
                </c:pt>
                <c:pt idx="100">
                  <c:v>50.236968270277991</c:v>
                </c:pt>
                <c:pt idx="101">
                  <c:v>50.542633006759701</c:v>
                </c:pt>
                <c:pt idx="102">
                  <c:v>50.841149680047742</c:v>
                </c:pt>
                <c:pt idx="103">
                  <c:v>51.132420483744504</c:v>
                </c:pt>
                <c:pt idx="104">
                  <c:v>51.416347744385433</c:v>
                </c:pt>
                <c:pt idx="105">
                  <c:v>51.692833919203146</c:v>
                </c:pt>
                <c:pt idx="106">
                  <c:v>51.961814493254394</c:v>
                </c:pt>
                <c:pt idx="107">
                  <c:v>52.223346942644149</c:v>
                </c:pt>
                <c:pt idx="108">
                  <c:v>52.477542041480142</c:v>
                </c:pt>
                <c:pt idx="109">
                  <c:v>52.724499869844337</c:v>
                </c:pt>
                <c:pt idx="110">
                  <c:v>52.964320540677868</c:v>
                </c:pt>
                <c:pt idx="111">
                  <c:v>53.197104214785305</c:v>
                </c:pt>
                <c:pt idx="112">
                  <c:v>53.422951133491054</c:v>
                </c:pt>
                <c:pt idx="113">
                  <c:v>53.641953694519273</c:v>
                </c:pt>
                <c:pt idx="114">
                  <c:v>53.854229283325218</c:v>
                </c:pt>
                <c:pt idx="115">
                  <c:v>54.059878527296149</c:v>
                </c:pt>
                <c:pt idx="116">
                  <c:v>54.259002144847507</c:v>
                </c:pt>
                <c:pt idx="117">
                  <c:v>54.451700953391757</c:v>
                </c:pt>
                <c:pt idx="118">
                  <c:v>54.638075875824889</c:v>
                </c:pt>
                <c:pt idx="119">
                  <c:v>54.818227943810022</c:v>
                </c:pt>
                <c:pt idx="120">
                  <c:v>54.991585900251081</c:v>
                </c:pt>
                <c:pt idx="121">
                  <c:v>55.157640841000415</c:v>
                </c:pt>
                <c:pt idx="122">
                  <c:v>55.316603656775165</c:v>
                </c:pt>
                <c:pt idx="123">
                  <c:v>55.468675012611463</c:v>
                </c:pt>
                <c:pt idx="124">
                  <c:v>55.614055655476108</c:v>
                </c:pt>
                <c:pt idx="125">
                  <c:v>55.752946418849945</c:v>
                </c:pt>
                <c:pt idx="126">
                  <c:v>55.885548219116792</c:v>
                </c:pt>
                <c:pt idx="127">
                  <c:v>56.012062113346133</c:v>
                </c:pt>
                <c:pt idx="128">
                  <c:v>56.132697946875204</c:v>
                </c:pt>
                <c:pt idx="129">
                  <c:v>56.247657103232754</c:v>
                </c:pt>
                <c:pt idx="130">
                  <c:v>56.357141065928417</c:v>
                </c:pt>
                <c:pt idx="131">
                  <c:v>56.461351408058412</c:v>
                </c:pt>
                <c:pt idx="132">
                  <c:v>56.560489796322287</c:v>
                </c:pt>
                <c:pt idx="133">
                  <c:v>56.654757980293546</c:v>
                </c:pt>
                <c:pt idx="134">
                  <c:v>56.743229086121715</c:v>
                </c:pt>
                <c:pt idx="135">
                  <c:v>56.825040035004314</c:v>
                </c:pt>
                <c:pt idx="136">
                  <c:v>56.900496351043181</c:v>
                </c:pt>
                <c:pt idx="137">
                  <c:v>56.969899374272067</c:v>
                </c:pt>
                <c:pt idx="138">
                  <c:v>57.033550428000282</c:v>
                </c:pt>
                <c:pt idx="139">
                  <c:v>57.091750797732281</c:v>
                </c:pt>
                <c:pt idx="140">
                  <c:v>57.144801729054045</c:v>
                </c:pt>
                <c:pt idx="141">
                  <c:v>57.193002398849814</c:v>
                </c:pt>
                <c:pt idx="142">
                  <c:v>57.236653825803906</c:v>
                </c:pt>
                <c:pt idx="143">
                  <c:v>57.276056985384059</c:v>
                </c:pt>
                <c:pt idx="144">
                  <c:v>57.311512723905743</c:v>
                </c:pt>
                <c:pt idx="145">
                  <c:v>57.343321761701361</c:v>
                </c:pt>
                <c:pt idx="146">
                  <c:v>57.371784680172709</c:v>
                </c:pt>
                <c:pt idx="147">
                  <c:v>57.397201895179279</c:v>
                </c:pt>
                <c:pt idx="148">
                  <c:v>57.418503282544094</c:v>
                </c:pt>
                <c:pt idx="149">
                  <c:v>57.434620376648795</c:v>
                </c:pt>
                <c:pt idx="150">
                  <c:v>57.445857671706939</c:v>
                </c:pt>
                <c:pt idx="151">
                  <c:v>57.4525164635983</c:v>
                </c:pt>
                <c:pt idx="152">
                  <c:v>57.45489778024394</c:v>
                </c:pt>
                <c:pt idx="153">
                  <c:v>57.453302365968597</c:v>
                </c:pt>
                <c:pt idx="154">
                  <c:v>57.448030663900603</c:v>
                </c:pt>
                <c:pt idx="155">
                  <c:v>57.439382551727022</c:v>
                </c:pt>
                <c:pt idx="156">
                  <c:v>57.427660087614463</c:v>
                </c:pt>
                <c:pt idx="157">
                  <c:v>57.413162727102197</c:v>
                </c:pt>
                <c:pt idx="158">
                  <c:v>57.396189546548428</c:v>
                </c:pt>
                <c:pt idx="159">
                  <c:v>57.377039226822035</c:v>
                </c:pt>
                <c:pt idx="160">
                  <c:v>57.356010037183871</c:v>
                </c:pt>
                <c:pt idx="161">
                  <c:v>57.33339982079454</c:v>
                </c:pt>
                <c:pt idx="162">
                  <c:v>57.30856227932842</c:v>
                </c:pt>
                <c:pt idx="163">
                  <c:v>57.280723492621703</c:v>
                </c:pt>
                <c:pt idx="164">
                  <c:v>57.249985047515985</c:v>
                </c:pt>
                <c:pt idx="165">
                  <c:v>57.21644903775934</c:v>
                </c:pt>
                <c:pt idx="166">
                  <c:v>57.180217198919287</c:v>
                </c:pt>
                <c:pt idx="167">
                  <c:v>57.141390901581914</c:v>
                </c:pt>
                <c:pt idx="168">
                  <c:v>57.100071140711655</c:v>
                </c:pt>
                <c:pt idx="169">
                  <c:v>57.056360928952408</c:v>
                </c:pt>
                <c:pt idx="170">
                  <c:v>57.010360860465461</c:v>
                </c:pt>
                <c:pt idx="171">
                  <c:v>56.962170850644988</c:v>
                </c:pt>
                <c:pt idx="172">
                  <c:v>56.911890427962454</c:v>
                </c:pt>
                <c:pt idx="173">
                  <c:v>56.859618783776639</c:v>
                </c:pt>
                <c:pt idx="174">
                  <c:v>56.805454734271429</c:v>
                </c:pt>
                <c:pt idx="175">
                  <c:v>56.749496676521694</c:v>
                </c:pt>
                <c:pt idx="176">
                  <c:v>56.692021196156844</c:v>
                </c:pt>
                <c:pt idx="177">
                  <c:v>56.633109311239522</c:v>
                </c:pt>
                <c:pt idx="178">
                  <c:v>56.57256364737637</c:v>
                </c:pt>
                <c:pt idx="179">
                  <c:v>56.510189167320604</c:v>
                </c:pt>
                <c:pt idx="180">
                  <c:v>56.445790690431295</c:v>
                </c:pt>
                <c:pt idx="181">
                  <c:v>56.379172904876278</c:v>
                </c:pt>
                <c:pt idx="182">
                  <c:v>56.310140378465483</c:v>
                </c:pt>
                <c:pt idx="183">
                  <c:v>56.238498500280819</c:v>
                </c:pt>
                <c:pt idx="184">
                  <c:v>56.164049037243345</c:v>
                </c:pt>
                <c:pt idx="185">
                  <c:v>56.086596248439911</c:v>
                </c:pt>
                <c:pt idx="186">
                  <c:v>56.00594432987225</c:v>
                </c:pt>
                <c:pt idx="187">
                  <c:v>55.921897433797653</c:v>
                </c:pt>
                <c:pt idx="188">
                  <c:v>55.834259681415233</c:v>
                </c:pt>
                <c:pt idx="189">
                  <c:v>55.742835183500667</c:v>
                </c:pt>
                <c:pt idx="190">
                  <c:v>55.648124600759218</c:v>
                </c:pt>
                <c:pt idx="191">
                  <c:v>55.550690181290541</c:v>
                </c:pt>
                <c:pt idx="192">
                  <c:v>55.450433055138326</c:v>
                </c:pt>
                <c:pt idx="193">
                  <c:v>55.347253987575407</c:v>
                </c:pt>
                <c:pt idx="194">
                  <c:v>55.241053782318282</c:v>
                </c:pt>
                <c:pt idx="195">
                  <c:v>55.131733298421011</c:v>
                </c:pt>
                <c:pt idx="196">
                  <c:v>55.019193465222521</c:v>
                </c:pt>
                <c:pt idx="197">
                  <c:v>54.903330807237587</c:v>
                </c:pt>
                <c:pt idx="198">
                  <c:v>54.78404544506715</c:v>
                </c:pt>
                <c:pt idx="199">
                  <c:v>54.661238570437469</c:v>
                </c:pt>
                <c:pt idx="200">
                  <c:v>54.534811509051565</c:v>
                </c:pt>
                <c:pt idx="201">
                  <c:v>54.404665727292944</c:v>
                </c:pt>
                <c:pt idx="202">
                  <c:v>54.270702852696836</c:v>
                </c:pt>
                <c:pt idx="203">
                  <c:v>54.132824674071671</c:v>
                </c:pt>
                <c:pt idx="204">
                  <c:v>53.990965497320296</c:v>
                </c:pt>
                <c:pt idx="205">
                  <c:v>53.845189131668043</c:v>
                </c:pt>
                <c:pt idx="206">
                  <c:v>53.695594771210757</c:v>
                </c:pt>
                <c:pt idx="207">
                  <c:v>53.542278764965403</c:v>
                </c:pt>
                <c:pt idx="208">
                  <c:v>53.385337562752945</c:v>
                </c:pt>
                <c:pt idx="209">
                  <c:v>53.224867711008912</c:v>
                </c:pt>
                <c:pt idx="210">
                  <c:v>53.060965855264307</c:v>
                </c:pt>
                <c:pt idx="211">
                  <c:v>52.893722535531928</c:v>
                </c:pt>
                <c:pt idx="212">
                  <c:v>52.723239259903451</c:v>
                </c:pt>
                <c:pt idx="213">
                  <c:v>52.549612975520319</c:v>
                </c:pt>
                <c:pt idx="214">
                  <c:v>52.372940724750507</c:v>
                </c:pt>
                <c:pt idx="215">
                  <c:v>52.193319634751994</c:v>
                </c:pt>
                <c:pt idx="216">
                  <c:v>52.010846914796737</c:v>
                </c:pt>
                <c:pt idx="217">
                  <c:v>51.825619848259102</c:v>
                </c:pt>
                <c:pt idx="218">
                  <c:v>51.637913355368745</c:v>
                </c:pt>
                <c:pt idx="219">
                  <c:v>51.447794329227321</c:v>
                </c:pt>
                <c:pt idx="220">
                  <c:v>51.255069666512142</c:v>
                </c:pt>
                <c:pt idx="221">
                  <c:v>51.059546440478812</c:v>
                </c:pt>
                <c:pt idx="222">
                  <c:v>50.86103190226018</c:v>
                </c:pt>
                <c:pt idx="223">
                  <c:v>50.659333472648527</c:v>
                </c:pt>
                <c:pt idx="224">
                  <c:v>50.454258732924586</c:v>
                </c:pt>
                <c:pt idx="225">
                  <c:v>50.245597002446047</c:v>
                </c:pt>
                <c:pt idx="226">
                  <c:v>50.03316239720521</c:v>
                </c:pt>
                <c:pt idx="227">
                  <c:v>49.816762912803483</c:v>
                </c:pt>
                <c:pt idx="228">
                  <c:v>49.59620667689898</c:v>
                </c:pt>
                <c:pt idx="229">
                  <c:v>49.371301941147351</c:v>
                </c:pt>
                <c:pt idx="230">
                  <c:v>49.141857078462955</c:v>
                </c:pt>
                <c:pt idx="231">
                  <c:v>48.907680572611959</c:v>
                </c:pt>
                <c:pt idx="232">
                  <c:v>48.669483539139151</c:v>
                </c:pt>
                <c:pt idx="233">
                  <c:v>48.427943782521524</c:v>
                </c:pt>
                <c:pt idx="234">
                  <c:v>48.182883895532704</c:v>
                </c:pt>
                <c:pt idx="235">
                  <c:v>47.934112148747829</c:v>
                </c:pt>
                <c:pt idx="236">
                  <c:v>47.681436912834378</c:v>
                </c:pt>
                <c:pt idx="237">
                  <c:v>47.424666661044036</c:v>
                </c:pt>
                <c:pt idx="238">
                  <c:v>47.163609964557565</c:v>
                </c:pt>
                <c:pt idx="239">
                  <c:v>46.898053487259297</c:v>
                </c:pt>
                <c:pt idx="240">
                  <c:v>46.627824477498287</c:v>
                </c:pt>
                <c:pt idx="241">
                  <c:v>46.35273178745171</c:v>
                </c:pt>
                <c:pt idx="242">
                  <c:v>46.07258435941111</c:v>
                </c:pt>
                <c:pt idx="243">
                  <c:v>45.787191226253213</c:v>
                </c:pt>
                <c:pt idx="244">
                  <c:v>45.496361519606666</c:v>
                </c:pt>
                <c:pt idx="245">
                  <c:v>45.199904453377833</c:v>
                </c:pt>
                <c:pt idx="246">
                  <c:v>44.897275309349169</c:v>
                </c:pt>
                <c:pt idx="247">
                  <c:v>44.588344788116096</c:v>
                </c:pt>
                <c:pt idx="248">
                  <c:v>44.273534647268654</c:v>
                </c:pt>
                <c:pt idx="249">
                  <c:v>43.953233452821145</c:v>
                </c:pt>
                <c:pt idx="250">
                  <c:v>43.627829602955877</c:v>
                </c:pt>
                <c:pt idx="251">
                  <c:v>43.297711330606639</c:v>
                </c:pt>
                <c:pt idx="252">
                  <c:v>42.963266712125581</c:v>
                </c:pt>
                <c:pt idx="253">
                  <c:v>42.624936983973029</c:v>
                </c:pt>
                <c:pt idx="254">
                  <c:v>42.283131723927234</c:v>
                </c:pt>
                <c:pt idx="255">
                  <c:v>41.938238383881121</c:v>
                </c:pt>
                <c:pt idx="256">
                  <c:v>41.590644228726141</c:v>
                </c:pt>
                <c:pt idx="257">
                  <c:v>41.240736339888983</c:v>
                </c:pt>
                <c:pt idx="258">
                  <c:v>40.888901611099762</c:v>
                </c:pt>
                <c:pt idx="259">
                  <c:v>40.535526745288486</c:v>
                </c:pt>
                <c:pt idx="260">
                  <c:v>40.177944918311745</c:v>
                </c:pt>
                <c:pt idx="261">
                  <c:v>39.813919543211767</c:v>
                </c:pt>
                <c:pt idx="262">
                  <c:v>39.444387790061761</c:v>
                </c:pt>
                <c:pt idx="263">
                  <c:v>39.070315191085577</c:v>
                </c:pt>
                <c:pt idx="264">
                  <c:v>38.692666818109487</c:v>
                </c:pt>
                <c:pt idx="265">
                  <c:v>38.31240707834597</c:v>
                </c:pt>
                <c:pt idx="266">
                  <c:v>37.930500028455882</c:v>
                </c:pt>
                <c:pt idx="267">
                  <c:v>37.547920467790348</c:v>
                </c:pt>
                <c:pt idx="268">
                  <c:v>37.16557909239868</c:v>
                </c:pt>
                <c:pt idx="269">
                  <c:v>36.784438945538383</c:v>
                </c:pt>
                <c:pt idx="270">
                  <c:v>36.405462645606136</c:v>
                </c:pt>
                <c:pt idx="271">
                  <c:v>36.029612390421526</c:v>
                </c:pt>
                <c:pt idx="272">
                  <c:v>35.657849965732005</c:v>
                </c:pt>
                <c:pt idx="273">
                  <c:v>35.291136748647148</c:v>
                </c:pt>
                <c:pt idx="274">
                  <c:v>34.927608559360365</c:v>
                </c:pt>
                <c:pt idx="275">
                  <c:v>34.564762550046908</c:v>
                </c:pt>
                <c:pt idx="276">
                  <c:v>34.202747885713364</c:v>
                </c:pt>
                <c:pt idx="277">
                  <c:v>33.841756530397255</c:v>
                </c:pt>
                <c:pt idx="278">
                  <c:v>33.481980308929501</c:v>
                </c:pt>
                <c:pt idx="279">
                  <c:v>33.12361090657042</c:v>
                </c:pt>
                <c:pt idx="280">
                  <c:v>32.766839872216565</c:v>
                </c:pt>
                <c:pt idx="281">
                  <c:v>32.411787557603027</c:v>
                </c:pt>
                <c:pt idx="282">
                  <c:v>32.05863517403813</c:v>
                </c:pt>
                <c:pt idx="283">
                  <c:v>31.707574607533754</c:v>
                </c:pt>
                <c:pt idx="284">
                  <c:v>31.358797670411828</c:v>
                </c:pt>
                <c:pt idx="285">
                  <c:v>31.012496106880601</c:v>
                </c:pt>
                <c:pt idx="286">
                  <c:v>30.668861597300669</c:v>
                </c:pt>
                <c:pt idx="287">
                  <c:v>30.328085765743428</c:v>
                </c:pt>
                <c:pt idx="288">
                  <c:v>29.98987900768115</c:v>
                </c:pt>
                <c:pt idx="289">
                  <c:v>29.653978854918204</c:v>
                </c:pt>
                <c:pt idx="290">
                  <c:v>29.320502956945631</c:v>
                </c:pt>
                <c:pt idx="291">
                  <c:v>28.989447350825202</c:v>
                </c:pt>
                <c:pt idx="292">
                  <c:v>28.660807909015016</c:v>
                </c:pt>
                <c:pt idx="293">
                  <c:v>28.3345803487795</c:v>
                </c:pt>
                <c:pt idx="294">
                  <c:v>28.010760244954685</c:v>
                </c:pt>
                <c:pt idx="295">
                  <c:v>27.689467477622241</c:v>
                </c:pt>
                <c:pt idx="296">
                  <c:v>27.370762578397596</c:v>
                </c:pt>
                <c:pt idx="297">
                  <c:v>27.054637813416893</c:v>
                </c:pt>
                <c:pt idx="298">
                  <c:v>26.74108574128342</c:v>
                </c:pt>
                <c:pt idx="299">
                  <c:v>26.430098820592807</c:v>
                </c:pt>
                <c:pt idx="300">
                  <c:v>26.121669436946437</c:v>
                </c:pt>
                <c:pt idx="301">
                  <c:v>25.815789934675877</c:v>
                </c:pt>
                <c:pt idx="302">
                  <c:v>25.511410622920021</c:v>
                </c:pt>
                <c:pt idx="303">
                  <c:v>25.207810168687605</c:v>
                </c:pt>
                <c:pt idx="304">
                  <c:v>24.905316071774362</c:v>
                </c:pt>
                <c:pt idx="305">
                  <c:v>24.604403765509179</c:v>
                </c:pt>
                <c:pt idx="306">
                  <c:v>24.305548751010111</c:v>
                </c:pt>
                <c:pt idx="307">
                  <c:v>24.009226620722188</c:v>
                </c:pt>
                <c:pt idx="308">
                  <c:v>23.715913082670586</c:v>
                </c:pt>
                <c:pt idx="309">
                  <c:v>23.426036329724905</c:v>
                </c:pt>
                <c:pt idx="310">
                  <c:v>23.139956868122137</c:v>
                </c:pt>
                <c:pt idx="311">
                  <c:v>22.85815319335001</c:v>
                </c:pt>
                <c:pt idx="312">
                  <c:v>22.581103946382893</c:v>
                </c:pt>
                <c:pt idx="313">
                  <c:v>22.309287914966685</c:v>
                </c:pt>
                <c:pt idx="314">
                  <c:v>22.043184027876251</c:v>
                </c:pt>
                <c:pt idx="315">
                  <c:v>21.783271354325212</c:v>
                </c:pt>
                <c:pt idx="316">
                  <c:v>21.527577336840018</c:v>
                </c:pt>
                <c:pt idx="317">
                  <c:v>21.274147775217472</c:v>
                </c:pt>
                <c:pt idx="318">
                  <c:v>21.023552305389313</c:v>
                </c:pt>
                <c:pt idx="319">
                  <c:v>20.776367839799931</c:v>
                </c:pt>
                <c:pt idx="320">
                  <c:v>20.533171371405938</c:v>
                </c:pt>
                <c:pt idx="321">
                  <c:v>20.294539960356854</c:v>
                </c:pt>
                <c:pt idx="322">
                  <c:v>20.061050710767347</c:v>
                </c:pt>
                <c:pt idx="323">
                  <c:v>19.833272071789388</c:v>
                </c:pt>
                <c:pt idx="324">
                  <c:v>19.61182583123562</c:v>
                </c:pt>
                <c:pt idx="325">
                  <c:v>19.397288686334935</c:v>
                </c:pt>
                <c:pt idx="326">
                  <c:v>19.19023741908843</c:v>
                </c:pt>
                <c:pt idx="327">
                  <c:v>18.991248703556021</c:v>
                </c:pt>
                <c:pt idx="328">
                  <c:v>18.800899077605727</c:v>
                </c:pt>
                <c:pt idx="329">
                  <c:v>18.619765019322607</c:v>
                </c:pt>
                <c:pt idx="330">
                  <c:v>18.445940625154197</c:v>
                </c:pt>
                <c:pt idx="331">
                  <c:v>18.277449673477452</c:v>
                </c:pt>
                <c:pt idx="332">
                  <c:v>18.11481673756705</c:v>
                </c:pt>
                <c:pt idx="333">
                  <c:v>17.958522349435299</c:v>
                </c:pt>
                <c:pt idx="334">
                  <c:v>17.809046965995787</c:v>
                </c:pt>
                <c:pt idx="335">
                  <c:v>17.666870956352582</c:v>
                </c:pt>
                <c:pt idx="336">
                  <c:v>17.532474579723083</c:v>
                </c:pt>
                <c:pt idx="337">
                  <c:v>17.406328210963881</c:v>
                </c:pt>
                <c:pt idx="338">
                  <c:v>17.288920168984276</c:v>
                </c:pt>
                <c:pt idx="339">
                  <c:v>17.180730290922028</c:v>
                </c:pt>
                <c:pt idx="340">
                  <c:v>17.082238233978433</c:v>
                </c:pt>
                <c:pt idx="341">
                  <c:v>16.993923461387066</c:v>
                </c:pt>
                <c:pt idx="342">
                  <c:v>16.916265239898426</c:v>
                </c:pt>
                <c:pt idx="343">
                  <c:v>16.849742611534868</c:v>
                </c:pt>
                <c:pt idx="344">
                  <c:v>16.795579032553817</c:v>
                </c:pt>
                <c:pt idx="345">
                  <c:v>16.754079240427799</c:v>
                </c:pt>
                <c:pt idx="346">
                  <c:v>16.724348159611299</c:v>
                </c:pt>
                <c:pt idx="347">
                  <c:v>16.705486930654324</c:v>
                </c:pt>
                <c:pt idx="348">
                  <c:v>16.696596925502206</c:v>
                </c:pt>
                <c:pt idx="349">
                  <c:v>16.696779750593951</c:v>
                </c:pt>
                <c:pt idx="350">
                  <c:v>16.705137261068391</c:v>
                </c:pt>
                <c:pt idx="351">
                  <c:v>16.720769052693058</c:v>
                </c:pt>
                <c:pt idx="352">
                  <c:v>16.742787025192698</c:v>
                </c:pt>
                <c:pt idx="353">
                  <c:v>16.770293802046627</c:v>
                </c:pt>
                <c:pt idx="354">
                  <c:v>16.802392286252093</c:v>
                </c:pt>
                <c:pt idx="355">
                  <c:v>16.838185668632885</c:v>
                </c:pt>
                <c:pt idx="356">
                  <c:v>16.876777467925358</c:v>
                </c:pt>
                <c:pt idx="357">
                  <c:v>16.917271418561775</c:v>
                </c:pt>
                <c:pt idx="358">
                  <c:v>16.959829870898211</c:v>
                </c:pt>
                <c:pt idx="359">
                  <c:v>17.005550467490153</c:v>
                </c:pt>
                <c:pt idx="360">
                  <c:v>17.05493050562097</c:v>
                </c:pt>
                <c:pt idx="361">
                  <c:v>17.10847901855686</c:v>
                </c:pt>
                <c:pt idx="362">
                  <c:v>17.166702283114375</c:v>
                </c:pt>
                <c:pt idx="363">
                  <c:v>17.230106314784219</c:v>
                </c:pt>
                <c:pt idx="364">
                  <c:v>17.299196874208572</c:v>
                </c:pt>
                <c:pt idx="365">
                  <c:v>17.374479453892583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12.192</c:v>
                </c:pt>
                <c:pt idx="1">
                  <c:v>16.452000000000002</c:v>
                </c:pt>
                <c:pt idx="2">
                  <c:v>7.6539999999999999</c:v>
                </c:pt>
                <c:pt idx="3">
                  <c:v>5.8970000000000002</c:v>
                </c:pt>
                <c:pt idx="4">
                  <c:v>12.151</c:v>
                </c:pt>
                <c:pt idx="5">
                  <c:v>17.853999999999999</c:v>
                </c:pt>
                <c:pt idx="6">
                  <c:v>6.6890000000000001</c:v>
                </c:pt>
                <c:pt idx="7">
                  <c:v>11.448</c:v>
                </c:pt>
                <c:pt idx="8">
                  <c:v>18.021000000000001</c:v>
                </c:pt>
                <c:pt idx="9">
                  <c:v>8.0860000000000003</c:v>
                </c:pt>
                <c:pt idx="10">
                  <c:v>19.419</c:v>
                </c:pt>
                <c:pt idx="11">
                  <c:v>19.135999999999999</c:v>
                </c:pt>
                <c:pt idx="12">
                  <c:v>13.289</c:v>
                </c:pt>
                <c:pt idx="13">
                  <c:v>19.198</c:v>
                </c:pt>
                <c:pt idx="14">
                  <c:v>17.149000000000001</c:v>
                </c:pt>
                <c:pt idx="15">
                  <c:v>19.166</c:v>
                </c:pt>
                <c:pt idx="16">
                  <c:v>4.3360000000000003</c:v>
                </c:pt>
                <c:pt idx="17">
                  <c:v>15.961</c:v>
                </c:pt>
                <c:pt idx="18">
                  <c:v>21.565999999999999</c:v>
                </c:pt>
                <c:pt idx="19">
                  <c:v>10.503</c:v>
                </c:pt>
                <c:pt idx="20">
                  <c:v>3.3170000000000002</c:v>
                </c:pt>
                <c:pt idx="21">
                  <c:v>1.095</c:v>
                </c:pt>
                <c:pt idx="22">
                  <c:v>12.343</c:v>
                </c:pt>
                <c:pt idx="23">
                  <c:v>14.760999999999999</c:v>
                </c:pt>
                <c:pt idx="24">
                  <c:v>13.605</c:v>
                </c:pt>
                <c:pt idx="25">
                  <c:v>6.4950000000000001</c:v>
                </c:pt>
                <c:pt idx="26">
                  <c:v>10.119999999999999</c:v>
                </c:pt>
                <c:pt idx="27">
                  <c:v>15.744999999999999</c:v>
                </c:pt>
                <c:pt idx="28">
                  <c:v>14.798999999999999</c:v>
                </c:pt>
                <c:pt idx="29">
                  <c:v>10.307</c:v>
                </c:pt>
                <c:pt idx="30">
                  <c:v>18.97</c:v>
                </c:pt>
                <c:pt idx="31">
                  <c:v>11.407</c:v>
                </c:pt>
                <c:pt idx="32">
                  <c:v>22.423999999999999</c:v>
                </c:pt>
                <c:pt idx="33">
                  <c:v>21.064</c:v>
                </c:pt>
                <c:pt idx="34">
                  <c:v>15.041</c:v>
                </c:pt>
                <c:pt idx="35">
                  <c:v>26.059000000000001</c:v>
                </c:pt>
                <c:pt idx="36">
                  <c:v>26.838000000000001</c:v>
                </c:pt>
                <c:pt idx="37">
                  <c:v>18.613</c:v>
                </c:pt>
                <c:pt idx="38">
                  <c:v>21.748000000000001</c:v>
                </c:pt>
                <c:pt idx="39">
                  <c:v>23.239000000000001</c:v>
                </c:pt>
                <c:pt idx="40">
                  <c:v>8.6560000000000006</c:v>
                </c:pt>
                <c:pt idx="41">
                  <c:v>8.2390000000000008</c:v>
                </c:pt>
                <c:pt idx="42">
                  <c:v>16.835999999999999</c:v>
                </c:pt>
                <c:pt idx="43">
                  <c:v>15.148999999999999</c:v>
                </c:pt>
                <c:pt idx="44">
                  <c:v>25.794</c:v>
                </c:pt>
                <c:pt idx="45">
                  <c:v>28.437999999999999</c:v>
                </c:pt>
                <c:pt idx="46">
                  <c:v>17.327000000000002</c:v>
                </c:pt>
                <c:pt idx="47">
                  <c:v>5.3440000000000003</c:v>
                </c:pt>
                <c:pt idx="48">
                  <c:v>23.588999999999999</c:v>
                </c:pt>
                <c:pt idx="49">
                  <c:v>22.483000000000001</c:v>
                </c:pt>
                <c:pt idx="50">
                  <c:v>31.225999999999999</c:v>
                </c:pt>
                <c:pt idx="51">
                  <c:v>13.266</c:v>
                </c:pt>
                <c:pt idx="52">
                  <c:v>30.603999999999999</c:v>
                </c:pt>
                <c:pt idx="53">
                  <c:v>31.928999999999998</c:v>
                </c:pt>
                <c:pt idx="54">
                  <c:v>33.265000000000001</c:v>
                </c:pt>
                <c:pt idx="55">
                  <c:v>15.448</c:v>
                </c:pt>
                <c:pt idx="56">
                  <c:v>18.324000000000002</c:v>
                </c:pt>
                <c:pt idx="57">
                  <c:v>7.8390000000000004</c:v>
                </c:pt>
                <c:pt idx="58">
                  <c:v>17.399000000000001</c:v>
                </c:pt>
                <c:pt idx="59">
                  <c:v>13.473000000000001</c:v>
                </c:pt>
                <c:pt idx="60">
                  <c:v>25.024000000000001</c:v>
                </c:pt>
                <c:pt idx="61">
                  <c:v>21.192</c:v>
                </c:pt>
                <c:pt idx="62">
                  <c:v>5.0839999999999996</c:v>
                </c:pt>
                <c:pt idx="63">
                  <c:v>8.5619999999999994</c:v>
                </c:pt>
                <c:pt idx="64">
                  <c:v>10.013999999999999</c:v>
                </c:pt>
                <c:pt idx="65">
                  <c:v>20.055</c:v>
                </c:pt>
                <c:pt idx="66">
                  <c:v>24.579000000000001</c:v>
                </c:pt>
                <c:pt idx="67">
                  <c:v>27.823</c:v>
                </c:pt>
                <c:pt idx="68">
                  <c:v>24.023</c:v>
                </c:pt>
                <c:pt idx="69">
                  <c:v>29.864000000000001</c:v>
                </c:pt>
                <c:pt idx="70">
                  <c:v>37.463999999999999</c:v>
                </c:pt>
                <c:pt idx="71">
                  <c:v>15.791</c:v>
                </c:pt>
                <c:pt idx="72">
                  <c:v>36.088000000000001</c:v>
                </c:pt>
                <c:pt idx="73">
                  <c:v>29.684000000000001</c:v>
                </c:pt>
                <c:pt idx="74">
                  <c:v>40.951000000000001</c:v>
                </c:pt>
                <c:pt idx="75">
                  <c:v>8.9190000000000005</c:v>
                </c:pt>
                <c:pt idx="76">
                  <c:v>12.635999999999999</c:v>
                </c:pt>
                <c:pt idx="77">
                  <c:v>38.738</c:v>
                </c:pt>
                <c:pt idx="78">
                  <c:v>41.091999999999999</c:v>
                </c:pt>
                <c:pt idx="79">
                  <c:v>43.631</c:v>
                </c:pt>
                <c:pt idx="80">
                  <c:v>42.006999999999998</c:v>
                </c:pt>
                <c:pt idx="81">
                  <c:v>41.121000000000002</c:v>
                </c:pt>
                <c:pt idx="82">
                  <c:v>31.699000000000002</c:v>
                </c:pt>
                <c:pt idx="83">
                  <c:v>36.631999999999998</c:v>
                </c:pt>
                <c:pt idx="84">
                  <c:v>45.250999999999998</c:v>
                </c:pt>
                <c:pt idx="85">
                  <c:v>26.661000000000001</c:v>
                </c:pt>
                <c:pt idx="86">
                  <c:v>43.91</c:v>
                </c:pt>
                <c:pt idx="87">
                  <c:v>44.927999999999997</c:v>
                </c:pt>
                <c:pt idx="88">
                  <c:v>24.864999999999998</c:v>
                </c:pt>
                <c:pt idx="89">
                  <c:v>18.661000000000001</c:v>
                </c:pt>
                <c:pt idx="90">
                  <c:v>42.231999999999999</c:v>
                </c:pt>
                <c:pt idx="91">
                  <c:v>38.584000000000003</c:v>
                </c:pt>
                <c:pt idx="92">
                  <c:v>26.047999999999998</c:v>
                </c:pt>
                <c:pt idx="93">
                  <c:v>49.508000000000003</c:v>
                </c:pt>
                <c:pt idx="94">
                  <c:v>50.384999999999998</c:v>
                </c:pt>
                <c:pt idx="95">
                  <c:v>50.837000000000003</c:v>
                </c:pt>
                <c:pt idx="96">
                  <c:v>30.234000000000002</c:v>
                </c:pt>
                <c:pt idx="97">
                  <c:v>31.606000000000002</c:v>
                </c:pt>
                <c:pt idx="98">
                  <c:v>41.834000000000003</c:v>
                </c:pt>
                <c:pt idx="99">
                  <c:v>50.148000000000003</c:v>
                </c:pt>
                <c:pt idx="100">
                  <c:v>51.167999999999999</c:v>
                </c:pt>
                <c:pt idx="101">
                  <c:v>50.191000000000003</c:v>
                </c:pt>
                <c:pt idx="102">
                  <c:v>41.280999999999999</c:v>
                </c:pt>
                <c:pt idx="103">
                  <c:v>15.186</c:v>
                </c:pt>
                <c:pt idx="104">
                  <c:v>50.722000000000001</c:v>
                </c:pt>
                <c:pt idx="105">
                  <c:v>43.192</c:v>
                </c:pt>
                <c:pt idx="106">
                  <c:v>40.182000000000002</c:v>
                </c:pt>
                <c:pt idx="107">
                  <c:v>32.545000000000002</c:v>
                </c:pt>
                <c:pt idx="108">
                  <c:v>41.25</c:v>
                </c:pt>
                <c:pt idx="109">
                  <c:v>18.059000000000001</c:v>
                </c:pt>
                <c:pt idx="110">
                  <c:v>14.41</c:v>
                </c:pt>
                <c:pt idx="111">
                  <c:v>14.87</c:v>
                </c:pt>
                <c:pt idx="112">
                  <c:v>9.3510000000000009</c:v>
                </c:pt>
                <c:pt idx="113">
                  <c:v>16.097999999999999</c:v>
                </c:pt>
                <c:pt idx="114">
                  <c:v>52.927999999999997</c:v>
                </c:pt>
                <c:pt idx="115">
                  <c:v>40.968000000000004</c:v>
                </c:pt>
                <c:pt idx="116">
                  <c:v>26.625</c:v>
                </c:pt>
                <c:pt idx="117">
                  <c:v>20.462</c:v>
                </c:pt>
                <c:pt idx="118">
                  <c:v>27.815999999999999</c:v>
                </c:pt>
                <c:pt idx="119">
                  <c:v>47.923000000000002</c:v>
                </c:pt>
                <c:pt idx="120">
                  <c:v>43.405000000000001</c:v>
                </c:pt>
                <c:pt idx="121">
                  <c:v>19.832999999999998</c:v>
                </c:pt>
                <c:pt idx="122">
                  <c:v>35.671999999999997</c:v>
                </c:pt>
                <c:pt idx="123">
                  <c:v>49.204999999999998</c:v>
                </c:pt>
                <c:pt idx="124">
                  <c:v>52.847999999999999</c:v>
                </c:pt>
                <c:pt idx="125">
                  <c:v>49.932000000000002</c:v>
                </c:pt>
                <c:pt idx="126">
                  <c:v>54.076000000000001</c:v>
                </c:pt>
                <c:pt idx="127">
                  <c:v>47.332999999999998</c:v>
                </c:pt>
                <c:pt idx="128">
                  <c:v>49.292999999999999</c:v>
                </c:pt>
                <c:pt idx="129">
                  <c:v>47.188000000000002</c:v>
                </c:pt>
                <c:pt idx="130">
                  <c:v>11.423999999999999</c:v>
                </c:pt>
                <c:pt idx="131">
                  <c:v>8.2460000000000004</c:v>
                </c:pt>
                <c:pt idx="132">
                  <c:v>19.718</c:v>
                </c:pt>
                <c:pt idx="133">
                  <c:v>30.373000000000001</c:v>
                </c:pt>
                <c:pt idx="134">
                  <c:v>19.288</c:v>
                </c:pt>
                <c:pt idx="135">
                  <c:v>15.422000000000001</c:v>
                </c:pt>
                <c:pt idx="136">
                  <c:v>35.691000000000003</c:v>
                </c:pt>
                <c:pt idx="137">
                  <c:v>59.290999999999997</c:v>
                </c:pt>
                <c:pt idx="138">
                  <c:v>58.186</c:v>
                </c:pt>
                <c:pt idx="139">
                  <c:v>56.387999999999998</c:v>
                </c:pt>
                <c:pt idx="140">
                  <c:v>56.04</c:v>
                </c:pt>
                <c:pt idx="141">
                  <c:v>53.1</c:v>
                </c:pt>
                <c:pt idx="142">
                  <c:v>52.078000000000003</c:v>
                </c:pt>
                <c:pt idx="143">
                  <c:v>17.350000000000001</c:v>
                </c:pt>
                <c:pt idx="144">
                  <c:v>54.386000000000003</c:v>
                </c:pt>
                <c:pt idx="145">
                  <c:v>56.868000000000002</c:v>
                </c:pt>
                <c:pt idx="146">
                  <c:v>56.889000000000003</c:v>
                </c:pt>
                <c:pt idx="147">
                  <c:v>55.841000000000001</c:v>
                </c:pt>
                <c:pt idx="148">
                  <c:v>55.680999999999997</c:v>
                </c:pt>
                <c:pt idx="149">
                  <c:v>53.58</c:v>
                </c:pt>
                <c:pt idx="150">
                  <c:v>57.072000000000003</c:v>
                </c:pt>
                <c:pt idx="151">
                  <c:v>56.45</c:v>
                </c:pt>
                <c:pt idx="152">
                  <c:v>28.922999999999998</c:v>
                </c:pt>
                <c:pt idx="153">
                  <c:v>45.7</c:v>
                </c:pt>
                <c:pt idx="154">
                  <c:v>25.106999999999999</c:v>
                </c:pt>
                <c:pt idx="155">
                  <c:v>34.023000000000003</c:v>
                </c:pt>
                <c:pt idx="156">
                  <c:v>22.927</c:v>
                </c:pt>
                <c:pt idx="157">
                  <c:v>25.449000000000002</c:v>
                </c:pt>
                <c:pt idx="158">
                  <c:v>39.497</c:v>
                </c:pt>
                <c:pt idx="159">
                  <c:v>41.313000000000002</c:v>
                </c:pt>
                <c:pt idx="160">
                  <c:v>24.154</c:v>
                </c:pt>
                <c:pt idx="161">
                  <c:v>38.637999999999998</c:v>
                </c:pt>
                <c:pt idx="162">
                  <c:v>26.367000000000001</c:v>
                </c:pt>
                <c:pt idx="163">
                  <c:v>53.423000000000002</c:v>
                </c:pt>
                <c:pt idx="164">
                  <c:v>38.503999999999998</c:v>
                </c:pt>
                <c:pt idx="165">
                  <c:v>47.069000000000003</c:v>
                </c:pt>
                <c:pt idx="166">
                  <c:v>39.76</c:v>
                </c:pt>
                <c:pt idx="167">
                  <c:v>27.532</c:v>
                </c:pt>
                <c:pt idx="168">
                  <c:v>50.173999999999999</c:v>
                </c:pt>
                <c:pt idx="169">
                  <c:v>45.072000000000003</c:v>
                </c:pt>
                <c:pt idx="170">
                  <c:v>50.661999999999999</c:v>
                </c:pt>
                <c:pt idx="171">
                  <c:v>46.11</c:v>
                </c:pt>
                <c:pt idx="172">
                  <c:v>58.627000000000002</c:v>
                </c:pt>
                <c:pt idx="173">
                  <c:v>50.055999999999997</c:v>
                </c:pt>
                <c:pt idx="174">
                  <c:v>57.136000000000003</c:v>
                </c:pt>
                <c:pt idx="175">
                  <c:v>51.567</c:v>
                </c:pt>
                <c:pt idx="176">
                  <c:v>46.753</c:v>
                </c:pt>
                <c:pt idx="177">
                  <c:v>44.85</c:v>
                </c:pt>
                <c:pt idx="178">
                  <c:v>40.122</c:v>
                </c:pt>
                <c:pt idx="179">
                  <c:v>47.424999999999997</c:v>
                </c:pt>
                <c:pt idx="180">
                  <c:v>25.440999999999999</c:v>
                </c:pt>
                <c:pt idx="181">
                  <c:v>54.787999999999997</c:v>
                </c:pt>
                <c:pt idx="182">
                  <c:v>40.500999999999998</c:v>
                </c:pt>
                <c:pt idx="183">
                  <c:v>18.727</c:v>
                </c:pt>
                <c:pt idx="184">
                  <c:v>42.734999999999999</c:v>
                </c:pt>
                <c:pt idx="185">
                  <c:v>56.484999999999999</c:v>
                </c:pt>
                <c:pt idx="186">
                  <c:v>55.860999999999997</c:v>
                </c:pt>
                <c:pt idx="187">
                  <c:v>41.524000000000001</c:v>
                </c:pt>
                <c:pt idx="188">
                  <c:v>57.17</c:v>
                </c:pt>
                <c:pt idx="189">
                  <c:v>55.052999999999997</c:v>
                </c:pt>
                <c:pt idx="190">
                  <c:v>51.597999999999999</c:v>
                </c:pt>
                <c:pt idx="191">
                  <c:v>43.006999999999998</c:v>
                </c:pt>
                <c:pt idx="192">
                  <c:v>48.387</c:v>
                </c:pt>
                <c:pt idx="193">
                  <c:v>35.426000000000002</c:v>
                </c:pt>
                <c:pt idx="194">
                  <c:v>56.304000000000002</c:v>
                </c:pt>
                <c:pt idx="195">
                  <c:v>46.008000000000003</c:v>
                </c:pt>
                <c:pt idx="196">
                  <c:v>19.276</c:v>
                </c:pt>
                <c:pt idx="197">
                  <c:v>22.88</c:v>
                </c:pt>
                <c:pt idx="198">
                  <c:v>26.047999999999998</c:v>
                </c:pt>
                <c:pt idx="199">
                  <c:v>55.02</c:v>
                </c:pt>
                <c:pt idx="200">
                  <c:v>53.481999999999999</c:v>
                </c:pt>
                <c:pt idx="201">
                  <c:v>44.67</c:v>
                </c:pt>
                <c:pt idx="202">
                  <c:v>48.948999999999998</c:v>
                </c:pt>
                <c:pt idx="203">
                  <c:v>48.732999999999997</c:v>
                </c:pt>
                <c:pt idx="204">
                  <c:v>44.43</c:v>
                </c:pt>
                <c:pt idx="205">
                  <c:v>53.741999999999997</c:v>
                </c:pt>
                <c:pt idx="206">
                  <c:v>51.826999999999998</c:v>
                </c:pt>
                <c:pt idx="207">
                  <c:v>45.369</c:v>
                </c:pt>
                <c:pt idx="208">
                  <c:v>49.82</c:v>
                </c:pt>
                <c:pt idx="209">
                  <c:v>33.497999999999998</c:v>
                </c:pt>
                <c:pt idx="210">
                  <c:v>46.924999999999997</c:v>
                </c:pt>
                <c:pt idx="211">
                  <c:v>49.93</c:v>
                </c:pt>
                <c:pt idx="212">
                  <c:v>47.732999999999997</c:v>
                </c:pt>
                <c:pt idx="213">
                  <c:v>42.246000000000002</c:v>
                </c:pt>
                <c:pt idx="214">
                  <c:v>33.231999999999999</c:v>
                </c:pt>
                <c:pt idx="215">
                  <c:v>43.817999999999998</c:v>
                </c:pt>
                <c:pt idx="216">
                  <c:v>52.277999999999999</c:v>
                </c:pt>
                <c:pt idx="217">
                  <c:v>51.411999999999999</c:v>
                </c:pt>
                <c:pt idx="218">
                  <c:v>49.512</c:v>
                </c:pt>
                <c:pt idx="219">
                  <c:v>47.618000000000002</c:v>
                </c:pt>
                <c:pt idx="220">
                  <c:v>46.387999999999998</c:v>
                </c:pt>
                <c:pt idx="221">
                  <c:v>36.433</c:v>
                </c:pt>
                <c:pt idx="222">
                  <c:v>32.668999999999997</c:v>
                </c:pt>
                <c:pt idx="223">
                  <c:v>39.82</c:v>
                </c:pt>
                <c:pt idx="224">
                  <c:v>25.38</c:v>
                </c:pt>
                <c:pt idx="225">
                  <c:v>16.228000000000002</c:v>
                </c:pt>
                <c:pt idx="226">
                  <c:v>44.167000000000002</c:v>
                </c:pt>
                <c:pt idx="227">
                  <c:v>41.308999999999997</c:v>
                </c:pt>
                <c:pt idx="228">
                  <c:v>18.916</c:v>
                </c:pt>
                <c:pt idx="229">
                  <c:v>39.326999999999998</c:v>
                </c:pt>
                <c:pt idx="230">
                  <c:v>39.329000000000001</c:v>
                </c:pt>
                <c:pt idx="231">
                  <c:v>46.454999999999998</c:v>
                </c:pt>
                <c:pt idx="232">
                  <c:v>46.859000000000002</c:v>
                </c:pt>
                <c:pt idx="233">
                  <c:v>43.493000000000002</c:v>
                </c:pt>
                <c:pt idx="234">
                  <c:v>35.201000000000001</c:v>
                </c:pt>
                <c:pt idx="235">
                  <c:v>38.877000000000002</c:v>
                </c:pt>
                <c:pt idx="236">
                  <c:v>44.094000000000001</c:v>
                </c:pt>
                <c:pt idx="237">
                  <c:v>45.816000000000003</c:v>
                </c:pt>
                <c:pt idx="238">
                  <c:v>26.495999999999999</c:v>
                </c:pt>
                <c:pt idx="239">
                  <c:v>43.814</c:v>
                </c:pt>
                <c:pt idx="240">
                  <c:v>9.1270000000000007</c:v>
                </c:pt>
                <c:pt idx="241">
                  <c:v>21.173999999999999</c:v>
                </c:pt>
                <c:pt idx="242">
                  <c:v>31.466000000000001</c:v>
                </c:pt>
                <c:pt idx="243">
                  <c:v>43.505000000000003</c:v>
                </c:pt>
                <c:pt idx="244">
                  <c:v>43.207000000000001</c:v>
                </c:pt>
                <c:pt idx="245">
                  <c:v>46.174999999999997</c:v>
                </c:pt>
                <c:pt idx="246">
                  <c:v>44.235999999999997</c:v>
                </c:pt>
                <c:pt idx="247">
                  <c:v>44.508000000000003</c:v>
                </c:pt>
                <c:pt idx="248">
                  <c:v>41.899000000000001</c:v>
                </c:pt>
                <c:pt idx="249">
                  <c:v>27.012</c:v>
                </c:pt>
                <c:pt idx="250">
                  <c:v>38.506</c:v>
                </c:pt>
                <c:pt idx="251">
                  <c:v>41.488999999999997</c:v>
                </c:pt>
                <c:pt idx="252">
                  <c:v>23.873000000000001</c:v>
                </c:pt>
                <c:pt idx="253">
                  <c:v>39.39</c:v>
                </c:pt>
                <c:pt idx="254">
                  <c:v>37.542000000000002</c:v>
                </c:pt>
                <c:pt idx="255">
                  <c:v>40.182000000000002</c:v>
                </c:pt>
                <c:pt idx="256">
                  <c:v>39.436</c:v>
                </c:pt>
                <c:pt idx="257">
                  <c:v>40.127000000000002</c:v>
                </c:pt>
                <c:pt idx="258">
                  <c:v>36.332999999999998</c:v>
                </c:pt>
                <c:pt idx="259">
                  <c:v>35.76</c:v>
                </c:pt>
                <c:pt idx="260">
                  <c:v>35.875999999999998</c:v>
                </c:pt>
                <c:pt idx="261">
                  <c:v>17.116</c:v>
                </c:pt>
                <c:pt idx="262">
                  <c:v>28.765999999999998</c:v>
                </c:pt>
                <c:pt idx="263">
                  <c:v>28.734999999999999</c:v>
                </c:pt>
                <c:pt idx="264">
                  <c:v>25.132000000000001</c:v>
                </c:pt>
                <c:pt idx="265">
                  <c:v>23.923999999999999</c:v>
                </c:pt>
                <c:pt idx="266">
                  <c:v>31.335000000000001</c:v>
                </c:pt>
                <c:pt idx="267">
                  <c:v>17.654</c:v>
                </c:pt>
                <c:pt idx="268">
                  <c:v>18.757999999999999</c:v>
                </c:pt>
                <c:pt idx="269">
                  <c:v>13.233000000000001</c:v>
                </c:pt>
                <c:pt idx="270">
                  <c:v>11.457000000000001</c:v>
                </c:pt>
                <c:pt idx="271">
                  <c:v>28.690999999999999</c:v>
                </c:pt>
                <c:pt idx="272">
                  <c:v>29.393000000000001</c:v>
                </c:pt>
                <c:pt idx="273">
                  <c:v>34.659999999999997</c:v>
                </c:pt>
                <c:pt idx="274">
                  <c:v>7.5579999999999998</c:v>
                </c:pt>
                <c:pt idx="275">
                  <c:v>5.33</c:v>
                </c:pt>
                <c:pt idx="276">
                  <c:v>14.712</c:v>
                </c:pt>
                <c:pt idx="277">
                  <c:v>19.43</c:v>
                </c:pt>
                <c:pt idx="278">
                  <c:v>23.579000000000001</c:v>
                </c:pt>
                <c:pt idx="279">
                  <c:v>6.2510000000000003</c:v>
                </c:pt>
                <c:pt idx="280">
                  <c:v>26.213000000000001</c:v>
                </c:pt>
                <c:pt idx="281">
                  <c:v>30.974</c:v>
                </c:pt>
                <c:pt idx="282">
                  <c:v>21.628</c:v>
                </c:pt>
                <c:pt idx="283">
                  <c:v>20.872</c:v>
                </c:pt>
                <c:pt idx="284">
                  <c:v>15.09</c:v>
                </c:pt>
                <c:pt idx="285">
                  <c:v>22.579000000000001</c:v>
                </c:pt>
                <c:pt idx="286">
                  <c:v>19.329000000000001</c:v>
                </c:pt>
                <c:pt idx="287">
                  <c:v>12.33</c:v>
                </c:pt>
                <c:pt idx="288">
                  <c:v>17.919</c:v>
                </c:pt>
                <c:pt idx="289">
                  <c:v>9.1869999999999994</c:v>
                </c:pt>
                <c:pt idx="290">
                  <c:v>30.198</c:v>
                </c:pt>
                <c:pt idx="291">
                  <c:v>28.702000000000002</c:v>
                </c:pt>
                <c:pt idx="292">
                  <c:v>23.623999999999999</c:v>
                </c:pt>
                <c:pt idx="293">
                  <c:v>5.4080000000000004</c:v>
                </c:pt>
                <c:pt idx="294">
                  <c:v>21.135000000000002</c:v>
                </c:pt>
                <c:pt idx="295">
                  <c:v>4.6509999999999998</c:v>
                </c:pt>
                <c:pt idx="296">
                  <c:v>8.548</c:v>
                </c:pt>
                <c:pt idx="297">
                  <c:v>23.824000000000002</c:v>
                </c:pt>
                <c:pt idx="298">
                  <c:v>17.881</c:v>
                </c:pt>
                <c:pt idx="299">
                  <c:v>20.841000000000001</c:v>
                </c:pt>
                <c:pt idx="300">
                  <c:v>21.486000000000001</c:v>
                </c:pt>
                <c:pt idx="301">
                  <c:v>12.343</c:v>
                </c:pt>
                <c:pt idx="302">
                  <c:v>21.07</c:v>
                </c:pt>
                <c:pt idx="303">
                  <c:v>25.602</c:v>
                </c:pt>
                <c:pt idx="304">
                  <c:v>25.273</c:v>
                </c:pt>
                <c:pt idx="305">
                  <c:v>22.428999999999998</c:v>
                </c:pt>
                <c:pt idx="306">
                  <c:v>21.137</c:v>
                </c:pt>
                <c:pt idx="307">
                  <c:v>4.8959999999999999</c:v>
                </c:pt>
                <c:pt idx="308">
                  <c:v>13.839</c:v>
                </c:pt>
                <c:pt idx="309">
                  <c:v>19.248000000000001</c:v>
                </c:pt>
                <c:pt idx="310">
                  <c:v>12.602</c:v>
                </c:pt>
                <c:pt idx="311">
                  <c:v>5.0179999999999998</c:v>
                </c:pt>
                <c:pt idx="312">
                  <c:v>17.571000000000002</c:v>
                </c:pt>
                <c:pt idx="313">
                  <c:v>12.593999999999999</c:v>
                </c:pt>
                <c:pt idx="314">
                  <c:v>9.3350000000000009</c:v>
                </c:pt>
                <c:pt idx="315">
                  <c:v>19.96</c:v>
                </c:pt>
                <c:pt idx="316">
                  <c:v>21.550999999999998</c:v>
                </c:pt>
                <c:pt idx="317">
                  <c:v>16.312999999999999</c:v>
                </c:pt>
                <c:pt idx="318">
                  <c:v>20.800999999999998</c:v>
                </c:pt>
                <c:pt idx="319">
                  <c:v>14.869</c:v>
                </c:pt>
                <c:pt idx="320">
                  <c:v>16.914000000000001</c:v>
                </c:pt>
                <c:pt idx="321">
                  <c:v>19.239000000000001</c:v>
                </c:pt>
                <c:pt idx="322">
                  <c:v>19.532</c:v>
                </c:pt>
                <c:pt idx="323">
                  <c:v>7.8230000000000004</c:v>
                </c:pt>
                <c:pt idx="324">
                  <c:v>15.006</c:v>
                </c:pt>
                <c:pt idx="325">
                  <c:v>20.056000000000001</c:v>
                </c:pt>
                <c:pt idx="326">
                  <c:v>19.747</c:v>
                </c:pt>
                <c:pt idx="327">
                  <c:v>18.518999999999998</c:v>
                </c:pt>
                <c:pt idx="328">
                  <c:v>17.492999999999999</c:v>
                </c:pt>
                <c:pt idx="329">
                  <c:v>18.887</c:v>
                </c:pt>
                <c:pt idx="330">
                  <c:v>15.18</c:v>
                </c:pt>
                <c:pt idx="331">
                  <c:v>11.247999999999999</c:v>
                </c:pt>
                <c:pt idx="332">
                  <c:v>7.5810000000000004</c:v>
                </c:pt>
                <c:pt idx="333">
                  <c:v>17.158000000000001</c:v>
                </c:pt>
                <c:pt idx="334">
                  <c:v>17.763000000000002</c:v>
                </c:pt>
                <c:pt idx="335">
                  <c:v>4.38</c:v>
                </c:pt>
                <c:pt idx="336">
                  <c:v>1.097</c:v>
                </c:pt>
                <c:pt idx="337">
                  <c:v>9.891</c:v>
                </c:pt>
                <c:pt idx="338">
                  <c:v>7.8730000000000002</c:v>
                </c:pt>
                <c:pt idx="339">
                  <c:v>12.339</c:v>
                </c:pt>
                <c:pt idx="340">
                  <c:v>10.164999999999999</c:v>
                </c:pt>
                <c:pt idx="341">
                  <c:v>2.4529999999999998</c:v>
                </c:pt>
                <c:pt idx="342">
                  <c:v>7.8029999999999999</c:v>
                </c:pt>
                <c:pt idx="343">
                  <c:v>7.6120000000000001</c:v>
                </c:pt>
                <c:pt idx="344">
                  <c:v>4.0549999999999997</c:v>
                </c:pt>
                <c:pt idx="345">
                  <c:v>5.4960000000000004</c:v>
                </c:pt>
                <c:pt idx="346">
                  <c:v>8.9890000000000008</c:v>
                </c:pt>
                <c:pt idx="347">
                  <c:v>8.0169999999999995</c:v>
                </c:pt>
                <c:pt idx="348">
                  <c:v>3.3839999999999999</c:v>
                </c:pt>
                <c:pt idx="349">
                  <c:v>2.2450000000000001</c:v>
                </c:pt>
                <c:pt idx="350">
                  <c:v>11.092000000000001</c:v>
                </c:pt>
                <c:pt idx="351">
                  <c:v>8.0519999999999996</c:v>
                </c:pt>
                <c:pt idx="352">
                  <c:v>9.702</c:v>
                </c:pt>
                <c:pt idx="353">
                  <c:v>7.6150000000000002</c:v>
                </c:pt>
                <c:pt idx="354">
                  <c:v>5.74</c:v>
                </c:pt>
                <c:pt idx="355">
                  <c:v>7.008</c:v>
                </c:pt>
                <c:pt idx="356">
                  <c:v>14.289</c:v>
                </c:pt>
                <c:pt idx="357">
                  <c:v>7.641</c:v>
                </c:pt>
                <c:pt idx="358">
                  <c:v>8.6489999999999991</c:v>
                </c:pt>
                <c:pt idx="359">
                  <c:v>3.7429999999999999</c:v>
                </c:pt>
                <c:pt idx="360">
                  <c:v>9.4730000000000008</c:v>
                </c:pt>
                <c:pt idx="361">
                  <c:v>5.91</c:v>
                </c:pt>
                <c:pt idx="362">
                  <c:v>6.2990000000000004</c:v>
                </c:pt>
                <c:pt idx="363">
                  <c:v>7.0579999999999998</c:v>
                </c:pt>
                <c:pt idx="364">
                  <c:v>9.7159999999999993</c:v>
                </c:pt>
                <c:pt idx="365">
                  <c:v>10.404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2800"/>
        <c:axId val="611443192"/>
      </c:lineChart>
      <c:dateAx>
        <c:axId val="611442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3192"/>
        <c:crosses val="autoZero"/>
        <c:auto val="1"/>
        <c:lblOffset val="100"/>
        <c:baseTimeUnit val="days"/>
        <c:majorUnit val="1"/>
        <c:majorTimeUnit val="months"/>
      </c:dateAx>
      <c:valAx>
        <c:axId val="6114431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28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-0.4007091994388623</c:v>
                </c:pt>
                <c:pt idx="1">
                  <c:v>-0.40068582774766692</c:v>
                </c:pt>
                <c:pt idx="2">
                  <c:v>-0.40066147847127526</c:v>
                </c:pt>
                <c:pt idx="3">
                  <c:v>-0.40063611084623912</c:v>
                </c:pt>
                <c:pt idx="4">
                  <c:v>-0.40060968242018979</c:v>
                </c:pt>
                <c:pt idx="5">
                  <c:v>-0.40058214898278921</c:v>
                </c:pt>
                <c:pt idx="6">
                  <c:v>-0.40055346449393869</c:v>
                </c:pt>
                <c:pt idx="7">
                  <c:v>-0.40052358100914098</c:v>
                </c:pt>
                <c:pt idx="8">
                  <c:v>-0.40049244860191285</c:v>
                </c:pt>
                <c:pt idx="9">
                  <c:v>-0.40046001528313724</c:v>
                </c:pt>
                <c:pt idx="10">
                  <c:v>-0.40042622691724439</c:v>
                </c:pt>
                <c:pt idx="11">
                  <c:v>-0.40039102713510755</c:v>
                </c:pt>
                <c:pt idx="12">
                  <c:v>-0.40035435724353224</c:v>
                </c:pt>
                <c:pt idx="13">
                  <c:v>-0.40031615613122062</c:v>
                </c:pt>
                <c:pt idx="14">
                  <c:v>-0.40027636017108281</c:v>
                </c:pt>
                <c:pt idx="15">
                  <c:v>-0.40023490311876819</c:v>
                </c:pt>
                <c:pt idx="16">
                  <c:v>-0.40019171600728487</c:v>
                </c:pt>
                <c:pt idx="17">
                  <c:v>-0.40014672703757154</c:v>
                </c:pt>
                <c:pt idx="18">
                  <c:v>-0.4000998614648828</c:v>
                </c:pt>
                <c:pt idx="19">
                  <c:v>-0.40005104148084869</c:v>
                </c:pt>
                <c:pt idx="20">
                  <c:v>-0.40000018609105975</c:v>
                </c:pt>
                <c:pt idx="21">
                  <c:v>-0.39994721098803404</c:v>
                </c:pt>
                <c:pt idx="22">
                  <c:v>-0.39989202841941224</c:v>
                </c:pt>
                <c:pt idx="23">
                  <c:v>-0.39983454705122867</c:v>
                </c:pt>
                <c:pt idx="24">
                  <c:v>-0.39977467182610205</c:v>
                </c:pt>
                <c:pt idx="25">
                  <c:v>-0.39971230381618794</c:v>
                </c:pt>
                <c:pt idx="26">
                  <c:v>-0.39964734007073055</c:v>
                </c:pt>
                <c:pt idx="27">
                  <c:v>-0.39957967345805379</c:v>
                </c:pt>
                <c:pt idx="28">
                  <c:v>-0.39950919250182554</c:v>
                </c:pt>
                <c:pt idx="29">
                  <c:v>-0.39943578121143075</c:v>
                </c:pt>
                <c:pt idx="30">
                  <c:v>-0.39935931890628673</c:v>
                </c:pt>
                <c:pt idx="31">
                  <c:v>-0.39927968003393433</c:v>
                </c:pt>
                <c:pt idx="32">
                  <c:v>-0.39919673398173844</c:v>
                </c:pt>
                <c:pt idx="33">
                  <c:v>-0.39911034488203206</c:v>
                </c:pt>
                <c:pt idx="34">
                  <c:v>-0.39902037141053931</c:v>
                </c:pt>
                <c:pt idx="35">
                  <c:v>-0.39892666657791459</c:v>
                </c:pt>
                <c:pt idx="36">
                  <c:v>-0.39882907751423929</c:v>
                </c:pt>
                <c:pt idx="37">
                  <c:v>-0.39872744524631809</c:v>
                </c:pt>
                <c:pt idx="38">
                  <c:v>-0.39862160446762512</c:v>
                </c:pt>
                <c:pt idx="39">
                  <c:v>-0.3985113833007522</c:v>
                </c:pt>
                <c:pt idx="40">
                  <c:v>-0.39839660305222219</c:v>
                </c:pt>
                <c:pt idx="41">
                  <c:v>-0.39827707795953321</c:v>
                </c:pt>
                <c:pt idx="42">
                  <c:v>-0.39815261493031495</c:v>
                </c:pt>
                <c:pt idx="43">
                  <c:v>-0.39802301327348361</c:v>
                </c:pt>
                <c:pt idx="44">
                  <c:v>-0.39788806442229824</c:v>
                </c:pt>
                <c:pt idx="45">
                  <c:v>-0.39774755164923387</c:v>
                </c:pt>
                <c:pt idx="46">
                  <c:v>-0.39760124977260342</c:v>
                </c:pt>
                <c:pt idx="47">
                  <c:v>-0.39744892485487837</c:v>
                </c:pt>
                <c:pt idx="48">
                  <c:v>-0.39729033389267976</c:v>
                </c:pt>
                <c:pt idx="49">
                  <c:v>-0.39712522449843257</c:v>
                </c:pt>
                <c:pt idx="50">
                  <c:v>-0.39695333457370435</c:v>
                </c:pt>
                <c:pt idx="51">
                  <c:v>-0.39677439197427505</c:v>
                </c:pt>
                <c:pt idx="52">
                  <c:v>-0.39658811416701961</c:v>
                </c:pt>
                <c:pt idx="53">
                  <c:v>-0.39639420787871732</c:v>
                </c:pt>
                <c:pt idx="54">
                  <c:v>-0.39619236873694269</c:v>
                </c:pt>
                <c:pt idx="55">
                  <c:v>-0.39598228090323384</c:v>
                </c:pt>
                <c:pt idx="56">
                  <c:v>-0.39576361669878163</c:v>
                </c:pt>
                <c:pt idx="57">
                  <c:v>-0.39553603622293348</c:v>
                </c:pt>
                <c:pt idx="58">
                  <c:v>-0.39529918696486338</c:v>
                </c:pt>
                <c:pt idx="59">
                  <c:v>-0.39505270340881637</c:v>
                </c:pt>
                <c:pt idx="60">
                  <c:v>-0.39479620663340709</c:v>
                </c:pt>
                <c:pt idx="61">
                  <c:v>-0.39452930390552082</c:v>
                </c:pt>
                <c:pt idx="62">
                  <c:v>-0.39425158826944218</c:v>
                </c:pt>
                <c:pt idx="63">
                  <c:v>-0.39396263813192567</c:v>
                </c:pt>
                <c:pt idx="64">
                  <c:v>-0.39366201684400715</c:v>
                </c:pt>
                <c:pt idx="65">
                  <c:v>-0.39334927228045868</c:v>
                </c:pt>
                <c:pt idx="66">
                  <c:v>-0.39302393641789063</c:v>
                </c:pt>
                <c:pt idx="67">
                  <c:v>-0.3926855249126211</c:v>
                </c:pt>
                <c:pt idx="68">
                  <c:v>-0.39233353667955168</c:v>
                </c:pt>
                <c:pt idx="69">
                  <c:v>-0.39196745347341982</c:v>
                </c:pt>
                <c:pt idx="70">
                  <c:v>-0.39158673947393563</c:v>
                </c:pt>
                <c:pt idx="71">
                  <c:v>-0.391190840876459</c:v>
                </c:pt>
                <c:pt idx="72">
                  <c:v>-0.39077918549002888</c:v>
                </c:pt>
                <c:pt idx="73">
                  <c:v>-0.3903511823447236</c:v>
                </c:pt>
                <c:pt idx="74">
                  <c:v>-0.38990622131050606</c:v>
                </c:pt>
                <c:pt idx="75">
                  <c:v>-0.38944367272989466</c:v>
                </c:pt>
                <c:pt idx="76">
                  <c:v>-0.38896288706699433</c:v>
                </c:pt>
                <c:pt idx="77">
                  <c:v>-0.38846319457562906</c:v>
                </c:pt>
                <c:pt idx="78">
                  <c:v>-0.38794390498953185</c:v>
                </c:pt>
                <c:pt idx="79">
                  <c:v>-0.38740430723777169</c:v>
                </c:pt>
                <c:pt idx="80">
                  <c:v>-0.38684366918883195</c:v>
                </c:pt>
                <c:pt idx="81">
                  <c:v>-0.38626123742699625</c:v>
                </c:pt>
                <c:pt idx="82">
                  <c:v>-0.38565623706494839</c:v>
                </c:pt>
                <c:pt idx="83">
                  <c:v>-0.38502787159675056</c:v>
                </c:pt>
                <c:pt idx="84">
                  <c:v>-0.38437532279562769</c:v>
                </c:pt>
                <c:pt idx="85">
                  <c:v>-0.383697750661256</c:v>
                </c:pt>
                <c:pt idx="86">
                  <c:v>-0.38299429342152463</c:v>
                </c:pt>
                <c:pt idx="87">
                  <c:v>-0.38226406759401554</c:v>
                </c:pt>
                <c:pt idx="88">
                  <c:v>-0.38150616811272087</c:v>
                </c:pt>
                <c:pt idx="89">
                  <c:v>-0.38071966852578942</c:v>
                </c:pt>
                <c:pt idx="90">
                  <c:v>-0.37990362127036126</c:v>
                </c:pt>
                <c:pt idx="91">
                  <c:v>-0.37905705803080975</c:v>
                </c:pt>
                <c:pt idx="92">
                  <c:v>-0.37817899018695889</c:v>
                </c:pt>
                <c:pt idx="93">
                  <c:v>-0.3772684093590768</c:v>
                </c:pt>
                <c:pt idx="94">
                  <c:v>-0.37632428805666179</c:v>
                </c:pt>
                <c:pt idx="95">
                  <c:v>-0.37534558043822963</c:v>
                </c:pt>
                <c:pt idx="96">
                  <c:v>-0.37433122318947043</c:v>
                </c:pt>
                <c:pt idx="97">
                  <c:v>-0.37328013652727554</c:v>
                </c:pt>
                <c:pt idx="98">
                  <c:v>-0.37219122533722271</c:v>
                </c:pt>
                <c:pt idx="99">
                  <c:v>-0.37106338045214871</c:v>
                </c:pt>
                <c:pt idx="100">
                  <c:v>-0.36989548007943102</c:v>
                </c:pt>
                <c:pt idx="101">
                  <c:v>-0.36868639138452836</c:v>
                </c:pt>
                <c:pt idx="102">
                  <c:v>-0.3674349722381911</c:v>
                </c:pt>
                <c:pt idx="103">
                  <c:v>-0.36614007313454028</c:v>
                </c:pt>
                <c:pt idx="104">
                  <c:v>-0.36480053928691508</c:v>
                </c:pt>
                <c:pt idx="105">
                  <c:v>-0.36341521290800116</c:v>
                </c:pt>
                <c:pt idx="106">
                  <c:v>-0.36198293568025974</c:v>
                </c:pt>
                <c:pt idx="107">
                  <c:v>-0.36050255142208137</c:v>
                </c:pt>
                <c:pt idx="108">
                  <c:v>-0.35897290895437189</c:v>
                </c:pt>
                <c:pt idx="109">
                  <c:v>-0.35739286517143654</c:v>
                </c:pt>
                <c:pt idx="110">
                  <c:v>-0.35576128831905807</c:v>
                </c:pt>
                <c:pt idx="111">
                  <c:v>-0.3540770614815521</c:v>
                </c:pt>
                <c:pt idx="112">
                  <c:v>-0.35233908627832539</c:v>
                </c:pt>
                <c:pt idx="113">
                  <c:v>-0.35054628676906019</c:v>
                </c:pt>
                <c:pt idx="114">
                  <c:v>-0.34869761356508755</c:v>
                </c:pt>
                <c:pt idx="115">
                  <c:v>-0.34679204814280035</c:v>
                </c:pt>
                <c:pt idx="116">
                  <c:v>-0.3448286073530924</c:v>
                </c:pt>
                <c:pt idx="117">
                  <c:v>-0.34280634811879052</c:v>
                </c:pt>
                <c:pt idx="118">
                  <c:v>-0.34072437230988489</c:v>
                </c:pt>
                <c:pt idx="119">
                  <c:v>-0.33858183178406159</c:v>
                </c:pt>
                <c:pt idx="120">
                  <c:v>-0.33637793357761359</c:v>
                </c:pt>
                <c:pt idx="121">
                  <c:v>-0.33411194522926552</c:v>
                </c:pt>
                <c:pt idx="122">
                  <c:v>-0.33178320021681451</c:v>
                </c:pt>
                <c:pt idx="123">
                  <c:v>-0.32939110348378214</c:v>
                </c:pt>
                <c:pt idx="124">
                  <c:v>-0.32693513703052102</c:v>
                </c:pt>
                <c:pt idx="125">
                  <c:v>-0.32441486554144794</c:v>
                </c:pt>
                <c:pt idx="126">
                  <c:v>-0.32182994201732606</c:v>
                </c:pt>
                <c:pt idx="127">
                  <c:v>-0.31918011337881974</c:v>
                </c:pt>
                <c:pt idx="128">
                  <c:v>-0.31646522600494342</c:v>
                </c:pt>
                <c:pt idx="129">
                  <c:v>-0.3136852311675688</c:v>
                </c:pt>
                <c:pt idx="130">
                  <c:v>-0.3108401903208774</c:v>
                </c:pt>
                <c:pt idx="131">
                  <c:v>-0.30793028020261443</c:v>
                </c:pt>
                <c:pt idx="132">
                  <c:v>-0.30495579770225273</c:v>
                </c:pt>
                <c:pt idx="133">
                  <c:v>-0.30191716444977085</c:v>
                </c:pt>
                <c:pt idx="134">
                  <c:v>-0.29881493107773915</c:v>
                </c:pt>
                <c:pt idx="135">
                  <c:v>-0.29564978110883822</c:v>
                </c:pt>
                <c:pt idx="136">
                  <c:v>-0.29242253442085919</c:v>
                </c:pt>
                <c:pt idx="137">
                  <c:v>-0.28913415024169353</c:v>
                </c:pt>
                <c:pt idx="138">
                  <c:v>-0.28578572962785631</c:v>
                </c:pt>
                <c:pt idx="139">
                  <c:v>-0.28237851738172781</c:v>
                </c:pt>
                <c:pt idx="140">
                  <c:v>-0.27891390336497351</c:v>
                </c:pt>
                <c:pt idx="141">
                  <c:v>-0.27539342316852899</c:v>
                </c:pt>
                <c:pt idx="142">
                  <c:v>-0.27181875810311118</c:v>
                </c:pt>
                <c:pt idx="143">
                  <c:v>-0.26819173447844757</c:v>
                </c:pt>
                <c:pt idx="144">
                  <c:v>-0.26451432214427384</c:v>
                </c:pt>
                <c:pt idx="145">
                  <c:v>-0.26078863227160798</c:v>
                </c:pt>
                <c:pt idx="146">
                  <c:v>-0.25701691435882734</c:v>
                </c:pt>
                <c:pt idx="147">
                  <c:v>-0.25320155245359344</c:v>
                </c:pt>
                <c:pt idx="148">
                  <c:v>-0.24934506058861583</c:v>
                </c:pt>
                <c:pt idx="149">
                  <c:v>-0.24545007743654579</c:v>
                </c:pt>
                <c:pt idx="150">
                  <c:v>-0.24151936019684445</c:v>
                </c:pt>
                <c:pt idx="151">
                  <c:v>-0.23755577773517858</c:v>
                </c:pt>
                <c:pt idx="152">
                  <c:v>-0.23356230300364852</c:v>
                </c:pt>
                <c:pt idx="153">
                  <c:v>-0.22954200477783099</c:v>
                </c:pt>
                <c:pt idx="154">
                  <c:v>-0.22549803875410315</c:v>
                </c:pt>
                <c:pt idx="155">
                  <c:v>-0.2214336380578856</c:v>
                </c:pt>
                <c:pt idx="156">
                  <c:v>-0.21735210322017365</c:v>
                </c:pt>
                <c:pt idx="157">
                  <c:v>-0.21325679168591286</c:v>
                </c:pt>
                <c:pt idx="158">
                  <c:v>-0.20915110692329966</c:v>
                </c:pt>
                <c:pt idx="159">
                  <c:v>-0.20503848720785495</c:v>
                </c:pt>
                <c:pt idx="160">
                  <c:v>-0.20092239415904573</c:v>
                </c:pt>
                <c:pt idx="161">
                  <c:v>-0.1968063011102365</c:v>
                </c:pt>
                <c:pt idx="162">
                  <c:v>-0.19269368139479179</c:v>
                </c:pt>
                <c:pt idx="163">
                  <c:v>-0.18858799663217857</c:v>
                </c:pt>
                <c:pt idx="164">
                  <c:v>-0.1844926850979178</c:v>
                </c:pt>
                <c:pt idx="165">
                  <c:v>-0.18041115026020579</c:v>
                </c:pt>
                <c:pt idx="166">
                  <c:v>-0.17634674956398827</c:v>
                </c:pt>
                <c:pt idx="167">
                  <c:v>-0.17230278354026043</c:v>
                </c:pt>
                <c:pt idx="168">
                  <c:v>-0.16828248531444287</c:v>
                </c:pt>
                <c:pt idx="169">
                  <c:v>-0.16428901058291287</c:v>
                </c:pt>
                <c:pt idx="170">
                  <c:v>-0.160325428121247</c:v>
                </c:pt>
                <c:pt idx="171">
                  <c:v>-0.15639471088154566</c:v>
                </c:pt>
                <c:pt idx="172">
                  <c:v>-0.15249972772947556</c:v>
                </c:pt>
                <c:pt idx="173">
                  <c:v>-0.14864323586449801</c:v>
                </c:pt>
                <c:pt idx="174">
                  <c:v>-0.14482787395926411</c:v>
                </c:pt>
                <c:pt idx="175">
                  <c:v>-0.14105615604648342</c:v>
                </c:pt>
                <c:pt idx="176">
                  <c:v>-0.13733046617381761</c:v>
                </c:pt>
                <c:pt idx="177">
                  <c:v>-0.13365305383964388</c:v>
                </c:pt>
                <c:pt idx="178">
                  <c:v>-0.13002603021498027</c:v>
                </c:pt>
                <c:pt idx="179">
                  <c:v>-0.1264513651495624</c:v>
                </c:pt>
                <c:pt idx="180">
                  <c:v>-0.12293088495311794</c:v>
                </c:pt>
                <c:pt idx="181">
                  <c:v>-0.11946627093636364</c:v>
                </c:pt>
                <c:pt idx="182">
                  <c:v>-0.11605905869023514</c:v>
                </c:pt>
                <c:pt idx="183">
                  <c:v>-0.11271063807639792</c:v>
                </c:pt>
                <c:pt idx="184">
                  <c:v>-0.10942225389723226</c:v>
                </c:pt>
                <c:pt idx="185">
                  <c:v>-0.10619500720925318</c:v>
                </c:pt>
                <c:pt idx="186">
                  <c:v>-0.1030298572403523</c:v>
                </c:pt>
                <c:pt idx="187">
                  <c:v>-9.9927623868320603E-2</c:v>
                </c:pt>
                <c:pt idx="188">
                  <c:v>-9.6888990615838666E-2</c:v>
                </c:pt>
                <c:pt idx="189">
                  <c:v>-9.3914508115477024E-2</c:v>
                </c:pt>
                <c:pt idx="190">
                  <c:v>-9.1004597997214054E-2</c:v>
                </c:pt>
                <c:pt idx="191">
                  <c:v>-8.8159557150522594E-2</c:v>
                </c:pt>
                <c:pt idx="192">
                  <c:v>-8.5379562313148027E-2</c:v>
                </c:pt>
                <c:pt idx="193">
                  <c:v>-8.266467493927171E-2</c:v>
                </c:pt>
                <c:pt idx="194">
                  <c:v>-8.001484630076533E-2</c:v>
                </c:pt>
                <c:pt idx="195">
                  <c:v>-7.7429922776643456E-2</c:v>
                </c:pt>
                <c:pt idx="196">
                  <c:v>-7.4909651287570322E-2</c:v>
                </c:pt>
                <c:pt idx="197">
                  <c:v>-7.2453684834309251E-2</c:v>
                </c:pt>
                <c:pt idx="198">
                  <c:v>-7.0061588101276939E-2</c:v>
                </c:pt>
                <c:pt idx="199">
                  <c:v>-6.7732843088825934E-2</c:v>
                </c:pt>
                <c:pt idx="200">
                  <c:v>-6.5466854740477809E-2</c:v>
                </c:pt>
                <c:pt idx="201">
                  <c:v>-6.3262956534029857E-2</c:v>
                </c:pt>
                <c:pt idx="202">
                  <c:v>-6.1120416008206557E-2</c:v>
                </c:pt>
                <c:pt idx="203">
                  <c:v>-5.9038440199300879E-2</c:v>
                </c:pt>
                <c:pt idx="204">
                  <c:v>-5.7016180964999053E-2</c:v>
                </c:pt>
                <c:pt idx="205">
                  <c:v>-5.5052740175291048E-2</c:v>
                </c:pt>
                <c:pt idx="206">
                  <c:v>-5.3147174753003956E-2</c:v>
                </c:pt>
                <c:pt idx="207">
                  <c:v>-5.1298501549031261E-2</c:v>
                </c:pt>
                <c:pt idx="208">
                  <c:v>-4.9505702039766009E-2</c:v>
                </c:pt>
                <c:pt idx="209">
                  <c:v>-4.7767726836539293E-2</c:v>
                </c:pt>
                <c:pt idx="210">
                  <c:v>-4.6083499999033384E-2</c:v>
                </c:pt>
                <c:pt idx="211">
                  <c:v>-4.4451923146654915E-2</c:v>
                </c:pt>
                <c:pt idx="212">
                  <c:v>-4.2871879363719501E-2</c:v>
                </c:pt>
                <c:pt idx="213">
                  <c:v>-4.1342236896010076E-2</c:v>
                </c:pt>
                <c:pt idx="214">
                  <c:v>-3.9861852637831707E-2</c:v>
                </c:pt>
                <c:pt idx="215">
                  <c:v>-3.8429575410090289E-2</c:v>
                </c:pt>
                <c:pt idx="216">
                  <c:v>-3.7044249031176424E-2</c:v>
                </c:pt>
                <c:pt idx="217">
                  <c:v>-3.5704715183551172E-2</c:v>
                </c:pt>
                <c:pt idx="218">
                  <c:v>-3.4409816079900291E-2</c:v>
                </c:pt>
                <c:pt idx="219">
                  <c:v>-3.3158396933563095E-2</c:v>
                </c:pt>
                <c:pt idx="220">
                  <c:v>-3.1949308238660434E-2</c:v>
                </c:pt>
                <c:pt idx="221">
                  <c:v>-3.0781407865942745E-2</c:v>
                </c:pt>
                <c:pt idx="222">
                  <c:v>-2.9653562980868742E-2</c:v>
                </c:pt>
                <c:pt idx="223">
                  <c:v>-2.8564651790815854E-2</c:v>
                </c:pt>
                <c:pt idx="224">
                  <c:v>-2.7513565128620965E-2</c:v>
                </c:pt>
                <c:pt idx="225">
                  <c:v>-2.6499207879861819E-2</c:v>
                </c:pt>
                <c:pt idx="226">
                  <c:v>-2.5520500261429657E-2</c:v>
                </c:pt>
                <c:pt idx="227">
                  <c:v>-2.4576378959014655E-2</c:v>
                </c:pt>
                <c:pt idx="228">
                  <c:v>-2.3665798131132565E-2</c:v>
                </c:pt>
                <c:pt idx="229">
                  <c:v>-2.2787730287281649E-2</c:v>
                </c:pt>
                <c:pt idx="230">
                  <c:v>-2.1941167047730192E-2</c:v>
                </c:pt>
                <c:pt idx="231">
                  <c:v>-2.1125119792301972E-2</c:v>
                </c:pt>
                <c:pt idx="232">
                  <c:v>-2.0338620205370583E-2</c:v>
                </c:pt>
                <c:pt idx="233">
                  <c:v>-1.9580720724075906E-2</c:v>
                </c:pt>
                <c:pt idx="234">
                  <c:v>-1.8850494896566872E-2</c:v>
                </c:pt>
                <c:pt idx="235">
                  <c:v>-1.8147037656835452E-2</c:v>
                </c:pt>
                <c:pt idx="236">
                  <c:v>-1.7469465522463756E-2</c:v>
                </c:pt>
                <c:pt idx="237">
                  <c:v>-1.6816916721340835E-2</c:v>
                </c:pt>
                <c:pt idx="238">
                  <c:v>-1.6188551253143058E-2</c:v>
                </c:pt>
                <c:pt idx="239">
                  <c:v>-1.5583550891095199E-2</c:v>
                </c:pt>
                <c:pt idx="240">
                  <c:v>-1.5001119129259499E-2</c:v>
                </c:pt>
                <c:pt idx="241">
                  <c:v>-1.4440481080319756E-2</c:v>
                </c:pt>
                <c:pt idx="242">
                  <c:v>-1.3900883328559599E-2</c:v>
                </c:pt>
                <c:pt idx="243">
                  <c:v>-1.3381593742462394E-2</c:v>
                </c:pt>
                <c:pt idx="244">
                  <c:v>-1.2881901251097116E-2</c:v>
                </c:pt>
                <c:pt idx="245">
                  <c:v>-1.2401115588196732E-2</c:v>
                </c:pt>
                <c:pt idx="246">
                  <c:v>-1.1938567007585332E-2</c:v>
                </c:pt>
                <c:pt idx="247">
                  <c:v>-1.1493605973367849E-2</c:v>
                </c:pt>
                <c:pt idx="248">
                  <c:v>-1.1065602828062515E-2</c:v>
                </c:pt>
                <c:pt idx="249">
                  <c:v>-1.065394744163245E-2</c:v>
                </c:pt>
                <c:pt idx="250">
                  <c:v>-1.0258048844155765E-2</c:v>
                </c:pt>
                <c:pt idx="251">
                  <c:v>-9.8773348446716258E-3</c:v>
                </c:pt>
                <c:pt idx="252">
                  <c:v>-9.5112516385397194E-3</c:v>
                </c:pt>
                <c:pt idx="253">
                  <c:v>-9.1592634054703526E-3</c:v>
                </c:pt>
                <c:pt idx="254">
                  <c:v>-8.8208519002007657E-3</c:v>
                </c:pt>
                <c:pt idx="255">
                  <c:v>-8.495516037632711E-3</c:v>
                </c:pt>
                <c:pt idx="256">
                  <c:v>-8.1827714740842494E-3</c:v>
                </c:pt>
                <c:pt idx="257">
                  <c:v>-7.8821501861657817E-3</c:v>
                </c:pt>
                <c:pt idx="258">
                  <c:v>-7.5932000486492734E-3</c:v>
                </c:pt>
                <c:pt idx="259">
                  <c:v>-7.3154844125706275E-3</c:v>
                </c:pt>
                <c:pt idx="260">
                  <c:v>-7.0485816846843075E-3</c:v>
                </c:pt>
                <c:pt idx="261">
                  <c:v>-6.7920849092750202E-3</c:v>
                </c:pt>
                <c:pt idx="262">
                  <c:v>-6.5456013532280699E-3</c:v>
                </c:pt>
                <c:pt idx="263">
                  <c:v>-6.3087520951579101E-3</c:v>
                </c:pt>
                <c:pt idx="264">
                  <c:v>-6.081171619309822E-3</c:v>
                </c:pt>
                <c:pt idx="265">
                  <c:v>-5.8625074148576095E-3</c:v>
                </c:pt>
                <c:pt idx="266">
                  <c:v>-5.6524195811487599E-3</c:v>
                </c:pt>
                <c:pt idx="267">
                  <c:v>-5.4505804393741308E-3</c:v>
                </c:pt>
                <c:pt idx="268">
                  <c:v>-5.2566741510717829E-3</c:v>
                </c:pt>
                <c:pt idx="269">
                  <c:v>-5.0703963438163968E-3</c:v>
                </c:pt>
                <c:pt idx="270">
                  <c:v>-4.8914537443870976E-3</c:v>
                </c:pt>
                <c:pt idx="271">
                  <c:v>-4.7195638196588785E-3</c:v>
                </c:pt>
                <c:pt idx="272">
                  <c:v>-4.5544544254116914E-3</c:v>
                </c:pt>
                <c:pt idx="273">
                  <c:v>-4.3958634632130789E-3</c:v>
                </c:pt>
                <c:pt idx="274">
                  <c:v>-4.2435385454879793E-3</c:v>
                </c:pt>
                <c:pt idx="275">
                  <c:v>-4.097236668857529E-3</c:v>
                </c:pt>
                <c:pt idx="276">
                  <c:v>-3.9567238957931572E-3</c:v>
                </c:pt>
                <c:pt idx="277">
                  <c:v>-3.8217750446078447E-3</c:v>
                </c:pt>
                <c:pt idx="278">
                  <c:v>-3.6921733877764984E-3</c:v>
                </c:pt>
                <c:pt idx="279">
                  <c:v>-3.5677103585582404E-3</c:v>
                </c:pt>
                <c:pt idx="280">
                  <c:v>-3.4481852658692635E-3</c:v>
                </c:pt>
                <c:pt idx="281">
                  <c:v>-3.3334050173391971E-3</c:v>
                </c:pt>
                <c:pt idx="282">
                  <c:v>-3.2231838504663268E-3</c:v>
                </c:pt>
                <c:pt idx="283">
                  <c:v>-3.1173430717733042E-3</c:v>
                </c:pt>
                <c:pt idx="284">
                  <c:v>-3.0157108038521563E-3</c:v>
                </c:pt>
                <c:pt idx="285">
                  <c:v>-2.9181217401768045E-3</c:v>
                </c:pt>
                <c:pt idx="286">
                  <c:v>-2.8244169075521408E-3</c:v>
                </c:pt>
                <c:pt idx="287">
                  <c:v>-2.7344434360593861E-3</c:v>
                </c:pt>
                <c:pt idx="288">
                  <c:v>-2.6480543363529563E-3</c:v>
                </c:pt>
                <c:pt idx="289">
                  <c:v>-2.5651082841570694E-3</c:v>
                </c:pt>
                <c:pt idx="290">
                  <c:v>-2.4854694118047194E-3</c:v>
                </c:pt>
                <c:pt idx="291">
                  <c:v>-2.4090071066606433E-3</c:v>
                </c:pt>
                <c:pt idx="292">
                  <c:v>-2.3355958162659118E-3</c:v>
                </c:pt>
                <c:pt idx="293">
                  <c:v>-2.2651148600376647E-3</c:v>
                </c:pt>
                <c:pt idx="294">
                  <c:v>-2.1974482473609558E-3</c:v>
                </c:pt>
                <c:pt idx="295">
                  <c:v>-2.1324845019035088E-3</c:v>
                </c:pt>
                <c:pt idx="296">
                  <c:v>-2.0701164919893489E-3</c:v>
                </c:pt>
                <c:pt idx="297">
                  <c:v>-2.0102412668627778E-3</c:v>
                </c:pt>
                <c:pt idx="298">
                  <c:v>-1.9527598986792127E-3</c:v>
                </c:pt>
                <c:pt idx="299">
                  <c:v>-1.897577330057354E-3</c:v>
                </c:pt>
                <c:pt idx="300">
                  <c:v>-1.8446022270316997E-3</c:v>
                </c:pt>
                <c:pt idx="301">
                  <c:v>-1.7937468372427601E-3</c:v>
                </c:pt>
                <c:pt idx="302">
                  <c:v>-1.7449268532085949E-3</c:v>
                </c:pt>
                <c:pt idx="303">
                  <c:v>-1.6980612805199136E-3</c:v>
                </c:pt>
                <c:pt idx="304">
                  <c:v>-1.6530723108065248E-3</c:v>
                </c:pt>
                <c:pt idx="305">
                  <c:v>-1.6098851993232577E-3</c:v>
                </c:pt>
                <c:pt idx="306">
                  <c:v>-1.5684281470086936E-3</c:v>
                </c:pt>
                <c:pt idx="307">
                  <c:v>-1.5286321868707708E-3</c:v>
                </c:pt>
                <c:pt idx="308">
                  <c:v>-1.4904310745592619E-3</c:v>
                </c:pt>
                <c:pt idx="309">
                  <c:v>-1.4537611829839037E-3</c:v>
                </c:pt>
                <c:pt idx="310">
                  <c:v>-1.4185614008470071E-3</c:v>
                </c:pt>
                <c:pt idx="311">
                  <c:v>-1.384773034954212E-3</c:v>
                </c:pt>
                <c:pt idx="312">
                  <c:v>-1.3523397161785966E-3</c:v>
                </c:pt>
                <c:pt idx="313">
                  <c:v>-1.3212073089504672E-3</c:v>
                </c:pt>
                <c:pt idx="314">
                  <c:v>-1.2913238241527569E-3</c:v>
                </c:pt>
                <c:pt idx="315">
                  <c:v>-1.2626393353021848E-3</c:v>
                </c:pt>
                <c:pt idx="316">
                  <c:v>-1.2351058979016005E-3</c:v>
                </c:pt>
                <c:pt idx="317">
                  <c:v>-1.2086774718522708E-3</c:v>
                </c:pt>
                <c:pt idx="318">
                  <c:v>-1.183309846816194E-3</c:v>
                </c:pt>
                <c:pt idx="319">
                  <c:v>-1.1589605704245276E-3</c:v>
                </c:pt>
                <c:pt idx="320">
                  <c:v>-1.1355888792291546E-3</c:v>
                </c:pt>
                <c:pt idx="321">
                  <c:v>-1.1131556322984681E-3</c:v>
                </c:pt>
                <c:pt idx="322">
                  <c:v>-1.0916232473620613E-3</c:v>
                </c:pt>
                <c:pt idx="323">
                  <c:v>-1.0709556394107866E-3</c:v>
                </c:pt>
                <c:pt idx="324">
                  <c:v>-1.0511181616627563E-3</c:v>
                </c:pt>
                <c:pt idx="325">
                  <c:v>-1.0320775488078526E-3</c:v>
                </c:pt>
                <c:pt idx="326">
                  <c:v>-1.0138018624480938E-3</c:v>
                </c:pt>
                <c:pt idx="327">
                  <c:v>-9.9626043864969871E-4</c:v>
                </c:pt>
                <c:pt idx="328">
                  <c:v>-9.7942383753180096E-4</c:v>
                </c:pt>
                <c:pt idx="329">
                  <c:v>-9.6326379481309621E-4</c:v>
                </c:pt>
                <c:pt idx="330">
                  <c:v>-9.4775317524464775E-4</c:v>
                </c:pt>
                <c:pt idx="331">
                  <c:v>-9.3286592785685185E-4</c:v>
                </c:pt>
                <c:pt idx="332">
                  <c:v>-9.1857704295356113E-4</c:v>
                </c:pt>
                <c:pt idx="333">
                  <c:v>-9.0486251078630842E-4</c:v>
                </c:pt>
                <c:pt idx="334">
                  <c:v>-8.9169928184590352E-4</c:v>
                </c:pt>
                <c:pt idx="335">
                  <c:v>-8.7906522870834225E-4</c:v>
                </c:pt>
                <c:pt idx="336">
                  <c:v>-8.669391093782397E-4</c:v>
                </c:pt>
                <c:pt idx="337">
                  <c:v>-8.5530053207028001E-4</c:v>
                </c:pt>
                <c:pt idx="338">
                  <c:v>-8.4412992137511411E-4</c:v>
                </c:pt>
                <c:pt idx="339">
                  <c:v>-8.3340848575674809E-4</c:v>
                </c:pt>
                <c:pt idx="340">
                  <c:v>-8.2311818632868627E-4</c:v>
                </c:pt>
                <c:pt idx="341">
                  <c:v>-8.1324170686147834E-4</c:v>
                </c:pt>
                <c:pt idx="342">
                  <c:v>-8.0376242497343098E-4</c:v>
                </c:pt>
                <c:pt idx="343">
                  <c:v>-7.9466438445779941E-4</c:v>
                </c:pt>
                <c:pt idx="344">
                  <c:v>-7.8593226870471433E-4</c:v>
                </c:pt>
                <c:pt idx="345">
                  <c:v>-7.7755137517293571E-4</c:v>
                </c:pt>
                <c:pt idx="346">
                  <c:v>-7.6950759087218712E-4</c:v>
                </c:pt>
                <c:pt idx="347">
                  <c:v>-7.6178736881676867E-4</c:v>
                </c:pt>
                <c:pt idx="348">
                  <c:v>-7.5437770541153526E-4</c:v>
                </c:pt>
                <c:pt idx="349">
                  <c:v>-7.4726611873537907E-4</c:v>
                </c:pt>
                <c:pt idx="350">
                  <c:v>-7.4044062768541252E-4</c:v>
                </c:pt>
                <c:pt idx="351">
                  <c:v>-7.3388973194998819E-4</c:v>
                </c:pt>
                <c:pt idx="352">
                  <c:v>-7.2760239277702699E-4</c:v>
                </c:pt>
                <c:pt idx="353">
                  <c:v>-7.2156801450634633E-4</c:v>
                </c:pt>
                <c:pt idx="354">
                  <c:v>-7.1577642683678944E-4</c:v>
                </c:pt>
                <c:pt idx="355">
                  <c:v>-7.102178677990123E-4</c:v>
                </c:pt>
                <c:pt idx="356">
                  <c:v>-7.102178677990123E-4</c:v>
                </c:pt>
                <c:pt idx="357">
                  <c:v>-7.102178677990123E-4</c:v>
                </c:pt>
                <c:pt idx="358">
                  <c:v>-7.102178677990123E-4</c:v>
                </c:pt>
                <c:pt idx="359">
                  <c:v>-7.102178677990123E-4</c:v>
                </c:pt>
                <c:pt idx="360">
                  <c:v>-7.102178677990123E-4</c:v>
                </c:pt>
                <c:pt idx="361">
                  <c:v>-7.102178677990123E-4</c:v>
                </c:pt>
                <c:pt idx="362">
                  <c:v>-7.102178677990123E-4</c:v>
                </c:pt>
                <c:pt idx="363">
                  <c:v>-7.102178677990123E-4</c:v>
                </c:pt>
                <c:pt idx="364">
                  <c:v>-7.102178677990123E-4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3976"/>
        <c:axId val="611444368"/>
      </c:lineChart>
      <c:dateAx>
        <c:axId val="611443976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4368"/>
        <c:crosses val="autoZero"/>
        <c:auto val="1"/>
        <c:lblOffset val="100"/>
        <c:baseTimeUnit val="days"/>
        <c:majorUnit val="1"/>
      </c:dateAx>
      <c:valAx>
        <c:axId val="61144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3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2.0362046534201816E-2</c:v>
                </c:pt>
                <c:pt idx="1">
                  <c:v>2.0384844140537983E-2</c:v>
                </c:pt>
                <c:pt idx="2">
                  <c:v>2.0407641216340422E-2</c:v>
                </c:pt>
                <c:pt idx="3">
                  <c:v>2.0430437761621678E-2</c:v>
                </c:pt>
                <c:pt idx="4">
                  <c:v>2.0453233776393964E-2</c:v>
                </c:pt>
                <c:pt idx="5">
                  <c:v>2.0476029260669715E-2</c:v>
                </c:pt>
                <c:pt idx="6">
                  <c:v>2.0498824214461253E-2</c:v>
                </c:pt>
                <c:pt idx="7">
                  <c:v>2.0521618637780903E-2</c:v>
                </c:pt>
                <c:pt idx="8">
                  <c:v>2.0544412530640987E-2</c:v>
                </c:pt>
                <c:pt idx="9">
                  <c:v>2.0567205893053941E-2</c:v>
                </c:pt>
                <c:pt idx="10">
                  <c:v>2.0589998725031977E-2</c:v>
                </c:pt>
                <c:pt idx="11">
                  <c:v>2.061279102658764E-2</c:v>
                </c:pt>
                <c:pt idx="12">
                  <c:v>2.0635582797733032E-2</c:v>
                </c:pt>
                <c:pt idx="13">
                  <c:v>2.0658374038480698E-2</c:v>
                </c:pt>
                <c:pt idx="14">
                  <c:v>2.0681164748842851E-2</c:v>
                </c:pt>
                <c:pt idx="15">
                  <c:v>2.0703954928831814E-2</c:v>
                </c:pt>
                <c:pt idx="16">
                  <c:v>2.0726744578460132E-2</c:v>
                </c:pt>
                <c:pt idx="17">
                  <c:v>2.0749533697739908E-2</c:v>
                </c:pt>
                <c:pt idx="18">
                  <c:v>2.0772322286683687E-2</c:v>
                </c:pt>
                <c:pt idx="19">
                  <c:v>2.0795110345303569E-2</c:v>
                </c:pt>
                <c:pt idx="20">
                  <c:v>2.0817897873612101E-2</c:v>
                </c:pt>
                <c:pt idx="21">
                  <c:v>2.0840684871621606E-2</c:v>
                </c:pt>
                <c:pt idx="22">
                  <c:v>2.0863471339344297E-2</c:v>
                </c:pt>
                <c:pt idx="23">
                  <c:v>2.0886257276792719E-2</c:v>
                </c:pt>
                <c:pt idx="24">
                  <c:v>2.0909042683978973E-2</c:v>
                </c:pt>
                <c:pt idx="25">
                  <c:v>2.0931827560915495E-2</c:v>
                </c:pt>
                <c:pt idx="26">
                  <c:v>2.0954611907614717E-2</c:v>
                </c:pt>
                <c:pt idx="27">
                  <c:v>2.0977395724088854E-2</c:v>
                </c:pt>
                <c:pt idx="28">
                  <c:v>2.1000179010350339E-2</c:v>
                </c:pt>
                <c:pt idx="29">
                  <c:v>2.1022961766411496E-2</c:v>
                </c:pt>
                <c:pt idx="30">
                  <c:v>2.1045743992284538E-2</c:v>
                </c:pt>
                <c:pt idx="31">
                  <c:v>2.1068525687982009E-2</c:v>
                </c:pt>
                <c:pt idx="32">
                  <c:v>2.1091306853516123E-2</c:v>
                </c:pt>
                <c:pt idx="33">
                  <c:v>2.1114087488899203E-2</c:v>
                </c:pt>
                <c:pt idx="34">
                  <c:v>2.1136867594143571E-2</c:v>
                </c:pt>
                <c:pt idx="35">
                  <c:v>2.1159647169261664E-2</c:v>
                </c:pt>
                <c:pt idx="36">
                  <c:v>2.1182426214265804E-2</c:v>
                </c:pt>
                <c:pt idx="37">
                  <c:v>2.1205204729168203E-2</c:v>
                </c:pt>
                <c:pt idx="38">
                  <c:v>2.1227982713981297E-2</c:v>
                </c:pt>
                <c:pt idx="39">
                  <c:v>2.1250760168717409E-2</c:v>
                </c:pt>
                <c:pt idx="40">
                  <c:v>2.1273537093388972E-2</c:v>
                </c:pt>
                <c:pt idx="41">
                  <c:v>2.129631348800809E-2</c:v>
                </c:pt>
                <c:pt idx="42">
                  <c:v>2.1319089352587306E-2</c:v>
                </c:pt>
                <c:pt idx="43">
                  <c:v>2.1341864687138834E-2</c:v>
                </c:pt>
                <c:pt idx="44">
                  <c:v>2.1364639491675108E-2</c:v>
                </c:pt>
                <c:pt idx="45">
                  <c:v>2.1387413766208341E-2</c:v>
                </c:pt>
                <c:pt idx="46">
                  <c:v>2.1410187510750966E-2</c:v>
                </c:pt>
                <c:pt idx="47">
                  <c:v>2.1432960725315309E-2</c:v>
                </c:pt>
                <c:pt idx="48">
                  <c:v>2.1455733409913691E-2</c:v>
                </c:pt>
                <c:pt idx="49">
                  <c:v>2.1478505564558437E-2</c:v>
                </c:pt>
                <c:pt idx="50">
                  <c:v>2.1501277189261869E-2</c:v>
                </c:pt>
                <c:pt idx="51">
                  <c:v>2.1524048284036312E-2</c:v>
                </c:pt>
                <c:pt idx="52">
                  <c:v>2.1546818848894089E-2</c:v>
                </c:pt>
                <c:pt idx="53">
                  <c:v>2.1569588883847524E-2</c:v>
                </c:pt>
                <c:pt idx="54">
                  <c:v>2.159235838890905E-2</c:v>
                </c:pt>
                <c:pt idx="55">
                  <c:v>2.161512736409088E-2</c:v>
                </c:pt>
                <c:pt idx="56">
                  <c:v>2.163789580940545E-2</c:v>
                </c:pt>
                <c:pt idx="57">
                  <c:v>2.166066372486497E-2</c:v>
                </c:pt>
                <c:pt idx="58">
                  <c:v>2.1683431110481877E-2</c:v>
                </c:pt>
                <c:pt idx="59">
                  <c:v>2.1706197966268492E-2</c:v>
                </c:pt>
                <c:pt idx="60">
                  <c:v>2.1728964292237141E-2</c:v>
                </c:pt>
                <c:pt idx="61">
                  <c:v>2.1751730088400034E-2</c:v>
                </c:pt>
                <c:pt idx="62">
                  <c:v>2.1774495354769607E-2</c:v>
                </c:pt>
                <c:pt idx="63">
                  <c:v>2.1797260091358184E-2</c:v>
                </c:pt>
                <c:pt idx="64">
                  <c:v>2.1820024298178087E-2</c:v>
                </c:pt>
                <c:pt idx="65">
                  <c:v>2.184278797524164E-2</c:v>
                </c:pt>
                <c:pt idx="66">
                  <c:v>2.1865551122561167E-2</c:v>
                </c:pt>
                <c:pt idx="67">
                  <c:v>2.188831374014899E-2</c:v>
                </c:pt>
                <c:pt idx="68">
                  <c:v>2.1911075828017434E-2</c:v>
                </c:pt>
                <c:pt idx="69">
                  <c:v>2.1933837386178934E-2</c:v>
                </c:pt>
                <c:pt idx="70">
                  <c:v>2.1956598414645589E-2</c:v>
                </c:pt>
                <c:pt idx="71">
                  <c:v>2.1979358913429947E-2</c:v>
                </c:pt>
                <c:pt idx="72">
                  <c:v>2.2002118882544219E-2</c:v>
                </c:pt>
                <c:pt idx="73">
                  <c:v>2.202487832200084E-2</c:v>
                </c:pt>
                <c:pt idx="74">
                  <c:v>2.2047637231811912E-2</c:v>
                </c:pt>
                <c:pt idx="75">
                  <c:v>2.2070395611989979E-2</c:v>
                </c:pt>
                <c:pt idx="76">
                  <c:v>2.2093153462547366E-2</c:v>
                </c:pt>
                <c:pt idx="77">
                  <c:v>2.2115910783496173E-2</c:v>
                </c:pt>
                <c:pt idx="78">
                  <c:v>2.2138667574848947E-2</c:v>
                </c:pt>
                <c:pt idx="79">
                  <c:v>2.2161423836618011E-2</c:v>
                </c:pt>
                <c:pt idx="80">
                  <c:v>2.2184179568815576E-2</c:v>
                </c:pt>
                <c:pt idx="81">
                  <c:v>2.2206934771453968E-2</c:v>
                </c:pt>
                <c:pt idx="82">
                  <c:v>2.2229689444545508E-2</c:v>
                </c:pt>
                <c:pt idx="83">
                  <c:v>2.2252443588102633E-2</c:v>
                </c:pt>
                <c:pt idx="84">
                  <c:v>2.2275197202137664E-2</c:v>
                </c:pt>
                <c:pt idx="85">
                  <c:v>2.2297950286662704E-2</c:v>
                </c:pt>
                <c:pt idx="86">
                  <c:v>2.2320702841690299E-2</c:v>
                </c:pt>
                <c:pt idx="87">
                  <c:v>2.234345486723277E-2</c:v>
                </c:pt>
                <c:pt idx="88">
                  <c:v>2.2366206363302221E-2</c:v>
                </c:pt>
                <c:pt idx="89">
                  <c:v>2.2388957329911197E-2</c:v>
                </c:pt>
                <c:pt idx="90">
                  <c:v>2.241170776707202E-2</c:v>
                </c:pt>
                <c:pt idx="91">
                  <c:v>2.2434457674796793E-2</c:v>
                </c:pt>
                <c:pt idx="92">
                  <c:v>2.2457207053098061E-2</c:v>
                </c:pt>
                <c:pt idx="93">
                  <c:v>2.2479955901988036E-2</c:v>
                </c:pt>
                <c:pt idx="94">
                  <c:v>2.2502704221479042E-2</c:v>
                </c:pt>
                <c:pt idx="95">
                  <c:v>2.2525452011583513E-2</c:v>
                </c:pt>
                <c:pt idx="96">
                  <c:v>2.2548199272313552E-2</c:v>
                </c:pt>
                <c:pt idx="97">
                  <c:v>2.2570946003681702E-2</c:v>
                </c:pt>
                <c:pt idx="98">
                  <c:v>2.2593692205700178E-2</c:v>
                </c:pt>
                <c:pt idx="99">
                  <c:v>2.261643787838119E-2</c:v>
                </c:pt>
                <c:pt idx="100">
                  <c:v>2.2639183021737286E-2</c:v>
                </c:pt>
                <c:pt idx="101">
                  <c:v>2.2661927635780565E-2</c:v>
                </c:pt>
                <c:pt idx="102">
                  <c:v>2.2684671720523575E-2</c:v>
                </c:pt>
                <c:pt idx="103">
                  <c:v>2.2707415275978415E-2</c:v>
                </c:pt>
                <c:pt idx="104">
                  <c:v>2.2730158302157522E-2</c:v>
                </c:pt>
                <c:pt idx="105">
                  <c:v>2.2752900799073217E-2</c:v>
                </c:pt>
                <c:pt idx="106">
                  <c:v>2.2775642766737714E-2</c:v>
                </c:pt>
                <c:pt idx="107">
                  <c:v>2.2798384205163447E-2</c:v>
                </c:pt>
                <c:pt idx="108">
                  <c:v>2.2821125114362628E-2</c:v>
                </c:pt>
                <c:pt idx="109">
                  <c:v>2.2843865494347693E-2</c:v>
                </c:pt>
                <c:pt idx="110">
                  <c:v>2.2866605345130853E-2</c:v>
                </c:pt>
                <c:pt idx="111">
                  <c:v>2.2889344666724543E-2</c:v>
                </c:pt>
                <c:pt idx="112">
                  <c:v>2.2912083459140975E-2</c:v>
                </c:pt>
                <c:pt idx="113">
                  <c:v>2.2934821722392473E-2</c:v>
                </c:pt>
                <c:pt idx="114">
                  <c:v>2.295755945649125E-2</c:v>
                </c:pt>
                <c:pt idx="115">
                  <c:v>2.2980296661449851E-2</c:v>
                </c:pt>
                <c:pt idx="116">
                  <c:v>2.3003033337280487E-2</c:v>
                </c:pt>
                <c:pt idx="117">
                  <c:v>2.3025769483995484E-2</c:v>
                </c:pt>
                <c:pt idx="118">
                  <c:v>2.3048505101607053E-2</c:v>
                </c:pt>
                <c:pt idx="119">
                  <c:v>2.3071240190127629E-2</c:v>
                </c:pt>
                <c:pt idx="120">
                  <c:v>2.3093974749569424E-2</c:v>
                </c:pt>
                <c:pt idx="121">
                  <c:v>2.3116708779944872E-2</c:v>
                </c:pt>
                <c:pt idx="122">
                  <c:v>2.3139442281266187E-2</c:v>
                </c:pt>
                <c:pt idx="123">
                  <c:v>2.3162175253545692E-2</c:v>
                </c:pt>
                <c:pt idx="124">
                  <c:v>2.318490769679582E-2</c:v>
                </c:pt>
                <c:pt idx="125">
                  <c:v>2.3207639611028674E-2</c:v>
                </c:pt>
                <c:pt idx="126">
                  <c:v>2.3230370996256799E-2</c:v>
                </c:pt>
                <c:pt idx="127">
                  <c:v>2.3253101852492297E-2</c:v>
                </c:pt>
                <c:pt idx="128">
                  <c:v>2.3275832179747491E-2</c:v>
                </c:pt>
                <c:pt idx="129">
                  <c:v>2.3298561978034926E-2</c:v>
                </c:pt>
                <c:pt idx="130">
                  <c:v>2.3321291247366593E-2</c:v>
                </c:pt>
                <c:pt idx="131">
                  <c:v>2.3344019987755038E-2</c:v>
                </c:pt>
                <c:pt idx="132">
                  <c:v>2.3366748199212473E-2</c:v>
                </c:pt>
                <c:pt idx="133">
                  <c:v>2.338947588175122E-2</c:v>
                </c:pt>
                <c:pt idx="134">
                  <c:v>2.3412203035383605E-2</c:v>
                </c:pt>
                <c:pt idx="135">
                  <c:v>2.343492966012195E-2</c:v>
                </c:pt>
                <c:pt idx="136">
                  <c:v>2.3457655755978468E-2</c:v>
                </c:pt>
                <c:pt idx="137">
                  <c:v>2.3480381322965593E-2</c:v>
                </c:pt>
                <c:pt idx="138">
                  <c:v>2.3503106361095538E-2</c:v>
                </c:pt>
                <c:pt idx="139">
                  <c:v>2.3525830870380737E-2</c:v>
                </c:pt>
                <c:pt idx="140">
                  <c:v>2.3548554850833292E-2</c:v>
                </c:pt>
                <c:pt idx="141">
                  <c:v>2.3571278302465637E-2</c:v>
                </c:pt>
                <c:pt idx="142">
                  <c:v>2.3594001225290095E-2</c:v>
                </c:pt>
                <c:pt idx="143">
                  <c:v>2.3616723619318991E-2</c:v>
                </c:pt>
                <c:pt idx="144">
                  <c:v>2.3639445484564536E-2</c:v>
                </c:pt>
                <c:pt idx="145">
                  <c:v>2.3662166821039055E-2</c:v>
                </c:pt>
                <c:pt idx="146">
                  <c:v>2.3684887628754869E-2</c:v>
                </c:pt>
                <c:pt idx="147">
                  <c:v>2.3707607907724304E-2</c:v>
                </c:pt>
                <c:pt idx="148">
                  <c:v>2.3730327657959682E-2</c:v>
                </c:pt>
                <c:pt idx="149">
                  <c:v>2.3753046879473327E-2</c:v>
                </c:pt>
                <c:pt idx="150">
                  <c:v>2.3775765572277452E-2</c:v>
                </c:pt>
                <c:pt idx="151">
                  <c:v>2.3798483736384379E-2</c:v>
                </c:pt>
                <c:pt idx="152">
                  <c:v>2.3821201371806433E-2</c:v>
                </c:pt>
                <c:pt idx="153">
                  <c:v>2.3843918478556048E-2</c:v>
                </c:pt>
                <c:pt idx="154">
                  <c:v>2.3866635056645213E-2</c:v>
                </c:pt>
                <c:pt idx="155">
                  <c:v>2.3889351106086587E-2</c:v>
                </c:pt>
                <c:pt idx="156">
                  <c:v>2.3912066626892159E-2</c:v>
                </c:pt>
                <c:pt idx="157">
                  <c:v>2.3934781619074474E-2</c:v>
                </c:pt>
                <c:pt idx="158">
                  <c:v>2.3957496082645746E-2</c:v>
                </c:pt>
                <c:pt idx="159">
                  <c:v>2.3980210017618186E-2</c:v>
                </c:pt>
                <c:pt idx="160">
                  <c:v>2.400292342400423E-2</c:v>
                </c:pt>
                <c:pt idx="161">
                  <c:v>2.4025636301816089E-2</c:v>
                </c:pt>
                <c:pt idx="162">
                  <c:v>2.4048348651066198E-2</c:v>
                </c:pt>
                <c:pt idx="163">
                  <c:v>2.4071060471766659E-2</c:v>
                </c:pt>
                <c:pt idx="164">
                  <c:v>2.4093771763929905E-2</c:v>
                </c:pt>
                <c:pt idx="165">
                  <c:v>2.411648252756815E-2</c:v>
                </c:pt>
                <c:pt idx="166">
                  <c:v>2.4139192762693829E-2</c:v>
                </c:pt>
                <c:pt idx="167">
                  <c:v>2.4161902469319152E-2</c:v>
                </c:pt>
                <c:pt idx="168">
                  <c:v>2.4184611647456333E-2</c:v>
                </c:pt>
                <c:pt idx="169">
                  <c:v>2.4207320297117918E-2</c:v>
                </c:pt>
                <c:pt idx="170">
                  <c:v>2.4230028418315896E-2</c:v>
                </c:pt>
                <c:pt idx="171">
                  <c:v>2.4252736011062814E-2</c:v>
                </c:pt>
                <c:pt idx="172">
                  <c:v>2.4275443075370773E-2</c:v>
                </c:pt>
                <c:pt idx="173">
                  <c:v>2.4298149611252318E-2</c:v>
                </c:pt>
                <c:pt idx="174">
                  <c:v>2.432085561871955E-2</c:v>
                </c:pt>
                <c:pt idx="175">
                  <c:v>2.4343561097784794E-2</c:v>
                </c:pt>
                <c:pt idx="176">
                  <c:v>2.4366266048460372E-2</c:v>
                </c:pt>
                <c:pt idx="177">
                  <c:v>2.4388970470758498E-2</c:v>
                </c:pt>
                <c:pt idx="178">
                  <c:v>2.4411674364691716E-2</c:v>
                </c:pt>
                <c:pt idx="179">
                  <c:v>2.4434377730272017E-2</c:v>
                </c:pt>
                <c:pt idx="180">
                  <c:v>2.4457080567511835E-2</c:v>
                </c:pt>
                <c:pt idx="181">
                  <c:v>2.4479782876423495E-2</c:v>
                </c:pt>
                <c:pt idx="182">
                  <c:v>2.4502484657019319E-2</c:v>
                </c:pt>
                <c:pt idx="183">
                  <c:v>2.452518590931152E-2</c:v>
                </c:pt>
                <c:pt idx="184">
                  <c:v>2.4547886633312421E-2</c:v>
                </c:pt>
                <c:pt idx="185">
                  <c:v>2.4570586829034236E-2</c:v>
                </c:pt>
                <c:pt idx="186">
                  <c:v>2.4593286496489397E-2</c:v>
                </c:pt>
                <c:pt idx="187">
                  <c:v>2.4615985635690119E-2</c:v>
                </c:pt>
                <c:pt idx="188">
                  <c:v>2.4638684246648723E-2</c:v>
                </c:pt>
                <c:pt idx="189">
                  <c:v>2.4661382329377424E-2</c:v>
                </c:pt>
                <c:pt idx="190">
                  <c:v>2.4684079883888654E-2</c:v>
                </c:pt>
                <c:pt idx="191">
                  <c:v>2.4706776910194628E-2</c:v>
                </c:pt>
                <c:pt idx="192">
                  <c:v>2.4729473408307667E-2</c:v>
                </c:pt>
                <c:pt idx="193">
                  <c:v>2.4752169378239985E-2</c:v>
                </c:pt>
                <c:pt idx="194">
                  <c:v>2.4774864820003906E-2</c:v>
                </c:pt>
                <c:pt idx="195">
                  <c:v>2.4797559733611751E-2</c:v>
                </c:pt>
                <c:pt idx="196">
                  <c:v>2.4820254119075846E-2</c:v>
                </c:pt>
                <c:pt idx="197">
                  <c:v>2.4842947976408403E-2</c:v>
                </c:pt>
                <c:pt idx="198">
                  <c:v>2.4865641305621744E-2</c:v>
                </c:pt>
                <c:pt idx="199">
                  <c:v>2.4888334106728194E-2</c:v>
                </c:pt>
                <c:pt idx="200">
                  <c:v>2.4911026379739964E-2</c:v>
                </c:pt>
                <c:pt idx="201">
                  <c:v>2.4933718124669491E-2</c:v>
                </c:pt>
                <c:pt idx="202">
                  <c:v>2.4956409341528873E-2</c:v>
                </c:pt>
                <c:pt idx="203">
                  <c:v>2.4979100030330437E-2</c:v>
                </c:pt>
                <c:pt idx="204">
                  <c:v>2.5001790191086615E-2</c:v>
                </c:pt>
                <c:pt idx="205">
                  <c:v>2.502447982380962E-2</c:v>
                </c:pt>
                <c:pt idx="206">
                  <c:v>2.5047168928511665E-2</c:v>
                </c:pt>
                <c:pt idx="207">
                  <c:v>2.5069857505205073E-2</c:v>
                </c:pt>
                <c:pt idx="208">
                  <c:v>2.5092545553902279E-2</c:v>
                </c:pt>
                <c:pt idx="209">
                  <c:v>2.5115233074615273E-2</c:v>
                </c:pt>
                <c:pt idx="210">
                  <c:v>2.5137920067356601E-2</c:v>
                </c:pt>
                <c:pt idx="211">
                  <c:v>2.5160606532138474E-2</c:v>
                </c:pt>
                <c:pt idx="212">
                  <c:v>2.5183292468973217E-2</c:v>
                </c:pt>
                <c:pt idx="213">
                  <c:v>2.5205977877873043E-2</c:v>
                </c:pt>
                <c:pt idx="214">
                  <c:v>2.5228662758850162E-2</c:v>
                </c:pt>
                <c:pt idx="215">
                  <c:v>2.5251347111917122E-2</c:v>
                </c:pt>
                <c:pt idx="216">
                  <c:v>2.5274030937085912E-2</c:v>
                </c:pt>
                <c:pt idx="217">
                  <c:v>2.5296714234368967E-2</c:v>
                </c:pt>
                <c:pt idx="218">
                  <c:v>2.531939700377861E-2</c:v>
                </c:pt>
                <c:pt idx="219">
                  <c:v>2.5342079245327054E-2</c:v>
                </c:pt>
                <c:pt idx="220">
                  <c:v>2.5364760959026622E-2</c:v>
                </c:pt>
                <c:pt idx="221">
                  <c:v>2.5387442144889527E-2</c:v>
                </c:pt>
                <c:pt idx="222">
                  <c:v>2.5410122802928092E-2</c:v>
                </c:pt>
                <c:pt idx="223">
                  <c:v>2.5432802933154641E-2</c:v>
                </c:pt>
                <c:pt idx="224">
                  <c:v>2.5455482535581497E-2</c:v>
                </c:pt>
                <c:pt idx="225">
                  <c:v>2.5478161610220762E-2</c:v>
                </c:pt>
                <c:pt idx="226">
                  <c:v>2.550084015708487E-2</c:v>
                </c:pt>
                <c:pt idx="227">
                  <c:v>2.5523518176186033E-2</c:v>
                </c:pt>
                <c:pt idx="228">
                  <c:v>2.5546195667536575E-2</c:v>
                </c:pt>
                <c:pt idx="229">
                  <c:v>2.556887263114882E-2</c:v>
                </c:pt>
                <c:pt idx="230">
                  <c:v>2.559154906703498E-2</c:v>
                </c:pt>
                <c:pt idx="231">
                  <c:v>2.5614224975207267E-2</c:v>
                </c:pt>
                <c:pt idx="232">
                  <c:v>2.5636900355678116E-2</c:v>
                </c:pt>
                <c:pt idx="233">
                  <c:v>2.5659575208459739E-2</c:v>
                </c:pt>
                <c:pt idx="234">
                  <c:v>2.568224953356435E-2</c:v>
                </c:pt>
                <c:pt idx="235">
                  <c:v>2.5704923331004381E-2</c:v>
                </c:pt>
                <c:pt idx="236">
                  <c:v>2.5727596600791935E-2</c:v>
                </c:pt>
                <c:pt idx="237">
                  <c:v>2.5750269342939447E-2</c:v>
                </c:pt>
                <c:pt idx="238">
                  <c:v>2.5772941557459017E-2</c:v>
                </c:pt>
                <c:pt idx="239">
                  <c:v>2.5795613244363191E-2</c:v>
                </c:pt>
                <c:pt idx="240">
                  <c:v>2.581828440366396E-2</c:v>
                </c:pt>
                <c:pt idx="241">
                  <c:v>2.5840955035373758E-2</c:v>
                </c:pt>
                <c:pt idx="242">
                  <c:v>2.5863625139504909E-2</c:v>
                </c:pt>
                <c:pt idx="243">
                  <c:v>2.5886294716069513E-2</c:v>
                </c:pt>
                <c:pt idx="244">
                  <c:v>2.5908963765080006E-2</c:v>
                </c:pt>
                <c:pt idx="245">
                  <c:v>2.59316322865486E-2</c:v>
                </c:pt>
                <c:pt idx="246">
                  <c:v>2.5954300280487619E-2</c:v>
                </c:pt>
                <c:pt idx="247">
                  <c:v>2.5976967746909274E-2</c:v>
                </c:pt>
                <c:pt idx="248">
                  <c:v>2.599963468582589E-2</c:v>
                </c:pt>
                <c:pt idx="249">
                  <c:v>2.6022301097249678E-2</c:v>
                </c:pt>
                <c:pt idx="250">
                  <c:v>2.6044966981192963E-2</c:v>
                </c:pt>
                <c:pt idx="251">
                  <c:v>2.6067632337668067E-2</c:v>
                </c:pt>
                <c:pt idx="252">
                  <c:v>2.6090297166687204E-2</c:v>
                </c:pt>
                <c:pt idx="253">
                  <c:v>2.6112961468262585E-2</c:v>
                </c:pt>
                <c:pt idx="254">
                  <c:v>2.6135625242406646E-2</c:v>
                </c:pt>
                <c:pt idx="255">
                  <c:v>2.6158288489131487E-2</c:v>
                </c:pt>
                <c:pt idx="256">
                  <c:v>2.6180951208449543E-2</c:v>
                </c:pt>
                <c:pt idx="257">
                  <c:v>2.6203613400373027E-2</c:v>
                </c:pt>
                <c:pt idx="258">
                  <c:v>2.6226275064914151E-2</c:v>
                </c:pt>
                <c:pt idx="259">
                  <c:v>2.6248936202085238E-2</c:v>
                </c:pt>
                <c:pt idx="260">
                  <c:v>2.6271596811898612E-2</c:v>
                </c:pt>
                <c:pt idx="261">
                  <c:v>2.6294256894366375E-2</c:v>
                </c:pt>
                <c:pt idx="262">
                  <c:v>2.631691644950096E-2</c:v>
                </c:pt>
                <c:pt idx="263">
                  <c:v>2.6339575477314692E-2</c:v>
                </c:pt>
                <c:pt idx="264">
                  <c:v>2.6362233977819671E-2</c:v>
                </c:pt>
                <c:pt idx="265">
                  <c:v>2.6384891951028222E-2</c:v>
                </c:pt>
                <c:pt idx="266">
                  <c:v>2.6407549396952668E-2</c:v>
                </c:pt>
                <c:pt idx="267">
                  <c:v>2.643020631560522E-2</c:v>
                </c:pt>
                <c:pt idx="268">
                  <c:v>2.6452862706998204E-2</c:v>
                </c:pt>
                <c:pt idx="269">
                  <c:v>2.647551857114383E-2</c:v>
                </c:pt>
                <c:pt idx="270">
                  <c:v>2.6498173908054423E-2</c:v>
                </c:pt>
                <c:pt idx="271">
                  <c:v>2.6520828717742195E-2</c:v>
                </c:pt>
                <c:pt idx="272">
                  <c:v>2.654348300021947E-2</c:v>
                </c:pt>
                <c:pt idx="273">
                  <c:v>2.656613675549846E-2</c:v>
                </c:pt>
                <c:pt idx="274">
                  <c:v>2.6588789983591488E-2</c:v>
                </c:pt>
                <c:pt idx="275">
                  <c:v>2.6611442684510878E-2</c:v>
                </c:pt>
                <c:pt idx="276">
                  <c:v>2.6634094858268731E-2</c:v>
                </c:pt>
                <c:pt idx="277">
                  <c:v>2.6656746504877482E-2</c:v>
                </c:pt>
                <c:pt idx="278">
                  <c:v>2.6679397624349233E-2</c:v>
                </c:pt>
                <c:pt idx="279">
                  <c:v>2.6702048216696417E-2</c:v>
                </c:pt>
                <c:pt idx="280">
                  <c:v>2.6724698281931247E-2</c:v>
                </c:pt>
                <c:pt idx="281">
                  <c:v>2.6747347820065936E-2</c:v>
                </c:pt>
                <c:pt idx="282">
                  <c:v>2.6769996831112697E-2</c:v>
                </c:pt>
                <c:pt idx="283">
                  <c:v>2.6792645315083963E-2</c:v>
                </c:pt>
                <c:pt idx="284">
                  <c:v>2.6815293271991947E-2</c:v>
                </c:pt>
                <c:pt idx="285">
                  <c:v>2.6837940701848861E-2</c:v>
                </c:pt>
                <c:pt idx="286">
                  <c:v>2.686058760466703E-2</c:v>
                </c:pt>
                <c:pt idx="287">
                  <c:v>2.6883233980458665E-2</c:v>
                </c:pt>
                <c:pt idx="288">
                  <c:v>2.6905879829235979E-2</c:v>
                </c:pt>
                <c:pt idx="289">
                  <c:v>2.6928525151011407E-2</c:v>
                </c:pt>
                <c:pt idx="290">
                  <c:v>2.6951169945797049E-2</c:v>
                </c:pt>
                <c:pt idx="291">
                  <c:v>2.697381421360534E-2</c:v>
                </c:pt>
                <c:pt idx="292">
                  <c:v>2.6996457954448272E-2</c:v>
                </c:pt>
                <c:pt idx="293">
                  <c:v>2.7019101168338389E-2</c:v>
                </c:pt>
                <c:pt idx="294">
                  <c:v>2.7041743855287792E-2</c:v>
                </c:pt>
                <c:pt idx="295">
                  <c:v>2.7064386015308806E-2</c:v>
                </c:pt>
                <c:pt idx="296">
                  <c:v>2.7087027648413753E-2</c:v>
                </c:pt>
                <c:pt idx="297">
                  <c:v>2.7109668754614735E-2</c:v>
                </c:pt>
                <c:pt idx="298">
                  <c:v>2.7132309333924076E-2</c:v>
                </c:pt>
                <c:pt idx="299">
                  <c:v>2.7154949386354099E-2</c:v>
                </c:pt>
                <c:pt idx="300">
                  <c:v>2.7177588911917017E-2</c:v>
                </c:pt>
                <c:pt idx="301">
                  <c:v>2.7200227910625152E-2</c:v>
                </c:pt>
                <c:pt idx="302">
                  <c:v>2.7222866382490607E-2</c:v>
                </c:pt>
                <c:pt idx="303">
                  <c:v>2.7245504327525816E-2</c:v>
                </c:pt>
                <c:pt idx="304">
                  <c:v>2.7268141745742991E-2</c:v>
                </c:pt>
                <c:pt idx="305">
                  <c:v>2.7290778637154345E-2</c:v>
                </c:pt>
                <c:pt idx="306">
                  <c:v>2.7313415001772201E-2</c:v>
                </c:pt>
                <c:pt idx="307">
                  <c:v>2.7336050839608772E-2</c:v>
                </c:pt>
                <c:pt idx="308">
                  <c:v>2.735868615067627E-2</c:v>
                </c:pt>
                <c:pt idx="309">
                  <c:v>2.7381320934987019E-2</c:v>
                </c:pt>
                <c:pt idx="310">
                  <c:v>2.7403955192553342E-2</c:v>
                </c:pt>
                <c:pt idx="311">
                  <c:v>2.7426588923387341E-2</c:v>
                </c:pt>
                <c:pt idx="312">
                  <c:v>2.7449222127501449E-2</c:v>
                </c:pt>
                <c:pt idx="313">
                  <c:v>2.7471854804907769E-2</c:v>
                </c:pt>
                <c:pt idx="314">
                  <c:v>2.7494486955618624E-2</c:v>
                </c:pt>
                <c:pt idx="315">
                  <c:v>2.7517118579646338E-2</c:v>
                </c:pt>
                <c:pt idx="316">
                  <c:v>2.7539749677003011E-2</c:v>
                </c:pt>
                <c:pt idx="317">
                  <c:v>2.7562380247701079E-2</c:v>
                </c:pt>
                <c:pt idx="318">
                  <c:v>2.7585010291752643E-2</c:v>
                </c:pt>
                <c:pt idx="319">
                  <c:v>2.7607639809170026E-2</c:v>
                </c:pt>
                <c:pt idx="320">
                  <c:v>2.7630268799965441E-2</c:v>
                </c:pt>
                <c:pt idx="321">
                  <c:v>2.7652897264151211E-2</c:v>
                </c:pt>
                <c:pt idx="322">
                  <c:v>2.7675525201739548E-2</c:v>
                </c:pt>
                <c:pt idx="323">
                  <c:v>2.7698152612742777E-2</c:v>
                </c:pt>
                <c:pt idx="324">
                  <c:v>2.7720779497172998E-2</c:v>
                </c:pt>
                <c:pt idx="325">
                  <c:v>2.7743405855042647E-2</c:v>
                </c:pt>
                <c:pt idx="326">
                  <c:v>2.7766031686363823E-2</c:v>
                </c:pt>
                <c:pt idx="327">
                  <c:v>2.7788656991148963E-2</c:v>
                </c:pt>
                <c:pt idx="328">
                  <c:v>2.7811281769410168E-2</c:v>
                </c:pt>
                <c:pt idx="329">
                  <c:v>2.7833906021159649E-2</c:v>
                </c:pt>
                <c:pt idx="330">
                  <c:v>2.7856529746409842E-2</c:v>
                </c:pt>
                <c:pt idx="331">
                  <c:v>2.7879152945172847E-2</c:v>
                </c:pt>
                <c:pt idx="332">
                  <c:v>2.7901775617460878E-2</c:v>
                </c:pt>
                <c:pt idx="333">
                  <c:v>2.7924397763286368E-2</c:v>
                </c:pt>
                <c:pt idx="334">
                  <c:v>2.7947019382661531E-2</c:v>
                </c:pt>
                <c:pt idx="335">
                  <c:v>2.7969640475598467E-2</c:v>
                </c:pt>
                <c:pt idx="336">
                  <c:v>2.7992261042109612E-2</c:v>
                </c:pt>
                <c:pt idx="337">
                  <c:v>2.8014881082207066E-2</c:v>
                </c:pt>
                <c:pt idx="338">
                  <c:v>2.8037500595903153E-2</c:v>
                </c:pt>
                <c:pt idx="339">
                  <c:v>2.8060119583210086E-2</c:v>
                </c:pt>
                <c:pt idx="340">
                  <c:v>2.8082738044140187E-2</c:v>
                </c:pt>
                <c:pt idx="341">
                  <c:v>2.810535597870556E-2</c:v>
                </c:pt>
                <c:pt idx="342">
                  <c:v>2.8127973386918637E-2</c:v>
                </c:pt>
                <c:pt idx="343">
                  <c:v>2.8150590268791631E-2</c:v>
                </c:pt>
                <c:pt idx="344">
                  <c:v>2.8173206624336644E-2</c:v>
                </c:pt>
                <c:pt idx="345">
                  <c:v>2.8195822453566111E-2</c:v>
                </c:pt>
                <c:pt idx="346">
                  <c:v>2.8218437756492132E-2</c:v>
                </c:pt>
                <c:pt idx="347">
                  <c:v>2.8241052533127031E-2</c:v>
                </c:pt>
                <c:pt idx="348">
                  <c:v>2.8263666783483021E-2</c:v>
                </c:pt>
                <c:pt idx="349">
                  <c:v>2.8286280507572426E-2</c:v>
                </c:pt>
                <c:pt idx="350">
                  <c:v>2.8308893705407345E-2</c:v>
                </c:pt>
                <c:pt idx="351">
                  <c:v>2.8331506377000215E-2</c:v>
                </c:pt>
                <c:pt idx="352">
                  <c:v>2.8354118522363136E-2</c:v>
                </c:pt>
                <c:pt idx="353">
                  <c:v>2.8376730141508322E-2</c:v>
                </c:pt>
                <c:pt idx="354">
                  <c:v>2.8399341234448205E-2</c:v>
                </c:pt>
                <c:pt idx="355">
                  <c:v>2.8421951801194889E-2</c:v>
                </c:pt>
                <c:pt idx="356">
                  <c:v>2.8444561841760696E-2</c:v>
                </c:pt>
                <c:pt idx="357">
                  <c:v>2.8467171356157728E-2</c:v>
                </c:pt>
                <c:pt idx="358">
                  <c:v>2.8489780344398419E-2</c:v>
                </c:pt>
                <c:pt idx="359">
                  <c:v>2.8512388806494871E-2</c:v>
                </c:pt>
                <c:pt idx="360">
                  <c:v>2.8534996742459406E-2</c:v>
                </c:pt>
                <c:pt idx="361">
                  <c:v>2.8557604152304239E-2</c:v>
                </c:pt>
                <c:pt idx="362">
                  <c:v>2.8580211036041581E-2</c:v>
                </c:pt>
                <c:pt idx="363">
                  <c:v>2.8602817393683755E-2</c:v>
                </c:pt>
                <c:pt idx="364">
                  <c:v>2.8625423225242974E-2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0.10553674568272284</c:v>
                </c:pt>
                <c:pt idx="1">
                  <c:v>0.1056032357099007</c:v>
                </c:pt>
                <c:pt idx="2">
                  <c:v>0.10566988039265945</c:v>
                </c:pt>
                <c:pt idx="3">
                  <c:v>0.10573665555673786</c:v>
                </c:pt>
                <c:pt idx="4">
                  <c:v>0.10580354015482486</c:v>
                </c:pt>
                <c:pt idx="5">
                  <c:v>0.10587051617378032</c:v>
                </c:pt>
                <c:pt idx="6">
                  <c:v>0.10593756851810264</c:v>
                </c:pt>
                <c:pt idx="7">
                  <c:v>0.10600468487156305</c:v>
                </c:pt>
                <c:pt idx="8">
                  <c:v>0.10607185553908705</c:v>
                </c:pt>
                <c:pt idx="9">
                  <c:v>0.10613907327110322</c:v>
                </c:pt>
                <c:pt idx="10">
                  <c:v>0.10620633307269463</c:v>
                </c:pt>
                <c:pt idx="11">
                  <c:v>0.106273631999979</c:v>
                </c:pt>
                <c:pt idx="12">
                  <c:v>0.10634096894621065</c:v>
                </c:pt>
                <c:pt idx="13">
                  <c:v>0.10640834442013697</c:v>
                </c:pt>
                <c:pt idx="14">
                  <c:v>0.10647576031915912</c:v>
                </c:pt>
                <c:pt idx="15">
                  <c:v>0.10654321969983686</c:v>
                </c:pt>
                <c:pt idx="16">
                  <c:v>0.10661072654824337</c:v>
                </c:pt>
                <c:pt idx="17">
                  <c:v>0.10667828555261877</c:v>
                </c:pt>
                <c:pt idx="18">
                  <c:v>0.10674590188069021</c:v>
                </c:pt>
                <c:pt idx="19">
                  <c:v>0.10681358096392445</c:v>
                </c:pt>
                <c:pt idx="20">
                  <c:v>0.10688132829085553</c:v>
                </c:pt>
                <c:pt idx="21">
                  <c:v>0.10694914921148962</c:v>
                </c:pt>
                <c:pt idx="22">
                  <c:v>0.10701704875462911</c:v>
                </c:pt>
                <c:pt idx="23">
                  <c:v>0.10708503145978597</c:v>
                </c:pt>
                <c:pt idx="24">
                  <c:v>0.10715310122516469</c:v>
                </c:pt>
                <c:pt idx="25">
                  <c:v>0.10722126117299954</c:v>
                </c:pt>
                <c:pt idx="26">
                  <c:v>0.10728951353332092</c:v>
                </c:pt>
                <c:pt idx="27">
                  <c:v>0.10735785954701314</c:v>
                </c:pt>
                <c:pt idx="28">
                  <c:v>0.10742629938880666</c:v>
                </c:pt>
                <c:pt idx="29">
                  <c:v>0.10749483211062705</c:v>
                </c:pt>
                <c:pt idx="30">
                  <c:v>0.10756345560550244</c:v>
                </c:pt>
                <c:pt idx="31">
                  <c:v>0.10763216659201284</c:v>
                </c:pt>
                <c:pt idx="32">
                  <c:v>0.10770096061905064</c:v>
                </c:pt>
                <c:pt idx="33">
                  <c:v>0.10776983209045572</c:v>
                </c:pt>
                <c:pt idx="34">
                  <c:v>0.10783877430888796</c:v>
                </c:pt>
                <c:pt idx="35">
                  <c:v>0.10790777953811491</c:v>
                </c:pt>
                <c:pt idx="36">
                  <c:v>0.10797683908271455</c:v>
                </c:pt>
                <c:pt idx="37">
                  <c:v>0.10804594338403305</c:v>
                </c:pt>
                <c:pt idx="38">
                  <c:v>0.10811508213109024</c:v>
                </c:pt>
                <c:pt idx="39">
                  <c:v>0.10818424438499644</c:v>
                </c:pt>
                <c:pt idx="40">
                  <c:v>0.10825341871533246</c:v>
                </c:pt>
                <c:pt idx="41">
                  <c:v>0.10832259334685018</c:v>
                </c:pt>
                <c:pt idx="42">
                  <c:v>0.10839175631477761</c:v>
                </c:pt>
                <c:pt idx="43">
                  <c:v>0.10846089562695717</c:v>
                </c:pt>
                <c:pt idx="44">
                  <c:v>0.10852999943100998</c:v>
                </c:pt>
                <c:pt idx="45">
                  <c:v>0.10859905618470489</c:v>
                </c:pt>
                <c:pt idx="46">
                  <c:v>0.10866805482771316</c:v>
                </c:pt>
                <c:pt idx="47">
                  <c:v>0.10873698495295361</c:v>
                </c:pt>
                <c:pt idx="48">
                  <c:v>0.10880583697577489</c:v>
                </c:pt>
                <c:pt idx="49">
                  <c:v>0.10887460229927864</c:v>
                </c:pt>
                <c:pt idx="50">
                  <c:v>0.10894327347416452</c:v>
                </c:pt>
                <c:pt idx="51">
                  <c:v>0.10901184435156731</c:v>
                </c:pt>
                <c:pt idx="52">
                  <c:v>0.1090803102274623</c:v>
                </c:pt>
                <c:pt idx="53">
                  <c:v>0.10914866797733187</c:v>
                </c:pt>
                <c:pt idx="54">
                  <c:v>0.10921691617991373</c:v>
                </c:pt>
                <c:pt idx="55">
                  <c:v>0.10928505522899157</c:v>
                </c:pt>
                <c:pt idx="56">
                  <c:v>0.10935308743233051</c:v>
                </c:pt>
                <c:pt idx="57">
                  <c:v>0.10942101709701411</c:v>
                </c:pt>
                <c:pt idx="58">
                  <c:v>0.10948885060059275</c:v>
                </c:pt>
                <c:pt idx="59">
                  <c:v>0.10955659644761087</c:v>
                </c:pt>
                <c:pt idx="60">
                  <c:v>0.10962426531123839</c:v>
                </c:pt>
                <c:pt idx="61">
                  <c:v>0.10969187005988684</c:v>
                </c:pt>
                <c:pt idx="62">
                  <c:v>0.10975942576884373</c:v>
                </c:pt>
                <c:pt idx="63">
                  <c:v>0.10982694971710578</c:v>
                </c:pt>
                <c:pt idx="64">
                  <c:v>0.10989446136973371</c:v>
                </c:pt>
                <c:pt idx="65">
                  <c:v>0.1099619823461824</c:v>
                </c:pt>
                <c:pt idx="66">
                  <c:v>0.11002953637518528</c:v>
                </c:pt>
                <c:pt idx="67">
                  <c:v>0.11009714923688377</c:v>
                </c:pt>
                <c:pt idx="68">
                  <c:v>0.11016484869299283</c:v>
                </c:pt>
                <c:pt idx="69">
                  <c:v>0.11023266440588358</c:v>
                </c:pt>
                <c:pt idx="70">
                  <c:v>0.11030062784753621</c:v>
                </c:pt>
                <c:pt idx="71">
                  <c:v>0.11036877219937904</c:v>
                </c:pt>
                <c:pt idx="72">
                  <c:v>0.11043713224407442</c:v>
                </c:pt>
                <c:pt idx="73">
                  <c:v>0.11050574425034351</c:v>
                </c:pt>
                <c:pt idx="74">
                  <c:v>0.1105746458519395</c:v>
                </c:pt>
                <c:pt idx="75">
                  <c:v>0.11064387592187915</c:v>
                </c:pt>
                <c:pt idx="76">
                  <c:v>0.11071347444303216</c:v>
                </c:pt>
                <c:pt idx="77">
                  <c:v>0.11078348237614037</c:v>
                </c:pt>
                <c:pt idx="78">
                  <c:v>0.11085394152629989</c:v>
                </c:pt>
                <c:pt idx="79">
                  <c:v>0.1109248944088889</c:v>
                </c:pt>
                <c:pt idx="80">
                  <c:v>0.11099638411585952</c:v>
                </c:pt>
                <c:pt idx="81">
                  <c:v>0.11106845418324061</c:v>
                </c:pt>
                <c:pt idx="82">
                  <c:v>0.11114114846061605</c:v>
                </c:pt>
                <c:pt idx="83">
                  <c:v>0.11121451098325358</c:v>
                </c:pt>
                <c:pt idx="84">
                  <c:v>0.11128858584746359</c:v>
                </c:pt>
                <c:pt idx="85">
                  <c:v>0.11136341708966727</c:v>
                </c:pt>
                <c:pt idx="86">
                  <c:v>0.11143904856954938</c:v>
                </c:pt>
                <c:pt idx="87">
                  <c:v>0.11151552385756625</c:v>
                </c:pt>
                <c:pt idx="88">
                  <c:v>0.11159288612697406</c:v>
                </c:pt>
                <c:pt idx="89">
                  <c:v>0.11167117805043845</c:v>
                </c:pt>
                <c:pt idx="90">
                  <c:v>0.11175044170118623</c:v>
                </c:pt>
                <c:pt idx="91">
                  <c:v>0.11183071845856313</c:v>
                </c:pt>
                <c:pt idx="92">
                  <c:v>0.11191204891777157</c:v>
                </c:pt>
                <c:pt idx="93">
                  <c:v>0.1119944728034786</c:v>
                </c:pt>
                <c:pt idx="94">
                  <c:v>0.1120780288869104</c:v>
                </c:pt>
                <c:pt idx="95">
                  <c:v>0.11216275490598331</c:v>
                </c:pt>
                <c:pt idx="96">
                  <c:v>0.11224868748796776</c:v>
                </c:pt>
                <c:pt idx="97">
                  <c:v>0.1123358620741372</c:v>
                </c:pt>
                <c:pt idx="98">
                  <c:v>0.11242431284582395</c:v>
                </c:pt>
                <c:pt idx="99">
                  <c:v>0.11251407265128378</c:v>
                </c:pt>
                <c:pt idx="100">
                  <c:v>0.1126051729327664</c:v>
                </c:pt>
                <c:pt idx="101">
                  <c:v>0.11269764365319544</c:v>
                </c:pt>
                <c:pt idx="102">
                  <c:v>0.11279151322188263</c:v>
                </c:pt>
                <c:pt idx="103">
                  <c:v>0.11288680841873251</c:v>
                </c:pt>
                <c:pt idx="104">
                  <c:v>0.11298355431644178</c:v>
                </c:pt>
                <c:pt idx="105">
                  <c:v>0.11308177420025335</c:v>
                </c:pt>
                <c:pt idx="106">
                  <c:v>0.11318148948489463</c:v>
                </c:pt>
                <c:pt idx="107">
                  <c:v>0.11328271962840965</c:v>
                </c:pt>
                <c:pt idx="108">
                  <c:v>0.1133854820426822</c:v>
                </c:pt>
                <c:pt idx="109">
                  <c:v>1.8119499299608724E-2</c:v>
                </c:pt>
                <c:pt idx="110">
                  <c:v>1.8327060899399495E-2</c:v>
                </c:pt>
                <c:pt idx="111">
                  <c:v>1.8534813269798788E-2</c:v>
                </c:pt>
                <c:pt idx="112">
                  <c:v>1.8742765750616994E-2</c:v>
                </c:pt>
                <c:pt idx="113">
                  <c:v>1.8950927278697554E-2</c:v>
                </c:pt>
                <c:pt idx="114">
                  <c:v>1.9159306348537315E-2</c:v>
                </c:pt>
                <c:pt idx="115">
                  <c:v>1.936791097168352E-2</c:v>
                </c:pt>
                <c:pt idx="116">
                  <c:v>1.9576748635012645E-2</c:v>
                </c:pt>
                <c:pt idx="117">
                  <c:v>1.9785826258025031E-2</c:v>
                </c:pt>
                <c:pt idx="118">
                  <c:v>1.999515014931777E-2</c:v>
                </c:pt>
                <c:pt idx="119">
                  <c:v>2.0204725962427793E-2</c:v>
                </c:pt>
                <c:pt idx="120">
                  <c:v>2.0414558651265648E-2</c:v>
                </c:pt>
                <c:pt idx="121">
                  <c:v>2.0624652425389321E-2</c:v>
                </c:pt>
                <c:pt idx="122">
                  <c:v>2.0835010705393717E-2</c:v>
                </c:pt>
                <c:pt idx="123">
                  <c:v>2.1045636078718441E-2</c:v>
                </c:pt>
                <c:pt idx="124">
                  <c:v>2.1256530256198801E-2</c:v>
                </c:pt>
                <c:pt idx="125">
                  <c:v>2.146769402970795E-2</c:v>
                </c:pt>
                <c:pt idx="126">
                  <c:v>2.1679127231255712E-2</c:v>
                </c:pt>
                <c:pt idx="127">
                  <c:v>2.189082869392589E-2</c:v>
                </c:pt>
                <c:pt idx="128">
                  <c:v>2.2102796215046201E-2</c:v>
                </c:pt>
                <c:pt idx="129">
                  <c:v>2.2315026521992919E-2</c:v>
                </c:pt>
                <c:pt idx="130">
                  <c:v>2.2527515241037532E-2</c:v>
                </c:pt>
                <c:pt idx="131">
                  <c:v>2.2740256869642317E-2</c:v>
                </c:pt>
                <c:pt idx="132">
                  <c:v>2.2953244752607956E-2</c:v>
                </c:pt>
                <c:pt idx="133">
                  <c:v>2.3166471062467102E-2</c:v>
                </c:pt>
                <c:pt idx="134">
                  <c:v>2.33799267845048E-2</c:v>
                </c:pt>
                <c:pt idx="135">
                  <c:v>2.3593601706767671E-2</c:v>
                </c:pt>
                <c:pt idx="136">
                  <c:v>2.3807484415401588E-2</c:v>
                </c:pt>
                <c:pt idx="137">
                  <c:v>2.402156229562959E-2</c:v>
                </c:pt>
                <c:pt idx="138">
                  <c:v>2.4235821538649435E-2</c:v>
                </c:pt>
                <c:pt idx="139">
                  <c:v>2.445024715469447E-2</c:v>
                </c:pt>
                <c:pt idx="140">
                  <c:v>2.4664822992460231E-2</c:v>
                </c:pt>
                <c:pt idx="141">
                  <c:v>2.4879531765055429E-2</c:v>
                </c:pt>
                <c:pt idx="142">
                  <c:v>2.5094355082588133E-2</c:v>
                </c:pt>
                <c:pt idx="143">
                  <c:v>2.5309273491447067E-2</c:v>
                </c:pt>
                <c:pt idx="144">
                  <c:v>2.5524266520284895E-2</c:v>
                </c:pt>
                <c:pt idx="145">
                  <c:v>2.5739312732654715E-2</c:v>
                </c:pt>
                <c:pt idx="146">
                  <c:v>2.595438978619425E-2</c:v>
                </c:pt>
                <c:pt idx="147">
                  <c:v>2.6169474498193932E-2</c:v>
                </c:pt>
                <c:pt idx="148">
                  <c:v>2.6384542917326892E-2</c:v>
                </c:pt>
                <c:pt idx="149">
                  <c:v>2.6599570401260226E-2</c:v>
                </c:pt>
                <c:pt idx="150">
                  <c:v>2.681453169981015E-2</c:v>
                </c:pt>
                <c:pt idx="151">
                  <c:v>2.7029401043246231E-2</c:v>
                </c:pt>
                <c:pt idx="152">
                  <c:v>2.7244152235297168E-2</c:v>
                </c:pt>
                <c:pt idx="153">
                  <c:v>2.7458758750358025E-2</c:v>
                </c:pt>
                <c:pt idx="154">
                  <c:v>2.7673193834351177E-2</c:v>
                </c:pt>
                <c:pt idx="155">
                  <c:v>2.7887430608647998E-2</c:v>
                </c:pt>
                <c:pt idx="156">
                  <c:v>2.8101442176419026E-2</c:v>
                </c:pt>
                <c:pt idx="157">
                  <c:v>2.8315201730744113E-2</c:v>
                </c:pt>
                <c:pt idx="158">
                  <c:v>2.8528682663784281E-2</c:v>
                </c:pt>
                <c:pt idx="159">
                  <c:v>2.8741858676293034E-2</c:v>
                </c:pt>
                <c:pt idx="160">
                  <c:v>2.8954703886725726E-2</c:v>
                </c:pt>
                <c:pt idx="161">
                  <c:v>2.9167192939194713E-2</c:v>
                </c:pt>
                <c:pt idx="162">
                  <c:v>2.9379301109511809E-2</c:v>
                </c:pt>
                <c:pt idx="163">
                  <c:v>2.9591004408561709E-2</c:v>
                </c:pt>
                <c:pt idx="164">
                  <c:v>2.9802279682258553E-2</c:v>
                </c:pt>
                <c:pt idx="165">
                  <c:v>3.0013104707352644E-2</c:v>
                </c:pt>
                <c:pt idx="166">
                  <c:v>3.0223458282377557E-2</c:v>
                </c:pt>
                <c:pt idx="167">
                  <c:v>3.0433320313056143E-2</c:v>
                </c:pt>
                <c:pt idx="168">
                  <c:v>3.0642671891520805E-2</c:v>
                </c:pt>
                <c:pt idx="169">
                  <c:v>3.08514953687446E-2</c:v>
                </c:pt>
                <c:pt idx="170">
                  <c:v>3.1059774419628632E-2</c:v>
                </c:pt>
                <c:pt idx="171">
                  <c:v>3.1267494100244916E-2</c:v>
                </c:pt>
                <c:pt idx="172">
                  <c:v>3.1474640896793284E-2</c:v>
                </c:pt>
                <c:pt idx="173">
                  <c:v>3.1681202765893937E-2</c:v>
                </c:pt>
                <c:pt idx="174">
                  <c:v>3.1887169165906504E-2</c:v>
                </c:pt>
                <c:pt idx="175">
                  <c:v>3.209253107903607E-2</c:v>
                </c:pt>
                <c:pt idx="176">
                  <c:v>3.2297281024062846E-2</c:v>
                </c:pt>
                <c:pt idx="177">
                  <c:v>3.2501413059606604E-2</c:v>
                </c:pt>
                <c:pt idx="178">
                  <c:v>3.270492277791584E-2</c:v>
                </c:pt>
                <c:pt idx="179">
                  <c:v>3.290780728924942E-2</c:v>
                </c:pt>
                <c:pt idx="180">
                  <c:v>3.3110065196996413E-2</c:v>
                </c:pt>
                <c:pt idx="181">
                  <c:v>3.3311696563757272E-2</c:v>
                </c:pt>
                <c:pt idx="182">
                  <c:v>3.3512702868684609E-2</c:v>
                </c:pt>
                <c:pt idx="183">
                  <c:v>3.3713086956454363E-2</c:v>
                </c:pt>
                <c:pt idx="184">
                  <c:v>3.3912852978308664E-2</c:v>
                </c:pt>
                <c:pt idx="185">
                  <c:v>3.4112006325675966E-2</c:v>
                </c:pt>
                <c:pt idx="186">
                  <c:v>3.4310553556936137E-2</c:v>
                </c:pt>
                <c:pt idx="187">
                  <c:v>3.4508502317953063E-2</c:v>
                </c:pt>
                <c:pt idx="188">
                  <c:v>3.4705861257047041E-2</c:v>
                </c:pt>
                <c:pt idx="189">
                  <c:v>3.4902639935123062E-2</c:v>
                </c:pt>
                <c:pt idx="190">
                  <c:v>3.5098848731706413E-2</c:v>
                </c:pt>
                <c:pt idx="191">
                  <c:v>3.5294498747667248E-2</c:v>
                </c:pt>
                <c:pt idx="192">
                  <c:v>3.548960170543615E-2</c:v>
                </c:pt>
                <c:pt idx="193">
                  <c:v>3.568416984752653E-2</c:v>
                </c:pt>
                <c:pt idx="194">
                  <c:v>3.5878215834185982E-2</c:v>
                </c:pt>
                <c:pt idx="195">
                  <c:v>3.6071752640994409E-2</c:v>
                </c:pt>
                <c:pt idx="196">
                  <c:v>3.626479345721785E-2</c:v>
                </c:pt>
                <c:pt idx="197">
                  <c:v>3.6457351585706996E-2</c:v>
                </c:pt>
                <c:pt idx="198">
                  <c:v>3.6649440345103125E-2</c:v>
                </c:pt>
                <c:pt idx="199">
                  <c:v>3.6841072975080526E-2</c:v>
                </c:pt>
                <c:pt idx="200">
                  <c:v>3.7032262545312493E-2</c:v>
                </c:pt>
                <c:pt idx="201">
                  <c:v>3.7223021868800707E-2</c:v>
                </c:pt>
                <c:pt idx="202">
                  <c:v>3.741336342015316E-2</c:v>
                </c:pt>
                <c:pt idx="203">
                  <c:v>3.7603299259335594E-2</c:v>
                </c:pt>
                <c:pt idx="204">
                  <c:v>3.7792840961357245E-2</c:v>
                </c:pt>
                <c:pt idx="205">
                  <c:v>3.7981999552282167E-2</c:v>
                </c:pt>
                <c:pt idx="206">
                  <c:v>3.8170785451883918E-2</c:v>
                </c:pt>
                <c:pt idx="207">
                  <c:v>3.8359208423187553E-2</c:v>
                </c:pt>
                <c:pt idx="208">
                  <c:v>3.8547277529063423E-2</c:v>
                </c:pt>
                <c:pt idx="209">
                  <c:v>3.8735001095960862E-2</c:v>
                </c:pt>
                <c:pt idx="210">
                  <c:v>3.8922386684789763E-2</c:v>
                </c:pt>
                <c:pt idx="211">
                  <c:v>3.9109441068880736E-2</c:v>
                </c:pt>
                <c:pt idx="212">
                  <c:v>3.9296170218878421E-2</c:v>
                </c:pt>
                <c:pt idx="213">
                  <c:v>3.9482579294348424E-2</c:v>
                </c:pt>
                <c:pt idx="214">
                  <c:v>3.9668672641807977E-2</c:v>
                </c:pt>
                <c:pt idx="215">
                  <c:v>3.9854453798823804E-2</c:v>
                </c:pt>
                <c:pt idx="216">
                  <c:v>4.0039925503759698E-2</c:v>
                </c:pt>
                <c:pt idx="217">
                  <c:v>4.0225089710699866E-2</c:v>
                </c:pt>
                <c:pt idx="218">
                  <c:v>4.0409947609024818E-2</c:v>
                </c:pt>
                <c:pt idx="219">
                  <c:v>4.0594499647073581E-2</c:v>
                </c:pt>
                <c:pt idx="220">
                  <c:v>4.0778745559290931E-2</c:v>
                </c:pt>
                <c:pt idx="221">
                  <c:v>4.0962684396230194E-2</c:v>
                </c:pt>
                <c:pt idx="222">
                  <c:v>4.1146314556763576E-2</c:v>
                </c:pt>
                <c:pt idx="223">
                  <c:v>4.132963382183983E-2</c:v>
                </c:pt>
                <c:pt idx="224">
                  <c:v>4.1512639389127651E-2</c:v>
                </c:pt>
                <c:pt idx="225">
                  <c:v>4.1695327907888713E-2</c:v>
                </c:pt>
                <c:pt idx="226">
                  <c:v>4.1877695513439138E-2</c:v>
                </c:pt>
                <c:pt idx="227">
                  <c:v>4.2059737860581391E-2</c:v>
                </c:pt>
                <c:pt idx="228">
                  <c:v>4.2241450155420295E-2</c:v>
                </c:pt>
                <c:pt idx="229">
                  <c:v>4.24228271850157E-2</c:v>
                </c:pt>
                <c:pt idx="230">
                  <c:v>4.2603863344371398E-2</c:v>
                </c:pt>
                <c:pt idx="231">
                  <c:v>4.2784552660313488E-2</c:v>
                </c:pt>
                <c:pt idx="232">
                  <c:v>4.296488881187166E-2</c:v>
                </c:pt>
                <c:pt idx="233">
                  <c:v>4.3144865146841925E-2</c:v>
                </c:pt>
                <c:pt idx="234">
                  <c:v>4.3324474694280954E-2</c:v>
                </c:pt>
                <c:pt idx="235">
                  <c:v>4.3503710172755401E-2</c:v>
                </c:pt>
                <c:pt idx="236">
                  <c:v>4.3682563994248975E-2</c:v>
                </c:pt>
                <c:pt idx="237">
                  <c:v>4.386102826370869E-2</c:v>
                </c:pt>
                <c:pt idx="238">
                  <c:v>4.4039094774294192E-2</c:v>
                </c:pt>
                <c:pt idx="239">
                  <c:v>4.4216754998475057E-2</c:v>
                </c:pt>
                <c:pt idx="240">
                  <c:v>4.4394000075202313E-2</c:v>
                </c:pt>
                <c:pt idx="241">
                  <c:v>4.4570820793459365E-2</c:v>
                </c:pt>
                <c:pt idx="242">
                  <c:v>4.4747207572574658E-2</c:v>
                </c:pt>
                <c:pt idx="243">
                  <c:v>4.4923150439750474E-2</c:v>
                </c:pt>
                <c:pt idx="244">
                  <c:v>4.509863900533128E-2</c:v>
                </c:pt>
                <c:pt idx="245">
                  <c:v>4.5273662436396925E-2</c:v>
                </c:pt>
                <c:pt idx="246">
                  <c:v>4.5448209429322824E-2</c:v>
                </c:pt>
                <c:pt idx="247">
                  <c:v>4.562226818199798E-2</c:v>
                </c:pt>
                <c:pt idx="248">
                  <c:v>4.5795826366432396E-2</c:v>
                </c:pt>
                <c:pt idx="249">
                  <c:v>4.5968871102518516E-2</c:v>
                </c:pt>
                <c:pt idx="250">
                  <c:v>4.6141388933733797E-2</c:v>
                </c:pt>
                <c:pt idx="251">
                  <c:v>4.631336580558567E-2</c:v>
                </c:pt>
                <c:pt idx="252">
                  <c:v>4.6484787047603532E-2</c:v>
                </c:pt>
                <c:pt idx="253">
                  <c:v>4.6655637359675539E-2</c:v>
                </c:pt>
                <c:pt idx="254">
                  <c:v>4.6825900803511303E-2</c:v>
                </c:pt>
                <c:pt idx="255">
                  <c:v>4.6995560799983634E-2</c:v>
                </c:pt>
                <c:pt idx="256">
                  <c:v>4.7164600133065462E-2</c:v>
                </c:pt>
                <c:pt idx="257">
                  <c:v>4.733300096102902E-2</c:v>
                </c:pt>
                <c:pt idx="258">
                  <c:v>4.7500744835517653E-2</c:v>
                </c:pt>
                <c:pt idx="259">
                  <c:v>4.7667812729033282E-2</c:v>
                </c:pt>
                <c:pt idx="260">
                  <c:v>4.7834185071306226E-2</c:v>
                </c:pt>
                <c:pt idx="261">
                  <c:v>4.799984179493106E-2</c:v>
                </c:pt>
                <c:pt idx="262">
                  <c:v>4.8164762390559834E-2</c:v>
                </c:pt>
                <c:pt idx="263">
                  <c:v>4.8328925971846841E-2</c:v>
                </c:pt>
                <c:pt idx="264">
                  <c:v>4.849231135023549E-2</c:v>
                </c:pt>
                <c:pt idx="265">
                  <c:v>4.8654897119569614E-2</c:v>
                </c:pt>
                <c:pt idx="266">
                  <c:v>4.8816661750400642E-2</c:v>
                </c:pt>
                <c:pt idx="267">
                  <c:v>4.8977583693747745E-2</c:v>
                </c:pt>
                <c:pt idx="268">
                  <c:v>4.9137641493953679E-2</c:v>
                </c:pt>
                <c:pt idx="269">
                  <c:v>4.9296813910163918E-2</c:v>
                </c:pt>
                <c:pt idx="270">
                  <c:v>4.9455080045843557E-2</c:v>
                </c:pt>
                <c:pt idx="271">
                  <c:v>4.9612419485635127E-2</c:v>
                </c:pt>
                <c:pt idx="272">
                  <c:v>4.9768812438754348E-2</c:v>
                </c:pt>
                <c:pt idx="273">
                  <c:v>4.992423988801762E-2</c:v>
                </c:pt>
                <c:pt idx="274">
                  <c:v>5.0078683743500628E-2</c:v>
                </c:pt>
                <c:pt idx="275">
                  <c:v>5.0232126999738315E-2</c:v>
                </c:pt>
                <c:pt idx="276">
                  <c:v>5.0384553895296662E-2</c:v>
                </c:pt>
                <c:pt idx="277">
                  <c:v>5.0535950073477137E-2</c:v>
                </c:pt>
                <c:pt idx="278">
                  <c:v>5.068630274285351E-2</c:v>
                </c:pt>
                <c:pt idx="279">
                  <c:v>5.0835600836293397E-2</c:v>
                </c:pt>
                <c:pt idx="280">
                  <c:v>5.09838351670793E-2</c:v>
                </c:pt>
                <c:pt idx="281">
                  <c:v>5.1130998580720365E-2</c:v>
                </c:pt>
                <c:pt idx="282">
                  <c:v>5.1277086101034999E-2</c:v>
                </c:pt>
                <c:pt idx="283">
                  <c:v>5.1422095069087514E-2</c:v>
                </c:pt>
                <c:pt idx="284">
                  <c:v>5.15660252735776E-2</c:v>
                </c:pt>
                <c:pt idx="285">
                  <c:v>5.1708879071312587E-2</c:v>
                </c:pt>
                <c:pt idx="286">
                  <c:v>5.1850661496435801E-2</c:v>
                </c:pt>
                <c:pt idx="287">
                  <c:v>5.1991380357142576E-2</c:v>
                </c:pt>
                <c:pt idx="288">
                  <c:v>5.2131046318686161E-2</c:v>
                </c:pt>
                <c:pt idx="289">
                  <c:v>5.2269672971560099E-2</c:v>
                </c:pt>
                <c:pt idx="290">
                  <c:v>5.2407276883839539E-2</c:v>
                </c:pt>
                <c:pt idx="291">
                  <c:v>5.2543877636772401E-2</c:v>
                </c:pt>
                <c:pt idx="292">
                  <c:v>5.2679497842829055E-2</c:v>
                </c:pt>
                <c:pt idx="293">
                  <c:v>5.2814163145548425E-2</c:v>
                </c:pt>
                <c:pt idx="294">
                  <c:v>5.2947902200654685E-2</c:v>
                </c:pt>
                <c:pt idx="295">
                  <c:v>5.308074663806403E-2</c:v>
                </c:pt>
                <c:pt idx="296">
                  <c:v>5.321273100455113E-2</c:v>
                </c:pt>
                <c:pt idx="297">
                  <c:v>5.3343892687001203E-2</c:v>
                </c:pt>
                <c:pt idx="298">
                  <c:v>5.3474271816332283E-2</c:v>
                </c:pt>
                <c:pt idx="299">
                  <c:v>5.360391115233417E-2</c:v>
                </c:pt>
                <c:pt idx="300">
                  <c:v>5.3732855949831938E-2</c:v>
                </c:pt>
                <c:pt idx="301">
                  <c:v>5.3861153806742494E-2</c:v>
                </c:pt>
                <c:pt idx="302">
                  <c:v>5.3988854494752193E-2</c:v>
                </c:pt>
                <c:pt idx="303">
                  <c:v>5.411600977349592E-2</c:v>
                </c:pt>
                <c:pt idx="304">
                  <c:v>5.4242673189269001E-2</c:v>
                </c:pt>
                <c:pt idx="305">
                  <c:v>5.4368899859443431E-2</c:v>
                </c:pt>
                <c:pt idx="306">
                  <c:v>5.4494746243894339E-2</c:v>
                </c:pt>
                <c:pt idx="307">
                  <c:v>5.4620269904866417E-2</c:v>
                </c:pt>
                <c:pt idx="308">
                  <c:v>5.4745529256821669E-2</c:v>
                </c:pt>
                <c:pt idx="309">
                  <c:v>5.4870583307912738E-2</c:v>
                </c:pt>
                <c:pt idx="310">
                  <c:v>5.4995491394810983E-2</c:v>
                </c:pt>
                <c:pt idx="311">
                  <c:v>5.5120312912693911E-2</c:v>
                </c:pt>
                <c:pt idx="312">
                  <c:v>5.5245107042254202E-2</c:v>
                </c:pt>
                <c:pt idx="313">
                  <c:v>5.5369932475635091E-2</c:v>
                </c:pt>
                <c:pt idx="314">
                  <c:v>5.549484714322464E-2</c:v>
                </c:pt>
                <c:pt idx="315">
                  <c:v>5.5619907943250876E-2</c:v>
                </c:pt>
                <c:pt idx="316">
                  <c:v>5.5745170476113354E-2</c:v>
                </c:pt>
                <c:pt idx="317">
                  <c:v>5.5870688785364303E-2</c:v>
                </c:pt>
                <c:pt idx="318">
                  <c:v>5.5996515107211445E-2</c:v>
                </c:pt>
                <c:pt idx="319">
                  <c:v>5.6122699630359187E-2</c:v>
                </c:pt>
                <c:pt idx="320">
                  <c:v>5.6249290267932059E-2</c:v>
                </c:pt>
                <c:pt idx="321">
                  <c:v>5.6376332443136848E-2</c:v>
                </c:pt>
                <c:pt idx="322">
                  <c:v>5.650386889021683E-2</c:v>
                </c:pt>
                <c:pt idx="323">
                  <c:v>5.6631939472135989E-2</c:v>
                </c:pt>
                <c:pt idx="324">
                  <c:v>5.6760581016301243E-2</c:v>
                </c:pt>
                <c:pt idx="325">
                  <c:v>5.6889827169489884E-2</c:v>
                </c:pt>
                <c:pt idx="326">
                  <c:v>5.7019708272998723E-2</c:v>
                </c:pt>
                <c:pt idx="327">
                  <c:v>5.7150251258869654E-2</c:v>
                </c:pt>
                <c:pt idx="328">
                  <c:v>5.7281479567879302E-2</c:v>
                </c:pt>
                <c:pt idx="329">
                  <c:v>5.7413413089805659E-2</c:v>
                </c:pt>
                <c:pt idx="330">
                  <c:v>5.7546068126304785E-2</c:v>
                </c:pt>
                <c:pt idx="331">
                  <c:v>5.7679457376550121E-2</c:v>
                </c:pt>
                <c:pt idx="332">
                  <c:v>5.7813589945602331E-2</c:v>
                </c:pt>
                <c:pt idx="333">
                  <c:v>5.7948471375295331E-2</c:v>
                </c:pt>
                <c:pt idx="334">
                  <c:v>5.8084103697242921E-2</c:v>
                </c:pt>
                <c:pt idx="335">
                  <c:v>5.8220485507393276E-2</c:v>
                </c:pt>
                <c:pt idx="336">
                  <c:v>5.8357612061386628E-2</c:v>
                </c:pt>
                <c:pt idx="337">
                  <c:v>5.8495475389806158E-2</c:v>
                </c:pt>
                <c:pt idx="338">
                  <c:v>5.8634064432255634E-2</c:v>
                </c:pt>
                <c:pt idx="339">
                  <c:v>5.8773365189050325E-2</c:v>
                </c:pt>
                <c:pt idx="340">
                  <c:v>5.8913360889171922E-2</c:v>
                </c:pt>
                <c:pt idx="341">
                  <c:v>5.9054032173015011E-2</c:v>
                </c:pt>
                <c:pt idx="342">
                  <c:v>5.9195357288342139E-2</c:v>
                </c:pt>
                <c:pt idx="343">
                  <c:v>5.9337312297770207E-2</c:v>
                </c:pt>
                <c:pt idx="344">
                  <c:v>5.9479871296029434E-2</c:v>
                </c:pt>
                <c:pt idx="345">
                  <c:v>5.9623006635173018E-2</c:v>
                </c:pt>
                <c:pt idx="346">
                  <c:v>5.9766689155867483E-2</c:v>
                </c:pt>
                <c:pt idx="347">
                  <c:v>5.9910888422863212E-2</c:v>
                </c:pt>
                <c:pt idx="348">
                  <c:v>6.0055572962730785E-2</c:v>
                </c:pt>
                <c:pt idx="349">
                  <c:v>6.0200710501953004E-2</c:v>
                </c:pt>
                <c:pt idx="350">
                  <c:v>6.0346268203482233E-2</c:v>
                </c:pt>
                <c:pt idx="351">
                  <c:v>6.0492212899910747E-2</c:v>
                </c:pt>
                <c:pt idx="352">
                  <c:v>6.0638511321455688E-2</c:v>
                </c:pt>
                <c:pt idx="353">
                  <c:v>6.0785130317028889E-2</c:v>
                </c:pt>
                <c:pt idx="354">
                  <c:v>6.0932037066747706E-2</c:v>
                </c:pt>
                <c:pt idx="355">
                  <c:v>6.107919928434017E-2</c:v>
                </c:pt>
                <c:pt idx="356">
                  <c:v>6.1226585408010951E-2</c:v>
                </c:pt>
                <c:pt idx="357">
                  <c:v>6.1374164778457092E-2</c:v>
                </c:pt>
                <c:pt idx="358">
                  <c:v>6.1521907802857941E-2</c:v>
                </c:pt>
                <c:pt idx="359">
                  <c:v>6.1669786103806717E-2</c:v>
                </c:pt>
                <c:pt idx="360">
                  <c:v>6.1817772652303191E-2</c:v>
                </c:pt>
                <c:pt idx="361">
                  <c:v>6.1965841884085278E-2</c:v>
                </c:pt>
                <c:pt idx="362">
                  <c:v>6.2113969798739621E-2</c:v>
                </c:pt>
                <c:pt idx="363">
                  <c:v>6.2262134041198541E-2</c:v>
                </c:pt>
                <c:pt idx="364">
                  <c:v>6.2410313965397222E-2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5.4871277041590417E-4</c:v>
                </c:pt>
                <c:pt idx="1">
                  <c:v>5.524765247902064E-4</c:v>
                </c:pt>
                <c:pt idx="2">
                  <c:v>5.5689734661257956E-4</c:v>
                </c:pt>
                <c:pt idx="3">
                  <c:v>5.6194203292714404E-4</c:v>
                </c:pt>
                <c:pt idx="4">
                  <c:v>5.675760471720811E-4</c:v>
                </c:pt>
                <c:pt idx="5">
                  <c:v>5.7376350670032723E-4</c:v>
                </c:pt>
                <c:pt idx="6">
                  <c:v>5.8046720181257542E-4</c:v>
                </c:pt>
                <c:pt idx="7">
                  <c:v>5.8764864574395198E-4</c:v>
                </c:pt>
                <c:pt idx="8">
                  <c:v>5.9528296692010706E-4</c:v>
                </c:pt>
                <c:pt idx="9">
                  <c:v>6.0380168515918259E-4</c:v>
                </c:pt>
                <c:pt idx="10">
                  <c:v>6.1267215986872414E-4</c:v>
                </c:pt>
                <c:pt idx="11">
                  <c:v>6.2188511742928946E-4</c:v>
                </c:pt>
                <c:pt idx="12">
                  <c:v>6.3143139763693337E-4</c:v>
                </c:pt>
                <c:pt idx="13">
                  <c:v>6.413020407211483E-4</c:v>
                </c:pt>
                <c:pt idx="14">
                  <c:v>6.5148836383699176E-4</c:v>
                </c:pt>
                <c:pt idx="15">
                  <c:v>6.6412379786188916E-4</c:v>
                </c:pt>
                <c:pt idx="16">
                  <c:v>6.788075927825995E-4</c:v>
                </c:pt>
                <c:pt idx="17">
                  <c:v>6.9547493769327748E-4</c:v>
                </c:pt>
                <c:pt idx="18">
                  <c:v>7.1406103294853072E-4</c:v>
                </c:pt>
                <c:pt idx="19">
                  <c:v>7.34505705656953E-4</c:v>
                </c:pt>
                <c:pt idx="20">
                  <c:v>7.5675217205646637E-4</c:v>
                </c:pt>
                <c:pt idx="21">
                  <c:v>7.8074249558918337E-4</c:v>
                </c:pt>
                <c:pt idx="22">
                  <c:v>8.0634973658928386E-4</c:v>
                </c:pt>
                <c:pt idx="23">
                  <c:v>8.353919876925033E-4</c:v>
                </c:pt>
                <c:pt idx="24">
                  <c:v>8.673655733736238E-4</c:v>
                </c:pt>
                <c:pt idx="25">
                  <c:v>9.0215602675274465E-4</c:v>
                </c:pt>
                <c:pt idx="26">
                  <c:v>9.3965165540228258E-4</c:v>
                </c:pt>
                <c:pt idx="27">
                  <c:v>9.7974419871432934E-4</c:v>
                </c:pt>
                <c:pt idx="28">
                  <c:v>1.022329384693086E-3</c:v>
                </c:pt>
                <c:pt idx="29">
                  <c:v>1.0670271909784975E-3</c:v>
                </c:pt>
                <c:pt idx="30">
                  <c:v>1.11195007135784E-3</c:v>
                </c:pt>
                <c:pt idx="31">
                  <c:v>1.157084684502058E-3</c:v>
                </c:pt>
                <c:pt idx="32">
                  <c:v>1.2024211865827978E-3</c:v>
                </c:pt>
                <c:pt idx="33">
                  <c:v>1.24795306331088E-3</c:v>
                </c:pt>
                <c:pt idx="34">
                  <c:v>1.293676964485075E-3</c:v>
                </c:pt>
                <c:pt idx="35">
                  <c:v>1.339592544445179E-3</c:v>
                </c:pt>
                <c:pt idx="36">
                  <c:v>1.3856147523358447E-3</c:v>
                </c:pt>
                <c:pt idx="37">
                  <c:v>1.4276237494883724E-3</c:v>
                </c:pt>
                <c:pt idx="38">
                  <c:v>1.464134975250857E-3</c:v>
                </c:pt>
                <c:pt idx="39">
                  <c:v>1.4953466017655281E-3</c:v>
                </c:pt>
                <c:pt idx="40">
                  <c:v>1.5214539839505082E-3</c:v>
                </c:pt>
                <c:pt idx="41">
                  <c:v>1.5426489404155434E-3</c:v>
                </c:pt>
                <c:pt idx="42">
                  <c:v>1.5591191412705492E-3</c:v>
                </c:pt>
                <c:pt idx="43">
                  <c:v>1.5664809345622059E-3</c:v>
                </c:pt>
                <c:pt idx="44">
                  <c:v>1.5653101888267293E-3</c:v>
                </c:pt>
                <c:pt idx="45">
                  <c:v>1.5559306516470398E-3</c:v>
                </c:pt>
                <c:pt idx="46">
                  <c:v>1.5386546567260366E-3</c:v>
                </c:pt>
                <c:pt idx="47">
                  <c:v>1.513782685975372E-3</c:v>
                </c:pt>
                <c:pt idx="48">
                  <c:v>1.4816030314859252E-3</c:v>
                </c:pt>
                <c:pt idx="49">
                  <c:v>1.4423915432680509E-3</c:v>
                </c:pt>
                <c:pt idx="50">
                  <c:v>1.3963581611001257E-3</c:v>
                </c:pt>
                <c:pt idx="51">
                  <c:v>1.3455571824139553E-3</c:v>
                </c:pt>
                <c:pt idx="52">
                  <c:v>1.2935302906759299E-3</c:v>
                </c:pt>
                <c:pt idx="53">
                  <c:v>1.2403341805381962E-3</c:v>
                </c:pt>
                <c:pt idx="54">
                  <c:v>1.1860290101616943E-3</c:v>
                </c:pt>
                <c:pt idx="55">
                  <c:v>1.1306715399637579E-3</c:v>
                </c:pt>
                <c:pt idx="56">
                  <c:v>1.0743151917972699E-3</c:v>
                </c:pt>
                <c:pt idx="57">
                  <c:v>1.0200196374421952E-3</c:v>
                </c:pt>
                <c:pt idx="58">
                  <c:v>9.7156575310999957E-4</c:v>
                </c:pt>
                <c:pt idx="59">
                  <c:v>9.2877367643629839E-4</c:v>
                </c:pt>
                <c:pt idx="60">
                  <c:v>8.9146899869898958E-4</c:v>
                </c:pt>
                <c:pt idx="61">
                  <c:v>8.5948287855620029E-4</c:v>
                </c:pt>
                <c:pt idx="62">
                  <c:v>8.3265213598853166E-4</c:v>
                </c:pt>
                <c:pt idx="63">
                  <c:v>8.1081932891511428E-4</c:v>
                </c:pt>
                <c:pt idx="64">
                  <c:v>7.9381248185524155E-4</c:v>
                </c:pt>
                <c:pt idx="65">
                  <c:v>7.8123264700464786E-4</c:v>
                </c:pt>
                <c:pt idx="66">
                  <c:v>7.713841865381331E-4</c:v>
                </c:pt>
                <c:pt idx="67">
                  <c:v>7.6419018602788503E-4</c:v>
                </c:pt>
                <c:pt idx="68">
                  <c:v>7.59576374065447E-4</c:v>
                </c:pt>
                <c:pt idx="69">
                  <c:v>7.5747121210646955E-4</c:v>
                </c:pt>
                <c:pt idx="70">
                  <c:v>7.5780597420965713E-4</c:v>
                </c:pt>
                <c:pt idx="71">
                  <c:v>7.5962932312698399E-4</c:v>
                </c:pt>
                <c:pt idx="72">
                  <c:v>7.6033541495924969E-4</c:v>
                </c:pt>
                <c:pt idx="73">
                  <c:v>7.5996421630290074E-4</c:v>
                </c:pt>
                <c:pt idx="74">
                  <c:v>7.5855419965435863E-4</c:v>
                </c:pt>
                <c:pt idx="75">
                  <c:v>7.5614232556640067E-4</c:v>
                </c:pt>
                <c:pt idx="76">
                  <c:v>7.5276402787181462E-4</c:v>
                </c:pt>
                <c:pt idx="77">
                  <c:v>7.4845320156305146E-4</c:v>
                </c:pt>
                <c:pt idx="78">
                  <c:v>7.4317239254896193E-4</c:v>
                </c:pt>
                <c:pt idx="79">
                  <c:v>7.3590597111479125E-4</c:v>
                </c:pt>
                <c:pt idx="80">
                  <c:v>7.269437209103494E-4</c:v>
                </c:pt>
                <c:pt idx="81">
                  <c:v>7.1636247607042322E-4</c:v>
                </c:pt>
                <c:pt idx="82">
                  <c:v>7.0423460944059563E-4</c:v>
                </c:pt>
                <c:pt idx="83">
                  <c:v>6.9062755959733838E-4</c:v>
                </c:pt>
                <c:pt idx="84">
                  <c:v>6.7560343782278485E-4</c:v>
                </c:pt>
                <c:pt idx="85">
                  <c:v>6.5870422445517165E-4</c:v>
                </c:pt>
                <c:pt idx="86">
                  <c:v>6.407656219373037E-4</c:v>
                </c:pt>
                <c:pt idx="87">
                  <c:v>6.2182532249036688E-4</c:v>
                </c:pt>
                <c:pt idx="88">
                  <c:v>6.0191526736031917E-4</c:v>
                </c:pt>
                <c:pt idx="89">
                  <c:v>5.810615537977337E-4</c:v>
                </c:pt>
                <c:pt idx="90">
                  <c:v>5.5928435307876854E-4</c:v>
                </c:pt>
                <c:pt idx="91">
                  <c:v>5.3659783203579344E-4</c:v>
                </c:pt>
                <c:pt idx="92">
                  <c:v>5.129651177520607E-4</c:v>
                </c:pt>
                <c:pt idx="93">
                  <c:v>4.8871143923687264E-4</c:v>
                </c:pt>
                <c:pt idx="94">
                  <c:v>4.6472720513493368E-4</c:v>
                </c:pt>
                <c:pt idx="95">
                  <c:v>4.4099119930281975E-4</c:v>
                </c:pt>
                <c:pt idx="96">
                  <c:v>4.1748238685372136E-4</c:v>
                </c:pt>
                <c:pt idx="97">
                  <c:v>3.9417988279339463E-4</c:v>
                </c:pt>
                <c:pt idx="98">
                  <c:v>3.7106292230912677E-4</c:v>
                </c:pt>
                <c:pt idx="99">
                  <c:v>3.4864958677172792E-4</c:v>
                </c:pt>
                <c:pt idx="100">
                  <c:v>3.2738829732826489E-4</c:v>
                </c:pt>
                <c:pt idx="101">
                  <c:v>3.0725022972407468E-4</c:v>
                </c:pt>
                <c:pt idx="102">
                  <c:v>2.8820850854085908E-4</c:v>
                </c:pt>
                <c:pt idx="103">
                  <c:v>2.7023816740356715E-4</c:v>
                </c:pt>
                <c:pt idx="104">
                  <c:v>2.5331611295184608E-4</c:v>
                </c:pt>
                <c:pt idx="105">
                  <c:v>2.3742109252977676E-4</c:v>
                </c:pt>
                <c:pt idx="106">
                  <c:v>2.2253352440894332E-4</c:v>
                </c:pt>
                <c:pt idx="107">
                  <c:v>2.0893021622617392E-4</c:v>
                </c:pt>
                <c:pt idx="108">
                  <c:v>1.9624128118065333E-4</c:v>
                </c:pt>
                <c:pt idx="109">
                  <c:v>1.8445237824440237E-4</c:v>
                </c:pt>
                <c:pt idx="110">
                  <c:v>1.735513994831817E-4</c:v>
                </c:pt>
                <c:pt idx="111">
                  <c:v>1.6352782327800174E-4</c:v>
                </c:pt>
                <c:pt idx="112">
                  <c:v>1.5437224466740009E-4</c:v>
                </c:pt>
                <c:pt idx="113">
                  <c:v>1.4630638948793213E-4</c:v>
                </c:pt>
                <c:pt idx="114">
                  <c:v>1.387947672940382E-4</c:v>
                </c:pt>
                <c:pt idx="115">
                  <c:v>1.3183163596769846E-4</c:v>
                </c:pt>
                <c:pt idx="116">
                  <c:v>1.2541224888332488E-4</c:v>
                </c:pt>
                <c:pt idx="117">
                  <c:v>1.1953283173376141E-4</c:v>
                </c:pt>
                <c:pt idx="118">
                  <c:v>1.1419056060314713E-4</c:v>
                </c:pt>
                <c:pt idx="119">
                  <c:v>1.0938354102351239E-4</c:v>
                </c:pt>
                <c:pt idx="120">
                  <c:v>1.0511207289133592E-4</c:v>
                </c:pt>
                <c:pt idx="121">
                  <c:v>1.0147736802086133E-4</c:v>
                </c:pt>
                <c:pt idx="122">
                  <c:v>9.8180510974375278E-5</c:v>
                </c:pt>
                <c:pt idx="123">
                  <c:v>9.5220814213707822E-5</c:v>
                </c:pt>
                <c:pt idx="124">
                  <c:v>9.2598183923665709E-5</c:v>
                </c:pt>
                <c:pt idx="125">
                  <c:v>9.0313100064195713E-5</c:v>
                </c:pt>
                <c:pt idx="126">
                  <c:v>8.8366596538777835E-5</c:v>
                </c:pt>
                <c:pt idx="127">
                  <c:v>8.6760836468649313E-5</c:v>
                </c:pt>
                <c:pt idx="128">
                  <c:v>8.525906760117221E-5</c:v>
                </c:pt>
                <c:pt idx="129">
                  <c:v>8.3860599804905288E-5</c:v>
                </c:pt>
                <c:pt idx="130">
                  <c:v>8.2564901303772885E-5</c:v>
                </c:pt>
                <c:pt idx="131">
                  <c:v>8.137159257685063E-5</c:v>
                </c:pt>
                <c:pt idx="132">
                  <c:v>8.0280440244069929E-5</c:v>
                </c:pt>
                <c:pt idx="133">
                  <c:v>7.9291350933565516E-5</c:v>
                </c:pt>
                <c:pt idx="134">
                  <c:v>7.8405924550693565E-5</c:v>
                </c:pt>
                <c:pt idx="135">
                  <c:v>7.7712345012378561E-5</c:v>
                </c:pt>
                <c:pt idx="136">
                  <c:v>7.7105609082886301E-5</c:v>
                </c:pt>
                <c:pt idx="137">
                  <c:v>7.6586045179069919E-5</c:v>
                </c:pt>
                <c:pt idx="138">
                  <c:v>7.6154112908389848E-5</c:v>
                </c:pt>
                <c:pt idx="139">
                  <c:v>7.5810395842472699E-5</c:v>
                </c:pt>
                <c:pt idx="140">
                  <c:v>7.5555594008322989E-5</c:v>
                </c:pt>
                <c:pt idx="141">
                  <c:v>7.544489469966355E-5</c:v>
                </c:pt>
                <c:pt idx="142">
                  <c:v>7.5479094106181019E-5</c:v>
                </c:pt>
                <c:pt idx="143">
                  <c:v>7.5659958147779002E-5</c:v>
                </c:pt>
                <c:pt idx="144">
                  <c:v>7.5989817359729087E-5</c:v>
                </c:pt>
                <c:pt idx="145">
                  <c:v>7.6471098255369979E-5</c:v>
                </c:pt>
                <c:pt idx="146">
                  <c:v>7.710630898080465E-5</c:v>
                </c:pt>
                <c:pt idx="147">
                  <c:v>7.7898024361789907E-5</c:v>
                </c:pt>
                <c:pt idx="148">
                  <c:v>7.8850752051455675E-5</c:v>
                </c:pt>
                <c:pt idx="149">
                  <c:v>7.9952351787433788E-5</c:v>
                </c:pt>
                <c:pt idx="150">
                  <c:v>8.1108075261785461E-5</c:v>
                </c:pt>
                <c:pt idx="151">
                  <c:v>8.2318139728030626E-5</c:v>
                </c:pt>
                <c:pt idx="152">
                  <c:v>8.3582744877211155E-5</c:v>
                </c:pt>
                <c:pt idx="153">
                  <c:v>8.4902069301800363E-5</c:v>
                </c:pt>
                <c:pt idx="154">
                  <c:v>8.6276267061079846E-5</c:v>
                </c:pt>
                <c:pt idx="155">
                  <c:v>8.7716340394164744E-5</c:v>
                </c:pt>
                <c:pt idx="156">
                  <c:v>8.9162225548700794E-5</c:v>
                </c:pt>
                <c:pt idx="157">
                  <c:v>9.0613015976944141E-5</c:v>
                </c:pt>
                <c:pt idx="158">
                  <c:v>9.2067769737047523E-5</c:v>
                </c:pt>
                <c:pt idx="159">
                  <c:v>9.3525512006236843E-5</c:v>
                </c:pt>
                <c:pt idx="160">
                  <c:v>9.4985237768983416E-5</c:v>
                </c:pt>
                <c:pt idx="161">
                  <c:v>9.6445914661942773E-5</c:v>
                </c:pt>
                <c:pt idx="162">
                  <c:v>9.7908098082971688E-5</c:v>
                </c:pt>
                <c:pt idx="163">
                  <c:v>9.9313064891024861E-5</c:v>
                </c:pt>
                <c:pt idx="164">
                  <c:v>1.0067721254109267E-4</c:v>
                </c:pt>
                <c:pt idx="165">
                  <c:v>1.0199904145932076E-4</c:v>
                </c:pt>
                <c:pt idx="166">
                  <c:v>1.0327707136010882E-4</c:v>
                </c:pt>
                <c:pt idx="167">
                  <c:v>1.0450984671086037E-4</c:v>
                </c:pt>
                <c:pt idx="168">
                  <c:v>1.056959419480633E-4</c:v>
                </c:pt>
                <c:pt idx="169">
                  <c:v>1.0677203471661088E-4</c:v>
                </c:pt>
                <c:pt idx="170">
                  <c:v>1.0772311050229161E-4</c:v>
                </c:pt>
                <c:pt idx="171">
                  <c:v>1.0854641974494842E-4</c:v>
                </c:pt>
                <c:pt idx="172">
                  <c:v>1.0923928935135974E-4</c:v>
                </c:pt>
                <c:pt idx="173">
                  <c:v>1.0979800579931304E-4</c:v>
                </c:pt>
                <c:pt idx="174">
                  <c:v>1.1021886596393158E-4</c:v>
                </c:pt>
                <c:pt idx="175">
                  <c:v>1.1049935462775388E-4</c:v>
                </c:pt>
                <c:pt idx="176">
                  <c:v>1.1063672025401133E-4</c:v>
                </c:pt>
                <c:pt idx="177">
                  <c:v>1.1064194362817262E-4</c:v>
                </c:pt>
                <c:pt idx="178">
                  <c:v>1.1057891443567922E-4</c:v>
                </c:pt>
                <c:pt idx="179">
                  <c:v>1.1044743841553205E-4</c:v>
                </c:pt>
                <c:pt idx="180">
                  <c:v>1.1024739070713741E-4</c:v>
                </c:pt>
                <c:pt idx="181">
                  <c:v>1.0997871121317682E-4</c:v>
                </c:pt>
                <c:pt idx="182">
                  <c:v>1.0964139947854314E-4</c:v>
                </c:pt>
                <c:pt idx="183">
                  <c:v>1.0921580737837605E-4</c:v>
                </c:pt>
                <c:pt idx="184">
                  <c:v>1.0876895099407334E-4</c:v>
                </c:pt>
                <c:pt idx="185">
                  <c:v>1.0830168905781946E-4</c:v>
                </c:pt>
                <c:pt idx="186">
                  <c:v>1.078148968309577E-4</c:v>
                </c:pt>
                <c:pt idx="187">
                  <c:v>1.0730946205784207E-4</c:v>
                </c:pt>
                <c:pt idx="188">
                  <c:v>1.0678628098473699E-4</c:v>
                </c:pt>
                <c:pt idx="189">
                  <c:v>1.0624625443908376E-4</c:v>
                </c:pt>
                <c:pt idx="190">
                  <c:v>1.056889612067701E-4</c:v>
                </c:pt>
                <c:pt idx="191">
                  <c:v>1.0518761286534111E-4</c:v>
                </c:pt>
                <c:pt idx="192">
                  <c:v>1.0472929894207142E-4</c:v>
                </c:pt>
                <c:pt idx="193">
                  <c:v>1.0431540637490871E-4</c:v>
                </c:pt>
                <c:pt idx="194">
                  <c:v>1.0394730710333679E-4</c:v>
                </c:pt>
                <c:pt idx="195">
                  <c:v>1.0362635862599588E-4</c:v>
                </c:pt>
                <c:pt idx="196">
                  <c:v>1.0335390484924277E-4</c:v>
                </c:pt>
                <c:pt idx="197">
                  <c:v>1.0326312839227498E-4</c:v>
                </c:pt>
                <c:pt idx="198">
                  <c:v>1.0337771743903592E-4</c:v>
                </c:pt>
                <c:pt idx="199">
                  <c:v>1.0370088064101828E-4</c:v>
                </c:pt>
                <c:pt idx="200">
                  <c:v>1.0423582471584285E-4</c:v>
                </c:pt>
                <c:pt idx="201">
                  <c:v>1.0498576672750303E-4</c:v>
                </c:pt>
                <c:pt idx="202">
                  <c:v>1.0595394669865844E-4</c:v>
                </c:pt>
                <c:pt idx="203">
                  <c:v>1.0714364057458902E-4</c:v>
                </c:pt>
                <c:pt idx="204">
                  <c:v>1.0855793311404262E-4</c:v>
                </c:pt>
                <c:pt idx="205">
                  <c:v>1.1020164270958667E-4</c:v>
                </c:pt>
                <c:pt idx="206">
                  <c:v>1.1199952895560524E-4</c:v>
                </c:pt>
                <c:pt idx="207">
                  <c:v>1.1395365509463626E-4</c:v>
                </c:pt>
                <c:pt idx="208">
                  <c:v>1.1606610485743907E-4</c:v>
                </c:pt>
                <c:pt idx="209">
                  <c:v>1.1833898322870888E-4</c:v>
                </c:pt>
                <c:pt idx="210">
                  <c:v>1.207744169959744E-4</c:v>
                </c:pt>
                <c:pt idx="211">
                  <c:v>1.2353131202958519E-4</c:v>
                </c:pt>
                <c:pt idx="212">
                  <c:v>1.2647304516198789E-4</c:v>
                </c:pt>
                <c:pt idx="213">
                  <c:v>1.2960183933392831E-4</c:v>
                </c:pt>
                <c:pt idx="214">
                  <c:v>1.3291995443026654E-4</c:v>
                </c:pt>
                <c:pt idx="215">
                  <c:v>1.3642968624543727E-4</c:v>
                </c:pt>
                <c:pt idx="216">
                  <c:v>1.4013336515805467E-4</c:v>
                </c:pt>
                <c:pt idx="217">
                  <c:v>1.440333545521897E-4</c:v>
                </c:pt>
                <c:pt idx="218">
                  <c:v>1.4813153963670478E-4</c:v>
                </c:pt>
                <c:pt idx="219">
                  <c:v>1.5281618615006426E-4</c:v>
                </c:pt>
                <c:pt idx="220">
                  <c:v>1.5809326050843375E-4</c:v>
                </c:pt>
                <c:pt idx="221">
                  <c:v>1.6397117570524468E-4</c:v>
                </c:pt>
                <c:pt idx="222">
                  <c:v>1.7045863955550717E-4</c:v>
                </c:pt>
                <c:pt idx="223">
                  <c:v>1.775646885753164E-4</c:v>
                </c:pt>
                <c:pt idx="224">
                  <c:v>1.8529872296140802E-4</c:v>
                </c:pt>
                <c:pt idx="225">
                  <c:v>1.9418397248383831E-4</c:v>
                </c:pt>
                <c:pt idx="226">
                  <c:v>2.0407089507920603E-4</c:v>
                </c:pt>
                <c:pt idx="227">
                  <c:v>2.1497520018852966E-4</c:v>
                </c:pt>
                <c:pt idx="228">
                  <c:v>2.2691331445069812E-4</c:v>
                </c:pt>
                <c:pt idx="229">
                  <c:v>2.3990244712125629E-4</c:v>
                </c:pt>
                <c:pt idx="230">
                  <c:v>2.5396065874675215E-4</c:v>
                </c:pt>
                <c:pt idx="231">
                  <c:v>2.6910693353480948E-4</c:v>
                </c:pt>
                <c:pt idx="232">
                  <c:v>2.8535596507058052E-4</c:v>
                </c:pt>
                <c:pt idx="233">
                  <c:v>3.0369622651869654E-4</c:v>
                </c:pt>
                <c:pt idx="234">
                  <c:v>3.2374915064441499E-4</c:v>
                </c:pt>
                <c:pt idx="235">
                  <c:v>3.4554499405366429E-4</c:v>
                </c:pt>
                <c:pt idx="236">
                  <c:v>3.6911557824188373E-4</c:v>
                </c:pt>
                <c:pt idx="237">
                  <c:v>3.9449408196741192E-4</c:v>
                </c:pt>
                <c:pt idx="238">
                  <c:v>4.2171537230229275E-4</c:v>
                </c:pt>
                <c:pt idx="239">
                  <c:v>4.5148995451250838E-4</c:v>
                </c:pt>
                <c:pt idx="240">
                  <c:v>4.8331421378637558E-4</c:v>
                </c:pt>
                <c:pt idx="241">
                  <c:v>5.1723142003011144E-4</c:v>
                </c:pt>
                <c:pt idx="242">
                  <c:v>5.5328728337426336E-4</c:v>
                </c:pt>
                <c:pt idx="243">
                  <c:v>5.915301488264961E-4</c:v>
                </c:pt>
                <c:pt idx="244">
                  <c:v>6.3201120404583863E-4</c:v>
                </c:pt>
                <c:pt idx="245">
                  <c:v>6.7478470202918597E-4</c:v>
                </c:pt>
                <c:pt idx="246">
                  <c:v>7.1991387339179745E-4</c:v>
                </c:pt>
                <c:pt idx="247">
                  <c:v>7.6649956761356945E-4</c:v>
                </c:pt>
                <c:pt idx="248">
                  <c:v>8.1351624690283164E-4</c:v>
                </c:pt>
                <c:pt idx="249">
                  <c:v>8.6097901203320516E-4</c:v>
                </c:pt>
                <c:pt idx="250">
                  <c:v>9.0890192725437478E-4</c:v>
                </c:pt>
                <c:pt idx="251">
                  <c:v>9.5729794373063332E-4</c:v>
                </c:pt>
                <c:pt idx="252">
                  <c:v>1.0061788153306976E-3</c:v>
                </c:pt>
                <c:pt idx="253">
                  <c:v>1.0536554744499278E-3</c:v>
                </c:pt>
                <c:pt idx="254">
                  <c:v>1.098952782986813E-3</c:v>
                </c:pt>
                <c:pt idx="255">
                  <c:v>1.142018180517563E-3</c:v>
                </c:pt>
                <c:pt idx="256">
                  <c:v>1.1827953004610668E-3</c:v>
                </c:pt>
                <c:pt idx="257">
                  <c:v>1.2212240116957374E-3</c:v>
                </c:pt>
                <c:pt idx="258">
                  <c:v>1.2572404747677641E-3</c:v>
                </c:pt>
                <c:pt idx="259">
                  <c:v>1.2907772147097924E-3</c:v>
                </c:pt>
                <c:pt idx="260">
                  <c:v>1.3218635664666225E-3</c:v>
                </c:pt>
                <c:pt idx="261">
                  <c:v>1.3489626598234571E-3</c:v>
                </c:pt>
                <c:pt idx="262">
                  <c:v>1.3730277815340037E-3</c:v>
                </c:pt>
                <c:pt idx="263">
                  <c:v>1.3939566866140308E-3</c:v>
                </c:pt>
                <c:pt idx="264">
                  <c:v>1.4116400098158131E-3</c:v>
                </c:pt>
                <c:pt idx="265">
                  <c:v>1.4259692581141013E-3</c:v>
                </c:pt>
                <c:pt idx="266">
                  <c:v>1.4368261120867422E-3</c:v>
                </c:pt>
                <c:pt idx="267">
                  <c:v>1.4438529640232007E-3</c:v>
                </c:pt>
                <c:pt idx="268">
                  <c:v>1.4490520022052416E-3</c:v>
                </c:pt>
                <c:pt idx="269">
                  <c:v>1.4523341537024757E-3</c:v>
                </c:pt>
                <c:pt idx="270">
                  <c:v>1.4536074910001995E-3</c:v>
                </c:pt>
                <c:pt idx="271">
                  <c:v>1.4527777291879916E-3</c:v>
                </c:pt>
                <c:pt idx="272">
                  <c:v>1.449748804061217E-3</c:v>
                </c:pt>
                <c:pt idx="273">
                  <c:v>1.4444235375887754E-3</c:v>
                </c:pt>
                <c:pt idx="274">
                  <c:v>1.4368204843586505E-3</c:v>
                </c:pt>
                <c:pt idx="275">
                  <c:v>1.4320444373352136E-3</c:v>
                </c:pt>
                <c:pt idx="276">
                  <c:v>1.4319341218520063E-3</c:v>
                </c:pt>
                <c:pt idx="277">
                  <c:v>1.4365994573111867E-3</c:v>
                </c:pt>
                <c:pt idx="278">
                  <c:v>1.4461518174369314E-3</c:v>
                </c:pt>
                <c:pt idx="279">
                  <c:v>1.4607037142676501E-3</c:v>
                </c:pt>
                <c:pt idx="280">
                  <c:v>1.4803684638705383E-3</c:v>
                </c:pt>
                <c:pt idx="281">
                  <c:v>1.5081155504182923E-3</c:v>
                </c:pt>
                <c:pt idx="282">
                  <c:v>1.5443864214184705E-3</c:v>
                </c:pt>
                <c:pt idx="283">
                  <c:v>1.5893710222593235E-3</c:v>
                </c:pt>
                <c:pt idx="284">
                  <c:v>1.6432585319896063E-3</c:v>
                </c:pt>
                <c:pt idx="285">
                  <c:v>1.7062366868303782E-3</c:v>
                </c:pt>
                <c:pt idx="286">
                  <c:v>1.7784910790138995E-3</c:v>
                </c:pt>
                <c:pt idx="287">
                  <c:v>1.8602044315337905E-3</c:v>
                </c:pt>
                <c:pt idx="288">
                  <c:v>1.951587117401177E-3</c:v>
                </c:pt>
                <c:pt idx="289">
                  <c:v>2.0456014732436094E-3</c:v>
                </c:pt>
                <c:pt idx="290">
                  <c:v>2.136567656192525E-3</c:v>
                </c:pt>
                <c:pt idx="291">
                  <c:v>2.2243896322812298E-3</c:v>
                </c:pt>
                <c:pt idx="292">
                  <c:v>2.3089724830612059E-3</c:v>
                </c:pt>
                <c:pt idx="293">
                  <c:v>2.39022255753089E-3</c:v>
                </c:pt>
                <c:pt idx="294">
                  <c:v>2.4680476001090949E-3</c:v>
                </c:pt>
                <c:pt idx="295">
                  <c:v>2.5364123688361058E-3</c:v>
                </c:pt>
                <c:pt idx="296">
                  <c:v>2.5919240205108393E-3</c:v>
                </c:pt>
                <c:pt idx="297">
                  <c:v>2.6343180920329525E-3</c:v>
                </c:pt>
                <c:pt idx="298">
                  <c:v>2.6633088295676863E-3</c:v>
                </c:pt>
                <c:pt idx="299">
                  <c:v>2.6786091230988234E-3</c:v>
                </c:pt>
                <c:pt idx="300">
                  <c:v>2.679929911979179E-3</c:v>
                </c:pt>
                <c:pt idx="301">
                  <c:v>2.6669794832399432E-3</c:v>
                </c:pt>
                <c:pt idx="302">
                  <c:v>2.639570263188788E-3</c:v>
                </c:pt>
                <c:pt idx="303">
                  <c:v>2.5972921236410355E-3</c:v>
                </c:pt>
                <c:pt idx="304">
                  <c:v>2.547887787604842E-3</c:v>
                </c:pt>
                <c:pt idx="305">
                  <c:v>2.4911640250967807E-3</c:v>
                </c:pt>
                <c:pt idx="306">
                  <c:v>2.4269235606183075E-3</c:v>
                </c:pt>
                <c:pt idx="307">
                  <c:v>2.3549658619877113E-3</c:v>
                </c:pt>
                <c:pt idx="308">
                  <c:v>2.2750880781353634E-3</c:v>
                </c:pt>
                <c:pt idx="309">
                  <c:v>2.1898083900558753E-3</c:v>
                </c:pt>
                <c:pt idx="310">
                  <c:v>2.1056267985581183E-3</c:v>
                </c:pt>
                <c:pt idx="311">
                  <c:v>2.0225544612869849E-3</c:v>
                </c:pt>
                <c:pt idx="312">
                  <c:v>1.9406064039917195E-3</c:v>
                </c:pt>
                <c:pt idx="313">
                  <c:v>1.8598016533889689E-3</c:v>
                </c:pt>
                <c:pt idx="314">
                  <c:v>1.7801633781173633E-3</c:v>
                </c:pt>
                <c:pt idx="315">
                  <c:v>1.7017190317057862E-3</c:v>
                </c:pt>
                <c:pt idx="316">
                  <c:v>1.6246852853976103E-3</c:v>
                </c:pt>
                <c:pt idx="317">
                  <c:v>1.5520830998565893E-3</c:v>
                </c:pt>
                <c:pt idx="318">
                  <c:v>1.4841756896473469E-3</c:v>
                </c:pt>
                <c:pt idx="319">
                  <c:v>1.4210330097880425E-3</c:v>
                </c:pt>
                <c:pt idx="320">
                  <c:v>1.36273162076243E-3</c:v>
                </c:pt>
                <c:pt idx="321">
                  <c:v>1.3093539927222797E-3</c:v>
                </c:pt>
                <c:pt idx="322">
                  <c:v>1.2609876749744326E-3</c:v>
                </c:pt>
                <c:pt idx="323">
                  <c:v>1.2182951666816172E-3</c:v>
                </c:pt>
                <c:pt idx="324">
                  <c:v>1.1783420550134922E-3</c:v>
                </c:pt>
                <c:pt idx="325">
                  <c:v>1.1411717926172644E-3</c:v>
                </c:pt>
                <c:pt idx="326">
                  <c:v>1.1068227832963648E-3</c:v>
                </c:pt>
                <c:pt idx="327">
                  <c:v>1.07533978459932E-3</c:v>
                </c:pt>
                <c:pt idx="328">
                  <c:v>1.0467733274844035E-3</c:v>
                </c:pt>
                <c:pt idx="329">
                  <c:v>1.0211728171218846E-3</c:v>
                </c:pt>
                <c:pt idx="330">
                  <c:v>9.9871985975594213E-4</c:v>
                </c:pt>
                <c:pt idx="331">
                  <c:v>9.8009501544931549E-4</c:v>
                </c:pt>
                <c:pt idx="332">
                  <c:v>9.6221117403663475E-4</c:v>
                </c:pt>
                <c:pt idx="333">
                  <c:v>9.4506260731258411E-4</c:v>
                </c:pt>
                <c:pt idx="334">
                  <c:v>9.2864391210583004E-4</c:v>
                </c:pt>
                <c:pt idx="335">
                  <c:v>9.1294993960251041E-4</c:v>
                </c:pt>
                <c:pt idx="336">
                  <c:v>8.9797571387687967E-4</c:v>
                </c:pt>
                <c:pt idx="337">
                  <c:v>8.8449292530315686E-4</c:v>
                </c:pt>
                <c:pt idx="338">
                  <c:v>8.7188341704387301E-4</c:v>
                </c:pt>
                <c:pt idx="339">
                  <c:v>8.6014315999959176E-4</c:v>
                </c:pt>
                <c:pt idx="340">
                  <c:v>8.4926735864582681E-4</c:v>
                </c:pt>
                <c:pt idx="341">
                  <c:v>8.3925024795731922E-4</c:v>
                </c:pt>
                <c:pt idx="342">
                  <c:v>8.3008488502899023E-4</c:v>
                </c:pt>
                <c:pt idx="343">
                  <c:v>8.2176294129395486E-4</c:v>
                </c:pt>
                <c:pt idx="344">
                  <c:v>8.1423841693515134E-4</c:v>
                </c:pt>
                <c:pt idx="345">
                  <c:v>8.0750860106925803E-4</c:v>
                </c:pt>
                <c:pt idx="346">
                  <c:v>8.0127136410381317E-4</c:v>
                </c:pt>
                <c:pt idx="347">
                  <c:v>7.9557615880003355E-4</c:v>
                </c:pt>
                <c:pt idx="348">
                  <c:v>7.9046998670029159E-4</c:v>
                </c:pt>
                <c:pt idx="349">
                  <c:v>7.8599739437706657E-4</c:v>
                </c:pt>
                <c:pt idx="350">
                  <c:v>7.8220053755613116E-4</c:v>
                </c:pt>
                <c:pt idx="351">
                  <c:v>7.7929541840925575E-4</c:v>
                </c:pt>
                <c:pt idx="352">
                  <c:v>7.7653106397649479E-4</c:v>
                </c:pt>
                <c:pt idx="353">
                  <c:v>7.7394778715174752E-4</c:v>
                </c:pt>
                <c:pt idx="354">
                  <c:v>7.7158501895722986E-4</c:v>
                </c:pt>
                <c:pt idx="355">
                  <c:v>7.6948131363578328E-4</c:v>
                </c:pt>
                <c:pt idx="356">
                  <c:v>7.6767189583153714E-4</c:v>
                </c:pt>
                <c:pt idx="357">
                  <c:v>7.6619521441107451E-4</c:v>
                </c:pt>
                <c:pt idx="358">
                  <c:v>7.6503639222927811E-4</c:v>
                </c:pt>
                <c:pt idx="359">
                  <c:v>7.6413881378967804E-4</c:v>
                </c:pt>
                <c:pt idx="360">
                  <c:v>7.642433591215983E-4</c:v>
                </c:pt>
                <c:pt idx="361">
                  <c:v>7.6514223084974786E-4</c:v>
                </c:pt>
                <c:pt idx="362">
                  <c:v>7.6680017224804611E-4</c:v>
                </c:pt>
                <c:pt idx="363">
                  <c:v>7.691814031927296E-4</c:v>
                </c:pt>
                <c:pt idx="364">
                  <c:v>7.722494692252276E-4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5152"/>
        <c:axId val="611445544"/>
      </c:lineChart>
      <c:dateAx>
        <c:axId val="611445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5544"/>
        <c:crosses val="autoZero"/>
        <c:auto val="1"/>
        <c:lblOffset val="100"/>
        <c:baseTimeUnit val="days"/>
        <c:majorUnit val="1"/>
        <c:majorTimeUnit val="months"/>
      </c:dateAx>
      <c:valAx>
        <c:axId val="6114455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5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Crêche d'Escalquens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1407.6723389112456</c:v>
                </c:pt>
                <c:pt idx="1">
                  <c:v>11564.828676756535</c:v>
                </c:pt>
                <c:pt idx="2">
                  <c:v>11545.444530299657</c:v>
                </c:pt>
                <c:pt idx="3">
                  <c:v>11201.784157174681</c:v>
                </c:pt>
                <c:pt idx="4">
                  <c:v>11768.722834205053</c:v>
                </c:pt>
                <c:pt idx="5">
                  <c:v>11767.857733482053</c:v>
                </c:pt>
                <c:pt idx="6">
                  <c:v>11780.682484959205</c:v>
                </c:pt>
                <c:pt idx="7">
                  <c:v>11769.608155289809</c:v>
                </c:pt>
                <c:pt idx="8">
                  <c:v>11770.757362719432</c:v>
                </c:pt>
                <c:pt idx="9">
                  <c:v>11770.15933461414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1404.496631171055</c:v>
                </c:pt>
                <c:pt idx="1">
                  <c:v>11477.121654772875</c:v>
                </c:pt>
                <c:pt idx="2">
                  <c:v>11360.857905683804</c:v>
                </c:pt>
                <c:pt idx="3">
                  <c:v>10928.48154158451</c:v>
                </c:pt>
                <c:pt idx="4">
                  <c:v>11388.556748861574</c:v>
                </c:pt>
                <c:pt idx="5">
                  <c:v>11286.60002047528</c:v>
                </c:pt>
                <c:pt idx="6">
                  <c:v>11203.550965021928</c:v>
                </c:pt>
                <c:pt idx="7">
                  <c:v>11098.113365825004</c:v>
                </c:pt>
                <c:pt idx="8">
                  <c:v>11006.01589554674</c:v>
                </c:pt>
                <c:pt idx="9">
                  <c:v>10911.741293309989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1379.7850000000001</c:v>
                </c:pt>
                <c:pt idx="1">
                  <c:v>10874.365999999996</c:v>
                </c:pt>
                <c:pt idx="2">
                  <c:v>10305.741000000004</c:v>
                </c:pt>
                <c:pt idx="3">
                  <c:v>10305.598000000004</c:v>
                </c:pt>
                <c:pt idx="4">
                  <c:v>10399.449999999988</c:v>
                </c:pt>
                <c:pt idx="5">
                  <c:v>10676.763517900101</c:v>
                </c:pt>
                <c:pt idx="6">
                  <c:v>10298.345723181492</c:v>
                </c:pt>
                <c:pt idx="7">
                  <c:v>10515.29610509484</c:v>
                </c:pt>
                <c:pt idx="8">
                  <c:v>10124.09385818509</c:v>
                </c:pt>
                <c:pt idx="9">
                  <c:v>10339.561695298582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1379.7850000000001</c:v>
                </c:pt>
                <c:pt idx="1">
                  <c:v>10874.365999999996</c:v>
                </c:pt>
                <c:pt idx="2">
                  <c:v>10305.741000000004</c:v>
                </c:pt>
                <c:pt idx="3">
                  <c:v>9590.6946241285405</c:v>
                </c:pt>
                <c:pt idx="4">
                  <c:v>9703.538632752221</c:v>
                </c:pt>
                <c:pt idx="5">
                  <c:v>9809.9747514003157</c:v>
                </c:pt>
                <c:pt idx="6">
                  <c:v>9618.0243664474729</c:v>
                </c:pt>
                <c:pt idx="7">
                  <c:v>9689.2196795766467</c:v>
                </c:pt>
                <c:pt idx="8">
                  <c:v>9474.9188733138362</c:v>
                </c:pt>
                <c:pt idx="9">
                  <c:v>9528.150019236924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715.47833690747836</c:v>
                </c:pt>
                <c:pt idx="4">
                  <c:v>691.52360911592677</c:v>
                </c:pt>
                <c:pt idx="5">
                  <c:v>867.02250302333698</c:v>
                </c:pt>
                <c:pt idx="6">
                  <c:v>680.2174657834687</c:v>
                </c:pt>
                <c:pt idx="7">
                  <c:v>817.61801872755075</c:v>
                </c:pt>
                <c:pt idx="8">
                  <c:v>635.73541333866069</c:v>
                </c:pt>
                <c:pt idx="9">
                  <c:v>796.74549205173673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-0.29237109502494407</c:v>
                </c:pt>
                <c:pt idx="4">
                  <c:v>-0.38478662776655437</c:v>
                </c:pt>
                <c:pt idx="5">
                  <c:v>-0.62841110070755413</c:v>
                </c:pt>
                <c:pt idx="6">
                  <c:v>-0.62159364105042414</c:v>
                </c:pt>
                <c:pt idx="7">
                  <c:v>7.2979267739821658</c:v>
                </c:pt>
                <c:pt idx="8">
                  <c:v>11.412654080871214</c:v>
                </c:pt>
                <c:pt idx="9">
                  <c:v>12.809612659976167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901744"/>
        <c:axId val="578902136"/>
      </c:lineChart>
      <c:catAx>
        <c:axId val="57890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8902136"/>
        <c:crosses val="autoZero"/>
        <c:auto val="1"/>
        <c:lblAlgn val="ctr"/>
        <c:lblOffset val="100"/>
        <c:noMultiLvlLbl val="0"/>
      </c:catAx>
      <c:valAx>
        <c:axId val="57890213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78901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2.8648028530731451E-2</c:v>
                </c:pt>
                <c:pt idx="1">
                  <c:v>2.8670633310161397E-2</c:v>
                </c:pt>
                <c:pt idx="2">
                  <c:v>2.8693237563545138E-2</c:v>
                </c:pt>
                <c:pt idx="3">
                  <c:v>2.8715841290894883E-2</c:v>
                </c:pt>
                <c:pt idx="4">
                  <c:v>2.8738444492222959E-2</c:v>
                </c:pt>
                <c:pt idx="5">
                  <c:v>2.8761047167541354E-2</c:v>
                </c:pt>
                <c:pt idx="6">
                  <c:v>2.8783649316862614E-2</c:v>
                </c:pt>
                <c:pt idx="7">
                  <c:v>2.880625094019873E-2</c:v>
                </c:pt>
                <c:pt idx="8">
                  <c:v>2.8828852037562136E-2</c:v>
                </c:pt>
                <c:pt idx="9">
                  <c:v>2.8851452608964934E-2</c:v>
                </c:pt>
                <c:pt idx="10">
                  <c:v>2.8874052654419446E-2</c:v>
                </c:pt>
                <c:pt idx="11">
                  <c:v>2.8896652173937887E-2</c:v>
                </c:pt>
                <c:pt idx="12">
                  <c:v>2.8919251167532467E-2</c:v>
                </c:pt>
                <c:pt idx="13">
                  <c:v>2.8941849635215511E-2</c:v>
                </c:pt>
                <c:pt idx="14">
                  <c:v>2.8964447576999119E-2</c:v>
                </c:pt>
                <c:pt idx="15">
                  <c:v>2.8987044992895616E-2</c:v>
                </c:pt>
                <c:pt idx="16">
                  <c:v>2.9009641882917325E-2</c:v>
                </c:pt>
                <c:pt idx="17">
                  <c:v>2.9032238247076347E-2</c:v>
                </c:pt>
                <c:pt idx="18">
                  <c:v>2.9054834085384895E-2</c:v>
                </c:pt>
                <c:pt idx="19">
                  <c:v>2.9077429397855292E-2</c:v>
                </c:pt>
                <c:pt idx="20">
                  <c:v>2.9100024184499862E-2</c:v>
                </c:pt>
                <c:pt idx="21">
                  <c:v>2.9122618445330595E-2</c:v>
                </c:pt>
                <c:pt idx="22">
                  <c:v>2.9145212180359925E-2</c:v>
                </c:pt>
                <c:pt idx="23">
                  <c:v>2.9167805389600066E-2</c:v>
                </c:pt>
                <c:pt idx="24">
                  <c:v>2.9190398073063228E-2</c:v>
                </c:pt>
                <c:pt idx="25">
                  <c:v>2.9212990230761626E-2</c:v>
                </c:pt>
                <c:pt idx="26">
                  <c:v>2.9235581862707472E-2</c:v>
                </c:pt>
                <c:pt idx="27">
                  <c:v>2.9258172968913088E-2</c:v>
                </c:pt>
                <c:pt idx="28">
                  <c:v>2.9280763549390687E-2</c:v>
                </c:pt>
                <c:pt idx="29">
                  <c:v>2.9303353604152371E-2</c:v>
                </c:pt>
                <c:pt idx="30">
                  <c:v>2.9325943133210575E-2</c:v>
                </c:pt>
                <c:pt idx="31">
                  <c:v>2.9348532136577399E-2</c:v>
                </c:pt>
                <c:pt idx="32">
                  <c:v>2.9371120614265056E-2</c:v>
                </c:pt>
                <c:pt idx="33">
                  <c:v>2.939370856628587E-2</c:v>
                </c:pt>
                <c:pt idx="34">
                  <c:v>2.9416295992652053E-2</c:v>
                </c:pt>
                <c:pt idx="35">
                  <c:v>2.9438882893375928E-2</c:v>
                </c:pt>
                <c:pt idx="36">
                  <c:v>2.9461469268469487E-2</c:v>
                </c:pt>
                <c:pt idx="37">
                  <c:v>2.9484055117945163E-2</c:v>
                </c:pt>
                <c:pt idx="38">
                  <c:v>2.9506640441815057E-2</c:v>
                </c:pt>
                <c:pt idx="39">
                  <c:v>2.9529225240091606E-2</c:v>
                </c:pt>
                <c:pt idx="40">
                  <c:v>2.9551809512786797E-2</c:v>
                </c:pt>
                <c:pt idx="41">
                  <c:v>2.9574393259912957E-2</c:v>
                </c:pt>
                <c:pt idx="42">
                  <c:v>2.9596976481482407E-2</c:v>
                </c:pt>
                <c:pt idx="43">
                  <c:v>2.9619559177507249E-2</c:v>
                </c:pt>
                <c:pt idx="44">
                  <c:v>2.9642141347999806E-2</c:v>
                </c:pt>
                <c:pt idx="45">
                  <c:v>2.9664722992972181E-2</c:v>
                </c:pt>
                <c:pt idx="46">
                  <c:v>2.9687304112436697E-2</c:v>
                </c:pt>
                <c:pt idx="47">
                  <c:v>2.9709884706405676E-2</c:v>
                </c:pt>
                <c:pt idx="48">
                  <c:v>2.9732464774891221E-2</c:v>
                </c:pt>
                <c:pt idx="49">
                  <c:v>2.9755044317905543E-2</c:v>
                </c:pt>
                <c:pt idx="50">
                  <c:v>2.9777623335460857E-2</c:v>
                </c:pt>
                <c:pt idx="51">
                  <c:v>2.9800201827569484E-2</c:v>
                </c:pt>
                <c:pt idx="52">
                  <c:v>2.9822779794243637E-2</c:v>
                </c:pt>
                <c:pt idx="53">
                  <c:v>2.9845357235495529E-2</c:v>
                </c:pt>
                <c:pt idx="54">
                  <c:v>2.9867934151337372E-2</c:v>
                </c:pt>
                <c:pt idx="55">
                  <c:v>2.989051054178149E-2</c:v>
                </c:pt>
                <c:pt idx="56">
                  <c:v>2.9913086406839873E-2</c:v>
                </c:pt>
                <c:pt idx="57">
                  <c:v>2.9935661746524955E-2</c:v>
                </c:pt>
                <c:pt idx="58">
                  <c:v>2.995823656084895E-2</c:v>
                </c:pt>
                <c:pt idx="59">
                  <c:v>2.9980810849823958E-2</c:v>
                </c:pt>
                <c:pt idx="60">
                  <c:v>3.0003384613462303E-2</c:v>
                </c:pt>
                <c:pt idx="61">
                  <c:v>3.0025957851776197E-2</c:v>
                </c:pt>
                <c:pt idx="62">
                  <c:v>3.0048530564777853E-2</c:v>
                </c:pt>
                <c:pt idx="63">
                  <c:v>3.0071102752479484E-2</c:v>
                </c:pt>
                <c:pt idx="64">
                  <c:v>3.0093674414893412E-2</c:v>
                </c:pt>
                <c:pt idx="65">
                  <c:v>3.011624555203174E-2</c:v>
                </c:pt>
                <c:pt idx="66">
                  <c:v>3.0138816163906679E-2</c:v>
                </c:pt>
                <c:pt idx="67">
                  <c:v>3.0161386250530553E-2</c:v>
                </c:pt>
                <c:pt idx="68">
                  <c:v>3.0183955811915575E-2</c:v>
                </c:pt>
                <c:pt idx="69">
                  <c:v>3.0206524848073846E-2</c:v>
                </c:pt>
                <c:pt idx="70">
                  <c:v>3.0229093359017689E-2</c:v>
                </c:pt>
                <c:pt idx="71">
                  <c:v>3.0251661344759317E-2</c:v>
                </c:pt>
                <c:pt idx="72">
                  <c:v>3.0274228805311054E-2</c:v>
                </c:pt>
                <c:pt idx="73">
                  <c:v>3.029679574068489E-2</c:v>
                </c:pt>
                <c:pt idx="74">
                  <c:v>3.0319362150893148E-2</c:v>
                </c:pt>
                <c:pt idx="75">
                  <c:v>3.0341928035948151E-2</c:v>
                </c:pt>
                <c:pt idx="76">
                  <c:v>3.0364493395862113E-2</c:v>
                </c:pt>
                <c:pt idx="77">
                  <c:v>3.0387058230647024E-2</c:v>
                </c:pt>
                <c:pt idx="78">
                  <c:v>3.0409622540315318E-2</c:v>
                </c:pt>
                <c:pt idx="79">
                  <c:v>3.0432186324879207E-2</c:v>
                </c:pt>
                <c:pt idx="80">
                  <c:v>3.0454749584350904E-2</c:v>
                </c:pt>
                <c:pt idx="81">
                  <c:v>3.0477312318742511E-2</c:v>
                </c:pt>
                <c:pt idx="82">
                  <c:v>3.0499874528066351E-2</c:v>
                </c:pt>
                <c:pt idx="83">
                  <c:v>3.0522436212334525E-2</c:v>
                </c:pt>
                <c:pt idx="84">
                  <c:v>3.0544997371559468E-2</c:v>
                </c:pt>
                <c:pt idx="85">
                  <c:v>3.0567558005753281E-2</c:v>
                </c:pt>
                <c:pt idx="86">
                  <c:v>3.0590118114928067E-2</c:v>
                </c:pt>
                <c:pt idx="87">
                  <c:v>3.0612677699096258E-2</c:v>
                </c:pt>
                <c:pt idx="88">
                  <c:v>3.0635236758269957E-2</c:v>
                </c:pt>
                <c:pt idx="89">
                  <c:v>3.0657795292461376E-2</c:v>
                </c:pt>
                <c:pt idx="90">
                  <c:v>3.0680353301682728E-2</c:v>
                </c:pt>
                <c:pt idx="91">
                  <c:v>3.0702910785946225E-2</c:v>
                </c:pt>
                <c:pt idx="92">
                  <c:v>3.072546774526419E-2</c:v>
                </c:pt>
                <c:pt idx="93">
                  <c:v>3.0748024179648725E-2</c:v>
                </c:pt>
                <c:pt idx="94">
                  <c:v>3.0770580089112043E-2</c:v>
                </c:pt>
                <c:pt idx="95">
                  <c:v>3.0793135473666355E-2</c:v>
                </c:pt>
                <c:pt idx="96">
                  <c:v>3.0815690333323986E-2</c:v>
                </c:pt>
                <c:pt idx="97">
                  <c:v>3.0838244668097148E-2</c:v>
                </c:pt>
                <c:pt idx="98">
                  <c:v>3.0860798477997942E-2</c:v>
                </c:pt>
                <c:pt idx="99">
                  <c:v>3.088335176303858E-2</c:v>
                </c:pt>
                <c:pt idx="100">
                  <c:v>3.0905904523231387E-2</c:v>
                </c:pt>
                <c:pt idx="101">
                  <c:v>3.0928456758588463E-2</c:v>
                </c:pt>
                <c:pt idx="102">
                  <c:v>3.0951008469122021E-2</c:v>
                </c:pt>
                <c:pt idx="103">
                  <c:v>3.0973559654844496E-2</c:v>
                </c:pt>
                <c:pt idx="104">
                  <c:v>3.0996110315767766E-2</c:v>
                </c:pt>
                <c:pt idx="105">
                  <c:v>3.1018660451904378E-2</c:v>
                </c:pt>
                <c:pt idx="106">
                  <c:v>3.1041210063266211E-2</c:v>
                </c:pt>
                <c:pt idx="107">
                  <c:v>3.10637591498657E-2</c:v>
                </c:pt>
                <c:pt idx="108">
                  <c:v>3.1086307711715055E-2</c:v>
                </c:pt>
                <c:pt idx="109">
                  <c:v>3.1108855748826381E-2</c:v>
                </c:pt>
                <c:pt idx="110">
                  <c:v>3.1131403261211998E-2</c:v>
                </c:pt>
                <c:pt idx="111">
                  <c:v>3.115395024888401E-2</c:v>
                </c:pt>
                <c:pt idx="112">
                  <c:v>3.117649671185474E-2</c:v>
                </c:pt>
                <c:pt idx="113">
                  <c:v>3.1199042650136288E-2</c:v>
                </c:pt>
                <c:pt idx="114">
                  <c:v>3.1221588063740979E-2</c:v>
                </c:pt>
                <c:pt idx="115">
                  <c:v>3.1244132952680914E-2</c:v>
                </c:pt>
                <c:pt idx="116">
                  <c:v>3.1266677316968305E-2</c:v>
                </c:pt>
                <c:pt idx="117">
                  <c:v>3.1289221156615477E-2</c:v>
                </c:pt>
                <c:pt idx="118">
                  <c:v>3.1311764471634529E-2</c:v>
                </c:pt>
                <c:pt idx="119">
                  <c:v>3.1334307262037675E-2</c:v>
                </c:pt>
                <c:pt idx="120">
                  <c:v>3.1356849527837127E-2</c:v>
                </c:pt>
                <c:pt idx="121">
                  <c:v>3.1379391269045209E-2</c:v>
                </c:pt>
                <c:pt idx="122">
                  <c:v>3.1401932485674022E-2</c:v>
                </c:pt>
                <c:pt idx="123">
                  <c:v>3.1424473177735779E-2</c:v>
                </c:pt>
                <c:pt idx="124">
                  <c:v>3.1447013345242691E-2</c:v>
                </c:pt>
                <c:pt idx="125">
                  <c:v>3.1469552988206972E-2</c:v>
                </c:pt>
                <c:pt idx="126">
                  <c:v>3.1492092106640945E-2</c:v>
                </c:pt>
                <c:pt idx="127">
                  <c:v>3.1514630700556601E-2</c:v>
                </c:pt>
                <c:pt idx="128">
                  <c:v>3.1537168769966262E-2</c:v>
                </c:pt>
                <c:pt idx="129">
                  <c:v>3.1559706314882141E-2</c:v>
                </c:pt>
                <c:pt idx="130">
                  <c:v>3.158224333531634E-2</c:v>
                </c:pt>
                <c:pt idx="131">
                  <c:v>3.1604779831281182E-2</c:v>
                </c:pt>
                <c:pt idx="132">
                  <c:v>3.162731580278888E-2</c:v>
                </c:pt>
                <c:pt idx="133">
                  <c:v>3.1649851249851646E-2</c:v>
                </c:pt>
                <c:pt idx="134">
                  <c:v>3.1672386172481581E-2</c:v>
                </c:pt>
                <c:pt idx="135">
                  <c:v>3.1694920570690899E-2</c:v>
                </c:pt>
                <c:pt idx="136">
                  <c:v>3.1717454444491922E-2</c:v>
                </c:pt>
                <c:pt idx="137">
                  <c:v>3.1739987793896751E-2</c:v>
                </c:pt>
                <c:pt idx="138">
                  <c:v>3.17625206189176E-2</c:v>
                </c:pt>
                <c:pt idx="139">
                  <c:v>3.1785052919566792E-2</c:v>
                </c:pt>
                <c:pt idx="140">
                  <c:v>3.1807584695856317E-2</c:v>
                </c:pt>
                <c:pt idx="141">
                  <c:v>3.1830115947798499E-2</c:v>
                </c:pt>
                <c:pt idx="142">
                  <c:v>3.1852646675405549E-2</c:v>
                </c:pt>
                <c:pt idx="143">
                  <c:v>3.1875176878689682E-2</c:v>
                </c:pt>
                <c:pt idx="144">
                  <c:v>3.1897706557663108E-2</c:v>
                </c:pt>
                <c:pt idx="145">
                  <c:v>3.192023571233793E-2</c:v>
                </c:pt>
                <c:pt idx="146">
                  <c:v>3.194276434272636E-2</c:v>
                </c:pt>
                <c:pt idx="147">
                  <c:v>3.1965292448840721E-2</c:v>
                </c:pt>
                <c:pt idx="148">
                  <c:v>3.1987820030693115E-2</c:v>
                </c:pt>
                <c:pt idx="149">
                  <c:v>3.2010347088295754E-2</c:v>
                </c:pt>
                <c:pt idx="150">
                  <c:v>3.2032873621660962E-2</c:v>
                </c:pt>
                <c:pt idx="151">
                  <c:v>3.2055399630800729E-2</c:v>
                </c:pt>
                <c:pt idx="152">
                  <c:v>3.2077925115727379E-2</c:v>
                </c:pt>
                <c:pt idx="153">
                  <c:v>3.2100450076453013E-2</c:v>
                </c:pt>
                <c:pt idx="154">
                  <c:v>3.2122974512990066E-2</c:v>
                </c:pt>
                <c:pt idx="155">
                  <c:v>3.2145498425350416E-2</c:v>
                </c:pt>
                <c:pt idx="156">
                  <c:v>3.2168021813546499E-2</c:v>
                </c:pt>
                <c:pt idx="157">
                  <c:v>3.2190544677590416E-2</c:v>
                </c:pt>
                <c:pt idx="158">
                  <c:v>3.2213067017494379E-2</c:v>
                </c:pt>
                <c:pt idx="159">
                  <c:v>3.2235588833270601E-2</c:v>
                </c:pt>
                <c:pt idx="160">
                  <c:v>3.2258110124931294E-2</c:v>
                </c:pt>
                <c:pt idx="161">
                  <c:v>3.228063089248856E-2</c:v>
                </c:pt>
                <c:pt idx="162">
                  <c:v>3.2303151135954722E-2</c:v>
                </c:pt>
                <c:pt idx="163">
                  <c:v>3.2325670855341881E-2</c:v>
                </c:pt>
                <c:pt idx="164">
                  <c:v>3.2348190050662251E-2</c:v>
                </c:pt>
                <c:pt idx="165">
                  <c:v>3.2370708721928154E-2</c:v>
                </c:pt>
                <c:pt idx="166">
                  <c:v>3.2393226869151581E-2</c:v>
                </c:pt>
                <c:pt idx="167">
                  <c:v>3.2415744492344856E-2</c:v>
                </c:pt>
                <c:pt idx="168">
                  <c:v>3.2438261591520079E-2</c:v>
                </c:pt>
                <c:pt idx="169">
                  <c:v>3.2460778166689574E-2</c:v>
                </c:pt>
                <c:pt idx="170">
                  <c:v>3.2483294217865555E-2</c:v>
                </c:pt>
                <c:pt idx="171">
                  <c:v>3.250580974506001E-2</c:v>
                </c:pt>
                <c:pt idx="172">
                  <c:v>3.2528324748285264E-2</c:v>
                </c:pt>
                <c:pt idx="173">
                  <c:v>3.255083922755353E-2</c:v>
                </c:pt>
                <c:pt idx="174">
                  <c:v>3.2573353182876907E-2</c:v>
                </c:pt>
                <c:pt idx="175">
                  <c:v>3.2595866614267721E-2</c:v>
                </c:pt>
                <c:pt idx="176">
                  <c:v>3.2618379521738183E-2</c:v>
                </c:pt>
                <c:pt idx="177">
                  <c:v>3.2640891905300284E-2</c:v>
                </c:pt>
                <c:pt idx="178">
                  <c:v>3.2663403764966348E-2</c:v>
                </c:pt>
                <c:pt idx="179">
                  <c:v>3.2685915100748475E-2</c:v>
                </c:pt>
                <c:pt idx="180">
                  <c:v>3.27084259126591E-2</c:v>
                </c:pt>
                <c:pt idx="181">
                  <c:v>3.2730936200710103E-2</c:v>
                </c:pt>
                <c:pt idx="182">
                  <c:v>3.2753445964913919E-2</c:v>
                </c:pt>
                <c:pt idx="183">
                  <c:v>3.2775955205282536E-2</c:v>
                </c:pt>
                <c:pt idx="184">
                  <c:v>3.279846392182828E-2</c:v>
                </c:pt>
                <c:pt idx="185">
                  <c:v>3.2820972114563363E-2</c:v>
                </c:pt>
                <c:pt idx="186">
                  <c:v>3.2843479783499885E-2</c:v>
                </c:pt>
                <c:pt idx="187">
                  <c:v>3.2865986928650059E-2</c:v>
                </c:pt>
                <c:pt idx="188">
                  <c:v>3.2888493550026099E-2</c:v>
                </c:pt>
                <c:pt idx="189">
                  <c:v>3.2910999647640105E-2</c:v>
                </c:pt>
                <c:pt idx="190">
                  <c:v>3.29335052215044E-2</c:v>
                </c:pt>
                <c:pt idx="191">
                  <c:v>3.2956010271631198E-2</c:v>
                </c:pt>
                <c:pt idx="192">
                  <c:v>3.2978514798032488E-2</c:v>
                </c:pt>
                <c:pt idx="193">
                  <c:v>3.3001018800720594E-2</c:v>
                </c:pt>
                <c:pt idx="194">
                  <c:v>3.3023522279707729E-2</c:v>
                </c:pt>
                <c:pt idx="195">
                  <c:v>3.3046025235005994E-2</c:v>
                </c:pt>
                <c:pt idx="196">
                  <c:v>3.3068527666627601E-2</c:v>
                </c:pt>
                <c:pt idx="197">
                  <c:v>3.3091029574584763E-2</c:v>
                </c:pt>
                <c:pt idx="198">
                  <c:v>3.3113530958889581E-2</c:v>
                </c:pt>
                <c:pt idx="199">
                  <c:v>3.3136031819554379E-2</c:v>
                </c:pt>
                <c:pt idx="200">
                  <c:v>3.3158532156591369E-2</c:v>
                </c:pt>
                <c:pt idx="201">
                  <c:v>3.3181031970012542E-2</c:v>
                </c:pt>
                <c:pt idx="202">
                  <c:v>3.3203531259830221E-2</c:v>
                </c:pt>
                <c:pt idx="203">
                  <c:v>3.3226030026056508E-2</c:v>
                </c:pt>
                <c:pt idx="204">
                  <c:v>3.3248528268703725E-2</c:v>
                </c:pt>
                <c:pt idx="205">
                  <c:v>3.3271025987783864E-2</c:v>
                </c:pt>
                <c:pt idx="206">
                  <c:v>3.3293523183309248E-2</c:v>
                </c:pt>
                <c:pt idx="207">
                  <c:v>3.3316019855292089E-2</c:v>
                </c:pt>
                <c:pt idx="208">
                  <c:v>3.3338516003744378E-2</c:v>
                </c:pt>
                <c:pt idx="209">
                  <c:v>3.336101162867855E-2</c:v>
                </c:pt>
                <c:pt idx="210">
                  <c:v>3.3383506730106594E-2</c:v>
                </c:pt>
                <c:pt idx="211">
                  <c:v>3.3406001308040834E-2</c:v>
                </c:pt>
                <c:pt idx="212">
                  <c:v>3.3428495362493371E-2</c:v>
                </c:pt>
                <c:pt idx="213">
                  <c:v>3.3450988893476308E-2</c:v>
                </c:pt>
                <c:pt idx="214">
                  <c:v>3.3473481901002078E-2</c:v>
                </c:pt>
                <c:pt idx="215">
                  <c:v>3.3495974385082561E-2</c:v>
                </c:pt>
                <c:pt idx="216">
                  <c:v>3.351846634573008E-2</c:v>
                </c:pt>
                <c:pt idx="217">
                  <c:v>3.3540957782956959E-2</c:v>
                </c:pt>
                <c:pt idx="218">
                  <c:v>3.3563448696775078E-2</c:v>
                </c:pt>
                <c:pt idx="219">
                  <c:v>3.358593908719687E-2</c:v>
                </c:pt>
                <c:pt idx="220">
                  <c:v>3.3608428954234326E-2</c:v>
                </c:pt>
                <c:pt idx="221">
                  <c:v>3.363091829789977E-2</c:v>
                </c:pt>
                <c:pt idx="222">
                  <c:v>3.3653407118205414E-2</c:v>
                </c:pt>
                <c:pt idx="223">
                  <c:v>3.3675895415163248E-2</c:v>
                </c:pt>
                <c:pt idx="224">
                  <c:v>3.3698383188785597E-2</c:v>
                </c:pt>
                <c:pt idx="225">
                  <c:v>3.372087043908456E-2</c:v>
                </c:pt>
                <c:pt idx="226">
                  <c:v>3.3743357166072463E-2</c:v>
                </c:pt>
                <c:pt idx="227">
                  <c:v>3.3765843369761295E-2</c:v>
                </c:pt>
                <c:pt idx="228">
                  <c:v>3.3788329050163379E-2</c:v>
                </c:pt>
                <c:pt idx="229">
                  <c:v>3.3810814207290707E-2</c:v>
                </c:pt>
                <c:pt idx="230">
                  <c:v>3.3833298841155712E-2</c:v>
                </c:pt>
                <c:pt idx="231">
                  <c:v>3.3855782951770386E-2</c:v>
                </c:pt>
                <c:pt idx="232">
                  <c:v>3.387826653914694E-2</c:v>
                </c:pt>
                <c:pt idx="233">
                  <c:v>3.3900749603297586E-2</c:v>
                </c:pt>
                <c:pt idx="234">
                  <c:v>3.3923232144234539E-2</c:v>
                </c:pt>
                <c:pt idx="235">
                  <c:v>3.3945714161969787E-2</c:v>
                </c:pt>
                <c:pt idx="236">
                  <c:v>3.3968195656515765E-2</c:v>
                </c:pt>
                <c:pt idx="237">
                  <c:v>3.3990676627884464E-2</c:v>
                </c:pt>
                <c:pt idx="238">
                  <c:v>3.4013157076088096E-2</c:v>
                </c:pt>
                <c:pt idx="239">
                  <c:v>3.4035637001138874E-2</c:v>
                </c:pt>
                <c:pt idx="240">
                  <c:v>3.405811640304901E-2</c:v>
                </c:pt>
                <c:pt idx="241">
                  <c:v>3.4080595281830606E-2</c:v>
                </c:pt>
                <c:pt idx="242">
                  <c:v>3.4103073637495762E-2</c:v>
                </c:pt>
                <c:pt idx="243">
                  <c:v>3.4125551470056803E-2</c:v>
                </c:pt>
                <c:pt idx="244">
                  <c:v>3.414802877952583E-2</c:v>
                </c:pt>
                <c:pt idx="245">
                  <c:v>3.4170505565915055E-2</c:v>
                </c:pt>
                <c:pt idx="246">
                  <c:v>3.419298182923669E-2</c:v>
                </c:pt>
                <c:pt idx="247">
                  <c:v>3.4215457569502727E-2</c:v>
                </c:pt>
                <c:pt idx="248">
                  <c:v>3.4237932786725489E-2</c:v>
                </c:pt>
                <c:pt idx="249">
                  <c:v>3.4260407480917188E-2</c:v>
                </c:pt>
                <c:pt idx="250">
                  <c:v>3.4282881652089814E-2</c:v>
                </c:pt>
                <c:pt idx="251">
                  <c:v>3.4305355300255691E-2</c:v>
                </c:pt>
                <c:pt idx="252">
                  <c:v>3.4327828425426921E-2</c:v>
                </c:pt>
                <c:pt idx="253">
                  <c:v>3.4350301027615715E-2</c:v>
                </c:pt>
                <c:pt idx="254">
                  <c:v>3.4372773106834176E-2</c:v>
                </c:pt>
                <c:pt idx="255">
                  <c:v>3.4395244663094626E-2</c:v>
                </c:pt>
                <c:pt idx="256">
                  <c:v>3.4417715696409057E-2</c:v>
                </c:pt>
                <c:pt idx="257">
                  <c:v>3.444018620678968E-2</c:v>
                </c:pt>
                <c:pt idx="258">
                  <c:v>3.446265619424882E-2</c:v>
                </c:pt>
                <c:pt idx="259">
                  <c:v>3.4485125658798355E-2</c:v>
                </c:pt>
                <c:pt idx="260">
                  <c:v>3.4507594600450719E-2</c:v>
                </c:pt>
                <c:pt idx="261">
                  <c:v>3.4530063019218016E-2</c:v>
                </c:pt>
                <c:pt idx="262">
                  <c:v>3.4552530915112345E-2</c:v>
                </c:pt>
                <c:pt idx="263">
                  <c:v>3.4574998288145919E-2</c:v>
                </c:pt>
                <c:pt idx="264">
                  <c:v>3.4597465138330952E-2</c:v>
                </c:pt>
                <c:pt idx="265">
                  <c:v>3.4619931465679543E-2</c:v>
                </c:pt>
                <c:pt idx="266">
                  <c:v>3.4642397270203795E-2</c:v>
                </c:pt>
                <c:pt idx="267">
                  <c:v>3.4664862551916031E-2</c:v>
                </c:pt>
                <c:pt idx="268">
                  <c:v>3.4687327310828353E-2</c:v>
                </c:pt>
                <c:pt idx="269">
                  <c:v>3.4709791546952862E-2</c:v>
                </c:pt>
                <c:pt idx="270">
                  <c:v>3.473225526030177E-2</c:v>
                </c:pt>
                <c:pt idx="271">
                  <c:v>3.475471845088729E-2</c:v>
                </c:pt>
                <c:pt idx="272">
                  <c:v>3.4777181118721523E-2</c:v>
                </c:pt>
                <c:pt idx="273">
                  <c:v>3.4799643263816682E-2</c:v>
                </c:pt>
                <c:pt idx="274">
                  <c:v>3.4822104886184868E-2</c:v>
                </c:pt>
                <c:pt idx="275">
                  <c:v>3.4844565985838405E-2</c:v>
                </c:pt>
                <c:pt idx="276">
                  <c:v>3.4867026562789172E-2</c:v>
                </c:pt>
                <c:pt idx="277">
                  <c:v>3.4889486617049603E-2</c:v>
                </c:pt>
                <c:pt idx="278">
                  <c:v>3.4911946148631801E-2</c:v>
                </c:pt>
                <c:pt idx="279">
                  <c:v>3.4934405157547754E-2</c:v>
                </c:pt>
                <c:pt idx="280">
                  <c:v>3.4956863643809899E-2</c:v>
                </c:pt>
                <c:pt idx="281">
                  <c:v>3.4979321607430114E-2</c:v>
                </c:pt>
                <c:pt idx="282">
                  <c:v>3.5001779048420834E-2</c:v>
                </c:pt>
                <c:pt idx="283">
                  <c:v>3.5024235966794048E-2</c:v>
                </c:pt>
                <c:pt idx="284">
                  <c:v>3.5046692362561971E-2</c:v>
                </c:pt>
                <c:pt idx="285">
                  <c:v>3.5069148235736702E-2</c:v>
                </c:pt>
                <c:pt idx="286">
                  <c:v>3.5091603586330566E-2</c:v>
                </c:pt>
                <c:pt idx="287">
                  <c:v>3.5114058414355553E-2</c:v>
                </c:pt>
                <c:pt idx="288">
                  <c:v>3.5136512719823876E-2</c:v>
                </c:pt>
                <c:pt idx="289">
                  <c:v>3.5158966502747746E-2</c:v>
                </c:pt>
                <c:pt idx="290">
                  <c:v>3.5181419763139266E-2</c:v>
                </c:pt>
                <c:pt idx="291">
                  <c:v>3.5203872501010536E-2</c:v>
                </c:pt>
                <c:pt idx="292">
                  <c:v>3.522632471637388E-2</c:v>
                </c:pt>
                <c:pt idx="293">
                  <c:v>3.52487764092414E-2</c:v>
                </c:pt>
                <c:pt idx="294">
                  <c:v>3.5271227579625197E-2</c:v>
                </c:pt>
                <c:pt idx="295">
                  <c:v>3.5293678227537373E-2</c:v>
                </c:pt>
                <c:pt idx="296">
                  <c:v>3.531612835299025E-2</c:v>
                </c:pt>
                <c:pt idx="297">
                  <c:v>3.5338577955995931E-2</c:v>
                </c:pt>
                <c:pt idx="298">
                  <c:v>3.5361027036566517E-2</c:v>
                </c:pt>
                <c:pt idx="299">
                  <c:v>3.538347559471422E-2</c:v>
                </c:pt>
                <c:pt idx="300">
                  <c:v>3.5405923630451142E-2</c:v>
                </c:pt>
                <c:pt idx="301">
                  <c:v>3.5428371143789605E-2</c:v>
                </c:pt>
                <c:pt idx="302">
                  <c:v>3.5450818134741491E-2</c:v>
                </c:pt>
                <c:pt idx="303">
                  <c:v>3.5473264603319121E-2</c:v>
                </c:pt>
                <c:pt idx="304">
                  <c:v>3.5495710549534709E-2</c:v>
                </c:pt>
                <c:pt idx="305">
                  <c:v>3.5518155973400356E-2</c:v>
                </c:pt>
                <c:pt idx="306">
                  <c:v>3.5540600874928052E-2</c:v>
                </c:pt>
                <c:pt idx="307">
                  <c:v>3.5563045254130232E-2</c:v>
                </c:pt>
                <c:pt idx="308">
                  <c:v>3.5585489111018886E-2</c:v>
                </c:pt>
                <c:pt idx="309">
                  <c:v>3.5607932445606227E-2</c:v>
                </c:pt>
                <c:pt idx="310">
                  <c:v>3.5630375257904356E-2</c:v>
                </c:pt>
                <c:pt idx="311">
                  <c:v>3.5652817547925375E-2</c:v>
                </c:pt>
                <c:pt idx="312">
                  <c:v>3.5675259315681607E-2</c:v>
                </c:pt>
                <c:pt idx="313">
                  <c:v>3.5697700561185153E-2</c:v>
                </c:pt>
                <c:pt idx="314">
                  <c:v>3.5720141284448115E-2</c:v>
                </c:pt>
                <c:pt idx="315">
                  <c:v>3.5742581485482594E-2</c:v>
                </c:pt>
                <c:pt idx="316">
                  <c:v>3.5765021164300803E-2</c:v>
                </c:pt>
                <c:pt idx="317">
                  <c:v>3.5787460320914954E-2</c:v>
                </c:pt>
                <c:pt idx="318">
                  <c:v>3.5809898955337149E-2</c:v>
                </c:pt>
                <c:pt idx="319">
                  <c:v>3.58323370675796E-2</c:v>
                </c:pt>
                <c:pt idx="320">
                  <c:v>3.5854774657654298E-2</c:v>
                </c:pt>
                <c:pt idx="321">
                  <c:v>3.5877211725573566E-2</c:v>
                </c:pt>
                <c:pt idx="322">
                  <c:v>3.5899648271349394E-2</c:v>
                </c:pt>
                <c:pt idx="323">
                  <c:v>3.5922084294994105E-2</c:v>
                </c:pt>
                <c:pt idx="324">
                  <c:v>3.5944519796519803E-2</c:v>
                </c:pt>
                <c:pt idx="325">
                  <c:v>3.5966954775938476E-2</c:v>
                </c:pt>
                <c:pt idx="326">
                  <c:v>3.5989389233262559E-2</c:v>
                </c:pt>
                <c:pt idx="327">
                  <c:v>3.6011823168503931E-2</c:v>
                </c:pt>
                <c:pt idx="328">
                  <c:v>3.6034256581674917E-2</c:v>
                </c:pt>
                <c:pt idx="329">
                  <c:v>3.6056689472787506E-2</c:v>
                </c:pt>
                <c:pt idx="330">
                  <c:v>3.6079121841854023E-2</c:v>
                </c:pt>
                <c:pt idx="331">
                  <c:v>3.6101553688886567E-2</c:v>
                </c:pt>
                <c:pt idx="332">
                  <c:v>3.6123985013897242E-2</c:v>
                </c:pt>
                <c:pt idx="333">
                  <c:v>3.6146415816898148E-2</c:v>
                </c:pt>
                <c:pt idx="334">
                  <c:v>3.6168846097901608E-2</c:v>
                </c:pt>
                <c:pt idx="335">
                  <c:v>3.6191275856919614E-2</c:v>
                </c:pt>
                <c:pt idx="336">
                  <c:v>3.6213705093964266E-2</c:v>
                </c:pt>
                <c:pt idx="337">
                  <c:v>3.6236133809047888E-2</c:v>
                </c:pt>
                <c:pt idx="338">
                  <c:v>3.6258562002182582E-2</c:v>
                </c:pt>
                <c:pt idx="339">
                  <c:v>3.6280989673380448E-2</c:v>
                </c:pt>
                <c:pt idx="340">
                  <c:v>3.6303416822653589E-2</c:v>
                </c:pt>
                <c:pt idx="341">
                  <c:v>3.6325843450014217E-2</c:v>
                </c:pt>
                <c:pt idx="342">
                  <c:v>3.6348269555474433E-2</c:v>
                </c:pt>
                <c:pt idx="343">
                  <c:v>3.6370695139046449E-2</c:v>
                </c:pt>
                <c:pt idx="344">
                  <c:v>3.6393120200742368E-2</c:v>
                </c:pt>
                <c:pt idx="345">
                  <c:v>3.6415544740574401E-2</c:v>
                </c:pt>
                <c:pt idx="346">
                  <c:v>3.643796875855454E-2</c:v>
                </c:pt>
                <c:pt idx="347">
                  <c:v>3.6460392254695106E-2</c:v>
                </c:pt>
                <c:pt idx="348">
                  <c:v>3.6482815229008092E-2</c:v>
                </c:pt>
                <c:pt idx="349">
                  <c:v>3.6505237681505709E-2</c:v>
                </c:pt>
                <c:pt idx="350">
                  <c:v>3.652765961220017E-2</c:v>
                </c:pt>
                <c:pt idx="351">
                  <c:v>3.6550081021103464E-2</c:v>
                </c:pt>
                <c:pt idx="352">
                  <c:v>3.6572501908227806E-2</c:v>
                </c:pt>
                <c:pt idx="353">
                  <c:v>3.6594922273585406E-2</c:v>
                </c:pt>
                <c:pt idx="354">
                  <c:v>3.6617342117188367E-2</c:v>
                </c:pt>
                <c:pt idx="355">
                  <c:v>3.663976143904879E-2</c:v>
                </c:pt>
                <c:pt idx="356">
                  <c:v>3.6662180239178777E-2</c:v>
                </c:pt>
                <c:pt idx="357">
                  <c:v>3.668459851759065E-2</c:v>
                </c:pt>
                <c:pt idx="358">
                  <c:v>3.6707016274296289E-2</c:v>
                </c:pt>
                <c:pt idx="359">
                  <c:v>3.6729433509308129E-2</c:v>
                </c:pt>
                <c:pt idx="360">
                  <c:v>3.6751850222638049E-2</c:v>
                </c:pt>
                <c:pt idx="361">
                  <c:v>3.6774266414298373E-2</c:v>
                </c:pt>
                <c:pt idx="362">
                  <c:v>3.6796682084301091E-2</c:v>
                </c:pt>
                <c:pt idx="363">
                  <c:v>3.6819097232658526E-2</c:v>
                </c:pt>
                <c:pt idx="364">
                  <c:v>3.684151185938267E-2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6.2558490680034787E-2</c:v>
                </c:pt>
                <c:pt idx="1">
                  <c:v>6.2706647076547009E-2</c:v>
                </c:pt>
                <c:pt idx="2">
                  <c:v>6.2854767839563716E-2</c:v>
                </c:pt>
                <c:pt idx="3">
                  <c:v>6.3002839440280664E-2</c:v>
                </c:pt>
                <c:pt idx="4">
                  <c:v>6.3150850113329174E-2</c:v>
                </c:pt>
                <c:pt idx="5">
                  <c:v>6.3298789817870488E-2</c:v>
                </c:pt>
                <c:pt idx="6">
                  <c:v>6.3446650183777889E-2</c:v>
                </c:pt>
                <c:pt idx="7">
                  <c:v>6.3594424443895362E-2</c:v>
                </c:pt>
                <c:pt idx="8">
                  <c:v>6.3742107353475103E-2</c:v>
                </c:pt>
                <c:pt idx="9">
                  <c:v>6.3889695097998689E-2</c:v>
                </c:pt>
                <c:pt idx="10">
                  <c:v>6.4037185190675222E-2</c:v>
                </c:pt>
                <c:pt idx="11">
                  <c:v>6.4184576360984555E-2</c:v>
                </c:pt>
                <c:pt idx="12">
                  <c:v>6.4331868435694411E-2</c:v>
                </c:pt>
                <c:pt idx="13">
                  <c:v>6.4479062213825378E-2</c:v>
                </c:pt>
                <c:pt idx="14">
                  <c:v>6.4626159337068445E-2</c:v>
                </c:pt>
                <c:pt idx="15">
                  <c:v>6.4773162157174755E-2</c:v>
                </c:pt>
                <c:pt idx="16">
                  <c:v>6.492007360183677E-2</c:v>
                </c:pt>
                <c:pt idx="17">
                  <c:v>6.506689704056548E-2</c:v>
                </c:pt>
                <c:pt idx="18">
                  <c:v>6.5213636152037568E-2</c:v>
                </c:pt>
                <c:pt idx="19">
                  <c:v>6.5360294794343021E-2</c:v>
                </c:pt>
                <c:pt idx="20">
                  <c:v>6.5506876879505474E-2</c:v>
                </c:pt>
                <c:pt idx="21">
                  <c:v>6.5653386253576848E-2</c:v>
                </c:pt>
                <c:pt idx="22">
                  <c:v>6.5799826583525775E-2</c:v>
                </c:pt>
                <c:pt idx="23">
                  <c:v>6.5946201252045519E-2</c:v>
                </c:pt>
                <c:pt idx="24">
                  <c:v>6.6092513261303165E-2</c:v>
                </c:pt>
                <c:pt idx="25">
                  <c:v>6.6238765146541145E-2</c:v>
                </c:pt>
                <c:pt idx="26">
                  <c:v>6.6384958900321006E-2</c:v>
                </c:pt>
                <c:pt idx="27">
                  <c:v>6.65310959080751E-2</c:v>
                </c:pt>
                <c:pt idx="28">
                  <c:v>6.6677176895500873E-2</c:v>
                </c:pt>
                <c:pt idx="29">
                  <c:v>6.6823201888199096E-2</c:v>
                </c:pt>
                <c:pt idx="30">
                  <c:v>6.6969170183821966E-2</c:v>
                </c:pt>
                <c:pt idx="31">
                  <c:v>6.7115080336860741E-2</c:v>
                </c:pt>
                <c:pt idx="32">
                  <c:v>6.7260930156068585E-2</c:v>
                </c:pt>
                <c:pt idx="33">
                  <c:v>6.7406716714379922E-2</c:v>
                </c:pt>
                <c:pt idx="34">
                  <c:v>6.755243637106112E-2</c:v>
                </c:pt>
                <c:pt idx="35">
                  <c:v>6.7698084805701053E-2</c:v>
                </c:pt>
                <c:pt idx="36">
                  <c:v>6.7843657063534346E-2</c:v>
                </c:pt>
                <c:pt idx="37">
                  <c:v>6.7989147611478146E-2</c:v>
                </c:pt>
                <c:pt idx="38">
                  <c:v>6.8134550404162747E-2</c:v>
                </c:pt>
                <c:pt idx="39">
                  <c:v>6.8279858959142764E-2</c:v>
                </c:pt>
                <c:pt idx="40">
                  <c:v>6.8425066440393562E-2</c:v>
                </c:pt>
                <c:pt idx="41">
                  <c:v>6.8570165749125916E-2</c:v>
                </c:pt>
                <c:pt idx="42">
                  <c:v>6.8715149620891702E-2</c:v>
                </c:pt>
                <c:pt idx="43">
                  <c:v>6.8860010727905666E-2</c:v>
                </c:pt>
                <c:pt idx="44">
                  <c:v>6.9004741785471085E-2</c:v>
                </c:pt>
                <c:pt idx="45">
                  <c:v>6.9149335661375322E-2</c:v>
                </c:pt>
                <c:pt idx="46">
                  <c:v>6.9293785487107962E-2</c:v>
                </c:pt>
                <c:pt idx="47">
                  <c:v>6.9438084769757005E-2</c:v>
                </c:pt>
                <c:pt idx="48">
                  <c:v>6.9582227503450902E-2</c:v>
                </c:pt>
                <c:pt idx="49">
                  <c:v>6.9726208279239213E-2</c:v>
                </c:pt>
                <c:pt idx="50">
                  <c:v>6.9870022392340941E-2</c:v>
                </c:pt>
                <c:pt idx="51">
                  <c:v>7.0013665945736062E-2</c:v>
                </c:pt>
                <c:pt idx="52">
                  <c:v>7.0157135949132782E-2</c:v>
                </c:pt>
                <c:pt idx="53">
                  <c:v>7.030043041240816E-2</c:v>
                </c:pt>
                <c:pt idx="54">
                  <c:v>7.044354843269432E-2</c:v>
                </c:pt>
                <c:pt idx="55">
                  <c:v>7.0586490274362534E-2</c:v>
                </c:pt>
                <c:pt idx="56">
                  <c:v>7.0729257441245599E-2</c:v>
                </c:pt>
                <c:pt idx="57">
                  <c:v>7.0871852740530497E-2</c:v>
                </c:pt>
                <c:pt idx="58">
                  <c:v>7.1014280337848956E-2</c:v>
                </c:pt>
                <c:pt idx="59">
                  <c:v>7.1156545803193416E-2</c:v>
                </c:pt>
                <c:pt idx="60">
                  <c:v>7.1276742006534444E-2</c:v>
                </c:pt>
                <c:pt idx="61">
                  <c:v>7.1396815008509515E-2</c:v>
                </c:pt>
                <c:pt idx="62">
                  <c:v>7.151677473404526E-2</c:v>
                </c:pt>
                <c:pt idx="63">
                  <c:v>7.1636632586757662E-2</c:v>
                </c:pt>
                <c:pt idx="64">
                  <c:v>7.1756401444786733E-2</c:v>
                </c:pt>
                <c:pt idx="65">
                  <c:v>7.1876095647340543E-2</c:v>
                </c:pt>
                <c:pt idx="66">
                  <c:v>7.1995730972261127E-2</c:v>
                </c:pt>
                <c:pt idx="67">
                  <c:v>7.2115324605001238E-2</c:v>
                </c:pt>
                <c:pt idx="68">
                  <c:v>7.2234895099472424E-2</c:v>
                </c:pt>
                <c:pt idx="69">
                  <c:v>7.2354462331286756E-2</c:v>
                </c:pt>
                <c:pt idx="70">
                  <c:v>7.2474047443969389E-2</c:v>
                </c:pt>
                <c:pt idx="71">
                  <c:v>7.259367278876451E-2</c:v>
                </c:pt>
                <c:pt idx="72">
                  <c:v>7.2713361858692968E-2</c:v>
                </c:pt>
                <c:pt idx="73">
                  <c:v>7.2833139217547527E-2</c:v>
                </c:pt>
                <c:pt idx="74">
                  <c:v>7.2953030424527762E-2</c:v>
                </c:pt>
                <c:pt idx="75">
                  <c:v>7.307306195522488E-2</c:v>
                </c:pt>
                <c:pt idx="76">
                  <c:v>7.319326111966476E-2</c:v>
                </c:pt>
                <c:pt idx="77">
                  <c:v>7.3313655978105727E-2</c:v>
                </c:pt>
                <c:pt idx="78">
                  <c:v>7.3434275255268244E-2</c:v>
                </c:pt>
                <c:pt idx="79">
                  <c:v>7.3555148253644648E-2</c:v>
                </c:pt>
                <c:pt idx="80">
                  <c:v>7.3676304766500916E-2</c:v>
                </c:pt>
                <c:pt idx="81">
                  <c:v>7.3797774991138876E-2</c:v>
                </c:pt>
                <c:pt idx="82">
                  <c:v>7.3919589442937431E-2</c:v>
                </c:pt>
                <c:pt idx="83">
                  <c:v>7.4041778870635261E-2</c:v>
                </c:pt>
                <c:pt idx="84">
                  <c:v>7.416437417325801E-2</c:v>
                </c:pt>
                <c:pt idx="85">
                  <c:v>7.428740631902811E-2</c:v>
                </c:pt>
                <c:pt idx="86">
                  <c:v>7.441090626652884E-2</c:v>
                </c:pt>
                <c:pt idx="87">
                  <c:v>7.4534904888326259E-2</c:v>
                </c:pt>
                <c:pt idx="88">
                  <c:v>7.4659432897182201E-2</c:v>
                </c:pt>
                <c:pt idx="89">
                  <c:v>7.4784520774924076E-2</c:v>
                </c:pt>
                <c:pt idx="90">
                  <c:v>7.4910198703968547E-2</c:v>
                </c:pt>
                <c:pt idx="91">
                  <c:v>7.5036496501431807E-2</c:v>
                </c:pt>
                <c:pt idx="92">
                  <c:v>7.5163443555697554E-2</c:v>
                </c:pt>
                <c:pt idx="93">
                  <c:v>7.5291068765255695E-2</c:v>
                </c:pt>
                <c:pt idx="94">
                  <c:v>7.5419400479574128E-2</c:v>
                </c:pt>
                <c:pt idx="95">
                  <c:v>7.5548466441718004E-2</c:v>
                </c:pt>
                <c:pt idx="96">
                  <c:v>7.5678293732393709E-2</c:v>
                </c:pt>
                <c:pt idx="97">
                  <c:v>7.5808908715060547E-2</c:v>
                </c:pt>
                <c:pt idx="98">
                  <c:v>7.5940336981731166E-2</c:v>
                </c:pt>
                <c:pt idx="99">
                  <c:v>7.607260329906454E-2</c:v>
                </c:pt>
                <c:pt idx="100">
                  <c:v>7.6205731554348899E-2</c:v>
                </c:pt>
                <c:pt idx="101">
                  <c:v>7.6339744700973863E-2</c:v>
                </c:pt>
                <c:pt idx="102">
                  <c:v>7.6474664703001363E-2</c:v>
                </c:pt>
                <c:pt idx="103">
                  <c:v>7.6610512478464773E-2</c:v>
                </c:pt>
                <c:pt idx="104">
                  <c:v>7.6747307841054227E-2</c:v>
                </c:pt>
                <c:pt idx="105">
                  <c:v>7.6885069439881937E-2</c:v>
                </c:pt>
                <c:pt idx="106">
                  <c:v>7.7023814697067525E-2</c:v>
                </c:pt>
                <c:pt idx="107">
                  <c:v>7.7163559742934332E-2</c:v>
                </c:pt>
                <c:pt idx="108">
                  <c:v>7.7304319348667591E-2</c:v>
                </c:pt>
                <c:pt idx="109">
                  <c:v>7.7446106856350977E-2</c:v>
                </c:pt>
                <c:pt idx="110">
                  <c:v>7.7588934106367372E-2</c:v>
                </c:pt>
                <c:pt idx="111">
                  <c:v>7.7732811362226886E-2</c:v>
                </c:pt>
                <c:pt idx="112">
                  <c:v>7.7877747232962091E-2</c:v>
                </c:pt>
                <c:pt idx="113">
                  <c:v>7.8023748593311848E-2</c:v>
                </c:pt>
                <c:pt idx="114">
                  <c:v>7.8170820501998348E-2</c:v>
                </c:pt>
                <c:pt idx="115">
                  <c:v>7.8318966118483116E-2</c:v>
                </c:pt>
                <c:pt idx="116">
                  <c:v>7.8468186618670735E-2</c:v>
                </c:pt>
                <c:pt idx="117">
                  <c:v>7.8618481110107385E-2</c:v>
                </c:pt>
                <c:pt idx="118">
                  <c:v>7.8769846547298308E-2</c:v>
                </c:pt>
                <c:pt idx="119">
                  <c:v>7.8922277647840031E-2</c:v>
                </c:pt>
                <c:pt idx="120">
                  <c:v>7.9075766810128928E-2</c:v>
                </c:pt>
                <c:pt idx="121">
                  <c:v>7.9230304033468216E-2</c:v>
                </c:pt>
                <c:pt idx="122">
                  <c:v>7.9385876841447128E-2</c:v>
                </c:pt>
                <c:pt idx="123">
                  <c:v>7.95424702095099E-2</c:v>
                </c:pt>
                <c:pt idx="124">
                  <c:v>7.9700066497666602E-2</c:v>
                </c:pt>
                <c:pt idx="125">
                  <c:v>7.98586453893214E-2</c:v>
                </c:pt>
                <c:pt idx="126">
                  <c:v>8.0018183837208656E-2</c:v>
                </c:pt>
                <c:pt idx="127">
                  <c:v>8.0178656017427963E-2</c:v>
                </c:pt>
                <c:pt idx="128">
                  <c:v>8.03400332925608E-2</c:v>
                </c:pt>
                <c:pt idx="129">
                  <c:v>8.0502284184829964E-2</c:v>
                </c:pt>
                <c:pt idx="130">
                  <c:v>8.0665374360228706E-2</c:v>
                </c:pt>
                <c:pt idx="131">
                  <c:v>8.0829266624502349E-2</c:v>
                </c:pt>
                <c:pt idx="132">
                  <c:v>8.0993920931806088E-2</c:v>
                </c:pt>
                <c:pt idx="133">
                  <c:v>8.1159294406794896E-2</c:v>
                </c:pt>
                <c:pt idx="134">
                  <c:v>8.1325341380820232E-2</c:v>
                </c:pt>
                <c:pt idx="135">
                  <c:v>8.1492013442817549E-2</c:v>
                </c:pt>
                <c:pt idx="136">
                  <c:v>8.1659259505367426E-2</c:v>
                </c:pt>
                <c:pt idx="137">
                  <c:v>8.1827025886303348E-2</c:v>
                </c:pt>
                <c:pt idx="138">
                  <c:v>8.199525640611996E-2</c:v>
                </c:pt>
                <c:pt idx="139">
                  <c:v>8.2163892501311078E-2</c:v>
                </c:pt>
                <c:pt idx="140">
                  <c:v>8.2332873353634137E-2</c:v>
                </c:pt>
                <c:pt idx="141">
                  <c:v>8.2502136035162266E-2</c:v>
                </c:pt>
                <c:pt idx="142">
                  <c:v>8.267161566884472E-2</c:v>
                </c:pt>
                <c:pt idx="143">
                  <c:v>8.2841245604154526E-2</c:v>
                </c:pt>
                <c:pt idx="144">
                  <c:v>8.3010957607260752E-2</c:v>
                </c:pt>
                <c:pt idx="145">
                  <c:v>8.3180682065018968E-2</c:v>
                </c:pt>
                <c:pt idx="146">
                  <c:v>8.3350348201936333E-2</c:v>
                </c:pt>
                <c:pt idx="147">
                  <c:v>8.3519884309130654E-2</c:v>
                </c:pt>
                <c:pt idx="148">
                  <c:v>8.3689217984172892E-2</c:v>
                </c:pt>
                <c:pt idx="149">
                  <c:v>8.3858276380578911E-2</c:v>
                </c:pt>
                <c:pt idx="150">
                  <c:v>8.4026986465600875E-2</c:v>
                </c:pt>
                <c:pt idx="151">
                  <c:v>8.4195275284862175E-2</c:v>
                </c:pt>
                <c:pt idx="152">
                  <c:v>8.4363070232285023E-2</c:v>
                </c:pt>
                <c:pt idx="153">
                  <c:v>8.453029932367534E-2</c:v>
                </c:pt>
                <c:pt idx="154">
                  <c:v>8.4696891472260311E-2</c:v>
                </c:pt>
                <c:pt idx="155">
                  <c:v>8.4862776764415421E-2</c:v>
                </c:pt>
                <c:pt idx="156">
                  <c:v>8.5027886733777647E-2</c:v>
                </c:pt>
                <c:pt idx="157">
                  <c:v>8.5192154631913278E-2</c:v>
                </c:pt>
                <c:pt idx="158">
                  <c:v>8.5355515693698383E-2</c:v>
                </c:pt>
                <c:pt idx="159">
                  <c:v>8.5517907395575909E-2</c:v>
                </c:pt>
                <c:pt idx="160">
                  <c:v>8.5679269704874064E-2</c:v>
                </c:pt>
                <c:pt idx="161">
                  <c:v>8.5839545318410523E-2</c:v>
                </c:pt>
                <c:pt idx="162">
                  <c:v>8.5998679888659557E-2</c:v>
                </c:pt>
                <c:pt idx="163">
                  <c:v>8.6156622235832439E-2</c:v>
                </c:pt>
                <c:pt idx="164">
                  <c:v>8.6313324544305389E-2</c:v>
                </c:pt>
                <c:pt idx="165">
                  <c:v>8.6468742541932611E-2</c:v>
                </c:pt>
                <c:pt idx="166">
                  <c:v>8.6622835660896055E-2</c:v>
                </c:pt>
                <c:pt idx="167">
                  <c:v>8.6775567178873345E-2</c:v>
                </c:pt>
                <c:pt idx="168">
                  <c:v>8.6926904339445374E-2</c:v>
                </c:pt>
                <c:pt idx="169">
                  <c:v>8.7076818450817967E-2</c:v>
                </c:pt>
                <c:pt idx="170">
                  <c:v>8.7225284962092378E-2</c:v>
                </c:pt>
                <c:pt idx="171">
                  <c:v>8.7372283516490026E-2</c:v>
                </c:pt>
                <c:pt idx="172">
                  <c:v>8.7517797981112699E-2</c:v>
                </c:pt>
                <c:pt idx="173">
                  <c:v>8.7661816453000835E-2</c:v>
                </c:pt>
                <c:pt idx="174">
                  <c:v>8.7804331241437369E-2</c:v>
                </c:pt>
                <c:pt idx="175">
                  <c:v>8.7945338826630207E-2</c:v>
                </c:pt>
                <c:pt idx="176">
                  <c:v>8.808483979509335E-2</c:v>
                </c:pt>
                <c:pt idx="177">
                  <c:v>8.822283875222961E-2</c:v>
                </c:pt>
                <c:pt idx="178">
                  <c:v>8.8359344212799396E-2</c:v>
                </c:pt>
                <c:pt idx="179">
                  <c:v>8.8494368470133589E-2</c:v>
                </c:pt>
                <c:pt idx="180">
                  <c:v>8.8627927445117369E-2</c:v>
                </c:pt>
                <c:pt idx="181">
                  <c:v>8.8760040516129846E-2</c:v>
                </c:pt>
                <c:pt idx="182">
                  <c:v>8.889073033127326E-2</c:v>
                </c:pt>
                <c:pt idx="183">
                  <c:v>8.9020022604361926E-2</c:v>
                </c:pt>
                <c:pt idx="184">
                  <c:v>8.9147945896264749E-2</c:v>
                </c:pt>
                <c:pt idx="185">
                  <c:v>8.9274531383303962E-2</c:v>
                </c:pt>
                <c:pt idx="186">
                  <c:v>8.9399812614506247E-2</c:v>
                </c:pt>
                <c:pt idx="187">
                  <c:v>8.9523825259579706E-2</c:v>
                </c:pt>
                <c:pt idx="188">
                  <c:v>8.9646606849550017E-2</c:v>
                </c:pt>
                <c:pt idx="189">
                  <c:v>8.9768196512030829E-2</c:v>
                </c:pt>
                <c:pt idx="190">
                  <c:v>8.9888634703127857E-2</c:v>
                </c:pt>
                <c:pt idx="191">
                  <c:v>9.0007962937981162E-2</c:v>
                </c:pt>
                <c:pt idx="192">
                  <c:v>9.0126223521937179E-2</c:v>
                </c:pt>
                <c:pt idx="193">
                  <c:v>9.0243459284310573E-2</c:v>
                </c:pt>
                <c:pt idx="194">
                  <c:v>9.0359713316646495E-2</c:v>
                </c:pt>
                <c:pt idx="195">
                  <c:v>9.0475028717326669E-2</c:v>
                </c:pt>
                <c:pt idx="196">
                  <c:v>9.0589448344278872E-2</c:v>
                </c:pt>
                <c:pt idx="197">
                  <c:v>9.0703014577450156E-2</c:v>
                </c:pt>
                <c:pt idx="198">
                  <c:v>9.0815769092588081E-2</c:v>
                </c:pt>
                <c:pt idx="199">
                  <c:v>9.0927752647746968E-2</c:v>
                </c:pt>
                <c:pt idx="200">
                  <c:v>9.1039004883794766E-2</c:v>
                </c:pt>
                <c:pt idx="201">
                  <c:v>9.1149564140043965E-2</c:v>
                </c:pt>
                <c:pt idx="202">
                  <c:v>9.1259467285969328E-2</c:v>
                </c:pt>
                <c:pt idx="203">
                  <c:v>9.136874956980591E-2</c:v>
                </c:pt>
                <c:pt idx="204">
                  <c:v>9.1477444484645787E-2</c:v>
                </c:pt>
                <c:pt idx="205">
                  <c:v>9.1585583652473587E-2</c:v>
                </c:pt>
                <c:pt idx="206">
                  <c:v>9.1693196726399376E-2</c:v>
                </c:pt>
                <c:pt idx="207">
                  <c:v>9.1800311311165408E-2</c:v>
                </c:pt>
                <c:pt idx="208">
                  <c:v>9.1906952901824254E-2</c:v>
                </c:pt>
                <c:pt idx="209">
                  <c:v>9.2013144840308897E-2</c:v>
                </c:pt>
                <c:pt idx="210">
                  <c:v>9.2118908289443399E-2</c:v>
                </c:pt>
                <c:pt idx="211">
                  <c:v>9.2224262223780232E-2</c:v>
                </c:pt>
                <c:pt idx="212">
                  <c:v>9.2329223436493246E-2</c:v>
                </c:pt>
                <c:pt idx="213">
                  <c:v>9.2433806561411744E-2</c:v>
                </c:pt>
                <c:pt idx="214">
                  <c:v>9.2538024109147521E-2</c:v>
                </c:pt>
                <c:pt idx="215">
                  <c:v>9.2641886516147173E-2</c:v>
                </c:pt>
                <c:pt idx="216">
                  <c:v>9.2745402205396912E-2</c:v>
                </c:pt>
                <c:pt idx="217">
                  <c:v>9.2848577657418691E-2</c:v>
                </c:pt>
                <c:pt idx="218">
                  <c:v>9.2951417490122021E-2</c:v>
                </c:pt>
                <c:pt idx="219">
                  <c:v>9.3053924546022154E-2</c:v>
                </c:pt>
                <c:pt idx="220">
                  <c:v>9.3156099985296906E-2</c:v>
                </c:pt>
                <c:pt idx="221">
                  <c:v>9.325794338313545E-2</c:v>
                </c:pt>
                <c:pt idx="222">
                  <c:v>9.3359452829831643E-2</c:v>
                </c:pt>
                <c:pt idx="223">
                  <c:v>9.3460625032092015E-2</c:v>
                </c:pt>
                <c:pt idx="224">
                  <c:v>9.3561455414064354E-2</c:v>
                </c:pt>
                <c:pt idx="225">
                  <c:v>9.3661938216646104E-2</c:v>
                </c:pt>
                <c:pt idx="226">
                  <c:v>9.376206659370255E-2</c:v>
                </c:pt>
                <c:pt idx="227">
                  <c:v>9.3861832703911699E-2</c:v>
                </c:pt>
                <c:pt idx="228">
                  <c:v>9.3961227797053543E-2</c:v>
                </c:pt>
                <c:pt idx="229">
                  <c:v>9.4060242293679722E-2</c:v>
                </c:pt>
                <c:pt idx="230">
                  <c:v>9.4158865857225715E-2</c:v>
                </c:pt>
                <c:pt idx="231">
                  <c:v>9.4257087457769548E-2</c:v>
                </c:pt>
                <c:pt idx="232">
                  <c:v>9.4354895426789848E-2</c:v>
                </c:pt>
                <c:pt idx="233">
                  <c:v>9.4452277502433554E-2</c:v>
                </c:pt>
                <c:pt idx="234">
                  <c:v>9.454922086496681E-2</c:v>
                </c:pt>
                <c:pt idx="235">
                  <c:v>9.4645712162250803E-2</c:v>
                </c:pt>
                <c:pt idx="236">
                  <c:v>9.4741737525253625E-2</c:v>
                </c:pt>
                <c:pt idx="237">
                  <c:v>9.4837282573779033E-2</c:v>
                </c:pt>
                <c:pt idx="238">
                  <c:v>9.4932332412762027E-2</c:v>
                </c:pt>
                <c:pt idx="239">
                  <c:v>9.5026871619644154E-2</c:v>
                </c:pt>
                <c:pt idx="240">
                  <c:v>9.5120884223501359E-2</c:v>
                </c:pt>
                <c:pt idx="241">
                  <c:v>9.5214353676747049E-2</c:v>
                </c:pt>
                <c:pt idx="242">
                  <c:v>9.5307262820374952E-2</c:v>
                </c:pt>
                <c:pt idx="243">
                  <c:v>9.5399593843836131E-2</c:v>
                </c:pt>
                <c:pt idx="244">
                  <c:v>9.5491328240761217E-2</c:v>
                </c:pt>
                <c:pt idx="245">
                  <c:v>9.5582446761842674E-2</c:v>
                </c:pt>
                <c:pt idx="246">
                  <c:v>9.5672929366277346E-2</c:v>
                </c:pt>
                <c:pt idx="247">
                  <c:v>9.5762755173240496E-2</c:v>
                </c:pt>
                <c:pt idx="248">
                  <c:v>9.5851902414913967E-2</c:v>
                </c:pt>
                <c:pt idx="249">
                  <c:v>9.5940348392624067E-2</c:v>
                </c:pt>
                <c:pt idx="250">
                  <c:v>9.6028069437658778E-2</c:v>
                </c:pt>
                <c:pt idx="251">
                  <c:v>9.6115040878327326E-2</c:v>
                </c:pt>
                <c:pt idx="252">
                  <c:v>9.620123701479899E-2</c:v>
                </c:pt>
                <c:pt idx="253">
                  <c:v>9.6286631103211812E-2</c:v>
                </c:pt>
                <c:pt idx="254">
                  <c:v>9.6371195350475711E-2</c:v>
                </c:pt>
                <c:pt idx="255">
                  <c:v>9.6454900921109366E-2</c:v>
                </c:pt>
                <c:pt idx="256">
                  <c:v>9.6537717957345795E-2</c:v>
                </c:pt>
                <c:pt idx="257">
                  <c:v>9.6619615613620577E-2</c:v>
                </c:pt>
                <c:pt idx="258">
                  <c:v>9.6700562106417379E-2</c:v>
                </c:pt>
                <c:pt idx="259">
                  <c:v>9.6780524780292781E-2</c:v>
                </c:pt>
                <c:pt idx="260">
                  <c:v>9.6859470190734154E-2</c:v>
                </c:pt>
                <c:pt idx="261">
                  <c:v>9.6937364204324611E-2</c:v>
                </c:pt>
                <c:pt idx="262">
                  <c:v>9.7014172116499625E-2</c:v>
                </c:pt>
                <c:pt idx="263">
                  <c:v>9.7089858786979746E-2</c:v>
                </c:pt>
                <c:pt idx="264">
                  <c:v>9.716438879276032E-2</c:v>
                </c:pt>
                <c:pt idx="265">
                  <c:v>9.7237726598328439E-2</c:v>
                </c:pt>
                <c:pt idx="266">
                  <c:v>9.7309836742566172E-2</c:v>
                </c:pt>
                <c:pt idx="267">
                  <c:v>9.7380684041587479E-2</c:v>
                </c:pt>
                <c:pt idx="268">
                  <c:v>9.7450233806547271E-2</c:v>
                </c:pt>
                <c:pt idx="269">
                  <c:v>9.7518452075256584E-2</c:v>
                </c:pt>
                <c:pt idx="270">
                  <c:v>9.7585305856240173E-2</c:v>
                </c:pt>
                <c:pt idx="271">
                  <c:v>9.765076338368521E-2</c:v>
                </c:pt>
                <c:pt idx="272">
                  <c:v>9.7714794381551728E-2</c:v>
                </c:pt>
                <c:pt idx="273">
                  <c:v>9.777737033495322E-2</c:v>
                </c:pt>
                <c:pt idx="274">
                  <c:v>9.7838464766766442E-2</c:v>
                </c:pt>
                <c:pt idx="275">
                  <c:v>9.789805351729905E-2</c:v>
                </c:pt>
                <c:pt idx="276">
                  <c:v>9.7956115024730922E-2</c:v>
                </c:pt>
                <c:pt idx="277">
                  <c:v>9.8012630603953682E-2</c:v>
                </c:pt>
                <c:pt idx="278">
                  <c:v>9.8067584721361192E-2</c:v>
                </c:pt>
                <c:pt idx="279">
                  <c:v>9.812096526309784E-2</c:v>
                </c:pt>
                <c:pt idx="280">
                  <c:v>9.8172763794244639E-2</c:v>
                </c:pt>
                <c:pt idx="281">
                  <c:v>9.8222975806425861E-2</c:v>
                </c:pt>
                <c:pt idx="282">
                  <c:v>9.8271600951340174E-2</c:v>
                </c:pt>
                <c:pt idx="283">
                  <c:v>9.8318643257772106E-2</c:v>
                </c:pt>
                <c:pt idx="284">
                  <c:v>9.836411132971136E-2</c:v>
                </c:pt>
                <c:pt idx="285">
                  <c:v>9.8408018523306273E-2</c:v>
                </c:pt>
                <c:pt idx="286">
                  <c:v>9.845038310049907E-2</c:v>
                </c:pt>
                <c:pt idx="287">
                  <c:v>9.84912283573353E-2</c:v>
                </c:pt>
                <c:pt idx="288">
                  <c:v>9.8530582725105231E-2</c:v>
                </c:pt>
                <c:pt idx="289">
                  <c:v>9.8568479842662884E-2</c:v>
                </c:pt>
                <c:pt idx="290">
                  <c:v>9.8604958598472514E-2</c:v>
                </c:pt>
                <c:pt idx="291">
                  <c:v>9.8640063141157114E-2</c:v>
                </c:pt>
                <c:pt idx="292">
                  <c:v>9.8673842857559368E-2</c:v>
                </c:pt>
                <c:pt idx="293">
                  <c:v>9.8706352317579599E-2</c:v>
                </c:pt>
                <c:pt idx="294">
                  <c:v>9.8737651185315647E-2</c:v>
                </c:pt>
                <c:pt idx="295">
                  <c:v>9.8767804096302161E-2</c:v>
                </c:pt>
                <c:pt idx="296">
                  <c:v>9.8796880500923584E-2</c:v>
                </c:pt>
                <c:pt idx="297">
                  <c:v>9.8824954474356852E-2</c:v>
                </c:pt>
                <c:pt idx="298">
                  <c:v>9.8852104493681342E-2</c:v>
                </c:pt>
                <c:pt idx="299">
                  <c:v>9.8878413183075275E-2</c:v>
                </c:pt>
                <c:pt idx="300">
                  <c:v>9.8903967028293557E-2</c:v>
                </c:pt>
                <c:pt idx="301">
                  <c:v>9.8928856061891821E-2</c:v>
                </c:pt>
                <c:pt idx="302">
                  <c:v>9.895317352092263E-2</c:v>
                </c:pt>
                <c:pt idx="303">
                  <c:v>9.8977015479076738E-2</c:v>
                </c:pt>
                <c:pt idx="304">
                  <c:v>9.9000480455478393E-2</c:v>
                </c:pt>
                <c:pt idx="305">
                  <c:v>9.90236690025591E-2</c:v>
                </c:pt>
                <c:pt idx="306">
                  <c:v>9.904668327563515E-2</c:v>
                </c:pt>
                <c:pt idx="307">
                  <c:v>9.9069626586990603E-2</c:v>
                </c:pt>
                <c:pt idx="308">
                  <c:v>9.9092602947424085E-2</c:v>
                </c:pt>
                <c:pt idx="309">
                  <c:v>9.9115716598348932E-2</c:v>
                </c:pt>
                <c:pt idx="310">
                  <c:v>9.9139071537641676E-2</c:v>
                </c:pt>
                <c:pt idx="311">
                  <c:v>9.9162771042513989E-2</c:v>
                </c:pt>
                <c:pt idx="312">
                  <c:v>9.9186917192734619E-2</c:v>
                </c:pt>
                <c:pt idx="313">
                  <c:v>9.9211610397550942E-2</c:v>
                </c:pt>
                <c:pt idx="314">
                  <c:v>9.9236948929656163E-2</c:v>
                </c:pt>
                <c:pt idx="315">
                  <c:v>9.9263028469513112E-2</c:v>
                </c:pt>
                <c:pt idx="316">
                  <c:v>9.92899416632846E-2</c:v>
                </c:pt>
                <c:pt idx="317">
                  <c:v>9.9317777697529822E-2</c:v>
                </c:pt>
                <c:pt idx="318">
                  <c:v>9.9346621893708451E-2</c:v>
                </c:pt>
                <c:pt idx="319">
                  <c:v>9.937655532539115E-2</c:v>
                </c:pt>
                <c:pt idx="320">
                  <c:v>9.9407654460904826E-2</c:v>
                </c:pt>
                <c:pt idx="321">
                  <c:v>9.9439990833949415E-2</c:v>
                </c:pt>
                <c:pt idx="322">
                  <c:v>9.9473630744507144E-2</c:v>
                </c:pt>
                <c:pt idx="323">
                  <c:v>9.950863499213064E-2</c:v>
                </c:pt>
                <c:pt idx="324">
                  <c:v>9.9545058643442791E-2</c:v>
                </c:pt>
                <c:pt idx="325">
                  <c:v>9.9582950835412354E-2</c:v>
                </c:pt>
                <c:pt idx="326">
                  <c:v>9.962235461568654E-2</c:v>
                </c:pt>
                <c:pt idx="327">
                  <c:v>9.9663306820968897E-2</c:v>
                </c:pt>
                <c:pt idx="328">
                  <c:v>9.9705837994127841E-2</c:v>
                </c:pt>
                <c:pt idx="329">
                  <c:v>9.9749972340415771E-2</c:v>
                </c:pt>
                <c:pt idx="330">
                  <c:v>9.9795727722866379E-2</c:v>
                </c:pt>
                <c:pt idx="331">
                  <c:v>9.9843115696629084E-2</c:v>
                </c:pt>
                <c:pt idx="332">
                  <c:v>9.9892141581691823E-2</c:v>
                </c:pt>
                <c:pt idx="333">
                  <c:v>9.9942804573140837E-2</c:v>
                </c:pt>
                <c:pt idx="334">
                  <c:v>9.9995097887813147E-2</c:v>
                </c:pt>
                <c:pt idx="335">
                  <c:v>0.10004900894591461</c:v>
                </c:pt>
                <c:pt idx="336">
                  <c:v>0.10010451958590644</c:v>
                </c:pt>
                <c:pt idx="337">
                  <c:v>0.10016160631071006</c:v>
                </c:pt>
                <c:pt idx="338">
                  <c:v>0.10022024056304432</c:v>
                </c:pt>
                <c:pt idx="339">
                  <c:v>0.10028038902749337</c:v>
                </c:pt>
                <c:pt idx="340">
                  <c:v>0.10034201395671037</c:v>
                </c:pt>
                <c:pt idx="341">
                  <c:v>0.10040507351899189</c:v>
                </c:pt>
                <c:pt idx="342">
                  <c:v>0.10046952216431293</c:v>
                </c:pt>
                <c:pt idx="343">
                  <c:v>0.10053531100579431</c:v>
                </c:pt>
                <c:pt idx="344">
                  <c:v>0.10060238821348194</c:v>
                </c:pt>
                <c:pt idx="345">
                  <c:v>0.10067069941725452</c:v>
                </c:pt>
                <c:pt idx="346">
                  <c:v>0.10074018811564056</c:v>
                </c:pt>
                <c:pt idx="347">
                  <c:v>0.10081079608731883</c:v>
                </c:pt>
                <c:pt idx="348">
                  <c:v>0.10088246380209748</c:v>
                </c:pt>
                <c:pt idx="349">
                  <c:v>0.10095513082821682</c:v>
                </c:pt>
                <c:pt idx="350">
                  <c:v>0.1010287362328971</c:v>
                </c:pt>
                <c:pt idx="351">
                  <c:v>0.10110321897315537</c:v>
                </c:pt>
                <c:pt idx="352">
                  <c:v>0.10117851827404406</c:v>
                </c:pt>
                <c:pt idx="353">
                  <c:v>0.10125457399161564</c:v>
                </c:pt>
                <c:pt idx="354">
                  <c:v>0.10133132695809229</c:v>
                </c:pt>
                <c:pt idx="355">
                  <c:v>0.10140871930691361</c:v>
                </c:pt>
                <c:pt idx="356">
                  <c:v>0.10148669477554899</c:v>
                </c:pt>
                <c:pt idx="357">
                  <c:v>0.10156519898419056</c:v>
                </c:pt>
                <c:pt idx="358">
                  <c:v>0.10164417968868619</c:v>
                </c:pt>
                <c:pt idx="359">
                  <c:v>0.10172358700632649</c:v>
                </c:pt>
                <c:pt idx="360">
                  <c:v>0.10180337361336489</c:v>
                </c:pt>
                <c:pt idx="361">
                  <c:v>0.10188349491342004</c:v>
                </c:pt>
                <c:pt idx="362">
                  <c:v>0.10196390917618388</c:v>
                </c:pt>
                <c:pt idx="363">
                  <c:v>0.10204457764613648</c:v>
                </c:pt>
                <c:pt idx="364">
                  <c:v>0.10212546462124136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7.7596766433002818E-4</c:v>
                </c:pt>
                <c:pt idx="1">
                  <c:v>7.8064634360957186E-4</c:v>
                </c:pt>
                <c:pt idx="2">
                  <c:v>7.8622925771824567E-4</c:v>
                </c:pt>
                <c:pt idx="3">
                  <c:v>7.9267062015527792E-4</c:v>
                </c:pt>
                <c:pt idx="4">
                  <c:v>7.9992287813575162E-4</c:v>
                </c:pt>
                <c:pt idx="5">
                  <c:v>8.0793669268379399E-4</c:v>
                </c:pt>
                <c:pt idx="6">
                  <c:v>8.1666096172166821E-4</c:v>
                </c:pt>
                <c:pt idx="7">
                  <c:v>8.2604288536902953E-4</c:v>
                </c:pt>
                <c:pt idx="8">
                  <c:v>8.3604887532133347E-4</c:v>
                </c:pt>
                <c:pt idx="9">
                  <c:v>8.4724282614538193E-4</c:v>
                </c:pt>
                <c:pt idx="10">
                  <c:v>8.5888856036152891E-4</c:v>
                </c:pt>
                <c:pt idx="11">
                  <c:v>8.7097516960249282E-4</c:v>
                </c:pt>
                <c:pt idx="12">
                  <c:v>8.8349187202957391E-4</c:v>
                </c:pt>
                <c:pt idx="13">
                  <c:v>8.9642811924246443E-4</c:v>
                </c:pt>
                <c:pt idx="14">
                  <c:v>9.0977369039954624E-4</c:v>
                </c:pt>
                <c:pt idx="15">
                  <c:v>9.2631331837829509E-4</c:v>
                </c:pt>
                <c:pt idx="16">
                  <c:v>9.4550354578800441E-4</c:v>
                </c:pt>
                <c:pt idx="17">
                  <c:v>9.6726141951483787E-4</c:v>
                </c:pt>
                <c:pt idx="18">
                  <c:v>9.9150396032166867E-4</c:v>
                </c:pt>
                <c:pt idx="19">
                  <c:v>1.0181545108295499E-3</c:v>
                </c:pt>
                <c:pt idx="20">
                  <c:v>1.047140930353529E-3</c:v>
                </c:pt>
                <c:pt idx="21">
                  <c:v>1.0784028104528049E-3</c:v>
                </c:pt>
                <c:pt idx="22">
                  <c:v>1.1117563110388214E-3</c:v>
                </c:pt>
                <c:pt idx="23">
                  <c:v>1.1496385859726195E-3</c:v>
                </c:pt>
                <c:pt idx="24">
                  <c:v>1.1913916588107791E-3</c:v>
                </c:pt>
                <c:pt idx="25">
                  <c:v>1.2368653334279037E-3</c:v>
                </c:pt>
                <c:pt idx="26">
                  <c:v>1.2859129718816602E-3</c:v>
                </c:pt>
                <c:pt idx="27">
                  <c:v>1.3383923646251949E-3</c:v>
                </c:pt>
                <c:pt idx="28">
                  <c:v>1.394166468441965E-3</c:v>
                </c:pt>
                <c:pt idx="29">
                  <c:v>1.4529352439747684E-3</c:v>
                </c:pt>
                <c:pt idx="30">
                  <c:v>1.5122292247667143E-3</c:v>
                </c:pt>
                <c:pt idx="31">
                  <c:v>1.5720238110119578E-3</c:v>
                </c:pt>
                <c:pt idx="32">
                  <c:v>1.6322991836123038E-3</c:v>
                </c:pt>
                <c:pt idx="33">
                  <c:v>1.693040123882013E-3</c:v>
                </c:pt>
                <c:pt idx="34">
                  <c:v>1.7542358310321485E-3</c:v>
                </c:pt>
                <c:pt idx="35">
                  <c:v>1.8158797424483839E-3</c:v>
                </c:pt>
                <c:pt idx="36">
                  <c:v>1.8778506970335877E-3</c:v>
                </c:pt>
                <c:pt idx="37">
                  <c:v>1.9346824489332431E-3</c:v>
                </c:pt>
                <c:pt idx="38">
                  <c:v>1.9843771021000999E-3</c:v>
                </c:pt>
                <c:pt idx="39">
                  <c:v>2.027192396860169E-3</c:v>
                </c:pt>
                <c:pt idx="40">
                  <c:v>2.0633825549956019E-3</c:v>
                </c:pt>
                <c:pt idx="41">
                  <c:v>2.0931973415996706E-3</c:v>
                </c:pt>
                <c:pt idx="42">
                  <c:v>2.1168812663785314E-3</c:v>
                </c:pt>
                <c:pt idx="43">
                  <c:v>2.1283406106925801E-3</c:v>
                </c:pt>
                <c:pt idx="44">
                  <c:v>2.128173013981151E-3</c:v>
                </c:pt>
                <c:pt idx="45">
                  <c:v>2.1168190983691594E-3</c:v>
                </c:pt>
                <c:pt idx="46">
                  <c:v>2.0947040104454138E-3</c:v>
                </c:pt>
                <c:pt idx="47">
                  <c:v>2.062236819848776E-3</c:v>
                </c:pt>
                <c:pt idx="48">
                  <c:v>2.0198100541915427E-3</c:v>
                </c:pt>
                <c:pt idx="49">
                  <c:v>1.9677993511066599E-3</c:v>
                </c:pt>
                <c:pt idx="50">
                  <c:v>1.906490453076995E-3</c:v>
                </c:pt>
                <c:pt idx="51">
                  <c:v>1.8385709374841765E-3</c:v>
                </c:pt>
                <c:pt idx="52">
                  <c:v>1.7687433321860429E-3</c:v>
                </c:pt>
                <c:pt idx="53">
                  <c:v>1.6970925177688893E-3</c:v>
                </c:pt>
                <c:pt idx="54">
                  <c:v>1.6237078856456914E-3</c:v>
                </c:pt>
                <c:pt idx="55">
                  <c:v>1.5486739620963852E-3</c:v>
                </c:pt>
                <c:pt idx="56">
                  <c:v>1.4720704822114013E-3</c:v>
                </c:pt>
                <c:pt idx="57">
                  <c:v>1.3981708511084543E-3</c:v>
                </c:pt>
                <c:pt idx="58">
                  <c:v>1.3322228334414505E-3</c:v>
                </c:pt>
                <c:pt idx="59">
                  <c:v>1.2739814599357861E-3</c:v>
                </c:pt>
                <c:pt idx="60">
                  <c:v>1.2232091757182085E-3</c:v>
                </c:pt>
                <c:pt idx="61">
                  <c:v>1.1796759946384012E-3</c:v>
                </c:pt>
                <c:pt idx="62">
                  <c:v>1.1431596265909089E-3</c:v>
                </c:pt>
                <c:pt idx="63">
                  <c:v>1.1134455811922705E-3</c:v>
                </c:pt>
                <c:pt idx="64">
                  <c:v>1.0902993237157932E-3</c:v>
                </c:pt>
                <c:pt idx="65">
                  <c:v>1.0733195259395466E-3</c:v>
                </c:pt>
                <c:pt idx="66">
                  <c:v>1.0602868507403906E-3</c:v>
                </c:pt>
                <c:pt idx="67">
                  <c:v>1.0510899357880331E-3</c:v>
                </c:pt>
                <c:pt idx="68">
                  <c:v>1.0456213004075329E-3</c:v>
                </c:pt>
                <c:pt idx="69">
                  <c:v>1.0437774753847659E-3</c:v>
                </c:pt>
                <c:pt idx="70">
                  <c:v>1.0454591183022815E-3</c:v>
                </c:pt>
                <c:pt idx="71">
                  <c:v>1.0493080696770568E-3</c:v>
                </c:pt>
                <c:pt idx="72">
                  <c:v>1.0516864965476878E-3</c:v>
                </c:pt>
                <c:pt idx="73">
                  <c:v>1.0526475657250515E-3</c:v>
                </c:pt>
                <c:pt idx="74">
                  <c:v>1.0522425191423477E-3</c:v>
                </c:pt>
                <c:pt idx="75">
                  <c:v>1.0505206496506632E-3</c:v>
                </c:pt>
                <c:pt idx="76">
                  <c:v>1.0475292808753483E-3</c:v>
                </c:pt>
                <c:pt idx="77">
                  <c:v>1.043313750578473E-3</c:v>
                </c:pt>
                <c:pt idx="78">
                  <c:v>1.037819922663235E-3</c:v>
                </c:pt>
                <c:pt idx="79">
                  <c:v>1.0295156719187725E-3</c:v>
                </c:pt>
                <c:pt idx="80">
                  <c:v>1.0186747016795127E-3</c:v>
                </c:pt>
                <c:pt idx="81">
                  <c:v>1.0054089479329966E-3</c:v>
                </c:pt>
                <c:pt idx="82">
                  <c:v>9.8982421604127692E-4</c:v>
                </c:pt>
                <c:pt idx="83">
                  <c:v>9.7201944956651408E-4</c:v>
                </c:pt>
                <c:pt idx="84">
                  <c:v>9.5208611810066639E-4</c:v>
                </c:pt>
                <c:pt idx="85">
                  <c:v>9.2935535455435602E-4</c:v>
                </c:pt>
                <c:pt idx="86">
                  <c:v>9.0502641820065246E-4</c:v>
                </c:pt>
                <c:pt idx="87">
                  <c:v>8.7915783654594004E-4</c:v>
                </c:pt>
                <c:pt idx="88">
                  <c:v>8.5179992447125495E-4</c:v>
                </c:pt>
                <c:pt idx="89">
                  <c:v>8.2299462626217619E-4</c:v>
                </c:pt>
                <c:pt idx="90">
                  <c:v>7.9277537825857714E-4</c:v>
                </c:pt>
                <c:pt idx="91">
                  <c:v>7.6116698098159898E-4</c:v>
                </c:pt>
                <c:pt idx="92">
                  <c:v>7.2812166192730786E-4</c:v>
                </c:pt>
                <c:pt idx="93">
                  <c:v>6.9409686695921823E-4</c:v>
                </c:pt>
                <c:pt idx="94">
                  <c:v>6.6043434196271043E-4</c:v>
                </c:pt>
                <c:pt idx="95">
                  <c:v>6.2710442608120793E-4</c:v>
                </c:pt>
                <c:pt idx="96">
                  <c:v>5.9407765024726883E-4</c:v>
                </c:pt>
                <c:pt idx="97">
                  <c:v>5.6132469157272431E-4</c:v>
                </c:pt>
                <c:pt idx="98">
                  <c:v>5.2881632983690864E-4</c:v>
                </c:pt>
                <c:pt idx="99">
                  <c:v>4.9728290830373413E-4</c:v>
                </c:pt>
                <c:pt idx="100">
                  <c:v>4.6737728834886995E-4</c:v>
                </c:pt>
                <c:pt idx="101">
                  <c:v>4.3905688286169711E-4</c:v>
                </c:pt>
                <c:pt idx="102">
                  <c:v>4.1228172987211036E-4</c:v>
                </c:pt>
                <c:pt idx="103">
                  <c:v>3.8701442575966925E-4</c:v>
                </c:pt>
                <c:pt idx="104">
                  <c:v>3.6322006328532732E-4</c:v>
                </c:pt>
                <c:pt idx="105">
                  <c:v>3.4086617437492975E-4</c:v>
                </c:pt>
                <c:pt idx="106">
                  <c:v>3.1992247468237668E-4</c:v>
                </c:pt>
                <c:pt idx="107">
                  <c:v>3.0077007041604843E-4</c:v>
                </c:pt>
                <c:pt idx="108">
                  <c:v>2.8289806307018304E-4</c:v>
                </c:pt>
                <c:pt idx="109">
                  <c:v>2.6628514936330395E-4</c:v>
                </c:pt>
                <c:pt idx="110">
                  <c:v>2.5091311335071501E-4</c:v>
                </c:pt>
                <c:pt idx="111">
                  <c:v>2.3676589289308591E-4</c:v>
                </c:pt>
                <c:pt idx="112">
                  <c:v>2.2382889503727062E-4</c:v>
                </c:pt>
                <c:pt idx="113">
                  <c:v>2.1240647175174289E-4</c:v>
                </c:pt>
                <c:pt idx="114">
                  <c:v>2.0174649140710171E-4</c:v>
                </c:pt>
                <c:pt idx="115">
                  <c:v>1.9184041355183563E-4</c:v>
                </c:pt>
                <c:pt idx="116">
                  <c:v>1.8268106254636907E-4</c:v>
                </c:pt>
                <c:pt idx="117">
                  <c:v>1.7426259527123541E-4</c:v>
                </c:pt>
                <c:pt idx="118">
                  <c:v>1.6658047067288673E-4</c:v>
                </c:pt>
                <c:pt idx="119">
                  <c:v>1.5963142079135375E-4</c:v>
                </c:pt>
                <c:pt idx="120">
                  <c:v>1.534152986263844E-4</c:v>
                </c:pt>
                <c:pt idx="121">
                  <c:v>1.4807351420484638E-4</c:v>
                </c:pt>
                <c:pt idx="122">
                  <c:v>1.4319150841194032E-4</c:v>
                </c:pt>
                <c:pt idx="123">
                  <c:v>1.3876855917098816E-4</c:v>
                </c:pt>
                <c:pt idx="124">
                  <c:v>1.3480481364906802E-4</c:v>
                </c:pt>
                <c:pt idx="125">
                  <c:v>1.3130126414538624E-4</c:v>
                </c:pt>
                <c:pt idx="126">
                  <c:v>1.282597241661975E-4</c:v>
                </c:pt>
                <c:pt idx="127">
                  <c:v>1.256911342243652E-4</c:v>
                </c:pt>
                <c:pt idx="128">
                  <c:v>1.2326904785413454E-4</c:v>
                </c:pt>
                <c:pt idx="129">
                  <c:v>1.2099357159758232E-4</c:v>
                </c:pt>
                <c:pt idx="130">
                  <c:v>1.188651306059894E-4</c:v>
                </c:pt>
                <c:pt idx="131">
                  <c:v>1.1688446347594213E-4</c:v>
                </c:pt>
                <c:pt idx="132">
                  <c:v>1.1505261674728474E-4</c:v>
                </c:pt>
                <c:pt idx="133">
                  <c:v>1.1337093900146925E-4</c:v>
                </c:pt>
                <c:pt idx="134">
                  <c:v>1.1184329895994289E-4</c:v>
                </c:pt>
                <c:pt idx="135">
                  <c:v>1.1060350790777229E-4</c:v>
                </c:pt>
                <c:pt idx="136">
                  <c:v>1.0950087354405636E-4</c:v>
                </c:pt>
                <c:pt idx="137">
                  <c:v>1.0853634623306731E-4</c:v>
                </c:pt>
                <c:pt idx="138">
                  <c:v>1.0771110785550575E-4</c:v>
                </c:pt>
                <c:pt idx="139">
                  <c:v>1.0702656040811943E-4</c:v>
                </c:pt>
                <c:pt idx="140">
                  <c:v>1.0648431399672891E-4</c:v>
                </c:pt>
                <c:pt idx="141">
                  <c:v>1.0615386023899157E-4</c:v>
                </c:pt>
                <c:pt idx="142">
                  <c:v>1.0602465824061162E-4</c:v>
                </c:pt>
                <c:pt idx="143">
                  <c:v>1.0609809435334596E-4</c:v>
                </c:pt>
                <c:pt idx="144">
                  <c:v>1.0637631138042421E-4</c:v>
                </c:pt>
                <c:pt idx="145">
                  <c:v>1.0686154949976919E-4</c:v>
                </c:pt>
                <c:pt idx="146">
                  <c:v>1.0755612787488567E-4</c:v>
                </c:pt>
                <c:pt idx="147">
                  <c:v>1.0846242584733357E-4</c:v>
                </c:pt>
                <c:pt idx="148">
                  <c:v>1.0958547888186212E-4</c:v>
                </c:pt>
                <c:pt idx="149">
                  <c:v>1.1091509887993307E-4</c:v>
                </c:pt>
                <c:pt idx="150">
                  <c:v>1.1231010209645972E-4</c:v>
                </c:pt>
                <c:pt idx="151">
                  <c:v>1.1377013140942084E-4</c:v>
                </c:pt>
                <c:pt idx="152">
                  <c:v>1.1529480509264449E-4</c:v>
                </c:pt>
                <c:pt idx="153">
                  <c:v>1.1688371417187015E-4</c:v>
                </c:pt>
                <c:pt idx="154">
                  <c:v>1.1853642003799343E-4</c:v>
                </c:pt>
                <c:pt idx="155">
                  <c:v>1.202756964314232E-4</c:v>
                </c:pt>
                <c:pt idx="156">
                  <c:v>1.2203030741951563E-4</c:v>
                </c:pt>
                <c:pt idx="157">
                  <c:v>1.2379978750894709E-4</c:v>
                </c:pt>
                <c:pt idx="158">
                  <c:v>1.2558365508989836E-4</c:v>
                </c:pt>
                <c:pt idx="159">
                  <c:v>1.2738141320863591E-4</c:v>
                </c:pt>
                <c:pt idx="160">
                  <c:v>1.2919255033947905E-4</c:v>
                </c:pt>
                <c:pt idx="161">
                  <c:v>1.3101654114725024E-4</c:v>
                </c:pt>
                <c:pt idx="162">
                  <c:v>1.3285503478569757E-4</c:v>
                </c:pt>
                <c:pt idx="163">
                  <c:v>1.3463257289660148E-4</c:v>
                </c:pt>
                <c:pt idx="164">
                  <c:v>1.3636288722098175E-4</c:v>
                </c:pt>
                <c:pt idx="165">
                  <c:v>1.3804472458882187E-4</c:v>
                </c:pt>
                <c:pt idx="166">
                  <c:v>1.3967686682808564E-4</c:v>
                </c:pt>
                <c:pt idx="167">
                  <c:v>1.4125813557989866E-4</c:v>
                </c:pt>
                <c:pt idx="168">
                  <c:v>1.4278739677372839E-4</c:v>
                </c:pt>
                <c:pt idx="169">
                  <c:v>1.4418354244894583E-4</c:v>
                </c:pt>
                <c:pt idx="170">
                  <c:v>1.4541678563644272E-4</c:v>
                </c:pt>
                <c:pt idx="171">
                  <c:v>1.4648412477467863E-4</c:v>
                </c:pt>
                <c:pt idx="172">
                  <c:v>1.4738265734424915E-4</c:v>
                </c:pt>
                <c:pt idx="173">
                  <c:v>1.4810807112416909E-4</c:v>
                </c:pt>
                <c:pt idx="174">
                  <c:v>1.4865606043509196E-4</c:v>
                </c:pt>
                <c:pt idx="175">
                  <c:v>1.4902391133646251E-4</c:v>
                </c:pt>
                <c:pt idx="176">
                  <c:v>1.4920857790797938E-4</c:v>
                </c:pt>
                <c:pt idx="177">
                  <c:v>1.4923711378053844E-4</c:v>
                </c:pt>
                <c:pt idx="178">
                  <c:v>1.4919221616877538E-4</c:v>
                </c:pt>
                <c:pt idx="179">
                  <c:v>1.4907429746666419E-4</c:v>
                </c:pt>
                <c:pt idx="180">
                  <c:v>1.4888384203575245E-4</c:v>
                </c:pt>
                <c:pt idx="181">
                  <c:v>1.4862139987238142E-4</c:v>
                </c:pt>
                <c:pt idx="182">
                  <c:v>1.4828757989483946E-4</c:v>
                </c:pt>
                <c:pt idx="183">
                  <c:v>1.4786901473243539E-4</c:v>
                </c:pt>
                <c:pt idx="184">
                  <c:v>1.4745197815215652E-4</c:v>
                </c:pt>
                <c:pt idx="185">
                  <c:v>1.4703828796638823E-4</c:v>
                </c:pt>
                <c:pt idx="186">
                  <c:v>1.4662976333085017E-4</c:v>
                </c:pt>
                <c:pt idx="187">
                  <c:v>1.4622822124671426E-4</c:v>
                </c:pt>
                <c:pt idx="188">
                  <c:v>1.4583547340761815E-4</c:v>
                </c:pt>
                <c:pt idx="189">
                  <c:v>1.454533233670379E-4</c:v>
                </c:pt>
                <c:pt idx="190">
                  <c:v>1.4508174821923446E-4</c:v>
                </c:pt>
                <c:pt idx="191">
                  <c:v>1.447992006525059E-4</c:v>
                </c:pt>
                <c:pt idx="192">
                  <c:v>1.4457470281874007E-4</c:v>
                </c:pt>
                <c:pt idx="193">
                  <c:v>1.4440958980977477E-4</c:v>
                </c:pt>
                <c:pt idx="194">
                  <c:v>1.4430519834304149E-4</c:v>
                </c:pt>
                <c:pt idx="195">
                  <c:v>1.4426286801289025E-4</c:v>
                </c:pt>
                <c:pt idx="196">
                  <c:v>1.4428394275237312E-4</c:v>
                </c:pt>
                <c:pt idx="197">
                  <c:v>1.4455785875373622E-4</c:v>
                </c:pt>
                <c:pt idx="198">
                  <c:v>1.4510162520548021E-4</c:v>
                </c:pt>
                <c:pt idx="199">
                  <c:v>1.459187340444981E-4</c:v>
                </c:pt>
                <c:pt idx="200">
                  <c:v>1.4701271471272945E-4</c:v>
                </c:pt>
                <c:pt idx="201">
                  <c:v>1.483871496499156E-4</c:v>
                </c:pt>
                <c:pt idx="202">
                  <c:v>1.5004569003031182E-4</c:v>
                </c:pt>
                <c:pt idx="203">
                  <c:v>1.519920717980214E-4</c:v>
                </c:pt>
                <c:pt idx="204">
                  <c:v>1.5422979045310965E-4</c:v>
                </c:pt>
                <c:pt idx="205">
                  <c:v>1.5679883469608326E-4</c:v>
                </c:pt>
                <c:pt idx="206">
                  <c:v>1.5962212432066081E-4</c:v>
                </c:pt>
                <c:pt idx="207">
                  <c:v>1.6270324324719972E-4</c:v>
                </c:pt>
                <c:pt idx="208">
                  <c:v>1.6604580365618964E-4</c:v>
                </c:pt>
                <c:pt idx="209">
                  <c:v>1.6965344773765188E-4</c:v>
                </c:pt>
                <c:pt idx="210">
                  <c:v>1.7352984907219427E-4</c:v>
                </c:pt>
                <c:pt idx="211">
                  <c:v>1.779412274150282E-4</c:v>
                </c:pt>
                <c:pt idx="212">
                  <c:v>1.8269540394528382E-4</c:v>
                </c:pt>
                <c:pt idx="213">
                  <c:v>1.8779737256264313E-4</c:v>
                </c:pt>
                <c:pt idx="214">
                  <c:v>1.9325215657848936E-4</c:v>
                </c:pt>
                <c:pt idx="215">
                  <c:v>1.9906480925391772E-4</c:v>
                </c:pt>
                <c:pt idx="216">
                  <c:v>2.052404137455631E-4</c:v>
                </c:pt>
                <c:pt idx="217">
                  <c:v>2.1178408250479351E-4</c:v>
                </c:pt>
                <c:pt idx="218">
                  <c:v>2.1870020412608938E-4</c:v>
                </c:pt>
                <c:pt idx="219">
                  <c:v>2.26536928726228E-4</c:v>
                </c:pt>
                <c:pt idx="220">
                  <c:v>2.3526671685068778E-4</c:v>
                </c:pt>
                <c:pt idx="221">
                  <c:v>2.4490258130173442E-4</c:v>
                </c:pt>
                <c:pt idx="222">
                  <c:v>2.5545797145139269E-4</c:v>
                </c:pt>
                <c:pt idx="223">
                  <c:v>2.6694682545185948E-4</c:v>
                </c:pt>
                <c:pt idx="224">
                  <c:v>2.7938362414156289E-4</c:v>
                </c:pt>
                <c:pt idx="225">
                  <c:v>2.934899208903719E-4</c:v>
                </c:pt>
                <c:pt idx="226">
                  <c:v>3.090093527157441E-4</c:v>
                </c:pt>
                <c:pt idx="227">
                  <c:v>3.2596414261328141E-4</c:v>
                </c:pt>
                <c:pt idx="228">
                  <c:v>3.4437756091787588E-4</c:v>
                </c:pt>
                <c:pt idx="229">
                  <c:v>3.6427401787330629E-4</c:v>
                </c:pt>
                <c:pt idx="230">
                  <c:v>3.8567916089476322E-4</c:v>
                </c:pt>
                <c:pt idx="231">
                  <c:v>4.0861997715461795E-4</c:v>
                </c:pt>
                <c:pt idx="232">
                  <c:v>4.3311687169248804E-4</c:v>
                </c:pt>
                <c:pt idx="233">
                  <c:v>4.6047225595104347E-4</c:v>
                </c:pt>
                <c:pt idx="234">
                  <c:v>4.9015140058409116E-4</c:v>
                </c:pt>
                <c:pt idx="235">
                  <c:v>5.221952793573525E-4</c:v>
                </c:pt>
                <c:pt idx="236">
                  <c:v>5.566470934527751E-4</c:v>
                </c:pt>
                <c:pt idx="237">
                  <c:v>5.9355193677749834E-4</c:v>
                </c:pt>
                <c:pt idx="238">
                  <c:v>6.3295727600934306E-4</c:v>
                </c:pt>
                <c:pt idx="239">
                  <c:v>6.756034984663152E-4</c:v>
                </c:pt>
                <c:pt idx="240">
                  <c:v>7.2079252262741665E-4</c:v>
                </c:pt>
                <c:pt idx="241">
                  <c:v>7.6857852252496678E-4</c:v>
                </c:pt>
                <c:pt idx="242">
                  <c:v>8.1901890254051435E-4</c:v>
                </c:pt>
                <c:pt idx="243">
                  <c:v>8.7217453887608327E-4</c:v>
                </c:pt>
                <c:pt idx="244">
                  <c:v>9.2811003787783867E-4</c:v>
                </c:pt>
                <c:pt idx="245">
                  <c:v>9.8689401359376466E-4</c:v>
                </c:pt>
                <c:pt idx="246">
                  <c:v>1.0486076498800439E-3</c:v>
                </c:pt>
                <c:pt idx="247">
                  <c:v>1.1120595937121577E-3</c:v>
                </c:pt>
                <c:pt idx="248">
                  <c:v>1.1758972429899081E-3</c:v>
                </c:pt>
                <c:pt idx="249">
                  <c:v>1.2401364341107579E-3</c:v>
                </c:pt>
                <c:pt idx="250">
                  <c:v>1.3047913720687896E-3</c:v>
                </c:pt>
                <c:pt idx="251">
                  <c:v>1.3698745316169198E-3</c:v>
                </c:pt>
                <c:pt idx="252">
                  <c:v>1.4353965491223405E-3</c:v>
                </c:pt>
                <c:pt idx="253">
                  <c:v>1.498714450807585E-3</c:v>
                </c:pt>
                <c:pt idx="254">
                  <c:v>1.5590198972805119E-3</c:v>
                </c:pt>
                <c:pt idx="255">
                  <c:v>1.6162404447707557E-3</c:v>
                </c:pt>
                <c:pt idx="256">
                  <c:v>1.6702984163098858E-3</c:v>
                </c:pt>
                <c:pt idx="257">
                  <c:v>1.7211109648258395E-3</c:v>
                </c:pt>
                <c:pt idx="258">
                  <c:v>1.7685901564396061E-3</c:v>
                </c:pt>
                <c:pt idx="259">
                  <c:v>1.8126430767351782E-3</c:v>
                </c:pt>
                <c:pt idx="260">
                  <c:v>1.8533126636012536E-3</c:v>
                </c:pt>
                <c:pt idx="261">
                  <c:v>1.8881872280027091E-3</c:v>
                </c:pt>
                <c:pt idx="262">
                  <c:v>1.9185096083865713E-3</c:v>
                </c:pt>
                <c:pt idx="263">
                  <c:v>1.9441282953448801E-3</c:v>
                </c:pt>
                <c:pt idx="264">
                  <c:v>1.9648817333746535E-3</c:v>
                </c:pt>
                <c:pt idx="265">
                  <c:v>1.9806094975428163E-3</c:v>
                </c:pt>
                <c:pt idx="266">
                  <c:v>1.9911374333451532E-3</c:v>
                </c:pt>
                <c:pt idx="267">
                  <c:v>1.9964209995377369E-3</c:v>
                </c:pt>
                <c:pt idx="268">
                  <c:v>1.9992572808794937E-3</c:v>
                </c:pt>
                <c:pt idx="269">
                  <c:v>1.9995260325606722E-3</c:v>
                </c:pt>
                <c:pt idx="270">
                  <c:v>1.997103614276019E-3</c:v>
                </c:pt>
                <c:pt idx="271">
                  <c:v>1.9918636757668934E-3</c:v>
                </c:pt>
                <c:pt idx="272">
                  <c:v>1.9836779513730182E-3</c:v>
                </c:pt>
                <c:pt idx="273">
                  <c:v>1.9724171718338034E-3</c:v>
                </c:pt>
                <c:pt idx="274">
                  <c:v>1.9581103060224781E-3</c:v>
                </c:pt>
                <c:pt idx="275">
                  <c:v>1.9478580397701388E-3</c:v>
                </c:pt>
                <c:pt idx="276">
                  <c:v>1.9445362422291514E-3</c:v>
                </c:pt>
                <c:pt idx="277">
                  <c:v>1.9483102315913422E-3</c:v>
                </c:pt>
                <c:pt idx="278">
                  <c:v>1.9593475838558042E-3</c:v>
                </c:pt>
                <c:pt idx="279">
                  <c:v>1.9778176623632634E-3</c:v>
                </c:pt>
                <c:pt idx="280">
                  <c:v>2.0038911198491387E-3</c:v>
                </c:pt>
                <c:pt idx="281">
                  <c:v>2.0412940038271438E-3</c:v>
                </c:pt>
                <c:pt idx="282">
                  <c:v>2.0901176519911814E-3</c:v>
                </c:pt>
                <c:pt idx="283">
                  <c:v>2.1506162610612349E-3</c:v>
                </c:pt>
                <c:pt idx="284">
                  <c:v>2.2230429998199935E-3</c:v>
                </c:pt>
                <c:pt idx="285">
                  <c:v>2.3076491026641824E-3</c:v>
                </c:pt>
                <c:pt idx="286">
                  <c:v>2.4046829301272083E-3</c:v>
                </c:pt>
                <c:pt idx="287">
                  <c:v>2.5143889971479881E-3</c:v>
                </c:pt>
                <c:pt idx="288">
                  <c:v>2.6370492202352712E-3</c:v>
                </c:pt>
                <c:pt idx="289">
                  <c:v>2.7627710436722904E-3</c:v>
                </c:pt>
                <c:pt idx="290">
                  <c:v>2.8836434234941971E-3</c:v>
                </c:pt>
                <c:pt idx="291">
                  <c:v>2.9995203458112506E-3</c:v>
                </c:pt>
                <c:pt idx="292">
                  <c:v>3.1102573069236986E-3</c:v>
                </c:pt>
                <c:pt idx="293">
                  <c:v>3.2157115060443974E-3</c:v>
                </c:pt>
                <c:pt idx="294">
                  <c:v>3.3157420007605938E-3</c:v>
                </c:pt>
                <c:pt idx="295">
                  <c:v>3.4021830923332665E-3</c:v>
                </c:pt>
                <c:pt idx="296">
                  <c:v>3.4707752626866994E-3</c:v>
                </c:pt>
                <c:pt idx="297">
                  <c:v>3.5211516488286689E-3</c:v>
                </c:pt>
                <c:pt idx="298">
                  <c:v>3.5529165916685116E-3</c:v>
                </c:pt>
                <c:pt idx="299">
                  <c:v>3.5656723808494819E-3</c:v>
                </c:pt>
                <c:pt idx="300">
                  <c:v>3.559018415714967E-3</c:v>
                </c:pt>
                <c:pt idx="301">
                  <c:v>3.5325502184736968E-3</c:v>
                </c:pt>
                <c:pt idx="302">
                  <c:v>3.4860004044431157E-3</c:v>
                </c:pt>
                <c:pt idx="303">
                  <c:v>3.4202268340060558E-3</c:v>
                </c:pt>
                <c:pt idx="304">
                  <c:v>3.3461371884359586E-3</c:v>
                </c:pt>
                <c:pt idx="305">
                  <c:v>3.2635011804196777E-3</c:v>
                </c:pt>
                <c:pt idx="306">
                  <c:v>3.1720843450433484E-3</c:v>
                </c:pt>
                <c:pt idx="307">
                  <c:v>3.0716489945016318E-3</c:v>
                </c:pt>
                <c:pt idx="308">
                  <c:v>2.9619553539870181E-3</c:v>
                </c:pt>
                <c:pt idx="309">
                  <c:v>2.8466333559220495E-3</c:v>
                </c:pt>
                <c:pt idx="310">
                  <c:v>2.7345002787036313E-3</c:v>
                </c:pt>
                <c:pt idx="311">
                  <c:v>2.6256119743923653E-3</c:v>
                </c:pt>
                <c:pt idx="312">
                  <c:v>2.5200297684338535E-3</c:v>
                </c:pt>
                <c:pt idx="313">
                  <c:v>2.417820315790855E-3</c:v>
                </c:pt>
                <c:pt idx="314">
                  <c:v>2.3190554211096532E-3</c:v>
                </c:pt>
                <c:pt idx="315">
                  <c:v>2.2238118112361746E-3</c:v>
                </c:pt>
                <c:pt idx="316">
                  <c:v>2.1324133924773702E-3</c:v>
                </c:pt>
                <c:pt idx="317">
                  <c:v>2.0481489039161273E-3</c:v>
                </c:pt>
                <c:pt idx="318">
                  <c:v>1.9698044657664154E-3</c:v>
                </c:pt>
                <c:pt idx="319">
                  <c:v>1.897465766096058E-3</c:v>
                </c:pt>
                <c:pt idx="320">
                  <c:v>1.8312259461604899E-3</c:v>
                </c:pt>
                <c:pt idx="321">
                  <c:v>1.7711846551190682E-3</c:v>
                </c:pt>
                <c:pt idx="322">
                  <c:v>1.7174469350330461E-3</c:v>
                </c:pt>
                <c:pt idx="323">
                  <c:v>1.6707836704707949E-3</c:v>
                </c:pt>
                <c:pt idx="324">
                  <c:v>1.6269965134896136E-3</c:v>
                </c:pt>
                <c:pt idx="325">
                  <c:v>1.5861197894749641E-3</c:v>
                </c:pt>
                <c:pt idx="326">
                  <c:v>1.5481796790677153E-3</c:v>
                </c:pt>
                <c:pt idx="327">
                  <c:v>1.513210267196502E-3</c:v>
                </c:pt>
                <c:pt idx="328">
                  <c:v>1.4812533175848791E-3</c:v>
                </c:pt>
                <c:pt idx="329">
                  <c:v>1.4523490898279462E-3</c:v>
                </c:pt>
                <c:pt idx="330">
                  <c:v>1.4267272420271804E-3</c:v>
                </c:pt>
                <c:pt idx="331">
                  <c:v>1.4051706709338385E-3</c:v>
                </c:pt>
                <c:pt idx="332">
                  <c:v>1.3844034190402953E-3</c:v>
                </c:pt>
                <c:pt idx="333">
                  <c:v>1.3644099353474009E-3</c:v>
                </c:pt>
                <c:pt idx="334">
                  <c:v>1.3451747305346319E-3</c:v>
                </c:pt>
                <c:pt idx="335">
                  <c:v>1.3266823474679572E-3</c:v>
                </c:pt>
                <c:pt idx="336">
                  <c:v>1.308917329477558E-3</c:v>
                </c:pt>
                <c:pt idx="337">
                  <c:v>1.2929890423401356E-3</c:v>
                </c:pt>
                <c:pt idx="338">
                  <c:v>1.2781739718266908E-3</c:v>
                </c:pt>
                <c:pt idx="339">
                  <c:v>1.2644600681698173E-3</c:v>
                </c:pt>
                <c:pt idx="340">
                  <c:v>1.2518339769853307E-3</c:v>
                </c:pt>
                <c:pt idx="341">
                  <c:v>1.240280817353062E-3</c:v>
                </c:pt>
                <c:pt idx="342">
                  <c:v>1.2297839611538129E-3</c:v>
                </c:pt>
                <c:pt idx="343">
                  <c:v>1.2203248215800018E-3</c:v>
                </c:pt>
                <c:pt idx="344">
                  <c:v>1.2118289542695829E-3</c:v>
                </c:pt>
                <c:pt idx="345">
                  <c:v>1.2042863566047264E-3</c:v>
                </c:pt>
                <c:pt idx="346">
                  <c:v>1.197294307115347E-3</c:v>
                </c:pt>
                <c:pt idx="347">
                  <c:v>1.1909225831609218E-3</c:v>
                </c:pt>
                <c:pt idx="348">
                  <c:v>1.1852383378671636E-3</c:v>
                </c:pt>
                <c:pt idx="349">
                  <c:v>1.1803060220946615E-3</c:v>
                </c:pt>
                <c:pt idx="350">
                  <c:v>1.1761873966221305E-3</c:v>
                </c:pt>
                <c:pt idx="351">
                  <c:v>1.1730523686604348E-3</c:v>
                </c:pt>
                <c:pt idx="352">
                  <c:v>1.1698161004480409E-3</c:v>
                </c:pt>
                <c:pt idx="353">
                  <c:v>1.1665406117910408E-3</c:v>
                </c:pt>
                <c:pt idx="354">
                  <c:v>1.1632871760175003E-3</c:v>
                </c:pt>
                <c:pt idx="355">
                  <c:v>1.160116161386217E-3</c:v>
                </c:pt>
                <c:pt idx="356">
                  <c:v>1.1570825433938E-3</c:v>
                </c:pt>
                <c:pt idx="357">
                  <c:v>1.1542475395509423E-3</c:v>
                </c:pt>
                <c:pt idx="358">
                  <c:v>1.1515913694152859E-3</c:v>
                </c:pt>
                <c:pt idx="359">
                  <c:v>1.1490315947549705E-3</c:v>
                </c:pt>
                <c:pt idx="360">
                  <c:v>1.147642865062066E-3</c:v>
                </c:pt>
                <c:pt idx="361">
                  <c:v>1.1472665248973689E-3</c:v>
                </c:pt>
                <c:pt idx="362">
                  <c:v>1.1478525084198542E-3</c:v>
                </c:pt>
                <c:pt idx="363">
                  <c:v>1.1493504135875715E-3</c:v>
                </c:pt>
                <c:pt idx="364">
                  <c:v>1.1517093181135502E-3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6328"/>
        <c:axId val="611446720"/>
      </c:lineChart>
      <c:dateAx>
        <c:axId val="6114463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6720"/>
        <c:crosses val="autoZero"/>
        <c:auto val="1"/>
        <c:lblOffset val="100"/>
        <c:baseTimeUnit val="days"/>
        <c:majorUnit val="1"/>
        <c:majorTimeUnit val="months"/>
      </c:dateAx>
      <c:valAx>
        <c:axId val="6114467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6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17.133253003682007</c:v>
                </c:pt>
                <c:pt idx="1">
                  <c:v>17.213803116365085</c:v>
                </c:pt>
                <c:pt idx="2">
                  <c:v>17.301440550079597</c:v>
                </c:pt>
                <c:pt idx="3">
                  <c:v>17.396662973039295</c:v>
                </c:pt>
                <c:pt idx="4">
                  <c:v>17.499967765141651</c:v>
                </c:pt>
                <c:pt idx="5">
                  <c:v>17.611852023357876</c:v>
                </c:pt>
                <c:pt idx="6">
                  <c:v>17.732812562585952</c:v>
                </c:pt>
                <c:pt idx="7">
                  <c:v>17.863345916217355</c:v>
                </c:pt>
                <c:pt idx="8">
                  <c:v>18.003499805347356</c:v>
                </c:pt>
                <c:pt idx="9">
                  <c:v>18.1527053401514</c:v>
                </c:pt>
                <c:pt idx="10">
                  <c:v>18.310570869027792</c:v>
                </c:pt>
                <c:pt idx="11">
                  <c:v>18.476686100539585</c:v>
                </c:pt>
                <c:pt idx="12">
                  <c:v>18.650640895802471</c:v>
                </c:pt>
                <c:pt idx="13">
                  <c:v>18.832025269649574</c:v>
                </c:pt>
                <c:pt idx="14">
                  <c:v>19.020429401061072</c:v>
                </c:pt>
                <c:pt idx="15">
                  <c:v>19.215386750616098</c:v>
                </c:pt>
                <c:pt idx="16">
                  <c:v>19.416497431927372</c:v>
                </c:pt>
                <c:pt idx="17">
                  <c:v>19.62335213067194</c:v>
                </c:pt>
                <c:pt idx="18">
                  <c:v>19.835541720226825</c:v>
                </c:pt>
                <c:pt idx="19">
                  <c:v>20.052657103232111</c:v>
                </c:pt>
                <c:pt idx="20">
                  <c:v>20.274289288119689</c:v>
                </c:pt>
                <c:pt idx="21">
                  <c:v>20.500029575104534</c:v>
                </c:pt>
                <c:pt idx="22">
                  <c:v>20.731303955549873</c:v>
                </c:pt>
                <c:pt idx="23">
                  <c:v>20.969479538839856</c:v>
                </c:pt>
                <c:pt idx="24">
                  <c:v>21.214188654112849</c:v>
                </c:pt>
                <c:pt idx="25">
                  <c:v>21.465051789711612</c:v>
                </c:pt>
                <c:pt idx="26">
                  <c:v>21.72168962090073</c:v>
                </c:pt>
                <c:pt idx="27">
                  <c:v>21.983723015074059</c:v>
                </c:pt>
                <c:pt idx="28">
                  <c:v>22.250773026316526</c:v>
                </c:pt>
                <c:pt idx="29">
                  <c:v>22.522435931026898</c:v>
                </c:pt>
                <c:pt idx="30">
                  <c:v>22.798389983088168</c:v>
                </c:pt>
                <c:pt idx="31">
                  <c:v>23.078256803003516</c:v>
                </c:pt>
                <c:pt idx="32">
                  <c:v>23.361658208811399</c:v>
                </c:pt>
                <c:pt idx="33">
                  <c:v>23.648216216762407</c:v>
                </c:pt>
                <c:pt idx="34">
                  <c:v>23.937553047080041</c:v>
                </c:pt>
                <c:pt idx="35">
                  <c:v>24.229291120614405</c:v>
                </c:pt>
                <c:pt idx="36">
                  <c:v>24.524606480246575</c:v>
                </c:pt>
                <c:pt idx="37">
                  <c:v>24.824916624465882</c:v>
                </c:pt>
                <c:pt idx="38">
                  <c:v>25.130015529204236</c:v>
                </c:pt>
                <c:pt idx="39">
                  <c:v>25.439619377726839</c:v>
                </c:pt>
                <c:pt idx="40">
                  <c:v>25.753444515022444</c:v>
                </c:pt>
                <c:pt idx="41">
                  <c:v>26.071207448749647</c:v>
                </c:pt>
                <c:pt idx="42">
                  <c:v>26.392624843343469</c:v>
                </c:pt>
                <c:pt idx="43">
                  <c:v>26.717651541338821</c:v>
                </c:pt>
                <c:pt idx="44">
                  <c:v>27.046029582420694</c:v>
                </c:pt>
                <c:pt idx="45">
                  <c:v>27.377476139636798</c:v>
                </c:pt>
                <c:pt idx="46">
                  <c:v>27.711708540820876</c:v>
                </c:pt>
                <c:pt idx="47">
                  <c:v>28.048444266411199</c:v>
                </c:pt>
                <c:pt idx="48">
                  <c:v>28.387400944400582</c:v>
                </c:pt>
                <c:pt idx="49">
                  <c:v>28.728296343401933</c:v>
                </c:pt>
                <c:pt idx="50">
                  <c:v>29.071960628440056</c:v>
                </c:pt>
                <c:pt idx="51">
                  <c:v>29.419197865602541</c:v>
                </c:pt>
                <c:pt idx="52">
                  <c:v>29.769640439234418</c:v>
                </c:pt>
                <c:pt idx="53">
                  <c:v>30.123100092633983</c:v>
                </c:pt>
                <c:pt idx="54">
                  <c:v>30.479388228128421</c:v>
                </c:pt>
                <c:pt idx="55">
                  <c:v>30.838316273630351</c:v>
                </c:pt>
                <c:pt idx="56">
                  <c:v>31.1996956731913</c:v>
                </c:pt>
                <c:pt idx="57">
                  <c:v>31.563153483378183</c:v>
                </c:pt>
                <c:pt idx="58">
                  <c:v>31.928262648100382</c:v>
                </c:pt>
                <c:pt idx="59">
                  <c:v>32.294834407399129</c:v>
                </c:pt>
                <c:pt idx="60">
                  <c:v>32.662679981733433</c:v>
                </c:pt>
                <c:pt idx="61">
                  <c:v>33.031610567828963</c:v>
                </c:pt>
                <c:pt idx="62">
                  <c:v>33.401437328599975</c:v>
                </c:pt>
                <c:pt idx="63">
                  <c:v>33.771971391253359</c:v>
                </c:pt>
                <c:pt idx="64">
                  <c:v>34.143899704389582</c:v>
                </c:pt>
                <c:pt idx="65">
                  <c:v>34.517904392114744</c:v>
                </c:pt>
                <c:pt idx="66">
                  <c:v>34.893884345905249</c:v>
                </c:pt>
                <c:pt idx="67">
                  <c:v>35.271649896150855</c:v>
                </c:pt>
                <c:pt idx="68">
                  <c:v>35.651011309886748</c:v>
                </c:pt>
                <c:pt idx="69">
                  <c:v>36.031778781196913</c:v>
                </c:pt>
                <c:pt idx="70">
                  <c:v>36.413762429208234</c:v>
                </c:pt>
                <c:pt idx="71">
                  <c:v>36.796844988314668</c:v>
                </c:pt>
                <c:pt idx="72">
                  <c:v>37.181021606513227</c:v>
                </c:pt>
                <c:pt idx="73">
                  <c:v>37.566102496137866</c:v>
                </c:pt>
                <c:pt idx="74">
                  <c:v>37.9518978309519</c:v>
                </c:pt>
                <c:pt idx="75">
                  <c:v>38.338217753257688</c:v>
                </c:pt>
                <c:pt idx="76">
                  <c:v>38.724872376351357</c:v>
                </c:pt>
                <c:pt idx="77">
                  <c:v>39.111671793300324</c:v>
                </c:pt>
                <c:pt idx="78">
                  <c:v>39.502142520363414</c:v>
                </c:pt>
                <c:pt idx="79">
                  <c:v>39.899018499985075</c:v>
                </c:pt>
                <c:pt idx="80">
                  <c:v>40.300800674918207</c:v>
                </c:pt>
                <c:pt idx="81">
                  <c:v>40.705986275250737</c:v>
                </c:pt>
                <c:pt idx="82">
                  <c:v>41.113073198334803</c:v>
                </c:pt>
                <c:pt idx="83">
                  <c:v>41.520560025658014</c:v>
                </c:pt>
                <c:pt idx="84">
                  <c:v>41.926946043797734</c:v>
                </c:pt>
                <c:pt idx="85">
                  <c:v>42.330773180820216</c:v>
                </c:pt>
                <c:pt idx="86">
                  <c:v>42.730468743822335</c:v>
                </c:pt>
                <c:pt idx="87">
                  <c:v>43.124534132417622</c:v>
                </c:pt>
                <c:pt idx="88">
                  <c:v>43.511471534568237</c:v>
                </c:pt>
                <c:pt idx="89">
                  <c:v>43.889783951764116</c:v>
                </c:pt>
                <c:pt idx="90">
                  <c:v>44.257975231725922</c:v>
                </c:pt>
                <c:pt idx="91">
                  <c:v>44.614550093814323</c:v>
                </c:pt>
                <c:pt idx="92">
                  <c:v>44.96195804669901</c:v>
                </c:pt>
                <c:pt idx="93">
                  <c:v>45.303559026726447</c:v>
                </c:pt>
                <c:pt idx="94">
                  <c:v>45.639174189786978</c:v>
                </c:pt>
                <c:pt idx="95">
                  <c:v>45.968709741461183</c:v>
                </c:pt>
                <c:pt idx="96">
                  <c:v>46.292072015944463</c:v>
                </c:pt>
                <c:pt idx="97">
                  <c:v>46.609167495702494</c:v>
                </c:pt>
                <c:pt idx="98">
                  <c:v>46.919902813951325</c:v>
                </c:pt>
                <c:pt idx="99">
                  <c:v>47.224137895964155</c:v>
                </c:pt>
                <c:pt idx="100">
                  <c:v>47.521736346883088</c:v>
                </c:pt>
                <c:pt idx="101">
                  <c:v>47.812604606224696</c:v>
                </c:pt>
                <c:pt idx="102">
                  <c:v>48.096649244775456</c:v>
                </c:pt>
                <c:pt idx="103">
                  <c:v>48.373776964325565</c:v>
                </c:pt>
                <c:pt idx="104">
                  <c:v>48.643894612750969</c:v>
                </c:pt>
                <c:pt idx="105">
                  <c:v>48.906909183588894</c:v>
                </c:pt>
                <c:pt idx="106">
                  <c:v>49.162758953529476</c:v>
                </c:pt>
                <c:pt idx="107">
                  <c:v>49.411479201764394</c:v>
                </c:pt>
                <c:pt idx="108">
                  <c:v>49.653188022602762</c:v>
                </c:pt>
                <c:pt idx="109">
                  <c:v>49.887979421109932</c:v>
                </c:pt>
                <c:pt idx="110">
                  <c:v>50.115947418551237</c:v>
                </c:pt>
                <c:pt idx="111">
                  <c:v>50.337186113287842</c:v>
                </c:pt>
                <c:pt idx="112">
                  <c:v>50.551789747101672</c:v>
                </c:pt>
                <c:pt idx="113">
                  <c:v>50.759830295733956</c:v>
                </c:pt>
                <c:pt idx="114">
                  <c:v>50.961451133527383</c:v>
                </c:pt>
                <c:pt idx="115">
                  <c:v>51.156747095596039</c:v>
                </c:pt>
                <c:pt idx="116">
                  <c:v>51.345813142493668</c:v>
                </c:pt>
                <c:pt idx="117">
                  <c:v>51.528744369007114</c:v>
                </c:pt>
                <c:pt idx="118">
                  <c:v>51.705636011564138</c:v>
                </c:pt>
                <c:pt idx="119">
                  <c:v>57.414717604792777</c:v>
                </c:pt>
                <c:pt idx="120">
                  <c:v>57.594339904044837</c:v>
                </c:pt>
                <c:pt idx="121">
                  <c:v>57.766311055716812</c:v>
                </c:pt>
                <c:pt idx="122">
                  <c:v>57.930873424175999</c:v>
                </c:pt>
                <c:pt idx="123">
                  <c:v>58.088237084507611</c:v>
                </c:pt>
                <c:pt idx="124">
                  <c:v>58.238611955097419</c:v>
                </c:pt>
                <c:pt idx="125">
                  <c:v>58.382207802446636</c:v>
                </c:pt>
                <c:pt idx="126">
                  <c:v>58.519234238024815</c:v>
                </c:pt>
                <c:pt idx="127">
                  <c:v>58.649898348746845</c:v>
                </c:pt>
                <c:pt idx="128">
                  <c:v>58.774436144581749</c:v>
                </c:pt>
                <c:pt idx="129">
                  <c:v>58.893057213491204</c:v>
                </c:pt>
                <c:pt idx="130">
                  <c:v>59.005971022695178</c:v>
                </c:pt>
                <c:pt idx="131">
                  <c:v>59.11338691155099</c:v>
                </c:pt>
                <c:pt idx="132">
                  <c:v>59.215514100319446</c:v>
                </c:pt>
                <c:pt idx="133">
                  <c:v>59.312561684309166</c:v>
                </c:pt>
                <c:pt idx="134">
                  <c:v>59.403556889056681</c:v>
                </c:pt>
                <c:pt idx="135">
                  <c:v>59.487585763089264</c:v>
                </c:pt>
                <c:pt idx="136">
                  <c:v>59.564975782801902</c:v>
                </c:pt>
                <c:pt idx="137">
                  <c:v>59.636039819848399</c:v>
                </c:pt>
                <c:pt idx="138">
                  <c:v>59.701090545321442</c:v>
                </c:pt>
                <c:pt idx="139">
                  <c:v>59.760440419541212</c:v>
                </c:pt>
                <c:pt idx="140">
                  <c:v>59.814401702380046</c:v>
                </c:pt>
                <c:pt idx="141">
                  <c:v>59.863282390352424</c:v>
                </c:pt>
                <c:pt idx="142">
                  <c:v>59.907397088207617</c:v>
                </c:pt>
                <c:pt idx="143">
                  <c:v>59.947057500013926</c:v>
                </c:pt>
                <c:pt idx="144">
                  <c:v>59.982575061135542</c:v>
                </c:pt>
                <c:pt idx="145">
                  <c:v>60.014260991535551</c:v>
                </c:pt>
                <c:pt idx="146">
                  <c:v>60.042426297196876</c:v>
                </c:pt>
                <c:pt idx="147">
                  <c:v>60.067381757402629</c:v>
                </c:pt>
                <c:pt idx="148">
                  <c:v>60.088003717667739</c:v>
                </c:pt>
                <c:pt idx="149">
                  <c:v>60.103169988512647</c:v>
                </c:pt>
                <c:pt idx="150">
                  <c:v>60.113204254714994</c:v>
                </c:pt>
                <c:pt idx="151">
                  <c:v>60.118418492055937</c:v>
                </c:pt>
                <c:pt idx="152">
                  <c:v>60.119124423583401</c:v>
                </c:pt>
                <c:pt idx="153">
                  <c:v>60.115633518781529</c:v>
                </c:pt>
                <c:pt idx="154">
                  <c:v>60.108256990147815</c:v>
                </c:pt>
                <c:pt idx="155">
                  <c:v>60.097303219715577</c:v>
                </c:pt>
                <c:pt idx="156">
                  <c:v>60.08308711487836</c:v>
                </c:pt>
                <c:pt idx="157">
                  <c:v>60.065919046648808</c:v>
                </c:pt>
                <c:pt idx="158">
                  <c:v>60.046109099242386</c:v>
                </c:pt>
                <c:pt idx="159">
                  <c:v>60.023967064136059</c:v>
                </c:pt>
                <c:pt idx="160">
                  <c:v>59.999802433269117</c:v>
                </c:pt>
                <c:pt idx="161">
                  <c:v>59.973924392823868</c:v>
                </c:pt>
                <c:pt idx="162">
                  <c:v>59.945654586694147</c:v>
                </c:pt>
                <c:pt idx="163">
                  <c:v>59.914184697673917</c:v>
                </c:pt>
                <c:pt idx="164">
                  <c:v>59.879619889273343</c:v>
                </c:pt>
                <c:pt idx="165">
                  <c:v>59.842065553984277</c:v>
                </c:pt>
                <c:pt idx="166">
                  <c:v>59.801626923664784</c:v>
                </c:pt>
                <c:pt idx="167">
                  <c:v>59.758409066523036</c:v>
                </c:pt>
                <c:pt idx="168">
                  <c:v>59.712516878733091</c:v>
                </c:pt>
                <c:pt idx="169">
                  <c:v>59.664060861831999</c:v>
                </c:pt>
                <c:pt idx="170">
                  <c:v>59.613148482822872</c:v>
                </c:pt>
                <c:pt idx="171">
                  <c:v>59.559884225159337</c:v>
                </c:pt>
                <c:pt idx="172">
                  <c:v>59.504372382263192</c:v>
                </c:pt>
                <c:pt idx="173">
                  <c:v>59.446717174174267</c:v>
                </c:pt>
                <c:pt idx="174">
                  <c:v>59.387022637748373</c:v>
                </c:pt>
                <c:pt idx="175">
                  <c:v>59.325392503004636</c:v>
                </c:pt>
                <c:pt idx="176">
                  <c:v>59.262116977702107</c:v>
                </c:pt>
                <c:pt idx="177">
                  <c:v>59.197279350014931</c:v>
                </c:pt>
                <c:pt idx="178">
                  <c:v>59.130671345085901</c:v>
                </c:pt>
                <c:pt idx="179">
                  <c:v>59.062090663429565</c:v>
                </c:pt>
                <c:pt idx="180">
                  <c:v>58.991335081207367</c:v>
                </c:pt>
                <c:pt idx="181">
                  <c:v>58.918202453862243</c:v>
                </c:pt>
                <c:pt idx="182">
                  <c:v>58.842490717463647</c:v>
                </c:pt>
                <c:pt idx="183">
                  <c:v>58.763998178432757</c:v>
                </c:pt>
                <c:pt idx="184">
                  <c:v>58.682516892658604</c:v>
                </c:pt>
                <c:pt idx="185">
                  <c:v>58.597845006668244</c:v>
                </c:pt>
                <c:pt idx="186">
                  <c:v>58.509780763113667</c:v>
                </c:pt>
                <c:pt idx="187">
                  <c:v>58.418122507901145</c:v>
                </c:pt>
                <c:pt idx="188">
                  <c:v>58.322668690058428</c:v>
                </c:pt>
                <c:pt idx="189">
                  <c:v>58.223217869706367</c:v>
                </c:pt>
                <c:pt idx="190">
                  <c:v>58.120296291052767</c:v>
                </c:pt>
                <c:pt idx="191">
                  <c:v>58.014492830372369</c:v>
                </c:pt>
                <c:pt idx="192">
                  <c:v>57.905710099776215</c:v>
                </c:pt>
                <c:pt idx="193">
                  <c:v>57.793847643584016</c:v>
                </c:pt>
                <c:pt idx="194">
                  <c:v>57.678805063763349</c:v>
                </c:pt>
                <c:pt idx="195">
                  <c:v>57.560482025115604</c:v>
                </c:pt>
                <c:pt idx="196">
                  <c:v>57.438778259035097</c:v>
                </c:pt>
                <c:pt idx="197">
                  <c:v>57.313579489427902</c:v>
                </c:pt>
                <c:pt idx="198">
                  <c:v>57.184785318446494</c:v>
                </c:pt>
                <c:pt idx="199">
                  <c:v>57.052295680145072</c:v>
                </c:pt>
                <c:pt idx="200">
                  <c:v>56.916010602821125</c:v>
                </c:pt>
                <c:pt idx="201">
                  <c:v>56.775830207904015</c:v>
                </c:pt>
                <c:pt idx="202">
                  <c:v>56.6316547241764</c:v>
                </c:pt>
                <c:pt idx="203">
                  <c:v>56.483384481743236</c:v>
                </c:pt>
                <c:pt idx="204">
                  <c:v>56.330953680729039</c:v>
                </c:pt>
                <c:pt idx="205">
                  <c:v>56.174427242300908</c:v>
                </c:pt>
                <c:pt idx="206">
                  <c:v>56.013912627980645</c:v>
                </c:pt>
                <c:pt idx="207">
                  <c:v>55.849512701102952</c:v>
                </c:pt>
                <c:pt idx="208">
                  <c:v>55.681330288514069</c:v>
                </c:pt>
                <c:pt idx="209">
                  <c:v>55.509468175658441</c:v>
                </c:pt>
                <c:pt idx="210">
                  <c:v>55.334029109584762</c:v>
                </c:pt>
                <c:pt idx="211">
                  <c:v>55.155095028785105</c:v>
                </c:pt>
                <c:pt idx="212">
                  <c:v>54.972782820379521</c:v>
                </c:pt>
                <c:pt idx="213">
                  <c:v>54.787195098024917</c:v>
                </c:pt>
                <c:pt idx="214">
                  <c:v>54.59843444574863</c:v>
                </c:pt>
                <c:pt idx="215">
                  <c:v>54.406603411125324</c:v>
                </c:pt>
                <c:pt idx="216">
                  <c:v>54.21180450706909</c:v>
                </c:pt>
                <c:pt idx="217">
                  <c:v>54.014140208497814</c:v>
                </c:pt>
                <c:pt idx="218">
                  <c:v>53.813898037990562</c:v>
                </c:pt>
                <c:pt idx="219">
                  <c:v>53.61112567527779</c:v>
                </c:pt>
                <c:pt idx="220">
                  <c:v>53.405627034392722</c:v>
                </c:pt>
                <c:pt idx="221">
                  <c:v>53.197201814451837</c:v>
                </c:pt>
                <c:pt idx="222">
                  <c:v>52.985649909986563</c:v>
                </c:pt>
                <c:pt idx="223">
                  <c:v>52.770771408527764</c:v>
                </c:pt>
                <c:pt idx="224">
                  <c:v>52.552366587109674</c:v>
                </c:pt>
                <c:pt idx="225">
                  <c:v>52.330188650080167</c:v>
                </c:pt>
                <c:pt idx="226">
                  <c:v>52.104059169647002</c:v>
                </c:pt>
                <c:pt idx="227">
                  <c:v>51.873778991135922</c:v>
                </c:pt>
                <c:pt idx="228">
                  <c:v>51.639149142082807</c:v>
                </c:pt>
                <c:pt idx="229">
                  <c:v>51.399970828879241</c:v>
                </c:pt>
                <c:pt idx="230">
                  <c:v>51.156045438624133</c:v>
                </c:pt>
                <c:pt idx="231">
                  <c:v>50.907174532635658</c:v>
                </c:pt>
                <c:pt idx="232">
                  <c:v>50.654099537328172</c:v>
                </c:pt>
                <c:pt idx="233">
                  <c:v>50.39748105895012</c:v>
                </c:pt>
                <c:pt idx="234">
                  <c:v>50.137157970725305</c:v>
                </c:pt>
                <c:pt idx="235">
                  <c:v>49.872931468188085</c:v>
                </c:pt>
                <c:pt idx="236">
                  <c:v>49.604602914133075</c:v>
                </c:pt>
                <c:pt idx="237">
                  <c:v>49.331973865804308</c:v>
                </c:pt>
                <c:pt idx="238">
                  <c:v>49.054846058559633</c:v>
                </c:pt>
                <c:pt idx="239">
                  <c:v>48.772987266961536</c:v>
                </c:pt>
                <c:pt idx="240">
                  <c:v>48.486246800076351</c:v>
                </c:pt>
                <c:pt idx="241">
                  <c:v>48.194426939508816</c:v>
                </c:pt>
                <c:pt idx="242">
                  <c:v>47.897330136749197</c:v>
                </c:pt>
                <c:pt idx="243">
                  <c:v>47.594759015059658</c:v>
                </c:pt>
                <c:pt idx="244">
                  <c:v>47.286516379417264</c:v>
                </c:pt>
                <c:pt idx="245">
                  <c:v>46.972405200937821</c:v>
                </c:pt>
                <c:pt idx="246">
                  <c:v>46.651860446533405</c:v>
                </c:pt>
                <c:pt idx="247">
                  <c:v>46.324792354577383</c:v>
                </c:pt>
                <c:pt idx="248">
                  <c:v>45.991686487490483</c:v>
                </c:pt>
                <c:pt idx="249">
                  <c:v>45.652948207220462</c:v>
                </c:pt>
                <c:pt idx="250">
                  <c:v>45.30898257350578</c:v>
                </c:pt>
                <c:pt idx="251">
                  <c:v>44.960194346724336</c:v>
                </c:pt>
                <c:pt idx="252">
                  <c:v>44.606987997248076</c:v>
                </c:pt>
                <c:pt idx="253">
                  <c:v>44.249918717524771</c:v>
                </c:pt>
                <c:pt idx="254">
                  <c:v>43.889423705113366</c:v>
                </c:pt>
                <c:pt idx="255">
                  <c:v>43.52590600994084</c:v>
                </c:pt>
                <c:pt idx="256">
                  <c:v>43.159768339028332</c:v>
                </c:pt>
                <c:pt idx="257">
                  <c:v>42.791413059463821</c:v>
                </c:pt>
                <c:pt idx="258">
                  <c:v>42.421242193349372</c:v>
                </c:pt>
                <c:pt idx="259">
                  <c:v>42.049657413949951</c:v>
                </c:pt>
                <c:pt idx="260">
                  <c:v>41.673888415749602</c:v>
                </c:pt>
                <c:pt idx="261">
                  <c:v>41.291705667418462</c:v>
                </c:pt>
                <c:pt idx="262">
                  <c:v>40.90404095641302</c:v>
                </c:pt>
                <c:pt idx="263">
                  <c:v>40.511897691316094</c:v>
                </c:pt>
                <c:pt idx="264">
                  <c:v>40.116278426116523</c:v>
                </c:pt>
                <c:pt idx="265">
                  <c:v>39.718184322505699</c:v>
                </c:pt>
                <c:pt idx="266">
                  <c:v>39.318615966127574</c:v>
                </c:pt>
                <c:pt idx="267">
                  <c:v>38.918553089087531</c:v>
                </c:pt>
                <c:pt idx="268">
                  <c:v>38.518846840162226</c:v>
                </c:pt>
                <c:pt idx="269">
                  <c:v>38.120496514771894</c:v>
                </c:pt>
                <c:pt idx="270">
                  <c:v>37.724500612156746</c:v>
                </c:pt>
                <c:pt idx="271">
                  <c:v>37.33185683468438</c:v>
                </c:pt>
                <c:pt idx="272">
                  <c:v>36.943562091108575</c:v>
                </c:pt>
                <c:pt idx="273">
                  <c:v>36.560612494158612</c:v>
                </c:pt>
                <c:pt idx="274">
                  <c:v>36.181072591447162</c:v>
                </c:pt>
                <c:pt idx="275">
                  <c:v>35.802151439072176</c:v>
                </c:pt>
                <c:pt idx="276">
                  <c:v>35.423914397574201</c:v>
                </c:pt>
                <c:pt idx="277">
                  <c:v>35.046562436220562</c:v>
                </c:pt>
                <c:pt idx="278">
                  <c:v>34.670296484691882</c:v>
                </c:pt>
                <c:pt idx="279">
                  <c:v>34.295317436395216</c:v>
                </c:pt>
                <c:pt idx="280">
                  <c:v>33.921826154142174</c:v>
                </c:pt>
                <c:pt idx="281">
                  <c:v>33.54988039071285</c:v>
                </c:pt>
                <c:pt idx="282">
                  <c:v>33.179702004786208</c:v>
                </c:pt>
                <c:pt idx="283">
                  <c:v>32.811492946305187</c:v>
                </c:pt>
                <c:pt idx="284">
                  <c:v>32.44545521536228</c:v>
                </c:pt>
                <c:pt idx="285">
                  <c:v>32.081790862503333</c:v>
                </c:pt>
                <c:pt idx="286">
                  <c:v>31.720701985815207</c:v>
                </c:pt>
                <c:pt idx="287">
                  <c:v>31.362390729567075</c:v>
                </c:pt>
                <c:pt idx="288">
                  <c:v>31.006560840094714</c:v>
                </c:pt>
                <c:pt idx="289">
                  <c:v>30.653187323359905</c:v>
                </c:pt>
                <c:pt idx="290">
                  <c:v>30.302578675579259</c:v>
                </c:pt>
                <c:pt idx="291">
                  <c:v>29.954730110865103</c:v>
                </c:pt>
                <c:pt idx="292">
                  <c:v>29.609636573940271</c:v>
                </c:pt>
                <c:pt idx="293">
                  <c:v>29.267292744602074</c:v>
                </c:pt>
                <c:pt idx="294">
                  <c:v>28.927693046485455</c:v>
                </c:pt>
                <c:pt idx="295">
                  <c:v>28.591122016042149</c:v>
                </c:pt>
                <c:pt idx="296">
                  <c:v>28.257703751381133</c:v>
                </c:pt>
                <c:pt idx="297">
                  <c:v>27.927425186137206</c:v>
                </c:pt>
                <c:pt idx="298">
                  <c:v>27.600273968720458</c:v>
                </c:pt>
                <c:pt idx="299">
                  <c:v>27.276237500807209</c:v>
                </c:pt>
                <c:pt idx="300">
                  <c:v>26.955302978808984</c:v>
                </c:pt>
                <c:pt idx="301">
                  <c:v>26.637457441977244</c:v>
                </c:pt>
                <c:pt idx="302">
                  <c:v>26.321610122634052</c:v>
                </c:pt>
                <c:pt idx="303">
                  <c:v>26.006935840055593</c:v>
                </c:pt>
                <c:pt idx="304">
                  <c:v>25.693542241853283</c:v>
                </c:pt>
                <c:pt idx="305">
                  <c:v>25.381920416740606</c:v>
                </c:pt>
                <c:pt idx="306">
                  <c:v>25.07256127557342</c:v>
                </c:pt>
                <c:pt idx="307">
                  <c:v>24.765955578042998</c:v>
                </c:pt>
                <c:pt idx="308">
                  <c:v>24.462593960906112</c:v>
                </c:pt>
                <c:pt idx="309">
                  <c:v>24.162845231419642</c:v>
                </c:pt>
                <c:pt idx="310">
                  <c:v>23.866931080524619</c:v>
                </c:pt>
                <c:pt idx="311">
                  <c:v>23.575347632409439</c:v>
                </c:pt>
                <c:pt idx="312">
                  <c:v>23.288590881414372</c:v>
                </c:pt>
                <c:pt idx="313">
                  <c:v>23.007156684896536</c:v>
                </c:pt>
                <c:pt idx="314">
                  <c:v>22.731540749838047</c:v>
                </c:pt>
                <c:pt idx="315">
                  <c:v>22.462238625853043</c:v>
                </c:pt>
                <c:pt idx="316">
                  <c:v>22.197213994243942</c:v>
                </c:pt>
                <c:pt idx="317">
                  <c:v>21.934428497960443</c:v>
                </c:pt>
                <c:pt idx="318">
                  <c:v>21.674541394345187</c:v>
                </c:pt>
                <c:pt idx="319">
                  <c:v>21.418148890660063</c:v>
                </c:pt>
                <c:pt idx="320">
                  <c:v>21.165846912050984</c:v>
                </c:pt>
                <c:pt idx="321">
                  <c:v>20.918231090334253</c:v>
                </c:pt>
                <c:pt idx="322">
                  <c:v>20.675896743855514</c:v>
                </c:pt>
                <c:pt idx="323">
                  <c:v>20.439423451507899</c:v>
                </c:pt>
                <c:pt idx="324">
                  <c:v>20.209519648336073</c:v>
                </c:pt>
                <c:pt idx="325">
                  <c:v>19.986778436294809</c:v>
                </c:pt>
                <c:pt idx="326">
                  <c:v>19.771792862458931</c:v>
                </c:pt>
                <c:pt idx="327">
                  <c:v>19.565155474693704</c:v>
                </c:pt>
                <c:pt idx="328">
                  <c:v>19.367458293821766</c:v>
                </c:pt>
                <c:pt idx="329">
                  <c:v>19.17929302983805</c:v>
                </c:pt>
                <c:pt idx="330">
                  <c:v>18.998691464992021</c:v>
                </c:pt>
                <c:pt idx="331">
                  <c:v>18.823609040110497</c:v>
                </c:pt>
                <c:pt idx="332">
                  <c:v>18.65460521244206</c:v>
                </c:pt>
                <c:pt idx="333">
                  <c:v>18.492173123275929</c:v>
                </c:pt>
                <c:pt idx="334">
                  <c:v>18.336805648625337</c:v>
                </c:pt>
                <c:pt idx="335">
                  <c:v>18.188995395607808</c:v>
                </c:pt>
                <c:pt idx="336">
                  <c:v>18.0492346889434</c:v>
                </c:pt>
                <c:pt idx="337">
                  <c:v>17.91798911896586</c:v>
                </c:pt>
                <c:pt idx="338">
                  <c:v>17.79576526459412</c:v>
                </c:pt>
                <c:pt idx="339">
                  <c:v>17.683054629039983</c:v>
                </c:pt>
                <c:pt idx="340">
                  <c:v>17.580348386305612</c:v>
                </c:pt>
                <c:pt idx="341">
                  <c:v>17.488137374093675</c:v>
                </c:pt>
                <c:pt idx="342">
                  <c:v>17.40691209807046</c:v>
                </c:pt>
                <c:pt idx="343">
                  <c:v>17.337162709081504</c:v>
                </c:pt>
                <c:pt idx="344">
                  <c:v>17.280145924762937</c:v>
                </c:pt>
                <c:pt idx="345">
                  <c:v>17.23617198291182</c:v>
                </c:pt>
                <c:pt idx="346">
                  <c:v>17.204321763508243</c:v>
                </c:pt>
                <c:pt idx="347">
                  <c:v>17.183666340235217</c:v>
                </c:pt>
                <c:pt idx="348">
                  <c:v>17.173277348731457</c:v>
                </c:pt>
                <c:pt idx="349">
                  <c:v>17.172226982068128</c:v>
                </c:pt>
                <c:pt idx="350">
                  <c:v>17.179587998261891</c:v>
                </c:pt>
                <c:pt idx="351">
                  <c:v>17.194432937040737</c:v>
                </c:pt>
                <c:pt idx="352">
                  <c:v>17.215861457000425</c:v>
                </c:pt>
                <c:pt idx="353">
                  <c:v>17.24294795055954</c:v>
                </c:pt>
                <c:pt idx="354">
                  <c:v>17.274767394570645</c:v>
                </c:pt>
                <c:pt idx="355">
                  <c:v>17.310395354251622</c:v>
                </c:pt>
                <c:pt idx="356">
                  <c:v>17.348908045914737</c:v>
                </c:pt>
                <c:pt idx="357">
                  <c:v>17.389382166572961</c:v>
                </c:pt>
                <c:pt idx="358">
                  <c:v>17.431983952851837</c:v>
                </c:pt>
                <c:pt idx="359">
                  <c:v>17.477841847188138</c:v>
                </c:pt>
                <c:pt idx="360">
                  <c:v>17.527450521740288</c:v>
                </c:pt>
                <c:pt idx="361">
                  <c:v>17.581330723129955</c:v>
                </c:pt>
                <c:pt idx="362">
                  <c:v>17.640002042173524</c:v>
                </c:pt>
                <c:pt idx="363">
                  <c:v>17.703983687127966</c:v>
                </c:pt>
                <c:pt idx="364">
                  <c:v>17.773794492481468</c:v>
                </c:pt>
                <c:pt idx="365">
                  <c:v>17.453523748081736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16.776016394982737</c:v>
                </c:pt>
                <c:pt idx="1">
                  <c:v>13.284643441691681</c:v>
                </c:pt>
                <c:pt idx="2">
                  <c:v>13.130791457165921</c:v>
                </c:pt>
                <c:pt idx="3">
                  <c:v>13.600694203832299</c:v>
                </c:pt>
                <c:pt idx="4">
                  <c:v>11.639932393559032</c:v>
                </c:pt>
                <c:pt idx="5">
                  <c:v>14.953733675441248</c:v>
                </c:pt>
                <c:pt idx="6">
                  <c:v>9.28829890113429</c:v>
                </c:pt>
                <c:pt idx="7">
                  <c:v>6.753239719954256</c:v>
                </c:pt>
                <c:pt idx="8">
                  <c:v>2.0334176976914597</c:v>
                </c:pt>
                <c:pt idx="9">
                  <c:v>1.6251304430217521</c:v>
                </c:pt>
                <c:pt idx="10">
                  <c:v>18.920561134038312</c:v>
                </c:pt>
                <c:pt idx="11">
                  <c:v>16.054882228611923</c:v>
                </c:pt>
                <c:pt idx="12">
                  <c:v>5.2553919325146676</c:v>
                </c:pt>
                <c:pt idx="13">
                  <c:v>19.338475429680393</c:v>
                </c:pt>
                <c:pt idx="14">
                  <c:v>19.293173237643952</c:v>
                </c:pt>
                <c:pt idx="15">
                  <c:v>19.02931825796032</c:v>
                </c:pt>
                <c:pt idx="16">
                  <c:v>11.217634507396903</c:v>
                </c:pt>
                <c:pt idx="17">
                  <c:v>3.6767313444994052</c:v>
                </c:pt>
                <c:pt idx="18">
                  <c:v>8.5856076204455878</c:v>
                </c:pt>
                <c:pt idx="19">
                  <c:v>6.2671138115664462</c:v>
                </c:pt>
                <c:pt idx="20">
                  <c:v>17.008016295930442</c:v>
                </c:pt>
                <c:pt idx="21">
                  <c:v>20.431063460193194</c:v>
                </c:pt>
                <c:pt idx="22">
                  <c:v>20.645289078271752</c:v>
                </c:pt>
                <c:pt idx="23">
                  <c:v>20.98120033170466</c:v>
                </c:pt>
                <c:pt idx="24">
                  <c:v>20.943493815140915</c:v>
                </c:pt>
                <c:pt idx="25">
                  <c:v>21.068342418065303</c:v>
                </c:pt>
                <c:pt idx="26">
                  <c:v>21.946244556408665</c:v>
                </c:pt>
                <c:pt idx="27">
                  <c:v>4.0812220557402128</c:v>
                </c:pt>
                <c:pt idx="28">
                  <c:v>9.2964293284097224</c:v>
                </c:pt>
                <c:pt idx="29">
                  <c:v>4.4468548819156766</c:v>
                </c:pt>
                <c:pt idx="30">
                  <c:v>7.8537289601157063</c:v>
                </c:pt>
                <c:pt idx="31">
                  <c:v>9.2284501423600442</c:v>
                </c:pt>
                <c:pt idx="32">
                  <c:v>5.229357638937759</c:v>
                </c:pt>
                <c:pt idx="33">
                  <c:v>9.5061139406948527</c:v>
                </c:pt>
                <c:pt idx="34">
                  <c:v>9.3838280408492363</c:v>
                </c:pt>
                <c:pt idx="35">
                  <c:v>8.6317778227882194</c:v>
                </c:pt>
                <c:pt idx="36">
                  <c:v>16.47277895647597</c:v>
                </c:pt>
                <c:pt idx="37">
                  <c:v>8.7970712915706386</c:v>
                </c:pt>
                <c:pt idx="38">
                  <c:v>25.746348669512585</c:v>
                </c:pt>
                <c:pt idx="39">
                  <c:v>25.821687922859923</c:v>
                </c:pt>
                <c:pt idx="40">
                  <c:v>24.233897437239026</c:v>
                </c:pt>
                <c:pt idx="41">
                  <c:v>15.404030512441162</c:v>
                </c:pt>
                <c:pt idx="42">
                  <c:v>22.270242022177197</c:v>
                </c:pt>
                <c:pt idx="43">
                  <c:v>26.34519668705682</c:v>
                </c:pt>
                <c:pt idx="44">
                  <c:v>13.799042869828115</c:v>
                </c:pt>
                <c:pt idx="45">
                  <c:v>16.271471097827973</c:v>
                </c:pt>
                <c:pt idx="46">
                  <c:v>8.9562108174479</c:v>
                </c:pt>
                <c:pt idx="47">
                  <c:v>10.666325735053576</c:v>
                </c:pt>
                <c:pt idx="48">
                  <c:v>23.61686382535196</c:v>
                </c:pt>
                <c:pt idx="49">
                  <c:v>18.062889627634043</c:v>
                </c:pt>
                <c:pt idx="50">
                  <c:v>17.726342583257697</c:v>
                </c:pt>
                <c:pt idx="51">
                  <c:v>19.333100696109341</c:v>
                </c:pt>
                <c:pt idx="52">
                  <c:v>28.217925361061116</c:v>
                </c:pt>
                <c:pt idx="53">
                  <c:v>28.431726991333907</c:v>
                </c:pt>
                <c:pt idx="54">
                  <c:v>17.439929255932583</c:v>
                </c:pt>
                <c:pt idx="55">
                  <c:v>28.041374777715966</c:v>
                </c:pt>
                <c:pt idx="56">
                  <c:v>32.079298108624293</c:v>
                </c:pt>
                <c:pt idx="57">
                  <c:v>26.26679179348222</c:v>
                </c:pt>
                <c:pt idx="58">
                  <c:v>27.274124658741755</c:v>
                </c:pt>
                <c:pt idx="59">
                  <c:v>32.348996725236105</c:v>
                </c:pt>
                <c:pt idx="60">
                  <c:v>10.376421393477994</c:v>
                </c:pt>
                <c:pt idx="61">
                  <c:v>31.004191391695549</c:v>
                </c:pt>
                <c:pt idx="62">
                  <c:v>3.6831086171236462</c:v>
                </c:pt>
                <c:pt idx="63">
                  <c:v>12.899606890204405</c:v>
                </c:pt>
                <c:pt idx="64">
                  <c:v>15.215112274901147</c:v>
                </c:pt>
                <c:pt idx="65">
                  <c:v>33.156386821686368</c:v>
                </c:pt>
                <c:pt idx="66">
                  <c:v>26.221032767391517</c:v>
                </c:pt>
                <c:pt idx="67">
                  <c:v>27.925356448487225</c:v>
                </c:pt>
                <c:pt idx="68">
                  <c:v>21.097800444931018</c:v>
                </c:pt>
                <c:pt idx="69">
                  <c:v>13.733036126886251</c:v>
                </c:pt>
                <c:pt idx="70">
                  <c:v>15.367383905896672</c:v>
                </c:pt>
                <c:pt idx="71">
                  <c:v>9.4031969510695195</c:v>
                </c:pt>
                <c:pt idx="72">
                  <c:v>13.841203023827736</c:v>
                </c:pt>
                <c:pt idx="73">
                  <c:v>13.125709876382757</c:v>
                </c:pt>
                <c:pt idx="74">
                  <c:v>12.855400987205119</c:v>
                </c:pt>
                <c:pt idx="75">
                  <c:v>11.146373775367481</c:v>
                </c:pt>
                <c:pt idx="76">
                  <c:v>14.433298857217094</c:v>
                </c:pt>
                <c:pt idx="77">
                  <c:v>25.457960975032805</c:v>
                </c:pt>
                <c:pt idx="78">
                  <c:v>28.605461214924365</c:v>
                </c:pt>
                <c:pt idx="79">
                  <c:v>38.213509260655037</c:v>
                </c:pt>
                <c:pt idx="80">
                  <c:v>36.219074174311167</c:v>
                </c:pt>
                <c:pt idx="81">
                  <c:v>41.58552723680274</c:v>
                </c:pt>
                <c:pt idx="82">
                  <c:v>40.961545682294116</c:v>
                </c:pt>
                <c:pt idx="83">
                  <c:v>38.685745382144958</c:v>
                </c:pt>
                <c:pt idx="84">
                  <c:v>41.172744219109006</c:v>
                </c:pt>
                <c:pt idx="85">
                  <c:v>39.463376271154047</c:v>
                </c:pt>
                <c:pt idx="86">
                  <c:v>29.862970613839224</c:v>
                </c:pt>
                <c:pt idx="87">
                  <c:v>25.719723299206734</c:v>
                </c:pt>
                <c:pt idx="88">
                  <c:v>7.5491187091766951</c:v>
                </c:pt>
                <c:pt idx="89">
                  <c:v>27.171866880645766</c:v>
                </c:pt>
                <c:pt idx="90">
                  <c:v>31.055690977748529</c:v>
                </c:pt>
                <c:pt idx="91">
                  <c:v>19.758604779896672</c:v>
                </c:pt>
                <c:pt idx="92">
                  <c:v>20.702048749331187</c:v>
                </c:pt>
                <c:pt idx="93">
                  <c:v>41.40394684785165</c:v>
                </c:pt>
                <c:pt idx="94">
                  <c:v>46.460697786777587</c:v>
                </c:pt>
                <c:pt idx="95">
                  <c:v>10.967294408830497</c:v>
                </c:pt>
                <c:pt idx="96">
                  <c:v>33.188544092592075</c:v>
                </c:pt>
                <c:pt idx="97">
                  <c:v>26.44141001980897</c:v>
                </c:pt>
                <c:pt idx="98">
                  <c:v>34.555858686316647</c:v>
                </c:pt>
                <c:pt idx="99">
                  <c:v>47.11428486126988</c:v>
                </c:pt>
                <c:pt idx="100">
                  <c:v>39.15191191893954</c:v>
                </c:pt>
                <c:pt idx="101">
                  <c:v>34.283068489703602</c:v>
                </c:pt>
                <c:pt idx="102">
                  <c:v>7.5982711548586837</c:v>
                </c:pt>
                <c:pt idx="103">
                  <c:v>37.250133186035541</c:v>
                </c:pt>
                <c:pt idx="104">
                  <c:v>41.185893990958604</c:v>
                </c:pt>
                <c:pt idx="105">
                  <c:v>44.664664507057935</c:v>
                </c:pt>
                <c:pt idx="106">
                  <c:v>48.888189885092565</c:v>
                </c:pt>
                <c:pt idx="107">
                  <c:v>38.552405281583482</c:v>
                </c:pt>
                <c:pt idx="108">
                  <c:v>9.0078672602153578</c:v>
                </c:pt>
                <c:pt idx="109">
                  <c:v>9.4491872611102981</c:v>
                </c:pt>
                <c:pt idx="110">
                  <c:v>9.1449154799454213</c:v>
                </c:pt>
                <c:pt idx="111">
                  <c:v>26.413014513462119</c:v>
                </c:pt>
                <c:pt idx="112">
                  <c:v>8.8790434637380518</c:v>
                </c:pt>
                <c:pt idx="113">
                  <c:v>30.544693463053761</c:v>
                </c:pt>
                <c:pt idx="114">
                  <c:v>45.773300257236102</c:v>
                </c:pt>
                <c:pt idx="115">
                  <c:v>49.798904132103836</c:v>
                </c:pt>
                <c:pt idx="116">
                  <c:v>36.327415561834037</c:v>
                </c:pt>
                <c:pt idx="117">
                  <c:v>22.471437643181108</c:v>
                </c:pt>
                <c:pt idx="118">
                  <c:v>40.835024516386085</c:v>
                </c:pt>
                <c:pt idx="119">
                  <c:v>47.624980876414675</c:v>
                </c:pt>
                <c:pt idx="120">
                  <c:v>48.558147437871348</c:v>
                </c:pt>
                <c:pt idx="121">
                  <c:v>28.38415581466062</c:v>
                </c:pt>
                <c:pt idx="122">
                  <c:v>39.004018187414502</c:v>
                </c:pt>
                <c:pt idx="123">
                  <c:v>22.119688240560148</c:v>
                </c:pt>
                <c:pt idx="124">
                  <c:v>45.206462837800913</c:v>
                </c:pt>
                <c:pt idx="125">
                  <c:v>38.178550691708786</c:v>
                </c:pt>
                <c:pt idx="126">
                  <c:v>53.845238576892754</c:v>
                </c:pt>
                <c:pt idx="127">
                  <c:v>48.943478075551013</c:v>
                </c:pt>
                <c:pt idx="128">
                  <c:v>56.047493718986942</c:v>
                </c:pt>
                <c:pt idx="129">
                  <c:v>51.98066109231749</c:v>
                </c:pt>
                <c:pt idx="130">
                  <c:v>56.490476031671051</c:v>
                </c:pt>
                <c:pt idx="131">
                  <c:v>43.473442093344758</c:v>
                </c:pt>
                <c:pt idx="132">
                  <c:v>45.119979954671535</c:v>
                </c:pt>
                <c:pt idx="133">
                  <c:v>49.716401755442263</c:v>
                </c:pt>
                <c:pt idx="134">
                  <c:v>52.943427546898491</c:v>
                </c:pt>
                <c:pt idx="135">
                  <c:v>51.066284425948382</c:v>
                </c:pt>
                <c:pt idx="136">
                  <c:v>54.917634068268036</c:v>
                </c:pt>
                <c:pt idx="137">
                  <c:v>53.675506568055667</c:v>
                </c:pt>
                <c:pt idx="138">
                  <c:v>56.735438840156256</c:v>
                </c:pt>
                <c:pt idx="139">
                  <c:v>49.738738056178157</c:v>
                </c:pt>
                <c:pt idx="140">
                  <c:v>49.302837318737176</c:v>
                </c:pt>
                <c:pt idx="141">
                  <c:v>36.517102285232887</c:v>
                </c:pt>
                <c:pt idx="142">
                  <c:v>20.745161250503923</c:v>
                </c:pt>
                <c:pt idx="143">
                  <c:v>16.887913123026443</c:v>
                </c:pt>
                <c:pt idx="144">
                  <c:v>41.134318568509613</c:v>
                </c:pt>
                <c:pt idx="145">
                  <c:v>24.211448989954459</c:v>
                </c:pt>
                <c:pt idx="146">
                  <c:v>47.706047672382709</c:v>
                </c:pt>
                <c:pt idx="147">
                  <c:v>56.856707330377915</c:v>
                </c:pt>
                <c:pt idx="148">
                  <c:v>61.266209113541478</c:v>
                </c:pt>
                <c:pt idx="149">
                  <c:v>53.069258871129669</c:v>
                </c:pt>
                <c:pt idx="150">
                  <c:v>56.35367203974112</c:v>
                </c:pt>
                <c:pt idx="151">
                  <c:v>57.187340296839878</c:v>
                </c:pt>
                <c:pt idx="152">
                  <c:v>47.39468036813318</c:v>
                </c:pt>
                <c:pt idx="153">
                  <c:v>55.236785126877983</c:v>
                </c:pt>
                <c:pt idx="154">
                  <c:v>27.358113525167418</c:v>
                </c:pt>
                <c:pt idx="155">
                  <c:v>38.071098719339759</c:v>
                </c:pt>
                <c:pt idx="156">
                  <c:v>45.893874930779354</c:v>
                </c:pt>
                <c:pt idx="157">
                  <c:v>31.316401967107641</c:v>
                </c:pt>
                <c:pt idx="158">
                  <c:v>21.971768092093708</c:v>
                </c:pt>
                <c:pt idx="159">
                  <c:v>45.236477055147709</c:v>
                </c:pt>
                <c:pt idx="160">
                  <c:v>58.7150772932468</c:v>
                </c:pt>
                <c:pt idx="161">
                  <c:v>56.484363497279105</c:v>
                </c:pt>
                <c:pt idx="162">
                  <c:v>43.934593268818055</c:v>
                </c:pt>
                <c:pt idx="163">
                  <c:v>55.660179929185603</c:v>
                </c:pt>
                <c:pt idx="164">
                  <c:v>48.112341930575617</c:v>
                </c:pt>
                <c:pt idx="165">
                  <c:v>55.782049731306238</c:v>
                </c:pt>
                <c:pt idx="166">
                  <c:v>53.136390960573983</c:v>
                </c:pt>
                <c:pt idx="167">
                  <c:v>53.725228837662243</c:v>
                </c:pt>
                <c:pt idx="168">
                  <c:v>56.111173069439587</c:v>
                </c:pt>
                <c:pt idx="169">
                  <c:v>57.500149476037144</c:v>
                </c:pt>
                <c:pt idx="170">
                  <c:v>33.946188575601205</c:v>
                </c:pt>
                <c:pt idx="171">
                  <c:v>23.727798045682626</c:v>
                </c:pt>
                <c:pt idx="172">
                  <c:v>44.630839877835953</c:v>
                </c:pt>
                <c:pt idx="173">
                  <c:v>42.455518568084784</c:v>
                </c:pt>
                <c:pt idx="174">
                  <c:v>40.920072225879935</c:v>
                </c:pt>
                <c:pt idx="175">
                  <c:v>33.699790451653229</c:v>
                </c:pt>
                <c:pt idx="176">
                  <c:v>12.731173562508079</c:v>
                </c:pt>
                <c:pt idx="177">
                  <c:v>14.818693946337683</c:v>
                </c:pt>
                <c:pt idx="178">
                  <c:v>60.369207388413244</c:v>
                </c:pt>
                <c:pt idx="179">
                  <c:v>57.890520938474033</c:v>
                </c:pt>
                <c:pt idx="180">
                  <c:v>14.637483932298064</c:v>
                </c:pt>
                <c:pt idx="181">
                  <c:v>54.508297644909703</c:v>
                </c:pt>
                <c:pt idx="182">
                  <c:v>57.22887428744972</c:v>
                </c:pt>
                <c:pt idx="183">
                  <c:v>44.608589924116934</c:v>
                </c:pt>
                <c:pt idx="184">
                  <c:v>44.30687672576623</c:v>
                </c:pt>
                <c:pt idx="185">
                  <c:v>57.020652504773025</c:v>
                </c:pt>
                <c:pt idx="186">
                  <c:v>50.063127278127887</c:v>
                </c:pt>
                <c:pt idx="187">
                  <c:v>57.11022285995972</c:v>
                </c:pt>
                <c:pt idx="188">
                  <c:v>59.605931901318094</c:v>
                </c:pt>
                <c:pt idx="189">
                  <c:v>58.585918184835641</c:v>
                </c:pt>
                <c:pt idx="190">
                  <c:v>57.902504424501466</c:v>
                </c:pt>
                <c:pt idx="191">
                  <c:v>56.066062417125998</c:v>
                </c:pt>
                <c:pt idx="192">
                  <c:v>55.678133450231719</c:v>
                </c:pt>
                <c:pt idx="193">
                  <c:v>55.174176359611707</c:v>
                </c:pt>
                <c:pt idx="194">
                  <c:v>54.244107289331218</c:v>
                </c:pt>
                <c:pt idx="195">
                  <c:v>53.227618026165182</c:v>
                </c:pt>
                <c:pt idx="196">
                  <c:v>54.829942659778098</c:v>
                </c:pt>
                <c:pt idx="197">
                  <c:v>53.87569232293027</c:v>
                </c:pt>
                <c:pt idx="198">
                  <c:v>54.630942774969895</c:v>
                </c:pt>
                <c:pt idx="199">
                  <c:v>46.125542609877819</c:v>
                </c:pt>
                <c:pt idx="200">
                  <c:v>44.892432562437129</c:v>
                </c:pt>
                <c:pt idx="201">
                  <c:v>52.136593498252701</c:v>
                </c:pt>
                <c:pt idx="202">
                  <c:v>39.83191023323694</c:v>
                </c:pt>
                <c:pt idx="203">
                  <c:v>51.889210003249062</c:v>
                </c:pt>
                <c:pt idx="204">
                  <c:v>52.238315108467241</c:v>
                </c:pt>
                <c:pt idx="205">
                  <c:v>28.087281360713277</c:v>
                </c:pt>
                <c:pt idx="206">
                  <c:v>58.645177103360993</c:v>
                </c:pt>
                <c:pt idx="207">
                  <c:v>56.916322277940417</c:v>
                </c:pt>
                <c:pt idx="208">
                  <c:v>45.569362995648383</c:v>
                </c:pt>
                <c:pt idx="209">
                  <c:v>33.473371020648116</c:v>
                </c:pt>
                <c:pt idx="210">
                  <c:v>51.338860851866869</c:v>
                </c:pt>
                <c:pt idx="211">
                  <c:v>54.700416703600936</c:v>
                </c:pt>
                <c:pt idx="212">
                  <c:v>54.371523475543974</c:v>
                </c:pt>
                <c:pt idx="213">
                  <c:v>54.123782604759064</c:v>
                </c:pt>
                <c:pt idx="214">
                  <c:v>49.725017050469432</c:v>
                </c:pt>
                <c:pt idx="215">
                  <c:v>49.47861232773505</c:v>
                </c:pt>
                <c:pt idx="216">
                  <c:v>47.342363514662281</c:v>
                </c:pt>
                <c:pt idx="217">
                  <c:v>49.592591396083876</c:v>
                </c:pt>
                <c:pt idx="218">
                  <c:v>52.552452600878787</c:v>
                </c:pt>
                <c:pt idx="219">
                  <c:v>52.856710373948857</c:v>
                </c:pt>
                <c:pt idx="220">
                  <c:v>50.514290001968618</c:v>
                </c:pt>
                <c:pt idx="221">
                  <c:v>47.279112501577053</c:v>
                </c:pt>
                <c:pt idx="222">
                  <c:v>45.809216786828642</c:v>
                </c:pt>
                <c:pt idx="223">
                  <c:v>46.994025868673461</c:v>
                </c:pt>
                <c:pt idx="224">
                  <c:v>34.334061772962166</c:v>
                </c:pt>
                <c:pt idx="225">
                  <c:v>33.653797593155453</c:v>
                </c:pt>
                <c:pt idx="226">
                  <c:v>40.691413990924652</c:v>
                </c:pt>
                <c:pt idx="227">
                  <c:v>34.9852222452501</c:v>
                </c:pt>
                <c:pt idx="228">
                  <c:v>29.129245820944572</c:v>
                </c:pt>
                <c:pt idx="229">
                  <c:v>36.261483296845633</c:v>
                </c:pt>
                <c:pt idx="230">
                  <c:v>43.299064020263998</c:v>
                </c:pt>
                <c:pt idx="231">
                  <c:v>48.601289197775543</c:v>
                </c:pt>
                <c:pt idx="232">
                  <c:v>31.20597217783957</c:v>
                </c:pt>
                <c:pt idx="233">
                  <c:v>26.728514767955367</c:v>
                </c:pt>
                <c:pt idx="234">
                  <c:v>48.84045289244429</c:v>
                </c:pt>
                <c:pt idx="235">
                  <c:v>43.509058604201883</c:v>
                </c:pt>
                <c:pt idx="236">
                  <c:v>34.654075199511112</c:v>
                </c:pt>
                <c:pt idx="237">
                  <c:v>43.464852160582815</c:v>
                </c:pt>
                <c:pt idx="238">
                  <c:v>48.153023241773958</c:v>
                </c:pt>
                <c:pt idx="239">
                  <c:v>45.782858428615597</c:v>
                </c:pt>
                <c:pt idx="240">
                  <c:v>32.202703995878274</c:v>
                </c:pt>
                <c:pt idx="241">
                  <c:v>45.623411203283432</c:v>
                </c:pt>
                <c:pt idx="242">
                  <c:v>24.205894785311212</c:v>
                </c:pt>
                <c:pt idx="243">
                  <c:v>39.815328519368784</c:v>
                </c:pt>
                <c:pt idx="244">
                  <c:v>38.962668440364062</c:v>
                </c:pt>
                <c:pt idx="245">
                  <c:v>36.730788036756053</c:v>
                </c:pt>
                <c:pt idx="246">
                  <c:v>43.145591395741434</c:v>
                </c:pt>
                <c:pt idx="247">
                  <c:v>37.607829267312347</c:v>
                </c:pt>
                <c:pt idx="248">
                  <c:v>43.565332628696922</c:v>
                </c:pt>
                <c:pt idx="249">
                  <c:v>35.605920349211274</c:v>
                </c:pt>
                <c:pt idx="250">
                  <c:v>33.42242162516493</c:v>
                </c:pt>
                <c:pt idx="251">
                  <c:v>24.783147317457733</c:v>
                </c:pt>
                <c:pt idx="252">
                  <c:v>43.350391689701915</c:v>
                </c:pt>
                <c:pt idx="253">
                  <c:v>42.065077776293542</c:v>
                </c:pt>
                <c:pt idx="254">
                  <c:v>29.872200530449284</c:v>
                </c:pt>
                <c:pt idx="255">
                  <c:v>14.034123738664876</c:v>
                </c:pt>
                <c:pt idx="256">
                  <c:v>33.407140409918703</c:v>
                </c:pt>
                <c:pt idx="257">
                  <c:v>38.078258088785368</c:v>
                </c:pt>
                <c:pt idx="258">
                  <c:v>32.666667738668266</c:v>
                </c:pt>
                <c:pt idx="259">
                  <c:v>42.678061895290085</c:v>
                </c:pt>
                <c:pt idx="260">
                  <c:v>42.183288770014713</c:v>
                </c:pt>
                <c:pt idx="261">
                  <c:v>40.544191876214398</c:v>
                </c:pt>
                <c:pt idx="262">
                  <c:v>42.244004093832508</c:v>
                </c:pt>
                <c:pt idx="263">
                  <c:v>40.840391666621322</c:v>
                </c:pt>
                <c:pt idx="264">
                  <c:v>39.041286780892747</c:v>
                </c:pt>
                <c:pt idx="265">
                  <c:v>24.505035345112201</c:v>
                </c:pt>
                <c:pt idx="266">
                  <c:v>15.949272995903819</c:v>
                </c:pt>
                <c:pt idx="267">
                  <c:v>32.545914488591016</c:v>
                </c:pt>
                <c:pt idx="268">
                  <c:v>28.95772638695578</c:v>
                </c:pt>
                <c:pt idx="269">
                  <c:v>17.374028853812121</c:v>
                </c:pt>
                <c:pt idx="270">
                  <c:v>19.608790565473541</c:v>
                </c:pt>
                <c:pt idx="271">
                  <c:v>23.125353528729296</c:v>
                </c:pt>
                <c:pt idx="272">
                  <c:v>26.447329518668869</c:v>
                </c:pt>
                <c:pt idx="273">
                  <c:v>33.228595106852232</c:v>
                </c:pt>
                <c:pt idx="274">
                  <c:v>35.007392948080287</c:v>
                </c:pt>
                <c:pt idx="275">
                  <c:v>34.350326359345686</c:v>
                </c:pt>
                <c:pt idx="276">
                  <c:v>35.444777904920926</c:v>
                </c:pt>
                <c:pt idx="277">
                  <c:v>36.481269229233135</c:v>
                </c:pt>
                <c:pt idx="278">
                  <c:v>11.428165378132494</c:v>
                </c:pt>
                <c:pt idx="279">
                  <c:v>25.470529573597123</c:v>
                </c:pt>
                <c:pt idx="280">
                  <c:v>16.864562943718973</c:v>
                </c:pt>
                <c:pt idx="281">
                  <c:v>33.0560884516089</c:v>
                </c:pt>
                <c:pt idx="282">
                  <c:v>26.535824607811648</c:v>
                </c:pt>
                <c:pt idx="283">
                  <c:v>20.623629525270871</c:v>
                </c:pt>
                <c:pt idx="284">
                  <c:v>24.87133803022892</c:v>
                </c:pt>
                <c:pt idx="285">
                  <c:v>21.390543893130957</c:v>
                </c:pt>
                <c:pt idx="286">
                  <c:v>17.903095834874442</c:v>
                </c:pt>
                <c:pt idx="287">
                  <c:v>31.514855701258917</c:v>
                </c:pt>
                <c:pt idx="288">
                  <c:v>28.796814980901029</c:v>
                </c:pt>
                <c:pt idx="289">
                  <c:v>18.608986590575945</c:v>
                </c:pt>
                <c:pt idx="290">
                  <c:v>29.370111998925459</c:v>
                </c:pt>
                <c:pt idx="291">
                  <c:v>14.759240648820628</c:v>
                </c:pt>
                <c:pt idx="292">
                  <c:v>6.5044472685657615</c:v>
                </c:pt>
                <c:pt idx="293">
                  <c:v>14.931698447582612</c:v>
                </c:pt>
                <c:pt idx="294">
                  <c:v>28.285549168093297</c:v>
                </c:pt>
                <c:pt idx="295">
                  <c:v>16.237799356915495</c:v>
                </c:pt>
                <c:pt idx="296">
                  <c:v>20.134712011575008</c:v>
                </c:pt>
                <c:pt idx="297">
                  <c:v>19.983031351686495</c:v>
                </c:pt>
                <c:pt idx="298">
                  <c:v>11.874610982276613</c:v>
                </c:pt>
                <c:pt idx="299">
                  <c:v>12.060822775490932</c:v>
                </c:pt>
                <c:pt idx="300">
                  <c:v>16.323143154965155</c:v>
                </c:pt>
                <c:pt idx="301">
                  <c:v>22.978409433936143</c:v>
                </c:pt>
                <c:pt idx="302">
                  <c:v>18.990165631157211</c:v>
                </c:pt>
                <c:pt idx="303">
                  <c:v>17.949124276650167</c:v>
                </c:pt>
                <c:pt idx="304">
                  <c:v>18.032607291636907</c:v>
                </c:pt>
                <c:pt idx="305">
                  <c:v>24.434043810444695</c:v>
                </c:pt>
                <c:pt idx="306">
                  <c:v>9.9484522215976128</c:v>
                </c:pt>
                <c:pt idx="307">
                  <c:v>16.476157499318077</c:v>
                </c:pt>
                <c:pt idx="308">
                  <c:v>24.943766056587183</c:v>
                </c:pt>
                <c:pt idx="309">
                  <c:v>24.316954222305178</c:v>
                </c:pt>
                <c:pt idx="310">
                  <c:v>22.279788631900459</c:v>
                </c:pt>
                <c:pt idx="311">
                  <c:v>16.46358512229596</c:v>
                </c:pt>
                <c:pt idx="312">
                  <c:v>8.8114162058881416</c:v>
                </c:pt>
                <c:pt idx="313">
                  <c:v>18.671089853885146</c:v>
                </c:pt>
                <c:pt idx="314">
                  <c:v>21.99775410058534</c:v>
                </c:pt>
                <c:pt idx="315">
                  <c:v>21.793398434173994</c:v>
                </c:pt>
                <c:pt idx="316">
                  <c:v>20.809413495328901</c:v>
                </c:pt>
                <c:pt idx="317">
                  <c:v>8.3588690134490964</c:v>
                </c:pt>
                <c:pt idx="318">
                  <c:v>11.26620981662831</c:v>
                </c:pt>
                <c:pt idx="319">
                  <c:v>21.375102025591186</c:v>
                </c:pt>
                <c:pt idx="320">
                  <c:v>12.476375676890227</c:v>
                </c:pt>
                <c:pt idx="321">
                  <c:v>13.187867200562094</c:v>
                </c:pt>
                <c:pt idx="322">
                  <c:v>7.3162708527274445</c:v>
                </c:pt>
                <c:pt idx="323">
                  <c:v>13.538842433328986</c:v>
                </c:pt>
                <c:pt idx="324">
                  <c:v>3.1698190820562231</c:v>
                </c:pt>
                <c:pt idx="325">
                  <c:v>7.5088137410768949</c:v>
                </c:pt>
                <c:pt idx="326">
                  <c:v>12.006925560348794</c:v>
                </c:pt>
                <c:pt idx="327">
                  <c:v>12.089561653195753</c:v>
                </c:pt>
                <c:pt idx="328">
                  <c:v>4.9187872690112098</c:v>
                </c:pt>
                <c:pt idx="329">
                  <c:v>11.040625482962657</c:v>
                </c:pt>
                <c:pt idx="330">
                  <c:v>12.441864553481009</c:v>
                </c:pt>
                <c:pt idx="331">
                  <c:v>10.563038086668058</c:v>
                </c:pt>
                <c:pt idx="332">
                  <c:v>14.194753073448274</c:v>
                </c:pt>
                <c:pt idx="333">
                  <c:v>4.0027301597971938</c:v>
                </c:pt>
                <c:pt idx="334">
                  <c:v>3.7926817673965711</c:v>
                </c:pt>
                <c:pt idx="335">
                  <c:v>5.7293429430654053</c:v>
                </c:pt>
                <c:pt idx="336">
                  <c:v>7.7847155923178235</c:v>
                </c:pt>
                <c:pt idx="337">
                  <c:v>14.484263818503759</c:v>
                </c:pt>
                <c:pt idx="338">
                  <c:v>18.079907230086523</c:v>
                </c:pt>
                <c:pt idx="339">
                  <c:v>9.7749245481205964</c:v>
                </c:pt>
                <c:pt idx="340">
                  <c:v>16.132985927222212</c:v>
                </c:pt>
                <c:pt idx="341">
                  <c:v>4.0861992441679096</c:v>
                </c:pt>
                <c:pt idx="342">
                  <c:v>4.9642658577627028</c:v>
                </c:pt>
                <c:pt idx="343">
                  <c:v>11.265143762868767</c:v>
                </c:pt>
                <c:pt idx="344">
                  <c:v>13.762468190257241</c:v>
                </c:pt>
                <c:pt idx="345">
                  <c:v>4.3230046456004514</c:v>
                </c:pt>
                <c:pt idx="346">
                  <c:v>5.336433842954837</c:v>
                </c:pt>
                <c:pt idx="347">
                  <c:v>15.449420764678004</c:v>
                </c:pt>
                <c:pt idx="348">
                  <c:v>5.8373876539509242</c:v>
                </c:pt>
                <c:pt idx="349">
                  <c:v>5.2218608563349616</c:v>
                </c:pt>
                <c:pt idx="350">
                  <c:v>3.4803494755258582</c:v>
                </c:pt>
                <c:pt idx="351">
                  <c:v>15.985985877153103</c:v>
                </c:pt>
                <c:pt idx="352">
                  <c:v>13.243253792935596</c:v>
                </c:pt>
                <c:pt idx="353">
                  <c:v>4.651514807711683</c:v>
                </c:pt>
                <c:pt idx="354">
                  <c:v>16.581730792186782</c:v>
                </c:pt>
                <c:pt idx="355">
                  <c:v>12.719944083053035</c:v>
                </c:pt>
                <c:pt idx="356">
                  <c:v>13.38114341735646</c:v>
                </c:pt>
                <c:pt idx="357">
                  <c:v>17.193013096145211</c:v>
                </c:pt>
                <c:pt idx="358">
                  <c:v>9.8456631071782272</c:v>
                </c:pt>
                <c:pt idx="359">
                  <c:v>16.746260140402075</c:v>
                </c:pt>
                <c:pt idx="360">
                  <c:v>6.8048749733887135</c:v>
                </c:pt>
                <c:pt idx="361">
                  <c:v>16.193323693265576</c:v>
                </c:pt>
                <c:pt idx="362">
                  <c:v>9.1642908454309406</c:v>
                </c:pt>
                <c:pt idx="363">
                  <c:v>12.147932782330392</c:v>
                </c:pt>
                <c:pt idx="364">
                  <c:v>9.041464878249176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16.776016394982737</c:v>
                </c:pt>
                <c:pt idx="1">
                  <c:v>13.284643441691681</c:v>
                </c:pt>
                <c:pt idx="2">
                  <c:v>13.130791457165921</c:v>
                </c:pt>
                <c:pt idx="3">
                  <c:v>13.600694203832299</c:v>
                </c:pt>
                <c:pt idx="4">
                  <c:v>11.639932393559032</c:v>
                </c:pt>
                <c:pt idx="5">
                  <c:v>14.953733675441248</c:v>
                </c:pt>
                <c:pt idx="6">
                  <c:v>9.28829890113429</c:v>
                </c:pt>
                <c:pt idx="7">
                  <c:v>6.753239719954256</c:v>
                </c:pt>
                <c:pt idx="8">
                  <c:v>2.0334176976914597</c:v>
                </c:pt>
                <c:pt idx="9">
                  <c:v>1.6251304430217521</c:v>
                </c:pt>
                <c:pt idx="10">
                  <c:v>18.920561134038312</c:v>
                </c:pt>
                <c:pt idx="11">
                  <c:v>16.054882228611923</c:v>
                </c:pt>
                <c:pt idx="12">
                  <c:v>5.2553919325146676</c:v>
                </c:pt>
                <c:pt idx="13">
                  <c:v>19.338475429680393</c:v>
                </c:pt>
                <c:pt idx="14">
                  <c:v>19.293173237643952</c:v>
                </c:pt>
                <c:pt idx="15">
                  <c:v>19.02931825796032</c:v>
                </c:pt>
                <c:pt idx="16">
                  <c:v>11.217634507396903</c:v>
                </c:pt>
                <c:pt idx="17">
                  <c:v>3.6767313444994052</c:v>
                </c:pt>
                <c:pt idx="18">
                  <c:v>8.5856076204455878</c:v>
                </c:pt>
                <c:pt idx="19">
                  <c:v>6.2671138115664462</c:v>
                </c:pt>
                <c:pt idx="20">
                  <c:v>17.008016295930442</c:v>
                </c:pt>
                <c:pt idx="21">
                  <c:v>20.431063460193194</c:v>
                </c:pt>
                <c:pt idx="22">
                  <c:v>20.645289078271752</c:v>
                </c:pt>
                <c:pt idx="23">
                  <c:v>20.98120033170466</c:v>
                </c:pt>
                <c:pt idx="24">
                  <c:v>20.943493815140915</c:v>
                </c:pt>
                <c:pt idx="25">
                  <c:v>21.068342418065303</c:v>
                </c:pt>
                <c:pt idx="26">
                  <c:v>21.946244556408665</c:v>
                </c:pt>
                <c:pt idx="27">
                  <c:v>4.0812220557402128</c:v>
                </c:pt>
                <c:pt idx="28">
                  <c:v>9.2964293284097224</c:v>
                </c:pt>
                <c:pt idx="29">
                  <c:v>4.4468548819156766</c:v>
                </c:pt>
                <c:pt idx="30">
                  <c:v>7.8537289601157063</c:v>
                </c:pt>
                <c:pt idx="31">
                  <c:v>9.2284501423600442</c:v>
                </c:pt>
                <c:pt idx="32">
                  <c:v>5.229357638937759</c:v>
                </c:pt>
                <c:pt idx="33">
                  <c:v>9.5061139406948527</c:v>
                </c:pt>
                <c:pt idx="34">
                  <c:v>9.3838280408492363</c:v>
                </c:pt>
                <c:pt idx="35">
                  <c:v>8.6317778227882194</c:v>
                </c:pt>
                <c:pt idx="36">
                  <c:v>16.47277895647597</c:v>
                </c:pt>
                <c:pt idx="37">
                  <c:v>8.7970712915706386</c:v>
                </c:pt>
                <c:pt idx="38">
                  <c:v>25.746348669512585</c:v>
                </c:pt>
                <c:pt idx="39">
                  <c:v>25.821687922859923</c:v>
                </c:pt>
                <c:pt idx="40">
                  <c:v>24.233897437239026</c:v>
                </c:pt>
                <c:pt idx="41">
                  <c:v>15.404030512441162</c:v>
                </c:pt>
                <c:pt idx="42">
                  <c:v>22.270242022177197</c:v>
                </c:pt>
                <c:pt idx="43">
                  <c:v>26.34519668705682</c:v>
                </c:pt>
                <c:pt idx="44">
                  <c:v>13.799042869828115</c:v>
                </c:pt>
                <c:pt idx="45">
                  <c:v>16.271471097827973</c:v>
                </c:pt>
                <c:pt idx="46">
                  <c:v>8.9562108174479</c:v>
                </c:pt>
                <c:pt idx="47">
                  <c:v>10.666325735053576</c:v>
                </c:pt>
                <c:pt idx="48">
                  <c:v>23.61686382535196</c:v>
                </c:pt>
                <c:pt idx="49">
                  <c:v>18.062889627634043</c:v>
                </c:pt>
                <c:pt idx="50">
                  <c:v>17.726342583257697</c:v>
                </c:pt>
                <c:pt idx="51">
                  <c:v>19.333100696109341</c:v>
                </c:pt>
                <c:pt idx="52">
                  <c:v>28.217925361061116</c:v>
                </c:pt>
                <c:pt idx="53">
                  <c:v>28.431726991333907</c:v>
                </c:pt>
                <c:pt idx="54">
                  <c:v>17.439929255932583</c:v>
                </c:pt>
                <c:pt idx="55">
                  <c:v>28.041374777715966</c:v>
                </c:pt>
                <c:pt idx="56">
                  <c:v>32.079298108624293</c:v>
                </c:pt>
                <c:pt idx="57">
                  <c:v>26.26679179348222</c:v>
                </c:pt>
                <c:pt idx="58">
                  <c:v>27.274124658741755</c:v>
                </c:pt>
                <c:pt idx="59">
                  <c:v>32.348996725236105</c:v>
                </c:pt>
                <c:pt idx="60">
                  <c:v>10.376421393477994</c:v>
                </c:pt>
                <c:pt idx="61">
                  <c:v>31.004191391695549</c:v>
                </c:pt>
                <c:pt idx="62">
                  <c:v>3.6831086171236462</c:v>
                </c:pt>
                <c:pt idx="63">
                  <c:v>12.899606890204405</c:v>
                </c:pt>
                <c:pt idx="64">
                  <c:v>15.215112274901147</c:v>
                </c:pt>
                <c:pt idx="65">
                  <c:v>33.156386821686368</c:v>
                </c:pt>
                <c:pt idx="66">
                  <c:v>26.221032767391517</c:v>
                </c:pt>
                <c:pt idx="67">
                  <c:v>27.925356448487225</c:v>
                </c:pt>
                <c:pt idx="68">
                  <c:v>21.097800444931018</c:v>
                </c:pt>
                <c:pt idx="69">
                  <c:v>13.733036126886251</c:v>
                </c:pt>
                <c:pt idx="70">
                  <c:v>15.367383905896672</c:v>
                </c:pt>
                <c:pt idx="71">
                  <c:v>9.4031969510695195</c:v>
                </c:pt>
                <c:pt idx="72">
                  <c:v>13.841203023827736</c:v>
                </c:pt>
                <c:pt idx="73">
                  <c:v>13.125709876382757</c:v>
                </c:pt>
                <c:pt idx="74">
                  <c:v>12.855400987205119</c:v>
                </c:pt>
                <c:pt idx="75">
                  <c:v>11.146373775367481</c:v>
                </c:pt>
                <c:pt idx="76">
                  <c:v>14.433298857217094</c:v>
                </c:pt>
                <c:pt idx="77">
                  <c:v>25.457960975032805</c:v>
                </c:pt>
                <c:pt idx="78">
                  <c:v>28.605461214924365</c:v>
                </c:pt>
                <c:pt idx="79">
                  <c:v>38.213509260655037</c:v>
                </c:pt>
                <c:pt idx="80">
                  <c:v>36.219074174311167</c:v>
                </c:pt>
                <c:pt idx="81">
                  <c:v>41.58552723680274</c:v>
                </c:pt>
                <c:pt idx="82">
                  <c:v>40.961545682294116</c:v>
                </c:pt>
                <c:pt idx="83">
                  <c:v>38.685745382144958</c:v>
                </c:pt>
                <c:pt idx="84">
                  <c:v>41.172744219109006</c:v>
                </c:pt>
                <c:pt idx="85">
                  <c:v>39.463376271154047</c:v>
                </c:pt>
                <c:pt idx="86">
                  <c:v>29.862970613839224</c:v>
                </c:pt>
                <c:pt idx="87">
                  <c:v>25.719723299206734</c:v>
                </c:pt>
                <c:pt idx="88">
                  <c:v>7.5491187091766951</c:v>
                </c:pt>
                <c:pt idx="89">
                  <c:v>27.171866880645766</c:v>
                </c:pt>
                <c:pt idx="90">
                  <c:v>31.055690977748529</c:v>
                </c:pt>
                <c:pt idx="91">
                  <c:v>19.758604779896672</c:v>
                </c:pt>
                <c:pt idx="92">
                  <c:v>20.702048749331187</c:v>
                </c:pt>
                <c:pt idx="93">
                  <c:v>41.40394684785165</c:v>
                </c:pt>
                <c:pt idx="94">
                  <c:v>46.460697786777587</c:v>
                </c:pt>
                <c:pt idx="95">
                  <c:v>10.967294408830497</c:v>
                </c:pt>
                <c:pt idx="96">
                  <c:v>33.188544092592075</c:v>
                </c:pt>
                <c:pt idx="97">
                  <c:v>26.44141001980897</c:v>
                </c:pt>
                <c:pt idx="98">
                  <c:v>34.555858686316647</c:v>
                </c:pt>
                <c:pt idx="99">
                  <c:v>47.11428486126988</c:v>
                </c:pt>
                <c:pt idx="100">
                  <c:v>39.15191191893954</c:v>
                </c:pt>
                <c:pt idx="101">
                  <c:v>34.283068489703602</c:v>
                </c:pt>
                <c:pt idx="102">
                  <c:v>7.5982711548586837</c:v>
                </c:pt>
                <c:pt idx="103">
                  <c:v>37.250133186035541</c:v>
                </c:pt>
                <c:pt idx="104">
                  <c:v>41.185893990958604</c:v>
                </c:pt>
                <c:pt idx="105">
                  <c:v>44.664664507057935</c:v>
                </c:pt>
                <c:pt idx="106">
                  <c:v>48.888189885092565</c:v>
                </c:pt>
                <c:pt idx="107">
                  <c:v>38.552405281583482</c:v>
                </c:pt>
                <c:pt idx="108">
                  <c:v>9.0078672602153578</c:v>
                </c:pt>
                <c:pt idx="109">
                  <c:v>9.4491872611102981</c:v>
                </c:pt>
                <c:pt idx="110">
                  <c:v>9.1449154799454213</c:v>
                </c:pt>
                <c:pt idx="111">
                  <c:v>26.413014513462119</c:v>
                </c:pt>
                <c:pt idx="112">
                  <c:v>8.8790434637380518</c:v>
                </c:pt>
                <c:pt idx="113">
                  <c:v>30.544693463053761</c:v>
                </c:pt>
                <c:pt idx="114">
                  <c:v>45.773300257236102</c:v>
                </c:pt>
                <c:pt idx="115">
                  <c:v>49.798904132103836</c:v>
                </c:pt>
                <c:pt idx="116">
                  <c:v>36.327415561834037</c:v>
                </c:pt>
                <c:pt idx="117">
                  <c:v>22.471437643181108</c:v>
                </c:pt>
                <c:pt idx="118">
                  <c:v>40.835024516386085</c:v>
                </c:pt>
                <c:pt idx="119">
                  <c:v>47.624980876414675</c:v>
                </c:pt>
                <c:pt idx="120">
                  <c:v>48.558147437871348</c:v>
                </c:pt>
                <c:pt idx="121">
                  <c:v>28.38415581466062</c:v>
                </c:pt>
                <c:pt idx="122">
                  <c:v>39.004018187414502</c:v>
                </c:pt>
                <c:pt idx="123">
                  <c:v>22.119688240560148</c:v>
                </c:pt>
                <c:pt idx="124">
                  <c:v>45.206462837800913</c:v>
                </c:pt>
                <c:pt idx="125">
                  <c:v>38.178550691708786</c:v>
                </c:pt>
                <c:pt idx="126">
                  <c:v>53.845238576892754</c:v>
                </c:pt>
                <c:pt idx="127">
                  <c:v>48.943478075551013</c:v>
                </c:pt>
                <c:pt idx="128">
                  <c:v>56.047493718986942</c:v>
                </c:pt>
                <c:pt idx="129">
                  <c:v>51.98066109231749</c:v>
                </c:pt>
                <c:pt idx="130">
                  <c:v>56.490476031671051</c:v>
                </c:pt>
                <c:pt idx="131">
                  <c:v>43.473442093344758</c:v>
                </c:pt>
                <c:pt idx="132">
                  <c:v>45.119979954671535</c:v>
                </c:pt>
                <c:pt idx="133">
                  <c:v>49.716401755442263</c:v>
                </c:pt>
                <c:pt idx="134">
                  <c:v>52.943427546898491</c:v>
                </c:pt>
                <c:pt idx="135">
                  <c:v>51.066284425948382</c:v>
                </c:pt>
                <c:pt idx="136">
                  <c:v>54.917634068268036</c:v>
                </c:pt>
                <c:pt idx="137">
                  <c:v>53.675506568055667</c:v>
                </c:pt>
                <c:pt idx="138">
                  <c:v>56.735438840156256</c:v>
                </c:pt>
                <c:pt idx="139">
                  <c:v>49.738738056178157</c:v>
                </c:pt>
                <c:pt idx="140">
                  <c:v>49.302837318737176</c:v>
                </c:pt>
                <c:pt idx="141">
                  <c:v>36.517102285232887</c:v>
                </c:pt>
                <c:pt idx="142">
                  <c:v>20.745161250503923</c:v>
                </c:pt>
                <c:pt idx="143">
                  <c:v>16.887913123026443</c:v>
                </c:pt>
                <c:pt idx="144">
                  <c:v>41.134318568509613</c:v>
                </c:pt>
                <c:pt idx="145">
                  <c:v>24.211448989954459</c:v>
                </c:pt>
                <c:pt idx="146">
                  <c:v>47.706047672382709</c:v>
                </c:pt>
                <c:pt idx="147">
                  <c:v>56.856707330377915</c:v>
                </c:pt>
                <c:pt idx="148">
                  <c:v>61.266209113541478</c:v>
                </c:pt>
                <c:pt idx="149">
                  <c:v>53.069258871129669</c:v>
                </c:pt>
                <c:pt idx="150">
                  <c:v>56.35367203974112</c:v>
                </c:pt>
                <c:pt idx="151">
                  <c:v>57.187340296839878</c:v>
                </c:pt>
                <c:pt idx="152">
                  <c:v>47.39468036813318</c:v>
                </c:pt>
                <c:pt idx="153">
                  <c:v>55.236785126877983</c:v>
                </c:pt>
                <c:pt idx="154">
                  <c:v>27.358113525167418</c:v>
                </c:pt>
                <c:pt idx="155">
                  <c:v>38.071098719339759</c:v>
                </c:pt>
                <c:pt idx="156">
                  <c:v>45.893874930779354</c:v>
                </c:pt>
                <c:pt idx="157">
                  <c:v>31.316401967107641</c:v>
                </c:pt>
                <c:pt idx="158">
                  <c:v>21.971768092093708</c:v>
                </c:pt>
                <c:pt idx="159">
                  <c:v>45.236477055147709</c:v>
                </c:pt>
                <c:pt idx="160">
                  <c:v>58.7150772932468</c:v>
                </c:pt>
                <c:pt idx="161">
                  <c:v>56.484363497279105</c:v>
                </c:pt>
                <c:pt idx="162">
                  <c:v>43.934593268818055</c:v>
                </c:pt>
                <c:pt idx="163">
                  <c:v>55.660179929185603</c:v>
                </c:pt>
                <c:pt idx="164">
                  <c:v>48.112341930575617</c:v>
                </c:pt>
                <c:pt idx="165">
                  <c:v>55.782049731306238</c:v>
                </c:pt>
                <c:pt idx="166">
                  <c:v>53.136390960573983</c:v>
                </c:pt>
                <c:pt idx="167">
                  <c:v>53.725228837662243</c:v>
                </c:pt>
                <c:pt idx="168">
                  <c:v>56.111173069439587</c:v>
                </c:pt>
                <c:pt idx="169">
                  <c:v>57.500149476037144</c:v>
                </c:pt>
                <c:pt idx="170">
                  <c:v>33.946188575601205</c:v>
                </c:pt>
                <c:pt idx="171">
                  <c:v>23.727798045682626</c:v>
                </c:pt>
                <c:pt idx="172">
                  <c:v>44.630839877835953</c:v>
                </c:pt>
                <c:pt idx="173">
                  <c:v>42.455518568084784</c:v>
                </c:pt>
                <c:pt idx="174">
                  <c:v>40.920072225879935</c:v>
                </c:pt>
                <c:pt idx="175">
                  <c:v>33.699790451653229</c:v>
                </c:pt>
                <c:pt idx="176">
                  <c:v>12.731173562508079</c:v>
                </c:pt>
                <c:pt idx="177">
                  <c:v>14.818693946337683</c:v>
                </c:pt>
                <c:pt idx="178">
                  <c:v>60.369207388413244</c:v>
                </c:pt>
                <c:pt idx="179">
                  <c:v>57.890520938474033</c:v>
                </c:pt>
                <c:pt idx="180">
                  <c:v>14.637483932298064</c:v>
                </c:pt>
                <c:pt idx="181">
                  <c:v>54.508297644909703</c:v>
                </c:pt>
                <c:pt idx="182">
                  <c:v>57.22887428744972</c:v>
                </c:pt>
                <c:pt idx="183">
                  <c:v>44.608589924116934</c:v>
                </c:pt>
                <c:pt idx="184">
                  <c:v>44.30687672576623</c:v>
                </c:pt>
                <c:pt idx="185">
                  <c:v>57.020652504773025</c:v>
                </c:pt>
                <c:pt idx="186">
                  <c:v>50.063127278127887</c:v>
                </c:pt>
                <c:pt idx="187">
                  <c:v>57.11022285995972</c:v>
                </c:pt>
                <c:pt idx="188">
                  <c:v>59.605931901318094</c:v>
                </c:pt>
                <c:pt idx="189">
                  <c:v>58.585918184835641</c:v>
                </c:pt>
                <c:pt idx="190">
                  <c:v>57.902504424501466</c:v>
                </c:pt>
                <c:pt idx="191">
                  <c:v>56.066062417125998</c:v>
                </c:pt>
                <c:pt idx="192">
                  <c:v>55.678133450231719</c:v>
                </c:pt>
                <c:pt idx="193">
                  <c:v>55.174176359611707</c:v>
                </c:pt>
                <c:pt idx="194">
                  <c:v>54.244107289331218</c:v>
                </c:pt>
                <c:pt idx="195">
                  <c:v>53.227618026165182</c:v>
                </c:pt>
                <c:pt idx="196">
                  <c:v>54.829942659778098</c:v>
                </c:pt>
                <c:pt idx="197">
                  <c:v>53.87569232293027</c:v>
                </c:pt>
                <c:pt idx="198">
                  <c:v>54.630942774969895</c:v>
                </c:pt>
                <c:pt idx="199">
                  <c:v>46.125542609877819</c:v>
                </c:pt>
                <c:pt idx="200">
                  <c:v>44.892432562437129</c:v>
                </c:pt>
                <c:pt idx="201">
                  <c:v>52.136593498252701</c:v>
                </c:pt>
                <c:pt idx="202">
                  <c:v>39.83191023323694</c:v>
                </c:pt>
                <c:pt idx="203">
                  <c:v>51.889210003249062</c:v>
                </c:pt>
                <c:pt idx="204">
                  <c:v>52.238315108467241</c:v>
                </c:pt>
                <c:pt idx="205">
                  <c:v>28.087281360713277</c:v>
                </c:pt>
                <c:pt idx="206">
                  <c:v>58.645177103360993</c:v>
                </c:pt>
                <c:pt idx="207">
                  <c:v>56.916322277940417</c:v>
                </c:pt>
                <c:pt idx="208">
                  <c:v>45.569362995648383</c:v>
                </c:pt>
                <c:pt idx="209">
                  <c:v>33.473371020648116</c:v>
                </c:pt>
                <c:pt idx="210">
                  <c:v>51.338860851866869</c:v>
                </c:pt>
                <c:pt idx="211">
                  <c:v>54.700416703600936</c:v>
                </c:pt>
                <c:pt idx="212">
                  <c:v>54.371523475543974</c:v>
                </c:pt>
                <c:pt idx="213">
                  <c:v>54.123782604759064</c:v>
                </c:pt>
                <c:pt idx="214">
                  <c:v>49.725017050469432</c:v>
                </c:pt>
                <c:pt idx="215">
                  <c:v>49.47861232773505</c:v>
                </c:pt>
                <c:pt idx="216">
                  <c:v>47.342363514662281</c:v>
                </c:pt>
                <c:pt idx="217">
                  <c:v>49.592591396083876</c:v>
                </c:pt>
                <c:pt idx="218">
                  <c:v>52.552452600878787</c:v>
                </c:pt>
                <c:pt idx="219">
                  <c:v>52.856710373948857</c:v>
                </c:pt>
                <c:pt idx="220">
                  <c:v>50.514290001968618</c:v>
                </c:pt>
                <c:pt idx="221">
                  <c:v>47.279112501577053</c:v>
                </c:pt>
                <c:pt idx="222">
                  <c:v>45.809216786828642</c:v>
                </c:pt>
                <c:pt idx="223">
                  <c:v>46.994025868673461</c:v>
                </c:pt>
                <c:pt idx="224">
                  <c:v>34.334061772962166</c:v>
                </c:pt>
                <c:pt idx="225">
                  <c:v>33.653797593155453</c:v>
                </c:pt>
                <c:pt idx="226">
                  <c:v>40.691413990924652</c:v>
                </c:pt>
                <c:pt idx="227">
                  <c:v>34.9852222452501</c:v>
                </c:pt>
                <c:pt idx="228">
                  <c:v>29.129245820944572</c:v>
                </c:pt>
                <c:pt idx="229">
                  <c:v>36.261483296845633</c:v>
                </c:pt>
                <c:pt idx="230">
                  <c:v>43.299064020263998</c:v>
                </c:pt>
                <c:pt idx="231">
                  <c:v>48.601289197775543</c:v>
                </c:pt>
                <c:pt idx="232">
                  <c:v>31.20597217783957</c:v>
                </c:pt>
                <c:pt idx="233">
                  <c:v>26.728514767955367</c:v>
                </c:pt>
                <c:pt idx="234">
                  <c:v>48.84045289244429</c:v>
                </c:pt>
                <c:pt idx="235">
                  <c:v>43.509058604201883</c:v>
                </c:pt>
                <c:pt idx="236">
                  <c:v>34.654075199511112</c:v>
                </c:pt>
                <c:pt idx="237">
                  <c:v>43.464852160582815</c:v>
                </c:pt>
                <c:pt idx="238">
                  <c:v>48.153023241773958</c:v>
                </c:pt>
                <c:pt idx="239">
                  <c:v>45.782858428615597</c:v>
                </c:pt>
                <c:pt idx="240">
                  <c:v>32.202703995878274</c:v>
                </c:pt>
                <c:pt idx="241">
                  <c:v>45.623411203283432</c:v>
                </c:pt>
                <c:pt idx="242">
                  <c:v>24.205894785311212</c:v>
                </c:pt>
                <c:pt idx="243">
                  <c:v>39.815328519368784</c:v>
                </c:pt>
                <c:pt idx="244">
                  <c:v>38.962668440364062</c:v>
                </c:pt>
                <c:pt idx="245">
                  <c:v>36.730788036756053</c:v>
                </c:pt>
                <c:pt idx="246">
                  <c:v>43.145591395741434</c:v>
                </c:pt>
                <c:pt idx="247">
                  <c:v>37.607829267312347</c:v>
                </c:pt>
                <c:pt idx="248">
                  <c:v>43.565332628696922</c:v>
                </c:pt>
                <c:pt idx="249">
                  <c:v>35.605920349211274</c:v>
                </c:pt>
                <c:pt idx="250">
                  <c:v>33.42242162516493</c:v>
                </c:pt>
                <c:pt idx="251">
                  <c:v>24.783147317457733</c:v>
                </c:pt>
                <c:pt idx="252">
                  <c:v>43.350391689701915</c:v>
                </c:pt>
                <c:pt idx="253">
                  <c:v>42.065077776293542</c:v>
                </c:pt>
                <c:pt idx="254">
                  <c:v>29.872200530449284</c:v>
                </c:pt>
                <c:pt idx="255">
                  <c:v>14.034123738664876</c:v>
                </c:pt>
                <c:pt idx="256">
                  <c:v>33.407140409918703</c:v>
                </c:pt>
                <c:pt idx="257">
                  <c:v>38.078258088785368</c:v>
                </c:pt>
                <c:pt idx="258">
                  <c:v>32.666667738668266</c:v>
                </c:pt>
                <c:pt idx="259">
                  <c:v>42.678061895290085</c:v>
                </c:pt>
                <c:pt idx="260">
                  <c:v>42.183288770014713</c:v>
                </c:pt>
                <c:pt idx="261">
                  <c:v>40.544191876214398</c:v>
                </c:pt>
                <c:pt idx="262">
                  <c:v>42.244004093832508</c:v>
                </c:pt>
                <c:pt idx="263">
                  <c:v>40.840391666621322</c:v>
                </c:pt>
                <c:pt idx="264">
                  <c:v>39.041286780892747</c:v>
                </c:pt>
                <c:pt idx="265">
                  <c:v>24.505035345112201</c:v>
                </c:pt>
                <c:pt idx="266">
                  <c:v>15.949272995903819</c:v>
                </c:pt>
                <c:pt idx="267">
                  <c:v>32.545914488591016</c:v>
                </c:pt>
                <c:pt idx="268">
                  <c:v>28.95772638695578</c:v>
                </c:pt>
                <c:pt idx="269">
                  <c:v>17.374028853812121</c:v>
                </c:pt>
                <c:pt idx="270">
                  <c:v>19.608790565473541</c:v>
                </c:pt>
                <c:pt idx="271">
                  <c:v>23.125353528729296</c:v>
                </c:pt>
                <c:pt idx="272">
                  <c:v>26.447329518668869</c:v>
                </c:pt>
                <c:pt idx="273">
                  <c:v>33.228595106852232</c:v>
                </c:pt>
                <c:pt idx="274">
                  <c:v>35.007392948080287</c:v>
                </c:pt>
                <c:pt idx="275">
                  <c:v>34.350326359345686</c:v>
                </c:pt>
                <c:pt idx="276">
                  <c:v>35.444777904920926</c:v>
                </c:pt>
                <c:pt idx="277">
                  <c:v>36.481269229233135</c:v>
                </c:pt>
                <c:pt idx="278">
                  <c:v>11.428165378132494</c:v>
                </c:pt>
                <c:pt idx="279">
                  <c:v>25.470529573597123</c:v>
                </c:pt>
                <c:pt idx="280">
                  <c:v>16.864562943718973</c:v>
                </c:pt>
                <c:pt idx="281">
                  <c:v>33.0560884516089</c:v>
                </c:pt>
                <c:pt idx="282">
                  <c:v>26.535824607811648</c:v>
                </c:pt>
                <c:pt idx="283">
                  <c:v>20.623629525270871</c:v>
                </c:pt>
                <c:pt idx="284">
                  <c:v>24.87133803022892</c:v>
                </c:pt>
                <c:pt idx="285">
                  <c:v>21.390543893130957</c:v>
                </c:pt>
                <c:pt idx="286">
                  <c:v>17.903095834874442</c:v>
                </c:pt>
                <c:pt idx="287">
                  <c:v>31.514855701258917</c:v>
                </c:pt>
                <c:pt idx="288">
                  <c:v>28.796814980901029</c:v>
                </c:pt>
                <c:pt idx="289">
                  <c:v>18.608986590575945</c:v>
                </c:pt>
                <c:pt idx="290">
                  <c:v>29.370111998925459</c:v>
                </c:pt>
                <c:pt idx="291">
                  <c:v>14.759240648820628</c:v>
                </c:pt>
                <c:pt idx="292">
                  <c:v>6.5044472685657615</c:v>
                </c:pt>
                <c:pt idx="293">
                  <c:v>14.931698447582612</c:v>
                </c:pt>
                <c:pt idx="294">
                  <c:v>28.285549168093297</c:v>
                </c:pt>
                <c:pt idx="295">
                  <c:v>16.237799356915495</c:v>
                </c:pt>
                <c:pt idx="296">
                  <c:v>20.134712011575008</c:v>
                </c:pt>
                <c:pt idx="297">
                  <c:v>19.983031351686495</c:v>
                </c:pt>
                <c:pt idx="298">
                  <c:v>11.874610982276613</c:v>
                </c:pt>
                <c:pt idx="299">
                  <c:v>12.060822775490932</c:v>
                </c:pt>
                <c:pt idx="300">
                  <c:v>16.323143154965155</c:v>
                </c:pt>
                <c:pt idx="301">
                  <c:v>22.978409433936143</c:v>
                </c:pt>
                <c:pt idx="302">
                  <c:v>18.990165631157211</c:v>
                </c:pt>
                <c:pt idx="303">
                  <c:v>17.949124276650167</c:v>
                </c:pt>
                <c:pt idx="304">
                  <c:v>18.032607291636907</c:v>
                </c:pt>
                <c:pt idx="305">
                  <c:v>24.434043810444695</c:v>
                </c:pt>
                <c:pt idx="306">
                  <c:v>9.9484522215976128</c:v>
                </c:pt>
                <c:pt idx="307">
                  <c:v>16.476157499318077</c:v>
                </c:pt>
                <c:pt idx="308">
                  <c:v>24.943766056587183</c:v>
                </c:pt>
                <c:pt idx="309">
                  <c:v>24.316954222305178</c:v>
                </c:pt>
                <c:pt idx="310">
                  <c:v>22.279788631900459</c:v>
                </c:pt>
                <c:pt idx="311">
                  <c:v>16.46358512229596</c:v>
                </c:pt>
                <c:pt idx="312">
                  <c:v>8.8114162058881416</c:v>
                </c:pt>
                <c:pt idx="313">
                  <c:v>18.671089853885146</c:v>
                </c:pt>
                <c:pt idx="314">
                  <c:v>21.99775410058534</c:v>
                </c:pt>
                <c:pt idx="315">
                  <c:v>21.793398434173994</c:v>
                </c:pt>
                <c:pt idx="316">
                  <c:v>20.809413495328901</c:v>
                </c:pt>
                <c:pt idx="317">
                  <c:v>8.3588690134490964</c:v>
                </c:pt>
                <c:pt idx="318">
                  <c:v>11.26620981662831</c:v>
                </c:pt>
                <c:pt idx="319">
                  <c:v>21.375102025591186</c:v>
                </c:pt>
                <c:pt idx="320">
                  <c:v>12.476375676890227</c:v>
                </c:pt>
                <c:pt idx="321">
                  <c:v>13.187867200562094</c:v>
                </c:pt>
                <c:pt idx="322">
                  <c:v>7.3162708527274445</c:v>
                </c:pt>
                <c:pt idx="323">
                  <c:v>13.538842433328986</c:v>
                </c:pt>
                <c:pt idx="324">
                  <c:v>3.1698190820562231</c:v>
                </c:pt>
                <c:pt idx="325">
                  <c:v>7.5088137410768949</c:v>
                </c:pt>
                <c:pt idx="326">
                  <c:v>12.006925560348794</c:v>
                </c:pt>
                <c:pt idx="327">
                  <c:v>12.089561653195753</c:v>
                </c:pt>
                <c:pt idx="328">
                  <c:v>4.9187872690112098</c:v>
                </c:pt>
                <c:pt idx="329">
                  <c:v>11.040625482962657</c:v>
                </c:pt>
                <c:pt idx="330">
                  <c:v>12.441864553481009</c:v>
                </c:pt>
                <c:pt idx="331">
                  <c:v>10.563038086668058</c:v>
                </c:pt>
                <c:pt idx="332">
                  <c:v>14.194753073448274</c:v>
                </c:pt>
                <c:pt idx="333">
                  <c:v>4.0027301597971938</c:v>
                </c:pt>
                <c:pt idx="334">
                  <c:v>3.7926817673965711</c:v>
                </c:pt>
                <c:pt idx="335">
                  <c:v>5.7293429430654053</c:v>
                </c:pt>
                <c:pt idx="336">
                  <c:v>7.7847155923178235</c:v>
                </c:pt>
                <c:pt idx="337">
                  <c:v>14.484263818503759</c:v>
                </c:pt>
                <c:pt idx="338">
                  <c:v>18.079907230086523</c:v>
                </c:pt>
                <c:pt idx="339">
                  <c:v>9.7749245481205964</c:v>
                </c:pt>
                <c:pt idx="340">
                  <c:v>16.132985927222212</c:v>
                </c:pt>
                <c:pt idx="341">
                  <c:v>4.0861992441679096</c:v>
                </c:pt>
                <c:pt idx="342">
                  <c:v>4.9642658577627028</c:v>
                </c:pt>
                <c:pt idx="343">
                  <c:v>11.265143762868767</c:v>
                </c:pt>
                <c:pt idx="344">
                  <c:v>13.762468190257241</c:v>
                </c:pt>
                <c:pt idx="345">
                  <c:v>4.3230046456004514</c:v>
                </c:pt>
                <c:pt idx="346">
                  <c:v>5.336433842954837</c:v>
                </c:pt>
                <c:pt idx="347">
                  <c:v>15.449420764678004</c:v>
                </c:pt>
                <c:pt idx="348">
                  <c:v>5.8373876539509242</c:v>
                </c:pt>
                <c:pt idx="349">
                  <c:v>5.2218608563349616</c:v>
                </c:pt>
                <c:pt idx="350">
                  <c:v>3.4803494755258582</c:v>
                </c:pt>
                <c:pt idx="351">
                  <c:v>15.985985877153103</c:v>
                </c:pt>
                <c:pt idx="352">
                  <c:v>13.243253792935596</c:v>
                </c:pt>
                <c:pt idx="353">
                  <c:v>4.651514807711683</c:v>
                </c:pt>
                <c:pt idx="354">
                  <c:v>16.581730792186782</c:v>
                </c:pt>
                <c:pt idx="355">
                  <c:v>12.719944083053035</c:v>
                </c:pt>
                <c:pt idx="356">
                  <c:v>13.38114341735646</c:v>
                </c:pt>
                <c:pt idx="357">
                  <c:v>17.193013096145211</c:v>
                </c:pt>
                <c:pt idx="358">
                  <c:v>9.8456631071782272</c:v>
                </c:pt>
                <c:pt idx="359">
                  <c:v>16.746260140402075</c:v>
                </c:pt>
                <c:pt idx="360">
                  <c:v>6.8048749733887135</c:v>
                </c:pt>
                <c:pt idx="361">
                  <c:v>16.193323693265576</c:v>
                </c:pt>
                <c:pt idx="362">
                  <c:v>9.1642908454309406</c:v>
                </c:pt>
                <c:pt idx="363">
                  <c:v>12.147932782330392</c:v>
                </c:pt>
                <c:pt idx="364">
                  <c:v>9.041464878249176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7504"/>
        <c:axId val="611447896"/>
      </c:lineChart>
      <c:dateAx>
        <c:axId val="611447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7896"/>
        <c:crosses val="autoZero"/>
        <c:auto val="1"/>
        <c:lblOffset val="100"/>
        <c:baseTimeUnit val="days"/>
        <c:majorUnit val="1"/>
        <c:majorTimeUnit val="months"/>
      </c:dateAx>
      <c:valAx>
        <c:axId val="6114478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75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3.6863925964485622E-2</c:v>
                </c:pt>
                <c:pt idx="1">
                  <c:v>3.6886339547979707E-2</c:v>
                </c:pt>
                <c:pt idx="2">
                  <c:v>3.6908752609876916E-2</c:v>
                </c:pt>
                <c:pt idx="3">
                  <c:v>3.693116515018946E-2</c:v>
                </c:pt>
                <c:pt idx="4">
                  <c:v>3.6953577168929441E-2</c:v>
                </c:pt>
                <c:pt idx="5">
                  <c:v>3.6975988666108961E-2</c:v>
                </c:pt>
                <c:pt idx="6">
                  <c:v>3.6998399641740232E-2</c:v>
                </c:pt>
                <c:pt idx="7">
                  <c:v>3.7020810095835355E-2</c:v>
                </c:pt>
                <c:pt idx="8">
                  <c:v>3.7043220028406543E-2</c:v>
                </c:pt>
                <c:pt idx="9">
                  <c:v>3.7065629439465786E-2</c:v>
                </c:pt>
                <c:pt idx="10">
                  <c:v>3.7088038329025297E-2</c:v>
                </c:pt>
                <c:pt idx="11">
                  <c:v>3.7110446697097177E-2</c:v>
                </c:pt>
                <c:pt idx="12">
                  <c:v>3.7132854543693639E-2</c:v>
                </c:pt>
                <c:pt idx="13">
                  <c:v>3.7155261868826783E-2</c:v>
                </c:pt>
                <c:pt idx="14">
                  <c:v>3.7177668672508712E-2</c:v>
                </c:pt>
                <c:pt idx="15">
                  <c:v>3.7200074954751639E-2</c:v>
                </c:pt>
                <c:pt idx="16">
                  <c:v>3.7222480715567552E-2</c:v>
                </c:pt>
                <c:pt idx="17">
                  <c:v>3.7244885954968776E-2</c:v>
                </c:pt>
                <c:pt idx="18">
                  <c:v>3.7267290672967301E-2</c:v>
                </c:pt>
                <c:pt idx="19">
                  <c:v>3.7289694869575341E-2</c:v>
                </c:pt>
                <c:pt idx="20">
                  <c:v>3.7312098544804884E-2</c:v>
                </c:pt>
                <c:pt idx="21">
                  <c:v>3.7334501698668254E-2</c:v>
                </c:pt>
                <c:pt idx="22">
                  <c:v>3.7356904331177554E-2</c:v>
                </c:pt>
                <c:pt idx="23">
                  <c:v>3.7379306442344773E-2</c:v>
                </c:pt>
                <c:pt idx="24">
                  <c:v>3.7401708032182235E-2</c:v>
                </c:pt>
                <c:pt idx="25">
                  <c:v>3.742410910070193E-2</c:v>
                </c:pt>
                <c:pt idx="26">
                  <c:v>3.7446509647916071E-2</c:v>
                </c:pt>
                <c:pt idx="27">
                  <c:v>3.7468909673836648E-2</c:v>
                </c:pt>
                <c:pt idx="28">
                  <c:v>3.7491309178475984E-2</c:v>
                </c:pt>
                <c:pt idx="29">
                  <c:v>3.7513708161846071E-2</c:v>
                </c:pt>
                <c:pt idx="30">
                  <c:v>3.753610662395912E-2</c:v>
                </c:pt>
                <c:pt idx="31">
                  <c:v>3.7558504564827233E-2</c:v>
                </c:pt>
                <c:pt idx="32">
                  <c:v>3.7580901984462511E-2</c:v>
                </c:pt>
                <c:pt idx="33">
                  <c:v>3.7603298882877167E-2</c:v>
                </c:pt>
                <c:pt idx="34">
                  <c:v>3.7625695260083303E-2</c:v>
                </c:pt>
                <c:pt idx="35">
                  <c:v>3.7648091116092908E-2</c:v>
                </c:pt>
                <c:pt idx="36">
                  <c:v>3.7670486450918306E-2</c:v>
                </c:pt>
                <c:pt idx="37">
                  <c:v>3.7692881264571598E-2</c:v>
                </c:pt>
                <c:pt idx="38">
                  <c:v>3.7715275557064776E-2</c:v>
                </c:pt>
                <c:pt idx="39">
                  <c:v>3.7737669328410051E-2</c:v>
                </c:pt>
                <c:pt idx="40">
                  <c:v>3.7760062578619524E-2</c:v>
                </c:pt>
                <c:pt idx="41">
                  <c:v>3.7782455307705409E-2</c:v>
                </c:pt>
                <c:pt idx="42">
                  <c:v>3.7804847515679807E-2</c:v>
                </c:pt>
                <c:pt idx="43">
                  <c:v>3.7827239202554708E-2</c:v>
                </c:pt>
                <c:pt idx="44">
                  <c:v>3.7849630368342435E-2</c:v>
                </c:pt>
                <c:pt idx="45">
                  <c:v>3.7872021013054979E-2</c:v>
                </c:pt>
                <c:pt idx="46">
                  <c:v>3.7894411136704553E-2</c:v>
                </c:pt>
                <c:pt idx="47">
                  <c:v>3.7916800739303147E-2</c:v>
                </c:pt>
                <c:pt idx="48">
                  <c:v>3.7939189820863084E-2</c:v>
                </c:pt>
                <c:pt idx="49">
                  <c:v>3.7961578381396355E-2</c:v>
                </c:pt>
                <c:pt idx="50">
                  <c:v>3.7983966420915061E-2</c:v>
                </c:pt>
                <c:pt idx="51">
                  <c:v>3.8006353939431414E-2</c:v>
                </c:pt>
                <c:pt idx="52">
                  <c:v>3.8028740936957517E-2</c:v>
                </c:pt>
                <c:pt idx="53">
                  <c:v>3.805112741350547E-2</c:v>
                </c:pt>
                <c:pt idx="54">
                  <c:v>3.8073513369087375E-2</c:v>
                </c:pt>
                <c:pt idx="55">
                  <c:v>3.8095898803715444E-2</c:v>
                </c:pt>
                <c:pt idx="56">
                  <c:v>3.811828371740178E-2</c:v>
                </c:pt>
                <c:pt idx="57">
                  <c:v>3.8140668110158371E-2</c:v>
                </c:pt>
                <c:pt idx="58">
                  <c:v>3.8163051981997542E-2</c:v>
                </c:pt>
                <c:pt idx="59">
                  <c:v>3.8185435332931283E-2</c:v>
                </c:pt>
                <c:pt idx="60">
                  <c:v>3.8207818162971696E-2</c:v>
                </c:pt>
                <c:pt idx="61">
                  <c:v>3.8230200472130993E-2</c:v>
                </c:pt>
                <c:pt idx="62">
                  <c:v>3.8252582260421275E-2</c:v>
                </c:pt>
                <c:pt idx="63">
                  <c:v>3.8274963527854533E-2</c:v>
                </c:pt>
                <c:pt idx="64">
                  <c:v>3.8297344274443201E-2</c:v>
                </c:pt>
                <c:pt idx="65">
                  <c:v>3.8319724500199048E-2</c:v>
                </c:pt>
                <c:pt idx="66">
                  <c:v>3.8342104205134397E-2</c:v>
                </c:pt>
                <c:pt idx="67">
                  <c:v>3.8364483389261239E-2</c:v>
                </c:pt>
                <c:pt idx="68">
                  <c:v>3.8386862052591897E-2</c:v>
                </c:pt>
                <c:pt idx="69">
                  <c:v>3.8409240195138361E-2</c:v>
                </c:pt>
                <c:pt idx="70">
                  <c:v>3.8431617816912622E-2</c:v>
                </c:pt>
                <c:pt idx="71">
                  <c:v>3.8453994917927004E-2</c:v>
                </c:pt>
                <c:pt idx="72">
                  <c:v>3.8476371498193607E-2</c:v>
                </c:pt>
                <c:pt idx="73">
                  <c:v>3.8498747557724422E-2</c:v>
                </c:pt>
                <c:pt idx="74">
                  <c:v>3.8521123096531773E-2</c:v>
                </c:pt>
                <c:pt idx="75">
                  <c:v>3.8543498114627539E-2</c:v>
                </c:pt>
                <c:pt idx="76">
                  <c:v>3.8565872612023933E-2</c:v>
                </c:pt>
                <c:pt idx="77">
                  <c:v>3.8588246588733055E-2</c:v>
                </c:pt>
                <c:pt idx="78">
                  <c:v>3.8610620044767119E-2</c:v>
                </c:pt>
                <c:pt idx="79">
                  <c:v>3.8632992980138225E-2</c:v>
                </c:pt>
                <c:pt idx="80">
                  <c:v>3.8655365394858365E-2</c:v>
                </c:pt>
                <c:pt idx="81">
                  <c:v>3.8677737288939751E-2</c:v>
                </c:pt>
                <c:pt idx="82">
                  <c:v>3.8700108662394483E-2</c:v>
                </c:pt>
                <c:pt idx="83">
                  <c:v>3.8722479515234665E-2</c:v>
                </c:pt>
                <c:pt idx="84">
                  <c:v>3.8744849847472396E-2</c:v>
                </c:pt>
                <c:pt idx="85">
                  <c:v>3.8767219659119889E-2</c:v>
                </c:pt>
                <c:pt idx="86">
                  <c:v>3.8789588950189136E-2</c:v>
                </c:pt>
                <c:pt idx="87">
                  <c:v>3.8811957720692236E-2</c:v>
                </c:pt>
                <c:pt idx="88">
                  <c:v>3.8834325970641514E-2</c:v>
                </c:pt>
                <c:pt idx="89">
                  <c:v>3.885669370004885E-2</c:v>
                </c:pt>
                <c:pt idx="90">
                  <c:v>3.8879060908926344E-2</c:v>
                </c:pt>
                <c:pt idx="91">
                  <c:v>3.890142759728632E-2</c:v>
                </c:pt>
                <c:pt idx="92">
                  <c:v>3.8923793765140879E-2</c:v>
                </c:pt>
                <c:pt idx="93">
                  <c:v>3.8946159412501902E-2</c:v>
                </c:pt>
                <c:pt idx="94">
                  <c:v>3.8968524539381599E-2</c:v>
                </c:pt>
                <c:pt idx="95">
                  <c:v>3.8990889145792296E-2</c:v>
                </c:pt>
                <c:pt idx="96">
                  <c:v>3.9013253231745759E-2</c:v>
                </c:pt>
                <c:pt idx="97">
                  <c:v>3.9035616797254313E-2</c:v>
                </c:pt>
                <c:pt idx="98">
                  <c:v>3.9057979842330059E-2</c:v>
                </c:pt>
                <c:pt idx="99">
                  <c:v>3.9080342366985099E-2</c:v>
                </c:pt>
                <c:pt idx="100">
                  <c:v>3.9102704371231534E-2</c:v>
                </c:pt>
                <c:pt idx="101">
                  <c:v>3.9125065855081353E-2</c:v>
                </c:pt>
                <c:pt idx="102">
                  <c:v>3.9147426818546882E-2</c:v>
                </c:pt>
                <c:pt idx="103">
                  <c:v>3.916978726164011E-2</c:v>
                </c:pt>
                <c:pt idx="104">
                  <c:v>3.9192147184373027E-2</c:v>
                </c:pt>
                <c:pt idx="105">
                  <c:v>3.9214506586758069E-2</c:v>
                </c:pt>
                <c:pt idx="106">
                  <c:v>3.9236865468807003E-2</c:v>
                </c:pt>
                <c:pt idx="107">
                  <c:v>3.9259223830532153E-2</c:v>
                </c:pt>
                <c:pt idx="108">
                  <c:v>3.928158167194562E-2</c:v>
                </c:pt>
                <c:pt idx="109">
                  <c:v>3.9303938993059395E-2</c:v>
                </c:pt>
                <c:pt idx="110">
                  <c:v>3.9326295793885579E-2</c:v>
                </c:pt>
                <c:pt idx="111">
                  <c:v>3.9348652074436385E-2</c:v>
                </c:pt>
                <c:pt idx="112">
                  <c:v>3.9371007834723915E-2</c:v>
                </c:pt>
                <c:pt idx="113">
                  <c:v>3.9393363074760268E-2</c:v>
                </c:pt>
                <c:pt idx="114">
                  <c:v>3.9415717794557548E-2</c:v>
                </c:pt>
                <c:pt idx="115">
                  <c:v>3.9438071994127744E-2</c:v>
                </c:pt>
                <c:pt idx="116">
                  <c:v>3.9460425673483068E-2</c:v>
                </c:pt>
                <c:pt idx="117">
                  <c:v>3.9482778832635623E-2</c:v>
                </c:pt>
                <c:pt idx="118">
                  <c:v>3.9505131471597621E-2</c:v>
                </c:pt>
                <c:pt idx="119">
                  <c:v>3.9527483590380941E-2</c:v>
                </c:pt>
                <c:pt idx="120">
                  <c:v>3.9549835188997795E-2</c:v>
                </c:pt>
                <c:pt idx="121">
                  <c:v>3.9572186267460396E-2</c:v>
                </c:pt>
                <c:pt idx="122">
                  <c:v>3.9594536825780624E-2</c:v>
                </c:pt>
                <c:pt idx="123">
                  <c:v>3.9616886863970802E-2</c:v>
                </c:pt>
                <c:pt idx="124">
                  <c:v>3.9639236382042919E-2</c:v>
                </c:pt>
                <c:pt idx="125">
                  <c:v>3.9661585380009079E-2</c:v>
                </c:pt>
                <c:pt idx="126">
                  <c:v>3.9683933857881382E-2</c:v>
                </c:pt>
                <c:pt idx="127">
                  <c:v>3.970628181567204E-2</c:v>
                </c:pt>
                <c:pt idx="128">
                  <c:v>3.9728629253392933E-2</c:v>
                </c:pt>
                <c:pt idx="129">
                  <c:v>3.9750976171056496E-2</c:v>
                </c:pt>
                <c:pt idx="130">
                  <c:v>3.9773322568674496E-2</c:v>
                </c:pt>
                <c:pt idx="131">
                  <c:v>3.9795668446259147E-2</c:v>
                </c:pt>
                <c:pt idx="132">
                  <c:v>3.9818013803822661E-2</c:v>
                </c:pt>
                <c:pt idx="133">
                  <c:v>3.9840358641377138E-2</c:v>
                </c:pt>
                <c:pt idx="134">
                  <c:v>3.9862702958934459E-2</c:v>
                </c:pt>
                <c:pt idx="135">
                  <c:v>3.9885046756506948E-2</c:v>
                </c:pt>
                <c:pt idx="136">
                  <c:v>3.9907390034106593E-2</c:v>
                </c:pt>
                <c:pt idx="137">
                  <c:v>3.9929732791745498E-2</c:v>
                </c:pt>
                <c:pt idx="138">
                  <c:v>3.9952075029435874E-2</c:v>
                </c:pt>
                <c:pt idx="139">
                  <c:v>3.9974416747189601E-2</c:v>
                </c:pt>
                <c:pt idx="140">
                  <c:v>3.9996757945019001E-2</c:v>
                </c:pt>
                <c:pt idx="141">
                  <c:v>4.0019098622936178E-2</c:v>
                </c:pt>
                <c:pt idx="142">
                  <c:v>4.0041438780953009E-2</c:v>
                </c:pt>
                <c:pt idx="143">
                  <c:v>4.0063778419081819E-2</c:v>
                </c:pt>
                <c:pt idx="144">
                  <c:v>4.0086117537334487E-2</c:v>
                </c:pt>
                <c:pt idx="145">
                  <c:v>4.0108456135723336E-2</c:v>
                </c:pt>
                <c:pt idx="146">
                  <c:v>4.0130794214260357E-2</c:v>
                </c:pt>
                <c:pt idx="147">
                  <c:v>4.0153131772957651E-2</c:v>
                </c:pt>
                <c:pt idx="148">
                  <c:v>4.017546881182732E-2</c:v>
                </c:pt>
                <c:pt idx="149">
                  <c:v>4.0197805330881464E-2</c:v>
                </c:pt>
                <c:pt idx="150">
                  <c:v>4.0220141330132186E-2</c:v>
                </c:pt>
                <c:pt idx="151">
                  <c:v>4.0242476809591587E-2</c:v>
                </c:pt>
                <c:pt idx="152">
                  <c:v>4.0264811769271769E-2</c:v>
                </c:pt>
                <c:pt idx="153">
                  <c:v>4.0287146209184721E-2</c:v>
                </c:pt>
                <c:pt idx="154">
                  <c:v>4.0309480129342656E-2</c:v>
                </c:pt>
                <c:pt idx="155">
                  <c:v>4.0331813529757676E-2</c:v>
                </c:pt>
                <c:pt idx="156">
                  <c:v>4.0354146410441882E-2</c:v>
                </c:pt>
                <c:pt idx="157">
                  <c:v>4.0376478771407265E-2</c:v>
                </c:pt>
                <c:pt idx="158">
                  <c:v>4.0398810612665925E-2</c:v>
                </c:pt>
                <c:pt idx="159">
                  <c:v>4.0421141934230076E-2</c:v>
                </c:pt>
                <c:pt idx="160">
                  <c:v>4.0443472736111818E-2</c:v>
                </c:pt>
                <c:pt idx="161">
                  <c:v>4.0465803018323032E-2</c:v>
                </c:pt>
                <c:pt idx="162">
                  <c:v>4.0488132780876041E-2</c:v>
                </c:pt>
                <c:pt idx="163">
                  <c:v>4.0510462023782945E-2</c:v>
                </c:pt>
                <c:pt idx="164">
                  <c:v>4.0532790747055625E-2</c:v>
                </c:pt>
                <c:pt idx="165">
                  <c:v>4.0555118950706293E-2</c:v>
                </c:pt>
                <c:pt idx="166">
                  <c:v>4.057744663474705E-2</c:v>
                </c:pt>
                <c:pt idx="167">
                  <c:v>4.0599773799189998E-2</c:v>
                </c:pt>
                <c:pt idx="168">
                  <c:v>4.0622100444047238E-2</c:v>
                </c:pt>
                <c:pt idx="169">
                  <c:v>4.064442656933076E-2</c:v>
                </c:pt>
                <c:pt idx="170">
                  <c:v>4.0666752175052778E-2</c:v>
                </c:pt>
                <c:pt idx="171">
                  <c:v>4.0689077261225393E-2</c:v>
                </c:pt>
                <c:pt idx="172">
                  <c:v>4.0711401827860594E-2</c:v>
                </c:pt>
                <c:pt idx="173">
                  <c:v>4.0733725874970483E-2</c:v>
                </c:pt>
                <c:pt idx="174">
                  <c:v>4.0756049402567163E-2</c:v>
                </c:pt>
                <c:pt idx="175">
                  <c:v>4.0778372410662844E-2</c:v>
                </c:pt>
                <c:pt idx="176">
                  <c:v>4.0800694899269407E-2</c:v>
                </c:pt>
                <c:pt idx="177">
                  <c:v>4.0823016868399176E-2</c:v>
                </c:pt>
                <c:pt idx="178">
                  <c:v>4.0845338318064028E-2</c:v>
                </c:pt>
                <c:pt idx="179">
                  <c:v>4.0867659248276067E-2</c:v>
                </c:pt>
                <c:pt idx="180">
                  <c:v>4.0889979659047615E-2</c:v>
                </c:pt>
                <c:pt idx="181">
                  <c:v>4.0912299550390441E-2</c:v>
                </c:pt>
                <c:pt idx="182">
                  <c:v>4.0934618922316868E-2</c:v>
                </c:pt>
                <c:pt idx="183">
                  <c:v>4.0956937774838886E-2</c:v>
                </c:pt>
                <c:pt idx="184">
                  <c:v>4.0979256107968598E-2</c:v>
                </c:pt>
                <c:pt idx="185">
                  <c:v>4.1001573921718104E-2</c:v>
                </c:pt>
                <c:pt idx="186">
                  <c:v>4.1023891216099506E-2</c:v>
                </c:pt>
                <c:pt idx="187">
                  <c:v>4.1046207991124795E-2</c:v>
                </c:pt>
                <c:pt idx="188">
                  <c:v>4.1068524246806182E-2</c:v>
                </c:pt>
                <c:pt idx="189">
                  <c:v>4.1090839983155658E-2</c:v>
                </c:pt>
                <c:pt idx="190">
                  <c:v>4.1113155200185436E-2</c:v>
                </c:pt>
                <c:pt idx="191">
                  <c:v>4.1135469897907395E-2</c:v>
                </c:pt>
                <c:pt idx="192">
                  <c:v>4.1157784076333859E-2</c:v>
                </c:pt>
                <c:pt idx="193">
                  <c:v>4.1180097735476706E-2</c:v>
                </c:pt>
                <c:pt idx="194">
                  <c:v>4.120241087534815E-2</c:v>
                </c:pt>
                <c:pt idx="195">
                  <c:v>4.122472349596018E-2</c:v>
                </c:pt>
                <c:pt idx="196">
                  <c:v>4.1247035597324899E-2</c:v>
                </c:pt>
                <c:pt idx="197">
                  <c:v>4.1269347179454519E-2</c:v>
                </c:pt>
                <c:pt idx="198">
                  <c:v>4.1291658242361029E-2</c:v>
                </c:pt>
                <c:pt idx="199">
                  <c:v>4.1313968786056421E-2</c:v>
                </c:pt>
                <c:pt idx="200">
                  <c:v>4.1336278810552907E-2</c:v>
                </c:pt>
                <c:pt idx="201">
                  <c:v>4.1358588315862588E-2</c:v>
                </c:pt>
                <c:pt idx="202">
                  <c:v>4.1380897301997455E-2</c:v>
                </c:pt>
                <c:pt idx="203">
                  <c:v>4.1403205768969609E-2</c:v>
                </c:pt>
                <c:pt idx="204">
                  <c:v>4.1425513716791151E-2</c:v>
                </c:pt>
                <c:pt idx="205">
                  <c:v>4.1447821145474184E-2</c:v>
                </c:pt>
                <c:pt idx="206">
                  <c:v>4.1470128055030697E-2</c:v>
                </c:pt>
                <c:pt idx="207">
                  <c:v>4.1492434445472903E-2</c:v>
                </c:pt>
                <c:pt idx="208">
                  <c:v>4.1514740316812793E-2</c:v>
                </c:pt>
                <c:pt idx="209">
                  <c:v>4.1537045669062467E-2</c:v>
                </c:pt>
                <c:pt idx="210">
                  <c:v>4.1559350502234027E-2</c:v>
                </c:pt>
                <c:pt idx="211">
                  <c:v>4.1581654816339464E-2</c:v>
                </c:pt>
                <c:pt idx="212">
                  <c:v>4.160395861139099E-2</c:v>
                </c:pt>
                <c:pt idx="213">
                  <c:v>4.1626261887400595E-2</c:v>
                </c:pt>
                <c:pt idx="214">
                  <c:v>4.1648564644380381E-2</c:v>
                </c:pt>
                <c:pt idx="215">
                  <c:v>4.167086688234245E-2</c:v>
                </c:pt>
                <c:pt idx="216">
                  <c:v>4.1693168601298902E-2</c:v>
                </c:pt>
                <c:pt idx="217">
                  <c:v>4.1715469801261729E-2</c:v>
                </c:pt>
                <c:pt idx="218">
                  <c:v>4.1737770482243031E-2</c:v>
                </c:pt>
                <c:pt idx="219">
                  <c:v>4.176007064425491E-2</c:v>
                </c:pt>
                <c:pt idx="220">
                  <c:v>4.1782370287309467E-2</c:v>
                </c:pt>
                <c:pt idx="221">
                  <c:v>4.1804669411418693E-2</c:v>
                </c:pt>
                <c:pt idx="222">
                  <c:v>4.1826968016594801E-2</c:v>
                </c:pt>
                <c:pt idx="223">
                  <c:v>4.184926610284978E-2</c:v>
                </c:pt>
                <c:pt idx="224">
                  <c:v>4.1871563670195622E-2</c:v>
                </c:pt>
                <c:pt idx="225">
                  <c:v>4.1893860718644649E-2</c:v>
                </c:pt>
                <c:pt idx="226">
                  <c:v>4.1916157248208741E-2</c:v>
                </c:pt>
                <c:pt idx="227">
                  <c:v>4.1938453258899888E-2</c:v>
                </c:pt>
                <c:pt idx="228">
                  <c:v>4.1960748750730414E-2</c:v>
                </c:pt>
                <c:pt idx="229">
                  <c:v>4.198304372371231E-2</c:v>
                </c:pt>
                <c:pt idx="230">
                  <c:v>4.2005338177857565E-2</c:v>
                </c:pt>
                <c:pt idx="231">
                  <c:v>4.2027632113178282E-2</c:v>
                </c:pt>
                <c:pt idx="232">
                  <c:v>4.204992552968656E-2</c:v>
                </c:pt>
                <c:pt idx="233">
                  <c:v>4.2072218427394392E-2</c:v>
                </c:pt>
                <c:pt idx="234">
                  <c:v>4.20945108063141E-2</c:v>
                </c:pt>
                <c:pt idx="235">
                  <c:v>4.2116802666457454E-2</c:v>
                </c:pt>
                <c:pt idx="236">
                  <c:v>4.2139094007836664E-2</c:v>
                </c:pt>
                <c:pt idx="237">
                  <c:v>4.2161384830463833E-2</c:v>
                </c:pt>
                <c:pt idx="238">
                  <c:v>4.2183675134350951E-2</c:v>
                </c:pt>
                <c:pt idx="239">
                  <c:v>4.220596491951023E-2</c:v>
                </c:pt>
                <c:pt idx="240">
                  <c:v>4.2228254185953551E-2</c:v>
                </c:pt>
                <c:pt idx="241">
                  <c:v>4.2250542933693125E-2</c:v>
                </c:pt>
                <c:pt idx="242">
                  <c:v>4.2272831162740943E-2</c:v>
                </c:pt>
                <c:pt idx="243">
                  <c:v>4.2295118873109105E-2</c:v>
                </c:pt>
                <c:pt idx="244">
                  <c:v>4.2317406064809715E-2</c:v>
                </c:pt>
                <c:pt idx="245">
                  <c:v>4.2339692737854873E-2</c:v>
                </c:pt>
                <c:pt idx="246">
                  <c:v>4.2361978892256458E-2</c:v>
                </c:pt>
                <c:pt idx="247">
                  <c:v>4.2384264528026794E-2</c:v>
                </c:pt>
                <c:pt idx="248">
                  <c:v>4.240654964517776E-2</c:v>
                </c:pt>
                <c:pt idx="249">
                  <c:v>4.2428834243721569E-2</c:v>
                </c:pt>
                <c:pt idx="250">
                  <c:v>4.2451118323670101E-2</c:v>
                </c:pt>
                <c:pt idx="251">
                  <c:v>4.2473401885035567E-2</c:v>
                </c:pt>
                <c:pt idx="252">
                  <c:v>4.2495684927830069E-2</c:v>
                </c:pt>
                <c:pt idx="253">
                  <c:v>4.2517967452065597E-2</c:v>
                </c:pt>
                <c:pt idx="254">
                  <c:v>4.2540249457754142E-2</c:v>
                </c:pt>
                <c:pt idx="255">
                  <c:v>4.2562530944908028E-2</c:v>
                </c:pt>
                <c:pt idx="256">
                  <c:v>4.2584811913539022E-2</c:v>
                </c:pt>
                <c:pt idx="257">
                  <c:v>4.2607092363659338E-2</c:v>
                </c:pt>
                <c:pt idx="258">
                  <c:v>4.2629372295281076E-2</c:v>
                </c:pt>
                <c:pt idx="259">
                  <c:v>4.2651651708416227E-2</c:v>
                </c:pt>
                <c:pt idx="260">
                  <c:v>4.2673930603076893E-2</c:v>
                </c:pt>
                <c:pt idx="261">
                  <c:v>4.2696208979275174E-2</c:v>
                </c:pt>
                <c:pt idx="262">
                  <c:v>4.2718486837023062E-2</c:v>
                </c:pt>
                <c:pt idx="263">
                  <c:v>4.2740764176332546E-2</c:v>
                </c:pt>
                <c:pt idx="264">
                  <c:v>4.2763040997215951E-2</c:v>
                </c:pt>
                <c:pt idx="265">
                  <c:v>4.2785317299685155E-2</c:v>
                </c:pt>
                <c:pt idx="266">
                  <c:v>4.280759308375226E-2</c:v>
                </c:pt>
                <c:pt idx="267">
                  <c:v>4.2829868349429256E-2</c:v>
                </c:pt>
                <c:pt idx="268">
                  <c:v>4.2852143096728357E-2</c:v>
                </c:pt>
                <c:pt idx="269">
                  <c:v>4.2874417325661551E-2</c:v>
                </c:pt>
                <c:pt idx="270">
                  <c:v>4.289669103624083E-2</c:v>
                </c:pt>
                <c:pt idx="271">
                  <c:v>4.2918964228478407E-2</c:v>
                </c:pt>
                <c:pt idx="272">
                  <c:v>4.294123690238616E-2</c:v>
                </c:pt>
                <c:pt idx="273">
                  <c:v>4.2963509057976301E-2</c:v>
                </c:pt>
                <c:pt idx="274">
                  <c:v>4.2985780695260822E-2</c:v>
                </c:pt>
                <c:pt idx="275">
                  <c:v>4.3008051814251824E-2</c:v>
                </c:pt>
                <c:pt idx="276">
                  <c:v>4.3030322414961408E-2</c:v>
                </c:pt>
                <c:pt idx="277">
                  <c:v>4.3052592497401565E-2</c:v>
                </c:pt>
                <c:pt idx="278">
                  <c:v>4.3074862061584285E-2</c:v>
                </c:pt>
                <c:pt idx="279">
                  <c:v>4.309713110752178E-2</c:v>
                </c:pt>
                <c:pt idx="280">
                  <c:v>4.3119399635226041E-2</c:v>
                </c:pt>
                <c:pt idx="281">
                  <c:v>4.3141667644709059E-2</c:v>
                </c:pt>
                <c:pt idx="282">
                  <c:v>4.3163935135983045E-2</c:v>
                </c:pt>
                <c:pt idx="283">
                  <c:v>4.318620210905999E-2</c:v>
                </c:pt>
                <c:pt idx="284">
                  <c:v>4.3208468563951885E-2</c:v>
                </c:pt>
                <c:pt idx="285">
                  <c:v>4.3230734500670942E-2</c:v>
                </c:pt>
                <c:pt idx="286">
                  <c:v>4.325299991922904E-2</c:v>
                </c:pt>
                <c:pt idx="287">
                  <c:v>4.3275264819638282E-2</c:v>
                </c:pt>
                <c:pt idx="288">
                  <c:v>4.3297529201910767E-2</c:v>
                </c:pt>
                <c:pt idx="289">
                  <c:v>4.3319793066058598E-2</c:v>
                </c:pt>
                <c:pt idx="290">
                  <c:v>4.3342056412093766E-2</c:v>
                </c:pt>
                <c:pt idx="291">
                  <c:v>4.3364319240028371E-2</c:v>
                </c:pt>
                <c:pt idx="292">
                  <c:v>4.3386581549874514E-2</c:v>
                </c:pt>
                <c:pt idx="293">
                  <c:v>4.3408843341644077E-2</c:v>
                </c:pt>
                <c:pt idx="294">
                  <c:v>4.343110461534927E-2</c:v>
                </c:pt>
                <c:pt idx="295">
                  <c:v>4.3453365371002084E-2</c:v>
                </c:pt>
                <c:pt idx="296">
                  <c:v>4.3475625608614621E-2</c:v>
                </c:pt>
                <c:pt idx="297">
                  <c:v>4.3497885328198871E-2</c:v>
                </c:pt>
                <c:pt idx="298">
                  <c:v>4.3520144529766935E-2</c:v>
                </c:pt>
                <c:pt idx="299">
                  <c:v>4.3542403213330805E-2</c:v>
                </c:pt>
                <c:pt idx="300">
                  <c:v>4.3564661378902692E-2</c:v>
                </c:pt>
                <c:pt idx="301">
                  <c:v>4.3586919026494475E-2</c:v>
                </c:pt>
                <c:pt idx="302">
                  <c:v>4.3609176156118368E-2</c:v>
                </c:pt>
                <c:pt idx="303">
                  <c:v>4.3631432767786249E-2</c:v>
                </c:pt>
                <c:pt idx="304">
                  <c:v>4.3653688861510331E-2</c:v>
                </c:pt>
                <c:pt idx="305">
                  <c:v>4.3675944437302494E-2</c:v>
                </c:pt>
                <c:pt idx="306">
                  <c:v>4.3698199495175061E-2</c:v>
                </c:pt>
                <c:pt idx="307">
                  <c:v>4.37204540351398E-2</c:v>
                </c:pt>
                <c:pt idx="308">
                  <c:v>4.3742708057208923E-2</c:v>
                </c:pt>
                <c:pt idx="309">
                  <c:v>4.3764961561394422E-2</c:v>
                </c:pt>
                <c:pt idx="310">
                  <c:v>4.3787214547708286E-2</c:v>
                </c:pt>
                <c:pt idx="311">
                  <c:v>4.3809467016162729E-2</c:v>
                </c:pt>
                <c:pt idx="312">
                  <c:v>4.3831718966769739E-2</c:v>
                </c:pt>
                <c:pt idx="313">
                  <c:v>4.385397039954142E-2</c:v>
                </c:pt>
                <c:pt idx="314">
                  <c:v>4.387622131448965E-2</c:v>
                </c:pt>
                <c:pt idx="315">
                  <c:v>4.389847171162653E-2</c:v>
                </c:pt>
                <c:pt idx="316">
                  <c:v>4.3920721590964273E-2</c:v>
                </c:pt>
                <c:pt idx="317">
                  <c:v>4.3942970952514759E-2</c:v>
                </c:pt>
                <c:pt idx="318">
                  <c:v>4.39652197962902E-2</c:v>
                </c:pt>
                <c:pt idx="319">
                  <c:v>4.3987468122302364E-2</c:v>
                </c:pt>
                <c:pt idx="320">
                  <c:v>4.4009715930563575E-2</c:v>
                </c:pt>
                <c:pt idx="321">
                  <c:v>4.4031963221085824E-2</c:v>
                </c:pt>
                <c:pt idx="322">
                  <c:v>4.4054209993881099E-2</c:v>
                </c:pt>
                <c:pt idx="323">
                  <c:v>4.4076456248961504E-2</c:v>
                </c:pt>
                <c:pt idx="324">
                  <c:v>4.4098701986338917E-2</c:v>
                </c:pt>
                <c:pt idx="325">
                  <c:v>4.4120947206025662E-2</c:v>
                </c:pt>
                <c:pt idx="326">
                  <c:v>4.4143191908033619E-2</c:v>
                </c:pt>
                <c:pt idx="327">
                  <c:v>4.4165436092374777E-2</c:v>
                </c:pt>
                <c:pt idx="328">
                  <c:v>4.4187679759061349E-2</c:v>
                </c:pt>
                <c:pt idx="329">
                  <c:v>4.4209922908105326E-2</c:v>
                </c:pt>
                <c:pt idx="330">
                  <c:v>4.4232165539518697E-2</c:v>
                </c:pt>
                <c:pt idx="331">
                  <c:v>4.4254407653313566E-2</c:v>
                </c:pt>
                <c:pt idx="332">
                  <c:v>4.4276649249501809E-2</c:v>
                </c:pt>
                <c:pt idx="333">
                  <c:v>4.4298890328095752E-2</c:v>
                </c:pt>
                <c:pt idx="334">
                  <c:v>4.4321130889107274E-2</c:v>
                </c:pt>
                <c:pt idx="335">
                  <c:v>4.4343370932548476E-2</c:v>
                </c:pt>
                <c:pt idx="336">
                  <c:v>4.4365610458431348E-2</c:v>
                </c:pt>
                <c:pt idx="337">
                  <c:v>4.4387849466767992E-2</c:v>
                </c:pt>
                <c:pt idx="338">
                  <c:v>4.4410087957570399E-2</c:v>
                </c:pt>
                <c:pt idx="339">
                  <c:v>4.4432325930850669E-2</c:v>
                </c:pt>
                <c:pt idx="340">
                  <c:v>4.4454563386620793E-2</c:v>
                </c:pt>
                <c:pt idx="341">
                  <c:v>4.4476800324892762E-2</c:v>
                </c:pt>
                <c:pt idx="342">
                  <c:v>4.4499036745678788E-2</c:v>
                </c:pt>
                <c:pt idx="343">
                  <c:v>4.4521272648990751E-2</c:v>
                </c:pt>
                <c:pt idx="344">
                  <c:v>4.4543508034840862E-2</c:v>
                </c:pt>
                <c:pt idx="345">
                  <c:v>4.456574290324089E-2</c:v>
                </c:pt>
                <c:pt idx="346">
                  <c:v>4.4587977254203159E-2</c:v>
                </c:pt>
                <c:pt idx="347">
                  <c:v>4.461021108773966E-2</c:v>
                </c:pt>
                <c:pt idx="348">
                  <c:v>4.463244440386227E-2</c:v>
                </c:pt>
                <c:pt idx="349">
                  <c:v>4.4654677202583204E-2</c:v>
                </c:pt>
                <c:pt idx="350">
                  <c:v>4.467690948391434E-2</c:v>
                </c:pt>
                <c:pt idx="351">
                  <c:v>4.4699141247867891E-2</c:v>
                </c:pt>
                <c:pt idx="352">
                  <c:v>4.4721372494455736E-2</c:v>
                </c:pt>
                <c:pt idx="353">
                  <c:v>4.4743603223690087E-2</c:v>
                </c:pt>
                <c:pt idx="354">
                  <c:v>4.4765833435582825E-2</c:v>
                </c:pt>
                <c:pt idx="355">
                  <c:v>4.478806313014605E-2</c:v>
                </c:pt>
                <c:pt idx="356">
                  <c:v>4.4810292307391864E-2</c:v>
                </c:pt>
                <c:pt idx="357">
                  <c:v>4.4832520967332257E-2</c:v>
                </c:pt>
                <c:pt idx="358">
                  <c:v>4.4854749109979219E-2</c:v>
                </c:pt>
                <c:pt idx="359">
                  <c:v>4.4876976735344853E-2</c:v>
                </c:pt>
                <c:pt idx="360">
                  <c:v>4.4899203843441149E-2</c:v>
                </c:pt>
                <c:pt idx="361">
                  <c:v>4.4921430434280096E-2</c:v>
                </c:pt>
                <c:pt idx="362">
                  <c:v>4.4943656507873908E-2</c:v>
                </c:pt>
                <c:pt idx="363">
                  <c:v>4.4965882064234464E-2</c:v>
                </c:pt>
                <c:pt idx="364">
                  <c:v>4.4988107103373975E-2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0.10220653750186752</c:v>
                </c:pt>
                <c:pt idx="1">
                  <c:v>0.10228776681044816</c:v>
                </c:pt>
                <c:pt idx="2">
                  <c:v>0.10236912618264156</c:v>
                </c:pt>
                <c:pt idx="3">
                  <c:v>0.10245059233100492</c:v>
                </c:pt>
                <c:pt idx="4">
                  <c:v>0.10253214498242252</c:v>
                </c:pt>
                <c:pt idx="5">
                  <c:v>0.10261376679074526</c:v>
                </c:pt>
                <c:pt idx="6">
                  <c:v>0.10269544322629816</c:v>
                </c:pt>
                <c:pt idx="7">
                  <c:v>0.10277716244409142</c:v>
                </c:pt>
                <c:pt idx="8">
                  <c:v>0.10285891513272953</c:v>
                </c:pt>
                <c:pt idx="9">
                  <c:v>0.10294069434615168</c:v>
                </c:pt>
                <c:pt idx="10">
                  <c:v>0.1030224953204508</c:v>
                </c:pt>
                <c:pt idx="11">
                  <c:v>0.10310431527810984</c:v>
                </c:pt>
                <c:pt idx="12">
                  <c:v>0.10318615322206239</c:v>
                </c:pt>
                <c:pt idx="13">
                  <c:v>0.10326800972202577</c:v>
                </c:pt>
                <c:pt idx="14">
                  <c:v>0.10334988669557546</c:v>
                </c:pt>
                <c:pt idx="15">
                  <c:v>0.10343178718642194</c:v>
                </c:pt>
                <c:pt idx="16">
                  <c:v>0.10351371514232284</c:v>
                </c:pt>
                <c:pt idx="17">
                  <c:v>0.10359567519500935</c:v>
                </c:pt>
                <c:pt idx="18">
                  <c:v>0.10367767244443164</c:v>
                </c:pt>
                <c:pt idx="19">
                  <c:v>0.10375971224953033</c:v>
                </c:pt>
                <c:pt idx="20">
                  <c:v>0.10384180002762576</c:v>
                </c:pt>
                <c:pt idx="21">
                  <c:v>0.10392394106438115</c:v>
                </c:pt>
                <c:pt idx="22">
                  <c:v>0.1040061403361434</c:v>
                </c:pt>
                <c:pt idx="23">
                  <c:v>0.10408840234630032</c:v>
                </c:pt>
                <c:pt idx="24">
                  <c:v>0.10417073097710954</c:v>
                </c:pt>
                <c:pt idx="25">
                  <c:v>0.10425312935826703</c:v>
                </c:pt>
                <c:pt idx="26">
                  <c:v>0.10433559975327954</c:v>
                </c:pt>
                <c:pt idx="27">
                  <c:v>0.10441814346449989</c:v>
                </c:pt>
                <c:pt idx="28">
                  <c:v>0.10450076075747189</c:v>
                </c:pt>
                <c:pt idx="29">
                  <c:v>0.10458345080501689</c:v>
                </c:pt>
                <c:pt idx="30">
                  <c:v>0.10466621165128034</c:v>
                </c:pt>
                <c:pt idx="31">
                  <c:v>0.10474904019574365</c:v>
                </c:pt>
                <c:pt idx="32">
                  <c:v>0.10483193219699843</c:v>
                </c:pt>
                <c:pt idx="33">
                  <c:v>0.10491488229587922</c:v>
                </c:pt>
                <c:pt idx="34">
                  <c:v>0.10499788405735447</c:v>
                </c:pt>
                <c:pt idx="35">
                  <c:v>0.105080930030395</c:v>
                </c:pt>
                <c:pt idx="36">
                  <c:v>0.10516401182486414</c:v>
                </c:pt>
                <c:pt idx="37">
                  <c:v>0.10524712020431688</c:v>
                </c:pt>
                <c:pt idx="38">
                  <c:v>0.10533024519345055</c:v>
                </c:pt>
                <c:pt idx="39">
                  <c:v>0.10541337619882209</c:v>
                </c:pt>
                <c:pt idx="40">
                  <c:v>0.10549650214133549</c:v>
                </c:pt>
                <c:pt idx="41">
                  <c:v>0.10557961159891041</c:v>
                </c:pt>
                <c:pt idx="42">
                  <c:v>0.10566269295766786</c:v>
                </c:pt>
                <c:pt idx="43">
                  <c:v>0.105745734569914</c:v>
                </c:pt>
                <c:pt idx="44">
                  <c:v>0.10582872491716565</c:v>
                </c:pt>
                <c:pt idx="45">
                  <c:v>0.10591165277644486</c:v>
                </c:pt>
                <c:pt idx="46">
                  <c:v>0.10599450738807056</c:v>
                </c:pt>
                <c:pt idx="47">
                  <c:v>0.10607727862319632</c:v>
                </c:pt>
                <c:pt idx="48">
                  <c:v>0.10615995714938148</c:v>
                </c:pt>
                <c:pt idx="49">
                  <c:v>0.10624253459253735</c:v>
                </c:pt>
                <c:pt idx="50">
                  <c:v>0.1063250036936635</c:v>
                </c:pt>
                <c:pt idx="51">
                  <c:v>0.10640735845887431</c:v>
                </c:pt>
                <c:pt idx="52">
                  <c:v>0.10648959430131738</c:v>
                </c:pt>
                <c:pt idx="53">
                  <c:v>0.10657170817369897</c:v>
                </c:pt>
                <c:pt idx="54">
                  <c:v>0.10665369869025369</c:v>
                </c:pt>
                <c:pt idx="55">
                  <c:v>0.10673556623713153</c:v>
                </c:pt>
                <c:pt idx="56">
                  <c:v>0.10681731307031375</c:v>
                </c:pt>
                <c:pt idx="57">
                  <c:v>0.10689894340031759</c:v>
                </c:pt>
                <c:pt idx="58">
                  <c:v>0.10698046346309947</c:v>
                </c:pt>
                <c:pt idx="59">
                  <c:v>0.10706188157671973</c:v>
                </c:pt>
                <c:pt idx="60">
                  <c:v>0.10714320818348601</c:v>
                </c:pt>
                <c:pt idx="61">
                  <c:v>0.10722445587744331</c:v>
                </c:pt>
                <c:pt idx="62">
                  <c:v>0.1073056394172293</c:v>
                </c:pt>
                <c:pt idx="63">
                  <c:v>0.10738677572445676</c:v>
                </c:pt>
                <c:pt idx="64">
                  <c:v>0.1074678838679243</c:v>
                </c:pt>
                <c:pt idx="65">
                  <c:v>0.10754898503408562</c:v>
                </c:pt>
                <c:pt idx="66">
                  <c:v>0.10763010248433044</c:v>
                </c:pt>
                <c:pt idx="67">
                  <c:v>0.10771126149973995</c:v>
                </c:pt>
                <c:pt idx="68">
                  <c:v>0.10779248931407967</c:v>
                </c:pt>
                <c:pt idx="69">
                  <c:v>0.10787381503587998</c:v>
                </c:pt>
                <c:pt idx="70">
                  <c:v>0.10795526956052839</c:v>
                </c:pt>
                <c:pt idx="71">
                  <c:v>0.10803688547335817</c:v>
                </c:pt>
                <c:pt idx="72">
                  <c:v>0.1081186969447638</c:v>
                </c:pt>
                <c:pt idx="73">
                  <c:v>0.10820073961840625</c:v>
                </c:pt>
                <c:pt idx="74">
                  <c:v>0.10828305049358813</c:v>
                </c:pt>
                <c:pt idx="75">
                  <c:v>0.10836566780288157</c:v>
                </c:pt>
                <c:pt idx="76">
                  <c:v>0.108448630886082</c:v>
                </c:pt>
                <c:pt idx="77">
                  <c:v>0.10853198006153518</c:v>
                </c:pt>
                <c:pt idx="78">
                  <c:v>0.10861575649584923</c:v>
                </c:pt>
                <c:pt idx="79">
                  <c:v>0.10870000207295258</c:v>
                </c:pt>
                <c:pt idx="80">
                  <c:v>0.10878475926339978</c:v>
                </c:pt>
                <c:pt idx="81">
                  <c:v>0.10887007099475544</c:v>
                </c:pt>
                <c:pt idx="82">
                  <c:v>0.10895598052380837</c:v>
                </c:pt>
                <c:pt idx="83">
                  <c:v>0.10904253131128014</c:v>
                </c:pt>
                <c:pt idx="84">
                  <c:v>0.10912976689959973</c:v>
                </c:pt>
                <c:pt idx="85">
                  <c:v>0.10921773079421794</c:v>
                </c:pt>
                <c:pt idx="86">
                  <c:v>0.10930646634883417</c:v>
                </c:pt>
                <c:pt idx="87">
                  <c:v>0.10939601665480506</c:v>
                </c:pt>
                <c:pt idx="88">
                  <c:v>0.10948642443490179</c:v>
                </c:pt>
                <c:pt idx="89">
                  <c:v>0.10957773194148107</c:v>
                </c:pt>
                <c:pt idx="90">
                  <c:v>0.10966998085903547</c:v>
                </c:pt>
                <c:pt idx="91">
                  <c:v>0.10976321221099485</c:v>
                </c:pt>
                <c:pt idx="92">
                  <c:v>0.10985746627056117</c:v>
                </c:pt>
                <c:pt idx="93">
                  <c:v>0.10995278247527709</c:v>
                </c:pt>
                <c:pt idx="94">
                  <c:v>0.11004919934495545</c:v>
                </c:pt>
                <c:pt idx="95">
                  <c:v>0.11014675440253142</c:v>
                </c:pt>
                <c:pt idx="96">
                  <c:v>0.11024548409734597</c:v>
                </c:pt>
                <c:pt idx="97">
                  <c:v>0.1103454237303249</c:v>
                </c:pt>
                <c:pt idx="98">
                  <c:v>0.11044660738048788</c:v>
                </c:pt>
                <c:pt idx="99">
                  <c:v>0.11054906783220161</c:v>
                </c:pt>
                <c:pt idx="100">
                  <c:v>0.1106528365025853</c:v>
                </c:pt>
                <c:pt idx="101">
                  <c:v>0.11075794336848359</c:v>
                </c:pt>
                <c:pt idx="102">
                  <c:v>0.11086441689244067</c:v>
                </c:pt>
                <c:pt idx="103">
                  <c:v>0.11097228394714168</c:v>
                </c:pt>
                <c:pt idx="104">
                  <c:v>0.11108156973783197</c:v>
                </c:pt>
                <c:pt idx="105">
                  <c:v>0.11119229772228081</c:v>
                </c:pt>
                <c:pt idx="106">
                  <c:v>0.11130448952792339</c:v>
                </c:pt>
                <c:pt idx="107">
                  <c:v>0.11141816486589327</c:v>
                </c:pt>
                <c:pt idx="108">
                  <c:v>0.1115333414417438</c:v>
                </c:pt>
                <c:pt idx="109">
                  <c:v>0.11165003486275293</c:v>
                </c:pt>
                <c:pt idx="110">
                  <c:v>0.11176825854180779</c:v>
                </c:pt>
                <c:pt idx="111">
                  <c:v>0.11188802359797385</c:v>
                </c:pt>
                <c:pt idx="112">
                  <c:v>0.11200933875396557</c:v>
                </c:pt>
                <c:pt idx="113">
                  <c:v>0.11213221023084988</c:v>
                </c:pt>
                <c:pt idx="114">
                  <c:v>0.11225664164043106</c:v>
                </c:pt>
                <c:pt idx="115">
                  <c:v>0.11238263387587979</c:v>
                </c:pt>
                <c:pt idx="116">
                  <c:v>0.11251018500128417</c:v>
                </c:pt>
                <c:pt idx="117">
                  <c:v>0.11263929014090855</c:v>
                </c:pt>
                <c:pt idx="118">
                  <c:v>0.11276994136905134</c:v>
                </c:pt>
                <c:pt idx="119">
                  <c:v>1.8199148020337074E-2</c:v>
                </c:pt>
                <c:pt idx="120">
                  <c:v>1.8387988768971755E-2</c:v>
                </c:pt>
                <c:pt idx="121">
                  <c:v>1.8577064693754534E-2</c:v>
                </c:pt>
                <c:pt idx="122">
                  <c:v>1.8766378869406391E-2</c:v>
                </c:pt>
                <c:pt idx="123">
                  <c:v>1.8955933620367422E-2</c:v>
                </c:pt>
                <c:pt idx="124">
                  <c:v>1.9145730481686014E-2</c:v>
                </c:pt>
                <c:pt idx="125">
                  <c:v>1.9335770160891049E-2</c:v>
                </c:pt>
                <c:pt idx="126">
                  <c:v>1.9526052501176585E-2</c:v>
                </c:pt>
                <c:pt idx="127">
                  <c:v>1.9716576446242882E-2</c:v>
                </c:pt>
                <c:pt idx="128">
                  <c:v>1.9907340007148312E-2</c:v>
                </c:pt>
                <c:pt idx="129">
                  <c:v>2.0098340231534614E-2</c:v>
                </c:pt>
                <c:pt idx="130">
                  <c:v>2.028957317559172E-2</c:v>
                </c:pt>
                <c:pt idx="131">
                  <c:v>2.0481033879129102E-2</c:v>
                </c:pt>
                <c:pt idx="132">
                  <c:v>2.0672716344115792E-2</c:v>
                </c:pt>
                <c:pt idx="133">
                  <c:v>2.0864613517044599E-2</c:v>
                </c:pt>
                <c:pt idx="134">
                  <c:v>2.1056717275462364E-2</c:v>
                </c:pt>
                <c:pt idx="135">
                  <c:v>2.1249018418993154E-2</c:v>
                </c:pt>
                <c:pt idx="136">
                  <c:v>2.1441506665159329E-2</c:v>
                </c:pt>
                <c:pt idx="137">
                  <c:v>2.163417065028134E-2</c:v>
                </c:pt>
                <c:pt idx="138">
                  <c:v>2.1826997935708116E-2</c:v>
                </c:pt>
                <c:pt idx="139">
                  <c:v>2.2019975019596551E-2</c:v>
                </c:pt>
                <c:pt idx="140">
                  <c:v>2.2213087354422997E-2</c:v>
                </c:pt>
                <c:pt idx="141">
                  <c:v>2.2406319370368914E-2</c:v>
                </c:pt>
                <c:pt idx="142">
                  <c:v>2.2599654504680669E-2</c:v>
                </c:pt>
                <c:pt idx="143">
                  <c:v>2.2793075237057019E-2</c:v>
                </c:pt>
                <c:pt idx="144">
                  <c:v>2.2986563131070663E-2</c:v>
                </c:pt>
                <c:pt idx="145">
                  <c:v>2.3180098881579476E-2</c:v>
                </c:pt>
                <c:pt idx="146">
                  <c:v>2.3373662368032316E-2</c:v>
                </c:pt>
                <c:pt idx="147">
                  <c:v>2.3567232713522134E-2</c:v>
                </c:pt>
                <c:pt idx="148">
                  <c:v>2.3760788349385796E-2</c:v>
                </c:pt>
                <c:pt idx="149">
                  <c:v>2.3954307085098454E-2</c:v>
                </c:pt>
                <c:pt idx="150">
                  <c:v>2.4147766183157841E-2</c:v>
                </c:pt>
                <c:pt idx="151">
                  <c:v>2.4341142438603625E-2</c:v>
                </c:pt>
                <c:pt idx="152">
                  <c:v>2.4534412262768257E-2</c:v>
                </c:pt>
                <c:pt idx="153">
                  <c:v>2.4727551770809122E-2</c:v>
                </c:pt>
                <c:pt idx="154">
                  <c:v>2.4920536872528647E-2</c:v>
                </c:pt>
                <c:pt idx="155">
                  <c:v>2.5113343365948549E-2</c:v>
                </c:pt>
                <c:pt idx="156">
                  <c:v>2.5305947033068737E-2</c:v>
                </c:pt>
                <c:pt idx="157">
                  <c:v>2.5498323737208891E-2</c:v>
                </c:pt>
                <c:pt idx="158">
                  <c:v>2.5690449521304271E-2</c:v>
                </c:pt>
                <c:pt idx="159">
                  <c:v>2.5882300706504806E-2</c:v>
                </c:pt>
                <c:pt idx="160">
                  <c:v>2.6073853990410886E-2</c:v>
                </c:pt>
                <c:pt idx="161">
                  <c:v>2.6265086544267447E-2</c:v>
                </c:pt>
                <c:pt idx="162">
                  <c:v>2.6455976108434337E-2</c:v>
                </c:pt>
                <c:pt idx="163">
                  <c:v>2.66465010854516E-2</c:v>
                </c:pt>
                <c:pt idx="164">
                  <c:v>2.6836640630026481E-2</c:v>
                </c:pt>
                <c:pt idx="165">
                  <c:v>2.7026374735282254E-2</c:v>
                </c:pt>
                <c:pt idx="166">
                  <c:v>2.721568431463002E-2</c:v>
                </c:pt>
                <c:pt idx="167">
                  <c:v>2.7404551278649988E-2</c:v>
                </c:pt>
                <c:pt idx="168">
                  <c:v>2.7592958606401544E-2</c:v>
                </c:pt>
                <c:pt idx="169">
                  <c:v>2.7780890410619676E-2</c:v>
                </c:pt>
                <c:pt idx="170">
                  <c:v>2.7968331996297797E-2</c:v>
                </c:pt>
                <c:pt idx="171">
                  <c:v>2.8155269912206914E-2</c:v>
                </c:pt>
                <c:pt idx="172">
                  <c:v>2.8341691994953195E-2</c:v>
                </c:pt>
                <c:pt idx="173">
                  <c:v>2.8527587405233926E-2</c:v>
                </c:pt>
                <c:pt idx="174">
                  <c:v>2.8712946656013354E-2</c:v>
                </c:pt>
                <c:pt idx="175">
                  <c:v>2.8897761632403214E-2</c:v>
                </c:pt>
                <c:pt idx="176">
                  <c:v>2.9082025603100674E-2</c:v>
                </c:pt>
                <c:pt idx="177">
                  <c:v>2.9265733223304165E-2</c:v>
                </c:pt>
                <c:pt idx="178">
                  <c:v>2.9448880529098217E-2</c:v>
                </c:pt>
                <c:pt idx="179">
                  <c:v>2.9631464923368236E-2</c:v>
                </c:pt>
                <c:pt idx="180">
                  <c:v>2.9813485153376902E-2</c:v>
                </c:pt>
                <c:pt idx="181">
                  <c:v>2.9994941280202907E-2</c:v>
                </c:pt>
                <c:pt idx="182">
                  <c:v>3.0175834640311094E-2</c:v>
                </c:pt>
                <c:pt idx="183">
                  <c:v>3.0356167799587708E-2</c:v>
                </c:pt>
                <c:pt idx="184">
                  <c:v>3.0535944500238405E-2</c:v>
                </c:pt>
                <c:pt idx="185">
                  <c:v>3.0715169601004157E-2</c:v>
                </c:pt>
                <c:pt idx="186">
                  <c:v>3.0893849011206547E-2</c:v>
                </c:pt>
                <c:pt idx="187">
                  <c:v>3.1071989619182783E-2</c:v>
                </c:pt>
                <c:pt idx="188">
                  <c:v>3.1249599215716073E-2</c:v>
                </c:pt>
                <c:pt idx="189">
                  <c:v>3.1426686413105934E-2</c:v>
                </c:pt>
                <c:pt idx="190">
                  <c:v>3.1603260560555298E-2</c:v>
                </c:pt>
                <c:pt idx="191">
                  <c:v>3.1779331656577939E-2</c:v>
                </c:pt>
                <c:pt idx="192">
                  <c:v>3.1954910259148608E-2</c:v>
                </c:pt>
                <c:pt idx="193">
                  <c:v>3.2130007394330369E-2</c:v>
                </c:pt>
                <c:pt idx="194">
                  <c:v>3.2304634464119096E-2</c:v>
                </c:pt>
                <c:pt idx="195">
                  <c:v>3.2478803154241856E-2</c:v>
                </c:pt>
                <c:pt idx="196">
                  <c:v>3.2652525342637101E-2</c:v>
                </c:pt>
                <c:pt idx="197">
                  <c:v>3.2825813009327215E-2</c:v>
                </c:pt>
                <c:pt idx="198">
                  <c:v>3.2998678148369875E-2</c:v>
                </c:pt>
                <c:pt idx="199">
                  <c:v>3.3171132682544895E-2</c:v>
                </c:pt>
                <c:pt idx="200">
                  <c:v>3.3343188381394752E-2</c:v>
                </c:pt>
                <c:pt idx="201">
                  <c:v>3.3514856783194921E-2</c:v>
                </c:pt>
                <c:pt idx="202">
                  <c:v>3.3686149121380828E-2</c:v>
                </c:pt>
                <c:pt idx="203">
                  <c:v>3.3857076255903742E-2</c:v>
                </c:pt>
                <c:pt idx="204">
                  <c:v>3.4027648609930822E-2</c:v>
                </c:pt>
                <c:pt idx="205">
                  <c:v>3.419787611224074E-2</c:v>
                </c:pt>
                <c:pt idx="206">
                  <c:v>3.4367768145601836E-2</c:v>
                </c:pt>
                <c:pt idx="207">
                  <c:v>3.4537333501351276E-2</c:v>
                </c:pt>
                <c:pt idx="208">
                  <c:v>3.4706580340324283E-2</c:v>
                </c:pt>
                <c:pt idx="209">
                  <c:v>3.4875516160211721E-2</c:v>
                </c:pt>
                <c:pt idx="210">
                  <c:v>3.5044147769353405E-2</c:v>
                </c:pt>
                <c:pt idx="211">
                  <c:v>3.5212481266905044E-2</c:v>
                </c:pt>
                <c:pt idx="212">
                  <c:v>3.5380522029247297E-2</c:v>
                </c:pt>
                <c:pt idx="213">
                  <c:v>3.5548274702439063E-2</c:v>
                </c:pt>
                <c:pt idx="214">
                  <c:v>3.5715743200454467E-2</c:v>
                </c:pt>
                <c:pt idx="215">
                  <c:v>3.5882930708882148E-2</c:v>
                </c:pt>
                <c:pt idx="216">
                  <c:v>3.6049839693710645E-2</c:v>
                </c:pt>
                <c:pt idx="217">
                  <c:v>3.6216471914773757E-2</c:v>
                </c:pt>
                <c:pt idx="218">
                  <c:v>3.6382828443383808E-2</c:v>
                </c:pt>
                <c:pt idx="219">
                  <c:v>3.6548909683644076E-2</c:v>
                </c:pt>
                <c:pt idx="220">
                  <c:v>3.671471539689794E-2</c:v>
                </c:pt>
                <c:pt idx="221">
                  <c:v>3.6880244728748825E-2</c:v>
                </c:pt>
                <c:pt idx="222">
                  <c:v>3.7045496238066723E-2</c:v>
                </c:pt>
                <c:pt idx="223">
                  <c:v>3.7210467927387671E-2</c:v>
                </c:pt>
                <c:pt idx="224">
                  <c:v>3.7375157274109866E-2</c:v>
                </c:pt>
                <c:pt idx="225">
                  <c:v>3.753956126189608E-2</c:v>
                </c:pt>
                <c:pt idx="226">
                  <c:v>3.7703676411704856E-2</c:v>
                </c:pt>
                <c:pt idx="227">
                  <c:v>3.7867498811894544E-2</c:v>
                </c:pt>
                <c:pt idx="228">
                  <c:v>3.803102414687172E-2</c:v>
                </c:pt>
                <c:pt idx="229">
                  <c:v>3.8194247723791618E-2</c:v>
                </c:pt>
                <c:pt idx="230">
                  <c:v>3.8357164496859886E-2</c:v>
                </c:pt>
                <c:pt idx="231">
                  <c:v>3.8519769088833491E-2</c:v>
                </c:pt>
                <c:pt idx="232">
                  <c:v>3.8682055809372756E-2</c:v>
                </c:pt>
                <c:pt idx="233">
                  <c:v>3.8844018669955342E-2</c:v>
                </c:pt>
                <c:pt idx="234">
                  <c:v>3.9005651395127017E-2</c:v>
                </c:pt>
                <c:pt idx="235">
                  <c:v>3.9166947429930481E-2</c:v>
                </c:pt>
                <c:pt idx="236">
                  <c:v>3.9327899943424741E-2</c:v>
                </c:pt>
                <c:pt idx="237">
                  <c:v>3.9488501828278136E-2</c:v>
                </c:pt>
                <c:pt idx="238">
                  <c:v>3.9648745696492974E-2</c:v>
                </c:pt>
                <c:pt idx="239">
                  <c:v>3.9808623871391897E-2</c:v>
                </c:pt>
                <c:pt idx="240">
                  <c:v>3.9968128376069993E-2</c:v>
                </c:pt>
                <c:pt idx="241">
                  <c:v>4.0127250918587321E-2</c:v>
                </c:pt>
                <c:pt idx="242">
                  <c:v>4.0285982874246118E-2</c:v>
                </c:pt>
                <c:pt idx="243">
                  <c:v>4.0444315265361845E-2</c:v>
                </c:pt>
                <c:pt idx="244">
                  <c:v>4.0602238738999256E-2</c:v>
                </c:pt>
                <c:pt idx="245">
                  <c:v>4.0759743543200659E-2</c:v>
                </c:pt>
                <c:pt idx="246">
                  <c:v>4.0916819502284152E-2</c:v>
                </c:pt>
                <c:pt idx="247">
                  <c:v>4.1073455991834026E-2</c:v>
                </c:pt>
                <c:pt idx="248">
                  <c:v>4.1229641914042103E-2</c:v>
                </c:pt>
                <c:pt idx="249">
                  <c:v>4.1385365674087904E-2</c:v>
                </c:pt>
                <c:pt idx="250">
                  <c:v>4.1540615158266826E-2</c:v>
                </c:pt>
                <c:pt idx="251">
                  <c:v>4.1695377714587305E-2</c:v>
                </c:pt>
                <c:pt idx="252">
                  <c:v>4.1849640136561318E-2</c:v>
                </c:pt>
                <c:pt idx="253">
                  <c:v>4.2003388650906671E-2</c:v>
                </c:pt>
                <c:pt idx="254">
                  <c:v>4.215660890986403E-2</c:v>
                </c:pt>
                <c:pt idx="255">
                  <c:v>4.2309285988806802E-2</c:v>
                </c:pt>
                <c:pt idx="256">
                  <c:v>4.24614043897883E-2</c:v>
                </c:pt>
                <c:pt idx="257">
                  <c:v>4.2612948051627075E-2</c:v>
                </c:pt>
                <c:pt idx="258">
                  <c:v>4.2763900367079617E-2</c:v>
                </c:pt>
                <c:pt idx="259">
                  <c:v>4.2914244207589082E-2</c:v>
                </c:pt>
                <c:pt idx="260">
                  <c:v>4.306396195603051E-2</c:v>
                </c:pt>
                <c:pt idx="261">
                  <c:v>4.3213035547797506E-2</c:v>
                </c:pt>
                <c:pt idx="262">
                  <c:v>4.3361446520492911E-2</c:v>
                </c:pt>
                <c:pt idx="263">
                  <c:v>4.3509176072397945E-2</c:v>
                </c:pt>
                <c:pt idx="264">
                  <c:v>4.3656205129801402E-2</c:v>
                </c:pt>
                <c:pt idx="265">
                  <c:v>4.3802514423172852E-2</c:v>
                </c:pt>
                <c:pt idx="266">
                  <c:v>4.3948084572064186E-2</c:v>
                </c:pt>
                <c:pt idx="267">
                  <c:v>4.4092896178520607E-2</c:v>
                </c:pt>
                <c:pt idx="268">
                  <c:v>4.4236929928679232E-2</c:v>
                </c:pt>
                <c:pt idx="269">
                  <c:v>4.4380166702130547E-2</c:v>
                </c:pt>
                <c:pt idx="270">
                  <c:v>4.4522587688514602E-2</c:v>
                </c:pt>
                <c:pt idx="271">
                  <c:v>4.4664174510725664E-2</c:v>
                </c:pt>
                <c:pt idx="272">
                  <c:v>4.4804909354001235E-2</c:v>
                </c:pt>
                <c:pt idx="273">
                  <c:v>4.494477510008061E-2</c:v>
                </c:pt>
                <c:pt idx="274">
                  <c:v>4.5083755465531547E-2</c:v>
                </c:pt>
                <c:pt idx="275">
                  <c:v>4.5221835143264028E-2</c:v>
                </c:pt>
                <c:pt idx="276">
                  <c:v>4.5358999946178542E-2</c:v>
                </c:pt>
                <c:pt idx="277">
                  <c:v>4.549523695183285E-2</c:v>
                </c:pt>
                <c:pt idx="278">
                  <c:v>4.5630534646957252E-2</c:v>
                </c:pt>
                <c:pt idx="279">
                  <c:v>4.5764883070604487E-2</c:v>
                </c:pt>
                <c:pt idx="280">
                  <c:v>4.5898273954687908E-2</c:v>
                </c:pt>
                <c:pt idx="281">
                  <c:v>4.6030700860639165E-2</c:v>
                </c:pt>
                <c:pt idx="282">
                  <c:v>4.6162159310907724E-2</c:v>
                </c:pt>
                <c:pt idx="283">
                  <c:v>4.6292646914026236E-2</c:v>
                </c:pt>
                <c:pt idx="284">
                  <c:v>4.6422163481981027E-2</c:v>
                </c:pt>
                <c:pt idx="285">
                  <c:v>4.6550711138653812E-2</c:v>
                </c:pt>
                <c:pt idx="286">
                  <c:v>4.6678294418140864E-2</c:v>
                </c:pt>
                <c:pt idx="287">
                  <c:v>4.6804920351807541E-2</c:v>
                </c:pt>
                <c:pt idx="288">
                  <c:v>4.6930598543000024E-2</c:v>
                </c:pt>
                <c:pt idx="289">
                  <c:v>4.7055341228412144E-2</c:v>
                </c:pt>
                <c:pt idx="290">
                  <c:v>4.7179163325191453E-2</c:v>
                </c:pt>
                <c:pt idx="291">
                  <c:v>4.7302082462965904E-2</c:v>
                </c:pt>
                <c:pt idx="292">
                  <c:v>4.7424119000079111E-2</c:v>
                </c:pt>
                <c:pt idx="293">
                  <c:v>4.7545296023438537E-2</c:v>
                </c:pt>
                <c:pt idx="294">
                  <c:v>4.7665639331502779E-2</c:v>
                </c:pt>
                <c:pt idx="295">
                  <c:v>4.7785177400065916E-2</c:v>
                </c:pt>
                <c:pt idx="296">
                  <c:v>4.7903941330631736E-2</c:v>
                </c:pt>
                <c:pt idx="297">
                  <c:v>4.8021964781310697E-2</c:v>
                </c:pt>
                <c:pt idx="298">
                  <c:v>4.8139283880316741E-2</c:v>
                </c:pt>
                <c:pt idx="299">
                  <c:v>4.8255937122285132E-2</c:v>
                </c:pt>
                <c:pt idx="300">
                  <c:v>4.8371965247779147E-2</c:v>
                </c:pt>
                <c:pt idx="301">
                  <c:v>4.848741110649743E-2</c:v>
                </c:pt>
                <c:pt idx="302">
                  <c:v>4.8602319504837121E-2</c:v>
                </c:pt>
                <c:pt idx="303">
                  <c:v>4.8716737038605976E-2</c:v>
                </c:pt>
                <c:pt idx="304">
                  <c:v>4.8830711911811479E-2</c:v>
                </c:pt>
                <c:pt idx="305">
                  <c:v>4.8944293742581989E-2</c:v>
                </c:pt>
                <c:pt idx="306">
                  <c:v>4.9057533357395489E-2</c:v>
                </c:pt>
                <c:pt idx="307">
                  <c:v>4.9170482574902925E-2</c:v>
                </c:pt>
                <c:pt idx="308">
                  <c:v>4.9283193980734115E-2</c:v>
                </c:pt>
                <c:pt idx="309">
                  <c:v>4.9395720694765936E-2</c:v>
                </c:pt>
                <c:pt idx="310">
                  <c:v>4.9508116132409866E-2</c:v>
                </c:pt>
                <c:pt idx="311">
                  <c:v>4.9620433761543306E-2</c:v>
                </c:pt>
                <c:pt idx="312">
                  <c:v>4.9732726856760986E-2</c:v>
                </c:pt>
                <c:pt idx="313">
                  <c:v>4.9845048252661298E-2</c:v>
                </c:pt>
                <c:pt idx="314">
                  <c:v>4.9957450097907197E-2</c:v>
                </c:pt>
                <c:pt idx="315">
                  <c:v>5.0069983611809664E-2</c:v>
                </c:pt>
                <c:pt idx="316">
                  <c:v>5.018269884517642E-2</c:v>
                </c:pt>
                <c:pt idx="317">
                  <c:v>5.0295644447147847E-2</c:v>
                </c:pt>
                <c:pt idx="318">
                  <c:v>5.0408867439705282E-2</c:v>
                </c:pt>
                <c:pt idx="319">
                  <c:v>5.0522413001487271E-2</c:v>
                </c:pt>
                <c:pt idx="320">
                  <c:v>5.063632426248342E-2</c:v>
                </c:pt>
                <c:pt idx="321">
                  <c:v>5.0750642111096707E-2</c:v>
                </c:pt>
                <c:pt idx="322">
                  <c:v>5.0865405014973053E-2</c:v>
                </c:pt>
                <c:pt idx="323">
                  <c:v>5.0980648856891853E-2</c:v>
                </c:pt>
                <c:pt idx="324">
                  <c:v>5.1096406786895143E-2</c:v>
                </c:pt>
                <c:pt idx="325">
                  <c:v>5.1212709091706304E-2</c:v>
                </c:pt>
                <c:pt idx="326">
                  <c:v>5.1329583082352408E-2</c:v>
                </c:pt>
                <c:pt idx="327">
                  <c:v>5.1447053000760502E-2</c:v>
                </c:pt>
                <c:pt idx="328">
                  <c:v>5.1565139945946074E-2</c:v>
                </c:pt>
                <c:pt idx="329">
                  <c:v>5.1683861820255299E-2</c:v>
                </c:pt>
                <c:pt idx="330">
                  <c:v>5.180323329596126E-2</c:v>
                </c:pt>
                <c:pt idx="331">
                  <c:v>5.1923265802350974E-2</c:v>
                </c:pt>
                <c:pt idx="332">
                  <c:v>5.2043967533274109E-2</c:v>
                </c:pt>
                <c:pt idx="333">
                  <c:v>5.2165343474960678E-2</c:v>
                </c:pt>
                <c:pt idx="334">
                  <c:v>5.2287395453751329E-2</c:v>
                </c:pt>
                <c:pt idx="335">
                  <c:v>5.2410122203224309E-2</c:v>
                </c:pt>
                <c:pt idx="336">
                  <c:v>5.2533519450049276E-2</c:v>
                </c:pt>
                <c:pt idx="337">
                  <c:v>5.2657580017747847E-2</c:v>
                </c:pt>
                <c:pt idx="338">
                  <c:v>5.2782293947401401E-2</c:v>
                </c:pt>
                <c:pt idx="339">
                  <c:v>5.290764863421369E-2</c:v>
                </c:pt>
                <c:pt idx="340">
                  <c:v>5.3033628978712971E-2</c:v>
                </c:pt>
                <c:pt idx="341">
                  <c:v>5.3160217551268776E-2</c:v>
                </c:pt>
                <c:pt idx="342">
                  <c:v>5.3287394768498156E-2</c:v>
                </c:pt>
                <c:pt idx="343">
                  <c:v>5.3415139080050945E-2</c:v>
                </c:pt>
                <c:pt idx="344">
                  <c:v>5.3543427164191651E-2</c:v>
                </c:pt>
                <c:pt idx="345">
                  <c:v>5.3672234130537136E-2</c:v>
                </c:pt>
                <c:pt idx="346">
                  <c:v>5.3801533728267154E-2</c:v>
                </c:pt>
                <c:pt idx="347">
                  <c:v>5.393129855809671E-2</c:v>
                </c:pt>
                <c:pt idx="348">
                  <c:v>5.4061500286287298E-2</c:v>
                </c:pt>
                <c:pt idx="349">
                  <c:v>5.419210985897676E-2</c:v>
                </c:pt>
                <c:pt idx="350">
                  <c:v>5.4323097715127118E-2</c:v>
                </c:pt>
                <c:pt idx="351">
                  <c:v>5.4454433996422219E-2</c:v>
                </c:pt>
                <c:pt idx="352">
                  <c:v>5.4586088752496577E-2</c:v>
                </c:pt>
                <c:pt idx="353">
                  <c:v>5.4718032139938498E-2</c:v>
                </c:pt>
                <c:pt idx="354">
                  <c:v>5.4850234613587505E-2</c:v>
                </c:pt>
                <c:pt idx="355">
                  <c:v>5.4982667108734111E-2</c:v>
                </c:pt>
                <c:pt idx="356">
                  <c:v>5.5115301212931178E-2</c:v>
                </c:pt>
                <c:pt idx="357">
                  <c:v>5.5248109326237319E-2</c:v>
                </c:pt>
                <c:pt idx="358">
                  <c:v>5.5381064808833508E-2</c:v>
                </c:pt>
                <c:pt idx="359">
                  <c:v>5.5514142115083986E-2</c:v>
                </c:pt>
                <c:pt idx="360">
                  <c:v>5.5647316913248958E-2</c:v>
                </c:pt>
                <c:pt idx="361">
                  <c:v>5.5780566190198388E-2</c:v>
                </c:pt>
                <c:pt idx="362">
                  <c:v>5.5913868340623882E-2</c:v>
                </c:pt>
                <c:pt idx="363">
                  <c:v>5.6047203240394403E-2</c:v>
                </c:pt>
                <c:pt idx="364">
                  <c:v>5.618055230385325E-2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1.1548785415992965E-3</c:v>
                </c:pt>
                <c:pt idx="1">
                  <c:v>1.1592772235771718E-3</c:v>
                </c:pt>
                <c:pt idx="2">
                  <c:v>1.164825048263084E-3</c:v>
                </c:pt>
                <c:pt idx="3">
                  <c:v>1.1714602421905593E-3</c:v>
                </c:pt>
                <c:pt idx="4">
                  <c:v>1.1791191093293736E-3</c:v>
                </c:pt>
                <c:pt idx="5">
                  <c:v>1.1877360085969836E-3</c:v>
                </c:pt>
                <c:pt idx="6">
                  <c:v>1.1972433853911504E-3</c:v>
                </c:pt>
                <c:pt idx="7">
                  <c:v>1.2075718558030553E-3</c:v>
                </c:pt>
                <c:pt idx="8">
                  <c:v>1.2186806656588832E-3</c:v>
                </c:pt>
                <c:pt idx="9">
                  <c:v>1.2312297849650686E-3</c:v>
                </c:pt>
                <c:pt idx="10">
                  <c:v>1.2441650240293536E-3</c:v>
                </c:pt>
                <c:pt idx="11">
                  <c:v>1.2574828060880898E-3</c:v>
                </c:pt>
                <c:pt idx="12">
                  <c:v>1.271179687728362E-3</c:v>
                </c:pt>
                <c:pt idx="13">
                  <c:v>1.2852524147998778E-3</c:v>
                </c:pt>
                <c:pt idx="14">
                  <c:v>1.2996979711001064E-3</c:v>
                </c:pt>
                <c:pt idx="15">
                  <c:v>1.3174698503281594E-3</c:v>
                </c:pt>
                <c:pt idx="16">
                  <c:v>1.3379797159140398E-3</c:v>
                </c:pt>
                <c:pt idx="17">
                  <c:v>1.361147552843595E-3</c:v>
                </c:pt>
                <c:pt idx="18">
                  <c:v>1.3868930722322841E-3</c:v>
                </c:pt>
                <c:pt idx="19">
                  <c:v>1.4151442856583432E-3</c:v>
                </c:pt>
                <c:pt idx="20">
                  <c:v>1.4458345408725445E-3</c:v>
                </c:pt>
                <c:pt idx="21">
                  <c:v>1.4788934845809769E-3</c:v>
                </c:pt>
                <c:pt idx="22">
                  <c:v>1.5141196810849011E-3</c:v>
                </c:pt>
                <c:pt idx="23">
                  <c:v>1.5550211876536515E-3</c:v>
                </c:pt>
                <c:pt idx="24">
                  <c:v>1.6008280517617276E-3</c:v>
                </c:pt>
                <c:pt idx="25">
                  <c:v>1.651358116055807E-3</c:v>
                </c:pt>
                <c:pt idx="26">
                  <c:v>1.7064327966532342E-3</c:v>
                </c:pt>
                <c:pt idx="27">
                  <c:v>1.7658782206046054E-3</c:v>
                </c:pt>
                <c:pt idx="28">
                  <c:v>1.8295261997320776E-3</c:v>
                </c:pt>
                <c:pt idx="29">
                  <c:v>1.8983220088463234E-3</c:v>
                </c:pt>
                <c:pt idx="30">
                  <c:v>1.9695838163766668E-3</c:v>
                </c:pt>
                <c:pt idx="31">
                  <c:v>2.0432174765591003E-3</c:v>
                </c:pt>
                <c:pt idx="32">
                  <c:v>2.1191358879378941E-3</c:v>
                </c:pt>
                <c:pt idx="33">
                  <c:v>2.1972590911992908E-3</c:v>
                </c:pt>
                <c:pt idx="34">
                  <c:v>2.2775143163136233E-3</c:v>
                </c:pt>
                <c:pt idx="35">
                  <c:v>2.3598359894004464E-3</c:v>
                </c:pt>
                <c:pt idx="36">
                  <c:v>2.444011268383678E-3</c:v>
                </c:pt>
                <c:pt idx="37">
                  <c:v>2.5226128060257856E-3</c:v>
                </c:pt>
                <c:pt idx="38">
                  <c:v>2.5927358491083644E-3</c:v>
                </c:pt>
                <c:pt idx="39">
                  <c:v>2.6546833705906612E-3</c:v>
                </c:pt>
                <c:pt idx="40">
                  <c:v>2.7087548250720227E-3</c:v>
                </c:pt>
                <c:pt idx="41">
                  <c:v>2.7552449999509064E-3</c:v>
                </c:pt>
                <c:pt idx="42">
                  <c:v>2.7944430338519171E-3</c:v>
                </c:pt>
                <c:pt idx="43">
                  <c:v>2.81774775357207E-3</c:v>
                </c:pt>
                <c:pt idx="44">
                  <c:v>2.8248339235543932E-3</c:v>
                </c:pt>
                <c:pt idx="45">
                  <c:v>2.8163137308584965E-3</c:v>
                </c:pt>
                <c:pt idx="46">
                  <c:v>2.7927783195168614E-3</c:v>
                </c:pt>
                <c:pt idx="47">
                  <c:v>2.7547969292779934E-3</c:v>
                </c:pt>
                <c:pt idx="48">
                  <c:v>2.7029162262216036E-3</c:v>
                </c:pt>
                <c:pt idx="49">
                  <c:v>2.6376597986003604E-3</c:v>
                </c:pt>
                <c:pt idx="50">
                  <c:v>2.5594301188140629E-3</c:v>
                </c:pt>
                <c:pt idx="51">
                  <c:v>2.471615549019411E-3</c:v>
                </c:pt>
                <c:pt idx="52">
                  <c:v>2.3805849664814845E-3</c:v>
                </c:pt>
                <c:pt idx="53">
                  <c:v>2.2864751333518695E-3</c:v>
                </c:pt>
                <c:pt idx="54">
                  <c:v>2.1894283054426531E-3</c:v>
                </c:pt>
                <c:pt idx="55">
                  <c:v>2.0895796282201927E-3</c:v>
                </c:pt>
                <c:pt idx="56">
                  <c:v>1.9870572228662701E-3</c:v>
                </c:pt>
                <c:pt idx="57">
                  <c:v>1.8878135019717184E-3</c:v>
                </c:pt>
                <c:pt idx="58">
                  <c:v>1.7992213583817899E-3</c:v>
                </c:pt>
                <c:pt idx="59">
                  <c:v>1.7209517509967228E-3</c:v>
                </c:pt>
                <c:pt idx="60">
                  <c:v>1.6526855181877703E-3</c:v>
                </c:pt>
                <c:pt idx="61">
                  <c:v>1.5941135816960183E-3</c:v>
                </c:pt>
                <c:pt idx="62">
                  <c:v>1.5449371140967261E-3</c:v>
                </c:pt>
                <c:pt idx="63">
                  <c:v>1.5048676743069998E-3</c:v>
                </c:pt>
                <c:pt idx="64">
                  <c:v>1.4735895703849461E-3</c:v>
                </c:pt>
                <c:pt idx="65">
                  <c:v>1.4509282035993093E-3</c:v>
                </c:pt>
                <c:pt idx="66">
                  <c:v>1.4340935031440655E-3</c:v>
                </c:pt>
                <c:pt idx="67">
                  <c:v>1.4229174940271728E-3</c:v>
                </c:pt>
                <c:pt idx="68">
                  <c:v>1.417237951510057E-3</c:v>
                </c:pt>
                <c:pt idx="69">
                  <c:v>1.4168985845665946E-3</c:v>
                </c:pt>
                <c:pt idx="70">
                  <c:v>1.4217491976253973E-3</c:v>
                </c:pt>
                <c:pt idx="71">
                  <c:v>1.4296730206398102E-3</c:v>
                </c:pt>
                <c:pt idx="72">
                  <c:v>1.4356198762512675E-3</c:v>
                </c:pt>
                <c:pt idx="73">
                  <c:v>1.4396613143961721E-3</c:v>
                </c:pt>
                <c:pt idx="74">
                  <c:v>1.441866399493234E-3</c:v>
                </c:pt>
                <c:pt idx="75">
                  <c:v>1.4423016766104539E-3</c:v>
                </c:pt>
                <c:pt idx="76">
                  <c:v>1.441031143150139E-3</c:v>
                </c:pt>
                <c:pt idx="77">
                  <c:v>1.4381162253042177E-3</c:v>
                </c:pt>
                <c:pt idx="78">
                  <c:v>1.4334811228541265E-3</c:v>
                </c:pt>
                <c:pt idx="79">
                  <c:v>1.4249955490559826E-3</c:v>
                </c:pt>
                <c:pt idx="80">
                  <c:v>1.4127192856119182E-3</c:v>
                </c:pt>
                <c:pt idx="81">
                  <c:v>1.3968164711219745E-3</c:v>
                </c:pt>
                <c:pt idx="82">
                  <c:v>1.377443013114293E-3</c:v>
                </c:pt>
                <c:pt idx="83">
                  <c:v>1.3547454655873292E-3</c:v>
                </c:pt>
                <c:pt idx="84">
                  <c:v>1.328860084897875E-3</c:v>
                </c:pt>
                <c:pt idx="85">
                  <c:v>1.2989232254846563E-3</c:v>
                </c:pt>
                <c:pt idx="86">
                  <c:v>1.2667930050313902E-3</c:v>
                </c:pt>
                <c:pt idx="87">
                  <c:v>1.2325529694343952E-3</c:v>
                </c:pt>
                <c:pt idx="88">
                  <c:v>1.196275603738007E-3</c:v>
                </c:pt>
                <c:pt idx="89">
                  <c:v>1.1580221212367198E-3</c:v>
                </c:pt>
                <c:pt idx="90">
                  <c:v>1.1178422839088324E-3</c:v>
                </c:pt>
                <c:pt idx="91">
                  <c:v>1.0757742390221168E-3</c:v>
                </c:pt>
                <c:pt idx="92">
                  <c:v>1.031753940809325E-3</c:v>
                </c:pt>
                <c:pt idx="93">
                  <c:v>9.8622499969831432E-4</c:v>
                </c:pt>
                <c:pt idx="94">
                  <c:v>9.4105255265992255E-4</c:v>
                </c:pt>
                <c:pt idx="95">
                  <c:v>8.9620051778440226E-4</c:v>
                </c:pt>
                <c:pt idx="96">
                  <c:v>8.5163286588822045E-4</c:v>
                </c:pt>
                <c:pt idx="97">
                  <c:v>8.0731356961024129E-4</c:v>
                </c:pt>
                <c:pt idx="98">
                  <c:v>7.6320655506358439E-4</c:v>
                </c:pt>
                <c:pt idx="99">
                  <c:v>7.2026753748638864E-4</c:v>
                </c:pt>
                <c:pt idx="100">
                  <c:v>6.7935368387314924E-4</c:v>
                </c:pt>
                <c:pt idx="101">
                  <c:v>6.404096819137248E-4</c:v>
                </c:pt>
                <c:pt idx="102">
                  <c:v>6.0338343698967479E-4</c:v>
                </c:pt>
                <c:pt idx="103">
                  <c:v>5.6822598680954283E-4</c:v>
                </c:pt>
                <c:pt idx="104">
                  <c:v>5.3489142202633414E-4</c:v>
                </c:pt>
                <c:pt idx="105">
                  <c:v>5.0333681279686069E-4</c:v>
                </c:pt>
                <c:pt idx="106">
                  <c:v>4.7352184092930706E-4</c:v>
                </c:pt>
                <c:pt idx="107">
                  <c:v>4.4596601293894278E-4</c:v>
                </c:pt>
                <c:pt idx="108">
                  <c:v>4.2014174164460366E-4</c:v>
                </c:pt>
                <c:pt idx="109">
                  <c:v>3.9601822181381622E-4</c:v>
                </c:pt>
                <c:pt idx="110">
                  <c:v>3.7356887541953923E-4</c:v>
                </c:pt>
                <c:pt idx="111">
                  <c:v>3.5276996912807706E-4</c:v>
                </c:pt>
                <c:pt idx="112">
                  <c:v>3.3359959271737601E-4</c:v>
                </c:pt>
                <c:pt idx="113">
                  <c:v>3.164789353961346E-4</c:v>
                </c:pt>
                <c:pt idx="114">
                  <c:v>3.0042618893015799E-4</c:v>
                </c:pt>
                <c:pt idx="115">
                  <c:v>2.8542782137218E-4</c:v>
                </c:pt>
                <c:pt idx="116">
                  <c:v>2.7147216171953726E-4</c:v>
                </c:pt>
                <c:pt idx="117">
                  <c:v>2.5854934981912577E-4</c:v>
                </c:pt>
                <c:pt idx="118">
                  <c:v>2.4665128887368075E-4</c:v>
                </c:pt>
                <c:pt idx="119">
                  <c:v>2.357716000676604E-4</c:v>
                </c:pt>
                <c:pt idx="120">
                  <c:v>2.2590834087291521E-4</c:v>
                </c:pt>
                <c:pt idx="121">
                  <c:v>2.1729053729623379E-4</c:v>
                </c:pt>
                <c:pt idx="122">
                  <c:v>2.0935484995146324E-4</c:v>
                </c:pt>
                <c:pt idx="123">
                  <c:v>2.0209865980738554E-4</c:v>
                </c:pt>
                <c:pt idx="124">
                  <c:v>1.9552057042881163E-4</c:v>
                </c:pt>
                <c:pt idx="125">
                  <c:v>1.8962036715321892E-4</c:v>
                </c:pt>
                <c:pt idx="126">
                  <c:v>1.8439897673837804E-4</c:v>
                </c:pt>
                <c:pt idx="127">
                  <c:v>1.7989892102068927E-4</c:v>
                </c:pt>
                <c:pt idx="128">
                  <c:v>1.7566897634192045E-4</c:v>
                </c:pt>
                <c:pt idx="129">
                  <c:v>1.717086339246273E-4</c:v>
                </c:pt>
                <c:pt idx="130">
                  <c:v>1.6801787332698353E-4</c:v>
                </c:pt>
                <c:pt idx="131">
                  <c:v>1.6459714819204156E-4</c:v>
                </c:pt>
                <c:pt idx="132">
                  <c:v>1.6144737159274654E-4</c:v>
                </c:pt>
                <c:pt idx="133">
                  <c:v>1.5856990089718577E-4</c:v>
                </c:pt>
                <c:pt idx="134">
                  <c:v>1.5596962417404507E-4</c:v>
                </c:pt>
                <c:pt idx="135">
                  <c:v>1.5382936908317637E-4</c:v>
                </c:pt>
                <c:pt idx="136">
                  <c:v>1.5190696933944708E-4</c:v>
                </c:pt>
                <c:pt idx="137">
                  <c:v>1.502033156297236E-4</c:v>
                </c:pt>
                <c:pt idx="138">
                  <c:v>1.4871962411919736E-4</c:v>
                </c:pt>
                <c:pt idx="139">
                  <c:v>1.4745741704520084E-4</c:v>
                </c:pt>
                <c:pt idx="140">
                  <c:v>1.4641850264244497E-4</c:v>
                </c:pt>
                <c:pt idx="141">
                  <c:v>1.456725910376041E-4</c:v>
                </c:pt>
                <c:pt idx="142">
                  <c:v>1.4517564233106593E-4</c:v>
                </c:pt>
                <c:pt idx="143">
                  <c:v>1.4492888388199982E-4</c:v>
                </c:pt>
                <c:pt idx="144">
                  <c:v>1.4493456984272809E-4</c:v>
                </c:pt>
                <c:pt idx="145">
                  <c:v>1.451950776290271E-4</c:v>
                </c:pt>
                <c:pt idx="146">
                  <c:v>1.4571288550467438E-4</c:v>
                </c:pt>
                <c:pt idx="147">
                  <c:v>1.4649054973830145E-4</c:v>
                </c:pt>
                <c:pt idx="148">
                  <c:v>1.475342021131819E-4</c:v>
                </c:pt>
                <c:pt idx="149">
                  <c:v>1.4884299882701434E-4</c:v>
                </c:pt>
                <c:pt idx="150">
                  <c:v>1.5022540642781846E-4</c:v>
                </c:pt>
                <c:pt idx="151">
                  <c:v>1.5168081119259328E-4</c:v>
                </c:pt>
                <c:pt idx="152">
                  <c:v>1.5320858317465906E-4</c:v>
                </c:pt>
                <c:pt idx="153">
                  <c:v>1.5480807332187403E-4</c:v>
                </c:pt>
                <c:pt idx="154">
                  <c:v>1.5647861087485701E-4</c:v>
                </c:pt>
                <c:pt idx="155">
                  <c:v>1.5826208431159281E-4</c:v>
                </c:pt>
                <c:pt idx="156">
                  <c:v>1.6008730907061421E-4</c:v>
                </c:pt>
                <c:pt idx="157">
                  <c:v>1.6195382358244353E-4</c:v>
                </c:pt>
                <c:pt idx="158">
                  <c:v>1.6386115265614115E-4</c:v>
                </c:pt>
                <c:pt idx="159">
                  <c:v>1.658088065821608E-4</c:v>
                </c:pt>
                <c:pt idx="160">
                  <c:v>1.6779628029116818E-4</c:v>
                </c:pt>
                <c:pt idx="161">
                  <c:v>1.6982305256215872E-4</c:v>
                </c:pt>
                <c:pt idx="162">
                  <c:v>1.7189141558983015E-4</c:v>
                </c:pt>
                <c:pt idx="163">
                  <c:v>1.7391020429652061E-4</c:v>
                </c:pt>
                <c:pt idx="164">
                  <c:v>1.7588444181792175E-4</c:v>
                </c:pt>
                <c:pt idx="165">
                  <c:v>1.7781279090477455E-4</c:v>
                </c:pt>
                <c:pt idx="166">
                  <c:v>1.7969395839127433E-4</c:v>
                </c:pt>
                <c:pt idx="167">
                  <c:v>1.8152670035025085E-4</c:v>
                </c:pt>
                <c:pt idx="168">
                  <c:v>1.833098268770455E-4</c:v>
                </c:pt>
                <c:pt idx="169">
                  <c:v>1.8494541910336879E-4</c:v>
                </c:pt>
                <c:pt idx="170">
                  <c:v>1.8638317344138453E-4</c:v>
                </c:pt>
                <c:pt idx="171">
                  <c:v>1.8761974289859459E-4</c:v>
                </c:pt>
                <c:pt idx="172">
                  <c:v>1.8865190136011452E-4</c:v>
                </c:pt>
                <c:pt idx="173">
                  <c:v>1.8947461199338476E-4</c:v>
                </c:pt>
                <c:pt idx="174">
                  <c:v>1.9008284153646605E-4</c:v>
                </c:pt>
                <c:pt idx="175">
                  <c:v>1.9047358407284072E-4</c:v>
                </c:pt>
                <c:pt idx="176">
                  <c:v>1.9064339722934815E-4</c:v>
                </c:pt>
                <c:pt idx="177">
                  <c:v>1.9063982367092727E-4</c:v>
                </c:pt>
                <c:pt idx="178">
                  <c:v>1.9056288048223771E-4</c:v>
                </c:pt>
                <c:pt idx="179">
                  <c:v>1.904132604486318E-4</c:v>
                </c:pt>
                <c:pt idx="180">
                  <c:v>1.901917362673224E-4</c:v>
                </c:pt>
                <c:pt idx="181">
                  <c:v>1.8989915367409373E-4</c:v>
                </c:pt>
                <c:pt idx="182">
                  <c:v>1.8953642419279449E-4</c:v>
                </c:pt>
                <c:pt idx="183">
                  <c:v>1.890996434101632E-4</c:v>
                </c:pt>
                <c:pt idx="184">
                  <c:v>1.8869285393009814E-4</c:v>
                </c:pt>
                <c:pt idx="185">
                  <c:v>1.883183541166526E-4</c:v>
                </c:pt>
                <c:pt idx="186">
                  <c:v>1.8797844594565849E-4</c:v>
                </c:pt>
                <c:pt idx="187">
                  <c:v>1.8767543301734943E-4</c:v>
                </c:pt>
                <c:pt idx="188">
                  <c:v>1.8741161901959476E-4</c:v>
                </c:pt>
                <c:pt idx="189">
                  <c:v>1.8718930660172341E-4</c:v>
                </c:pt>
                <c:pt idx="190">
                  <c:v>1.870084561001287E-4</c:v>
                </c:pt>
                <c:pt idx="191">
                  <c:v>1.869473930840621E-4</c:v>
                </c:pt>
                <c:pt idx="192">
                  <c:v>1.8695419574754252E-4</c:v>
                </c:pt>
                <c:pt idx="193">
                  <c:v>1.8703050956248797E-4</c:v>
                </c:pt>
                <c:pt idx="194">
                  <c:v>1.8717798784341884E-4</c:v>
                </c:pt>
                <c:pt idx="195">
                  <c:v>1.8739829300437206E-4</c:v>
                </c:pt>
                <c:pt idx="196">
                  <c:v>1.876930980548989E-4</c:v>
                </c:pt>
                <c:pt idx="197">
                  <c:v>1.8830979753382387E-4</c:v>
                </c:pt>
                <c:pt idx="198">
                  <c:v>1.8925666767157423E-4</c:v>
                </c:pt>
                <c:pt idx="199">
                  <c:v>1.9053786131250215E-4</c:v>
                </c:pt>
                <c:pt idx="200">
                  <c:v>1.9215759098325529E-4</c:v>
                </c:pt>
                <c:pt idx="201">
                  <c:v>1.9412014751197959E-4</c:v>
                </c:pt>
                <c:pt idx="202">
                  <c:v>1.9642991890211653E-4</c:v>
                </c:pt>
                <c:pt idx="203">
                  <c:v>1.9909140954341053E-4</c:v>
                </c:pt>
                <c:pt idx="204">
                  <c:v>2.0210881219294386E-4</c:v>
                </c:pt>
                <c:pt idx="205">
                  <c:v>2.0556280368162988E-4</c:v>
                </c:pt>
                <c:pt idx="206">
                  <c:v>2.0937730089152734E-4</c:v>
                </c:pt>
                <c:pt idx="207">
                  <c:v>2.1355686486025083E-4</c:v>
                </c:pt>
                <c:pt idx="208">
                  <c:v>2.1810612392919774E-4</c:v>
                </c:pt>
                <c:pt idx="209">
                  <c:v>2.2302977546664841E-4</c:v>
                </c:pt>
                <c:pt idx="210">
                  <c:v>2.28332587033828E-4</c:v>
                </c:pt>
                <c:pt idx="211">
                  <c:v>2.34395962378415E-4</c:v>
                </c:pt>
                <c:pt idx="212">
                  <c:v>2.4097010250015812E-4</c:v>
                </c:pt>
                <c:pt idx="213">
                  <c:v>2.4806171946023542E-4</c:v>
                </c:pt>
                <c:pt idx="214">
                  <c:v>2.5567761480786092E-4</c:v>
                </c:pt>
                <c:pt idx="215">
                  <c:v>2.6382467883447194E-4</c:v>
                </c:pt>
                <c:pt idx="216">
                  <c:v>2.7250988894006949E-4</c:v>
                </c:pt>
                <c:pt idx="217">
                  <c:v>2.8174030718094886E-4</c:v>
                </c:pt>
                <c:pt idx="218">
                  <c:v>2.9152207460468409E-4</c:v>
                </c:pt>
                <c:pt idx="219">
                  <c:v>3.0256702018651588E-4</c:v>
                </c:pt>
                <c:pt idx="220">
                  <c:v>3.1480983853002443E-4</c:v>
                </c:pt>
                <c:pt idx="221">
                  <c:v>3.2826746585646346E-4</c:v>
                </c:pt>
                <c:pt idx="222">
                  <c:v>3.4295747100101365E-4</c:v>
                </c:pt>
                <c:pt idx="223">
                  <c:v>3.588981232898464E-4</c:v>
                </c:pt>
                <c:pt idx="224">
                  <c:v>3.7610846274428961E-4</c:v>
                </c:pt>
                <c:pt idx="225">
                  <c:v>3.955111614787191E-4</c:v>
                </c:pt>
                <c:pt idx="226">
                  <c:v>4.1673727152425624E-4</c:v>
                </c:pt>
                <c:pt idx="227">
                  <c:v>4.3981533467821687E-4</c:v>
                </c:pt>
                <c:pt idx="228">
                  <c:v>4.6477529630135754E-4</c:v>
                </c:pt>
                <c:pt idx="229">
                  <c:v>4.9164862331772992E-4</c:v>
                </c:pt>
                <c:pt idx="230">
                  <c:v>5.2046842841744036E-4</c:v>
                </c:pt>
                <c:pt idx="231">
                  <c:v>5.5126960128447139E-4</c:v>
                </c:pt>
                <c:pt idx="232">
                  <c:v>5.8407811826413701E-4</c:v>
                </c:pt>
                <c:pt idx="233">
                  <c:v>6.20511018218405E-4</c:v>
                </c:pt>
                <c:pt idx="234">
                  <c:v>6.5987457029801342E-4</c:v>
                </c:pt>
                <c:pt idx="235">
                  <c:v>7.0222062116751958E-4</c:v>
                </c:pt>
                <c:pt idx="236">
                  <c:v>7.4760391010732241E-4</c:v>
                </c:pt>
                <c:pt idx="237">
                  <c:v>7.9608160343891757E-4</c:v>
                </c:pt>
                <c:pt idx="238">
                  <c:v>8.4771392519788125E-4</c:v>
                </c:pt>
                <c:pt idx="239">
                  <c:v>9.0326366996618958E-4</c:v>
                </c:pt>
                <c:pt idx="240">
                  <c:v>9.6183720875741695E-4</c:v>
                </c:pt>
                <c:pt idx="241">
                  <c:v>1.0235006568697757E-3</c:v>
                </c:pt>
                <c:pt idx="242">
                  <c:v>1.0883240848565923E-3</c:v>
                </c:pt>
                <c:pt idx="243">
                  <c:v>1.1563818098987004E-3</c:v>
                </c:pt>
                <c:pt idx="244">
                  <c:v>1.2277527076759056E-3</c:v>
                </c:pt>
                <c:pt idx="245">
                  <c:v>1.302520547708822E-3</c:v>
                </c:pt>
                <c:pt idx="246">
                  <c:v>1.3807852355684836E-3</c:v>
                </c:pt>
                <c:pt idx="247">
                  <c:v>1.4610639584336593E-3</c:v>
                </c:pt>
                <c:pt idx="248">
                  <c:v>1.5416771419533601E-3</c:v>
                </c:pt>
                <c:pt idx="249">
                  <c:v>1.6226419528133347E-3</c:v>
                </c:pt>
                <c:pt idx="250">
                  <c:v>1.7039732870885573E-3</c:v>
                </c:pt>
                <c:pt idx="251">
                  <c:v>1.7856836521921526E-3</c:v>
                </c:pt>
                <c:pt idx="252">
                  <c:v>1.8677830376593743E-3</c:v>
                </c:pt>
                <c:pt idx="253">
                  <c:v>1.9468725934648986E-3</c:v>
                </c:pt>
                <c:pt idx="254">
                  <c:v>2.0221161330764431E-3</c:v>
                </c:pt>
                <c:pt idx="255">
                  <c:v>2.0934214764880541E-3</c:v>
                </c:pt>
                <c:pt idx="256">
                  <c:v>2.1606897704178961E-3</c:v>
                </c:pt>
                <c:pt idx="257">
                  <c:v>2.2238155738518541E-3</c:v>
                </c:pt>
                <c:pt idx="258">
                  <c:v>2.2826869693389909E-3</c:v>
                </c:pt>
                <c:pt idx="259">
                  <c:v>2.3371857035652602E-3</c:v>
                </c:pt>
                <c:pt idx="260">
                  <c:v>2.3873686063170326E-3</c:v>
                </c:pt>
                <c:pt idx="261">
                  <c:v>2.4299421517131907E-3</c:v>
                </c:pt>
                <c:pt idx="262">
                  <c:v>2.4664393352078454E-3</c:v>
                </c:pt>
                <c:pt idx="263">
                  <c:v>2.4966599751769986E-3</c:v>
                </c:pt>
                <c:pt idx="264">
                  <c:v>2.5203908718044372E-3</c:v>
                </c:pt>
                <c:pt idx="265">
                  <c:v>2.5374201839907695E-3</c:v>
                </c:pt>
                <c:pt idx="266">
                  <c:v>2.5475183926740204E-3</c:v>
                </c:pt>
                <c:pt idx="267">
                  <c:v>2.5509586974691218E-3</c:v>
                </c:pt>
                <c:pt idx="268">
                  <c:v>2.5513346821230236E-3</c:v>
                </c:pt>
                <c:pt idx="269">
                  <c:v>2.5484948505090452E-3</c:v>
                </c:pt>
                <c:pt idx="270">
                  <c:v>2.5422837755306594E-3</c:v>
                </c:pt>
                <c:pt idx="271">
                  <c:v>2.5325429730757476E-3</c:v>
                </c:pt>
                <c:pt idx="272">
                  <c:v>2.5191119130779844E-3</c:v>
                </c:pt>
                <c:pt idx="273">
                  <c:v>2.5018291777095876E-3</c:v>
                </c:pt>
                <c:pt idx="274">
                  <c:v>2.4807342062444365E-3</c:v>
                </c:pt>
                <c:pt idx="275">
                  <c:v>2.4649292220153898E-3</c:v>
                </c:pt>
                <c:pt idx="276">
                  <c:v>2.4583315414918069E-3</c:v>
                </c:pt>
                <c:pt idx="277">
                  <c:v>2.4611610446357963E-3</c:v>
                </c:pt>
                <c:pt idx="278">
                  <c:v>2.4736407248241417E-3</c:v>
                </c:pt>
                <c:pt idx="279">
                  <c:v>2.4959960607941908E-3</c:v>
                </c:pt>
                <c:pt idx="280">
                  <c:v>2.5284543520973199E-3</c:v>
                </c:pt>
                <c:pt idx="281">
                  <c:v>2.575497843137473E-3</c:v>
                </c:pt>
                <c:pt idx="282">
                  <c:v>2.6368642896384634E-3</c:v>
                </c:pt>
                <c:pt idx="283">
                  <c:v>2.7128717659965114E-3</c:v>
                </c:pt>
                <c:pt idx="284">
                  <c:v>2.8038370806934333E-3</c:v>
                </c:pt>
                <c:pt idx="285">
                  <c:v>2.9100746384843118E-3</c:v>
                </c:pt>
                <c:pt idx="286">
                  <c:v>3.0318952612851226E-3</c:v>
                </c:pt>
                <c:pt idx="287">
                  <c:v>3.1696049687198668E-3</c:v>
                </c:pt>
                <c:pt idx="288">
                  <c:v>3.3235569687786229E-3</c:v>
                </c:pt>
                <c:pt idx="289">
                  <c:v>3.4809977560802874E-3</c:v>
                </c:pt>
                <c:pt idx="290">
                  <c:v>3.631781456349144E-3</c:v>
                </c:pt>
                <c:pt idx="291">
                  <c:v>3.7757125245292899E-3</c:v>
                </c:pt>
                <c:pt idx="292">
                  <c:v>3.9125972924396882E-3</c:v>
                </c:pt>
                <c:pt idx="293">
                  <c:v>4.0422442035327561E-3</c:v>
                </c:pt>
                <c:pt idx="294">
                  <c:v>4.1644639970191176E-3</c:v>
                </c:pt>
                <c:pt idx="295">
                  <c:v>4.2689575198123862E-3</c:v>
                </c:pt>
                <c:pt idx="296">
                  <c:v>4.3505989386893032E-3</c:v>
                </c:pt>
                <c:pt idx="297">
                  <c:v>4.4089195151905637E-3</c:v>
                </c:pt>
                <c:pt idx="298">
                  <c:v>4.4434141628893198E-3</c:v>
                </c:pt>
                <c:pt idx="299">
                  <c:v>4.4535750126488078E-3</c:v>
                </c:pt>
                <c:pt idx="300">
                  <c:v>4.4388903305596465E-3</c:v>
                </c:pt>
                <c:pt idx="301">
                  <c:v>4.3988432474348733E-3</c:v>
                </c:pt>
                <c:pt idx="302">
                  <c:v>4.3330869358541475E-3</c:v>
                </c:pt>
                <c:pt idx="303">
                  <c:v>4.2437528719061696E-3</c:v>
                </c:pt>
                <c:pt idx="304">
                  <c:v>4.1449178375031395E-3</c:v>
                </c:pt>
                <c:pt idx="305">
                  <c:v>4.0363142012281635E-3</c:v>
                </c:pt>
                <c:pt idx="306">
                  <c:v>3.9176700418994022E-3</c:v>
                </c:pt>
                <c:pt idx="307">
                  <c:v>3.7887102678670062E-3</c:v>
                </c:pt>
                <c:pt idx="308">
                  <c:v>3.6491579497889177E-3</c:v>
                </c:pt>
                <c:pt idx="309">
                  <c:v>3.5037562232848843E-3</c:v>
                </c:pt>
                <c:pt idx="310">
                  <c:v>3.3636418435182653E-3</c:v>
                </c:pt>
                <c:pt idx="311">
                  <c:v>3.2289149718425138E-3</c:v>
                </c:pt>
                <c:pt idx="312">
                  <c:v>3.0996828766774128E-3</c:v>
                </c:pt>
                <c:pt idx="313">
                  <c:v>2.9760595104949515E-3</c:v>
                </c:pt>
                <c:pt idx="314">
                  <c:v>2.8581650068475674E-3</c:v>
                </c:pt>
                <c:pt idx="315">
                  <c:v>2.7461250801356233E-3</c:v>
                </c:pt>
                <c:pt idx="316">
                  <c:v>2.6403706311144059E-3</c:v>
                </c:pt>
                <c:pt idx="317">
                  <c:v>2.5444564557375064E-3</c:v>
                </c:pt>
                <c:pt idx="318">
                  <c:v>2.4556872881674775E-3</c:v>
                </c:pt>
                <c:pt idx="319">
                  <c:v>2.3741645711327654E-3</c:v>
                </c:pt>
                <c:pt idx="320">
                  <c:v>2.2999980454695003E-3</c:v>
                </c:pt>
                <c:pt idx="321">
                  <c:v>2.2333045553607719E-3</c:v>
                </c:pt>
                <c:pt idx="322">
                  <c:v>2.174206648847943E-3</c:v>
                </c:pt>
                <c:pt idx="323">
                  <c:v>2.1235834920954144E-3</c:v>
                </c:pt>
                <c:pt idx="324">
                  <c:v>2.0759714679304394E-3</c:v>
                </c:pt>
                <c:pt idx="325">
                  <c:v>2.0313958279773755E-3</c:v>
                </c:pt>
                <c:pt idx="326">
                  <c:v>1.9898705751979278E-3</c:v>
                </c:pt>
                <c:pt idx="327">
                  <c:v>1.9514191634402939E-3</c:v>
                </c:pt>
                <c:pt idx="328">
                  <c:v>1.9160746279916969E-3</c:v>
                </c:pt>
                <c:pt idx="329">
                  <c:v>1.8838681179654839E-3</c:v>
                </c:pt>
                <c:pt idx="330">
                  <c:v>1.8550774214989205E-3</c:v>
                </c:pt>
                <c:pt idx="331">
                  <c:v>1.8305876542374663E-3</c:v>
                </c:pt>
                <c:pt idx="332">
                  <c:v>1.8069353131805958E-3</c:v>
                </c:pt>
                <c:pt idx="333">
                  <c:v>1.7840950202398841E-3</c:v>
                </c:pt>
                <c:pt idx="334">
                  <c:v>1.7620411948109356E-3</c:v>
                </c:pt>
                <c:pt idx="335">
                  <c:v>1.7407480656144187E-3</c:v>
                </c:pt>
                <c:pt idx="336">
                  <c:v>1.7201896888788977E-3</c:v>
                </c:pt>
                <c:pt idx="337">
                  <c:v>1.7018133819590164E-3</c:v>
                </c:pt>
                <c:pt idx="338">
                  <c:v>1.6847903571234333E-3</c:v>
                </c:pt>
                <c:pt idx="339">
                  <c:v>1.6691005270485012E-3</c:v>
                </c:pt>
                <c:pt idx="340">
                  <c:v>1.6547219618133692E-3</c:v>
                </c:pt>
                <c:pt idx="341">
                  <c:v>1.641630648172033E-3</c:v>
                </c:pt>
                <c:pt idx="342">
                  <c:v>1.6298002566511136E-3</c:v>
                </c:pt>
                <c:pt idx="343">
                  <c:v>1.6192019264082399E-3</c:v>
                </c:pt>
                <c:pt idx="344">
                  <c:v>1.6097327392713533E-3</c:v>
                </c:pt>
                <c:pt idx="345">
                  <c:v>1.601375389369671E-3</c:v>
                </c:pt>
                <c:pt idx="346">
                  <c:v>1.5936265676872012E-3</c:v>
                </c:pt>
                <c:pt idx="347">
                  <c:v>1.5865763878413228E-3</c:v>
                </c:pt>
                <c:pt idx="348">
                  <c:v>1.5803121662648714E-3</c:v>
                </c:pt>
                <c:pt idx="349">
                  <c:v>1.5749182698149254E-3</c:v>
                </c:pt>
                <c:pt idx="350">
                  <c:v>1.5704760759499144E-3</c:v>
                </c:pt>
                <c:pt idx="351">
                  <c:v>1.5671092402783542E-3</c:v>
                </c:pt>
                <c:pt idx="352">
                  <c:v>1.5633988329187213E-3</c:v>
                </c:pt>
                <c:pt idx="353">
                  <c:v>1.5594286048124988E-3</c:v>
                </c:pt>
                <c:pt idx="354">
                  <c:v>1.5552816950837143E-3</c:v>
                </c:pt>
                <c:pt idx="355">
                  <c:v>1.5510403086070091E-3</c:v>
                </c:pt>
                <c:pt idx="356">
                  <c:v>1.5467813581142556E-3</c:v>
                </c:pt>
                <c:pt idx="357">
                  <c:v>1.5425865764373233E-3</c:v>
                </c:pt>
                <c:pt idx="358">
                  <c:v>1.5384312781615375E-3</c:v>
                </c:pt>
                <c:pt idx="359">
                  <c:v>1.5342071853508574E-3</c:v>
                </c:pt>
                <c:pt idx="360">
                  <c:v>1.5313229436771524E-3</c:v>
                </c:pt>
                <c:pt idx="361">
                  <c:v>1.5296691901080033E-3</c:v>
                </c:pt>
                <c:pt idx="362">
                  <c:v>1.5291810408814095E-3</c:v>
                </c:pt>
                <c:pt idx="363">
                  <c:v>1.5297934636881001E-3</c:v>
                </c:pt>
                <c:pt idx="364">
                  <c:v>1.5314410605251016E-3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8680"/>
        <c:axId val="611449072"/>
      </c:lineChart>
      <c:dateAx>
        <c:axId val="6114486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9072"/>
        <c:crosses val="autoZero"/>
        <c:auto val="1"/>
        <c:lblOffset val="100"/>
        <c:baseTimeUnit val="days"/>
        <c:majorUnit val="1"/>
        <c:majorTimeUnit val="months"/>
      </c:dateAx>
      <c:valAx>
        <c:axId val="6114490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8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17.849952890895615</c:v>
                </c:pt>
                <c:pt idx="1">
                  <c:v>17.932966425018662</c:v>
                </c:pt>
                <c:pt idx="2">
                  <c:v>18.023353156206866</c:v>
                </c:pt>
                <c:pt idx="3">
                  <c:v>18.121630405911677</c:v>
                </c:pt>
                <c:pt idx="4">
                  <c:v>18.228315121291569</c:v>
                </c:pt>
                <c:pt idx="5">
                  <c:v>18.343923880794943</c:v>
                </c:pt>
                <c:pt idx="6">
                  <c:v>18.468972894846384</c:v>
                </c:pt>
                <c:pt idx="7">
                  <c:v>18.603978006095062</c:v>
                </c:pt>
                <c:pt idx="8">
                  <c:v>18.748987406342241</c:v>
                </c:pt>
                <c:pt idx="9">
                  <c:v>18.903405230043283</c:v>
                </c:pt>
                <c:pt idx="10">
                  <c:v>19.066828167109474</c:v>
                </c:pt>
                <c:pt idx="11">
                  <c:v>19.23882753228991</c:v>
                </c:pt>
                <c:pt idx="12">
                  <c:v>19.418974906427877</c:v>
                </c:pt>
                <c:pt idx="13">
                  <c:v>19.606842135723422</c:v>
                </c:pt>
                <c:pt idx="14">
                  <c:v>19.802001340601894</c:v>
                </c:pt>
                <c:pt idx="15">
                  <c:v>20.003962439424527</c:v>
                </c:pt>
                <c:pt idx="16">
                  <c:v>20.212309050865667</c:v>
                </c:pt>
                <c:pt idx="17">
                  <c:v>20.426614128164083</c:v>
                </c:pt>
                <c:pt idx="18">
                  <c:v>20.646450915112247</c:v>
                </c:pt>
                <c:pt idx="19">
                  <c:v>20.871392732573742</c:v>
                </c:pt>
                <c:pt idx="20">
                  <c:v>21.101013078191368</c:v>
                </c:pt>
                <c:pt idx="21">
                  <c:v>21.334885874400555</c:v>
                </c:pt>
                <c:pt idx="22">
                  <c:v>21.5744952094811</c:v>
                </c:pt>
                <c:pt idx="23">
                  <c:v>21.821239485472052</c:v>
                </c:pt>
                <c:pt idx="24">
                  <c:v>22.074736765058077</c:v>
                </c:pt>
                <c:pt idx="25">
                  <c:v>22.334591141251867</c:v>
                </c:pt>
                <c:pt idx="26">
                  <c:v>22.600406973907397</c:v>
                </c:pt>
                <c:pt idx="27">
                  <c:v>22.871788892805274</c:v>
                </c:pt>
                <c:pt idx="28">
                  <c:v>23.148341789803137</c:v>
                </c:pt>
                <c:pt idx="29">
                  <c:v>23.429614875106545</c:v>
                </c:pt>
                <c:pt idx="30">
                  <c:v>23.715275944814984</c:v>
                </c:pt>
                <c:pt idx="31">
                  <c:v>24.004930681385918</c:v>
                </c:pt>
                <c:pt idx="32">
                  <c:v>24.298185033473228</c:v>
                </c:pt>
                <c:pt idx="33">
                  <c:v>24.594645215312589</c:v>
                </c:pt>
                <c:pt idx="34">
                  <c:v>24.893917711694378</c:v>
                </c:pt>
                <c:pt idx="35">
                  <c:v>25.19560927376385</c:v>
                </c:pt>
                <c:pt idx="36">
                  <c:v>25.500943099742852</c:v>
                </c:pt>
                <c:pt idx="37">
                  <c:v>25.811441682734355</c:v>
                </c:pt>
                <c:pt idx="38">
                  <c:v>26.126913949531708</c:v>
                </c:pt>
                <c:pt idx="39">
                  <c:v>26.447063879324411</c:v>
                </c:pt>
                <c:pt idx="40">
                  <c:v>26.771595664434592</c:v>
                </c:pt>
                <c:pt idx="41">
                  <c:v>27.100213712356972</c:v>
                </c:pt>
                <c:pt idx="42">
                  <c:v>27.432622640880307</c:v>
                </c:pt>
                <c:pt idx="43">
                  <c:v>27.768845939340245</c:v>
                </c:pt>
                <c:pt idx="44">
                  <c:v>28.108644550764065</c:v>
                </c:pt>
                <c:pt idx="45">
                  <c:v>28.45172370562867</c:v>
                </c:pt>
                <c:pt idx="46">
                  <c:v>28.797788854330488</c:v>
                </c:pt>
                <c:pt idx="47">
                  <c:v>29.146545667471528</c:v>
                </c:pt>
                <c:pt idx="48">
                  <c:v>29.497700033404442</c:v>
                </c:pt>
                <c:pt idx="49">
                  <c:v>29.850958054067618</c:v>
                </c:pt>
                <c:pt idx="50">
                  <c:v>30.2071824932307</c:v>
                </c:pt>
                <c:pt idx="51">
                  <c:v>30.567190827585517</c:v>
                </c:pt>
                <c:pt idx="52">
                  <c:v>30.930552138299888</c:v>
                </c:pt>
                <c:pt idx="53">
                  <c:v>31.297070344035991</c:v>
                </c:pt>
                <c:pt idx="54">
                  <c:v>31.666548967520004</c:v>
                </c:pt>
                <c:pt idx="55">
                  <c:v>32.038791617577012</c:v>
                </c:pt>
                <c:pt idx="56">
                  <c:v>32.413601982241204</c:v>
                </c:pt>
                <c:pt idx="57">
                  <c:v>32.79053849397539</c:v>
                </c:pt>
                <c:pt idx="58">
                  <c:v>33.169086088425985</c:v>
                </c:pt>
                <c:pt idx="59">
                  <c:v>33.549048523686118</c:v>
                </c:pt>
                <c:pt idx="60">
                  <c:v>33.930229611619481</c:v>
                </c:pt>
                <c:pt idx="61">
                  <c:v>34.312433215676251</c:v>
                </c:pt>
                <c:pt idx="62">
                  <c:v>34.695463242155711</c:v>
                </c:pt>
                <c:pt idx="63">
                  <c:v>35.079123639554176</c:v>
                </c:pt>
                <c:pt idx="64">
                  <c:v>35.464128472304623</c:v>
                </c:pt>
                <c:pt idx="65">
                  <c:v>35.851175781130856</c:v>
                </c:pt>
                <c:pt idx="66">
                  <c:v>36.240178699458632</c:v>
                </c:pt>
                <c:pt idx="67">
                  <c:v>36.630940411717638</c:v>
                </c:pt>
                <c:pt idx="68">
                  <c:v>37.023264117496552</c:v>
                </c:pt>
                <c:pt idx="69">
                  <c:v>37.416953020535487</c:v>
                </c:pt>
                <c:pt idx="70">
                  <c:v>37.811810325189384</c:v>
                </c:pt>
                <c:pt idx="71">
                  <c:v>38.207741908434919</c:v>
                </c:pt>
                <c:pt idx="72">
                  <c:v>38.604796963968234</c:v>
                </c:pt>
                <c:pt idx="73">
                  <c:v>39.002778999858904</c:v>
                </c:pt>
                <c:pt idx="74">
                  <c:v>39.401491564506287</c:v>
                </c:pt>
                <c:pt idx="75">
                  <c:v>39.800738252812479</c:v>
                </c:pt>
                <c:pt idx="76">
                  <c:v>40.200322707306384</c:v>
                </c:pt>
                <c:pt idx="77">
                  <c:v>40.600048625629384</c:v>
                </c:pt>
                <c:pt idx="78">
                  <c:v>41.003578988984778</c:v>
                </c:pt>
                <c:pt idx="79">
                  <c:v>41.41377750915192</c:v>
                </c:pt>
                <c:pt idx="80">
                  <c:v>41.829098811160975</c:v>
                </c:pt>
                <c:pt idx="81">
                  <c:v>42.247983095197064</c:v>
                </c:pt>
                <c:pt idx="82">
                  <c:v>42.668871571266742</c:v>
                </c:pt>
                <c:pt idx="83">
                  <c:v>43.090206471006759</c:v>
                </c:pt>
                <c:pt idx="84">
                  <c:v>43.510431063091353</c:v>
                </c:pt>
                <c:pt idx="85">
                  <c:v>43.928043585827972</c:v>
                </c:pt>
                <c:pt idx="86">
                  <c:v>44.341385904359967</c:v>
                </c:pt>
                <c:pt idx="87">
                  <c:v>44.748904322477571</c:v>
                </c:pt>
                <c:pt idx="88">
                  <c:v>45.149046228961581</c:v>
                </c:pt>
                <c:pt idx="89">
                  <c:v>45.540260113861279</c:v>
                </c:pt>
                <c:pt idx="90">
                  <c:v>45.920995592037272</c:v>
                </c:pt>
                <c:pt idx="91">
                  <c:v>46.28970341861308</c:v>
                </c:pt>
                <c:pt idx="92">
                  <c:v>46.648928614931293</c:v>
                </c:pt>
                <c:pt idx="93">
                  <c:v>47.002160335703088</c:v>
                </c:pt>
                <c:pt idx="94">
                  <c:v>47.349190494440222</c:v>
                </c:pt>
                <c:pt idx="95">
                  <c:v>47.68992382736603</c:v>
                </c:pt>
                <c:pt idx="96">
                  <c:v>48.024265199433202</c:v>
                </c:pt>
                <c:pt idx="97">
                  <c:v>48.352119620915737</c:v>
                </c:pt>
                <c:pt idx="98">
                  <c:v>48.673392246158983</c:v>
                </c:pt>
                <c:pt idx="99">
                  <c:v>48.987928355515741</c:v>
                </c:pt>
                <c:pt idx="100">
                  <c:v>49.295577781414998</c:v>
                </c:pt>
                <c:pt idx="101">
                  <c:v>49.596245301231704</c:v>
                </c:pt>
                <c:pt idx="102">
                  <c:v>49.88983578749</c:v>
                </c:pt>
                <c:pt idx="103">
                  <c:v>50.176254203295187</c:v>
                </c:pt>
                <c:pt idx="104">
                  <c:v>50.455405613678721</c:v>
                </c:pt>
                <c:pt idx="105">
                  <c:v>50.727195180842116</c:v>
                </c:pt>
                <c:pt idx="106">
                  <c:v>50.991560460564472</c:v>
                </c:pt>
                <c:pt idx="107">
                  <c:v>51.248531963106714</c:v>
                </c:pt>
                <c:pt idx="108">
                  <c:v>51.49823389270594</c:v>
                </c:pt>
                <c:pt idx="109">
                  <c:v>51.740765045291127</c:v>
                </c:pt>
                <c:pt idx="110">
                  <c:v>51.976224116959195</c:v>
                </c:pt>
                <c:pt idx="111">
                  <c:v>52.204709785560517</c:v>
                </c:pt>
                <c:pt idx="112">
                  <c:v>52.426320792761906</c:v>
                </c:pt>
                <c:pt idx="113">
                  <c:v>52.641126177918494</c:v>
                </c:pt>
                <c:pt idx="114">
                  <c:v>52.84928717707426</c:v>
                </c:pt>
                <c:pt idx="115">
                  <c:v>53.05090286228392</c:v>
                </c:pt>
                <c:pt idx="116">
                  <c:v>53.246072323178069</c:v>
                </c:pt>
                <c:pt idx="117">
                  <c:v>53.434894673524205</c:v>
                </c:pt>
                <c:pt idx="118">
                  <c:v>53.617469056482058</c:v>
                </c:pt>
                <c:pt idx="119">
                  <c:v>53.793894646879913</c:v>
                </c:pt>
                <c:pt idx="120">
                  <c:v>53.963610665826906</c:v>
                </c:pt>
                <c:pt idx="121">
                  <c:v>54.126103981505409</c:v>
                </c:pt>
                <c:pt idx="122">
                  <c:v>54.281609446080381</c:v>
                </c:pt>
                <c:pt idx="123">
                  <c:v>54.430323920395367</c:v>
                </c:pt>
                <c:pt idx="124">
                  <c:v>54.572444266912711</c:v>
                </c:pt>
                <c:pt idx="125">
                  <c:v>54.708167354435048</c:v>
                </c:pt>
                <c:pt idx="126">
                  <c:v>54.837690055014363</c:v>
                </c:pt>
                <c:pt idx="127">
                  <c:v>54.961205254619323</c:v>
                </c:pt>
                <c:pt idx="128">
                  <c:v>55.078941706834172</c:v>
                </c:pt>
                <c:pt idx="129">
                  <c:v>55.191096767807238</c:v>
                </c:pt>
                <c:pt idx="130">
                  <c:v>55.297867826338454</c:v>
                </c:pt>
                <c:pt idx="131">
                  <c:v>55.399452294680437</c:v>
                </c:pt>
                <c:pt idx="132">
                  <c:v>55.496047613708249</c:v>
                </c:pt>
                <c:pt idx="133">
                  <c:v>55.587851243850729</c:v>
                </c:pt>
                <c:pt idx="134">
                  <c:v>55.673953062146289</c:v>
                </c:pt>
                <c:pt idx="135">
                  <c:v>55.753495470820674</c:v>
                </c:pt>
                <c:pt idx="136">
                  <c:v>55.826792296477706</c:v>
                </c:pt>
                <c:pt idx="137">
                  <c:v>55.894138727048983</c:v>
                </c:pt>
                <c:pt idx="138">
                  <c:v>55.955829881255262</c:v>
                </c:pt>
                <c:pt idx="139">
                  <c:v>56.012160790877687</c:v>
                </c:pt>
                <c:pt idx="140">
                  <c:v>56.063426401816329</c:v>
                </c:pt>
                <c:pt idx="141">
                  <c:v>56.109917759496369</c:v>
                </c:pt>
                <c:pt idx="142">
                  <c:v>56.151934084037535</c:v>
                </c:pt>
                <c:pt idx="143">
                  <c:v>56.189770084849968</c:v>
                </c:pt>
                <c:pt idx="144">
                  <c:v>56.223720269764229</c:v>
                </c:pt>
                <c:pt idx="145">
                  <c:v>56.254078998000324</c:v>
                </c:pt>
                <c:pt idx="146">
                  <c:v>56.281140470833371</c:v>
                </c:pt>
                <c:pt idx="147">
                  <c:v>56.30519870887337</c:v>
                </c:pt>
                <c:pt idx="148">
                  <c:v>56.325203095294491</c:v>
                </c:pt>
                <c:pt idx="149">
                  <c:v>56.340103867018961</c:v>
                </c:pt>
                <c:pt idx="150">
                  <c:v>56.350209921289846</c:v>
                </c:pt>
                <c:pt idx="151">
                  <c:v>56.355816341091554</c:v>
                </c:pt>
                <c:pt idx="152">
                  <c:v>56.357217942934412</c:v>
                </c:pt>
                <c:pt idx="153">
                  <c:v>56.354709264492357</c:v>
                </c:pt>
                <c:pt idx="154">
                  <c:v>56.348584550189912</c:v>
                </c:pt>
                <c:pt idx="155">
                  <c:v>56.339134238050356</c:v>
                </c:pt>
                <c:pt idx="156">
                  <c:v>56.32665588565272</c:v>
                </c:pt>
                <c:pt idx="157">
                  <c:v>56.311442718328344</c:v>
                </c:pt>
                <c:pt idx="158">
                  <c:v>56.293787601190651</c:v>
                </c:pt>
                <c:pt idx="159">
                  <c:v>56.273983025348095</c:v>
                </c:pt>
                <c:pt idx="160">
                  <c:v>56.252321094082909</c:v>
                </c:pt>
                <c:pt idx="161">
                  <c:v>56.229086802181833</c:v>
                </c:pt>
                <c:pt idx="162">
                  <c:v>56.203650793833873</c:v>
                </c:pt>
                <c:pt idx="163">
                  <c:v>56.1752595265407</c:v>
                </c:pt>
                <c:pt idx="164">
                  <c:v>56.144013386951947</c:v>
                </c:pt>
                <c:pt idx="165">
                  <c:v>56.110012327872418</c:v>
                </c:pt>
                <c:pt idx="166">
                  <c:v>56.073355987487403</c:v>
                </c:pt>
                <c:pt idx="167">
                  <c:v>56.034143683403236</c:v>
                </c:pt>
                <c:pt idx="168">
                  <c:v>55.992474402665444</c:v>
                </c:pt>
                <c:pt idx="169">
                  <c:v>55.94845306784535</c:v>
                </c:pt>
                <c:pt idx="170">
                  <c:v>55.902181836469325</c:v>
                </c:pt>
                <c:pt idx="171">
                  <c:v>55.853758777662776</c:v>
                </c:pt>
                <c:pt idx="172">
                  <c:v>55.803281614240412</c:v>
                </c:pt>
                <c:pt idx="173">
                  <c:v>55.750847859811188</c:v>
                </c:pt>
                <c:pt idx="174">
                  <c:v>55.69655469696697</c:v>
                </c:pt>
                <c:pt idx="175">
                  <c:v>55.64049884072481</c:v>
                </c:pt>
                <c:pt idx="176">
                  <c:v>55.582951764204374</c:v>
                </c:pt>
                <c:pt idx="177">
                  <c:v>55.523989603193499</c:v>
                </c:pt>
                <c:pt idx="178">
                  <c:v>55.463415215731871</c:v>
                </c:pt>
                <c:pt idx="179">
                  <c:v>55.401037697918134</c:v>
                </c:pt>
                <c:pt idx="180">
                  <c:v>55.336666056064885</c:v>
                </c:pt>
                <c:pt idx="181">
                  <c:v>55.270109216947574</c:v>
                </c:pt>
                <c:pt idx="182">
                  <c:v>55.201176036543941</c:v>
                </c:pt>
                <c:pt idx="183">
                  <c:v>55.129674958694252</c:v>
                </c:pt>
                <c:pt idx="184">
                  <c:v>55.055408311805479</c:v>
                </c:pt>
                <c:pt idx="185">
                  <c:v>54.978184769217272</c:v>
                </c:pt>
                <c:pt idx="186">
                  <c:v>54.897812983253083</c:v>
                </c:pt>
                <c:pt idx="187">
                  <c:v>54.814101601534439</c:v>
                </c:pt>
                <c:pt idx="188">
                  <c:v>54.726859276704765</c:v>
                </c:pt>
                <c:pt idx="189">
                  <c:v>54.63589468390267</c:v>
                </c:pt>
                <c:pt idx="190">
                  <c:v>54.54169933753554</c:v>
                </c:pt>
                <c:pt idx="191">
                  <c:v>54.444824078321503</c:v>
                </c:pt>
                <c:pt idx="192">
                  <c:v>54.345176410270291</c:v>
                </c:pt>
                <c:pt idx="193">
                  <c:v>54.24265981036649</c:v>
                </c:pt>
                <c:pt idx="194">
                  <c:v>54.137177797453198</c:v>
                </c:pt>
                <c:pt idx="195">
                  <c:v>54.028633946359761</c:v>
                </c:pt>
                <c:pt idx="196">
                  <c:v>53.916931900261986</c:v>
                </c:pt>
                <c:pt idx="197">
                  <c:v>53.80195895094613</c:v>
                </c:pt>
                <c:pt idx="198">
                  <c:v>53.683619329720734</c:v>
                </c:pt>
                <c:pt idx="199">
                  <c:v>53.561816938171425</c:v>
                </c:pt>
                <c:pt idx="200">
                  <c:v>53.436455802303961</c:v>
                </c:pt>
                <c:pt idx="201">
                  <c:v>53.307440077341788</c:v>
                </c:pt>
                <c:pt idx="202">
                  <c:v>53.174674066232903</c:v>
                </c:pt>
                <c:pt idx="203">
                  <c:v>53.038062218434959</c:v>
                </c:pt>
                <c:pt idx="204">
                  <c:v>52.897540850601935</c:v>
                </c:pt>
                <c:pt idx="205">
                  <c:v>52.753164689357675</c:v>
                </c:pt>
                <c:pt idx="206">
                  <c:v>52.60503220533991</c:v>
                </c:pt>
                <c:pt idx="207">
                  <c:v>52.453238269015038</c:v>
                </c:pt>
                <c:pt idx="208">
                  <c:v>52.297877825964726</c:v>
                </c:pt>
                <c:pt idx="209">
                  <c:v>52.139045892423688</c:v>
                </c:pt>
                <c:pt idx="210">
                  <c:v>51.976837557561026</c:v>
                </c:pt>
                <c:pt idx="211">
                  <c:v>51.811320729581603</c:v>
                </c:pt>
                <c:pt idx="212">
                  <c:v>51.642607174419545</c:v>
                </c:pt>
                <c:pt idx="213">
                  <c:v>51.470792129531418</c:v>
                </c:pt>
                <c:pt idx="214">
                  <c:v>51.295970908757539</c:v>
                </c:pt>
                <c:pt idx="215">
                  <c:v>51.118238892533263</c:v>
                </c:pt>
                <c:pt idx="216">
                  <c:v>50.937691525840776</c:v>
                </c:pt>
                <c:pt idx="217">
                  <c:v>50.754424311053455</c:v>
                </c:pt>
                <c:pt idx="218">
                  <c:v>50.568706743387885</c:v>
                </c:pt>
                <c:pt idx="219">
                  <c:v>50.380574296726543</c:v>
                </c:pt>
                <c:pt idx="220">
                  <c:v>50.189846898002379</c:v>
                </c:pt>
                <c:pt idx="221">
                  <c:v>49.99633581450864</c:v>
                </c:pt>
                <c:pt idx="222">
                  <c:v>49.79985250513819</c:v>
                </c:pt>
                <c:pt idx="223">
                  <c:v>49.600208613610896</c:v>
                </c:pt>
                <c:pt idx="224">
                  <c:v>49.397215960792288</c:v>
                </c:pt>
                <c:pt idx="225">
                  <c:v>49.190631766032979</c:v>
                </c:pt>
                <c:pt idx="226">
                  <c:v>48.980295768268057</c:v>
                </c:pt>
                <c:pt idx="227">
                  <c:v>48.766020316738569</c:v>
                </c:pt>
                <c:pt idx="228">
                  <c:v>48.547617913717055</c:v>
                </c:pt>
                <c:pt idx="229">
                  <c:v>48.324901208105004</c:v>
                </c:pt>
                <c:pt idx="230">
                  <c:v>48.097682994204654</c:v>
                </c:pt>
                <c:pt idx="231">
                  <c:v>47.86577620294085</c:v>
                </c:pt>
                <c:pt idx="232">
                  <c:v>47.629877657389152</c:v>
                </c:pt>
                <c:pt idx="233">
                  <c:v>47.390597635731034</c:v>
                </c:pt>
                <c:pt idx="234">
                  <c:v>47.147793131167418</c:v>
                </c:pt>
                <c:pt idx="235">
                  <c:v>46.901276929284151</c:v>
                </c:pt>
                <c:pt idx="236">
                  <c:v>46.650861929139758</c:v>
                </c:pt>
                <c:pt idx="237">
                  <c:v>46.396361178618548</c:v>
                </c:pt>
                <c:pt idx="238">
                  <c:v>46.137587852422534</c:v>
                </c:pt>
                <c:pt idx="239">
                  <c:v>45.874328986431351</c:v>
                </c:pt>
                <c:pt idx="240">
                  <c:v>45.606452785472555</c:v>
                </c:pt>
                <c:pt idx="241">
                  <c:v>45.333772847113224</c:v>
                </c:pt>
                <c:pt idx="242">
                  <c:v>45.056102881246503</c:v>
                </c:pt>
                <c:pt idx="243">
                  <c:v>44.77325671227036</c:v>
                </c:pt>
                <c:pt idx="244">
                  <c:v>44.485048288853029</c:v>
                </c:pt>
                <c:pt idx="245">
                  <c:v>44.191291669644087</c:v>
                </c:pt>
                <c:pt idx="246">
                  <c:v>43.8914545012302</c:v>
                </c:pt>
                <c:pt idx="247">
                  <c:v>43.585465783367113</c:v>
                </c:pt>
                <c:pt idx="248">
                  <c:v>43.273792293310294</c:v>
                </c:pt>
                <c:pt idx="249">
                  <c:v>42.956814954588275</c:v>
                </c:pt>
                <c:pt idx="250">
                  <c:v>42.634914487566434</c:v>
                </c:pt>
                <c:pt idx="251">
                  <c:v>42.308471412528071</c:v>
                </c:pt>
                <c:pt idx="252">
                  <c:v>41.977866058682224</c:v>
                </c:pt>
                <c:pt idx="253">
                  <c:v>41.643651774094714</c:v>
                </c:pt>
                <c:pt idx="254">
                  <c:v>41.306233786616453</c:v>
                </c:pt>
                <c:pt idx="255">
                  <c:v>40.965991247358289</c:v>
                </c:pt>
                <c:pt idx="256">
                  <c:v>40.623303062146903</c:v>
                </c:pt>
                <c:pt idx="257">
                  <c:v>40.278547892699144</c:v>
                </c:pt>
                <c:pt idx="258">
                  <c:v>39.932104149976851</c:v>
                </c:pt>
                <c:pt idx="259">
                  <c:v>39.584349988423277</c:v>
                </c:pt>
                <c:pt idx="260">
                  <c:v>39.232675713012583</c:v>
                </c:pt>
                <c:pt idx="261">
                  <c:v>38.875009891140813</c:v>
                </c:pt>
                <c:pt idx="262">
                  <c:v>38.512215213013505</c:v>
                </c:pt>
                <c:pt idx="263">
                  <c:v>38.145235986609471</c:v>
                </c:pt>
                <c:pt idx="264">
                  <c:v>37.77501589605501</c:v>
                </c:pt>
                <c:pt idx="265">
                  <c:v>37.402497373253901</c:v>
                </c:pt>
                <c:pt idx="266">
                  <c:v>37.028622551378653</c:v>
                </c:pt>
                <c:pt idx="267">
                  <c:v>36.654277134707705</c:v>
                </c:pt>
                <c:pt idx="268">
                  <c:v>36.280232587039507</c:v>
                </c:pt>
                <c:pt idx="269">
                  <c:v>35.907430725282232</c:v>
                </c:pt>
                <c:pt idx="270">
                  <c:v>35.536812824873458</c:v>
                </c:pt>
                <c:pt idx="271">
                  <c:v>35.169319620727769</c:v>
                </c:pt>
                <c:pt idx="272">
                  <c:v>34.805891312356067</c:v>
                </c:pt>
                <c:pt idx="273">
                  <c:v>34.447467564098098</c:v>
                </c:pt>
                <c:pt idx="274">
                  <c:v>34.092224292650286</c:v>
                </c:pt>
                <c:pt idx="275">
                  <c:v>33.737476432119529</c:v>
                </c:pt>
                <c:pt idx="276">
                  <c:v>33.383257065499762</c:v>
                </c:pt>
                <c:pt idx="277">
                  <c:v>33.029756002695429</c:v>
                </c:pt>
                <c:pt idx="278">
                  <c:v>32.677163047870337</c:v>
                </c:pt>
                <c:pt idx="279">
                  <c:v>32.325668004179661</c:v>
                </c:pt>
                <c:pt idx="280">
                  <c:v>31.975460680887892</c:v>
                </c:pt>
                <c:pt idx="281">
                  <c:v>31.626617851543077</c:v>
                </c:pt>
                <c:pt idx="282">
                  <c:v>31.279385145372249</c:v>
                </c:pt>
                <c:pt idx="283">
                  <c:v>30.933953067960775</c:v>
                </c:pt>
                <c:pt idx="284">
                  <c:v>30.590512172482018</c:v>
                </c:pt>
                <c:pt idx="285">
                  <c:v>30.249253062783829</c:v>
                </c:pt>
                <c:pt idx="286">
                  <c:v>29.910366393704887</c:v>
                </c:pt>
                <c:pt idx="287">
                  <c:v>29.574042873099895</c:v>
                </c:pt>
                <c:pt idx="288">
                  <c:v>29.24000283212759</c:v>
                </c:pt>
                <c:pt idx="289">
                  <c:v>28.908292299019273</c:v>
                </c:pt>
                <c:pt idx="290">
                  <c:v>28.579252795252327</c:v>
                </c:pt>
                <c:pt idx="291">
                  <c:v>28.252878178685432</c:v>
                </c:pt>
                <c:pt idx="292">
                  <c:v>27.929161957285874</c:v>
                </c:pt>
                <c:pt idx="293">
                  <c:v>27.608097300095515</c:v>
                </c:pt>
                <c:pt idx="294">
                  <c:v>27.28967705310242</c:v>
                </c:pt>
                <c:pt idx="295">
                  <c:v>26.974196728700448</c:v>
                </c:pt>
                <c:pt idx="296">
                  <c:v>26.661749831360339</c:v>
                </c:pt>
                <c:pt idx="297">
                  <c:v>26.352321676182619</c:v>
                </c:pt>
                <c:pt idx="298">
                  <c:v>26.045898434811765</c:v>
                </c:pt>
                <c:pt idx="299">
                  <c:v>25.742466027514773</c:v>
                </c:pt>
                <c:pt idx="300">
                  <c:v>25.44201017344821</c:v>
                </c:pt>
                <c:pt idx="301">
                  <c:v>25.144516447597884</c:v>
                </c:pt>
                <c:pt idx="302">
                  <c:v>24.848952045908455</c:v>
                </c:pt>
                <c:pt idx="303">
                  <c:v>24.554505973363302</c:v>
                </c:pt>
                <c:pt idx="304">
                  <c:v>24.261212492044319</c:v>
                </c:pt>
                <c:pt idx="305">
                  <c:v>23.96953463966965</c:v>
                </c:pt>
                <c:pt idx="306">
                  <c:v>23.679935508287194</c:v>
                </c:pt>
                <c:pt idx="307">
                  <c:v>23.392878275030462</c:v>
                </c:pt>
                <c:pt idx="308">
                  <c:v>23.108826233389404</c:v>
                </c:pt>
                <c:pt idx="309">
                  <c:v>22.828105686341868</c:v>
                </c:pt>
                <c:pt idx="310">
                  <c:v>22.550899662154475</c:v>
                </c:pt>
                <c:pt idx="311">
                  <c:v>22.277677983955222</c:v>
                </c:pt>
                <c:pt idx="312">
                  <c:v>22.008910581962454</c:v>
                </c:pt>
                <c:pt idx="313">
                  <c:v>21.745067483214925</c:v>
                </c:pt>
                <c:pt idx="314">
                  <c:v>21.486618794437696</c:v>
                </c:pt>
                <c:pt idx="315">
                  <c:v>21.23403469006962</c:v>
                </c:pt>
                <c:pt idx="316">
                  <c:v>20.985390523966689</c:v>
                </c:pt>
                <c:pt idx="317">
                  <c:v>20.738755406657493</c:v>
                </c:pt>
                <c:pt idx="318">
                  <c:v>20.494780806069549</c:v>
                </c:pt>
                <c:pt idx="319">
                  <c:v>20.254031574971798</c:v>
                </c:pt>
                <c:pt idx="320">
                  <c:v>20.017072542705513</c:v>
                </c:pt>
                <c:pt idx="321">
                  <c:v>19.784468497220807</c:v>
                </c:pt>
                <c:pt idx="322">
                  <c:v>19.556784157988321</c:v>
                </c:pt>
                <c:pt idx="323">
                  <c:v>19.334564972278123</c:v>
                </c:pt>
                <c:pt idx="324">
                  <c:v>19.118503791377126</c:v>
                </c:pt>
                <c:pt idx="325">
                  <c:v>18.909163693620162</c:v>
                </c:pt>
                <c:pt idx="326">
                  <c:v>18.707107968939411</c:v>
                </c:pt>
                <c:pt idx="327">
                  <c:v>18.51289958268482</c:v>
                </c:pt>
                <c:pt idx="328">
                  <c:v>18.32710113284001</c:v>
                </c:pt>
                <c:pt idx="329">
                  <c:v>18.150275097063655</c:v>
                </c:pt>
                <c:pt idx="330">
                  <c:v>17.980560088661377</c:v>
                </c:pt>
                <c:pt idx="331">
                  <c:v>17.816020777430047</c:v>
                </c:pt>
                <c:pt idx="332">
                  <c:v>17.657192181312713</c:v>
                </c:pt>
                <c:pt idx="333">
                  <c:v>17.504543075743616</c:v>
                </c:pt>
                <c:pt idx="334">
                  <c:v>17.358542116753306</c:v>
                </c:pt>
                <c:pt idx="335">
                  <c:v>17.219657828923065</c:v>
                </c:pt>
                <c:pt idx="336">
                  <c:v>17.088358584217733</c:v>
                </c:pt>
                <c:pt idx="337">
                  <c:v>16.965085341685185</c:v>
                </c:pt>
                <c:pt idx="338">
                  <c:v>16.850324569027531</c:v>
                </c:pt>
                <c:pt idx="339">
                  <c:v>16.744544140262672</c:v>
                </c:pt>
                <c:pt idx="340">
                  <c:v>16.648211704135267</c:v>
                </c:pt>
                <c:pt idx="341">
                  <c:v>16.561794670955614</c:v>
                </c:pt>
                <c:pt idx="342">
                  <c:v>16.485760210684898</c:v>
                </c:pt>
                <c:pt idx="343">
                  <c:v>16.420575225899857</c:v>
                </c:pt>
                <c:pt idx="344">
                  <c:v>16.367433158759319</c:v>
                </c:pt>
                <c:pt idx="345">
                  <c:v>16.326630638602861</c:v>
                </c:pt>
                <c:pt idx="346">
                  <c:v>16.297301908175598</c:v>
                </c:pt>
                <c:pt idx="347">
                  <c:v>16.27856889462495</c:v>
                </c:pt>
                <c:pt idx="348">
                  <c:v>16.269553836902539</c:v>
                </c:pt>
                <c:pt idx="349">
                  <c:v>16.269379286858403</c:v>
                </c:pt>
                <c:pt idx="350">
                  <c:v>16.277168121319747</c:v>
                </c:pt>
                <c:pt idx="351">
                  <c:v>16.292044447740551</c:v>
                </c:pt>
                <c:pt idx="352">
                  <c:v>16.313158370760807</c:v>
                </c:pt>
                <c:pt idx="353">
                  <c:v>16.339633704561798</c:v>
                </c:pt>
                <c:pt idx="354">
                  <c:v>16.370594624218821</c:v>
                </c:pt>
                <c:pt idx="355">
                  <c:v>16.405165672087897</c:v>
                </c:pt>
                <c:pt idx="356">
                  <c:v>16.442471881359843</c:v>
                </c:pt>
                <c:pt idx="357">
                  <c:v>16.48163844187507</c:v>
                </c:pt>
                <c:pt idx="358">
                  <c:v>16.522823724470907</c:v>
                </c:pt>
                <c:pt idx="359">
                  <c:v>16.567098665647343</c:v>
                </c:pt>
                <c:pt idx="360">
                  <c:v>16.614931152092701</c:v>
                </c:pt>
                <c:pt idx="361">
                  <c:v>16.666814355265775</c:v>
                </c:pt>
                <c:pt idx="362">
                  <c:v>16.723242048221614</c:v>
                </c:pt>
                <c:pt idx="363">
                  <c:v>16.784707701089161</c:v>
                </c:pt>
                <c:pt idx="364">
                  <c:v>16.851704488346151</c:v>
                </c:pt>
                <c:pt idx="365">
                  <c:v>16.924725276745768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17.477772743038408</c:v>
                </c:pt>
                <c:pt idx="1">
                  <c:v>13.839653166575038</c:v>
                </c:pt>
                <c:pt idx="2">
                  <c:v>13.678681319511096</c:v>
                </c:pt>
                <c:pt idx="3">
                  <c:v>14.167473038228032</c:v>
                </c:pt>
                <c:pt idx="4">
                  <c:v>12.1243855136099</c:v>
                </c:pt>
                <c:pt idx="5">
                  <c:v>15.575315526849076</c:v>
                </c:pt>
                <c:pt idx="6">
                  <c:v>9.6738935258482446</c:v>
                </c:pt>
                <c:pt idx="7">
                  <c:v>7.0332357560100807</c:v>
                </c:pt>
                <c:pt idx="8">
                  <c:v>2.1176173087483225</c:v>
                </c:pt>
                <c:pt idx="9">
                  <c:v>1.6923372434284072</c:v>
                </c:pt>
                <c:pt idx="10">
                  <c:v>19.702012053497103</c:v>
                </c:pt>
                <c:pt idx="11">
                  <c:v>16.717127117209117</c:v>
                </c:pt>
                <c:pt idx="12">
                  <c:v>5.4718936808179217</c:v>
                </c:pt>
                <c:pt idx="13">
                  <c:v>20.134129466488613</c:v>
                </c:pt>
                <c:pt idx="14">
                  <c:v>20.085952544003948</c:v>
                </c:pt>
                <c:pt idx="15">
                  <c:v>19.810257926132479</c:v>
                </c:pt>
                <c:pt idx="16">
                  <c:v>11.677404551365305</c:v>
                </c:pt>
                <c:pt idx="17">
                  <c:v>3.8272346094032814</c:v>
                </c:pt>
                <c:pt idx="18">
                  <c:v>8.936601218770063</c:v>
                </c:pt>
                <c:pt idx="19">
                  <c:v>6.522995580463868</c:v>
                </c:pt>
                <c:pt idx="20">
                  <c:v>17.70155141787486</c:v>
                </c:pt>
                <c:pt idx="21">
                  <c:v>21.263111139371826</c:v>
                </c:pt>
                <c:pt idx="22">
                  <c:v>21.484981903335004</c:v>
                </c:pt>
                <c:pt idx="23">
                  <c:v>21.833436365589595</c:v>
                </c:pt>
                <c:pt idx="24">
                  <c:v>21.793061259508789</c:v>
                </c:pt>
                <c:pt idx="25">
                  <c:v>21.921811255862998</c:v>
                </c:pt>
                <c:pt idx="26">
                  <c:v>22.834045931974252</c:v>
                </c:pt>
                <c:pt idx="27">
                  <c:v>4.2460892188072563</c:v>
                </c:pt>
                <c:pt idx="28">
                  <c:v>9.6714358312072886</c:v>
                </c:pt>
                <c:pt idx="29">
                  <c:v>4.6259693049117399</c:v>
                </c:pt>
                <c:pt idx="30">
                  <c:v>8.169583449668659</c:v>
                </c:pt>
                <c:pt idx="31">
                  <c:v>9.5990051525532945</c:v>
                </c:pt>
                <c:pt idx="32">
                  <c:v>5.4389931734037278</c:v>
                </c:pt>
                <c:pt idx="33">
                  <c:v>9.8865596290516162</c:v>
                </c:pt>
                <c:pt idx="34">
                  <c:v>9.7587352646341721</c:v>
                </c:pt>
                <c:pt idx="35">
                  <c:v>8.976032368354204</c:v>
                </c:pt>
                <c:pt idx="36">
                  <c:v>17.128568370794575</c:v>
                </c:pt>
                <c:pt idx="37">
                  <c:v>9.1466608350036118</c:v>
                </c:pt>
                <c:pt idx="38">
                  <c:v>26.767696797531435</c:v>
                </c:pt>
                <c:pt idx="39">
                  <c:v>26.844262873121544</c:v>
                </c:pt>
                <c:pt idx="40">
                  <c:v>25.191973958461979</c:v>
                </c:pt>
                <c:pt idx="41">
                  <c:v>16.012013242556737</c:v>
                </c:pt>
                <c:pt idx="42">
                  <c:v>23.147797884511899</c:v>
                </c:pt>
                <c:pt idx="43">
                  <c:v>27.381737010551589</c:v>
                </c:pt>
                <c:pt idx="44">
                  <c:v>14.34119525702442</c:v>
                </c:pt>
                <c:pt idx="45">
                  <c:v>16.909937117587994</c:v>
                </c:pt>
                <c:pt idx="46">
                  <c:v>9.3072236118464602</c:v>
                </c:pt>
                <c:pt idx="47">
                  <c:v>11.083914215989557</c:v>
                </c:pt>
                <c:pt idx="48">
                  <c:v>24.540575807360256</c:v>
                </c:pt>
                <c:pt idx="49">
                  <c:v>18.768762134883588</c:v>
                </c:pt>
                <c:pt idx="50">
                  <c:v>18.418532970430885</c:v>
                </c:pt>
                <c:pt idx="51">
                  <c:v>20.087514995025071</c:v>
                </c:pt>
                <c:pt idx="52">
                  <c:v>29.318325607475867</c:v>
                </c:pt>
                <c:pt idx="53">
                  <c:v>29.539780331832265</c:v>
                </c:pt>
                <c:pt idx="54">
                  <c:v>18.119207959148245</c:v>
                </c:pt>
                <c:pt idx="55">
                  <c:v>29.13297065903199</c:v>
                </c:pt>
                <c:pt idx="56">
                  <c:v>33.327427666420348</c:v>
                </c:pt>
                <c:pt idx="57">
                  <c:v>27.288219089736877</c:v>
                </c:pt>
                <c:pt idx="58">
                  <c:v>28.334075009436543</c:v>
                </c:pt>
                <c:pt idx="59">
                  <c:v>33.605314309302024</c:v>
                </c:pt>
                <c:pt idx="60">
                  <c:v>10.779102040142636</c:v>
                </c:pt>
                <c:pt idx="61">
                  <c:v>32.206399513855715</c:v>
                </c:pt>
                <c:pt idx="62">
                  <c:v>3.8257982249423343</c:v>
                </c:pt>
                <c:pt idx="63">
                  <c:v>13.398889267101552</c:v>
                </c:pt>
                <c:pt idx="64">
                  <c:v>15.803429049091978</c:v>
                </c:pt>
                <c:pt idx="65">
                  <c:v>34.437068910909716</c:v>
                </c:pt>
                <c:pt idx="66">
                  <c:v>27.232706561261356</c:v>
                </c:pt>
                <c:pt idx="67">
                  <c:v>29.00153724173083</c:v>
                </c:pt>
                <c:pt idx="68">
                  <c:v>21.909881640701165</c:v>
                </c:pt>
                <c:pt idx="69">
                  <c:v>14.260976975612703</c:v>
                </c:pt>
                <c:pt idx="70">
                  <c:v>15.957389917446317</c:v>
                </c:pt>
                <c:pt idx="71">
                  <c:v>9.7637425799613773</c:v>
                </c:pt>
                <c:pt idx="72">
                  <c:v>14.371225140794138</c:v>
                </c:pt>
                <c:pt idx="73">
                  <c:v>13.627688993753186</c:v>
                </c:pt>
                <c:pt idx="74">
                  <c:v>13.346420139827927</c:v>
                </c:pt>
                <c:pt idx="75">
                  <c:v>11.571583946771176</c:v>
                </c:pt>
                <c:pt idx="76">
                  <c:v>14.983219728968209</c:v>
                </c:pt>
                <c:pt idx="77">
                  <c:v>26.426752069257184</c:v>
                </c:pt>
                <c:pt idx="78">
                  <c:v>29.692725852473608</c:v>
                </c:pt>
                <c:pt idx="79">
                  <c:v>39.664278216900904</c:v>
                </c:pt>
                <c:pt idx="80">
                  <c:v>37.592583946574536</c:v>
                </c:pt>
                <c:pt idx="81">
                  <c:v>43.160842236452531</c:v>
                </c:pt>
                <c:pt idx="82">
                  <c:v>42.511609960336742</c:v>
                </c:pt>
                <c:pt idx="83">
                  <c:v>40.148224276630636</c:v>
                </c:pt>
                <c:pt idx="84">
                  <c:v>42.727744757570868</c:v>
                </c:pt>
                <c:pt idx="85">
                  <c:v>40.95245096228583</c:v>
                </c:pt>
                <c:pt idx="86">
                  <c:v>30.988789572551667</c:v>
                </c:pt>
                <c:pt idx="87">
                  <c:v>26.688507140338508</c:v>
                </c:pt>
                <c:pt idx="88">
                  <c:v>7.8332333421028135</c:v>
                </c:pt>
                <c:pt idx="89">
                  <c:v>28.193665452620298</c:v>
                </c:pt>
                <c:pt idx="90">
                  <c:v>32.222627470643289</c:v>
                </c:pt>
                <c:pt idx="91">
                  <c:v>20.500485902105222</c:v>
                </c:pt>
                <c:pt idx="92">
                  <c:v>21.478788652561352</c:v>
                </c:pt>
                <c:pt idx="93">
                  <c:v>42.956336987246004</c:v>
                </c:pt>
                <c:pt idx="94">
                  <c:v>48.201495076635986</c:v>
                </c:pt>
                <c:pt idx="95">
                  <c:v>11.377944647371313</c:v>
                </c:pt>
                <c:pt idx="96">
                  <c:v>34.430419155503543</c:v>
                </c:pt>
                <c:pt idx="97">
                  <c:v>27.430187856098581</c:v>
                </c:pt>
                <c:pt idx="98">
                  <c:v>35.84727937121415</c:v>
                </c:pt>
                <c:pt idx="99">
                  <c:v>48.873972382299364</c:v>
                </c:pt>
                <c:pt idx="100">
                  <c:v>40.613333342938361</c:v>
                </c:pt>
                <c:pt idx="101">
                  <c:v>35.561992250740182</c:v>
                </c:pt>
                <c:pt idx="102">
                  <c:v>7.8815573670321593</c:v>
                </c:pt>
                <c:pt idx="103">
                  <c:v>38.638127290071125</c:v>
                </c:pt>
                <c:pt idx="104">
                  <c:v>42.719667152865519</c:v>
                </c:pt>
                <c:pt idx="105">
                  <c:v>46.327056687046529</c:v>
                </c:pt>
                <c:pt idx="106">
                  <c:v>50.706777719485281</c:v>
                </c:pt>
                <c:pt idx="107">
                  <c:v>39.985732187052697</c:v>
                </c:pt>
                <c:pt idx="108">
                  <c:v>9.3425875258976419</c:v>
                </c:pt>
                <c:pt idx="109">
                  <c:v>9.8001198609215692</c:v>
                </c:pt>
                <c:pt idx="110">
                  <c:v>9.484369766505619</c:v>
                </c:pt>
                <c:pt idx="111">
                  <c:v>27.392944733418357</c:v>
                </c:pt>
                <c:pt idx="112">
                  <c:v>9.2082908101091636</c:v>
                </c:pt>
                <c:pt idx="113">
                  <c:v>31.676761984556709</c:v>
                </c:pt>
                <c:pt idx="114">
                  <c:v>47.468944398751788</c:v>
                </c:pt>
                <c:pt idx="115">
                  <c:v>51.642783713819497</c:v>
                </c:pt>
                <c:pt idx="116">
                  <c:v>37.671858286703113</c:v>
                </c:pt>
                <c:pt idx="117">
                  <c:v>23.302700625250775</c:v>
                </c:pt>
                <c:pt idx="118">
                  <c:v>42.344913094934846</c:v>
                </c:pt>
                <c:pt idx="119">
                  <c:v>44.6215414915088</c:v>
                </c:pt>
                <c:pt idx="120">
                  <c:v>45.497056956582668</c:v>
                </c:pt>
                <c:pt idx="121">
                  <c:v>26.59549728854515</c:v>
                </c:pt>
                <c:pt idx="122">
                  <c:v>36.547021595457068</c:v>
                </c:pt>
                <c:pt idx="123">
                  <c:v>20.726774582610915</c:v>
                </c:pt>
                <c:pt idx="124">
                  <c:v>42.360679468498574</c:v>
                </c:pt>
                <c:pt idx="125">
                  <c:v>35.77594303489591</c:v>
                </c:pt>
                <c:pt idx="126">
                  <c:v>50.457743380710561</c:v>
                </c:pt>
                <c:pt idx="127">
                  <c:v>45.865255015276524</c:v>
                </c:pt>
                <c:pt idx="128">
                  <c:v>52.523458187983337</c:v>
                </c:pt>
                <c:pt idx="129">
                  <c:v>48.713207161259199</c:v>
                </c:pt>
                <c:pt idx="130">
                  <c:v>52.940453701622722</c:v>
                </c:pt>
                <c:pt idx="131">
                  <c:v>40.742123014189758</c:v>
                </c:pt>
                <c:pt idx="132">
                  <c:v>42.285887303991252</c:v>
                </c:pt>
                <c:pt idx="133">
                  <c:v>46.594310997229229</c:v>
                </c:pt>
                <c:pt idx="134">
                  <c:v>49.619417667196466</c:v>
                </c:pt>
                <c:pt idx="135">
                  <c:v>47.860806938652587</c:v>
                </c:pt>
                <c:pt idx="136">
                  <c:v>51.471108822785297</c:v>
                </c:pt>
                <c:pt idx="137">
                  <c:v>50.307602909625246</c:v>
                </c:pt>
                <c:pt idx="138">
                  <c:v>53.176224001605512</c:v>
                </c:pt>
                <c:pt idx="139">
                  <c:v>46.619037175418896</c:v>
                </c:pt>
                <c:pt idx="140">
                  <c:v>46.211044710821888</c:v>
                </c:pt>
                <c:pt idx="141">
                  <c:v>34.227518509238095</c:v>
                </c:pt>
                <c:pt idx="142">
                  <c:v>19.444692704406037</c:v>
                </c:pt>
                <c:pt idx="143">
                  <c:v>15.829433422909139</c:v>
                </c:pt>
                <c:pt idx="144">
                  <c:v>38.556604452644358</c:v>
                </c:pt>
                <c:pt idx="145">
                  <c:v>22.694485304568683</c:v>
                </c:pt>
                <c:pt idx="146">
                  <c:v>44.717559498140957</c:v>
                </c:pt>
                <c:pt idx="147">
                  <c:v>53.295617529969299</c:v>
                </c:pt>
                <c:pt idx="148">
                  <c:v>57.429627507900626</c:v>
                </c:pt>
                <c:pt idx="149">
                  <c:v>49.746586702774906</c:v>
                </c:pt>
                <c:pt idx="150">
                  <c:v>52.826018653395273</c:v>
                </c:pt>
                <c:pt idx="151">
                  <c:v>53.608184108004757</c:v>
                </c:pt>
                <c:pt idx="152">
                  <c:v>44.428995871982629</c:v>
                </c:pt>
                <c:pt idx="153">
                  <c:v>51.781088950146653</c:v>
                </c:pt>
                <c:pt idx="154">
                  <c:v>25.646908599583391</c:v>
                </c:pt>
                <c:pt idx="155">
                  <c:v>35.690332617708776</c:v>
                </c:pt>
                <c:pt idx="156">
                  <c:v>43.024561896138948</c:v>
                </c:pt>
                <c:pt idx="157">
                  <c:v>29.358941035187815</c:v>
                </c:pt>
                <c:pt idx="158">
                  <c:v>20.59873761603226</c:v>
                </c:pt>
                <c:pt idx="159">
                  <c:v>42.410338177213426</c:v>
                </c:pt>
                <c:pt idx="160">
                  <c:v>55.047837609748903</c:v>
                </c:pt>
                <c:pt idx="161">
                  <c:v>52.957417914685053</c:v>
                </c:pt>
                <c:pt idx="162">
                  <c:v>41.192052282599811</c:v>
                </c:pt>
                <c:pt idx="163">
                  <c:v>52.186724539328388</c:v>
                </c:pt>
                <c:pt idx="164">
                  <c:v>45.110840289614721</c:v>
                </c:pt>
                <c:pt idx="165">
                  <c:v>52.303199582474889</c:v>
                </c:pt>
                <c:pt idx="166">
                  <c:v>49.823657306612617</c:v>
                </c:pt>
                <c:pt idx="167">
                  <c:v>50.376963495832975</c:v>
                </c:pt>
                <c:pt idx="168">
                  <c:v>52.615491458426462</c:v>
                </c:pt>
                <c:pt idx="169">
                  <c:v>53.919300293757722</c:v>
                </c:pt>
                <c:pt idx="170">
                  <c:v>31.83301091629367</c:v>
                </c:pt>
                <c:pt idx="171">
                  <c:v>22.251331170466361</c:v>
                </c:pt>
                <c:pt idx="172">
                  <c:v>41.854862536543997</c:v>
                </c:pt>
                <c:pt idx="173">
                  <c:v>39.816011194760499</c:v>
                </c:pt>
                <c:pt idx="174">
                  <c:v>38.377189825372461</c:v>
                </c:pt>
                <c:pt idx="175">
                  <c:v>31.606586529754761</c:v>
                </c:pt>
                <c:pt idx="176">
                  <c:v>11.940785144291334</c:v>
                </c:pt>
                <c:pt idx="177">
                  <c:v>13.899169313921391</c:v>
                </c:pt>
                <c:pt idx="178">
                  <c:v>56.625137842383957</c:v>
                </c:pt>
                <c:pt idx="179">
                  <c:v>54.302089493258826</c:v>
                </c:pt>
                <c:pt idx="180">
                  <c:v>13.730653139949506</c:v>
                </c:pt>
                <c:pt idx="181">
                  <c:v>51.133256592870758</c:v>
                </c:pt>
                <c:pt idx="182">
                  <c:v>53.687414067555395</c:v>
                </c:pt>
                <c:pt idx="183">
                  <c:v>41.849723284908023</c:v>
                </c:pt>
                <c:pt idx="184">
                  <c:v>41.568312307052054</c:v>
                </c:pt>
                <c:pt idx="185">
                  <c:v>53.49841736862512</c:v>
                </c:pt>
                <c:pt idx="186">
                  <c:v>46.972594373556554</c:v>
                </c:pt>
                <c:pt idx="187">
                  <c:v>53.586890915720701</c:v>
                </c:pt>
                <c:pt idx="188">
                  <c:v>55.931004538829079</c:v>
                </c:pt>
                <c:pt idx="189">
                  <c:v>54.976247844450526</c:v>
                </c:pt>
                <c:pt idx="190">
                  <c:v>54.337317404516547</c:v>
                </c:pt>
                <c:pt idx="191">
                  <c:v>52.616281831331236</c:v>
                </c:pt>
                <c:pt idx="192">
                  <c:v>52.254570047300184</c:v>
                </c:pt>
                <c:pt idx="193">
                  <c:v>51.783956262061189</c:v>
                </c:pt>
                <c:pt idx="194">
                  <c:v>50.913379317415533</c:v>
                </c:pt>
                <c:pt idx="195">
                  <c:v>49.961629732661422</c:v>
                </c:pt>
                <c:pt idx="196">
                  <c:v>51.468056495743902</c:v>
                </c:pt>
                <c:pt idx="197">
                  <c:v>50.574712182246074</c:v>
                </c:pt>
                <c:pt idx="198">
                  <c:v>51.286137024443669</c:v>
                </c:pt>
                <c:pt idx="199">
                  <c:v>43.30356631563015</c:v>
                </c:pt>
                <c:pt idx="200">
                  <c:v>42.147938041913257</c:v>
                </c:pt>
                <c:pt idx="201">
                  <c:v>48.951610633743208</c:v>
                </c:pt>
                <c:pt idx="202">
                  <c:v>37.400440697057952</c:v>
                </c:pt>
                <c:pt idx="203">
                  <c:v>48.724119028442885</c:v>
                </c:pt>
                <c:pt idx="204">
                  <c:v>49.054351592880742</c:v>
                </c:pt>
                <c:pt idx="205">
                  <c:v>26.376645958612951</c:v>
                </c:pt>
                <c:pt idx="206">
                  <c:v>55.076163857710966</c:v>
                </c:pt>
                <c:pt idx="207">
                  <c:v>53.455173903100125</c:v>
                </c:pt>
                <c:pt idx="208">
                  <c:v>42.800359944795694</c:v>
                </c:pt>
                <c:pt idx="209">
                  <c:v>31.440935847139293</c:v>
                </c:pt>
                <c:pt idx="210">
                  <c:v>48.224061645738665</c:v>
                </c:pt>
                <c:pt idx="211">
                  <c:v>51.384207250353413</c:v>
                </c:pt>
                <c:pt idx="212">
                  <c:v>51.077771294512445</c:v>
                </c:pt>
                <c:pt idx="213">
                  <c:v>50.847537617671001</c:v>
                </c:pt>
                <c:pt idx="214">
                  <c:v>46.717329058085575</c:v>
                </c:pt>
                <c:pt idx="215">
                  <c:v>46.488098253952138</c:v>
                </c:pt>
                <c:pt idx="216">
                  <c:v>44.48312928782201</c:v>
                </c:pt>
                <c:pt idx="217">
                  <c:v>46.599712902688104</c:v>
                </c:pt>
                <c:pt idx="218">
                  <c:v>49.383331464736685</c:v>
                </c:pt>
                <c:pt idx="219">
                  <c:v>49.671619286727257</c:v>
                </c:pt>
                <c:pt idx="220">
                  <c:v>47.472609575904521</c:v>
                </c:pt>
                <c:pt idx="221">
                  <c:v>44.434336863910424</c:v>
                </c:pt>
                <c:pt idx="222">
                  <c:v>43.054907191578984</c:v>
                </c:pt>
                <c:pt idx="223">
                  <c:v>44.170540328750143</c:v>
                </c:pt>
                <c:pt idx="224">
                  <c:v>32.272705766712335</c:v>
                </c:pt>
                <c:pt idx="225">
                  <c:v>31.634733365918809</c:v>
                </c:pt>
                <c:pt idx="226">
                  <c:v>38.251866059325934</c:v>
                </c:pt>
                <c:pt idx="227">
                  <c:v>32.889257192714133</c:v>
                </c:pt>
                <c:pt idx="228">
                  <c:v>27.385336895055548</c:v>
                </c:pt>
                <c:pt idx="229">
                  <c:v>34.092093238988006</c:v>
                </c:pt>
                <c:pt idx="230">
                  <c:v>40.710430943906097</c:v>
                </c:pt>
                <c:pt idx="231">
                  <c:v>45.697653685803317</c:v>
                </c:pt>
                <c:pt idx="232">
                  <c:v>29.342869591731123</c:v>
                </c:pt>
                <c:pt idx="233">
                  <c:v>25.133801574075239</c:v>
                </c:pt>
                <c:pt idx="234">
                  <c:v>45.928402458512522</c:v>
                </c:pt>
                <c:pt idx="235">
                  <c:v>40.916592356913313</c:v>
                </c:pt>
                <c:pt idx="236">
                  <c:v>32.590573907281779</c:v>
                </c:pt>
                <c:pt idx="237">
                  <c:v>40.878376058970616</c:v>
                </c:pt>
                <c:pt idx="238">
                  <c:v>45.289395822890974</c:v>
                </c:pt>
                <c:pt idx="239">
                  <c:v>43.061908387887954</c:v>
                </c:pt>
                <c:pt idx="240">
                  <c:v>30.290055351330231</c:v>
                </c:pt>
                <c:pt idx="241">
                  <c:v>42.915363691243655</c:v>
                </c:pt>
                <c:pt idx="242">
                  <c:v>22.770022518287092</c:v>
                </c:pt>
                <c:pt idx="243">
                  <c:v>37.455004747834067</c:v>
                </c:pt>
                <c:pt idx="244">
                  <c:v>36.654342923569899</c:v>
                </c:pt>
                <c:pt idx="245">
                  <c:v>34.556053930909904</c:v>
                </c:pt>
                <c:pt idx="246">
                  <c:v>40.592652544804835</c:v>
                </c:pt>
                <c:pt idx="247">
                  <c:v>35.383963368271601</c:v>
                </c:pt>
                <c:pt idx="248">
                  <c:v>40.990824632533965</c:v>
                </c:pt>
                <c:pt idx="249">
                  <c:v>33.503135981193203</c:v>
                </c:pt>
                <c:pt idx="250">
                  <c:v>31.449880509776399</c:v>
                </c:pt>
                <c:pt idx="251">
                  <c:v>23.32145345518342</c:v>
                </c:pt>
                <c:pt idx="252">
                  <c:v>40.79533314497683</c:v>
                </c:pt>
                <c:pt idx="253">
                  <c:v>39.587495334142091</c:v>
                </c:pt>
                <c:pt idx="254">
                  <c:v>28.114019156912942</c:v>
                </c:pt>
                <c:pt idx="255">
                  <c:v>13.208726548074212</c:v>
                </c:pt>
                <c:pt idx="256">
                  <c:v>31.443829323908158</c:v>
                </c:pt>
                <c:pt idx="257">
                  <c:v>35.842166276874003</c:v>
                </c:pt>
                <c:pt idx="258">
                  <c:v>30.749895828785892</c:v>
                </c:pt>
                <c:pt idx="259">
                  <c:v>40.175912071290789</c:v>
                </c:pt>
                <c:pt idx="260">
                  <c:v>39.712235928454923</c:v>
                </c:pt>
                <c:pt idx="261">
                  <c:v>38.171246131394945</c:v>
                </c:pt>
                <c:pt idx="262">
                  <c:v>39.773825252490873</c:v>
                </c:pt>
                <c:pt idx="263">
                  <c:v>38.454539695452603</c:v>
                </c:pt>
                <c:pt idx="264">
                  <c:v>36.762762813774629</c:v>
                </c:pt>
                <c:pt idx="265">
                  <c:v>23.076319720076036</c:v>
                </c:pt>
                <c:pt idx="266">
                  <c:v>15.020356012607223</c:v>
                </c:pt>
                <c:pt idx="267">
                  <c:v>30.6523977532404</c:v>
                </c:pt>
                <c:pt idx="268">
                  <c:v>27.274779353342193</c:v>
                </c:pt>
                <c:pt idx="269">
                  <c:v>16.365388557978662</c:v>
                </c:pt>
                <c:pt idx="270">
                  <c:v>18.471653931525406</c:v>
                </c:pt>
                <c:pt idx="271">
                  <c:v>21.785762042207867</c:v>
                </c:pt>
                <c:pt idx="272">
                  <c:v>24.917003792398312</c:v>
                </c:pt>
                <c:pt idx="273">
                  <c:v>31.308035452817521</c:v>
                </c:pt>
                <c:pt idx="274">
                  <c:v>32.986304904875141</c:v>
                </c:pt>
                <c:pt idx="275">
                  <c:v>32.369376682745866</c:v>
                </c:pt>
                <c:pt idx="276">
                  <c:v>33.402918693552117</c:v>
                </c:pt>
                <c:pt idx="277">
                  <c:v>34.381900464648126</c:v>
                </c:pt>
                <c:pt idx="278">
                  <c:v>10.771180556940111</c:v>
                </c:pt>
                <c:pt idx="279">
                  <c:v>24.007705553790114</c:v>
                </c:pt>
                <c:pt idx="280">
                  <c:v>15.896908582010324</c:v>
                </c:pt>
                <c:pt idx="281">
                  <c:v>31.161132765624973</c:v>
                </c:pt>
                <c:pt idx="282">
                  <c:v>25.016025699629708</c:v>
                </c:pt>
                <c:pt idx="283">
                  <c:v>19.443503801236798</c:v>
                </c:pt>
                <c:pt idx="284">
                  <c:v>23.44941575667572</c:v>
                </c:pt>
                <c:pt idx="285">
                  <c:v>20.168698753353027</c:v>
                </c:pt>
                <c:pt idx="286">
                  <c:v>16.881346328406128</c:v>
                </c:pt>
                <c:pt idx="287">
                  <c:v>29.717813979337969</c:v>
                </c:pt>
                <c:pt idx="288">
                  <c:v>27.15615433585856</c:v>
                </c:pt>
                <c:pt idx="289">
                  <c:v>17.549692894054782</c:v>
                </c:pt>
                <c:pt idx="290">
                  <c:v>27.699816059503028</c:v>
                </c:pt>
                <c:pt idx="291">
                  <c:v>13.920707231135472</c:v>
                </c:pt>
                <c:pt idx="292">
                  <c:v>6.1352918247663641</c:v>
                </c:pt>
                <c:pt idx="293">
                  <c:v>14.085203820998332</c:v>
                </c:pt>
                <c:pt idx="294">
                  <c:v>26.683894247166648</c:v>
                </c:pt>
                <c:pt idx="295">
                  <c:v>15.319496522341675</c:v>
                </c:pt>
                <c:pt idx="296">
                  <c:v>18.997532825110067</c:v>
                </c:pt>
                <c:pt idx="297">
                  <c:v>18.855990723637554</c:v>
                </c:pt>
                <c:pt idx="298">
                  <c:v>11.205863823953026</c:v>
                </c:pt>
                <c:pt idx="299">
                  <c:v>11.38263004759229</c:v>
                </c:pt>
                <c:pt idx="300">
                  <c:v>15.406748517638984</c:v>
                </c:pt>
                <c:pt idx="301">
                  <c:v>21.690545924279409</c:v>
                </c:pt>
                <c:pt idx="302">
                  <c:v>17.927691843847654</c:v>
                </c:pt>
                <c:pt idx="303">
                  <c:v>16.946705370374175</c:v>
                </c:pt>
                <c:pt idx="304">
                  <c:v>17.027349252581462</c:v>
                </c:pt>
                <c:pt idx="305">
                  <c:v>23.074402956341334</c:v>
                </c:pt>
                <c:pt idx="306">
                  <c:v>9.3958772071769587</c:v>
                </c:pt>
                <c:pt idx="307">
                  <c:v>15.562684250450969</c:v>
                </c:pt>
                <c:pt idx="308">
                  <c:v>23.563370112309993</c:v>
                </c:pt>
                <c:pt idx="309">
                  <c:v>22.973701798780478</c:v>
                </c:pt>
                <c:pt idx="310">
                  <c:v>21.051272835910552</c:v>
                </c:pt>
                <c:pt idx="311">
                  <c:v>15.557371773883826</c:v>
                </c:pt>
                <c:pt idx="312">
                  <c:v>8.3272393921700925</c:v>
                </c:pt>
                <c:pt idx="313">
                  <c:v>17.646861557839991</c:v>
                </c:pt>
                <c:pt idx="314">
                  <c:v>20.793018911242228</c:v>
                </c:pt>
                <c:pt idx="315">
                  <c:v>20.601765748901858</c:v>
                </c:pt>
                <c:pt idx="316">
                  <c:v>19.673354903341501</c:v>
                </c:pt>
                <c:pt idx="317">
                  <c:v>7.9032166241453838</c:v>
                </c:pt>
                <c:pt idx="318">
                  <c:v>10.652982063427965</c:v>
                </c:pt>
                <c:pt idx="319">
                  <c:v>20.213324389268706</c:v>
                </c:pt>
                <c:pt idx="320">
                  <c:v>11.79922154932369</c:v>
                </c:pt>
                <c:pt idx="321">
                  <c:v>12.473088285921749</c:v>
                </c:pt>
                <c:pt idx="322">
                  <c:v>6.9202671923138368</c:v>
                </c:pt>
                <c:pt idx="323">
                  <c:v>12.806996699181536</c:v>
                </c:pt>
                <c:pt idx="324">
                  <c:v>2.9986956242802671</c:v>
                </c:pt>
                <c:pt idx="325">
                  <c:v>7.1039656854898796</c:v>
                </c:pt>
                <c:pt idx="326">
                  <c:v>11.360368500468342</c:v>
                </c:pt>
                <c:pt idx="327">
                  <c:v>11.43935917983263</c:v>
                </c:pt>
                <c:pt idx="328">
                  <c:v>4.6545659405835069</c:v>
                </c:pt>
                <c:pt idx="329">
                  <c:v>10.448267798383787</c:v>
                </c:pt>
                <c:pt idx="330">
                  <c:v>11.775110598067986</c:v>
                </c:pt>
                <c:pt idx="331">
                  <c:v>9.9976208400766033</c:v>
                </c:pt>
                <c:pt idx="332">
                  <c:v>13.43579669094184</c:v>
                </c:pt>
                <c:pt idx="333">
                  <c:v>3.7889523332742714</c:v>
                </c:pt>
                <c:pt idx="334">
                  <c:v>3.5903432395124533</c:v>
                </c:pt>
                <c:pt idx="335">
                  <c:v>5.4240117674648829</c:v>
                </c:pt>
                <c:pt idx="336">
                  <c:v>7.370285433718041</c:v>
                </c:pt>
                <c:pt idx="337">
                  <c:v>13.713970365809743</c:v>
                </c:pt>
                <c:pt idx="338">
                  <c:v>17.119370843297862</c:v>
                </c:pt>
                <c:pt idx="339">
                  <c:v>9.2561301764540502</c:v>
                </c:pt>
                <c:pt idx="340">
                  <c:v>15.277590593451926</c:v>
                </c:pt>
                <c:pt idx="341">
                  <c:v>3.8697541893040048</c:v>
                </c:pt>
                <c:pt idx="342">
                  <c:v>4.7015631544573466</c:v>
                </c:pt>
                <c:pt idx="343">
                  <c:v>10.669574006585714</c:v>
                </c:pt>
                <c:pt idx="344">
                  <c:v>13.035554166286763</c:v>
                </c:pt>
                <c:pt idx="345">
                  <c:v>4.0948825625351688</c:v>
                </c:pt>
                <c:pt idx="346">
                  <c:v>5.0550945656056019</c:v>
                </c:pt>
                <c:pt idx="347">
                  <c:v>14.635669438657038</c:v>
                </c:pt>
                <c:pt idx="348">
                  <c:v>5.5302019978056238</c:v>
                </c:pt>
                <c:pt idx="349">
                  <c:v>4.9473160903141649</c:v>
                </c:pt>
                <c:pt idx="350">
                  <c:v>3.2975315554606355</c:v>
                </c:pt>
                <c:pt idx="351">
                  <c:v>15.147018421902962</c:v>
                </c:pt>
                <c:pt idx="352">
                  <c:v>12.548851941445532</c:v>
                </c:pt>
                <c:pt idx="353">
                  <c:v>4.4078337617952243</c:v>
                </c:pt>
                <c:pt idx="354">
                  <c:v>15.713832016755989</c:v>
                </c:pt>
                <c:pt idx="355">
                  <c:v>12.054767424530654</c:v>
                </c:pt>
                <c:pt idx="356">
                  <c:v>12.682012827437651</c:v>
                </c:pt>
                <c:pt idx="357">
                  <c:v>16.295520039912599</c:v>
                </c:pt>
                <c:pt idx="358">
                  <c:v>9.332165312360706</c:v>
                </c:pt>
                <c:pt idx="359">
                  <c:v>15.87363854486834</c:v>
                </c:pt>
                <c:pt idx="360">
                  <c:v>6.4505975379142724</c:v>
                </c:pt>
                <c:pt idx="361">
                  <c:v>15.351006362408961</c:v>
                </c:pt>
                <c:pt idx="362">
                  <c:v>8.6880179289117301</c:v>
                </c:pt>
                <c:pt idx="363">
                  <c:v>11.517153682882322</c:v>
                </c:pt>
                <c:pt idx="364">
                  <c:v>8.5724010331315341</c:v>
                </c:pt>
                <c:pt idx="365">
                  <c:v>11.759629774018462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17.477772743038408</c:v>
                </c:pt>
                <c:pt idx="1">
                  <c:v>13.839653166575038</c:v>
                </c:pt>
                <c:pt idx="2">
                  <c:v>13.678681319511096</c:v>
                </c:pt>
                <c:pt idx="3">
                  <c:v>14.167473038228032</c:v>
                </c:pt>
                <c:pt idx="4">
                  <c:v>12.1243855136099</c:v>
                </c:pt>
                <c:pt idx="5">
                  <c:v>15.575315526849076</c:v>
                </c:pt>
                <c:pt idx="6">
                  <c:v>9.6738935258482446</c:v>
                </c:pt>
                <c:pt idx="7">
                  <c:v>7.0332357560100807</c:v>
                </c:pt>
                <c:pt idx="8">
                  <c:v>2.1176173087483225</c:v>
                </c:pt>
                <c:pt idx="9">
                  <c:v>1.6923372434284072</c:v>
                </c:pt>
                <c:pt idx="10">
                  <c:v>19.702012053497103</c:v>
                </c:pt>
                <c:pt idx="11">
                  <c:v>16.717127117209117</c:v>
                </c:pt>
                <c:pt idx="12">
                  <c:v>5.4718936808179217</c:v>
                </c:pt>
                <c:pt idx="13">
                  <c:v>20.134129466488613</c:v>
                </c:pt>
                <c:pt idx="14">
                  <c:v>20.085952544003948</c:v>
                </c:pt>
                <c:pt idx="15">
                  <c:v>19.810257926132479</c:v>
                </c:pt>
                <c:pt idx="16">
                  <c:v>11.677404551365305</c:v>
                </c:pt>
                <c:pt idx="17">
                  <c:v>3.8272346094032814</c:v>
                </c:pt>
                <c:pt idx="18">
                  <c:v>8.936601218770063</c:v>
                </c:pt>
                <c:pt idx="19">
                  <c:v>6.522995580463868</c:v>
                </c:pt>
                <c:pt idx="20">
                  <c:v>17.70155141787486</c:v>
                </c:pt>
                <c:pt idx="21">
                  <c:v>21.263111139371826</c:v>
                </c:pt>
                <c:pt idx="22">
                  <c:v>21.484981903335004</c:v>
                </c:pt>
                <c:pt idx="23">
                  <c:v>21.833436365589595</c:v>
                </c:pt>
                <c:pt idx="24">
                  <c:v>21.793061259508789</c:v>
                </c:pt>
                <c:pt idx="25">
                  <c:v>21.921811255862998</c:v>
                </c:pt>
                <c:pt idx="26">
                  <c:v>22.834045931974252</c:v>
                </c:pt>
                <c:pt idx="27">
                  <c:v>4.2460892188072563</c:v>
                </c:pt>
                <c:pt idx="28">
                  <c:v>9.6714358312072886</c:v>
                </c:pt>
                <c:pt idx="29">
                  <c:v>4.6259693049117399</c:v>
                </c:pt>
                <c:pt idx="30">
                  <c:v>8.169583449668659</c:v>
                </c:pt>
                <c:pt idx="31">
                  <c:v>9.5990051525532945</c:v>
                </c:pt>
                <c:pt idx="32">
                  <c:v>5.4389931734037278</c:v>
                </c:pt>
                <c:pt idx="33">
                  <c:v>9.8865596290516162</c:v>
                </c:pt>
                <c:pt idx="34">
                  <c:v>9.7587352646341721</c:v>
                </c:pt>
                <c:pt idx="35">
                  <c:v>8.976032368354204</c:v>
                </c:pt>
                <c:pt idx="36">
                  <c:v>17.128568370794575</c:v>
                </c:pt>
                <c:pt idx="37">
                  <c:v>9.1466608350036118</c:v>
                </c:pt>
                <c:pt idx="38">
                  <c:v>26.767696797531435</c:v>
                </c:pt>
                <c:pt idx="39">
                  <c:v>26.844262873121544</c:v>
                </c:pt>
                <c:pt idx="40">
                  <c:v>25.191973958461979</c:v>
                </c:pt>
                <c:pt idx="41">
                  <c:v>16.012013242556737</c:v>
                </c:pt>
                <c:pt idx="42">
                  <c:v>23.147797884511899</c:v>
                </c:pt>
                <c:pt idx="43">
                  <c:v>27.381737010551589</c:v>
                </c:pt>
                <c:pt idx="44">
                  <c:v>14.34119525702442</c:v>
                </c:pt>
                <c:pt idx="45">
                  <c:v>16.909937117587994</c:v>
                </c:pt>
                <c:pt idx="46">
                  <c:v>9.3072236118464602</c:v>
                </c:pt>
                <c:pt idx="47">
                  <c:v>11.083914215989557</c:v>
                </c:pt>
                <c:pt idx="48">
                  <c:v>24.540575807360256</c:v>
                </c:pt>
                <c:pt idx="49">
                  <c:v>18.768762134883588</c:v>
                </c:pt>
                <c:pt idx="50">
                  <c:v>18.418532970430885</c:v>
                </c:pt>
                <c:pt idx="51">
                  <c:v>20.087514995025071</c:v>
                </c:pt>
                <c:pt idx="52">
                  <c:v>29.318325607475867</c:v>
                </c:pt>
                <c:pt idx="53">
                  <c:v>29.539780331832265</c:v>
                </c:pt>
                <c:pt idx="54">
                  <c:v>18.119207959148245</c:v>
                </c:pt>
                <c:pt idx="55">
                  <c:v>29.13297065903199</c:v>
                </c:pt>
                <c:pt idx="56">
                  <c:v>33.327427666420348</c:v>
                </c:pt>
                <c:pt idx="57">
                  <c:v>27.288219089736877</c:v>
                </c:pt>
                <c:pt idx="58">
                  <c:v>28.334075009436543</c:v>
                </c:pt>
                <c:pt idx="59">
                  <c:v>33.605314309302024</c:v>
                </c:pt>
                <c:pt idx="60">
                  <c:v>10.779102040142636</c:v>
                </c:pt>
                <c:pt idx="61">
                  <c:v>32.206399513855715</c:v>
                </c:pt>
                <c:pt idx="62">
                  <c:v>3.8257982249423343</c:v>
                </c:pt>
                <c:pt idx="63">
                  <c:v>13.398889267101552</c:v>
                </c:pt>
                <c:pt idx="64">
                  <c:v>15.803429049091978</c:v>
                </c:pt>
                <c:pt idx="65">
                  <c:v>34.437068910909716</c:v>
                </c:pt>
                <c:pt idx="66">
                  <c:v>27.232706561261356</c:v>
                </c:pt>
                <c:pt idx="67">
                  <c:v>29.00153724173083</c:v>
                </c:pt>
                <c:pt idx="68">
                  <c:v>21.909881640701165</c:v>
                </c:pt>
                <c:pt idx="69">
                  <c:v>14.260976975612703</c:v>
                </c:pt>
                <c:pt idx="70">
                  <c:v>15.957389917446317</c:v>
                </c:pt>
                <c:pt idx="71">
                  <c:v>9.7637425799613773</c:v>
                </c:pt>
                <c:pt idx="72">
                  <c:v>14.371225140794138</c:v>
                </c:pt>
                <c:pt idx="73">
                  <c:v>13.627688993753186</c:v>
                </c:pt>
                <c:pt idx="74">
                  <c:v>13.346420139827927</c:v>
                </c:pt>
                <c:pt idx="75">
                  <c:v>11.571583946771176</c:v>
                </c:pt>
                <c:pt idx="76">
                  <c:v>14.983219728968209</c:v>
                </c:pt>
                <c:pt idx="77">
                  <c:v>26.426752069257184</c:v>
                </c:pt>
                <c:pt idx="78">
                  <c:v>29.692725852473608</c:v>
                </c:pt>
                <c:pt idx="79">
                  <c:v>39.664278216900904</c:v>
                </c:pt>
                <c:pt idx="80">
                  <c:v>37.592583946574536</c:v>
                </c:pt>
                <c:pt idx="81">
                  <c:v>43.160842236452531</c:v>
                </c:pt>
                <c:pt idx="82">
                  <c:v>42.511609960336742</c:v>
                </c:pt>
                <c:pt idx="83">
                  <c:v>40.148224276630636</c:v>
                </c:pt>
                <c:pt idx="84">
                  <c:v>42.727744757570868</c:v>
                </c:pt>
                <c:pt idx="85">
                  <c:v>40.95245096228583</c:v>
                </c:pt>
                <c:pt idx="86">
                  <c:v>30.988789572551667</c:v>
                </c:pt>
                <c:pt idx="87">
                  <c:v>26.688507140338508</c:v>
                </c:pt>
                <c:pt idx="88">
                  <c:v>7.8332333421028135</c:v>
                </c:pt>
                <c:pt idx="89">
                  <c:v>28.193665452620298</c:v>
                </c:pt>
                <c:pt idx="90">
                  <c:v>32.222627470643289</c:v>
                </c:pt>
                <c:pt idx="91">
                  <c:v>20.500485902105222</c:v>
                </c:pt>
                <c:pt idx="92">
                  <c:v>21.478788652561352</c:v>
                </c:pt>
                <c:pt idx="93">
                  <c:v>42.956336987246004</c:v>
                </c:pt>
                <c:pt idx="94">
                  <c:v>48.201495076635986</c:v>
                </c:pt>
                <c:pt idx="95">
                  <c:v>11.377944647371313</c:v>
                </c:pt>
                <c:pt idx="96">
                  <c:v>34.430419155503543</c:v>
                </c:pt>
                <c:pt idx="97">
                  <c:v>27.430187856098581</c:v>
                </c:pt>
                <c:pt idx="98">
                  <c:v>35.84727937121415</c:v>
                </c:pt>
                <c:pt idx="99">
                  <c:v>48.873972382299364</c:v>
                </c:pt>
                <c:pt idx="100">
                  <c:v>40.613333342938361</c:v>
                </c:pt>
                <c:pt idx="101">
                  <c:v>35.561992250740182</c:v>
                </c:pt>
                <c:pt idx="102">
                  <c:v>7.8815573670321593</c:v>
                </c:pt>
                <c:pt idx="103">
                  <c:v>38.638127290071125</c:v>
                </c:pt>
                <c:pt idx="104">
                  <c:v>42.719667152865519</c:v>
                </c:pt>
                <c:pt idx="105">
                  <c:v>46.327056687046529</c:v>
                </c:pt>
                <c:pt idx="106">
                  <c:v>50.706777719485281</c:v>
                </c:pt>
                <c:pt idx="107">
                  <c:v>39.985732187052697</c:v>
                </c:pt>
                <c:pt idx="108">
                  <c:v>9.3425875258976419</c:v>
                </c:pt>
                <c:pt idx="109">
                  <c:v>9.8001198609215692</c:v>
                </c:pt>
                <c:pt idx="110">
                  <c:v>9.484369766505619</c:v>
                </c:pt>
                <c:pt idx="111">
                  <c:v>27.392944733418357</c:v>
                </c:pt>
                <c:pt idx="112">
                  <c:v>9.2082908101091636</c:v>
                </c:pt>
                <c:pt idx="113">
                  <c:v>31.676761984556709</c:v>
                </c:pt>
                <c:pt idx="114">
                  <c:v>47.468944398751788</c:v>
                </c:pt>
                <c:pt idx="115">
                  <c:v>51.642783713819497</c:v>
                </c:pt>
                <c:pt idx="116">
                  <c:v>37.671858286703113</c:v>
                </c:pt>
                <c:pt idx="117">
                  <c:v>23.302700625250775</c:v>
                </c:pt>
                <c:pt idx="118">
                  <c:v>42.344913094934846</c:v>
                </c:pt>
                <c:pt idx="119">
                  <c:v>44.6215414915088</c:v>
                </c:pt>
                <c:pt idx="120">
                  <c:v>45.497056956582668</c:v>
                </c:pt>
                <c:pt idx="121">
                  <c:v>26.59549728854515</c:v>
                </c:pt>
                <c:pt idx="122">
                  <c:v>36.547021595457068</c:v>
                </c:pt>
                <c:pt idx="123">
                  <c:v>20.726774582610915</c:v>
                </c:pt>
                <c:pt idx="124">
                  <c:v>42.360679468498574</c:v>
                </c:pt>
                <c:pt idx="125">
                  <c:v>35.77594303489591</c:v>
                </c:pt>
                <c:pt idx="126">
                  <c:v>50.457743380710561</c:v>
                </c:pt>
                <c:pt idx="127">
                  <c:v>45.865255015276524</c:v>
                </c:pt>
                <c:pt idx="128">
                  <c:v>52.523458187983337</c:v>
                </c:pt>
                <c:pt idx="129">
                  <c:v>48.713207161259199</c:v>
                </c:pt>
                <c:pt idx="130">
                  <c:v>52.940453701622722</c:v>
                </c:pt>
                <c:pt idx="131">
                  <c:v>40.742123014189758</c:v>
                </c:pt>
                <c:pt idx="132">
                  <c:v>42.285887303991252</c:v>
                </c:pt>
                <c:pt idx="133">
                  <c:v>46.594310997229229</c:v>
                </c:pt>
                <c:pt idx="134">
                  <c:v>49.619417667196466</c:v>
                </c:pt>
                <c:pt idx="135">
                  <c:v>47.860806938652587</c:v>
                </c:pt>
                <c:pt idx="136">
                  <c:v>51.471108822785297</c:v>
                </c:pt>
                <c:pt idx="137">
                  <c:v>50.307602909625246</c:v>
                </c:pt>
                <c:pt idx="138">
                  <c:v>53.176224001605512</c:v>
                </c:pt>
                <c:pt idx="139">
                  <c:v>46.619037175418896</c:v>
                </c:pt>
                <c:pt idx="140">
                  <c:v>46.211044710821888</c:v>
                </c:pt>
                <c:pt idx="141">
                  <c:v>34.227518509238095</c:v>
                </c:pt>
                <c:pt idx="142">
                  <c:v>19.444692704406037</c:v>
                </c:pt>
                <c:pt idx="143">
                  <c:v>15.829433422909139</c:v>
                </c:pt>
                <c:pt idx="144">
                  <c:v>38.556604452644358</c:v>
                </c:pt>
                <c:pt idx="145">
                  <c:v>22.694485304568683</c:v>
                </c:pt>
                <c:pt idx="146">
                  <c:v>44.717559498140957</c:v>
                </c:pt>
                <c:pt idx="147">
                  <c:v>53.295617529969299</c:v>
                </c:pt>
                <c:pt idx="148">
                  <c:v>57.429627507900626</c:v>
                </c:pt>
                <c:pt idx="149">
                  <c:v>49.746586702774906</c:v>
                </c:pt>
                <c:pt idx="150">
                  <c:v>52.826018653395273</c:v>
                </c:pt>
                <c:pt idx="151">
                  <c:v>53.608184108004757</c:v>
                </c:pt>
                <c:pt idx="152">
                  <c:v>44.428995871982629</c:v>
                </c:pt>
                <c:pt idx="153">
                  <c:v>51.781088950146653</c:v>
                </c:pt>
                <c:pt idx="154">
                  <c:v>25.646908599583391</c:v>
                </c:pt>
                <c:pt idx="155">
                  <c:v>35.690332617708776</c:v>
                </c:pt>
                <c:pt idx="156">
                  <c:v>43.024561896138948</c:v>
                </c:pt>
                <c:pt idx="157">
                  <c:v>29.358941035187815</c:v>
                </c:pt>
                <c:pt idx="158">
                  <c:v>20.59873761603226</c:v>
                </c:pt>
                <c:pt idx="159">
                  <c:v>42.410338177213426</c:v>
                </c:pt>
                <c:pt idx="160">
                  <c:v>55.047837609748903</c:v>
                </c:pt>
                <c:pt idx="161">
                  <c:v>52.957417914685053</c:v>
                </c:pt>
                <c:pt idx="162">
                  <c:v>41.192052282599811</c:v>
                </c:pt>
                <c:pt idx="163">
                  <c:v>52.186724539328388</c:v>
                </c:pt>
                <c:pt idx="164">
                  <c:v>45.110840289614721</c:v>
                </c:pt>
                <c:pt idx="165">
                  <c:v>52.303199582474889</c:v>
                </c:pt>
                <c:pt idx="166">
                  <c:v>49.823657306612617</c:v>
                </c:pt>
                <c:pt idx="167">
                  <c:v>50.376963495832975</c:v>
                </c:pt>
                <c:pt idx="168">
                  <c:v>52.615491458426462</c:v>
                </c:pt>
                <c:pt idx="169">
                  <c:v>53.919300293757722</c:v>
                </c:pt>
                <c:pt idx="170">
                  <c:v>31.83301091629367</c:v>
                </c:pt>
                <c:pt idx="171">
                  <c:v>22.251331170466361</c:v>
                </c:pt>
                <c:pt idx="172">
                  <c:v>41.854862536543997</c:v>
                </c:pt>
                <c:pt idx="173">
                  <c:v>39.816011194760499</c:v>
                </c:pt>
                <c:pt idx="174">
                  <c:v>38.377189825372461</c:v>
                </c:pt>
                <c:pt idx="175">
                  <c:v>31.606586529754761</c:v>
                </c:pt>
                <c:pt idx="176">
                  <c:v>11.940785144291334</c:v>
                </c:pt>
                <c:pt idx="177">
                  <c:v>13.899169313921391</c:v>
                </c:pt>
                <c:pt idx="178">
                  <c:v>56.625137842383957</c:v>
                </c:pt>
                <c:pt idx="179">
                  <c:v>54.302089493258826</c:v>
                </c:pt>
                <c:pt idx="180">
                  <c:v>13.730653139949506</c:v>
                </c:pt>
                <c:pt idx="181">
                  <c:v>51.133256592870758</c:v>
                </c:pt>
                <c:pt idx="182">
                  <c:v>53.687414067555395</c:v>
                </c:pt>
                <c:pt idx="183">
                  <c:v>41.849723284908023</c:v>
                </c:pt>
                <c:pt idx="184">
                  <c:v>41.568312307052054</c:v>
                </c:pt>
                <c:pt idx="185">
                  <c:v>53.49841736862512</c:v>
                </c:pt>
                <c:pt idx="186">
                  <c:v>46.972594373556554</c:v>
                </c:pt>
                <c:pt idx="187">
                  <c:v>53.586890915720701</c:v>
                </c:pt>
                <c:pt idx="188">
                  <c:v>55.931004538829079</c:v>
                </c:pt>
                <c:pt idx="189">
                  <c:v>54.976247844450526</c:v>
                </c:pt>
                <c:pt idx="190">
                  <c:v>54.337317404516547</c:v>
                </c:pt>
                <c:pt idx="191">
                  <c:v>52.616281831331236</c:v>
                </c:pt>
                <c:pt idx="192">
                  <c:v>52.254570047300184</c:v>
                </c:pt>
                <c:pt idx="193">
                  <c:v>51.783956262061189</c:v>
                </c:pt>
                <c:pt idx="194">
                  <c:v>50.913379317415533</c:v>
                </c:pt>
                <c:pt idx="195">
                  <c:v>49.961629732661422</c:v>
                </c:pt>
                <c:pt idx="196">
                  <c:v>51.468056495743902</c:v>
                </c:pt>
                <c:pt idx="197">
                  <c:v>50.574712182246074</c:v>
                </c:pt>
                <c:pt idx="198">
                  <c:v>51.286137024443669</c:v>
                </c:pt>
                <c:pt idx="199">
                  <c:v>43.30356631563015</c:v>
                </c:pt>
                <c:pt idx="200">
                  <c:v>42.147938041913257</c:v>
                </c:pt>
                <c:pt idx="201">
                  <c:v>48.951610633743208</c:v>
                </c:pt>
                <c:pt idx="202">
                  <c:v>37.400440697057952</c:v>
                </c:pt>
                <c:pt idx="203">
                  <c:v>48.724119028442885</c:v>
                </c:pt>
                <c:pt idx="204">
                  <c:v>49.054351592880742</c:v>
                </c:pt>
                <c:pt idx="205">
                  <c:v>26.376645958612951</c:v>
                </c:pt>
                <c:pt idx="206">
                  <c:v>55.076163857710966</c:v>
                </c:pt>
                <c:pt idx="207">
                  <c:v>53.455173903100125</c:v>
                </c:pt>
                <c:pt idx="208">
                  <c:v>42.800359944795694</c:v>
                </c:pt>
                <c:pt idx="209">
                  <c:v>31.440935847139293</c:v>
                </c:pt>
                <c:pt idx="210">
                  <c:v>48.224061645738665</c:v>
                </c:pt>
                <c:pt idx="211">
                  <c:v>51.384207250353413</c:v>
                </c:pt>
                <c:pt idx="212">
                  <c:v>51.077771294512445</c:v>
                </c:pt>
                <c:pt idx="213">
                  <c:v>50.847537617671001</c:v>
                </c:pt>
                <c:pt idx="214">
                  <c:v>46.717329058085575</c:v>
                </c:pt>
                <c:pt idx="215">
                  <c:v>46.488098253952138</c:v>
                </c:pt>
                <c:pt idx="216">
                  <c:v>44.48312928782201</c:v>
                </c:pt>
                <c:pt idx="217">
                  <c:v>46.599712902688104</c:v>
                </c:pt>
                <c:pt idx="218">
                  <c:v>49.383331464736685</c:v>
                </c:pt>
                <c:pt idx="219">
                  <c:v>49.671619286727257</c:v>
                </c:pt>
                <c:pt idx="220">
                  <c:v>47.472609575904521</c:v>
                </c:pt>
                <c:pt idx="221">
                  <c:v>44.434336863910424</c:v>
                </c:pt>
                <c:pt idx="222">
                  <c:v>43.054907191578984</c:v>
                </c:pt>
                <c:pt idx="223">
                  <c:v>44.170540328750143</c:v>
                </c:pt>
                <c:pt idx="224">
                  <c:v>32.272705766712335</c:v>
                </c:pt>
                <c:pt idx="225">
                  <c:v>31.634733365918809</c:v>
                </c:pt>
                <c:pt idx="226">
                  <c:v>38.251866059325934</c:v>
                </c:pt>
                <c:pt idx="227">
                  <c:v>32.889257192714133</c:v>
                </c:pt>
                <c:pt idx="228">
                  <c:v>27.385336895055548</c:v>
                </c:pt>
                <c:pt idx="229">
                  <c:v>34.092093238988006</c:v>
                </c:pt>
                <c:pt idx="230">
                  <c:v>40.710430943906097</c:v>
                </c:pt>
                <c:pt idx="231">
                  <c:v>45.697653685803317</c:v>
                </c:pt>
                <c:pt idx="232">
                  <c:v>29.342869591731123</c:v>
                </c:pt>
                <c:pt idx="233">
                  <c:v>25.133801574075239</c:v>
                </c:pt>
                <c:pt idx="234">
                  <c:v>45.928402458512522</c:v>
                </c:pt>
                <c:pt idx="235">
                  <c:v>40.916592356913313</c:v>
                </c:pt>
                <c:pt idx="236">
                  <c:v>32.590573907281779</c:v>
                </c:pt>
                <c:pt idx="237">
                  <c:v>40.878376058970616</c:v>
                </c:pt>
                <c:pt idx="238">
                  <c:v>45.289395822890974</c:v>
                </c:pt>
                <c:pt idx="239">
                  <c:v>43.061908387887954</c:v>
                </c:pt>
                <c:pt idx="240">
                  <c:v>30.290055351330231</c:v>
                </c:pt>
                <c:pt idx="241">
                  <c:v>42.915363691243655</c:v>
                </c:pt>
                <c:pt idx="242">
                  <c:v>22.770022518287092</c:v>
                </c:pt>
                <c:pt idx="243">
                  <c:v>37.455004747834067</c:v>
                </c:pt>
                <c:pt idx="244">
                  <c:v>36.654342923569899</c:v>
                </c:pt>
                <c:pt idx="245">
                  <c:v>34.556053930909904</c:v>
                </c:pt>
                <c:pt idx="246">
                  <c:v>40.592652544804835</c:v>
                </c:pt>
                <c:pt idx="247">
                  <c:v>35.383963368271601</c:v>
                </c:pt>
                <c:pt idx="248">
                  <c:v>40.990824632533965</c:v>
                </c:pt>
                <c:pt idx="249">
                  <c:v>33.503135981193203</c:v>
                </c:pt>
                <c:pt idx="250">
                  <c:v>31.449880509776399</c:v>
                </c:pt>
                <c:pt idx="251">
                  <c:v>23.32145345518342</c:v>
                </c:pt>
                <c:pt idx="252">
                  <c:v>40.79533314497683</c:v>
                </c:pt>
                <c:pt idx="253">
                  <c:v>39.587495334142091</c:v>
                </c:pt>
                <c:pt idx="254">
                  <c:v>28.114019156912942</c:v>
                </c:pt>
                <c:pt idx="255">
                  <c:v>13.208726548074212</c:v>
                </c:pt>
                <c:pt idx="256">
                  <c:v>31.443829323908158</c:v>
                </c:pt>
                <c:pt idx="257">
                  <c:v>35.842166276874003</c:v>
                </c:pt>
                <c:pt idx="258">
                  <c:v>30.749895828785892</c:v>
                </c:pt>
                <c:pt idx="259">
                  <c:v>40.175912071290789</c:v>
                </c:pt>
                <c:pt idx="260">
                  <c:v>39.712235928454923</c:v>
                </c:pt>
                <c:pt idx="261">
                  <c:v>38.171246131394945</c:v>
                </c:pt>
                <c:pt idx="262">
                  <c:v>39.773825252490873</c:v>
                </c:pt>
                <c:pt idx="263">
                  <c:v>38.454539695452603</c:v>
                </c:pt>
                <c:pt idx="264">
                  <c:v>36.762762813774629</c:v>
                </c:pt>
                <c:pt idx="265">
                  <c:v>23.076319720076036</c:v>
                </c:pt>
                <c:pt idx="266">
                  <c:v>15.020356012607223</c:v>
                </c:pt>
                <c:pt idx="267">
                  <c:v>30.6523977532404</c:v>
                </c:pt>
                <c:pt idx="268">
                  <c:v>27.274779353342193</c:v>
                </c:pt>
                <c:pt idx="269">
                  <c:v>16.365388557978662</c:v>
                </c:pt>
                <c:pt idx="270">
                  <c:v>18.471653931525406</c:v>
                </c:pt>
                <c:pt idx="271">
                  <c:v>21.785762042207867</c:v>
                </c:pt>
                <c:pt idx="272">
                  <c:v>24.917003792398312</c:v>
                </c:pt>
                <c:pt idx="273">
                  <c:v>31.308035452817521</c:v>
                </c:pt>
                <c:pt idx="274">
                  <c:v>32.986304904875141</c:v>
                </c:pt>
                <c:pt idx="275">
                  <c:v>32.369376682745866</c:v>
                </c:pt>
                <c:pt idx="276">
                  <c:v>33.402918693552117</c:v>
                </c:pt>
                <c:pt idx="277">
                  <c:v>34.381900464648126</c:v>
                </c:pt>
                <c:pt idx="278">
                  <c:v>10.771180556940111</c:v>
                </c:pt>
                <c:pt idx="279">
                  <c:v>24.007705553790114</c:v>
                </c:pt>
                <c:pt idx="280">
                  <c:v>15.896908582010324</c:v>
                </c:pt>
                <c:pt idx="281">
                  <c:v>31.161132765624973</c:v>
                </c:pt>
                <c:pt idx="282">
                  <c:v>25.016025699629708</c:v>
                </c:pt>
                <c:pt idx="283">
                  <c:v>19.443503801236798</c:v>
                </c:pt>
                <c:pt idx="284">
                  <c:v>23.44941575667572</c:v>
                </c:pt>
                <c:pt idx="285">
                  <c:v>20.168698753353027</c:v>
                </c:pt>
                <c:pt idx="286">
                  <c:v>16.881346328406128</c:v>
                </c:pt>
                <c:pt idx="287">
                  <c:v>29.717813979337969</c:v>
                </c:pt>
                <c:pt idx="288">
                  <c:v>27.15615433585856</c:v>
                </c:pt>
                <c:pt idx="289">
                  <c:v>17.549692894054782</c:v>
                </c:pt>
                <c:pt idx="290">
                  <c:v>27.699816059503028</c:v>
                </c:pt>
                <c:pt idx="291">
                  <c:v>13.920707231135472</c:v>
                </c:pt>
                <c:pt idx="292">
                  <c:v>6.1352918247663641</c:v>
                </c:pt>
                <c:pt idx="293">
                  <c:v>14.085203820998332</c:v>
                </c:pt>
                <c:pt idx="294">
                  <c:v>26.683894247166648</c:v>
                </c:pt>
                <c:pt idx="295">
                  <c:v>15.319496522341675</c:v>
                </c:pt>
                <c:pt idx="296">
                  <c:v>18.997532825110067</c:v>
                </c:pt>
                <c:pt idx="297">
                  <c:v>18.855990723637554</c:v>
                </c:pt>
                <c:pt idx="298">
                  <c:v>11.205863823953026</c:v>
                </c:pt>
                <c:pt idx="299">
                  <c:v>11.38263004759229</c:v>
                </c:pt>
                <c:pt idx="300">
                  <c:v>15.406748517638984</c:v>
                </c:pt>
                <c:pt idx="301">
                  <c:v>21.690545924279409</c:v>
                </c:pt>
                <c:pt idx="302">
                  <c:v>17.927691843847654</c:v>
                </c:pt>
                <c:pt idx="303">
                  <c:v>16.946705370374175</c:v>
                </c:pt>
                <c:pt idx="304">
                  <c:v>17.027349252581462</c:v>
                </c:pt>
                <c:pt idx="305">
                  <c:v>23.074402956341334</c:v>
                </c:pt>
                <c:pt idx="306">
                  <c:v>9.3958772071769587</c:v>
                </c:pt>
                <c:pt idx="307">
                  <c:v>15.562684250450969</c:v>
                </c:pt>
                <c:pt idx="308">
                  <c:v>23.563370112309993</c:v>
                </c:pt>
                <c:pt idx="309">
                  <c:v>22.973701798780478</c:v>
                </c:pt>
                <c:pt idx="310">
                  <c:v>21.051272835910552</c:v>
                </c:pt>
                <c:pt idx="311">
                  <c:v>15.557371773883826</c:v>
                </c:pt>
                <c:pt idx="312">
                  <c:v>8.3272393921700925</c:v>
                </c:pt>
                <c:pt idx="313">
                  <c:v>17.646861557839991</c:v>
                </c:pt>
                <c:pt idx="314">
                  <c:v>20.793018911242228</c:v>
                </c:pt>
                <c:pt idx="315">
                  <c:v>20.601765748901858</c:v>
                </c:pt>
                <c:pt idx="316">
                  <c:v>19.673354903341501</c:v>
                </c:pt>
                <c:pt idx="317">
                  <c:v>7.9032166241453838</c:v>
                </c:pt>
                <c:pt idx="318">
                  <c:v>10.652982063427965</c:v>
                </c:pt>
                <c:pt idx="319">
                  <c:v>20.213324389268706</c:v>
                </c:pt>
                <c:pt idx="320">
                  <c:v>11.79922154932369</c:v>
                </c:pt>
                <c:pt idx="321">
                  <c:v>12.473088285921749</c:v>
                </c:pt>
                <c:pt idx="322">
                  <c:v>6.9202671923138368</c:v>
                </c:pt>
                <c:pt idx="323">
                  <c:v>12.806996699181536</c:v>
                </c:pt>
                <c:pt idx="324">
                  <c:v>2.9986956242802671</c:v>
                </c:pt>
                <c:pt idx="325">
                  <c:v>7.1039656854898796</c:v>
                </c:pt>
                <c:pt idx="326">
                  <c:v>11.360368500468342</c:v>
                </c:pt>
                <c:pt idx="327">
                  <c:v>11.43935917983263</c:v>
                </c:pt>
                <c:pt idx="328">
                  <c:v>4.6545659405835069</c:v>
                </c:pt>
                <c:pt idx="329">
                  <c:v>10.448267798383787</c:v>
                </c:pt>
                <c:pt idx="330">
                  <c:v>11.775110598067986</c:v>
                </c:pt>
                <c:pt idx="331">
                  <c:v>9.9976208400766033</c:v>
                </c:pt>
                <c:pt idx="332">
                  <c:v>13.43579669094184</c:v>
                </c:pt>
                <c:pt idx="333">
                  <c:v>3.7889523332742714</c:v>
                </c:pt>
                <c:pt idx="334">
                  <c:v>3.5903432395124533</c:v>
                </c:pt>
                <c:pt idx="335">
                  <c:v>5.4240117674648829</c:v>
                </c:pt>
                <c:pt idx="336">
                  <c:v>7.370285433718041</c:v>
                </c:pt>
                <c:pt idx="337">
                  <c:v>13.713970365809743</c:v>
                </c:pt>
                <c:pt idx="338">
                  <c:v>17.119370843297862</c:v>
                </c:pt>
                <c:pt idx="339">
                  <c:v>9.2561301764540502</c:v>
                </c:pt>
                <c:pt idx="340">
                  <c:v>15.277590593451926</c:v>
                </c:pt>
                <c:pt idx="341">
                  <c:v>3.8697541893040048</c:v>
                </c:pt>
                <c:pt idx="342">
                  <c:v>4.7015631544573466</c:v>
                </c:pt>
                <c:pt idx="343">
                  <c:v>10.669574006585714</c:v>
                </c:pt>
                <c:pt idx="344">
                  <c:v>13.035554166286763</c:v>
                </c:pt>
                <c:pt idx="345">
                  <c:v>4.0948825625351688</c:v>
                </c:pt>
                <c:pt idx="346">
                  <c:v>5.0550945656056019</c:v>
                </c:pt>
                <c:pt idx="347">
                  <c:v>14.635669438657038</c:v>
                </c:pt>
                <c:pt idx="348">
                  <c:v>5.5302019978056238</c:v>
                </c:pt>
                <c:pt idx="349">
                  <c:v>4.9473160903141649</c:v>
                </c:pt>
                <c:pt idx="350">
                  <c:v>3.2975315554606355</c:v>
                </c:pt>
                <c:pt idx="351">
                  <c:v>15.147018421902962</c:v>
                </c:pt>
                <c:pt idx="352">
                  <c:v>12.548851941445532</c:v>
                </c:pt>
                <c:pt idx="353">
                  <c:v>4.4078337617952243</c:v>
                </c:pt>
                <c:pt idx="354">
                  <c:v>15.713832016755989</c:v>
                </c:pt>
                <c:pt idx="355">
                  <c:v>12.054767424530654</c:v>
                </c:pt>
                <c:pt idx="356">
                  <c:v>12.682012827437651</c:v>
                </c:pt>
                <c:pt idx="357">
                  <c:v>16.295520039912599</c:v>
                </c:pt>
                <c:pt idx="358">
                  <c:v>9.332165312360706</c:v>
                </c:pt>
                <c:pt idx="359">
                  <c:v>15.87363854486834</c:v>
                </c:pt>
                <c:pt idx="360">
                  <c:v>6.4505975379142724</c:v>
                </c:pt>
                <c:pt idx="361">
                  <c:v>15.351006362408961</c:v>
                </c:pt>
                <c:pt idx="362">
                  <c:v>8.6880179289117301</c:v>
                </c:pt>
                <c:pt idx="363">
                  <c:v>11.517153682882322</c:v>
                </c:pt>
                <c:pt idx="364">
                  <c:v>8.5724010331315341</c:v>
                </c:pt>
                <c:pt idx="365">
                  <c:v>11.759629774018462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49856"/>
        <c:axId val="611450248"/>
      </c:lineChart>
      <c:dateAx>
        <c:axId val="61144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0248"/>
        <c:crosses val="autoZero"/>
        <c:auto val="1"/>
        <c:lblOffset val="100"/>
        <c:baseTimeUnit val="days"/>
        <c:majorUnit val="1"/>
        <c:majorTimeUnit val="months"/>
      </c:dateAx>
      <c:valAx>
        <c:axId val="6114502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49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4.5010331625304212E-2</c:v>
                </c:pt>
                <c:pt idx="1">
                  <c:v>4.5032555630037385E-2</c:v>
                </c:pt>
                <c:pt idx="2">
                  <c:v>4.5054779117585486E-2</c:v>
                </c:pt>
                <c:pt idx="3">
                  <c:v>4.5077002087960616E-2</c:v>
                </c:pt>
                <c:pt idx="4">
                  <c:v>4.5099224541174765E-2</c:v>
                </c:pt>
                <c:pt idx="5">
                  <c:v>4.5121446477239924E-2</c:v>
                </c:pt>
                <c:pt idx="6">
                  <c:v>4.5143667896168194E-2</c:v>
                </c:pt>
                <c:pt idx="7">
                  <c:v>4.5165888797971565E-2</c:v>
                </c:pt>
                <c:pt idx="8">
                  <c:v>4.5188109182662139E-2</c:v>
                </c:pt>
                <c:pt idx="9">
                  <c:v>4.5210329050251796E-2</c:v>
                </c:pt>
                <c:pt idx="10">
                  <c:v>4.5232548400752748E-2</c:v>
                </c:pt>
                <c:pt idx="11">
                  <c:v>4.5254767234176985E-2</c:v>
                </c:pt>
                <c:pt idx="12">
                  <c:v>4.5276985550536386E-2</c:v>
                </c:pt>
                <c:pt idx="13">
                  <c:v>4.5299203349843276E-2</c:v>
                </c:pt>
                <c:pt idx="14">
                  <c:v>4.5321420632109422E-2</c:v>
                </c:pt>
                <c:pt idx="15">
                  <c:v>4.5343637397346925E-2</c:v>
                </c:pt>
                <c:pt idx="16">
                  <c:v>4.5365853645567888E-2</c:v>
                </c:pt>
                <c:pt idx="17">
                  <c:v>4.5388069376784301E-2</c:v>
                </c:pt>
                <c:pt idx="18">
                  <c:v>4.5410284591008154E-2</c:v>
                </c:pt>
                <c:pt idx="19">
                  <c:v>4.5432499288251549E-2</c:v>
                </c:pt>
                <c:pt idx="20">
                  <c:v>4.5454713468526475E-2</c:v>
                </c:pt>
                <c:pt idx="21">
                  <c:v>4.5476927131844924E-2</c:v>
                </c:pt>
                <c:pt idx="22">
                  <c:v>4.5499140278218997E-2</c:v>
                </c:pt>
                <c:pt idx="23">
                  <c:v>4.5521352907660795E-2</c:v>
                </c:pt>
                <c:pt idx="24">
                  <c:v>4.5543565020182197E-2</c:v>
                </c:pt>
                <c:pt idx="25">
                  <c:v>4.5565776615795306E-2</c:v>
                </c:pt>
                <c:pt idx="26">
                  <c:v>4.5587987694512111E-2</c:v>
                </c:pt>
                <c:pt idx="27">
                  <c:v>4.5610198256344603E-2</c:v>
                </c:pt>
                <c:pt idx="28">
                  <c:v>4.5632408301304994E-2</c:v>
                </c:pt>
                <c:pt idx="29">
                  <c:v>4.5654617829405164E-2</c:v>
                </c:pt>
                <c:pt idx="30">
                  <c:v>4.5676826840657103E-2</c:v>
                </c:pt>
                <c:pt idx="31">
                  <c:v>4.5699035335072913E-2</c:v>
                </c:pt>
                <c:pt idx="32">
                  <c:v>4.5721243312664694E-2</c:v>
                </c:pt>
                <c:pt idx="33">
                  <c:v>4.5743450773444327E-2</c:v>
                </c:pt>
                <c:pt idx="34">
                  <c:v>4.5765657717423913E-2</c:v>
                </c:pt>
                <c:pt idx="35">
                  <c:v>4.5787864144615553E-2</c:v>
                </c:pt>
                <c:pt idx="36">
                  <c:v>4.5810070055031127E-2</c:v>
                </c:pt>
                <c:pt idx="37">
                  <c:v>4.5832275448682624E-2</c:v>
                </c:pt>
                <c:pt idx="38">
                  <c:v>4.5854480325582259E-2</c:v>
                </c:pt>
                <c:pt idx="39">
                  <c:v>4.587668468574202E-2</c:v>
                </c:pt>
                <c:pt idx="40">
                  <c:v>4.5898888529173787E-2</c:v>
                </c:pt>
                <c:pt idx="41">
                  <c:v>4.5921091855889773E-2</c:v>
                </c:pt>
                <c:pt idx="42">
                  <c:v>4.5943294665901857E-2</c:v>
                </c:pt>
                <c:pt idx="43">
                  <c:v>4.5965496959222141E-2</c:v>
                </c:pt>
                <c:pt idx="44">
                  <c:v>4.5987698735862614E-2</c:v>
                </c:pt>
                <c:pt idx="45">
                  <c:v>4.6009899995835268E-2</c:v>
                </c:pt>
                <c:pt idx="46">
                  <c:v>4.6032100739152204E-2</c:v>
                </c:pt>
                <c:pt idx="47">
                  <c:v>4.6054300965825412E-2</c:v>
                </c:pt>
                <c:pt idx="48">
                  <c:v>4.6076500675866883E-2</c:v>
                </c:pt>
                <c:pt idx="49">
                  <c:v>4.6098699869288717E-2</c:v>
                </c:pt>
                <c:pt idx="50">
                  <c:v>4.6120898546102906E-2</c:v>
                </c:pt>
                <c:pt idx="51">
                  <c:v>4.614309670632144E-2</c:v>
                </c:pt>
                <c:pt idx="52">
                  <c:v>4.616529434995631E-2</c:v>
                </c:pt>
                <c:pt idx="53">
                  <c:v>4.6187491477019615E-2</c:v>
                </c:pt>
                <c:pt idx="54">
                  <c:v>4.6209688087523348E-2</c:v>
                </c:pt>
                <c:pt idx="55">
                  <c:v>4.6231884181479499E-2</c:v>
                </c:pt>
                <c:pt idx="56">
                  <c:v>4.6254079758900168E-2</c:v>
                </c:pt>
                <c:pt idx="57">
                  <c:v>4.6276274819797236E-2</c:v>
                </c:pt>
                <c:pt idx="58">
                  <c:v>4.6298469364182915E-2</c:v>
                </c:pt>
                <c:pt idx="59">
                  <c:v>4.6320663392069084E-2</c:v>
                </c:pt>
                <c:pt idx="60">
                  <c:v>4.6342856903467733E-2</c:v>
                </c:pt>
                <c:pt idx="61">
                  <c:v>4.6365049898390964E-2</c:v>
                </c:pt>
                <c:pt idx="62">
                  <c:v>4.6387242376850879E-2</c:v>
                </c:pt>
                <c:pt idx="63">
                  <c:v>4.6409434338859357E-2</c:v>
                </c:pt>
                <c:pt idx="64">
                  <c:v>4.6431625784428388E-2</c:v>
                </c:pt>
                <c:pt idx="65">
                  <c:v>4.6453816713570184E-2</c:v>
                </c:pt>
                <c:pt idx="66">
                  <c:v>4.6476007126296515E-2</c:v>
                </c:pt>
                <c:pt idx="67">
                  <c:v>4.6498197022619592E-2</c:v>
                </c:pt>
                <c:pt idx="68">
                  <c:v>4.6520386402551406E-2</c:v>
                </c:pt>
                <c:pt idx="69">
                  <c:v>4.6542575266103836E-2</c:v>
                </c:pt>
                <c:pt idx="70">
                  <c:v>4.6564763613289095E-2</c:v>
                </c:pt>
                <c:pt idx="71">
                  <c:v>4.6586951444119062E-2</c:v>
                </c:pt>
                <c:pt idx="72">
                  <c:v>4.6609138758605728E-2</c:v>
                </c:pt>
                <c:pt idx="73">
                  <c:v>4.6631325556761194E-2</c:v>
                </c:pt>
                <c:pt idx="74">
                  <c:v>4.6653511838597561E-2</c:v>
                </c:pt>
                <c:pt idx="75">
                  <c:v>4.6675697604126598E-2</c:v>
                </c:pt>
                <c:pt idx="76">
                  <c:v>4.6697882853360517E-2</c:v>
                </c:pt>
                <c:pt idx="77">
                  <c:v>4.6720067586311309E-2</c:v>
                </c:pt>
                <c:pt idx="78">
                  <c:v>4.6742251802990964E-2</c:v>
                </c:pt>
                <c:pt idx="79">
                  <c:v>4.6764435503411361E-2</c:v>
                </c:pt>
                <c:pt idx="80">
                  <c:v>4.6786618687584824E-2</c:v>
                </c:pt>
                <c:pt idx="81">
                  <c:v>4.6808801355523011E-2</c:v>
                </c:pt>
                <c:pt idx="82">
                  <c:v>4.6830983507238244E-2</c:v>
                </c:pt>
                <c:pt idx="83">
                  <c:v>4.6853165142742292E-2</c:v>
                </c:pt>
                <c:pt idx="84">
                  <c:v>4.6875346262047368E-2</c:v>
                </c:pt>
                <c:pt idx="85">
                  <c:v>4.6897526865165351E-2</c:v>
                </c:pt>
                <c:pt idx="86">
                  <c:v>4.6919706952108231E-2</c:v>
                </c:pt>
                <c:pt idx="87">
                  <c:v>4.6941886522888221E-2</c:v>
                </c:pt>
                <c:pt idx="88">
                  <c:v>4.6964065577517089E-2</c:v>
                </c:pt>
                <c:pt idx="89">
                  <c:v>4.6986244116007048E-2</c:v>
                </c:pt>
                <c:pt idx="90">
                  <c:v>4.7008422138369865E-2</c:v>
                </c:pt>
                <c:pt idx="91">
                  <c:v>4.7030599644617865E-2</c:v>
                </c:pt>
                <c:pt idx="92">
                  <c:v>4.7052776634762816E-2</c:v>
                </c:pt>
                <c:pt idx="93">
                  <c:v>4.7074953108816819E-2</c:v>
                </c:pt>
                <c:pt idx="94">
                  <c:v>4.7097129066791865E-2</c:v>
                </c:pt>
                <c:pt idx="95">
                  <c:v>4.7119304508699944E-2</c:v>
                </c:pt>
                <c:pt idx="96">
                  <c:v>4.7141479434553157E-2</c:v>
                </c:pt>
                <c:pt idx="97">
                  <c:v>4.7163653844363385E-2</c:v>
                </c:pt>
                <c:pt idx="98">
                  <c:v>4.7185827738142727E-2</c:v>
                </c:pt>
                <c:pt idx="99">
                  <c:v>4.7208001115903286E-2</c:v>
                </c:pt>
                <c:pt idx="100">
                  <c:v>4.7230173977656831E-2</c:v>
                </c:pt>
                <c:pt idx="101">
                  <c:v>4.7252346323415462E-2</c:v>
                </c:pt>
                <c:pt idx="102">
                  <c:v>4.7274518153191281E-2</c:v>
                </c:pt>
                <c:pt idx="103">
                  <c:v>4.7296689466996167E-2</c:v>
                </c:pt>
                <c:pt idx="104">
                  <c:v>4.7318860264842222E-2</c:v>
                </c:pt>
                <c:pt idx="105">
                  <c:v>4.7341030546741436E-2</c:v>
                </c:pt>
                <c:pt idx="106">
                  <c:v>4.73632003127058E-2</c:v>
                </c:pt>
                <c:pt idx="107">
                  <c:v>4.7385369562747304E-2</c:v>
                </c:pt>
                <c:pt idx="108">
                  <c:v>4.7407538296878049E-2</c:v>
                </c:pt>
                <c:pt idx="109">
                  <c:v>4.7429706515109915E-2</c:v>
                </c:pt>
                <c:pt idx="110">
                  <c:v>4.7451874217454892E-2</c:v>
                </c:pt>
                <c:pt idx="111">
                  <c:v>4.7474041403925082E-2</c:v>
                </c:pt>
                <c:pt idx="112">
                  <c:v>4.7496208074532476E-2</c:v>
                </c:pt>
                <c:pt idx="113">
                  <c:v>4.7518374229289062E-2</c:v>
                </c:pt>
                <c:pt idx="114">
                  <c:v>4.7540539868206833E-2</c:v>
                </c:pt>
                <c:pt idx="115">
                  <c:v>4.7562704991297888E-2</c:v>
                </c:pt>
                <c:pt idx="116">
                  <c:v>4.7584869598573998E-2</c:v>
                </c:pt>
                <c:pt idx="117">
                  <c:v>4.7607033690047484E-2</c:v>
                </c:pt>
                <c:pt idx="118">
                  <c:v>4.7629197265730006E-2</c:v>
                </c:pt>
                <c:pt idx="119">
                  <c:v>4.7651360325633885E-2</c:v>
                </c:pt>
                <c:pt idx="120">
                  <c:v>4.767352286977089E-2</c:v>
                </c:pt>
                <c:pt idx="121">
                  <c:v>4.7695684898153123E-2</c:v>
                </c:pt>
                <c:pt idx="122">
                  <c:v>4.7717846410792686E-2</c:v>
                </c:pt>
                <c:pt idx="123">
                  <c:v>4.7740007407701346E-2</c:v>
                </c:pt>
                <c:pt idx="124">
                  <c:v>4.7762167888891316E-2</c:v>
                </c:pt>
                <c:pt idx="125">
                  <c:v>4.7784327854374475E-2</c:v>
                </c:pt>
                <c:pt idx="126">
                  <c:v>4.7806487304162815E-2</c:v>
                </c:pt>
                <c:pt idx="127">
                  <c:v>4.7828646238268435E-2</c:v>
                </c:pt>
                <c:pt idx="128">
                  <c:v>4.7850804656703327E-2</c:v>
                </c:pt>
                <c:pt idx="129">
                  <c:v>4.7872962559479371E-2</c:v>
                </c:pt>
                <c:pt idx="130">
                  <c:v>4.7895119946608777E-2</c:v>
                </c:pt>
                <c:pt idx="131">
                  <c:v>4.7917276818103316E-2</c:v>
                </c:pt>
                <c:pt idx="132">
                  <c:v>4.7939433173975088E-2</c:v>
                </c:pt>
                <c:pt idx="133">
                  <c:v>4.7961589014236083E-2</c:v>
                </c:pt>
                <c:pt idx="134">
                  <c:v>4.7983744338898293E-2</c:v>
                </c:pt>
                <c:pt idx="135">
                  <c:v>4.8005899147973818E-2</c:v>
                </c:pt>
                <c:pt idx="136">
                  <c:v>4.8028053441474539E-2</c:v>
                </c:pt>
                <c:pt idx="137">
                  <c:v>4.8050207219412444E-2</c:v>
                </c:pt>
                <c:pt idx="138">
                  <c:v>4.8072360481799525E-2</c:v>
                </c:pt>
                <c:pt idx="139">
                  <c:v>4.8094513228647884E-2</c:v>
                </c:pt>
                <c:pt idx="140">
                  <c:v>4.811666545996951E-2</c:v>
                </c:pt>
                <c:pt idx="141">
                  <c:v>4.8138817175776283E-2</c:v>
                </c:pt>
                <c:pt idx="142">
                  <c:v>4.8160968376080304E-2</c:v>
                </c:pt>
                <c:pt idx="143">
                  <c:v>4.8183119060893564E-2</c:v>
                </c:pt>
                <c:pt idx="144">
                  <c:v>4.8205269230227943E-2</c:v>
                </c:pt>
                <c:pt idx="145">
                  <c:v>4.8227418884095541E-2</c:v>
                </c:pt>
                <c:pt idx="146">
                  <c:v>4.8249568022508349E-2</c:v>
                </c:pt>
                <c:pt idx="147">
                  <c:v>4.8271716645478357E-2</c:v>
                </c:pt>
                <c:pt idx="148">
                  <c:v>4.8293864753017557E-2</c:v>
                </c:pt>
                <c:pt idx="149">
                  <c:v>4.8316012345137938E-2</c:v>
                </c:pt>
                <c:pt idx="150">
                  <c:v>4.833815942185149E-2</c:v>
                </c:pt>
                <c:pt idx="151">
                  <c:v>4.8360305983170204E-2</c:v>
                </c:pt>
                <c:pt idx="152">
                  <c:v>4.8382452029106182E-2</c:v>
                </c:pt>
                <c:pt idx="153">
                  <c:v>4.8404597559671192E-2</c:v>
                </c:pt>
                <c:pt idx="154">
                  <c:v>4.8426742574877335E-2</c:v>
                </c:pt>
                <c:pt idx="155">
                  <c:v>4.8448887074736713E-2</c:v>
                </c:pt>
                <c:pt idx="156">
                  <c:v>4.8471031059261205E-2</c:v>
                </c:pt>
                <c:pt idx="157">
                  <c:v>4.8493174528462801E-2</c:v>
                </c:pt>
                <c:pt idx="158">
                  <c:v>4.8515317482353493E-2</c:v>
                </c:pt>
                <c:pt idx="159">
                  <c:v>4.8537459920945381E-2</c:v>
                </c:pt>
                <c:pt idx="160">
                  <c:v>4.8559601844250344E-2</c:v>
                </c:pt>
                <c:pt idx="161">
                  <c:v>4.8581743252280374E-2</c:v>
                </c:pt>
                <c:pt idx="162">
                  <c:v>4.860388414504746E-2</c:v>
                </c:pt>
                <c:pt idx="163">
                  <c:v>4.8626024522563704E-2</c:v>
                </c:pt>
                <c:pt idx="164">
                  <c:v>4.8648164384840986E-2</c:v>
                </c:pt>
                <c:pt idx="165">
                  <c:v>4.8670303731891407E-2</c:v>
                </c:pt>
                <c:pt idx="166">
                  <c:v>4.8692442563726734E-2</c:v>
                </c:pt>
                <c:pt idx="167">
                  <c:v>4.8714580880359182E-2</c:v>
                </c:pt>
                <c:pt idx="168">
                  <c:v>4.8736718681800628E-2</c:v>
                </c:pt>
                <c:pt idx="169">
                  <c:v>4.8758855968063175E-2</c:v>
                </c:pt>
                <c:pt idx="170">
                  <c:v>4.8780992739158591E-2</c:v>
                </c:pt>
                <c:pt idx="171">
                  <c:v>4.8803128995099088E-2</c:v>
                </c:pt>
                <c:pt idx="172">
                  <c:v>4.8825264735896656E-2</c:v>
                </c:pt>
                <c:pt idx="173">
                  <c:v>4.8847399961563065E-2</c:v>
                </c:pt>
                <c:pt idx="174">
                  <c:v>4.8869534672110526E-2</c:v>
                </c:pt>
                <c:pt idx="175">
                  <c:v>4.8891668867550808E-2</c:v>
                </c:pt>
                <c:pt idx="176">
                  <c:v>4.8913802547896124E-2</c:v>
                </c:pt>
                <c:pt idx="177">
                  <c:v>4.8935935713158352E-2</c:v>
                </c:pt>
                <c:pt idx="178">
                  <c:v>4.8958068363349483E-2</c:v>
                </c:pt>
                <c:pt idx="179">
                  <c:v>4.8980200498481508E-2</c:v>
                </c:pt>
                <c:pt idx="180">
                  <c:v>4.9002332118566416E-2</c:v>
                </c:pt>
                <c:pt idx="181">
                  <c:v>4.9024463223616199E-2</c:v>
                </c:pt>
                <c:pt idx="182">
                  <c:v>4.9046593813642847E-2</c:v>
                </c:pt>
                <c:pt idx="183">
                  <c:v>4.9068723888658239E-2</c:v>
                </c:pt>
                <c:pt idx="184">
                  <c:v>4.9090853448674587E-2</c:v>
                </c:pt>
                <c:pt idx="185">
                  <c:v>4.9112982493703661E-2</c:v>
                </c:pt>
                <c:pt idx="186">
                  <c:v>4.9135111023757561E-2</c:v>
                </c:pt>
                <c:pt idx="187">
                  <c:v>4.9157239038848277E-2</c:v>
                </c:pt>
                <c:pt idx="188">
                  <c:v>4.917936653898769E-2</c:v>
                </c:pt>
                <c:pt idx="189">
                  <c:v>4.92014935241879E-2</c:v>
                </c:pt>
                <c:pt idx="190">
                  <c:v>4.9223619994460788E-2</c:v>
                </c:pt>
                <c:pt idx="191">
                  <c:v>4.9245745949818454E-2</c:v>
                </c:pt>
                <c:pt idx="192">
                  <c:v>4.9267871390272777E-2</c:v>
                </c:pt>
                <c:pt idx="193">
                  <c:v>4.9289996315835749E-2</c:v>
                </c:pt>
                <c:pt idx="194">
                  <c:v>4.931212072651936E-2</c:v>
                </c:pt>
                <c:pt idx="195">
                  <c:v>4.933424462233571E-2</c:v>
                </c:pt>
                <c:pt idx="196">
                  <c:v>4.9356368003296569E-2</c:v>
                </c:pt>
                <c:pt idx="197">
                  <c:v>4.9378490869414149E-2</c:v>
                </c:pt>
                <c:pt idx="198">
                  <c:v>4.9400613220700218E-2</c:v>
                </c:pt>
                <c:pt idx="199">
                  <c:v>4.9422735057166878E-2</c:v>
                </c:pt>
                <c:pt idx="200">
                  <c:v>4.9444856378826119E-2</c:v>
                </c:pt>
                <c:pt idx="201">
                  <c:v>4.9466977185689931E-2</c:v>
                </c:pt>
                <c:pt idx="202">
                  <c:v>4.9489097477770194E-2</c:v>
                </c:pt>
                <c:pt idx="203">
                  <c:v>4.9511217255078899E-2</c:v>
                </c:pt>
                <c:pt idx="204">
                  <c:v>4.9533336517628146E-2</c:v>
                </c:pt>
                <c:pt idx="205">
                  <c:v>4.9555455265429815E-2</c:v>
                </c:pt>
                <c:pt idx="206">
                  <c:v>4.9577573498495897E-2</c:v>
                </c:pt>
                <c:pt idx="207">
                  <c:v>4.9599691216838382E-2</c:v>
                </c:pt>
                <c:pt idx="208">
                  <c:v>4.962180842046926E-2</c:v>
                </c:pt>
                <c:pt idx="209">
                  <c:v>4.9643925109400522E-2</c:v>
                </c:pt>
                <c:pt idx="210">
                  <c:v>4.9666041283644047E-2</c:v>
                </c:pt>
                <c:pt idx="211">
                  <c:v>4.9688156943211936E-2</c:v>
                </c:pt>
                <c:pt idx="212">
                  <c:v>4.9710272088116181E-2</c:v>
                </c:pt>
                <c:pt idx="213">
                  <c:v>4.9732386718368549E-2</c:v>
                </c:pt>
                <c:pt idx="214">
                  <c:v>4.9754500833981252E-2</c:v>
                </c:pt>
                <c:pt idx="215">
                  <c:v>4.9776614434966171E-2</c:v>
                </c:pt>
                <c:pt idx="216">
                  <c:v>4.9798727521335295E-2</c:v>
                </c:pt>
                <c:pt idx="217">
                  <c:v>4.9820840093100616E-2</c:v>
                </c:pt>
                <c:pt idx="218">
                  <c:v>4.9842952150274011E-2</c:v>
                </c:pt>
                <c:pt idx="219">
                  <c:v>4.9865063692867584E-2</c:v>
                </c:pt>
                <c:pt idx="220">
                  <c:v>4.9887174720893324E-2</c:v>
                </c:pt>
                <c:pt idx="221">
                  <c:v>4.9909285234362999E-2</c:v>
                </c:pt>
                <c:pt idx="222">
                  <c:v>4.9931395233288822E-2</c:v>
                </c:pt>
                <c:pt idx="223">
                  <c:v>4.9953504717682673E-2</c:v>
                </c:pt>
                <c:pt idx="224">
                  <c:v>4.9975613687556542E-2</c:v>
                </c:pt>
                <c:pt idx="225">
                  <c:v>4.9997722142922307E-2</c:v>
                </c:pt>
                <c:pt idx="226">
                  <c:v>5.0019830083792072E-2</c:v>
                </c:pt>
                <c:pt idx="227">
                  <c:v>5.0041937510177714E-2</c:v>
                </c:pt>
                <c:pt idx="228">
                  <c:v>5.0064044422091225E-2</c:v>
                </c:pt>
                <c:pt idx="229">
                  <c:v>5.0086150819544595E-2</c:v>
                </c:pt>
                <c:pt idx="230">
                  <c:v>5.0108256702549925E-2</c:v>
                </c:pt>
                <c:pt idx="231">
                  <c:v>5.0130362071118983E-2</c:v>
                </c:pt>
                <c:pt idx="232">
                  <c:v>5.0152466925263761E-2</c:v>
                </c:pt>
                <c:pt idx="233">
                  <c:v>5.0174571264996359E-2</c:v>
                </c:pt>
                <c:pt idx="234">
                  <c:v>5.0196675090328657E-2</c:v>
                </c:pt>
                <c:pt idx="235">
                  <c:v>5.0218778401272646E-2</c:v>
                </c:pt>
                <c:pt idx="236">
                  <c:v>5.0240881197840315E-2</c:v>
                </c:pt>
                <c:pt idx="237">
                  <c:v>5.0262983480043655E-2</c:v>
                </c:pt>
                <c:pt idx="238">
                  <c:v>5.0285085247894545E-2</c:v>
                </c:pt>
                <c:pt idx="239">
                  <c:v>5.0307186501404977E-2</c:v>
                </c:pt>
                <c:pt idx="240">
                  <c:v>5.0329287240587051E-2</c:v>
                </c:pt>
                <c:pt idx="241">
                  <c:v>5.0351387465452535E-2</c:v>
                </c:pt>
                <c:pt idx="242">
                  <c:v>5.0373487176013532E-2</c:v>
                </c:pt>
                <c:pt idx="243">
                  <c:v>5.0395586372282031E-2</c:v>
                </c:pt>
                <c:pt idx="244">
                  <c:v>5.0417685054269912E-2</c:v>
                </c:pt>
                <c:pt idx="245">
                  <c:v>5.0439783221989165E-2</c:v>
                </c:pt>
                <c:pt idx="246">
                  <c:v>5.0461880875451781E-2</c:v>
                </c:pt>
                <c:pt idx="247">
                  <c:v>5.048397801466975E-2</c:v>
                </c:pt>
                <c:pt idx="248">
                  <c:v>5.0506074639654952E-2</c:v>
                </c:pt>
                <c:pt idx="249">
                  <c:v>5.0528170750419488E-2</c:v>
                </c:pt>
                <c:pt idx="250">
                  <c:v>5.0550266346975126E-2</c:v>
                </c:pt>
                <c:pt idx="251">
                  <c:v>5.0572361429334078E-2</c:v>
                </c:pt>
                <c:pt idx="252">
                  <c:v>5.0594455997508114E-2</c:v>
                </c:pt>
                <c:pt idx="253">
                  <c:v>5.0616550051509224E-2</c:v>
                </c:pt>
                <c:pt idx="254">
                  <c:v>5.0638643591349508E-2</c:v>
                </c:pt>
                <c:pt idx="255">
                  <c:v>5.0660736617040847E-2</c:v>
                </c:pt>
                <c:pt idx="256">
                  <c:v>5.0682829128595119E-2</c:v>
                </c:pt>
                <c:pt idx="257">
                  <c:v>5.0704921126024427E-2</c:v>
                </c:pt>
                <c:pt idx="258">
                  <c:v>5.072701260934076E-2</c:v>
                </c:pt>
                <c:pt idx="259">
                  <c:v>5.0749103578555887E-2</c:v>
                </c:pt>
                <c:pt idx="260">
                  <c:v>5.077119403368191E-2</c:v>
                </c:pt>
                <c:pt idx="261">
                  <c:v>5.0793283974730818E-2</c:v>
                </c:pt>
                <c:pt idx="262">
                  <c:v>5.0815373401714492E-2</c:v>
                </c:pt>
                <c:pt idx="263">
                  <c:v>5.0837462314644921E-2</c:v>
                </c:pt>
                <c:pt idx="264">
                  <c:v>5.0859550713534096E-2</c:v>
                </c:pt>
                <c:pt idx="265">
                  <c:v>5.0881638598393897E-2</c:v>
                </c:pt>
                <c:pt idx="266">
                  <c:v>5.0903725969236424E-2</c:v>
                </c:pt>
                <c:pt idx="267">
                  <c:v>5.0925812826073558E-2</c:v>
                </c:pt>
                <c:pt idx="268">
                  <c:v>5.0947899168917177E-2</c:v>
                </c:pt>
                <c:pt idx="269">
                  <c:v>5.0969984997779383E-2</c:v>
                </c:pt>
                <c:pt idx="270">
                  <c:v>5.0992070312672166E-2</c:v>
                </c:pt>
                <c:pt idx="271">
                  <c:v>5.1014155113607296E-2</c:v>
                </c:pt>
                <c:pt idx="272">
                  <c:v>5.1036239400596983E-2</c:v>
                </c:pt>
                <c:pt idx="273">
                  <c:v>5.1058323173652886E-2</c:v>
                </c:pt>
                <c:pt idx="274">
                  <c:v>5.1080406432787218E-2</c:v>
                </c:pt>
                <c:pt idx="275">
                  <c:v>5.1102489178011856E-2</c:v>
                </c:pt>
                <c:pt idx="276">
                  <c:v>5.1124571409338682E-2</c:v>
                </c:pt>
                <c:pt idx="277">
                  <c:v>5.1146653126779795E-2</c:v>
                </c:pt>
                <c:pt idx="278">
                  <c:v>5.1168734330347077E-2</c:v>
                </c:pt>
                <c:pt idx="279">
                  <c:v>5.1190815020052516E-2</c:v>
                </c:pt>
                <c:pt idx="280">
                  <c:v>5.1212895195907993E-2</c:v>
                </c:pt>
                <c:pt idx="281">
                  <c:v>5.1234974857925497E-2</c:v>
                </c:pt>
                <c:pt idx="282">
                  <c:v>5.125705400611702E-2</c:v>
                </c:pt>
                <c:pt idx="283">
                  <c:v>5.1279132640494551E-2</c:v>
                </c:pt>
                <c:pt idx="284">
                  <c:v>5.1301210761069971E-2</c:v>
                </c:pt>
                <c:pt idx="285">
                  <c:v>5.1323288367855269E-2</c:v>
                </c:pt>
                <c:pt idx="286">
                  <c:v>5.1345365460862435E-2</c:v>
                </c:pt>
                <c:pt idx="287">
                  <c:v>5.1367442040103461E-2</c:v>
                </c:pt>
                <c:pt idx="288">
                  <c:v>5.1389518105590115E-2</c:v>
                </c:pt>
                <c:pt idx="289">
                  <c:v>5.1411593657334498E-2</c:v>
                </c:pt>
                <c:pt idx="290">
                  <c:v>5.14336686953486E-2</c:v>
                </c:pt>
                <c:pt idx="291">
                  <c:v>5.1455743219644301E-2</c:v>
                </c:pt>
                <c:pt idx="292">
                  <c:v>5.147781723023348E-2</c:v>
                </c:pt>
                <c:pt idx="293">
                  <c:v>5.149989072712835E-2</c:v>
                </c:pt>
                <c:pt idx="294">
                  <c:v>5.1521963710340568E-2</c:v>
                </c:pt>
                <c:pt idx="295">
                  <c:v>5.1544036179882236E-2</c:v>
                </c:pt>
                <c:pt idx="296">
                  <c:v>5.1566108135765343E-2</c:v>
                </c:pt>
                <c:pt idx="297">
                  <c:v>5.1588179578001769E-2</c:v>
                </c:pt>
                <c:pt idx="298">
                  <c:v>5.1610250506603506E-2</c:v>
                </c:pt>
                <c:pt idx="299">
                  <c:v>5.1632320921582431E-2</c:v>
                </c:pt>
                <c:pt idx="300">
                  <c:v>5.1654390822950647E-2</c:v>
                </c:pt>
                <c:pt idx="301">
                  <c:v>5.1676460210719921E-2</c:v>
                </c:pt>
                <c:pt idx="302">
                  <c:v>5.1698529084902356E-2</c:v>
                </c:pt>
                <c:pt idx="303">
                  <c:v>5.1720597445509831E-2</c:v>
                </c:pt>
                <c:pt idx="304">
                  <c:v>5.1742665292554335E-2</c:v>
                </c:pt>
                <c:pt idx="305">
                  <c:v>5.1764732626047749E-2</c:v>
                </c:pt>
                <c:pt idx="306">
                  <c:v>5.1786799446002063E-2</c:v>
                </c:pt>
                <c:pt idx="307">
                  <c:v>5.1808865752429378E-2</c:v>
                </c:pt>
                <c:pt idx="308">
                  <c:v>5.1830931545341352E-2</c:v>
                </c:pt>
                <c:pt idx="309">
                  <c:v>5.1852996824750197E-2</c:v>
                </c:pt>
                <c:pt idx="310">
                  <c:v>5.1875061590667682E-2</c:v>
                </c:pt>
                <c:pt idx="311">
                  <c:v>5.1897125843105907E-2</c:v>
                </c:pt>
                <c:pt idx="312">
                  <c:v>5.1919189582076641E-2</c:v>
                </c:pt>
                <c:pt idx="313">
                  <c:v>5.1941252807591987E-2</c:v>
                </c:pt>
                <c:pt idx="314">
                  <c:v>5.1963315519663822E-2</c:v>
                </c:pt>
                <c:pt idx="315">
                  <c:v>5.1985377718304138E-2</c:v>
                </c:pt>
                <c:pt idx="316">
                  <c:v>5.2007439403524924E-2</c:v>
                </c:pt>
                <c:pt idx="317">
                  <c:v>5.202950057533795E-2</c:v>
                </c:pt>
                <c:pt idx="318">
                  <c:v>5.2051561233755317E-2</c:v>
                </c:pt>
                <c:pt idx="319">
                  <c:v>5.2073621378788904E-2</c:v>
                </c:pt>
                <c:pt idx="320">
                  <c:v>5.2095681010450812E-2</c:v>
                </c:pt>
                <c:pt idx="321">
                  <c:v>5.211774012875281E-2</c:v>
                </c:pt>
                <c:pt idx="322">
                  <c:v>5.2139798733706777E-2</c:v>
                </c:pt>
                <c:pt idx="323">
                  <c:v>5.2161856825324926E-2</c:v>
                </c:pt>
                <c:pt idx="324">
                  <c:v>5.2183914403619025E-2</c:v>
                </c:pt>
                <c:pt idx="325">
                  <c:v>5.2205971468600954E-2</c:v>
                </c:pt>
                <c:pt idx="326">
                  <c:v>5.2228028020282924E-2</c:v>
                </c:pt>
                <c:pt idx="327">
                  <c:v>5.2250084058676594E-2</c:v>
                </c:pt>
                <c:pt idx="328">
                  <c:v>5.2272139583794064E-2</c:v>
                </c:pt>
                <c:pt idx="329">
                  <c:v>5.2294194595647214E-2</c:v>
                </c:pt>
                <c:pt idx="330">
                  <c:v>5.2316249094248035E-2</c:v>
                </c:pt>
                <c:pt idx="331">
                  <c:v>5.2338303079608517E-2</c:v>
                </c:pt>
                <c:pt idx="332">
                  <c:v>5.2360356551740539E-2</c:v>
                </c:pt>
                <c:pt idx="333">
                  <c:v>5.2382409510655981E-2</c:v>
                </c:pt>
                <c:pt idx="334">
                  <c:v>5.2404461956366832E-2</c:v>
                </c:pt>
                <c:pt idx="335">
                  <c:v>5.2426513888885085E-2</c:v>
                </c:pt>
                <c:pt idx="336">
                  <c:v>5.2448565308222617E-2</c:v>
                </c:pt>
                <c:pt idx="337">
                  <c:v>5.247061621439153E-2</c:v>
                </c:pt>
                <c:pt idx="338">
                  <c:v>5.2492666607403482E-2</c:v>
                </c:pt>
                <c:pt idx="339">
                  <c:v>5.2514716487270685E-2</c:v>
                </c:pt>
                <c:pt idx="340">
                  <c:v>5.2536765854004908E-2</c:v>
                </c:pt>
                <c:pt idx="341">
                  <c:v>5.2558814707618251E-2</c:v>
                </c:pt>
                <c:pt idx="342">
                  <c:v>5.2580863048122484E-2</c:v>
                </c:pt>
                <c:pt idx="343">
                  <c:v>5.2602910875529596E-2</c:v>
                </c:pt>
                <c:pt idx="344">
                  <c:v>5.2624958189851578E-2</c:v>
                </c:pt>
                <c:pt idx="345">
                  <c:v>5.2647004991100421E-2</c:v>
                </c:pt>
                <c:pt idx="346">
                  <c:v>5.2669051279287893E-2</c:v>
                </c:pt>
                <c:pt idx="347">
                  <c:v>5.2691097054426095E-2</c:v>
                </c:pt>
                <c:pt idx="348">
                  <c:v>5.2713142316526906E-2</c:v>
                </c:pt>
                <c:pt idx="349">
                  <c:v>5.2735187065602207E-2</c:v>
                </c:pt>
                <c:pt idx="350">
                  <c:v>5.2757231301663987E-2</c:v>
                </c:pt>
                <c:pt idx="351">
                  <c:v>5.2779275024724237E-2</c:v>
                </c:pt>
                <c:pt idx="352">
                  <c:v>5.2801318234794836E-2</c:v>
                </c:pt>
                <c:pt idx="353">
                  <c:v>5.2823360931887664E-2</c:v>
                </c:pt>
                <c:pt idx="354">
                  <c:v>5.2845403116014822E-2</c:v>
                </c:pt>
                <c:pt idx="355">
                  <c:v>5.2867444787188189E-2</c:v>
                </c:pt>
                <c:pt idx="356">
                  <c:v>5.2889485945419534E-2</c:v>
                </c:pt>
                <c:pt idx="357">
                  <c:v>5.2911526590720959E-2</c:v>
                </c:pt>
                <c:pt idx="358">
                  <c:v>5.2933566723104453E-2</c:v>
                </c:pt>
                <c:pt idx="359">
                  <c:v>5.2955606342581785E-2</c:v>
                </c:pt>
                <c:pt idx="360">
                  <c:v>5.2977645449165056E-2</c:v>
                </c:pt>
                <c:pt idx="361">
                  <c:v>5.2999684042866035E-2</c:v>
                </c:pt>
                <c:pt idx="362">
                  <c:v>5.3021722123696824E-2</c:v>
                </c:pt>
                <c:pt idx="363">
                  <c:v>5.304375969166919E-2</c:v>
                </c:pt>
                <c:pt idx="364">
                  <c:v>5.3065796746795235E-2</c:v>
                </c:pt>
                <c:pt idx="365">
                  <c:v>5.3087833289086728E-2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5.6313898525004645E-2</c:v>
                </c:pt>
                <c:pt idx="1">
                  <c:v>5.6447226502688061E-2</c:v>
                </c:pt>
                <c:pt idx="2">
                  <c:v>5.6580522449985203E-2</c:v>
                </c:pt>
                <c:pt idx="3">
                  <c:v>5.6713774188247405E-2</c:v>
                </c:pt>
                <c:pt idx="4">
                  <c:v>5.6846971126268055E-2</c:v>
                </c:pt>
                <c:pt idx="5">
                  <c:v>5.6980104225254492E-2</c:v>
                </c:pt>
                <c:pt idx="6">
                  <c:v>5.7113165950376972E-2</c:v>
                </c:pt>
                <c:pt idx="7">
                  <c:v>5.7246150209783894E-2</c:v>
                </c:pt>
                <c:pt idx="8">
                  <c:v>5.737905228207639E-2</c:v>
                </c:pt>
                <c:pt idx="9">
                  <c:v>5.7511868733326352E-2</c:v>
                </c:pt>
                <c:pt idx="10">
                  <c:v>5.7644597324802607E-2</c:v>
                </c:pt>
                <c:pt idx="11">
                  <c:v>5.7777236912636275E-2</c:v>
                </c:pt>
                <c:pt idx="12">
                  <c:v>5.7909787340712067E-2</c:v>
                </c:pt>
                <c:pt idx="13">
                  <c:v>5.8042249328111861E-2</c:v>
                </c:pt>
                <c:pt idx="14">
                  <c:v>5.8174624352465454E-2</c:v>
                </c:pt>
                <c:pt idx="15">
                  <c:v>5.8306914530576237E-2</c:v>
                </c:pt>
                <c:pt idx="16">
                  <c:v>5.8439122497689407E-2</c:v>
                </c:pt>
                <c:pt idx="17">
                  <c:v>5.8571251286756942E-2</c:v>
                </c:pt>
                <c:pt idx="18">
                  <c:v>5.8703304209026655E-2</c:v>
                </c:pt>
                <c:pt idx="19">
                  <c:v>5.8835284737242192E-2</c:v>
                </c:pt>
                <c:pt idx="20">
                  <c:v>5.896719639268988E-2</c:v>
                </c:pt>
                <c:pt idx="21">
                  <c:v>5.9099042637263795E-2</c:v>
                </c:pt>
                <c:pt idx="22">
                  <c:v>5.9230826771646795E-2</c:v>
                </c:pt>
                <c:pt idx="23">
                  <c:v>5.9362551840620462E-2</c:v>
                </c:pt>
                <c:pt idx="24">
                  <c:v>5.9494220546424739E-2</c:v>
                </c:pt>
                <c:pt idx="25">
                  <c:v>5.9625835170985721E-2</c:v>
                </c:pt>
                <c:pt idx="26">
                  <c:v>5.9757397507724075E-2</c:v>
                </c:pt>
                <c:pt idx="27">
                  <c:v>5.9888908803542577E-2</c:v>
                </c:pt>
                <c:pt idx="28">
                  <c:v>6.0020369711473856E-2</c:v>
                </c:pt>
                <c:pt idx="29">
                  <c:v>6.0151780254350092E-2</c:v>
                </c:pt>
                <c:pt idx="30">
                  <c:v>6.0283139799733647E-2</c:v>
                </c:pt>
                <c:pt idx="31">
                  <c:v>6.0414447046225388E-2</c:v>
                </c:pt>
                <c:pt idx="32">
                  <c:v>6.0545700021146606E-2</c:v>
                </c:pt>
                <c:pt idx="33">
                  <c:v>6.0676896089470175E-2</c:v>
                </c:pt>
                <c:pt idx="34">
                  <c:v>6.0808031973761195E-2</c:v>
                </c:pt>
                <c:pt idx="35">
                  <c:v>6.0939103784776114E-2</c:v>
                </c:pt>
                <c:pt idx="36">
                  <c:v>6.1070107062262034E-2</c:v>
                </c:pt>
                <c:pt idx="37">
                  <c:v>6.1201036825400554E-2</c:v>
                </c:pt>
                <c:pt idx="38">
                  <c:v>6.1331887632246999E-2</c:v>
                </c:pt>
                <c:pt idx="39">
                  <c:v>6.1462653647433411E-2</c:v>
                </c:pt>
                <c:pt idx="40">
                  <c:v>6.1593328717329462E-2</c:v>
                </c:pt>
                <c:pt idx="41">
                  <c:v>6.1723906451790544E-2</c:v>
                </c:pt>
                <c:pt idx="42">
                  <c:v>6.185438031156866E-2</c:v>
                </c:pt>
                <c:pt idx="43">
                  <c:v>6.1984743700417955E-2</c:v>
                </c:pt>
                <c:pt idx="44">
                  <c:v>6.2114990060894541E-2</c:v>
                </c:pt>
                <c:pt idx="45">
                  <c:v>6.2245112972828934E-2</c:v>
                </c:pt>
                <c:pt idx="46">
                  <c:v>6.2375106253439158E-2</c:v>
                </c:pt>
                <c:pt idx="47">
                  <c:v>6.2504964058053517E-2</c:v>
                </c:pt>
                <c:pt idx="48">
                  <c:v>6.2634680980424573E-2</c:v>
                </c:pt>
                <c:pt idx="49">
                  <c:v>6.2764252151637154E-2</c:v>
                </c:pt>
                <c:pt idx="50">
                  <c:v>6.2893673336646624E-2</c:v>
                </c:pt>
                <c:pt idx="51">
                  <c:v>6.3022941027525203E-2</c:v>
                </c:pt>
                <c:pt idx="52">
                  <c:v>6.3152052532545383E-2</c:v>
                </c:pt>
                <c:pt idx="53">
                  <c:v>6.3281006060288525E-2</c:v>
                </c:pt>
                <c:pt idx="54">
                  <c:v>6.3409800798032906E-2</c:v>
                </c:pt>
                <c:pt idx="55">
                  <c:v>6.3538436983749086E-2</c:v>
                </c:pt>
                <c:pt idx="56">
                  <c:v>6.3666915971107893E-2</c:v>
                </c:pt>
                <c:pt idx="57">
                  <c:v>6.3795240286990545E-2</c:v>
                </c:pt>
                <c:pt idx="58">
                  <c:v>6.3923413681075514E-2</c:v>
                </c:pt>
                <c:pt idx="59">
                  <c:v>6.4051441167166448E-2</c:v>
                </c:pt>
                <c:pt idx="60">
                  <c:v>6.4179329056015325E-2</c:v>
                </c:pt>
                <c:pt idx="61">
                  <c:v>6.4307084979485174E-2</c:v>
                </c:pt>
                <c:pt idx="62">
                  <c:v>6.443471790598683E-2</c:v>
                </c:pt>
                <c:pt idx="63">
                  <c:v>6.4562238147210918E-2</c:v>
                </c:pt>
                <c:pt idx="64">
                  <c:v>6.4689657356262892E-2</c:v>
                </c:pt>
                <c:pt idx="65">
                  <c:v>6.4816988517388027E-2</c:v>
                </c:pt>
                <c:pt idx="66">
                  <c:v>6.4944245927551131E-2</c:v>
                </c:pt>
                <c:pt idx="67">
                  <c:v>6.5071445170206785E-2</c:v>
                </c:pt>
                <c:pt idx="68">
                  <c:v>6.5198603081659062E-2</c:v>
                </c:pt>
                <c:pt idx="69">
                  <c:v>6.5325737710469844E-2</c:v>
                </c:pt>
                <c:pt idx="70">
                  <c:v>6.5452868270423209E-2</c:v>
                </c:pt>
                <c:pt idx="71">
                  <c:v>6.5580015087597046E-2</c:v>
                </c:pt>
                <c:pt idx="72">
                  <c:v>6.5707199542126948E-2</c:v>
                </c:pt>
                <c:pt idx="73">
                  <c:v>6.5834444005272927E-2</c:v>
                </c:pt>
                <c:pt idx="74">
                  <c:v>6.5961771772417022E-2</c:v>
                </c:pt>
                <c:pt idx="75">
                  <c:v>6.6089206992627741E-2</c:v>
                </c:pt>
                <c:pt idx="76">
                  <c:v>6.6216774595427616E-2</c:v>
                </c:pt>
                <c:pt idx="77">
                  <c:v>6.6344500215391081E-2</c:v>
                </c:pt>
                <c:pt idx="78">
                  <c:v>6.6472410115183594E-2</c:v>
                </c:pt>
                <c:pt idx="79">
                  <c:v>6.6600531107627897E-2</c:v>
                </c:pt>
                <c:pt idx="80">
                  <c:v>6.6728890477352781E-2</c:v>
                </c:pt>
                <c:pt idx="81">
                  <c:v>6.6857515902540132E-2</c:v>
                </c:pt>
                <c:pt idx="82">
                  <c:v>6.6986435377242901E-2</c:v>
                </c:pt>
                <c:pt idx="83">
                  <c:v>6.7115677134697224E-2</c:v>
                </c:pt>
                <c:pt idx="84">
                  <c:v>6.7245269571996821E-2</c:v>
                </c:pt>
                <c:pt idx="85">
                  <c:v>6.7375241176442571E-2</c:v>
                </c:pt>
                <c:pt idx="86">
                  <c:v>6.7505620453818152E-2</c:v>
                </c:pt>
                <c:pt idx="87">
                  <c:v>6.7636435858781874E-2</c:v>
                </c:pt>
                <c:pt idx="88">
                  <c:v>6.7767715727502578E-2</c:v>
                </c:pt>
                <c:pt idx="89">
                  <c:v>6.7899488212603873E-2</c:v>
                </c:pt>
                <c:pt idx="90">
                  <c:v>6.8031781220421417E-2</c:v>
                </c:pt>
                <c:pt idx="91">
                  <c:v>6.8164622350517151E-2</c:v>
                </c:pt>
                <c:pt idx="92">
                  <c:v>6.8298038837339356E-2</c:v>
                </c:pt>
                <c:pt idx="93">
                  <c:v>6.8432057493864232E-2</c:v>
                </c:pt>
                <c:pt idx="94">
                  <c:v>6.8566704657007316E-2</c:v>
                </c:pt>
                <c:pt idx="95">
                  <c:v>6.8702006134550436E-2</c:v>
                </c:pt>
                <c:pt idx="96">
                  <c:v>6.8837987153293631E-2</c:v>
                </c:pt>
                <c:pt idx="97">
                  <c:v>6.8974672308111329E-2</c:v>
                </c:pt>
                <c:pt idx="98">
                  <c:v>6.9112085511570123E-2</c:v>
                </c:pt>
                <c:pt idx="99">
                  <c:v>6.925024994375005E-2</c:v>
                </c:pt>
                <c:pt idx="100">
                  <c:v>6.9389188001903399E-2</c:v>
                </c:pt>
                <c:pt idx="101">
                  <c:v>6.9528921249587899E-2</c:v>
                </c:pt>
                <c:pt idx="102">
                  <c:v>6.9669470364917413E-2</c:v>
                </c:pt>
                <c:pt idx="103">
                  <c:v>6.9810855087592882E-2</c:v>
                </c:pt>
                <c:pt idx="104">
                  <c:v>6.9953094164399862E-2</c:v>
                </c:pt>
                <c:pt idx="105">
                  <c:v>7.0096205292892566E-2</c:v>
                </c:pt>
                <c:pt idx="106">
                  <c:v>7.0240205063024391E-2</c:v>
                </c:pt>
                <c:pt idx="107">
                  <c:v>7.0385108896532281E-2</c:v>
                </c:pt>
                <c:pt idx="108">
                  <c:v>7.053093098393598E-2</c:v>
                </c:pt>
                <c:pt idx="109">
                  <c:v>7.0677684219072542E-2</c:v>
                </c:pt>
                <c:pt idx="110">
                  <c:v>7.0825380131150847E-2</c:v>
                </c:pt>
                <c:pt idx="111">
                  <c:v>7.0974028814380044E-2</c:v>
                </c:pt>
                <c:pt idx="112">
                  <c:v>7.1123638855296753E-2</c:v>
                </c:pt>
                <c:pt idx="113">
                  <c:v>7.1274217257991351E-2</c:v>
                </c:pt>
                <c:pt idx="114">
                  <c:v>7.1425769367508454E-2</c:v>
                </c:pt>
                <c:pt idx="115">
                  <c:v>7.1578298791773104E-2</c:v>
                </c:pt>
                <c:pt idx="116">
                  <c:v>7.1731807322469712E-2</c:v>
                </c:pt>
                <c:pt idx="117">
                  <c:v>7.1886294855373636E-2</c:v>
                </c:pt>
                <c:pt idx="118">
                  <c:v>7.2041759310706832E-2</c:v>
                </c:pt>
                <c:pt idx="119">
                  <c:v>7.2198196554154895E-2</c:v>
                </c:pt>
                <c:pt idx="120">
                  <c:v>7.2355600319245678E-2</c:v>
                </c:pt>
                <c:pt idx="121">
                  <c:v>7.2513962131844481E-2</c:v>
                </c:pt>
                <c:pt idx="122">
                  <c:v>7.2673271237570822E-2</c:v>
                </c:pt>
                <c:pt idx="123">
                  <c:v>7.2833514532982979E-2</c:v>
                </c:pt>
                <c:pt idx="124">
                  <c:v>7.2994676501408992E-2</c:v>
                </c:pt>
                <c:pt idx="125">
                  <c:v>7.3156739154326716E-2</c:v>
                </c:pt>
                <c:pt idx="126">
                  <c:v>7.3319681979209836E-2</c:v>
                </c:pt>
                <c:pt idx="127">
                  <c:v>7.3483481894759631E-2</c:v>
                </c:pt>
                <c:pt idx="128">
                  <c:v>7.3648113214435151E-2</c:v>
                </c:pt>
                <c:pt idx="129">
                  <c:v>7.3813547619176911E-2</c:v>
                </c:pt>
                <c:pt idx="130">
                  <c:v>7.3979754140189286E-2</c:v>
                </c:pt>
                <c:pt idx="131">
                  <c:v>7.4146699152606368E-2</c:v>
                </c:pt>
                <c:pt idx="132">
                  <c:v>7.4314346380815008E-2</c:v>
                </c:pt>
                <c:pt idx="133">
                  <c:v>7.4482656916145515E-2</c:v>
                </c:pt>
                <c:pt idx="134">
                  <c:v>7.4651589247568775E-2</c:v>
                </c:pt>
                <c:pt idx="135">
                  <c:v>7.4821099305954694E-2</c:v>
                </c:pt>
                <c:pt idx="136">
                  <c:v>7.499114052235549E-2</c:v>
                </c:pt>
                <c:pt idx="137">
                  <c:v>7.5161663900676301E-2</c:v>
                </c:pt>
                <c:pt idx="138">
                  <c:v>7.5332618104987106E-2</c:v>
                </c:pt>
                <c:pt idx="139">
                  <c:v>7.55039495616147E-2</c:v>
                </c:pt>
                <c:pt idx="140">
                  <c:v>7.5675602576032494E-2</c:v>
                </c:pt>
                <c:pt idx="141">
                  <c:v>7.5847519464439905E-2</c:v>
                </c:pt>
                <c:pt idx="142">
                  <c:v>7.6019640699794472E-2</c:v>
                </c:pt>
                <c:pt idx="143">
                  <c:v>7.6191905071928287E-2</c:v>
                </c:pt>
                <c:pt idx="144">
                  <c:v>7.6364249861248207E-2</c:v>
                </c:pt>
                <c:pt idx="145">
                  <c:v>7.6536611025388029E-2</c:v>
                </c:pt>
                <c:pt idx="146">
                  <c:v>7.670892339805091E-2</c:v>
                </c:pt>
                <c:pt idx="147">
                  <c:v>7.6881120899154221E-2</c:v>
                </c:pt>
                <c:pt idx="148">
                  <c:v>7.7053136755266677E-2</c:v>
                </c:pt>
                <c:pt idx="149">
                  <c:v>7.7224903729212854E-2</c:v>
                </c:pt>
                <c:pt idx="150">
                  <c:v>7.7396354357610483E-2</c:v>
                </c:pt>
                <c:pt idx="151">
                  <c:v>7.7567421195007091E-2</c:v>
                </c:pt>
                <c:pt idx="152">
                  <c:v>7.7738037063191337E-2</c:v>
                </c:pt>
                <c:pt idx="153">
                  <c:v>7.7908135304175882E-2</c:v>
                </c:pt>
                <c:pt idx="154">
                  <c:v>7.8077650035280319E-2</c:v>
                </c:pt>
                <c:pt idx="155">
                  <c:v>7.8246516404688118E-2</c:v>
                </c:pt>
                <c:pt idx="156">
                  <c:v>7.8414670845809692E-2</c:v>
                </c:pt>
                <c:pt idx="157">
                  <c:v>7.8582051328757396E-2</c:v>
                </c:pt>
                <c:pt idx="158">
                  <c:v>7.8748597607224177E-2</c:v>
                </c:pt>
                <c:pt idx="159">
                  <c:v>7.8914251459060974E-2</c:v>
                </c:pt>
                <c:pt idx="160">
                  <c:v>7.907895691886549E-2</c:v>
                </c:pt>
                <c:pt idx="161">
                  <c:v>7.9242660500927292E-2</c:v>
                </c:pt>
                <c:pt idx="162">
                  <c:v>7.9405311410922719E-2</c:v>
                </c:pt>
                <c:pt idx="163">
                  <c:v>7.9566861744816031E-2</c:v>
                </c:pt>
                <c:pt idx="164">
                  <c:v>7.9727266673501038E-2</c:v>
                </c:pt>
                <c:pt idx="165">
                  <c:v>7.9886484611808681E-2</c:v>
                </c:pt>
                <c:pt idx="166">
                  <c:v>8.0044477370611336E-2</c:v>
                </c:pt>
                <c:pt idx="167">
                  <c:v>8.020121029087203E-2</c:v>
                </c:pt>
                <c:pt idx="168">
                  <c:v>8.0356652358615333E-2</c:v>
                </c:pt>
                <c:pt idx="169">
                  <c:v>8.051077629993672E-2</c:v>
                </c:pt>
                <c:pt idx="170">
                  <c:v>8.0663558655314188E-2</c:v>
                </c:pt>
                <c:pt idx="171">
                  <c:v>8.0814979832644476E-2</c:v>
                </c:pt>
                <c:pt idx="172">
                  <c:v>8.0965024138586278E-2</c:v>
                </c:pt>
                <c:pt idx="173">
                  <c:v>8.111367978796237E-2</c:v>
                </c:pt>
                <c:pt idx="174">
                  <c:v>8.1260938891143164E-2</c:v>
                </c:pt>
                <c:pt idx="175">
                  <c:v>8.1406797419505739E-2</c:v>
                </c:pt>
                <c:pt idx="176">
                  <c:v>8.1551255149237029E-2</c:v>
                </c:pt>
                <c:pt idx="177">
                  <c:v>8.1694315583919583E-2</c:v>
                </c:pt>
                <c:pt idx="178">
                  <c:v>8.1835985856506963E-2</c:v>
                </c:pt>
                <c:pt idx="179">
                  <c:v>8.1976276611459856E-2</c:v>
                </c:pt>
                <c:pt idx="180">
                  <c:v>8.2115201867969112E-2</c:v>
                </c:pt>
                <c:pt idx="181">
                  <c:v>8.2252778865342699E-2</c:v>
                </c:pt>
                <c:pt idx="182">
                  <c:v>8.2389027891771896E-2</c:v>
                </c:pt>
                <c:pt idx="183">
                  <c:v>8.2523972097821308E-2</c:v>
                </c:pt>
                <c:pt idx="184">
                  <c:v>8.2657637296103856E-2</c:v>
                </c:pt>
                <c:pt idx="185">
                  <c:v>8.2790051748705434E-2</c:v>
                </c:pt>
                <c:pt idx="186">
                  <c:v>8.2921245944013053E-2</c:v>
                </c:pt>
                <c:pt idx="187">
                  <c:v>8.3051252364674616E-2</c:v>
                </c:pt>
                <c:pt idx="188">
                  <c:v>8.3180105248476396E-2</c:v>
                </c:pt>
                <c:pt idx="189">
                  <c:v>8.3307840343966308E-2</c:v>
                </c:pt>
                <c:pt idx="190">
                  <c:v>8.3434494662675648E-2</c:v>
                </c:pt>
                <c:pt idx="191">
                  <c:v>8.3560106229800049E-2</c:v>
                </c:pt>
                <c:pt idx="192">
                  <c:v>8.368471383519023E-2</c:v>
                </c:pt>
                <c:pt idx="193">
                  <c:v>8.3808356786477314E-2</c:v>
                </c:pt>
                <c:pt idx="194">
                  <c:v>8.3931074666113714E-2</c:v>
                </c:pt>
                <c:pt idx="195">
                  <c:v>8.4052907094049709E-2</c:v>
                </c:pt>
                <c:pt idx="196">
                  <c:v>8.4173893497692318E-2</c:v>
                </c:pt>
                <c:pt idx="197">
                  <c:v>8.4294072890700303E-2</c:v>
                </c:pt>
                <c:pt idx="198">
                  <c:v>8.441348366206558E-2</c:v>
                </c:pt>
                <c:pt idx="199">
                  <c:v>8.453216337681331E-2</c:v>
                </c:pt>
                <c:pt idx="200">
                  <c:v>8.4650148589523647E-2</c:v>
                </c:pt>
                <c:pt idx="201">
                  <c:v>8.4767474671737994E-2</c:v>
                </c:pt>
                <c:pt idx="202">
                  <c:v>8.4884175654164368E-2</c:v>
                </c:pt>
                <c:pt idx="203">
                  <c:v>8.5000284084439146E-2</c:v>
                </c:pt>
                <c:pt idx="204">
                  <c:v>8.5115830901042244E-2</c:v>
                </c:pt>
                <c:pt idx="205">
                  <c:v>8.5230845323795004E-2</c:v>
                </c:pt>
                <c:pt idx="206">
                  <c:v>8.5345354761202752E-2</c:v>
                </c:pt>
                <c:pt idx="207">
                  <c:v>8.5459384734734661E-2</c:v>
                </c:pt>
                <c:pt idx="208">
                  <c:v>8.5572958819965808E-2</c:v>
                </c:pt>
                <c:pt idx="209">
                  <c:v>8.5686098604341662E-2</c:v>
                </c:pt>
                <c:pt idx="210">
                  <c:v>8.5798823661164925E-2</c:v>
                </c:pt>
                <c:pt idx="211">
                  <c:v>8.591115153925101E-2</c:v>
                </c:pt>
                <c:pt idx="212">
                  <c:v>8.6023097767553E-2</c:v>
                </c:pt>
                <c:pt idx="213">
                  <c:v>8.6134675873920027E-2</c:v>
                </c:pt>
                <c:pt idx="214">
                  <c:v>8.6245897417028608E-2</c:v>
                </c:pt>
                <c:pt idx="215">
                  <c:v>8.6356772030412865E-2</c:v>
                </c:pt>
                <c:pt idx="216">
                  <c:v>8.6467307477420194E-2</c:v>
                </c:pt>
                <c:pt idx="217">
                  <c:v>8.6577509715834486E-2</c:v>
                </c:pt>
                <c:pt idx="218">
                  <c:v>8.6687382970838348E-2</c:v>
                </c:pt>
                <c:pt idx="219">
                  <c:v>8.6796929814933269E-2</c:v>
                </c:pt>
                <c:pt idx="220">
                  <c:v>8.690615125339933E-2</c:v>
                </c:pt>
                <c:pt idx="221">
                  <c:v>8.7015046813856189E-2</c:v>
                </c:pt>
                <c:pt idx="222">
                  <c:v>8.7123614638484753E-2</c:v>
                </c:pt>
                <c:pt idx="223">
                  <c:v>8.7231851577483213E-2</c:v>
                </c:pt>
                <c:pt idx="224">
                  <c:v>8.7339753282362834E-2</c:v>
                </c:pt>
                <c:pt idx="225">
                  <c:v>8.7447314297736889E-2</c:v>
                </c:pt>
                <c:pt idx="226">
                  <c:v>8.7554528150320554E-2</c:v>
                </c:pt>
                <c:pt idx="227">
                  <c:v>8.7661387433938753E-2</c:v>
                </c:pt>
                <c:pt idx="228">
                  <c:v>8.7767883889433018E-2</c:v>
                </c:pt>
                <c:pt idx="229">
                  <c:v>8.7874008478465424E-2</c:v>
                </c:pt>
                <c:pt idx="230">
                  <c:v>8.7979751450336596E-2</c:v>
                </c:pt>
                <c:pt idx="231">
                  <c:v>8.8085102401065152E-2</c:v>
                </c:pt>
                <c:pt idx="232">
                  <c:v>8.8190050324114408E-2</c:v>
                </c:pt>
                <c:pt idx="233">
                  <c:v>8.8294583652298725E-2</c:v>
                </c:pt>
                <c:pt idx="234">
                  <c:v>8.8398690290554888E-2</c:v>
                </c:pt>
                <c:pt idx="235">
                  <c:v>8.8502357639419368E-2</c:v>
                </c:pt>
                <c:pt idx="236">
                  <c:v>8.8605572609212285E-2</c:v>
                </c:pt>
                <c:pt idx="237">
                  <c:v>8.8708321625086725E-2</c:v>
                </c:pt>
                <c:pt idx="238">
                  <c:v>8.8810590623261104E-2</c:v>
                </c:pt>
                <c:pt idx="239">
                  <c:v>8.8912365038904997E-2</c:v>
                </c:pt>
                <c:pt idx="240">
                  <c:v>8.901362978629962E-2</c:v>
                </c:pt>
                <c:pt idx="241">
                  <c:v>8.9114369232034488E-2</c:v>
                </c:pt>
                <c:pt idx="242">
                  <c:v>8.9214567162136785E-2</c:v>
                </c:pt>
                <c:pt idx="243">
                  <c:v>8.9314206744150929E-2</c:v>
                </c:pt>
                <c:pt idx="244">
                  <c:v>8.9413270485298887E-2</c:v>
                </c:pt>
                <c:pt idx="245">
                  <c:v>8.9511740187947331E-2</c:v>
                </c:pt>
                <c:pt idx="246">
                  <c:v>8.9609596903691927E-2</c:v>
                </c:pt>
                <c:pt idx="247">
                  <c:v>8.9706820887435354E-2</c:v>
                </c:pt>
                <c:pt idx="248">
                  <c:v>8.9803391552886441E-2</c:v>
                </c:pt>
                <c:pt idx="249">
                  <c:v>8.9899287430939348E-2</c:v>
                </c:pt>
                <c:pt idx="250">
                  <c:v>8.9994486132407805E-2</c:v>
                </c:pt>
                <c:pt idx="251">
                  <c:v>9.008896431658367E-2</c:v>
                </c:pt>
                <c:pt idx="252">
                  <c:v>9.018269766706706E-2</c:v>
                </c:pt>
                <c:pt idx="253">
                  <c:v>9.0275660876272909E-2</c:v>
                </c:pt>
                <c:pt idx="254">
                  <c:v>9.0367827639958945E-2</c:v>
                </c:pt>
                <c:pt idx="255">
                  <c:v>9.04591706630406E-2</c:v>
                </c:pt>
                <c:pt idx="256">
                  <c:v>9.0549661677863255E-2</c:v>
                </c:pt>
                <c:pt idx="257">
                  <c:v>9.0639271475988048E-2</c:v>
                </c:pt>
                <c:pt idx="258">
                  <c:v>9.0727969954419549E-2</c:v>
                </c:pt>
                <c:pt idx="259">
                  <c:v>9.0815726177059949E-2</c:v>
                </c:pt>
                <c:pt idx="260">
                  <c:v>9.0902508452017722E-2</c:v>
                </c:pt>
                <c:pt idx="261">
                  <c:v>9.0988284425230645E-2</c:v>
                </c:pt>
                <c:pt idx="262">
                  <c:v>9.1073021190685277E-2</c:v>
                </c:pt>
                <c:pt idx="263">
                  <c:v>9.1156685417327188E-2</c:v>
                </c:pt>
                <c:pt idx="264">
                  <c:v>9.1239243492565306E-2</c:v>
                </c:pt>
                <c:pt idx="265">
                  <c:v>9.1320661682074852E-2</c:v>
                </c:pt>
                <c:pt idx="266">
                  <c:v>9.1400906305405843E-2</c:v>
                </c:pt>
                <c:pt idx="267">
                  <c:v>9.1479943926702778E-2</c:v>
                </c:pt>
                <c:pt idx="268">
                  <c:v>9.1557741559645148E-2</c:v>
                </c:pt>
                <c:pt idx="269">
                  <c:v>9.1634266885525367E-2</c:v>
                </c:pt>
                <c:pt idx="270">
                  <c:v>9.1709488483191881E-2</c:v>
                </c:pt>
                <c:pt idx="271">
                  <c:v>9.1783376069409436E-2</c:v>
                </c:pt>
                <c:pt idx="272">
                  <c:v>9.1855900748018221E-2</c:v>
                </c:pt>
                <c:pt idx="273">
                  <c:v>9.1927035266119339E-2</c:v>
                </c:pt>
                <c:pt idx="274">
                  <c:v>9.1996754275372003E-2</c:v>
                </c:pt>
                <c:pt idx="275">
                  <c:v>9.2065034596363005E-2</c:v>
                </c:pt>
                <c:pt idx="276">
                  <c:v>9.2131855483900377E-2</c:v>
                </c:pt>
                <c:pt idx="277">
                  <c:v>9.2197198890995605E-2</c:v>
                </c:pt>
                <c:pt idx="278">
                  <c:v>9.2261049729228273E-2</c:v>
                </c:pt>
                <c:pt idx="279">
                  <c:v>9.2323396123141666E-2</c:v>
                </c:pt>
                <c:pt idx="280">
                  <c:v>9.2384229656290784E-2</c:v>
                </c:pt>
                <c:pt idx="281">
                  <c:v>9.2443545606562955E-2</c:v>
                </c:pt>
                <c:pt idx="282">
                  <c:v>9.250134316841091E-2</c:v>
                </c:pt>
                <c:pt idx="283">
                  <c:v>9.2557625659682619E-2</c:v>
                </c:pt>
                <c:pt idx="284">
                  <c:v>9.2612400710798959E-2</c:v>
                </c:pt>
                <c:pt idx="285">
                  <c:v>9.266568043412074E-2</c:v>
                </c:pt>
                <c:pt idx="286">
                  <c:v>9.2717481571458607E-2</c:v>
                </c:pt>
                <c:pt idx="287">
                  <c:v>9.276782561781402E-2</c:v>
                </c:pt>
                <c:pt idx="288">
                  <c:v>9.2816738919594285E-2</c:v>
                </c:pt>
                <c:pt idx="289">
                  <c:v>9.2864252745718551E-2</c:v>
                </c:pt>
                <c:pt idx="290">
                  <c:v>9.2910403330224725E-2</c:v>
                </c:pt>
                <c:pt idx="291">
                  <c:v>9.2955231885196166E-2</c:v>
                </c:pt>
                <c:pt idx="292">
                  <c:v>9.299878458304997E-2</c:v>
                </c:pt>
                <c:pt idx="293">
                  <c:v>9.3041112507466397E-2</c:v>
                </c:pt>
                <c:pt idx="294">
                  <c:v>9.3082271572484457E-2</c:v>
                </c:pt>
                <c:pt idx="295">
                  <c:v>9.3122322409546321E-2</c:v>
                </c:pt>
                <c:pt idx="296">
                  <c:v>9.3161330222532909E-2</c:v>
                </c:pt>
                <c:pt idx="297">
                  <c:v>9.3199364611100316E-2</c:v>
                </c:pt>
                <c:pt idx="298">
                  <c:v>9.3236499362892342E-2</c:v>
                </c:pt>
                <c:pt idx="299">
                  <c:v>9.3272812215471054E-2</c:v>
                </c:pt>
                <c:pt idx="300">
                  <c:v>9.3308384589068857E-2</c:v>
                </c:pt>
                <c:pt idx="301">
                  <c:v>9.3343301291521311E-2</c:v>
                </c:pt>
                <c:pt idx="302">
                  <c:v>9.3377650196987808E-2</c:v>
                </c:pt>
                <c:pt idx="303">
                  <c:v>9.3411521900302885E-2</c:v>
                </c:pt>
                <c:pt idx="304">
                  <c:v>9.3445009349024777E-2</c:v>
                </c:pt>
                <c:pt idx="305">
                  <c:v>9.3478207455454362E-2</c:v>
                </c:pt>
                <c:pt idx="306">
                  <c:v>9.3511212691088988E-2</c:v>
                </c:pt>
                <c:pt idx="307">
                  <c:v>9.3544122666145535E-2</c:v>
                </c:pt>
                <c:pt idx="308">
                  <c:v>9.3577035696936789E-2</c:v>
                </c:pt>
                <c:pt idx="309">
                  <c:v>9.361005036401239E-2</c:v>
                </c:pt>
                <c:pt idx="310">
                  <c:v>9.3643265064078454E-2</c:v>
                </c:pt>
                <c:pt idx="311">
                  <c:v>9.3676777558787727E-2</c:v>
                </c:pt>
                <c:pt idx="312">
                  <c:v>9.3710684523544044E-2</c:v>
                </c:pt>
                <c:pt idx="313">
                  <c:v>9.3745081099490216E-2</c:v>
                </c:pt>
                <c:pt idx="314">
                  <c:v>9.3780060451846864E-2</c:v>
                </c:pt>
                <c:pt idx="315">
                  <c:v>9.3815713337740497E-2</c:v>
                </c:pt>
                <c:pt idx="316">
                  <c:v>9.3852127686603629E-2</c:v>
                </c:pt>
                <c:pt idx="317">
                  <c:v>9.3889388196147644E-2</c:v>
                </c:pt>
                <c:pt idx="318">
                  <c:v>9.3927575946799138E-2</c:v>
                </c:pt>
                <c:pt idx="319">
                  <c:v>9.3966768037359497E-2</c:v>
                </c:pt>
                <c:pt idx="320">
                  <c:v>9.4007037244486738E-2</c:v>
                </c:pt>
                <c:pt idx="321">
                  <c:v>9.404845170842166E-2</c:v>
                </c:pt>
                <c:pt idx="322">
                  <c:v>9.4091074647176087E-2</c:v>
                </c:pt>
                <c:pt idx="323">
                  <c:v>9.4134964101182661E-2</c:v>
                </c:pt>
                <c:pt idx="324">
                  <c:v>9.4180172710165808E-2</c:v>
                </c:pt>
                <c:pt idx="325">
                  <c:v>9.4226747523741772E-2</c:v>
                </c:pt>
                <c:pt idx="326">
                  <c:v>9.4274729846987676E-2</c:v>
                </c:pt>
                <c:pt idx="327">
                  <c:v>9.4324155121944073E-2</c:v>
                </c:pt>
                <c:pt idx="328">
                  <c:v>9.4375052845729113E-2</c:v>
                </c:pt>
                <c:pt idx="329">
                  <c:v>9.4427446525652659E-2</c:v>
                </c:pt>
                <c:pt idx="330">
                  <c:v>9.4481353671424503E-2</c:v>
                </c:pt>
                <c:pt idx="331">
                  <c:v>9.4536785824256953E-2</c:v>
                </c:pt>
                <c:pt idx="332">
                  <c:v>9.4593748622370452E-2</c:v>
                </c:pt>
                <c:pt idx="333">
                  <c:v>9.4652241902124568E-2</c:v>
                </c:pt>
                <c:pt idx="334">
                  <c:v>9.471225983371627E-2</c:v>
                </c:pt>
                <c:pt idx="335">
                  <c:v>9.4773791090120074E-2</c:v>
                </c:pt>
                <c:pt idx="336">
                  <c:v>9.4836819047686288E-2</c:v>
                </c:pt>
                <c:pt idx="337">
                  <c:v>9.4901322016572587E-2</c:v>
                </c:pt>
                <c:pt idx="338">
                  <c:v>9.4967273498958463E-2</c:v>
                </c:pt>
                <c:pt idx="339">
                  <c:v>9.5034642472786285E-2</c:v>
                </c:pt>
                <c:pt idx="340">
                  <c:v>9.5103393698586322E-2</c:v>
                </c:pt>
                <c:pt idx="341">
                  <c:v>9.5173488046780663E-2</c:v>
                </c:pt>
                <c:pt idx="342">
                  <c:v>9.5244882842719925E-2</c:v>
                </c:pt>
                <c:pt idx="343">
                  <c:v>9.5317532226592866E-2</c:v>
                </c:pt>
                <c:pt idx="344">
                  <c:v>9.5391387525258525E-2</c:v>
                </c:pt>
                <c:pt idx="345">
                  <c:v>9.5466397632988476E-2</c:v>
                </c:pt>
                <c:pt idx="346">
                  <c:v>9.5542509398069894E-2</c:v>
                </c:pt>
                <c:pt idx="347">
                  <c:v>9.5619668012211695E-2</c:v>
                </c:pt>
                <c:pt idx="348">
                  <c:v>9.5697817399712656E-2</c:v>
                </c:pt>
                <c:pt idx="349">
                  <c:v>9.5776900603395679E-2</c:v>
                </c:pt>
                <c:pt idx="350">
                  <c:v>9.5856860164381913E-2</c:v>
                </c:pt>
                <c:pt idx="351">
                  <c:v>9.5937638492873845E-2</c:v>
                </c:pt>
                <c:pt idx="352">
                  <c:v>9.6019178227235977E-2</c:v>
                </c:pt>
                <c:pt idx="353">
                  <c:v>9.6101422578803358E-2</c:v>
                </c:pt>
                <c:pt idx="354">
                  <c:v>9.6184315660012565E-2</c:v>
                </c:pt>
                <c:pt idx="355">
                  <c:v>9.6267802793631216E-2</c:v>
                </c:pt>
                <c:pt idx="356">
                  <c:v>9.6351830801064256E-2</c:v>
                </c:pt>
                <c:pt idx="357">
                  <c:v>9.6436348267930641E-2</c:v>
                </c:pt>
                <c:pt idx="358">
                  <c:v>9.6521305785334119E-2</c:v>
                </c:pt>
                <c:pt idx="359">
                  <c:v>9.6606656165493174E-2</c:v>
                </c:pt>
                <c:pt idx="360">
                  <c:v>9.6692354630645336E-2</c:v>
                </c:pt>
                <c:pt idx="361">
                  <c:v>9.6778358974396878E-2</c:v>
                </c:pt>
                <c:pt idx="362">
                  <c:v>9.686462969495023E-2</c:v>
                </c:pt>
                <c:pt idx="363">
                  <c:v>9.6951130099903277E-2</c:v>
                </c:pt>
                <c:pt idx="364">
                  <c:v>9.7037826382575132E-2</c:v>
                </c:pt>
                <c:pt idx="365">
                  <c:v>9.7124687670071735E-2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1.5340588059389387E-3</c:v>
                </c:pt>
                <c:pt idx="1">
                  <c:v>1.5381665460020282E-3</c:v>
                </c:pt>
                <c:pt idx="2">
                  <c:v>1.5436681080470069E-3</c:v>
                </c:pt>
                <c:pt idx="3">
                  <c:v>1.5504857204117475E-3</c:v>
                </c:pt>
                <c:pt idx="4">
                  <c:v>1.5585395338264592E-3</c:v>
                </c:pt>
                <c:pt idx="5">
                  <c:v>1.5677475963522176E-3</c:v>
                </c:pt>
                <c:pt idx="6">
                  <c:v>1.5780258933595739E-3</c:v>
                </c:pt>
                <c:pt idx="7">
                  <c:v>1.5892884506504671E-3</c:v>
                </c:pt>
                <c:pt idx="8">
                  <c:v>1.6014873475013918E-3</c:v>
                </c:pt>
                <c:pt idx="9">
                  <c:v>1.6153785848140457E-3</c:v>
                </c:pt>
                <c:pt idx="10">
                  <c:v>1.629589845248104E-3</c:v>
                </c:pt>
                <c:pt idx="11">
                  <c:v>1.644124930407299E-3</c:v>
                </c:pt>
                <c:pt idx="12">
                  <c:v>1.6589877823783106E-3</c:v>
                </c:pt>
                <c:pt idx="13">
                  <c:v>1.6741824885071167E-3</c:v>
                </c:pt>
                <c:pt idx="14">
                  <c:v>1.6897132845472068E-3</c:v>
                </c:pt>
                <c:pt idx="15">
                  <c:v>1.7087021836991922E-3</c:v>
                </c:pt>
                <c:pt idx="16">
                  <c:v>1.730516219684134E-3</c:v>
                </c:pt>
                <c:pt idx="17">
                  <c:v>1.7550785098634702E-3</c:v>
                </c:pt>
                <c:pt idx="18">
                  <c:v>1.7823116554971932E-3</c:v>
                </c:pt>
                <c:pt idx="19">
                  <c:v>1.8121485426433853E-3</c:v>
                </c:pt>
                <c:pt idx="20">
                  <c:v>1.8445282185734942E-3</c:v>
                </c:pt>
                <c:pt idx="21">
                  <c:v>1.8793841587091483E-3</c:v>
                </c:pt>
                <c:pt idx="22">
                  <c:v>1.9164830511309813E-3</c:v>
                </c:pt>
                <c:pt idx="23">
                  <c:v>1.9604037893346813E-3</c:v>
                </c:pt>
                <c:pt idx="24">
                  <c:v>2.0102644447126767E-3</c:v>
                </c:pt>
                <c:pt idx="25">
                  <c:v>2.0658508986837114E-3</c:v>
                </c:pt>
                <c:pt idx="26">
                  <c:v>2.1269526214248071E-3</c:v>
                </c:pt>
                <c:pt idx="27">
                  <c:v>2.1933640765840153E-3</c:v>
                </c:pt>
                <c:pt idx="28">
                  <c:v>2.2648859310221881E-3</c:v>
                </c:pt>
                <c:pt idx="29">
                  <c:v>2.3437087737178783E-3</c:v>
                </c:pt>
                <c:pt idx="30">
                  <c:v>2.4269384079866198E-3</c:v>
                </c:pt>
                <c:pt idx="31">
                  <c:v>2.514411142106245E-3</c:v>
                </c:pt>
                <c:pt idx="32">
                  <c:v>2.6059725922634833E-3</c:v>
                </c:pt>
                <c:pt idx="33">
                  <c:v>2.7014780585165677E-3</c:v>
                </c:pt>
                <c:pt idx="34">
                  <c:v>2.8007928015950996E-3</c:v>
                </c:pt>
                <c:pt idx="35">
                  <c:v>2.9037922363525088E-3</c:v>
                </c:pt>
                <c:pt idx="36">
                  <c:v>3.0101718397337715E-3</c:v>
                </c:pt>
                <c:pt idx="37">
                  <c:v>3.1105431631183278E-3</c:v>
                </c:pt>
                <c:pt idx="38">
                  <c:v>3.2010945961166311E-3</c:v>
                </c:pt>
                <c:pt idx="39">
                  <c:v>3.2821743443211537E-3</c:v>
                </c:pt>
                <c:pt idx="40">
                  <c:v>3.3541270951484431E-3</c:v>
                </c:pt>
                <c:pt idx="41">
                  <c:v>3.4172926583021439E-3</c:v>
                </c:pt>
                <c:pt idx="42">
                  <c:v>3.4720048013253011E-3</c:v>
                </c:pt>
                <c:pt idx="43">
                  <c:v>3.5071548964515594E-3</c:v>
                </c:pt>
                <c:pt idx="44">
                  <c:v>3.5214948331276359E-3</c:v>
                </c:pt>
                <c:pt idx="45">
                  <c:v>3.515808363347831E-3</c:v>
                </c:pt>
                <c:pt idx="46">
                  <c:v>3.490852628588309E-3</c:v>
                </c:pt>
                <c:pt idx="47">
                  <c:v>3.4473570387072105E-3</c:v>
                </c:pt>
                <c:pt idx="48">
                  <c:v>3.3860223982516637E-3</c:v>
                </c:pt>
                <c:pt idx="49">
                  <c:v>3.3075202460940588E-3</c:v>
                </c:pt>
                <c:pt idx="50">
                  <c:v>3.2123697845511303E-3</c:v>
                </c:pt>
                <c:pt idx="51">
                  <c:v>3.1046601605546451E-3</c:v>
                </c:pt>
                <c:pt idx="52">
                  <c:v>2.9924266007769268E-3</c:v>
                </c:pt>
                <c:pt idx="53">
                  <c:v>2.8758577489348468E-3</c:v>
                </c:pt>
                <c:pt idx="54">
                  <c:v>2.7551487252396143E-3</c:v>
                </c:pt>
                <c:pt idx="55">
                  <c:v>2.6304852943439989E-3</c:v>
                </c:pt>
                <c:pt idx="56">
                  <c:v>2.5020439635211394E-3</c:v>
                </c:pt>
                <c:pt idx="57">
                  <c:v>2.3774561528349812E-3</c:v>
                </c:pt>
                <c:pt idx="58">
                  <c:v>2.2662198833221297E-3</c:v>
                </c:pt>
                <c:pt idx="59">
                  <c:v>2.1679220420576591E-3</c:v>
                </c:pt>
                <c:pt idx="60">
                  <c:v>2.0821618606573318E-3</c:v>
                </c:pt>
                <c:pt idx="61">
                  <c:v>2.0085511687536342E-3</c:v>
                </c:pt>
                <c:pt idx="62">
                  <c:v>1.946714601602543E-3</c:v>
                </c:pt>
                <c:pt idx="63">
                  <c:v>1.896289767421729E-3</c:v>
                </c:pt>
                <c:pt idx="64">
                  <c:v>1.8568798170540996E-3</c:v>
                </c:pt>
                <c:pt idx="65">
                  <c:v>1.8285368812590711E-3</c:v>
                </c:pt>
                <c:pt idx="66">
                  <c:v>1.8079001555477408E-3</c:v>
                </c:pt>
                <c:pt idx="67">
                  <c:v>1.7947450522663114E-3</c:v>
                </c:pt>
                <c:pt idx="68">
                  <c:v>1.7888546026125817E-3</c:v>
                </c:pt>
                <c:pt idx="69">
                  <c:v>1.790019693748423E-3</c:v>
                </c:pt>
                <c:pt idx="70">
                  <c:v>1.7980392769485138E-3</c:v>
                </c:pt>
                <c:pt idx="71">
                  <c:v>1.8100379716025638E-3</c:v>
                </c:pt>
                <c:pt idx="72">
                  <c:v>1.819553255954847E-3</c:v>
                </c:pt>
                <c:pt idx="73">
                  <c:v>1.8266750630672932E-3</c:v>
                </c:pt>
                <c:pt idx="74">
                  <c:v>1.8314902798441204E-3</c:v>
                </c:pt>
                <c:pt idx="75">
                  <c:v>1.8340827035702451E-3</c:v>
                </c:pt>
                <c:pt idx="76">
                  <c:v>1.83453300542493E-3</c:v>
                </c:pt>
                <c:pt idx="77">
                  <c:v>1.8329187000299622E-3</c:v>
                </c:pt>
                <c:pt idx="78">
                  <c:v>1.8291423230450176E-3</c:v>
                </c:pt>
                <c:pt idx="79">
                  <c:v>1.8204754261931919E-3</c:v>
                </c:pt>
                <c:pt idx="80">
                  <c:v>1.8067638695443246E-3</c:v>
                </c:pt>
                <c:pt idx="81">
                  <c:v>1.788223994310952E-3</c:v>
                </c:pt>
                <c:pt idx="82">
                  <c:v>1.7650618101873092E-3</c:v>
                </c:pt>
                <c:pt idx="83">
                  <c:v>1.7374714816081442E-3</c:v>
                </c:pt>
                <c:pt idx="84">
                  <c:v>1.7056340516950843E-3</c:v>
                </c:pt>
                <c:pt idx="85">
                  <c:v>1.6684910964149579E-3</c:v>
                </c:pt>
                <c:pt idx="86">
                  <c:v>1.6285595918621289E-3</c:v>
                </c:pt>
                <c:pt idx="87">
                  <c:v>1.5859481023228507E-3</c:v>
                </c:pt>
                <c:pt idx="88">
                  <c:v>1.5407512830047584E-3</c:v>
                </c:pt>
                <c:pt idx="89">
                  <c:v>1.4930496162112636E-3</c:v>
                </c:pt>
                <c:pt idx="90">
                  <c:v>1.4429091895590879E-3</c:v>
                </c:pt>
                <c:pt idx="91">
                  <c:v>1.3903814970626345E-3</c:v>
                </c:pt>
                <c:pt idx="92">
                  <c:v>1.3353862196913426E-3</c:v>
                </c:pt>
                <c:pt idx="93">
                  <c:v>1.2783531324374103E-3</c:v>
                </c:pt>
                <c:pt idx="94">
                  <c:v>1.2216707633571351E-3</c:v>
                </c:pt>
                <c:pt idx="95">
                  <c:v>1.1652966094875966E-3</c:v>
                </c:pt>
                <c:pt idx="96">
                  <c:v>1.109188081529172E-3</c:v>
                </c:pt>
                <c:pt idx="97">
                  <c:v>1.0533024476477584E-3</c:v>
                </c:pt>
                <c:pt idx="98">
                  <c:v>9.9759678029026004E-4</c:v>
                </c:pt>
                <c:pt idx="99">
                  <c:v>9.4325216666904326E-4</c:v>
                </c:pt>
                <c:pt idx="100">
                  <c:v>8.9133007939742838E-4</c:v>
                </c:pt>
                <c:pt idx="101">
                  <c:v>8.4176248096575271E-4</c:v>
                </c:pt>
                <c:pt idx="102">
                  <c:v>7.944851441072391E-4</c:v>
                </c:pt>
                <c:pt idx="103">
                  <c:v>7.4943754785941695E-4</c:v>
                </c:pt>
                <c:pt idx="104">
                  <c:v>7.0656278076734139E-4</c:v>
                </c:pt>
                <c:pt idx="105">
                  <c:v>6.6580745121879131E-4</c:v>
                </c:pt>
                <c:pt idx="106">
                  <c:v>6.2712120717623744E-4</c:v>
                </c:pt>
                <c:pt idx="107">
                  <c:v>5.9116195546183713E-4</c:v>
                </c:pt>
                <c:pt idx="108">
                  <c:v>5.5738542021902438E-4</c:v>
                </c:pt>
                <c:pt idx="109">
                  <c:v>5.2575129426432859E-4</c:v>
                </c:pt>
                <c:pt idx="110">
                  <c:v>4.9622463748836328E-4</c:v>
                </c:pt>
                <c:pt idx="111">
                  <c:v>4.6877404536306805E-4</c:v>
                </c:pt>
                <c:pt idx="112">
                  <c:v>4.4337029039748151E-4</c:v>
                </c:pt>
                <c:pt idx="113">
                  <c:v>4.2055139904052628E-4</c:v>
                </c:pt>
                <c:pt idx="114">
                  <c:v>3.9910588645321408E-4</c:v>
                </c:pt>
                <c:pt idx="115">
                  <c:v>3.7901522919252451E-4</c:v>
                </c:pt>
                <c:pt idx="116">
                  <c:v>3.6026326089270549E-4</c:v>
                </c:pt>
                <c:pt idx="117">
                  <c:v>3.4283610436701618E-4</c:v>
                </c:pt>
                <c:pt idx="118">
                  <c:v>3.2672210707447471E-4</c:v>
                </c:pt>
                <c:pt idx="119">
                  <c:v>3.1191177934396702E-4</c:v>
                </c:pt>
                <c:pt idx="120">
                  <c:v>2.9840138311944611E-4</c:v>
                </c:pt>
                <c:pt idx="121">
                  <c:v>2.8650756038762126E-4</c:v>
                </c:pt>
                <c:pt idx="122">
                  <c:v>2.7551819149098619E-4</c:v>
                </c:pt>
                <c:pt idx="123">
                  <c:v>2.6542876044378282E-4</c:v>
                </c:pt>
                <c:pt idx="124">
                  <c:v>2.562363272085553E-4</c:v>
                </c:pt>
                <c:pt idx="125">
                  <c:v>2.4793947016105161E-4</c:v>
                </c:pt>
                <c:pt idx="126">
                  <c:v>2.4053822931055857E-4</c:v>
                </c:pt>
                <c:pt idx="127">
                  <c:v>2.3410670781701332E-4</c:v>
                </c:pt>
                <c:pt idx="128">
                  <c:v>2.2806890482970633E-4</c:v>
                </c:pt>
                <c:pt idx="129">
                  <c:v>2.2242369625167225E-4</c:v>
                </c:pt>
                <c:pt idx="130">
                  <c:v>2.1717061604797764E-4</c:v>
                </c:pt>
                <c:pt idx="131">
                  <c:v>2.123098329081411E-4</c:v>
                </c:pt>
                <c:pt idx="132">
                  <c:v>2.0784212643820839E-4</c:v>
                </c:pt>
                <c:pt idx="133">
                  <c:v>2.0376886279290234E-4</c:v>
                </c:pt>
                <c:pt idx="134">
                  <c:v>2.0009594938814724E-4</c:v>
                </c:pt>
                <c:pt idx="135">
                  <c:v>1.9705523025858037E-4</c:v>
                </c:pt>
                <c:pt idx="136">
                  <c:v>1.9431306513483781E-4</c:v>
                </c:pt>
                <c:pt idx="137">
                  <c:v>1.9187028502637988E-4</c:v>
                </c:pt>
                <c:pt idx="138">
                  <c:v>1.8972814038288897E-4</c:v>
                </c:pt>
                <c:pt idx="139">
                  <c:v>1.8788827368228223E-4</c:v>
                </c:pt>
                <c:pt idx="140">
                  <c:v>1.8635269128816105E-4</c:v>
                </c:pt>
                <c:pt idx="141">
                  <c:v>1.8519132183621653E-4</c:v>
                </c:pt>
                <c:pt idx="142">
                  <c:v>1.8432662642152035E-4</c:v>
                </c:pt>
                <c:pt idx="143">
                  <c:v>1.8375967341065366E-4</c:v>
                </c:pt>
                <c:pt idx="144">
                  <c:v>1.8349282830503193E-4</c:v>
                </c:pt>
                <c:pt idx="145">
                  <c:v>1.8352860575828508E-4</c:v>
                </c:pt>
                <c:pt idx="146">
                  <c:v>1.8386964313446316E-4</c:v>
                </c:pt>
                <c:pt idx="147">
                  <c:v>1.8451867362926933E-4</c:v>
                </c:pt>
                <c:pt idx="148">
                  <c:v>1.854829253445017E-4</c:v>
                </c:pt>
                <c:pt idx="149">
                  <c:v>1.8677089877409562E-4</c:v>
                </c:pt>
                <c:pt idx="150">
                  <c:v>1.8814071075917715E-4</c:v>
                </c:pt>
                <c:pt idx="151">
                  <c:v>1.8959149097576573E-4</c:v>
                </c:pt>
                <c:pt idx="152">
                  <c:v>1.9112236125667367E-4</c:v>
                </c:pt>
                <c:pt idx="153">
                  <c:v>1.9273243247187787E-4</c:v>
                </c:pt>
                <c:pt idx="154">
                  <c:v>1.9442080171172056E-4</c:v>
                </c:pt>
                <c:pt idx="155">
                  <c:v>1.9624847219176247E-4</c:v>
                </c:pt>
                <c:pt idx="156">
                  <c:v>1.9814431072171282E-4</c:v>
                </c:pt>
                <c:pt idx="157">
                  <c:v>2.0010785965594014E-4</c:v>
                </c:pt>
                <c:pt idx="158">
                  <c:v>2.0213865022238405E-4</c:v>
                </c:pt>
                <c:pt idx="159">
                  <c:v>2.042361999556858E-4</c:v>
                </c:pt>
                <c:pt idx="160">
                  <c:v>2.064000102428574E-4</c:v>
                </c:pt>
                <c:pt idx="161">
                  <c:v>2.0874884049344202E-4</c:v>
                </c:pt>
                <c:pt idx="162">
                  <c:v>2.1119695687403558E-4</c:v>
                </c:pt>
                <c:pt idx="163">
                  <c:v>2.1360307059306528E-4</c:v>
                </c:pt>
                <c:pt idx="164">
                  <c:v>2.1596371544542158E-4</c:v>
                </c:pt>
                <c:pt idx="165">
                  <c:v>2.1827777293905058E-4</c:v>
                </c:pt>
                <c:pt idx="166">
                  <c:v>2.2054418788313126E-4</c:v>
                </c:pt>
                <c:pt idx="167">
                  <c:v>2.2276197308161784E-4</c:v>
                </c:pt>
                <c:pt idx="168">
                  <c:v>2.2493021355968144E-4</c:v>
                </c:pt>
                <c:pt idx="169">
                  <c:v>2.2693610546157693E-4</c:v>
                </c:pt>
                <c:pt idx="170">
                  <c:v>2.2870994646688439E-4</c:v>
                </c:pt>
                <c:pt idx="171">
                  <c:v>2.3024900590073132E-4</c:v>
                </c:pt>
                <c:pt idx="172">
                  <c:v>2.3155069497894824E-4</c:v>
                </c:pt>
                <c:pt idx="173">
                  <c:v>2.3261019140032114E-4</c:v>
                </c:pt>
                <c:pt idx="174">
                  <c:v>2.3342266005943146E-4</c:v>
                </c:pt>
                <c:pt idx="175">
                  <c:v>2.339857334152381E-4</c:v>
                </c:pt>
                <c:pt idx="176">
                  <c:v>2.342964829767728E-4</c:v>
                </c:pt>
                <c:pt idx="177">
                  <c:v>2.344234514831322E-4</c:v>
                </c:pt>
                <c:pt idx="178">
                  <c:v>2.3448161755425744E-4</c:v>
                </c:pt>
                <c:pt idx="179">
                  <c:v>2.344722557939756E-4</c:v>
                </c:pt>
                <c:pt idx="180">
                  <c:v>2.3439672345284033E-4</c:v>
                </c:pt>
                <c:pt idx="181">
                  <c:v>2.342564528509104E-4</c:v>
                </c:pt>
                <c:pt idx="182">
                  <c:v>2.3405294353023994E-4</c:v>
                </c:pt>
                <c:pt idx="183">
                  <c:v>2.3379414566213484E-4</c:v>
                </c:pt>
                <c:pt idx="184">
                  <c:v>2.3359821877775745E-4</c:v>
                </c:pt>
                <c:pt idx="185">
                  <c:v>2.3346798348501693E-4</c:v>
                </c:pt>
                <c:pt idx="186">
                  <c:v>2.3340626822052559E-4</c:v>
                </c:pt>
                <c:pt idx="187">
                  <c:v>2.334159093652099E-4</c:v>
                </c:pt>
                <c:pt idx="188">
                  <c:v>2.334997519203264E-4</c:v>
                </c:pt>
                <c:pt idx="189">
                  <c:v>2.3366065068447075E-4</c:v>
                </c:pt>
                <c:pt idx="190">
                  <c:v>2.3389854449718377E-4</c:v>
                </c:pt>
                <c:pt idx="191">
                  <c:v>2.3428277227988605E-4</c:v>
                </c:pt>
                <c:pt idx="192">
                  <c:v>2.3474048888473892E-4</c:v>
                </c:pt>
                <c:pt idx="193">
                  <c:v>2.3527305851114657E-4</c:v>
                </c:pt>
                <c:pt idx="194">
                  <c:v>2.3588188639558569E-4</c:v>
                </c:pt>
                <c:pt idx="195">
                  <c:v>2.3656841996316073E-4</c:v>
                </c:pt>
                <c:pt idx="196">
                  <c:v>2.3733415005665603E-4</c:v>
                </c:pt>
                <c:pt idx="197">
                  <c:v>2.3848607562823961E-4</c:v>
                </c:pt>
                <c:pt idx="198">
                  <c:v>2.4002017478214565E-4</c:v>
                </c:pt>
                <c:pt idx="199">
                  <c:v>2.4194075982985876E-4</c:v>
                </c:pt>
                <c:pt idx="200">
                  <c:v>2.4425225108578224E-4</c:v>
                </c:pt>
                <c:pt idx="201">
                  <c:v>2.4695919748603197E-4</c:v>
                </c:pt>
                <c:pt idx="202">
                  <c:v>2.5006629736028815E-4</c:v>
                </c:pt>
                <c:pt idx="203">
                  <c:v>2.5357841948820509E-4</c:v>
                </c:pt>
                <c:pt idx="204">
                  <c:v>2.5750005423503299E-4</c:v>
                </c:pt>
                <c:pt idx="205">
                  <c:v>2.6199587848040252E-4</c:v>
                </c:pt>
                <c:pt idx="206">
                  <c:v>2.6700447171689216E-4</c:v>
                </c:pt>
                <c:pt idx="207">
                  <c:v>2.7253354148624564E-4</c:v>
                </c:pt>
                <c:pt idx="208">
                  <c:v>2.7859083464027335E-4</c:v>
                </c:pt>
                <c:pt idx="209">
                  <c:v>2.8518414229099475E-4</c:v>
                </c:pt>
                <c:pt idx="210">
                  <c:v>2.9232130401299941E-4</c:v>
                </c:pt>
                <c:pt idx="211">
                  <c:v>3.0053612858083078E-4</c:v>
                </c:pt>
                <c:pt idx="212">
                  <c:v>3.0952172550359941E-4</c:v>
                </c:pt>
                <c:pt idx="213">
                  <c:v>3.1928958183366865E-4</c:v>
                </c:pt>
                <c:pt idx="214">
                  <c:v>3.2985125072495895E-4</c:v>
                </c:pt>
                <c:pt idx="215">
                  <c:v>3.4121835433877632E-4</c:v>
                </c:pt>
                <c:pt idx="216">
                  <c:v>3.5340258533501142E-4</c:v>
                </c:pt>
                <c:pt idx="217">
                  <c:v>3.6641570702092204E-4</c:v>
                </c:pt>
                <c:pt idx="218">
                  <c:v>3.8026824459879907E-4</c:v>
                </c:pt>
                <c:pt idx="219">
                  <c:v>3.9584991992221066E-4</c:v>
                </c:pt>
                <c:pt idx="220">
                  <c:v>4.1300770959871921E-4</c:v>
                </c:pt>
                <c:pt idx="221">
                  <c:v>4.317638159986791E-4</c:v>
                </c:pt>
                <c:pt idx="222">
                  <c:v>4.5214128829234863E-4</c:v>
                </c:pt>
                <c:pt idx="223">
                  <c:v>4.7416411211683037E-4</c:v>
                </c:pt>
                <c:pt idx="224">
                  <c:v>4.978573023270578E-4</c:v>
                </c:pt>
                <c:pt idx="225">
                  <c:v>5.2435992077335693E-4</c:v>
                </c:pt>
                <c:pt idx="226">
                  <c:v>5.5315069312767903E-4</c:v>
                </c:pt>
                <c:pt idx="227">
                  <c:v>5.8426524691573053E-4</c:v>
                </c:pt>
                <c:pt idx="228">
                  <c:v>6.1774103406836975E-4</c:v>
                </c:pt>
                <c:pt idx="229">
                  <c:v>6.5361747854993904E-4</c:v>
                </c:pt>
                <c:pt idx="230">
                  <c:v>6.9193613190925195E-4</c:v>
                </c:pt>
                <c:pt idx="231">
                  <c:v>7.327408377998196E-4</c:v>
                </c:pt>
                <c:pt idx="232">
                  <c:v>7.7606351749848874E-4</c:v>
                </c:pt>
                <c:pt idx="233">
                  <c:v>8.23752235751249E-4</c:v>
                </c:pt>
                <c:pt idx="234">
                  <c:v>8.7493975061015685E-4</c:v>
                </c:pt>
                <c:pt idx="235">
                  <c:v>9.2968740760395992E-4</c:v>
                </c:pt>
                <c:pt idx="236">
                  <c:v>9.8806020924304089E-4</c:v>
                </c:pt>
                <c:pt idx="237">
                  <c:v>1.0501261668057376E-3</c:v>
                </c:pt>
                <c:pt idx="238">
                  <c:v>1.1159571044972966E-3</c:v>
                </c:pt>
                <c:pt idx="239">
                  <c:v>1.1862007672119941E-3</c:v>
                </c:pt>
                <c:pt idx="240">
                  <c:v>1.2597477723356677E-3</c:v>
                </c:pt>
                <c:pt idx="241">
                  <c:v>1.336671341499043E-3</c:v>
                </c:pt>
                <c:pt idx="242">
                  <c:v>1.4170493560150166E-3</c:v>
                </c:pt>
                <c:pt idx="243">
                  <c:v>1.5009646753618899E-3</c:v>
                </c:pt>
                <c:pt idx="244">
                  <c:v>1.5885054790457831E-3</c:v>
                </c:pt>
                <c:pt idx="245">
                  <c:v>1.6797656353613054E-3</c:v>
                </c:pt>
                <c:pt idx="246">
                  <c:v>1.7748590861828032E-3</c:v>
                </c:pt>
                <c:pt idx="247">
                  <c:v>1.8719915007428087E-3</c:v>
                </c:pt>
                <c:pt idx="248">
                  <c:v>1.9692448119238712E-3</c:v>
                </c:pt>
                <c:pt idx="249">
                  <c:v>2.0666330869414076E-3</c:v>
                </c:pt>
                <c:pt idx="250">
                  <c:v>2.1641673366954986E-3</c:v>
                </c:pt>
                <c:pt idx="251">
                  <c:v>2.2618553803001777E-3</c:v>
                </c:pt>
                <c:pt idx="252">
                  <c:v>2.3597016976878897E-3</c:v>
                </c:pt>
                <c:pt idx="253">
                  <c:v>2.4535580230067304E-3</c:v>
                </c:pt>
                <c:pt idx="254">
                  <c:v>2.5427104274682749E-3</c:v>
                </c:pt>
                <c:pt idx="255">
                  <c:v>2.6270461794407366E-3</c:v>
                </c:pt>
                <c:pt idx="256">
                  <c:v>2.7064444222027252E-3</c:v>
                </c:pt>
                <c:pt idx="257">
                  <c:v>2.7807762846912506E-3</c:v>
                </c:pt>
                <c:pt idx="258">
                  <c:v>2.8499050238683086E-3</c:v>
                </c:pt>
                <c:pt idx="259">
                  <c:v>2.913686202990891E-3</c:v>
                </c:pt>
                <c:pt idx="260">
                  <c:v>2.9721935547225788E-3</c:v>
                </c:pt>
                <c:pt idx="261">
                  <c:v>3.0213906576233933E-3</c:v>
                </c:pt>
                <c:pt idx="262">
                  <c:v>3.0631193756693992E-3</c:v>
                </c:pt>
                <c:pt idx="263">
                  <c:v>3.0971334273380189E-3</c:v>
                </c:pt>
                <c:pt idx="264">
                  <c:v>3.1231707253969255E-3</c:v>
                </c:pt>
                <c:pt idx="265">
                  <c:v>3.1409711806389146E-3</c:v>
                </c:pt>
                <c:pt idx="266">
                  <c:v>3.1502530838563507E-3</c:v>
                </c:pt>
                <c:pt idx="267">
                  <c:v>3.1522405103333309E-3</c:v>
                </c:pt>
                <c:pt idx="268">
                  <c:v>3.1513317349375534E-3</c:v>
                </c:pt>
                <c:pt idx="269">
                  <c:v>3.1473652628478E-3</c:v>
                </c:pt>
                <c:pt idx="270">
                  <c:v>3.1401752016256557E-3</c:v>
                </c:pt>
                <c:pt idx="271">
                  <c:v>3.1295920869334731E-3</c:v>
                </c:pt>
                <c:pt idx="272">
                  <c:v>3.1154438477620705E-3</c:v>
                </c:pt>
                <c:pt idx="273">
                  <c:v>3.0975569221158746E-3</c:v>
                </c:pt>
                <c:pt idx="274">
                  <c:v>3.0760060587065765E-3</c:v>
                </c:pt>
                <c:pt idx="275">
                  <c:v>3.0615285573323157E-3</c:v>
                </c:pt>
                <c:pt idx="276">
                  <c:v>3.0589383323841091E-3</c:v>
                </c:pt>
                <c:pt idx="277">
                  <c:v>3.068517865160659E-3</c:v>
                </c:pt>
                <c:pt idx="278">
                  <c:v>3.090553481393251E-3</c:v>
                </c:pt>
                <c:pt idx="279">
                  <c:v>3.1253345378089458E-3</c:v>
                </c:pt>
                <c:pt idx="280">
                  <c:v>3.1731525622546394E-3</c:v>
                </c:pt>
                <c:pt idx="281">
                  <c:v>3.2378632275346323E-3</c:v>
                </c:pt>
                <c:pt idx="282">
                  <c:v>3.3180996940041581E-3</c:v>
                </c:pt>
                <c:pt idx="283">
                  <c:v>3.414195966175594E-3</c:v>
                </c:pt>
                <c:pt idx="284">
                  <c:v>3.5264844130439531E-3</c:v>
                </c:pt>
                <c:pt idx="285">
                  <c:v>3.6552945342720514E-3</c:v>
                </c:pt>
                <c:pt idx="286">
                  <c:v>3.8009516832312124E-3</c:v>
                </c:pt>
                <c:pt idx="287">
                  <c:v>3.9637757477216035E-3</c:v>
                </c:pt>
                <c:pt idx="288">
                  <c:v>4.1441461860629997E-3</c:v>
                </c:pt>
                <c:pt idx="289">
                  <c:v>4.3269371052481638E-3</c:v>
                </c:pt>
                <c:pt idx="290">
                  <c:v>4.5001819669217109E-3</c:v>
                </c:pt>
                <c:pt idx="291">
                  <c:v>4.6636132134694787E-3</c:v>
                </c:pt>
                <c:pt idx="292">
                  <c:v>4.816965603458059E-3</c:v>
                </c:pt>
                <c:pt idx="293">
                  <c:v>4.9599764600284655E-3</c:v>
                </c:pt>
                <c:pt idx="294">
                  <c:v>5.0923858478353918E-3</c:v>
                </c:pt>
                <c:pt idx="295">
                  <c:v>5.2027630982563293E-3</c:v>
                </c:pt>
                <c:pt idx="296">
                  <c:v>5.2866864676828088E-3</c:v>
                </c:pt>
                <c:pt idx="297">
                  <c:v>5.3436215756525914E-3</c:v>
                </c:pt>
                <c:pt idx="298">
                  <c:v>5.3729895746949365E-3</c:v>
                </c:pt>
                <c:pt idx="299">
                  <c:v>5.3742082379444056E-3</c:v>
                </c:pt>
                <c:pt idx="300">
                  <c:v>5.3466906917151169E-3</c:v>
                </c:pt>
                <c:pt idx="301">
                  <c:v>5.2898439304090109E-3</c:v>
                </c:pt>
                <c:pt idx="302">
                  <c:v>5.2032792229365658E-3</c:v>
                </c:pt>
                <c:pt idx="303">
                  <c:v>5.0902404143226667E-3</c:v>
                </c:pt>
                <c:pt idx="304">
                  <c:v>4.9674091759527922E-3</c:v>
                </c:pt>
                <c:pt idx="305">
                  <c:v>4.8345009047739322E-3</c:v>
                </c:pt>
                <c:pt idx="306">
                  <c:v>4.6912271103754484E-3</c:v>
                </c:pt>
                <c:pt idx="307">
                  <c:v>4.5372965975287493E-3</c:v>
                </c:pt>
                <c:pt idx="308">
                  <c:v>4.3724168784086571E-3</c:v>
                </c:pt>
                <c:pt idx="309">
                  <c:v>4.2022778636691769E-3</c:v>
                </c:pt>
                <c:pt idx="310">
                  <c:v>4.0392050918302913E-3</c:v>
                </c:pt>
                <c:pt idx="311">
                  <c:v>3.8833335971095511E-3</c:v>
                </c:pt>
                <c:pt idx="312">
                  <c:v>3.734806714462731E-3</c:v>
                </c:pt>
                <c:pt idx="313">
                  <c:v>3.5937754071987105E-3</c:v>
                </c:pt>
                <c:pt idx="314">
                  <c:v>3.4603974786172665E-3</c:v>
                </c:pt>
                <c:pt idx="315">
                  <c:v>3.334836645895138E-3</c:v>
                </c:pt>
                <c:pt idx="316">
                  <c:v>3.2176274332122762E-3</c:v>
                </c:pt>
                <c:pt idx="317">
                  <c:v>3.1126062367926081E-3</c:v>
                </c:pt>
                <c:pt idx="318">
                  <c:v>3.0158098339217129E-3</c:v>
                </c:pt>
                <c:pt idx="319">
                  <c:v>2.9273503112010888E-3</c:v>
                </c:pt>
                <c:pt idx="320">
                  <c:v>2.8473484674449447E-3</c:v>
                </c:pt>
                <c:pt idx="321">
                  <c:v>2.7759323814473859E-3</c:v>
                </c:pt>
                <c:pt idx="322">
                  <c:v>2.7132357466123796E-3</c:v>
                </c:pt>
                <c:pt idx="323">
                  <c:v>2.6603855201386014E-3</c:v>
                </c:pt>
                <c:pt idx="324">
                  <c:v>2.6108595742133341E-3</c:v>
                </c:pt>
                <c:pt idx="325">
                  <c:v>2.5646743872443081E-3</c:v>
                </c:pt>
                <c:pt idx="326">
                  <c:v>2.5218309889602337E-3</c:v>
                </c:pt>
                <c:pt idx="327">
                  <c:v>2.4823411123385264E-3</c:v>
                </c:pt>
                <c:pt idx="328">
                  <c:v>2.4462277308858809E-3</c:v>
                </c:pt>
                <c:pt idx="329">
                  <c:v>2.4135107836315826E-3</c:v>
                </c:pt>
                <c:pt idx="330">
                  <c:v>2.3845268347551739E-3</c:v>
                </c:pt>
                <c:pt idx="331">
                  <c:v>2.3602884932538482E-3</c:v>
                </c:pt>
                <c:pt idx="332">
                  <c:v>2.337124470462693E-3</c:v>
                </c:pt>
                <c:pt idx="333">
                  <c:v>2.3149980609431151E-3</c:v>
                </c:pt>
                <c:pt idx="334">
                  <c:v>2.2938713554737531E-3</c:v>
                </c:pt>
                <c:pt idx="335">
                  <c:v>2.2737052165234476E-3</c:v>
                </c:pt>
                <c:pt idx="336">
                  <c:v>2.2544592702625427E-3</c:v>
                </c:pt>
                <c:pt idx="337">
                  <c:v>2.2376943332228158E-3</c:v>
                </c:pt>
                <c:pt idx="338">
                  <c:v>2.2223077210513642E-3</c:v>
                </c:pt>
                <c:pt idx="339">
                  <c:v>2.2082599768090323E-3</c:v>
                </c:pt>
                <c:pt idx="340">
                  <c:v>2.1955090534903866E-3</c:v>
                </c:pt>
                <c:pt idx="341">
                  <c:v>2.1840101792312784E-3</c:v>
                </c:pt>
                <c:pt idx="342">
                  <c:v>2.1737157505244218E-3</c:v>
                </c:pt>
                <c:pt idx="343">
                  <c:v>2.1645752643782486E-3</c:v>
                </c:pt>
                <c:pt idx="344">
                  <c:v>2.1564397327891649E-3</c:v>
                </c:pt>
                <c:pt idx="345">
                  <c:v>2.1492753256584485E-3</c:v>
                </c:pt>
                <c:pt idx="346">
                  <c:v>2.1424317496209627E-3</c:v>
                </c:pt>
                <c:pt idx="347">
                  <c:v>2.1360236265438081E-3</c:v>
                </c:pt>
                <c:pt idx="348">
                  <c:v>2.1301640759658668E-3</c:v>
                </c:pt>
                <c:pt idx="349">
                  <c:v>2.1249642924106396E-3</c:v>
                </c:pt>
                <c:pt idx="350">
                  <c:v>2.1205332522402872E-3</c:v>
                </c:pt>
                <c:pt idx="351">
                  <c:v>2.116922075895227E-3</c:v>
                </c:pt>
                <c:pt idx="352">
                  <c:v>2.1126102802265173E-3</c:v>
                </c:pt>
                <c:pt idx="353">
                  <c:v>2.1077120159076132E-3</c:v>
                </c:pt>
                <c:pt idx="354">
                  <c:v>2.1023410458704261E-3</c:v>
                </c:pt>
                <c:pt idx="355">
                  <c:v>2.0966101841952442E-3</c:v>
                </c:pt>
                <c:pt idx="356">
                  <c:v>2.0906229830924372E-3</c:v>
                </c:pt>
                <c:pt idx="357">
                  <c:v>2.0844942857999754E-3</c:v>
                </c:pt>
                <c:pt idx="358">
                  <c:v>2.0781927192331413E-3</c:v>
                </c:pt>
                <c:pt idx="359">
                  <c:v>2.0715741175165465E-3</c:v>
                </c:pt>
                <c:pt idx="360">
                  <c:v>2.0661588263835295E-3</c:v>
                </c:pt>
                <c:pt idx="361">
                  <c:v>2.0619189588381849E-3</c:v>
                </c:pt>
                <c:pt idx="362">
                  <c:v>2.0587730383100334E-3</c:v>
                </c:pt>
                <c:pt idx="363">
                  <c:v>2.0566402553977904E-3</c:v>
                </c:pt>
                <c:pt idx="364">
                  <c:v>2.0554403043816158E-3</c:v>
                </c:pt>
                <c:pt idx="365">
                  <c:v>2.055093271904989E-3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1032"/>
        <c:axId val="611451424"/>
      </c:lineChart>
      <c:dateAx>
        <c:axId val="611451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1424"/>
        <c:crosses val="autoZero"/>
        <c:auto val="1"/>
        <c:lblOffset val="100"/>
        <c:baseTimeUnit val="days"/>
        <c:majorUnit val="1"/>
        <c:majorTimeUnit val="months"/>
      </c:dateAx>
      <c:valAx>
        <c:axId val="6114514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1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16.922627747800064</c:v>
                </c:pt>
                <c:pt idx="1">
                  <c:v>17.002143978845396</c:v>
                </c:pt>
                <c:pt idx="2">
                  <c:v>17.088655778218367</c:v>
                </c:pt>
                <c:pt idx="3">
                  <c:v>17.182655057115721</c:v>
                </c:pt>
                <c:pt idx="4">
                  <c:v>17.284633429499678</c:v>
                </c:pt>
                <c:pt idx="5">
                  <c:v>17.395082217899681</c:v>
                </c:pt>
                <c:pt idx="6">
                  <c:v>17.514492454705156</c:v>
                </c:pt>
                <c:pt idx="7">
                  <c:v>17.643354883155766</c:v>
                </c:pt>
                <c:pt idx="8">
                  <c:v>17.781716561565567</c:v>
                </c:pt>
                <c:pt idx="9">
                  <c:v>17.929009108018111</c:v>
                </c:pt>
                <c:pt idx="10">
                  <c:v>18.084853128447165</c:v>
                </c:pt>
                <c:pt idx="11">
                  <c:v>18.248842935205385</c:v>
                </c:pt>
                <c:pt idx="12">
                  <c:v>18.420573002147112</c:v>
                </c:pt>
                <c:pt idx="13">
                  <c:v>18.599637965962668</c:v>
                </c:pt>
                <c:pt idx="14">
                  <c:v>18.785632636669941</c:v>
                </c:pt>
                <c:pt idx="15">
                  <c:v>18.978089293441212</c:v>
                </c:pt>
                <c:pt idx="16">
                  <c:v>19.176614602374855</c:v>
                </c:pt>
                <c:pt idx="17">
                  <c:v>19.380803909904202</c:v>
                </c:pt>
                <c:pt idx="18">
                  <c:v>19.590252760454259</c:v>
                </c:pt>
                <c:pt idx="19">
                  <c:v>19.804556643445352</c:v>
                </c:pt>
                <c:pt idx="20">
                  <c:v>20.023311116817901</c:v>
                </c:pt>
                <c:pt idx="21">
                  <c:v>20.246112109107816</c:v>
                </c:pt>
                <c:pt idx="22">
                  <c:v>20.474369104536397</c:v>
                </c:pt>
                <c:pt idx="23">
                  <c:v>20.709391361586462</c:v>
                </c:pt>
                <c:pt idx="24">
                  <c:v>20.95082124897279</c:v>
                </c:pt>
                <c:pt idx="25">
                  <c:v>21.198283541792396</c:v>
                </c:pt>
                <c:pt idx="26">
                  <c:v>21.451403209048937</c:v>
                </c:pt>
                <c:pt idx="27">
                  <c:v>21.709805418202489</c:v>
                </c:pt>
                <c:pt idx="28">
                  <c:v>21.973115529253729</c:v>
                </c:pt>
                <c:pt idx="29">
                  <c:v>22.240881695909781</c:v>
                </c:pt>
                <c:pt idx="30">
                  <c:v>22.512792325019259</c:v>
                </c:pt>
                <c:pt idx="31">
                  <c:v>22.788473380968615</c:v>
                </c:pt>
                <c:pt idx="32">
                  <c:v>23.067551029698169</c:v>
                </c:pt>
                <c:pt idx="33">
                  <c:v>23.349651638818514</c:v>
                </c:pt>
                <c:pt idx="34">
                  <c:v>23.634401782858227</c:v>
                </c:pt>
                <c:pt idx="35">
                  <c:v>23.921428239602811</c:v>
                </c:pt>
                <c:pt idx="36">
                  <c:v>24.211893392719226</c:v>
                </c:pt>
                <c:pt idx="37">
                  <c:v>24.507267159665219</c:v>
                </c:pt>
                <c:pt idx="38">
                  <c:v>24.807387676008396</c:v>
                </c:pt>
                <c:pt idx="39">
                  <c:v>25.111974277669027</c:v>
                </c:pt>
                <c:pt idx="40">
                  <c:v>25.42074646277937</c:v>
                </c:pt>
                <c:pt idx="41">
                  <c:v>25.733423892454542</c:v>
                </c:pt>
                <c:pt idx="42">
                  <c:v>26.049726384704645</c:v>
                </c:pt>
                <c:pt idx="43">
                  <c:v>26.369731761068792</c:v>
                </c:pt>
                <c:pt idx="44">
                  <c:v>26.693237473034433</c:v>
                </c:pt>
                <c:pt idx="45">
                  <c:v>27.019963774476093</c:v>
                </c:pt>
                <c:pt idx="46">
                  <c:v>27.349631077565807</c:v>
                </c:pt>
                <c:pt idx="47">
                  <c:v>27.681959950518163</c:v>
                </c:pt>
                <c:pt idx="48">
                  <c:v>28.016671112607106</c:v>
                </c:pt>
                <c:pt idx="49">
                  <c:v>28.353485427478979</c:v>
                </c:pt>
                <c:pt idx="50">
                  <c:v>28.693223177447578</c:v>
                </c:pt>
                <c:pt idx="51">
                  <c:v>29.036679767691144</c:v>
                </c:pt>
                <c:pt idx="52">
                  <c:v>29.383423364749511</c:v>
                </c:pt>
                <c:pt idx="53">
                  <c:v>29.733268109600317</c:v>
                </c:pt>
                <c:pt idx="54">
                  <c:v>30.086027614744772</c:v>
                </c:pt>
                <c:pt idx="55">
                  <c:v>30.44151552200201</c:v>
                </c:pt>
                <c:pt idx="56">
                  <c:v>30.79954549365231</c:v>
                </c:pt>
                <c:pt idx="57">
                  <c:v>31.159657479851468</c:v>
                </c:pt>
                <c:pt idx="58">
                  <c:v>31.521307104765441</c:v>
                </c:pt>
                <c:pt idx="59">
                  <c:v>31.884307943654921</c:v>
                </c:pt>
                <c:pt idx="60">
                  <c:v>32.248473568824103</c:v>
                </c:pt>
                <c:pt idx="61">
                  <c:v>32.613617546850286</c:v>
                </c:pt>
                <c:pt idx="62">
                  <c:v>32.979553429795033</c:v>
                </c:pt>
                <c:pt idx="63">
                  <c:v>33.346094754334068</c:v>
                </c:pt>
                <c:pt idx="64">
                  <c:v>33.713920614285975</c:v>
                </c:pt>
                <c:pt idx="65">
                  <c:v>34.083666133691175</c:v>
                </c:pt>
                <c:pt idx="66">
                  <c:v>34.455229947724192</c:v>
                </c:pt>
                <c:pt idx="67">
                  <c:v>34.828424590405092</c:v>
                </c:pt>
                <c:pt idx="68">
                  <c:v>35.203062531474046</c:v>
                </c:pt>
                <c:pt idx="69">
                  <c:v>35.578956164782134</c:v>
                </c:pt>
                <c:pt idx="70">
                  <c:v>35.955917803895467</c:v>
                </c:pt>
                <c:pt idx="71">
                  <c:v>36.333878933555695</c:v>
                </c:pt>
                <c:pt idx="72">
                  <c:v>36.712925956982836</c:v>
                </c:pt>
                <c:pt idx="73">
                  <c:v>37.092871196711876</c:v>
                </c:pt>
                <c:pt idx="74">
                  <c:v>37.47352693075171</c:v>
                </c:pt>
                <c:pt idx="75">
                  <c:v>37.854705399106528</c:v>
                </c:pt>
                <c:pt idx="76">
                  <c:v>38.23621880567211</c:v>
                </c:pt>
                <c:pt idx="77">
                  <c:v>38.617879326350426</c:v>
                </c:pt>
                <c:pt idx="78">
                  <c:v>39.003171649205989</c:v>
                </c:pt>
                <c:pt idx="79">
                  <c:v>39.39484304176348</c:v>
                </c:pt>
                <c:pt idx="80">
                  <c:v>39.79145170079596</c:v>
                </c:pt>
                <c:pt idx="81">
                  <c:v>40.191512603869064</c:v>
                </c:pt>
                <c:pt idx="82">
                  <c:v>40.593541441458228</c:v>
                </c:pt>
                <c:pt idx="83">
                  <c:v>40.996054635592664</c:v>
                </c:pt>
                <c:pt idx="84">
                  <c:v>41.397569362452003</c:v>
                </c:pt>
                <c:pt idx="85">
                  <c:v>41.796665342942447</c:v>
                </c:pt>
                <c:pt idx="86">
                  <c:v>42.191741306433798</c:v>
                </c:pt>
                <c:pt idx="87">
                  <c:v>42.581316695156531</c:v>
                </c:pt>
                <c:pt idx="88">
                  <c:v>42.963911787338866</c:v>
                </c:pt>
                <c:pt idx="89">
                  <c:v>43.419391949467489</c:v>
                </c:pt>
                <c:pt idx="90">
                  <c:v>43.781673648736898</c:v>
                </c:pt>
                <c:pt idx="91">
                  <c:v>44.132351720872222</c:v>
                </c:pt>
                <c:pt idx="92">
                  <c:v>44.473846101284032</c:v>
                </c:pt>
                <c:pt idx="93">
                  <c:v>44.809499526791939</c:v>
                </c:pt>
                <c:pt idx="94">
                  <c:v>45.139218894583152</c:v>
                </c:pt>
                <c:pt idx="95">
                  <c:v>45.462911219448792</c:v>
                </c:pt>
                <c:pt idx="96">
                  <c:v>45.780483605217448</c:v>
                </c:pt>
                <c:pt idx="97">
                  <c:v>46.091843263560037</c:v>
                </c:pt>
                <c:pt idx="98">
                  <c:v>46.396897515898274</c:v>
                </c:pt>
                <c:pt idx="99">
                  <c:v>46.695553663665251</c:v>
                </c:pt>
                <c:pt idx="100">
                  <c:v>46.987719117933224</c:v>
                </c:pt>
                <c:pt idx="101">
                  <c:v>47.273301498841562</c:v>
                </c:pt>
                <c:pt idx="102">
                  <c:v>47.55220857478367</c:v>
                </c:pt>
                <c:pt idx="103">
                  <c:v>47.824348263578251</c:v>
                </c:pt>
                <c:pt idx="104">
                  <c:v>48.08962864872057</c:v>
                </c:pt>
                <c:pt idx="105">
                  <c:v>48.347957980217728</c:v>
                </c:pt>
                <c:pt idx="106">
                  <c:v>48.599275441848285</c:v>
                </c:pt>
                <c:pt idx="107">
                  <c:v>48.843643149436474</c:v>
                </c:pt>
                <c:pt idx="108">
                  <c:v>49.08115442746049</c:v>
                </c:pt>
                <c:pt idx="109">
                  <c:v>49.311902522209337</c:v>
                </c:pt>
                <c:pt idx="110">
                  <c:v>49.535980782076727</c:v>
                </c:pt>
                <c:pt idx="111">
                  <c:v>49.753482656784229</c:v>
                </c:pt>
                <c:pt idx="112">
                  <c:v>49.964501717796054</c:v>
                </c:pt>
                <c:pt idx="113">
                  <c:v>50.169131416650906</c:v>
                </c:pt>
                <c:pt idx="114">
                  <c:v>50.367466024873927</c:v>
                </c:pt>
                <c:pt idx="115">
                  <c:v>50.559599544788014</c:v>
                </c:pt>
                <c:pt idx="116">
                  <c:v>50.745626124471187</c:v>
                </c:pt>
                <c:pt idx="117">
                  <c:v>50.925640066766739</c:v>
                </c:pt>
                <c:pt idx="118">
                  <c:v>51.099735836820912</c:v>
                </c:pt>
                <c:pt idx="119">
                  <c:v>56.459436872844009</c:v>
                </c:pt>
                <c:pt idx="120">
                  <c:v>56.635511012191785</c:v>
                </c:pt>
                <c:pt idx="121">
                  <c:v>56.804128002828186</c:v>
                </c:pt>
                <c:pt idx="122">
                  <c:v>56.965495280592627</c:v>
                </c:pt>
                <c:pt idx="123">
                  <c:v>57.119819690062236</c:v>
                </c:pt>
                <c:pt idx="124">
                  <c:v>57.267307948925712</c:v>
                </c:pt>
                <c:pt idx="125">
                  <c:v>57.408166652580867</c:v>
                </c:pt>
                <c:pt idx="126">
                  <c:v>57.542602270779525</c:v>
                </c:pt>
                <c:pt idx="127">
                  <c:v>57.670821165068901</c:v>
                </c:pt>
                <c:pt idx="128">
                  <c:v>57.793030171452322</c:v>
                </c:pt>
                <c:pt idx="129">
                  <c:v>57.909435489138886</c:v>
                </c:pt>
                <c:pt idx="130">
                  <c:v>58.020243211913431</c:v>
                </c:pt>
                <c:pt idx="131">
                  <c:v>58.125659321115755</c:v>
                </c:pt>
                <c:pt idx="132">
                  <c:v>58.225889694177653</c:v>
                </c:pt>
                <c:pt idx="133">
                  <c:v>58.321140098720015</c:v>
                </c:pt>
                <c:pt idx="134">
                  <c:v>58.41045438090071</c:v>
                </c:pt>
                <c:pt idx="135">
                  <c:v>58.492944526287253</c:v>
                </c:pt>
                <c:pt idx="136">
                  <c:v>58.568918880587397</c:v>
                </c:pt>
                <c:pt idx="137">
                  <c:v>58.638685212232453</c:v>
                </c:pt>
                <c:pt idx="138">
                  <c:v>58.702551101442481</c:v>
                </c:pt>
                <c:pt idx="139">
                  <c:v>58.760823929798718</c:v>
                </c:pt>
                <c:pt idx="140">
                  <c:v>58.813810889944435</c:v>
                </c:pt>
                <c:pt idx="141">
                  <c:v>58.861818772492278</c:v>
                </c:pt>
                <c:pt idx="142">
                  <c:v>58.905154323984419</c:v>
                </c:pt>
                <c:pt idx="143">
                  <c:v>58.944124111042164</c:v>
                </c:pt>
                <c:pt idx="144">
                  <c:v>58.979034487439911</c:v>
                </c:pt>
                <c:pt idx="145">
                  <c:v>59.010191595771559</c:v>
                </c:pt>
                <c:pt idx="146">
                  <c:v>59.037901368330175</c:v>
                </c:pt>
                <c:pt idx="147">
                  <c:v>59.062469514070088</c:v>
                </c:pt>
                <c:pt idx="148">
                  <c:v>59.082791502848067</c:v>
                </c:pt>
                <c:pt idx="149">
                  <c:v>59.09776397330694</c:v>
                </c:pt>
                <c:pt idx="150">
                  <c:v>59.107694033217747</c:v>
                </c:pt>
                <c:pt idx="151">
                  <c:v>59.112888381010215</c:v>
                </c:pt>
                <c:pt idx="152">
                  <c:v>59.113653466214352</c:v>
                </c:pt>
                <c:pt idx="153">
                  <c:v>59.110295488758702</c:v>
                </c:pt>
                <c:pt idx="154">
                  <c:v>59.103120395727885</c:v>
                </c:pt>
                <c:pt idx="155">
                  <c:v>59.092433903135657</c:v>
                </c:pt>
                <c:pt idx="156">
                  <c:v>59.078541757444313</c:v>
                </c:pt>
                <c:pt idx="157">
                  <c:v>59.061749127927982</c:v>
                </c:pt>
                <c:pt idx="158">
                  <c:v>59.042360903979244</c:v>
                </c:pt>
                <c:pt idx="159">
                  <c:v>59.020681689237868</c:v>
                </c:pt>
                <c:pt idx="160">
                  <c:v>58.997015794866627</c:v>
                </c:pt>
                <c:pt idx="161">
                  <c:v>58.971667233388487</c:v>
                </c:pt>
                <c:pt idx="162">
                  <c:v>58.943969134563162</c:v>
                </c:pt>
                <c:pt idx="163">
                  <c:v>58.913121697305876</c:v>
                </c:pt>
                <c:pt idx="164">
                  <c:v>58.879228444684379</c:v>
                </c:pt>
                <c:pt idx="165">
                  <c:v>58.842392966177087</c:v>
                </c:pt>
                <c:pt idx="166">
                  <c:v>58.802718697841598</c:v>
                </c:pt>
                <c:pt idx="167">
                  <c:v>58.760308919434927</c:v>
                </c:pt>
                <c:pt idx="168">
                  <c:v>58.715266746229169</c:v>
                </c:pt>
                <c:pt idx="169">
                  <c:v>58.667695556801974</c:v>
                </c:pt>
                <c:pt idx="170">
                  <c:v>58.617698106870463</c:v>
                </c:pt>
                <c:pt idx="171">
                  <c:v>58.565377028979313</c:v>
                </c:pt>
                <c:pt idx="172">
                  <c:v>58.510834778471626</c:v>
                </c:pt>
                <c:pt idx="173">
                  <c:v>58.454173643935341</c:v>
                </c:pt>
                <c:pt idx="174">
                  <c:v>58.395495737406279</c:v>
                </c:pt>
                <c:pt idx="175">
                  <c:v>58.334902980866573</c:v>
                </c:pt>
                <c:pt idx="176">
                  <c:v>58.272680639152568</c:v>
                </c:pt>
                <c:pt idx="177">
                  <c:v>58.208913536042076</c:v>
                </c:pt>
                <c:pt idx="178">
                  <c:v>58.14340227809118</c:v>
                </c:pt>
                <c:pt idx="179">
                  <c:v>58.075948027986918</c:v>
                </c:pt>
                <c:pt idx="180">
                  <c:v>58.006352026042073</c:v>
                </c:pt>
                <c:pt idx="181">
                  <c:v>57.934415593433073</c:v>
                </c:pt>
                <c:pt idx="182">
                  <c:v>57.859940133177865</c:v>
                </c:pt>
                <c:pt idx="183">
                  <c:v>57.782727458028674</c:v>
                </c:pt>
                <c:pt idx="184">
                  <c:v>57.702578607395225</c:v>
                </c:pt>
                <c:pt idx="185">
                  <c:v>57.619295235179678</c:v>
                </c:pt>
                <c:pt idx="186">
                  <c:v>57.532679087196101</c:v>
                </c:pt>
                <c:pt idx="187">
                  <c:v>57.442532007979679</c:v>
                </c:pt>
                <c:pt idx="188">
                  <c:v>57.348655940481336</c:v>
                </c:pt>
                <c:pt idx="189">
                  <c:v>57.250852933754317</c:v>
                </c:pt>
                <c:pt idx="190">
                  <c:v>57.149640443298914</c:v>
                </c:pt>
                <c:pt idx="191">
                  <c:v>57.045601356301795</c:v>
                </c:pt>
                <c:pt idx="192">
                  <c:v>56.938636828272571</c:v>
                </c:pt>
                <c:pt idx="193">
                  <c:v>56.828648131289711</c:v>
                </c:pt>
                <c:pt idx="194">
                  <c:v>56.715536592559758</c:v>
                </c:pt>
                <c:pt idx="195">
                  <c:v>56.599203599533908</c:v>
                </c:pt>
                <c:pt idx="196">
                  <c:v>56.47955060362596</c:v>
                </c:pt>
                <c:pt idx="197">
                  <c:v>56.356478668401365</c:v>
                </c:pt>
                <c:pt idx="198">
                  <c:v>56.229889003463988</c:v>
                </c:pt>
                <c:pt idx="199">
                  <c:v>56.099683272507001</c:v>
                </c:pt>
                <c:pt idx="200">
                  <c:v>55.965763226922384</c:v>
                </c:pt>
                <c:pt idx="201">
                  <c:v>55.82803070522062</c:v>
                </c:pt>
                <c:pt idx="202">
                  <c:v>55.686387647507011</c:v>
                </c:pt>
                <c:pt idx="203">
                  <c:v>55.540736090026599</c:v>
                </c:pt>
                <c:pt idx="204">
                  <c:v>55.391011348182026</c:v>
                </c:pt>
                <c:pt idx="205">
                  <c:v>55.2372815719107</c:v>
                </c:pt>
                <c:pt idx="206">
                  <c:v>55.079648669938024</c:v>
                </c:pt>
                <c:pt idx="207">
                  <c:v>54.918213815158829</c:v>
                </c:pt>
                <c:pt idx="208">
                  <c:v>54.753078139158063</c:v>
                </c:pt>
                <c:pt idx="209">
                  <c:v>54.584342727618882</c:v>
                </c:pt>
                <c:pt idx="210">
                  <c:v>54.412108623489424</c:v>
                </c:pt>
                <c:pt idx="211">
                  <c:v>54.236474930422396</c:v>
                </c:pt>
                <c:pt idx="212">
                  <c:v>54.057543092377713</c:v>
                </c:pt>
                <c:pt idx="213">
                  <c:v>53.875414013928385</c:v>
                </c:pt>
                <c:pt idx="214">
                  <c:v>53.690188565068176</c:v>
                </c:pt>
                <c:pt idx="215">
                  <c:v>53.5019675746288</c:v>
                </c:pt>
                <c:pt idx="216">
                  <c:v>53.310851832133636</c:v>
                </c:pt>
                <c:pt idx="217">
                  <c:v>53.116942084578675</c:v>
                </c:pt>
                <c:pt idx="218">
                  <c:v>52.920521000141946</c:v>
                </c:pt>
                <c:pt idx="219">
                  <c:v>52.72166875420524</c:v>
                </c:pt>
                <c:pt idx="220">
                  <c:v>52.52018811184233</c:v>
                </c:pt>
                <c:pt idx="221">
                  <c:v>52.31588210597905</c:v>
                </c:pt>
                <c:pt idx="222">
                  <c:v>52.108553954441412</c:v>
                </c:pt>
                <c:pt idx="223">
                  <c:v>51.898007057396605</c:v>
                </c:pt>
                <c:pt idx="224">
                  <c:v>51.684044993679116</c:v>
                </c:pt>
                <c:pt idx="225">
                  <c:v>51.466466792178394</c:v>
                </c:pt>
                <c:pt idx="226">
                  <c:v>51.245078341017482</c:v>
                </c:pt>
                <c:pt idx="227">
                  <c:v>51.019683722895657</c:v>
                </c:pt>
                <c:pt idx="228">
                  <c:v>50.790087188856859</c:v>
                </c:pt>
                <c:pt idx="229">
                  <c:v>50.556093154365627</c:v>
                </c:pt>
                <c:pt idx="230">
                  <c:v>50.317506200456641</c:v>
                </c:pt>
                <c:pt idx="231">
                  <c:v>50.074131066642721</c:v>
                </c:pt>
                <c:pt idx="232">
                  <c:v>49.826696490561396</c:v>
                </c:pt>
                <c:pt idx="233">
                  <c:v>49.575922998234709</c:v>
                </c:pt>
                <c:pt idx="234">
                  <c:v>49.321618675226084</c:v>
                </c:pt>
                <c:pt idx="235">
                  <c:v>49.063587810416024</c:v>
                </c:pt>
                <c:pt idx="236">
                  <c:v>48.801634851689329</c:v>
                </c:pt>
                <c:pt idx="237">
                  <c:v>48.535564400729321</c:v>
                </c:pt>
                <c:pt idx="238">
                  <c:v>48.26518121441179</c:v>
                </c:pt>
                <c:pt idx="239">
                  <c:v>47.990285250139728</c:v>
                </c:pt>
                <c:pt idx="240">
                  <c:v>47.710686393523595</c:v>
                </c:pt>
                <c:pt idx="241">
                  <c:v>47.426189857540123</c:v>
                </c:pt>
                <c:pt idx="242">
                  <c:v>47.136601002171474</c:v>
                </c:pt>
                <c:pt idx="243">
                  <c:v>46.841725334735209</c:v>
                </c:pt>
                <c:pt idx="244">
                  <c:v>46.541368518022843</c:v>
                </c:pt>
                <c:pt idx="245">
                  <c:v>46.235336353231148</c:v>
                </c:pt>
                <c:pt idx="246">
                  <c:v>45.923072817949574</c:v>
                </c:pt>
                <c:pt idx="247">
                  <c:v>45.604422529742571</c:v>
                </c:pt>
                <c:pt idx="248">
                  <c:v>45.279791773218847</c:v>
                </c:pt>
                <c:pt idx="249">
                  <c:v>44.949578787855607</c:v>
                </c:pt>
                <c:pt idx="250">
                  <c:v>44.614181508648969</c:v>
                </c:pt>
                <c:pt idx="251">
                  <c:v>44.273997568128948</c:v>
                </c:pt>
                <c:pt idx="252">
                  <c:v>43.929424304818603</c:v>
                </c:pt>
                <c:pt idx="253">
                  <c:v>43.580866594013216</c:v>
                </c:pt>
                <c:pt idx="254">
                  <c:v>43.228726150882153</c:v>
                </c:pt>
                <c:pt idx="255">
                  <c:v>42.873399413292027</c:v>
                </c:pt>
                <c:pt idx="256">
                  <c:v>42.515282514978615</c:v>
                </c:pt>
                <c:pt idx="257">
                  <c:v>42.154771291067874</c:v>
                </c:pt>
                <c:pt idx="258">
                  <c:v>41.792261276035006</c:v>
                </c:pt>
                <c:pt idx="259">
                  <c:v>41.428147703176514</c:v>
                </c:pt>
                <c:pt idx="260">
                  <c:v>41.059707376525388</c:v>
                </c:pt>
                <c:pt idx="261">
                  <c:v>40.684623103148283</c:v>
                </c:pt>
                <c:pt idx="262">
                  <c:v>40.30387750652072</c:v>
                </c:pt>
                <c:pt idx="263">
                  <c:v>39.918457867789733</c:v>
                </c:pt>
                <c:pt idx="264">
                  <c:v>39.52935071807422</c:v>
                </c:pt>
                <c:pt idx="265">
                  <c:v>39.137541790039812</c:v>
                </c:pt>
                <c:pt idx="266">
                  <c:v>38.744016099761431</c:v>
                </c:pt>
                <c:pt idx="267">
                  <c:v>38.349767346861796</c:v>
                </c:pt>
                <c:pt idx="268">
                  <c:v>37.955771320034088</c:v>
                </c:pt>
                <c:pt idx="269">
                  <c:v>37.563010858953923</c:v>
                </c:pt>
                <c:pt idx="270">
                  <c:v>37.172468072584699</c:v>
                </c:pt>
                <c:pt idx="271">
                  <c:v>36.785124342701302</c:v>
                </c:pt>
                <c:pt idx="272">
                  <c:v>36.401960331114957</c:v>
                </c:pt>
                <c:pt idx="273">
                  <c:v>36.023955981086537</c:v>
                </c:pt>
                <c:pt idx="274">
                  <c:v>35.6492091872271</c:v>
                </c:pt>
                <c:pt idx="275">
                  <c:v>35.275262481658935</c:v>
                </c:pt>
                <c:pt idx="276">
                  <c:v>34.902301403165758</c:v>
                </c:pt>
                <c:pt idx="277">
                  <c:v>34.53052143290968</c:v>
                </c:pt>
                <c:pt idx="278">
                  <c:v>34.160117870442654</c:v>
                </c:pt>
                <c:pt idx="279">
                  <c:v>33.791285831605499</c:v>
                </c:pt>
                <c:pt idx="280">
                  <c:v>33.424220249765064</c:v>
                </c:pt>
                <c:pt idx="281">
                  <c:v>33.059091002643711</c:v>
                </c:pt>
                <c:pt idx="282">
                  <c:v>32.696083740494906</c:v>
                </c:pt>
                <c:pt idx="283">
                  <c:v>32.335393144756189</c:v>
                </c:pt>
                <c:pt idx="284">
                  <c:v>31.977213740694925</c:v>
                </c:pt>
                <c:pt idx="285">
                  <c:v>31.621739899898017</c:v>
                </c:pt>
                <c:pt idx="286">
                  <c:v>31.269165841572416</c:v>
                </c:pt>
                <c:pt idx="287">
                  <c:v>30.919685637397659</c:v>
                </c:pt>
                <c:pt idx="288">
                  <c:v>30.573003183288868</c:v>
                </c:pt>
                <c:pt idx="289">
                  <c:v>30.228733845384681</c:v>
                </c:pt>
                <c:pt idx="290">
                  <c:v>29.886906827981335</c:v>
                </c:pt>
                <c:pt idx="291">
                  <c:v>29.547519476113614</c:v>
                </c:pt>
                <c:pt idx="292">
                  <c:v>29.21056906900769</c:v>
                </c:pt>
                <c:pt idx="293">
                  <c:v>28.876052823252717</c:v>
                </c:pt>
                <c:pt idx="294">
                  <c:v>28.543967898524397</c:v>
                </c:pt>
                <c:pt idx="295">
                  <c:v>28.214352413105015</c:v>
                </c:pt>
                <c:pt idx="296">
                  <c:v>27.887226335377157</c:v>
                </c:pt>
                <c:pt idx="297">
                  <c:v>27.562585702394859</c:v>
                </c:pt>
                <c:pt idx="298">
                  <c:v>27.240426620975224</c:v>
                </c:pt>
                <c:pt idx="299">
                  <c:v>26.920745156352282</c:v>
                </c:pt>
                <c:pt idx="300">
                  <c:v>26.603537341578114</c:v>
                </c:pt>
                <c:pt idx="301">
                  <c:v>26.288799190848916</c:v>
                </c:pt>
                <c:pt idx="302">
                  <c:v>25.975467190999126</c:v>
                </c:pt>
                <c:pt idx="303">
                  <c:v>25.662812130585596</c:v>
                </c:pt>
                <c:pt idx="304">
                  <c:v>25.351280183581409</c:v>
                </c:pt>
                <c:pt idx="305">
                  <c:v>25.041357207447707</c:v>
                </c:pt>
                <c:pt idx="306">
                  <c:v>24.733528821531284</c:v>
                </c:pt>
                <c:pt idx="307">
                  <c:v>24.428280418221636</c:v>
                </c:pt>
                <c:pt idx="308">
                  <c:v>24.126097175965768</c:v>
                </c:pt>
                <c:pt idx="309">
                  <c:v>23.827449075501736</c:v>
                </c:pt>
                <c:pt idx="310">
                  <c:v>23.53278284130624</c:v>
                </c:pt>
                <c:pt idx="311">
                  <c:v>23.242583833947769</c:v>
                </c:pt>
                <c:pt idx="312">
                  <c:v>22.957337224369617</c:v>
                </c:pt>
                <c:pt idx="313">
                  <c:v>22.677527998128131</c:v>
                </c:pt>
                <c:pt idx="314">
                  <c:v>22.403640953849347</c:v>
                </c:pt>
                <c:pt idx="315">
                  <c:v>22.136160708220025</c:v>
                </c:pt>
                <c:pt idx="316">
                  <c:v>21.873082701301364</c:v>
                </c:pt>
                <c:pt idx="317">
                  <c:v>21.612452567270051</c:v>
                </c:pt>
                <c:pt idx="318">
                  <c:v>21.354847064232928</c:v>
                </c:pt>
                <c:pt idx="319">
                  <c:v>21.100850002806098</c:v>
                </c:pt>
                <c:pt idx="320">
                  <c:v>20.851044940623719</c:v>
                </c:pt>
                <c:pt idx="321">
                  <c:v>20.606015181001492</c:v>
                </c:pt>
                <c:pt idx="322">
                  <c:v>20.366343762288697</c:v>
                </c:pt>
                <c:pt idx="323">
                  <c:v>20.132610431395701</c:v>
                </c:pt>
                <c:pt idx="324">
                  <c:v>19.90541172789662</c:v>
                </c:pt>
                <c:pt idx="325">
                  <c:v>19.685329731049407</c:v>
                </c:pt>
                <c:pt idx="326">
                  <c:v>19.472946264694098</c:v>
                </c:pt>
                <c:pt idx="327">
                  <c:v>19.26884284297547</c:v>
                </c:pt>
                <c:pt idx="328">
                  <c:v>19.073600655555545</c:v>
                </c:pt>
                <c:pt idx="329">
                  <c:v>18.887800596618259</c:v>
                </c:pt>
                <c:pt idx="330">
                  <c:v>18.70950682766896</c:v>
                </c:pt>
                <c:pt idx="331">
                  <c:v>18.536717861053997</c:v>
                </c:pt>
                <c:pt idx="332">
                  <c:v>18.369933722362099</c:v>
                </c:pt>
                <c:pt idx="333">
                  <c:v>18.20963887047305</c:v>
                </c:pt>
                <c:pt idx="334">
                  <c:v>18.056317501110641</c:v>
                </c:pt>
                <c:pt idx="335">
                  <c:v>17.910453545460324</c:v>
                </c:pt>
                <c:pt idx="336">
                  <c:v>17.772530658925113</c:v>
                </c:pt>
                <c:pt idx="337">
                  <c:v>17.643029578546273</c:v>
                </c:pt>
                <c:pt idx="338">
                  <c:v>17.522436278373359</c:v>
                </c:pt>
                <c:pt idx="339">
                  <c:v>17.411233545343045</c:v>
                </c:pt>
                <c:pt idx="340">
                  <c:v>17.309903860351866</c:v>
                </c:pt>
                <c:pt idx="341">
                  <c:v>17.218929392302456</c:v>
                </c:pt>
                <c:pt idx="342">
                  <c:v>17.138792003112414</c:v>
                </c:pt>
                <c:pt idx="343">
                  <c:v>17.069973225946487</c:v>
                </c:pt>
                <c:pt idx="344">
                  <c:v>17.013708251045106</c:v>
                </c:pt>
                <c:pt idx="345">
                  <c:v>16.970301774654949</c:v>
                </c:pt>
                <c:pt idx="346">
                  <c:v>16.938840422884493</c:v>
                </c:pt>
                <c:pt idx="347">
                  <c:v>16.918410714026294</c:v>
                </c:pt>
                <c:pt idx="348">
                  <c:v>16.90809973346877</c:v>
                </c:pt>
                <c:pt idx="349">
                  <c:v>16.906995129434584</c:v>
                </c:pt>
                <c:pt idx="350">
                  <c:v>16.914185120493066</c:v>
                </c:pt>
                <c:pt idx="351">
                  <c:v>16.928757303045163</c:v>
                </c:pt>
                <c:pt idx="352">
                  <c:v>16.949803612667949</c:v>
                </c:pt>
                <c:pt idx="353">
                  <c:v>16.976413979495</c:v>
                </c:pt>
                <c:pt idx="354">
                  <c:v>17.007678910189583</c:v>
                </c:pt>
                <c:pt idx="355">
                  <c:v>17.042689492483813</c:v>
                </c:pt>
                <c:pt idx="356">
                  <c:v>17.080537415731278</c:v>
                </c:pt>
                <c:pt idx="357">
                  <c:v>17.120314894529052</c:v>
                </c:pt>
                <c:pt idx="358">
                  <c:v>17.162185190023738</c:v>
                </c:pt>
                <c:pt idx="359">
                  <c:v>17.207257544060493</c:v>
                </c:pt>
                <c:pt idx="360">
                  <c:v>17.256040783318245</c:v>
                </c:pt>
                <c:pt idx="361">
                  <c:v>17.309047119941269</c:v>
                </c:pt>
                <c:pt idx="362">
                  <c:v>17.366787222322127</c:v>
                </c:pt>
                <c:pt idx="363">
                  <c:v>17.429771394840436</c:v>
                </c:pt>
                <c:pt idx="364">
                  <c:v>17.498509585389879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16.569782777518874</c:v>
                </c:pt>
                <c:pt idx="1">
                  <c:v>13.121296843957456</c:v>
                </c:pt>
                <c:pt idx="2">
                  <c:v>12.969300137614637</c:v>
                </c:pt>
                <c:pt idx="3">
                  <c:v>13.433383023165822</c:v>
                </c:pt>
                <c:pt idx="4">
                  <c:v>11.496704866370257</c:v>
                </c:pt>
                <c:pt idx="5">
                  <c:v>14.769680463127179</c:v>
                </c:pt>
                <c:pt idx="6">
                  <c:v>9.1739446546791523</c:v>
                </c:pt>
                <c:pt idx="7">
                  <c:v>6.6700720877831445</c:v>
                </c:pt>
                <c:pt idx="8">
                  <c:v>2.0083682363182129</c:v>
                </c:pt>
                <c:pt idx="9">
                  <c:v>1.605103920802776</c:v>
                </c:pt>
                <c:pt idx="10">
                  <c:v>18.687323932410884</c:v>
                </c:pt>
                <c:pt idx="11">
                  <c:v>15.856903263870626</c:v>
                </c:pt>
                <c:pt idx="12">
                  <c:v>5.1905632245361053</c:v>
                </c:pt>
                <c:pt idx="13">
                  <c:v>19.099838528010469</c:v>
                </c:pt>
                <c:pt idx="14">
                  <c:v>19.05500960024554</c:v>
                </c:pt>
                <c:pt idx="15">
                  <c:v>18.794318624958354</c:v>
                </c:pt>
                <c:pt idx="16">
                  <c:v>11.079045252771838</c:v>
                </c:pt>
                <c:pt idx="17">
                  <c:v>3.6312862727343513</c:v>
                </c:pt>
                <c:pt idx="18">
                  <c:v>8.4794368492139132</c:v>
                </c:pt>
                <c:pt idx="19">
                  <c:v>6.1895742710366797</c:v>
                </c:pt>
                <c:pt idx="20">
                  <c:v>16.797471760101757</c:v>
                </c:pt>
                <c:pt idx="21">
                  <c:v>20.178000222287892</c:v>
                </c:pt>
                <c:pt idx="22">
                  <c:v>20.389420258595514</c:v>
                </c:pt>
                <c:pt idx="23">
                  <c:v>20.720966779376674</c:v>
                </c:pt>
                <c:pt idx="24">
                  <c:v>20.683487000334395</c:v>
                </c:pt>
                <c:pt idx="25">
                  <c:v>20.806504485015296</c:v>
                </c:pt>
                <c:pt idx="26">
                  <c:v>21.673163972057342</c:v>
                </c:pt>
                <c:pt idx="27">
                  <c:v>4.0303699531622712</c:v>
                </c:pt>
                <c:pt idx="28">
                  <c:v>9.1804233228702952</c:v>
                </c:pt>
                <c:pt idx="29">
                  <c:v>4.3912644995614398</c:v>
                </c:pt>
                <c:pt idx="30">
                  <c:v>7.7553445303476023</c:v>
                </c:pt>
                <c:pt idx="31">
                  <c:v>9.1125725921118157</c:v>
                </c:pt>
                <c:pt idx="32">
                  <c:v>5.16352362963862</c:v>
                </c:pt>
                <c:pt idx="33">
                  <c:v>9.3860969013302373</c:v>
                </c:pt>
                <c:pt idx="34">
                  <c:v>9.2649888542277559</c:v>
                </c:pt>
                <c:pt idx="35">
                  <c:v>8.5221004915139815</c:v>
                </c:pt>
                <c:pt idx="36">
                  <c:v>16.262734665988201</c:v>
                </c:pt>
                <c:pt idx="37">
                  <c:v>8.6845075706183312</c:v>
                </c:pt>
                <c:pt idx="38">
                  <c:v>25.415808117747972</c:v>
                </c:pt>
                <c:pt idx="39">
                  <c:v>25.489122038224309</c:v>
                </c:pt>
                <c:pt idx="40">
                  <c:v>23.920829782505511</c:v>
                </c:pt>
                <c:pt idx="41">
                  <c:v>15.204452943277973</c:v>
                </c:pt>
                <c:pt idx="42">
                  <c:v>21.980902416577329</c:v>
                </c:pt>
                <c:pt idx="43">
                  <c:v>26.002127049055538</c:v>
                </c:pt>
                <c:pt idx="44">
                  <c:v>13.619046267120769</c:v>
                </c:pt>
                <c:pt idx="45">
                  <c:v>16.058987957046185</c:v>
                </c:pt>
                <c:pt idx="46">
                  <c:v>8.8391901693567778</c:v>
                </c:pt>
                <c:pt idx="47">
                  <c:v>10.526958251674664</c:v>
                </c:pt>
                <c:pt idx="48">
                  <c:v>23.308435590917586</c:v>
                </c:pt>
                <c:pt idx="49">
                  <c:v>17.827227612573282</c:v>
                </c:pt>
                <c:pt idx="50">
                  <c:v>17.49541114071733</c:v>
                </c:pt>
                <c:pt idx="51">
                  <c:v>19.081725354783263</c:v>
                </c:pt>
                <c:pt idx="52">
                  <c:v>27.851839495723645</c:v>
                </c:pt>
                <c:pt idx="53">
                  <c:v>28.063783569839455</c:v>
                </c:pt>
                <c:pt idx="54">
                  <c:v>17.214853174413662</c:v>
                </c:pt>
                <c:pt idx="55">
                  <c:v>27.680562647450468</c:v>
                </c:pt>
                <c:pt idx="56">
                  <c:v>31.667866630826875</c:v>
                </c:pt>
                <c:pt idx="57">
                  <c:v>25.93100324435262</c:v>
                </c:pt>
                <c:pt idx="58">
                  <c:v>26.926490453216214</c:v>
                </c:pt>
                <c:pt idx="59">
                  <c:v>31.937781759283485</c:v>
                </c:pt>
                <c:pt idx="60">
                  <c:v>10.244834509406271</c:v>
                </c:pt>
                <c:pt idx="61">
                  <c:v>30.611854009411264</c:v>
                </c:pt>
                <c:pt idx="62">
                  <c:v>3.6365883369384662</c:v>
                </c:pt>
                <c:pt idx="63">
                  <c:v>12.736938234106823</c:v>
                </c:pt>
                <c:pt idx="64">
                  <c:v>15.02350615525966</c:v>
                </c:pt>
                <c:pt idx="65">
                  <c:v>32.739276573465261</c:v>
                </c:pt>
                <c:pt idx="66">
                  <c:v>25.891405626020664</c:v>
                </c:pt>
                <c:pt idx="67">
                  <c:v>27.574445031346773</c:v>
                </c:pt>
                <c:pt idx="68">
                  <c:v>20.83271023881165</c:v>
                </c:pt>
                <c:pt idx="69">
                  <c:v>13.560448773148931</c:v>
                </c:pt>
                <c:pt idx="70">
                  <c:v>15.174163715038585</c:v>
                </c:pt>
                <c:pt idx="71">
                  <c:v>9.2848889549372213</c:v>
                </c:pt>
                <c:pt idx="72">
                  <c:v>13.666947270764036</c:v>
                </c:pt>
                <c:pt idx="73">
                  <c:v>12.960361428501379</c:v>
                </c:pt>
                <c:pt idx="74">
                  <c:v>12.69336298399179</c:v>
                </c:pt>
                <c:pt idx="75">
                  <c:v>11.005798398101312</c:v>
                </c:pt>
                <c:pt idx="76">
                  <c:v>14.251170870978283</c:v>
                </c:pt>
                <c:pt idx="77">
                  <c:v>25.136549263976029</c:v>
                </c:pt>
                <c:pt idx="78">
                  <c:v>28.244131651726295</c:v>
                </c:pt>
                <c:pt idx="79">
                  <c:v>37.730632381321449</c:v>
                </c:pt>
                <c:pt idx="80">
                  <c:v>35.761312840407335</c:v>
                </c:pt>
                <c:pt idx="81">
                  <c:v>41.059937247920232</c:v>
                </c:pt>
                <c:pt idx="82">
                  <c:v>40.443928726489311</c:v>
                </c:pt>
                <c:pt idx="83">
                  <c:v>38.197050577472488</c:v>
                </c:pt>
                <c:pt idx="84">
                  <c:v>40.652890217011162</c:v>
                </c:pt>
                <c:pt idx="85">
                  <c:v>38.965447766859839</c:v>
                </c:pt>
                <c:pt idx="86">
                  <c:v>29.486471078389389</c:v>
                </c:pt>
                <c:pt idx="87">
                  <c:v>25.395745256110452</c:v>
                </c:pt>
                <c:pt idx="88">
                  <c:v>7.4541186233046899</c:v>
                </c:pt>
                <c:pt idx="89">
                  <c:v>26.880650389760977</c:v>
                </c:pt>
                <c:pt idx="90">
                  <c:v>30.721471558625261</c:v>
                </c:pt>
                <c:pt idx="91">
                  <c:v>19.545051868202219</c:v>
                </c:pt>
                <c:pt idx="92">
                  <c:v>20.477305038689927</c:v>
                </c:pt>
                <c:pt idx="93">
                  <c:v>40.952414700832108</c:v>
                </c:pt>
                <c:pt idx="94">
                  <c:v>45.951743094022383</c:v>
                </c:pt>
                <c:pt idx="95">
                  <c:v>10.846620121175695</c:v>
                </c:pt>
                <c:pt idx="96">
                  <c:v>32.821766936434003</c:v>
                </c:pt>
                <c:pt idx="97">
                  <c:v>26.147931657713727</c:v>
                </c:pt>
                <c:pt idx="98">
                  <c:v>34.170672526759162</c:v>
                </c:pt>
                <c:pt idx="99">
                  <c:v>46.586930224355811</c:v>
                </c:pt>
                <c:pt idx="100">
                  <c:v>38.711949133101371</c:v>
                </c:pt>
                <c:pt idx="101">
                  <c:v>33.896372020866615</c:v>
                </c:pt>
                <c:pt idx="102">
                  <c:v>7.5122608422217825</c:v>
                </c:pt>
                <c:pt idx="103">
                  <c:v>36.827046680010568</c:v>
                </c:pt>
                <c:pt idx="104">
                  <c:v>40.716607158169346</c:v>
                </c:pt>
                <c:pt idx="105">
                  <c:v>44.154197409644901</c:v>
                </c:pt>
                <c:pt idx="106">
                  <c:v>48.327853372200195</c:v>
                </c:pt>
                <c:pt idx="107">
                  <c:v>38.109361560235868</c:v>
                </c:pt>
                <c:pt idx="108">
                  <c:v>8.9040913920660714</c:v>
                </c:pt>
                <c:pt idx="109">
                  <c:v>9.3400736317816264</c:v>
                </c:pt>
                <c:pt idx="110">
                  <c:v>9.039085975667021</c:v>
                </c:pt>
                <c:pt idx="111">
                  <c:v>26.106732636014897</c:v>
                </c:pt>
                <c:pt idx="112">
                  <c:v>8.7758907175341143</c:v>
                </c:pt>
                <c:pt idx="113">
                  <c:v>30.189240813085434</c:v>
                </c:pt>
                <c:pt idx="114">
                  <c:v>45.239786039685995</c:v>
                </c:pt>
                <c:pt idx="115">
                  <c:v>49.217606545299901</c:v>
                </c:pt>
                <c:pt idx="116">
                  <c:v>35.902780292001758</c:v>
                </c:pt>
                <c:pt idx="117">
                  <c:v>22.208426757003174</c:v>
                </c:pt>
                <c:pt idx="118">
                  <c:v>40.356509012107423</c:v>
                </c:pt>
                <c:pt idx="119">
                  <c:v>46.83258428389238</c:v>
                </c:pt>
                <c:pt idx="120">
                  <c:v>47.749752814791009</c:v>
                </c:pt>
                <c:pt idx="121">
                  <c:v>27.911375863919528</c:v>
                </c:pt>
                <c:pt idx="122">
                  <c:v>38.354043062849151</c:v>
                </c:pt>
                <c:pt idx="123">
                  <c:v>21.750920105615659</c:v>
                </c:pt>
                <c:pt idx="124">
                  <c:v>44.452509112168457</c:v>
                </c:pt>
                <c:pt idx="125">
                  <c:v>37.5415847252658</c:v>
                </c:pt>
                <c:pt idx="126">
                  <c:v>52.946611280024051</c:v>
                </c:pt>
                <c:pt idx="127">
                  <c:v>48.126435863667311</c:v>
                </c:pt>
                <c:pt idx="128">
                  <c:v>55.111621786852403</c:v>
                </c:pt>
                <c:pt idx="129">
                  <c:v>51.112489020501762</c:v>
                </c:pt>
                <c:pt idx="130">
                  <c:v>55.546770974308295</c:v>
                </c:pt>
                <c:pt idx="131">
                  <c:v>42.747042872284482</c:v>
                </c:pt>
                <c:pt idx="132">
                  <c:v>44.365923622539974</c:v>
                </c:pt>
                <c:pt idx="133">
                  <c:v>48.885381943475394</c:v>
                </c:pt>
                <c:pt idx="134">
                  <c:v>52.058324811629703</c:v>
                </c:pt>
                <c:pt idx="135">
                  <c:v>50.212448593669166</c:v>
                </c:pt>
                <c:pt idx="136">
                  <c:v>53.999290901866836</c:v>
                </c:pt>
                <c:pt idx="137">
                  <c:v>52.777836066233498</c:v>
                </c:pt>
                <c:pt idx="138">
                  <c:v>55.786501843692662</c:v>
                </c:pt>
                <c:pt idx="139">
                  <c:v>48.906755186057261</c:v>
                </c:pt>
                <c:pt idx="140">
                  <c:v>48.478086679357745</c:v>
                </c:pt>
                <c:pt idx="141">
                  <c:v>35.906201113294614</c:v>
                </c:pt>
                <c:pt idx="142">
                  <c:v>20.398097469292612</c:v>
                </c:pt>
                <c:pt idx="143">
                  <c:v>16.60537295095655</c:v>
                </c:pt>
                <c:pt idx="144">
                  <c:v>40.446119410458337</c:v>
                </c:pt>
                <c:pt idx="145">
                  <c:v>23.806379018979676</c:v>
                </c:pt>
                <c:pt idx="146">
                  <c:v>46.907913467955176</c:v>
                </c:pt>
                <c:pt idx="147">
                  <c:v>55.905508865583329</c:v>
                </c:pt>
                <c:pt idx="148">
                  <c:v>60.24128670064195</c:v>
                </c:pt>
                <c:pt idx="149">
                  <c:v>52.181516143054921</c:v>
                </c:pt>
                <c:pt idx="150">
                  <c:v>55.411047304337522</c:v>
                </c:pt>
                <c:pt idx="151">
                  <c:v>56.230834884996924</c:v>
                </c:pt>
                <c:pt idx="152">
                  <c:v>46.602021208492239</c:v>
                </c:pt>
                <c:pt idx="153">
                  <c:v>54.313038049890082</c:v>
                </c:pt>
                <c:pt idx="154">
                  <c:v>26.900628273799242</c:v>
                </c:pt>
                <c:pt idx="155">
                  <c:v>37.434523084461702</c:v>
                </c:pt>
                <c:pt idx="156">
                  <c:v>45.126562843299133</c:v>
                </c:pt>
                <c:pt idx="157">
                  <c:v>30.792860675855334</c:v>
                </c:pt>
                <c:pt idx="158">
                  <c:v>21.604481636734395</c:v>
                </c:pt>
                <c:pt idx="159">
                  <c:v>44.480360822562595</c:v>
                </c:pt>
                <c:pt idx="160">
                  <c:v>57.733762478953516</c:v>
                </c:pt>
                <c:pt idx="161">
                  <c:v>55.540422304761904</c:v>
                </c:pt>
                <c:pt idx="162">
                  <c:v>43.200450932295212</c:v>
                </c:pt>
                <c:pt idx="163">
                  <c:v>54.730194033490044</c:v>
                </c:pt>
                <c:pt idx="164">
                  <c:v>47.308542986369083</c:v>
                </c:pt>
                <c:pt idx="165">
                  <c:v>54.850200446161175</c:v>
                </c:pt>
                <c:pt idx="166">
                  <c:v>52.248816813321646</c:v>
                </c:pt>
                <c:pt idx="167">
                  <c:v>52.82789640122607</c:v>
                </c:pt>
                <c:pt idx="168">
                  <c:v>55.17406846049991</c:v>
                </c:pt>
                <c:pt idx="169">
                  <c:v>56.539920602165537</c:v>
                </c:pt>
                <c:pt idx="170">
                  <c:v>33.37933802266538</c:v>
                </c:pt>
                <c:pt idx="171">
                  <c:v>23.33160073581664</c:v>
                </c:pt>
                <c:pt idx="172">
                  <c:v>43.885643921099039</c:v>
                </c:pt>
                <c:pt idx="173">
                  <c:v>41.746666132142401</c:v>
                </c:pt>
                <c:pt idx="174">
                  <c:v>40.236869893555713</c:v>
                </c:pt>
                <c:pt idx="175">
                  <c:v>33.137142857894446</c:v>
                </c:pt>
                <c:pt idx="176">
                  <c:v>12.518614740826662</c:v>
                </c:pt>
                <c:pt idx="177">
                  <c:v>14.571279020092716</c:v>
                </c:pt>
                <c:pt idx="178">
                  <c:v>59.361259233964923</c:v>
                </c:pt>
                <c:pt idx="179">
                  <c:v>56.923939663680741</c:v>
                </c:pt>
                <c:pt idx="180">
                  <c:v>14.393080688606078</c:v>
                </c:pt>
                <c:pt idx="181">
                  <c:v>53.598145183123094</c:v>
                </c:pt>
                <c:pt idx="182">
                  <c:v>56.273267833957725</c:v>
                </c:pt>
                <c:pt idx="183">
                  <c:v>43.863693311770469</c:v>
                </c:pt>
                <c:pt idx="184">
                  <c:v>43.566996994918235</c:v>
                </c:pt>
                <c:pt idx="185">
                  <c:v>56.0684409264748</c:v>
                </c:pt>
                <c:pt idx="186">
                  <c:v>49.227083031727766</c:v>
                </c:pt>
                <c:pt idx="187">
                  <c:v>56.156474459999785</c:v>
                </c:pt>
                <c:pt idx="188">
                  <c:v>58.610488124030795</c:v>
                </c:pt>
                <c:pt idx="189">
                  <c:v>57.607495921899705</c:v>
                </c:pt>
                <c:pt idx="190">
                  <c:v>56.935485876664366</c:v>
                </c:pt>
                <c:pt idx="191">
                  <c:v>55.129711391538429</c:v>
                </c:pt>
                <c:pt idx="192">
                  <c:v>54.748262551935973</c:v>
                </c:pt>
                <c:pt idx="193">
                  <c:v>54.252727273162982</c:v>
                </c:pt>
                <c:pt idx="194">
                  <c:v>53.338200201924778</c:v>
                </c:pt>
                <c:pt idx="195">
                  <c:v>52.33869981260105</c:v>
                </c:pt>
                <c:pt idx="196">
                  <c:v>53.914282561532822</c:v>
                </c:pt>
                <c:pt idx="197">
                  <c:v>52.976002060779379</c:v>
                </c:pt>
                <c:pt idx="198">
                  <c:v>53.718691628981759</c:v>
                </c:pt>
                <c:pt idx="199">
                  <c:v>45.355376156882663</c:v>
                </c:pt>
                <c:pt idx="200">
                  <c:v>44.142926126754993</c:v>
                </c:pt>
                <c:pt idx="201">
                  <c:v>51.266240088918124</c:v>
                </c:pt>
                <c:pt idx="202">
                  <c:v>39.167056035920758</c:v>
                </c:pt>
                <c:pt idx="203">
                  <c:v>51.023233560693292</c:v>
                </c:pt>
                <c:pt idx="204">
                  <c:v>51.366662836615568</c:v>
                </c:pt>
                <c:pt idx="205">
                  <c:v>27.618707395433876</c:v>
                </c:pt>
                <c:pt idx="206">
                  <c:v>57.667025913591623</c:v>
                </c:pt>
                <c:pt idx="207">
                  <c:v>55.967234184492547</c:v>
                </c:pt>
                <c:pt idx="208">
                  <c:v>44.809685399471761</c:v>
                </c:pt>
                <c:pt idx="209">
                  <c:v>32.915501014311957</c:v>
                </c:pt>
                <c:pt idx="210">
                  <c:v>50.483503880510241</c:v>
                </c:pt>
                <c:pt idx="211">
                  <c:v>53.789369371590752</c:v>
                </c:pt>
                <c:pt idx="212">
                  <c:v>53.466294091042947</c:v>
                </c:pt>
                <c:pt idx="213">
                  <c:v>53.223042183745044</c:v>
                </c:pt>
                <c:pt idx="214">
                  <c:v>48.897840550606062</c:v>
                </c:pt>
                <c:pt idx="215">
                  <c:v>48.655915760673942</c:v>
                </c:pt>
                <c:pt idx="216">
                  <c:v>46.555574928041082</c:v>
                </c:pt>
                <c:pt idx="217">
                  <c:v>48.76883710157685</c:v>
                </c:pt>
                <c:pt idx="218">
                  <c:v>51.680017112129974</c:v>
                </c:pt>
                <c:pt idx="219">
                  <c:v>51.979769883051539</c:v>
                </c:pt>
                <c:pt idx="220">
                  <c:v>49.676788019566331</c:v>
                </c:pt>
                <c:pt idx="221">
                  <c:v>46.495837964091464</c:v>
                </c:pt>
                <c:pt idx="222">
                  <c:v>45.050915646073065</c:v>
                </c:pt>
                <c:pt idx="223">
                  <c:v>46.216801860011614</c:v>
                </c:pt>
                <c:pt idx="224">
                  <c:v>33.766760827947174</c:v>
                </c:pt>
                <c:pt idx="225">
                  <c:v>33.098333886021159</c:v>
                </c:pt>
                <c:pt idx="226">
                  <c:v>40.020580565178946</c:v>
                </c:pt>
                <c:pt idx="227">
                  <c:v>34.409194946697049</c:v>
                </c:pt>
                <c:pt idx="228">
                  <c:v>28.650296520585659</c:v>
                </c:pt>
                <c:pt idx="229">
                  <c:v>35.666147235258542</c:v>
                </c:pt>
                <c:pt idx="230">
                  <c:v>42.589314784458054</c:v>
                </c:pt>
                <c:pt idx="231">
                  <c:v>47.805979169734506</c:v>
                </c:pt>
                <c:pt idx="232">
                  <c:v>30.696242132431568</c:v>
                </c:pt>
                <c:pt idx="233">
                  <c:v>26.292798015904225</c:v>
                </c:pt>
                <c:pt idx="234">
                  <c:v>48.046006015997399</c:v>
                </c:pt>
                <c:pt idx="235">
                  <c:v>42.8029886059022</c:v>
                </c:pt>
                <c:pt idx="236">
                  <c:v>34.093116861291989</c:v>
                </c:pt>
                <c:pt idx="237">
                  <c:v>42.763160804122251</c:v>
                </c:pt>
                <c:pt idx="238">
                  <c:v>47.377875572406694</c:v>
                </c:pt>
                <c:pt idx="239">
                  <c:v>45.048141577424921</c:v>
                </c:pt>
                <c:pt idx="240">
                  <c:v>31.687606543478594</c:v>
                </c:pt>
                <c:pt idx="241">
                  <c:v>44.896157067939924</c:v>
                </c:pt>
                <c:pt idx="242">
                  <c:v>23.821444768177983</c:v>
                </c:pt>
                <c:pt idx="243">
                  <c:v>39.185379256283312</c:v>
                </c:pt>
                <c:pt idx="244">
                  <c:v>38.348688995788301</c:v>
                </c:pt>
                <c:pt idx="245">
                  <c:v>36.154425819454275</c:v>
                </c:pt>
                <c:pt idx="246">
                  <c:v>42.471578120897085</c:v>
                </c:pt>
                <c:pt idx="247">
                  <c:v>37.023011850876927</c:v>
                </c:pt>
                <c:pt idx="248">
                  <c:v>42.890994886542352</c:v>
                </c:pt>
                <c:pt idx="249">
                  <c:v>35.057344265837642</c:v>
                </c:pt>
                <c:pt idx="250">
                  <c:v>32.909897776332429</c:v>
                </c:pt>
                <c:pt idx="251">
                  <c:v>24.404899044740169</c:v>
                </c:pt>
                <c:pt idx="252">
                  <c:v>42.691915231633274</c:v>
                </c:pt>
                <c:pt idx="253">
                  <c:v>41.429060119593032</c:v>
                </c:pt>
                <c:pt idx="254">
                  <c:v>29.422513836849049</c:v>
                </c:pt>
                <c:pt idx="255">
                  <c:v>13.82373504932724</c:v>
                </c:pt>
                <c:pt idx="256">
                  <c:v>32.908286286163786</c:v>
                </c:pt>
                <c:pt idx="257">
                  <c:v>37.511737662516808</c:v>
                </c:pt>
                <c:pt idx="258">
                  <c:v>32.182318163372415</c:v>
                </c:pt>
                <c:pt idx="259">
                  <c:v>42.047264130547468</c:v>
                </c:pt>
                <c:pt idx="260">
                  <c:v>41.56160029505898</c:v>
                </c:pt>
                <c:pt idx="261">
                  <c:v>39.948099475267732</c:v>
                </c:pt>
                <c:pt idx="262">
                  <c:v>41.624180070547489</c:v>
                </c:pt>
                <c:pt idx="263">
                  <c:v>40.242139888636054</c:v>
                </c:pt>
                <c:pt idx="264">
                  <c:v>38.470086912202689</c:v>
                </c:pt>
                <c:pt idx="265">
                  <c:v>24.146794755224775</c:v>
                </c:pt>
                <c:pt idx="266">
                  <c:v>15.716191288755772</c:v>
                </c:pt>
                <c:pt idx="267">
                  <c:v>32.070263400370081</c:v>
                </c:pt>
                <c:pt idx="268">
                  <c:v>28.534417067371933</c:v>
                </c:pt>
                <c:pt idx="269">
                  <c:v>17.119945807805244</c:v>
                </c:pt>
                <c:pt idx="270">
                  <c:v>19.321849975720404</c:v>
                </c:pt>
                <c:pt idx="271">
                  <c:v>22.786678112214648</c:v>
                </c:pt>
                <c:pt idx="272">
                  <c:v>26.059605124926943</c:v>
                </c:pt>
                <c:pt idx="273">
                  <c:v>32.740847753407969</c:v>
                </c:pt>
                <c:pt idx="274">
                  <c:v>34.492782687724521</c:v>
                </c:pt>
                <c:pt idx="275">
                  <c:v>33.844803453185122</c:v>
                </c:pt>
                <c:pt idx="276">
                  <c:v>34.922857697808126</c:v>
                </c:pt>
                <c:pt idx="277">
                  <c:v>35.944102971932779</c:v>
                </c:pt>
                <c:pt idx="278">
                  <c:v>11.25999821006109</c:v>
                </c:pt>
                <c:pt idx="279">
                  <c:v>25.096194158284707</c:v>
                </c:pt>
                <c:pt idx="280">
                  <c:v>16.617173370486658</c:v>
                </c:pt>
                <c:pt idx="281">
                  <c:v>32.572522571963759</c:v>
                </c:pt>
                <c:pt idx="282">
                  <c:v>26.14904568386239</c:v>
                </c:pt>
                <c:pt idx="283">
                  <c:v>20.324377493665061</c:v>
                </c:pt>
                <c:pt idx="284">
                  <c:v>24.512403568717321</c:v>
                </c:pt>
                <c:pt idx="285">
                  <c:v>21.083804772772563</c:v>
                </c:pt>
                <c:pt idx="286">
                  <c:v>17.648249808235331</c:v>
                </c:pt>
                <c:pt idx="287">
                  <c:v>31.069998444736743</c:v>
                </c:pt>
                <c:pt idx="288">
                  <c:v>28.394155695629816</c:v>
                </c:pt>
                <c:pt idx="289">
                  <c:v>18.351308685937788</c:v>
                </c:pt>
                <c:pt idx="290">
                  <c:v>28.96723114678894</c:v>
                </c:pt>
                <c:pt idx="291">
                  <c:v>14.558600558564022</c:v>
                </c:pt>
                <c:pt idx="292">
                  <c:v>6.4167827835272453</c:v>
                </c:pt>
                <c:pt idx="293">
                  <c:v>14.732094180210735</c:v>
                </c:pt>
                <c:pt idx="294">
                  <c:v>27.910342043133671</c:v>
                </c:pt>
                <c:pt idx="295">
                  <c:v>16.02382002400071</c:v>
                </c:pt>
                <c:pt idx="296">
                  <c:v>19.870732455993888</c:v>
                </c:pt>
                <c:pt idx="297">
                  <c:v>19.721976177664388</c:v>
                </c:pt>
                <c:pt idx="298">
                  <c:v>11.719791965903031</c:v>
                </c:pt>
                <c:pt idx="299">
                  <c:v>11.903633567691001</c:v>
                </c:pt>
                <c:pt idx="300">
                  <c:v>16.110126782712502</c:v>
                </c:pt>
                <c:pt idx="301">
                  <c:v>22.677644540575052</c:v>
                </c:pt>
                <c:pt idx="302">
                  <c:v>18.740435026791591</c:v>
                </c:pt>
                <c:pt idx="303">
                  <c:v>17.711621509472746</c:v>
                </c:pt>
                <c:pt idx="304">
                  <c:v>17.792396065424956</c:v>
                </c:pt>
                <c:pt idx="305">
                  <c:v>24.106198783769724</c:v>
                </c:pt>
                <c:pt idx="306">
                  <c:v>9.8139287425825223</c:v>
                </c:pt>
                <c:pt idx="307">
                  <c:v>16.251510842770056</c:v>
                </c:pt>
                <c:pt idx="308">
                  <c:v>24.600650477930259</c:v>
                </c:pt>
                <c:pt idx="309">
                  <c:v>23.979418932413587</c:v>
                </c:pt>
                <c:pt idx="310">
                  <c:v>21.967861132030897</c:v>
                </c:pt>
                <c:pt idx="311">
                  <c:v>16.231203177944021</c:v>
                </c:pt>
                <c:pt idx="312">
                  <c:v>8.6860838550899988</c:v>
                </c:pt>
                <c:pt idx="313">
                  <c:v>18.403584967759375</c:v>
                </c:pt>
                <c:pt idx="314">
                  <c:v>21.680439090521936</c:v>
                </c:pt>
                <c:pt idx="315">
                  <c:v>21.477029879021035</c:v>
                </c:pt>
                <c:pt idx="316">
                  <c:v>20.505547338820847</c:v>
                </c:pt>
                <c:pt idx="317">
                  <c:v>8.2361690018953606</c:v>
                </c:pt>
                <c:pt idx="318">
                  <c:v>11.100035901586637</c:v>
                </c:pt>
                <c:pt idx="319">
                  <c:v>21.058440854959269</c:v>
                </c:pt>
                <c:pt idx="320">
                  <c:v>12.290813167831541</c:v>
                </c:pt>
                <c:pt idx="321">
                  <c:v>12.991031152026148</c:v>
                </c:pt>
                <c:pt idx="322">
                  <c:v>7.2067339613186006</c:v>
                </c:pt>
                <c:pt idx="323">
                  <c:v>13.33561296623331</c:v>
                </c:pt>
                <c:pt idx="324">
                  <c:v>3.1221204179619098</c:v>
                </c:pt>
                <c:pt idx="325">
                  <c:v>7.3955627643178738</c:v>
                </c:pt>
                <c:pt idx="326">
                  <c:v>11.825443340790502</c:v>
                </c:pt>
                <c:pt idx="327">
                  <c:v>11.906466260245171</c:v>
                </c:pt>
                <c:pt idx="328">
                  <c:v>4.844155730474907</c:v>
                </c:pt>
                <c:pt idx="329">
                  <c:v>10.872826869046575</c:v>
                </c:pt>
                <c:pt idx="330">
                  <c:v>12.252483295558541</c:v>
                </c:pt>
                <c:pt idx="331">
                  <c:v>10.402046512488766</c:v>
                </c:pt>
                <c:pt idx="332">
                  <c:v>13.978139456450336</c:v>
                </c:pt>
                <c:pt idx="333">
                  <c:v>3.9415741038090317</c:v>
                </c:pt>
                <c:pt idx="334">
                  <c:v>3.7346671762276027</c:v>
                </c:pt>
                <c:pt idx="335">
                  <c:v>5.6416051791712967</c:v>
                </c:pt>
                <c:pt idx="336">
                  <c:v>7.6653719074434683</c:v>
                </c:pt>
                <c:pt idx="337">
                  <c:v>14.261996325404528</c:v>
                </c:pt>
                <c:pt idx="338">
                  <c:v>17.802214046304371</c:v>
                </c:pt>
                <c:pt idx="339">
                  <c:v>9.6246659734870921</c:v>
                </c:pt>
                <c:pt idx="340">
                  <c:v>15.884806674147526</c:v>
                </c:pt>
                <c:pt idx="341">
                  <c:v>4.0232973222428905</c:v>
                </c:pt>
                <c:pt idx="342">
                  <c:v>4.8878008635304484</c:v>
                </c:pt>
                <c:pt idx="343">
                  <c:v>11.091532429229618</c:v>
                </c:pt>
                <c:pt idx="344">
                  <c:v>13.550268592800538</c:v>
                </c:pt>
                <c:pt idx="345">
                  <c:v>4.2563217332600143</c:v>
                </c:pt>
                <c:pt idx="346">
                  <c:v>5.2540868821009319</c:v>
                </c:pt>
                <c:pt idx="347">
                  <c:v>15.210935816334688</c:v>
                </c:pt>
                <c:pt idx="348">
                  <c:v>5.747250838129168</c:v>
                </c:pt>
                <c:pt idx="349">
                  <c:v>5.1412071455165229</c:v>
                </c:pt>
                <c:pt idx="350">
                  <c:v>3.4265824837598604</c:v>
                </c:pt>
                <c:pt idx="351">
                  <c:v>15.738982271479797</c:v>
                </c:pt>
                <c:pt idx="352">
                  <c:v>13.038589532311937</c:v>
                </c:pt>
                <c:pt idx="353">
                  <c:v>4.5796137199905047</c:v>
                </c:pt>
                <c:pt idx="354">
                  <c:v>16.325357479334425</c:v>
                </c:pt>
                <c:pt idx="355">
                  <c:v>12.523229708672458</c:v>
                </c:pt>
                <c:pt idx="356">
                  <c:v>13.174150223203425</c:v>
                </c:pt>
                <c:pt idx="357">
                  <c:v>16.9269842581059</c:v>
                </c:pt>
                <c:pt idx="358">
                  <c:v>9.6932795498778344</c:v>
                </c:pt>
                <c:pt idx="359">
                  <c:v>16.487001865284203</c:v>
                </c:pt>
                <c:pt idx="360">
                  <c:v>6.6995025842764857</c:v>
                </c:pt>
                <c:pt idx="361">
                  <c:v>15.942536276076366</c:v>
                </c:pt>
                <c:pt idx="362">
                  <c:v>9.0223509484618738</c:v>
                </c:pt>
                <c:pt idx="363">
                  <c:v>11.959776684038253</c:v>
                </c:pt>
                <c:pt idx="364">
                  <c:v>8.9014284431461608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16.569782777518874</c:v>
                </c:pt>
                <c:pt idx="1">
                  <c:v>13.121296843957456</c:v>
                </c:pt>
                <c:pt idx="2">
                  <c:v>12.969300137614637</c:v>
                </c:pt>
                <c:pt idx="3">
                  <c:v>13.433383023165822</c:v>
                </c:pt>
                <c:pt idx="4">
                  <c:v>11.496704866370257</c:v>
                </c:pt>
                <c:pt idx="5">
                  <c:v>14.769680463127179</c:v>
                </c:pt>
                <c:pt idx="6">
                  <c:v>9.1739446546791523</c:v>
                </c:pt>
                <c:pt idx="7">
                  <c:v>6.6700720877831445</c:v>
                </c:pt>
                <c:pt idx="8">
                  <c:v>2.0083682363182129</c:v>
                </c:pt>
                <c:pt idx="9">
                  <c:v>1.605103920802776</c:v>
                </c:pt>
                <c:pt idx="10">
                  <c:v>18.687323932410884</c:v>
                </c:pt>
                <c:pt idx="11">
                  <c:v>15.856903263870626</c:v>
                </c:pt>
                <c:pt idx="12">
                  <c:v>5.1905632245361053</c:v>
                </c:pt>
                <c:pt idx="13">
                  <c:v>19.099838528010469</c:v>
                </c:pt>
                <c:pt idx="14">
                  <c:v>19.05500960024554</c:v>
                </c:pt>
                <c:pt idx="15">
                  <c:v>18.794318624958354</c:v>
                </c:pt>
                <c:pt idx="16">
                  <c:v>11.079045252771838</c:v>
                </c:pt>
                <c:pt idx="17">
                  <c:v>3.6312862727343513</c:v>
                </c:pt>
                <c:pt idx="18">
                  <c:v>8.4794368492139132</c:v>
                </c:pt>
                <c:pt idx="19">
                  <c:v>6.1895742710366797</c:v>
                </c:pt>
                <c:pt idx="20">
                  <c:v>16.797471760101757</c:v>
                </c:pt>
                <c:pt idx="21">
                  <c:v>20.178000222287892</c:v>
                </c:pt>
                <c:pt idx="22">
                  <c:v>20.389420258595514</c:v>
                </c:pt>
                <c:pt idx="23">
                  <c:v>20.720966779376674</c:v>
                </c:pt>
                <c:pt idx="24">
                  <c:v>20.683487000334395</c:v>
                </c:pt>
                <c:pt idx="25">
                  <c:v>20.806504485015296</c:v>
                </c:pt>
                <c:pt idx="26">
                  <c:v>21.673163972057342</c:v>
                </c:pt>
                <c:pt idx="27">
                  <c:v>4.0303699531622712</c:v>
                </c:pt>
                <c:pt idx="28">
                  <c:v>9.1804233228702952</c:v>
                </c:pt>
                <c:pt idx="29">
                  <c:v>4.3912644995614398</c:v>
                </c:pt>
                <c:pt idx="30">
                  <c:v>7.7553445303476023</c:v>
                </c:pt>
                <c:pt idx="31">
                  <c:v>9.1125725921118157</c:v>
                </c:pt>
                <c:pt idx="32">
                  <c:v>5.16352362963862</c:v>
                </c:pt>
                <c:pt idx="33">
                  <c:v>9.3860969013302373</c:v>
                </c:pt>
                <c:pt idx="34">
                  <c:v>9.2649888542277559</c:v>
                </c:pt>
                <c:pt idx="35">
                  <c:v>8.5221004915139815</c:v>
                </c:pt>
                <c:pt idx="36">
                  <c:v>16.262734665988201</c:v>
                </c:pt>
                <c:pt idx="37">
                  <c:v>8.6845075706183312</c:v>
                </c:pt>
                <c:pt idx="38">
                  <c:v>25.415808117747972</c:v>
                </c:pt>
                <c:pt idx="39">
                  <c:v>25.489122038224309</c:v>
                </c:pt>
                <c:pt idx="40">
                  <c:v>23.920829782505511</c:v>
                </c:pt>
                <c:pt idx="41">
                  <c:v>15.204452943277973</c:v>
                </c:pt>
                <c:pt idx="42">
                  <c:v>21.980902416577329</c:v>
                </c:pt>
                <c:pt idx="43">
                  <c:v>26.002127049055538</c:v>
                </c:pt>
                <c:pt idx="44">
                  <c:v>13.619046267120769</c:v>
                </c:pt>
                <c:pt idx="45">
                  <c:v>16.058987957046185</c:v>
                </c:pt>
                <c:pt idx="46">
                  <c:v>8.8391901693567778</c:v>
                </c:pt>
                <c:pt idx="47">
                  <c:v>10.526958251674664</c:v>
                </c:pt>
                <c:pt idx="48">
                  <c:v>23.308435590917586</c:v>
                </c:pt>
                <c:pt idx="49">
                  <c:v>17.827227612573282</c:v>
                </c:pt>
                <c:pt idx="50">
                  <c:v>17.49541114071733</c:v>
                </c:pt>
                <c:pt idx="51">
                  <c:v>19.081725354783263</c:v>
                </c:pt>
                <c:pt idx="52">
                  <c:v>27.851839495723645</c:v>
                </c:pt>
                <c:pt idx="53">
                  <c:v>28.063783569839455</c:v>
                </c:pt>
                <c:pt idx="54">
                  <c:v>17.214853174413662</c:v>
                </c:pt>
                <c:pt idx="55">
                  <c:v>27.680562647450468</c:v>
                </c:pt>
                <c:pt idx="56">
                  <c:v>31.667866630826875</c:v>
                </c:pt>
                <c:pt idx="57">
                  <c:v>25.93100324435262</c:v>
                </c:pt>
                <c:pt idx="58">
                  <c:v>26.926490453216214</c:v>
                </c:pt>
                <c:pt idx="59">
                  <c:v>31.937781759283485</c:v>
                </c:pt>
                <c:pt idx="60">
                  <c:v>10.244834509406271</c:v>
                </c:pt>
                <c:pt idx="61">
                  <c:v>30.611854009411264</c:v>
                </c:pt>
                <c:pt idx="62">
                  <c:v>3.6365883369384662</c:v>
                </c:pt>
                <c:pt idx="63">
                  <c:v>12.736938234106823</c:v>
                </c:pt>
                <c:pt idx="64">
                  <c:v>15.02350615525966</c:v>
                </c:pt>
                <c:pt idx="65">
                  <c:v>32.739276573465261</c:v>
                </c:pt>
                <c:pt idx="66">
                  <c:v>25.891405626020664</c:v>
                </c:pt>
                <c:pt idx="67">
                  <c:v>27.574445031346773</c:v>
                </c:pt>
                <c:pt idx="68">
                  <c:v>20.83271023881165</c:v>
                </c:pt>
                <c:pt idx="69">
                  <c:v>13.560448773148931</c:v>
                </c:pt>
                <c:pt idx="70">
                  <c:v>15.174163715038585</c:v>
                </c:pt>
                <c:pt idx="71">
                  <c:v>9.2848889549372213</c:v>
                </c:pt>
                <c:pt idx="72">
                  <c:v>13.666947270764036</c:v>
                </c:pt>
                <c:pt idx="73">
                  <c:v>12.960361428501379</c:v>
                </c:pt>
                <c:pt idx="74">
                  <c:v>12.69336298399179</c:v>
                </c:pt>
                <c:pt idx="75">
                  <c:v>11.005798398101312</c:v>
                </c:pt>
                <c:pt idx="76">
                  <c:v>14.251170870978283</c:v>
                </c:pt>
                <c:pt idx="77">
                  <c:v>25.136549263976029</c:v>
                </c:pt>
                <c:pt idx="78">
                  <c:v>28.244131651726295</c:v>
                </c:pt>
                <c:pt idx="79">
                  <c:v>37.730632381321449</c:v>
                </c:pt>
                <c:pt idx="80">
                  <c:v>35.761312840407335</c:v>
                </c:pt>
                <c:pt idx="81">
                  <c:v>41.059937247920232</c:v>
                </c:pt>
                <c:pt idx="82">
                  <c:v>40.443928726489311</c:v>
                </c:pt>
                <c:pt idx="83">
                  <c:v>38.197050577472488</c:v>
                </c:pt>
                <c:pt idx="84">
                  <c:v>40.652890217011162</c:v>
                </c:pt>
                <c:pt idx="85">
                  <c:v>38.965447766859839</c:v>
                </c:pt>
                <c:pt idx="86">
                  <c:v>29.486471078389389</c:v>
                </c:pt>
                <c:pt idx="87">
                  <c:v>25.395745256110452</c:v>
                </c:pt>
                <c:pt idx="88">
                  <c:v>7.4541186233046899</c:v>
                </c:pt>
                <c:pt idx="89">
                  <c:v>26.880650389760977</c:v>
                </c:pt>
                <c:pt idx="90">
                  <c:v>30.721471558625261</c:v>
                </c:pt>
                <c:pt idx="91">
                  <c:v>19.545051868202219</c:v>
                </c:pt>
                <c:pt idx="92">
                  <c:v>20.477305038689927</c:v>
                </c:pt>
                <c:pt idx="93">
                  <c:v>40.952414700832108</c:v>
                </c:pt>
                <c:pt idx="94">
                  <c:v>45.951743094022383</c:v>
                </c:pt>
                <c:pt idx="95">
                  <c:v>10.846620121175695</c:v>
                </c:pt>
                <c:pt idx="96">
                  <c:v>32.821766936434003</c:v>
                </c:pt>
                <c:pt idx="97">
                  <c:v>26.147931657713727</c:v>
                </c:pt>
                <c:pt idx="98">
                  <c:v>34.170672526759162</c:v>
                </c:pt>
                <c:pt idx="99">
                  <c:v>46.586930224355811</c:v>
                </c:pt>
                <c:pt idx="100">
                  <c:v>38.711949133101371</c:v>
                </c:pt>
                <c:pt idx="101">
                  <c:v>33.896372020866615</c:v>
                </c:pt>
                <c:pt idx="102">
                  <c:v>7.5122608422217825</c:v>
                </c:pt>
                <c:pt idx="103">
                  <c:v>36.827046680010568</c:v>
                </c:pt>
                <c:pt idx="104">
                  <c:v>40.716607158169346</c:v>
                </c:pt>
                <c:pt idx="105">
                  <c:v>44.154197409644901</c:v>
                </c:pt>
                <c:pt idx="106">
                  <c:v>48.327853372200195</c:v>
                </c:pt>
                <c:pt idx="107">
                  <c:v>38.109361560235868</c:v>
                </c:pt>
                <c:pt idx="108">
                  <c:v>8.9040913920660714</c:v>
                </c:pt>
                <c:pt idx="109">
                  <c:v>9.3400736317816264</c:v>
                </c:pt>
                <c:pt idx="110">
                  <c:v>9.039085975667021</c:v>
                </c:pt>
                <c:pt idx="111">
                  <c:v>26.106732636014897</c:v>
                </c:pt>
                <c:pt idx="112">
                  <c:v>8.7758907175341143</c:v>
                </c:pt>
                <c:pt idx="113">
                  <c:v>30.189240813085434</c:v>
                </c:pt>
                <c:pt idx="114">
                  <c:v>45.239786039685995</c:v>
                </c:pt>
                <c:pt idx="115">
                  <c:v>49.217606545299901</c:v>
                </c:pt>
                <c:pt idx="116">
                  <c:v>35.902780292001758</c:v>
                </c:pt>
                <c:pt idx="117">
                  <c:v>22.208426757003174</c:v>
                </c:pt>
                <c:pt idx="118">
                  <c:v>40.356509012107423</c:v>
                </c:pt>
                <c:pt idx="119">
                  <c:v>46.83258428389238</c:v>
                </c:pt>
                <c:pt idx="120">
                  <c:v>47.749752814791009</c:v>
                </c:pt>
                <c:pt idx="121">
                  <c:v>27.911375863919528</c:v>
                </c:pt>
                <c:pt idx="122">
                  <c:v>38.354043062849151</c:v>
                </c:pt>
                <c:pt idx="123">
                  <c:v>21.750920105615659</c:v>
                </c:pt>
                <c:pt idx="124">
                  <c:v>44.452509112168457</c:v>
                </c:pt>
                <c:pt idx="125">
                  <c:v>37.5415847252658</c:v>
                </c:pt>
                <c:pt idx="126">
                  <c:v>52.946611280024051</c:v>
                </c:pt>
                <c:pt idx="127">
                  <c:v>48.126435863667311</c:v>
                </c:pt>
                <c:pt idx="128">
                  <c:v>55.111621786852403</c:v>
                </c:pt>
                <c:pt idx="129">
                  <c:v>51.112489020501762</c:v>
                </c:pt>
                <c:pt idx="130">
                  <c:v>55.546770974308295</c:v>
                </c:pt>
                <c:pt idx="131">
                  <c:v>42.747042872284482</c:v>
                </c:pt>
                <c:pt idx="132">
                  <c:v>44.365923622539974</c:v>
                </c:pt>
                <c:pt idx="133">
                  <c:v>48.885381943475394</c:v>
                </c:pt>
                <c:pt idx="134">
                  <c:v>52.058324811629703</c:v>
                </c:pt>
                <c:pt idx="135">
                  <c:v>50.212448593669166</c:v>
                </c:pt>
                <c:pt idx="136">
                  <c:v>53.999290901866836</c:v>
                </c:pt>
                <c:pt idx="137">
                  <c:v>52.777836066233498</c:v>
                </c:pt>
                <c:pt idx="138">
                  <c:v>55.786501843692662</c:v>
                </c:pt>
                <c:pt idx="139">
                  <c:v>48.906755186057261</c:v>
                </c:pt>
                <c:pt idx="140">
                  <c:v>48.478086679357745</c:v>
                </c:pt>
                <c:pt idx="141">
                  <c:v>35.906201113294614</c:v>
                </c:pt>
                <c:pt idx="142">
                  <c:v>20.398097469292612</c:v>
                </c:pt>
                <c:pt idx="143">
                  <c:v>16.60537295095655</c:v>
                </c:pt>
                <c:pt idx="144">
                  <c:v>40.446119410458337</c:v>
                </c:pt>
                <c:pt idx="145">
                  <c:v>23.806379018979676</c:v>
                </c:pt>
                <c:pt idx="146">
                  <c:v>46.907913467955176</c:v>
                </c:pt>
                <c:pt idx="147">
                  <c:v>55.905508865583329</c:v>
                </c:pt>
                <c:pt idx="148">
                  <c:v>60.24128670064195</c:v>
                </c:pt>
                <c:pt idx="149">
                  <c:v>52.181516143054921</c:v>
                </c:pt>
                <c:pt idx="150">
                  <c:v>55.411047304337522</c:v>
                </c:pt>
                <c:pt idx="151">
                  <c:v>56.230834884996924</c:v>
                </c:pt>
                <c:pt idx="152">
                  <c:v>46.602021208492239</c:v>
                </c:pt>
                <c:pt idx="153">
                  <c:v>54.313038049890082</c:v>
                </c:pt>
                <c:pt idx="154">
                  <c:v>26.900628273799242</c:v>
                </c:pt>
                <c:pt idx="155">
                  <c:v>37.434523084461702</c:v>
                </c:pt>
                <c:pt idx="156">
                  <c:v>45.126562843299133</c:v>
                </c:pt>
                <c:pt idx="157">
                  <c:v>30.792860675855334</c:v>
                </c:pt>
                <c:pt idx="158">
                  <c:v>21.604481636734395</c:v>
                </c:pt>
                <c:pt idx="159">
                  <c:v>44.480360822562595</c:v>
                </c:pt>
                <c:pt idx="160">
                  <c:v>57.733762478953516</c:v>
                </c:pt>
                <c:pt idx="161">
                  <c:v>55.540422304761904</c:v>
                </c:pt>
                <c:pt idx="162">
                  <c:v>43.200450932295212</c:v>
                </c:pt>
                <c:pt idx="163">
                  <c:v>54.730194033490044</c:v>
                </c:pt>
                <c:pt idx="164">
                  <c:v>47.308542986369083</c:v>
                </c:pt>
                <c:pt idx="165">
                  <c:v>54.850200446161175</c:v>
                </c:pt>
                <c:pt idx="166">
                  <c:v>52.248816813321646</c:v>
                </c:pt>
                <c:pt idx="167">
                  <c:v>52.82789640122607</c:v>
                </c:pt>
                <c:pt idx="168">
                  <c:v>55.17406846049991</c:v>
                </c:pt>
                <c:pt idx="169">
                  <c:v>56.539920602165537</c:v>
                </c:pt>
                <c:pt idx="170">
                  <c:v>33.37933802266538</c:v>
                </c:pt>
                <c:pt idx="171">
                  <c:v>23.33160073581664</c:v>
                </c:pt>
                <c:pt idx="172">
                  <c:v>43.885643921099039</c:v>
                </c:pt>
                <c:pt idx="173">
                  <c:v>41.746666132142401</c:v>
                </c:pt>
                <c:pt idx="174">
                  <c:v>40.236869893555713</c:v>
                </c:pt>
                <c:pt idx="175">
                  <c:v>33.137142857894446</c:v>
                </c:pt>
                <c:pt idx="176">
                  <c:v>12.518614740826662</c:v>
                </c:pt>
                <c:pt idx="177">
                  <c:v>14.571279020092716</c:v>
                </c:pt>
                <c:pt idx="178">
                  <c:v>59.361259233964923</c:v>
                </c:pt>
                <c:pt idx="179">
                  <c:v>56.923939663680741</c:v>
                </c:pt>
                <c:pt idx="180">
                  <c:v>14.393080688606078</c:v>
                </c:pt>
                <c:pt idx="181">
                  <c:v>53.598145183123094</c:v>
                </c:pt>
                <c:pt idx="182">
                  <c:v>56.273267833957725</c:v>
                </c:pt>
                <c:pt idx="183">
                  <c:v>43.863693311770469</c:v>
                </c:pt>
                <c:pt idx="184">
                  <c:v>43.566996994918235</c:v>
                </c:pt>
                <c:pt idx="185">
                  <c:v>56.0684409264748</c:v>
                </c:pt>
                <c:pt idx="186">
                  <c:v>49.227083031727766</c:v>
                </c:pt>
                <c:pt idx="187">
                  <c:v>56.156474459999785</c:v>
                </c:pt>
                <c:pt idx="188">
                  <c:v>58.610488124030795</c:v>
                </c:pt>
                <c:pt idx="189">
                  <c:v>57.607495921899705</c:v>
                </c:pt>
                <c:pt idx="190">
                  <c:v>56.935485876664366</c:v>
                </c:pt>
                <c:pt idx="191">
                  <c:v>55.129711391538429</c:v>
                </c:pt>
                <c:pt idx="192">
                  <c:v>54.748262551935973</c:v>
                </c:pt>
                <c:pt idx="193">
                  <c:v>54.252727273162982</c:v>
                </c:pt>
                <c:pt idx="194">
                  <c:v>53.338200201924778</c:v>
                </c:pt>
                <c:pt idx="195">
                  <c:v>52.33869981260105</c:v>
                </c:pt>
                <c:pt idx="196">
                  <c:v>53.914282561532822</c:v>
                </c:pt>
                <c:pt idx="197">
                  <c:v>52.976002060779379</c:v>
                </c:pt>
                <c:pt idx="198">
                  <c:v>53.718691628981759</c:v>
                </c:pt>
                <c:pt idx="199">
                  <c:v>45.355376156882663</c:v>
                </c:pt>
                <c:pt idx="200">
                  <c:v>44.142926126754993</c:v>
                </c:pt>
                <c:pt idx="201">
                  <c:v>51.266240088918124</c:v>
                </c:pt>
                <c:pt idx="202">
                  <c:v>39.167056035920758</c:v>
                </c:pt>
                <c:pt idx="203">
                  <c:v>51.023233560693292</c:v>
                </c:pt>
                <c:pt idx="204">
                  <c:v>51.366662836615568</c:v>
                </c:pt>
                <c:pt idx="205">
                  <c:v>27.618707395433876</c:v>
                </c:pt>
                <c:pt idx="206">
                  <c:v>57.667025913591623</c:v>
                </c:pt>
                <c:pt idx="207">
                  <c:v>55.967234184492547</c:v>
                </c:pt>
                <c:pt idx="208">
                  <c:v>44.809685399471761</c:v>
                </c:pt>
                <c:pt idx="209">
                  <c:v>32.915501014311957</c:v>
                </c:pt>
                <c:pt idx="210">
                  <c:v>50.483503880510241</c:v>
                </c:pt>
                <c:pt idx="211">
                  <c:v>53.789369371590752</c:v>
                </c:pt>
                <c:pt idx="212">
                  <c:v>53.466294091042947</c:v>
                </c:pt>
                <c:pt idx="213">
                  <c:v>53.223042183745044</c:v>
                </c:pt>
                <c:pt idx="214">
                  <c:v>48.897840550606062</c:v>
                </c:pt>
                <c:pt idx="215">
                  <c:v>48.655915760673942</c:v>
                </c:pt>
                <c:pt idx="216">
                  <c:v>46.555574928041082</c:v>
                </c:pt>
                <c:pt idx="217">
                  <c:v>48.76883710157685</c:v>
                </c:pt>
                <c:pt idx="218">
                  <c:v>51.680017112129974</c:v>
                </c:pt>
                <c:pt idx="219">
                  <c:v>51.979769883051539</c:v>
                </c:pt>
                <c:pt idx="220">
                  <c:v>49.676788019566331</c:v>
                </c:pt>
                <c:pt idx="221">
                  <c:v>46.495837964091464</c:v>
                </c:pt>
                <c:pt idx="222">
                  <c:v>45.050915646073065</c:v>
                </c:pt>
                <c:pt idx="223">
                  <c:v>46.216801860011614</c:v>
                </c:pt>
                <c:pt idx="224">
                  <c:v>33.766760827947174</c:v>
                </c:pt>
                <c:pt idx="225">
                  <c:v>33.098333886021159</c:v>
                </c:pt>
                <c:pt idx="226">
                  <c:v>40.020580565178946</c:v>
                </c:pt>
                <c:pt idx="227">
                  <c:v>34.409194946697049</c:v>
                </c:pt>
                <c:pt idx="228">
                  <c:v>28.650296520585659</c:v>
                </c:pt>
                <c:pt idx="229">
                  <c:v>35.666147235258542</c:v>
                </c:pt>
                <c:pt idx="230">
                  <c:v>42.589314784458054</c:v>
                </c:pt>
                <c:pt idx="231">
                  <c:v>47.805979169734506</c:v>
                </c:pt>
                <c:pt idx="232">
                  <c:v>30.696242132431568</c:v>
                </c:pt>
                <c:pt idx="233">
                  <c:v>26.292798015904225</c:v>
                </c:pt>
                <c:pt idx="234">
                  <c:v>48.046006015997399</c:v>
                </c:pt>
                <c:pt idx="235">
                  <c:v>42.8029886059022</c:v>
                </c:pt>
                <c:pt idx="236">
                  <c:v>34.093116861291989</c:v>
                </c:pt>
                <c:pt idx="237">
                  <c:v>42.763160804122251</c:v>
                </c:pt>
                <c:pt idx="238">
                  <c:v>47.377875572406694</c:v>
                </c:pt>
                <c:pt idx="239">
                  <c:v>45.048141577424921</c:v>
                </c:pt>
                <c:pt idx="240">
                  <c:v>31.687606543478594</c:v>
                </c:pt>
                <c:pt idx="241">
                  <c:v>44.896157067939924</c:v>
                </c:pt>
                <c:pt idx="242">
                  <c:v>23.821444768177983</c:v>
                </c:pt>
                <c:pt idx="243">
                  <c:v>39.185379256283312</c:v>
                </c:pt>
                <c:pt idx="244">
                  <c:v>38.348688995788301</c:v>
                </c:pt>
                <c:pt idx="245">
                  <c:v>36.154425819454275</c:v>
                </c:pt>
                <c:pt idx="246">
                  <c:v>42.471578120897085</c:v>
                </c:pt>
                <c:pt idx="247">
                  <c:v>37.023011850876927</c:v>
                </c:pt>
                <c:pt idx="248">
                  <c:v>42.890994886542352</c:v>
                </c:pt>
                <c:pt idx="249">
                  <c:v>35.057344265837642</c:v>
                </c:pt>
                <c:pt idx="250">
                  <c:v>32.909897776332429</c:v>
                </c:pt>
                <c:pt idx="251">
                  <c:v>24.404899044740169</c:v>
                </c:pt>
                <c:pt idx="252">
                  <c:v>42.691915231633274</c:v>
                </c:pt>
                <c:pt idx="253">
                  <c:v>41.429060119593032</c:v>
                </c:pt>
                <c:pt idx="254">
                  <c:v>29.422513836849049</c:v>
                </c:pt>
                <c:pt idx="255">
                  <c:v>13.82373504932724</c:v>
                </c:pt>
                <c:pt idx="256">
                  <c:v>32.908286286163786</c:v>
                </c:pt>
                <c:pt idx="257">
                  <c:v>37.511737662516808</c:v>
                </c:pt>
                <c:pt idx="258">
                  <c:v>32.182318163372415</c:v>
                </c:pt>
                <c:pt idx="259">
                  <c:v>42.047264130547468</c:v>
                </c:pt>
                <c:pt idx="260">
                  <c:v>41.56160029505898</c:v>
                </c:pt>
                <c:pt idx="261">
                  <c:v>39.948099475267732</c:v>
                </c:pt>
                <c:pt idx="262">
                  <c:v>41.624180070547489</c:v>
                </c:pt>
                <c:pt idx="263">
                  <c:v>40.242139888636054</c:v>
                </c:pt>
                <c:pt idx="264">
                  <c:v>38.470086912202689</c:v>
                </c:pt>
                <c:pt idx="265">
                  <c:v>24.146794755224775</c:v>
                </c:pt>
                <c:pt idx="266">
                  <c:v>15.716191288755772</c:v>
                </c:pt>
                <c:pt idx="267">
                  <c:v>32.070263400370081</c:v>
                </c:pt>
                <c:pt idx="268">
                  <c:v>28.534417067371933</c:v>
                </c:pt>
                <c:pt idx="269">
                  <c:v>17.119945807805244</c:v>
                </c:pt>
                <c:pt idx="270">
                  <c:v>19.321849975720404</c:v>
                </c:pt>
                <c:pt idx="271">
                  <c:v>22.786678112214648</c:v>
                </c:pt>
                <c:pt idx="272">
                  <c:v>26.059605124926943</c:v>
                </c:pt>
                <c:pt idx="273">
                  <c:v>32.740847753407969</c:v>
                </c:pt>
                <c:pt idx="274">
                  <c:v>34.492782687724521</c:v>
                </c:pt>
                <c:pt idx="275">
                  <c:v>33.844803453185122</c:v>
                </c:pt>
                <c:pt idx="276">
                  <c:v>34.922857697808126</c:v>
                </c:pt>
                <c:pt idx="277">
                  <c:v>35.944102971932779</c:v>
                </c:pt>
                <c:pt idx="278">
                  <c:v>11.25999821006109</c:v>
                </c:pt>
                <c:pt idx="279">
                  <c:v>25.096194158284707</c:v>
                </c:pt>
                <c:pt idx="280">
                  <c:v>16.617173370486658</c:v>
                </c:pt>
                <c:pt idx="281">
                  <c:v>32.572522571963759</c:v>
                </c:pt>
                <c:pt idx="282">
                  <c:v>26.14904568386239</c:v>
                </c:pt>
                <c:pt idx="283">
                  <c:v>20.324377493665061</c:v>
                </c:pt>
                <c:pt idx="284">
                  <c:v>24.512403568717321</c:v>
                </c:pt>
                <c:pt idx="285">
                  <c:v>21.083804772772563</c:v>
                </c:pt>
                <c:pt idx="286">
                  <c:v>17.648249808235331</c:v>
                </c:pt>
                <c:pt idx="287">
                  <c:v>31.069998444736743</c:v>
                </c:pt>
                <c:pt idx="288">
                  <c:v>28.394155695629816</c:v>
                </c:pt>
                <c:pt idx="289">
                  <c:v>18.351308685937788</c:v>
                </c:pt>
                <c:pt idx="290">
                  <c:v>28.96723114678894</c:v>
                </c:pt>
                <c:pt idx="291">
                  <c:v>14.558600558564022</c:v>
                </c:pt>
                <c:pt idx="292">
                  <c:v>6.4167827835272453</c:v>
                </c:pt>
                <c:pt idx="293">
                  <c:v>14.732094180210735</c:v>
                </c:pt>
                <c:pt idx="294">
                  <c:v>27.910342043133671</c:v>
                </c:pt>
                <c:pt idx="295">
                  <c:v>16.02382002400071</c:v>
                </c:pt>
                <c:pt idx="296">
                  <c:v>19.870732455993888</c:v>
                </c:pt>
                <c:pt idx="297">
                  <c:v>19.721976177664388</c:v>
                </c:pt>
                <c:pt idx="298">
                  <c:v>11.719791965903031</c:v>
                </c:pt>
                <c:pt idx="299">
                  <c:v>11.903633567691001</c:v>
                </c:pt>
                <c:pt idx="300">
                  <c:v>16.110126782712502</c:v>
                </c:pt>
                <c:pt idx="301">
                  <c:v>22.677644540575052</c:v>
                </c:pt>
                <c:pt idx="302">
                  <c:v>18.740435026791591</c:v>
                </c:pt>
                <c:pt idx="303">
                  <c:v>17.711621509472746</c:v>
                </c:pt>
                <c:pt idx="304">
                  <c:v>17.792396065424956</c:v>
                </c:pt>
                <c:pt idx="305">
                  <c:v>24.106198783769724</c:v>
                </c:pt>
                <c:pt idx="306">
                  <c:v>9.8139287425825223</c:v>
                </c:pt>
                <c:pt idx="307">
                  <c:v>16.251510842770056</c:v>
                </c:pt>
                <c:pt idx="308">
                  <c:v>24.600650477930259</c:v>
                </c:pt>
                <c:pt idx="309">
                  <c:v>23.979418932413587</c:v>
                </c:pt>
                <c:pt idx="310">
                  <c:v>21.967861132030897</c:v>
                </c:pt>
                <c:pt idx="311">
                  <c:v>16.231203177944021</c:v>
                </c:pt>
                <c:pt idx="312">
                  <c:v>8.6860838550899988</c:v>
                </c:pt>
                <c:pt idx="313">
                  <c:v>18.403584967759375</c:v>
                </c:pt>
                <c:pt idx="314">
                  <c:v>21.680439090521936</c:v>
                </c:pt>
                <c:pt idx="315">
                  <c:v>21.477029879021035</c:v>
                </c:pt>
                <c:pt idx="316">
                  <c:v>20.505547338820847</c:v>
                </c:pt>
                <c:pt idx="317">
                  <c:v>8.2361690018953606</c:v>
                </c:pt>
                <c:pt idx="318">
                  <c:v>11.100035901586637</c:v>
                </c:pt>
                <c:pt idx="319">
                  <c:v>21.058440854959269</c:v>
                </c:pt>
                <c:pt idx="320">
                  <c:v>12.290813167831541</c:v>
                </c:pt>
                <c:pt idx="321">
                  <c:v>12.991031152026148</c:v>
                </c:pt>
                <c:pt idx="322">
                  <c:v>7.2067339613186006</c:v>
                </c:pt>
                <c:pt idx="323">
                  <c:v>13.33561296623331</c:v>
                </c:pt>
                <c:pt idx="324">
                  <c:v>3.1221204179619098</c:v>
                </c:pt>
                <c:pt idx="325">
                  <c:v>7.3955627643178738</c:v>
                </c:pt>
                <c:pt idx="326">
                  <c:v>11.825443340790502</c:v>
                </c:pt>
                <c:pt idx="327">
                  <c:v>11.906466260245171</c:v>
                </c:pt>
                <c:pt idx="328">
                  <c:v>4.844155730474907</c:v>
                </c:pt>
                <c:pt idx="329">
                  <c:v>10.872826869046575</c:v>
                </c:pt>
                <c:pt idx="330">
                  <c:v>12.252483295558541</c:v>
                </c:pt>
                <c:pt idx="331">
                  <c:v>10.402046512488766</c:v>
                </c:pt>
                <c:pt idx="332">
                  <c:v>13.978139456450336</c:v>
                </c:pt>
                <c:pt idx="333">
                  <c:v>3.9415741038090317</c:v>
                </c:pt>
                <c:pt idx="334">
                  <c:v>3.7346671762276027</c:v>
                </c:pt>
                <c:pt idx="335">
                  <c:v>5.6416051791712967</c:v>
                </c:pt>
                <c:pt idx="336">
                  <c:v>7.6653719074434683</c:v>
                </c:pt>
                <c:pt idx="337">
                  <c:v>14.261996325404528</c:v>
                </c:pt>
                <c:pt idx="338">
                  <c:v>17.802214046304371</c:v>
                </c:pt>
                <c:pt idx="339">
                  <c:v>9.6246659734870921</c:v>
                </c:pt>
                <c:pt idx="340">
                  <c:v>15.884806674147526</c:v>
                </c:pt>
                <c:pt idx="341">
                  <c:v>4.0232973222428905</c:v>
                </c:pt>
                <c:pt idx="342">
                  <c:v>4.8878008635304484</c:v>
                </c:pt>
                <c:pt idx="343">
                  <c:v>11.091532429229618</c:v>
                </c:pt>
                <c:pt idx="344">
                  <c:v>13.550268592800538</c:v>
                </c:pt>
                <c:pt idx="345">
                  <c:v>4.2563217332600143</c:v>
                </c:pt>
                <c:pt idx="346">
                  <c:v>5.2540868821009319</c:v>
                </c:pt>
                <c:pt idx="347">
                  <c:v>15.210935816334688</c:v>
                </c:pt>
                <c:pt idx="348">
                  <c:v>5.747250838129168</c:v>
                </c:pt>
                <c:pt idx="349">
                  <c:v>5.1412071455165229</c:v>
                </c:pt>
                <c:pt idx="350">
                  <c:v>3.4265824837598604</c:v>
                </c:pt>
                <c:pt idx="351">
                  <c:v>15.738982271479797</c:v>
                </c:pt>
                <c:pt idx="352">
                  <c:v>13.038589532311937</c:v>
                </c:pt>
                <c:pt idx="353">
                  <c:v>4.5796137199905047</c:v>
                </c:pt>
                <c:pt idx="354">
                  <c:v>16.325357479334425</c:v>
                </c:pt>
                <c:pt idx="355">
                  <c:v>12.523229708672458</c:v>
                </c:pt>
                <c:pt idx="356">
                  <c:v>13.174150223203425</c:v>
                </c:pt>
                <c:pt idx="357">
                  <c:v>16.9269842581059</c:v>
                </c:pt>
                <c:pt idx="358">
                  <c:v>9.6932795498778344</c:v>
                </c:pt>
                <c:pt idx="359">
                  <c:v>16.487001865284203</c:v>
                </c:pt>
                <c:pt idx="360">
                  <c:v>6.6995025842764857</c:v>
                </c:pt>
                <c:pt idx="361">
                  <c:v>15.942536276076366</c:v>
                </c:pt>
                <c:pt idx="362">
                  <c:v>9.0223509484618738</c:v>
                </c:pt>
                <c:pt idx="363">
                  <c:v>11.959776684038253</c:v>
                </c:pt>
                <c:pt idx="364">
                  <c:v>8.9014284431461608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2208"/>
        <c:axId val="611452600"/>
      </c:lineChart>
      <c:dateAx>
        <c:axId val="611452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2600"/>
        <c:crosses val="autoZero"/>
        <c:auto val="1"/>
        <c:lblOffset val="100"/>
        <c:baseTimeUnit val="days"/>
        <c:majorUnit val="1"/>
        <c:majorTimeUnit val="months"/>
      </c:dateAx>
      <c:valAx>
        <c:axId val="611452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2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5.3109869318555769E-2</c:v>
                </c:pt>
                <c:pt idx="1">
                  <c:v>5.3131904835214128E-2</c:v>
                </c:pt>
                <c:pt idx="2">
                  <c:v>5.3153939839073905E-2</c:v>
                </c:pt>
                <c:pt idx="3">
                  <c:v>5.3175974330146869E-2</c:v>
                </c:pt>
                <c:pt idx="4">
                  <c:v>5.3198008308445122E-2</c:v>
                </c:pt>
                <c:pt idx="5">
                  <c:v>5.3220041773980431E-2</c:v>
                </c:pt>
                <c:pt idx="6">
                  <c:v>5.3242074726764899E-2</c:v>
                </c:pt>
                <c:pt idx="7">
                  <c:v>5.3264107166810293E-2</c:v>
                </c:pt>
                <c:pt idx="8">
                  <c:v>5.3286139094128715E-2</c:v>
                </c:pt>
                <c:pt idx="9">
                  <c:v>5.3308170508731934E-2</c:v>
                </c:pt>
                <c:pt idx="10">
                  <c:v>5.3330201410631939E-2</c:v>
                </c:pt>
                <c:pt idx="11">
                  <c:v>5.335223179984061E-2</c:v>
                </c:pt>
                <c:pt idx="12">
                  <c:v>5.3374261676370049E-2</c:v>
                </c:pt>
                <c:pt idx="13">
                  <c:v>5.3396291040232025E-2</c:v>
                </c:pt>
                <c:pt idx="14">
                  <c:v>5.3418319891438526E-2</c:v>
                </c:pt>
                <c:pt idx="15">
                  <c:v>5.3440348230001433E-2</c:v>
                </c:pt>
                <c:pt idx="16">
                  <c:v>5.3462376055932848E-2</c:v>
                </c:pt>
                <c:pt idx="17">
                  <c:v>5.3484403369244427E-2</c:v>
                </c:pt>
                <c:pt idx="18">
                  <c:v>5.3506430169948382E-2</c:v>
                </c:pt>
                <c:pt idx="19">
                  <c:v>5.3528456458056373E-2</c:v>
                </c:pt>
                <c:pt idx="20">
                  <c:v>5.355048223358061E-2</c:v>
                </c:pt>
                <c:pt idx="21">
                  <c:v>5.3572507496532751E-2</c:v>
                </c:pt>
                <c:pt idx="22">
                  <c:v>5.3594532246924897E-2</c:v>
                </c:pt>
                <c:pt idx="23">
                  <c:v>5.3616556484768929E-2</c:v>
                </c:pt>
                <c:pt idx="24">
                  <c:v>5.3638580210076725E-2</c:v>
                </c:pt>
                <c:pt idx="25">
                  <c:v>5.3660603422860276E-2</c:v>
                </c:pt>
                <c:pt idx="26">
                  <c:v>5.3682626123131572E-2</c:v>
                </c:pt>
                <c:pt idx="27">
                  <c:v>5.3704648310902381E-2</c:v>
                </c:pt>
                <c:pt idx="28">
                  <c:v>5.3726669986184694E-2</c:v>
                </c:pt>
                <c:pt idx="29">
                  <c:v>5.3748691148990502E-2</c:v>
                </c:pt>
                <c:pt idx="30">
                  <c:v>5.3770711799331683E-2</c:v>
                </c:pt>
                <c:pt idx="31">
                  <c:v>5.3792731937220117E-2</c:v>
                </c:pt>
                <c:pt idx="32">
                  <c:v>5.3814751562667795E-2</c:v>
                </c:pt>
                <c:pt idx="33">
                  <c:v>5.3836770675686596E-2</c:v>
                </c:pt>
                <c:pt idx="34">
                  <c:v>5.385878927628851E-2</c:v>
                </c:pt>
                <c:pt idx="35">
                  <c:v>5.3880807364485306E-2</c:v>
                </c:pt>
                <c:pt idx="36">
                  <c:v>5.3902824940289196E-2</c:v>
                </c:pt>
                <c:pt idx="37">
                  <c:v>5.3924842003711837E-2</c:v>
                </c:pt>
                <c:pt idx="38">
                  <c:v>5.394685855476522E-2</c:v>
                </c:pt>
                <c:pt idx="39">
                  <c:v>5.3968874593461336E-2</c:v>
                </c:pt>
                <c:pt idx="40">
                  <c:v>5.3990890119812063E-2</c:v>
                </c:pt>
                <c:pt idx="41">
                  <c:v>5.4012905133829392E-2</c:v>
                </c:pt>
                <c:pt idx="42">
                  <c:v>5.4034919635525092E-2</c:v>
                </c:pt>
                <c:pt idx="43">
                  <c:v>5.4056933624911263E-2</c:v>
                </c:pt>
                <c:pt idx="44">
                  <c:v>5.4078947101999675E-2</c:v>
                </c:pt>
                <c:pt idx="45">
                  <c:v>5.4100960066802317E-2</c:v>
                </c:pt>
                <c:pt idx="46">
                  <c:v>5.412297251933107E-2</c:v>
                </c:pt>
                <c:pt idx="47">
                  <c:v>5.4144984459598033E-2</c:v>
                </c:pt>
                <c:pt idx="48">
                  <c:v>5.4166995887614866E-2</c:v>
                </c:pt>
                <c:pt idx="49">
                  <c:v>5.4189006803393669E-2</c:v>
                </c:pt>
                <c:pt idx="50">
                  <c:v>5.421101720694621E-2</c:v>
                </c:pt>
                <c:pt idx="51">
                  <c:v>5.4233027098284592E-2</c:v>
                </c:pt>
                <c:pt idx="52">
                  <c:v>5.4255036477420693E-2</c:v>
                </c:pt>
                <c:pt idx="53">
                  <c:v>5.4277045344366281E-2</c:v>
                </c:pt>
                <c:pt idx="54">
                  <c:v>5.4299053699133459E-2</c:v>
                </c:pt>
                <c:pt idx="55">
                  <c:v>5.4321061541733995E-2</c:v>
                </c:pt>
                <c:pt idx="56">
                  <c:v>5.4343068872179989E-2</c:v>
                </c:pt>
                <c:pt idx="57">
                  <c:v>5.4365075690483211E-2</c:v>
                </c:pt>
                <c:pt idx="58">
                  <c:v>5.438708199665554E-2</c:v>
                </c:pt>
                <c:pt idx="59">
                  <c:v>5.4409087790709076E-2</c:v>
                </c:pt>
                <c:pt idx="60">
                  <c:v>5.443109307265559E-2</c:v>
                </c:pt>
                <c:pt idx="61">
                  <c:v>5.445309784250707E-2</c:v>
                </c:pt>
                <c:pt idx="62">
                  <c:v>5.4475102100275397E-2</c:v>
                </c:pt>
                <c:pt idx="63">
                  <c:v>5.4497105845972449E-2</c:v>
                </c:pt>
                <c:pt idx="64">
                  <c:v>5.4519109079610328E-2</c:v>
                </c:pt>
                <c:pt idx="65">
                  <c:v>5.4541111801200692E-2</c:v>
                </c:pt>
                <c:pt idx="66">
                  <c:v>5.4563114010755642E-2</c:v>
                </c:pt>
                <c:pt idx="67">
                  <c:v>5.4585115708286946E-2</c:v>
                </c:pt>
                <c:pt idx="68">
                  <c:v>5.4607116893806706E-2</c:v>
                </c:pt>
                <c:pt idx="69">
                  <c:v>5.462911756732669E-2</c:v>
                </c:pt>
                <c:pt idx="70">
                  <c:v>5.4651117728858889E-2</c:v>
                </c:pt>
                <c:pt idx="71">
                  <c:v>5.4673117378415181E-2</c:v>
                </c:pt>
                <c:pt idx="72">
                  <c:v>5.4695116516007447E-2</c:v>
                </c:pt>
                <c:pt idx="73">
                  <c:v>5.4717115141647676E-2</c:v>
                </c:pt>
                <c:pt idx="74">
                  <c:v>5.4739113255347749E-2</c:v>
                </c:pt>
                <c:pt idx="75">
                  <c:v>5.4761110857119544E-2</c:v>
                </c:pt>
                <c:pt idx="76">
                  <c:v>5.4783107946975051E-2</c:v>
                </c:pt>
                <c:pt idx="77">
                  <c:v>5.4805104524926151E-2</c:v>
                </c:pt>
                <c:pt idx="78">
                  <c:v>5.4827100590984723E-2</c:v>
                </c:pt>
                <c:pt idx="79">
                  <c:v>5.4849096145162757E-2</c:v>
                </c:pt>
                <c:pt idx="80">
                  <c:v>5.4871091187472021E-2</c:v>
                </c:pt>
                <c:pt idx="81">
                  <c:v>5.4893085717924506E-2</c:v>
                </c:pt>
                <c:pt idx="82">
                  <c:v>5.4915079736532202E-2</c:v>
                </c:pt>
                <c:pt idx="83">
                  <c:v>5.4937073243306989E-2</c:v>
                </c:pt>
                <c:pt idx="84">
                  <c:v>5.4959066238260634E-2</c:v>
                </c:pt>
                <c:pt idx="85">
                  <c:v>5.498105872140524E-2</c:v>
                </c:pt>
                <c:pt idx="86">
                  <c:v>5.5003050692752686E-2</c:v>
                </c:pt>
                <c:pt idx="87">
                  <c:v>5.502504215231474E-2</c:v>
                </c:pt>
                <c:pt idx="88">
                  <c:v>5.5047033100103393E-2</c:v>
                </c:pt>
                <c:pt idx="89">
                  <c:v>5.5069023536130524E-2</c:v>
                </c:pt>
                <c:pt idx="90">
                  <c:v>5.5091013460408234E-2</c:v>
                </c:pt>
                <c:pt idx="91">
                  <c:v>5.511300287294818E-2</c:v>
                </c:pt>
                <c:pt idx="92">
                  <c:v>5.5134991773762354E-2</c:v>
                </c:pt>
                <c:pt idx="93">
                  <c:v>5.5156980162862745E-2</c:v>
                </c:pt>
                <c:pt idx="94">
                  <c:v>5.5178968040261123E-2</c:v>
                </c:pt>
                <c:pt idx="95">
                  <c:v>5.5200955405969587E-2</c:v>
                </c:pt>
                <c:pt idx="96">
                  <c:v>5.5222942259999797E-2</c:v>
                </c:pt>
                <c:pt idx="97">
                  <c:v>5.5244928602363852E-2</c:v>
                </c:pt>
                <c:pt idx="98">
                  <c:v>5.5266914433073633E-2</c:v>
                </c:pt>
                <c:pt idx="99">
                  <c:v>5.5288899752141019E-2</c:v>
                </c:pt>
                <c:pt idx="100">
                  <c:v>5.5310884559577889E-2</c:v>
                </c:pt>
                <c:pt idx="101">
                  <c:v>5.5332868855396122E-2</c:v>
                </c:pt>
                <c:pt idx="102">
                  <c:v>5.535485263960771E-2</c:v>
                </c:pt>
                <c:pt idx="103">
                  <c:v>5.5376835912224531E-2</c:v>
                </c:pt>
                <c:pt idx="104">
                  <c:v>5.5398818673258465E-2</c:v>
                </c:pt>
                <c:pt idx="105">
                  <c:v>5.5420800922721503E-2</c:v>
                </c:pt>
                <c:pt idx="106">
                  <c:v>5.5442782660625411E-2</c:v>
                </c:pt>
                <c:pt idx="107">
                  <c:v>5.5464763886982182E-2</c:v>
                </c:pt>
                <c:pt idx="108">
                  <c:v>5.5486744601803695E-2</c:v>
                </c:pt>
                <c:pt idx="109">
                  <c:v>5.5508724805101828E-2</c:v>
                </c:pt>
                <c:pt idx="110">
                  <c:v>5.5530704496888572E-2</c:v>
                </c:pt>
                <c:pt idx="111">
                  <c:v>5.5552683677175807E-2</c:v>
                </c:pt>
                <c:pt idx="112">
                  <c:v>5.5574662345975301E-2</c:v>
                </c:pt>
                <c:pt idx="113">
                  <c:v>5.5596640503299155E-2</c:v>
                </c:pt>
                <c:pt idx="114">
                  <c:v>5.5618618149159138E-2</c:v>
                </c:pt>
                <c:pt idx="115">
                  <c:v>5.564059528356724E-2</c:v>
                </c:pt>
                <c:pt idx="116">
                  <c:v>5.566257190653523E-2</c:v>
                </c:pt>
                <c:pt idx="117">
                  <c:v>5.5684548018075208E-2</c:v>
                </c:pt>
                <c:pt idx="118">
                  <c:v>5.5706523618198944E-2</c:v>
                </c:pt>
                <c:pt idx="119">
                  <c:v>5.5728498706918317E-2</c:v>
                </c:pt>
                <c:pt idx="120">
                  <c:v>5.5750473284245317E-2</c:v>
                </c:pt>
                <c:pt idx="121">
                  <c:v>5.5772447350191712E-2</c:v>
                </c:pt>
                <c:pt idx="122">
                  <c:v>5.5794420904769604E-2</c:v>
                </c:pt>
                <c:pt idx="123">
                  <c:v>5.581639394799065E-2</c:v>
                </c:pt>
                <c:pt idx="124">
                  <c:v>5.5838366479866952E-2</c:v>
                </c:pt>
                <c:pt idx="125">
                  <c:v>5.5860338500410389E-2</c:v>
                </c:pt>
                <c:pt idx="126">
                  <c:v>5.588231000963273E-2</c:v>
                </c:pt>
                <c:pt idx="127">
                  <c:v>5.5904281007545964E-2</c:v>
                </c:pt>
                <c:pt idx="128">
                  <c:v>5.5926251494161972E-2</c:v>
                </c:pt>
                <c:pt idx="129">
                  <c:v>5.5948221469492743E-2</c:v>
                </c:pt>
                <c:pt idx="130">
                  <c:v>5.5970190933550046E-2</c:v>
                </c:pt>
                <c:pt idx="131">
                  <c:v>5.599215988634576E-2</c:v>
                </c:pt>
                <c:pt idx="132">
                  <c:v>5.6014128327891877E-2</c:v>
                </c:pt>
                <c:pt idx="133">
                  <c:v>5.6036096258200385E-2</c:v>
                </c:pt>
                <c:pt idx="134">
                  <c:v>5.6058063677282943E-2</c:v>
                </c:pt>
                <c:pt idx="135">
                  <c:v>5.6080030585151541E-2</c:v>
                </c:pt>
                <c:pt idx="136">
                  <c:v>5.610199698181817E-2</c:v>
                </c:pt>
                <c:pt idx="137">
                  <c:v>5.6123962867294597E-2</c:v>
                </c:pt>
                <c:pt idx="138">
                  <c:v>5.6145928241592813E-2</c:v>
                </c:pt>
                <c:pt idx="139">
                  <c:v>5.6167893104724698E-2</c:v>
                </c:pt>
                <c:pt idx="140">
                  <c:v>5.618985745670213E-2</c:v>
                </c:pt>
                <c:pt idx="141">
                  <c:v>5.621182129753699E-2</c:v>
                </c:pt>
                <c:pt idx="142">
                  <c:v>5.6233784627241157E-2</c:v>
                </c:pt>
                <c:pt idx="143">
                  <c:v>5.625574744582662E-2</c:v>
                </c:pt>
                <c:pt idx="144">
                  <c:v>5.627770975330515E-2</c:v>
                </c:pt>
                <c:pt idx="145">
                  <c:v>5.6299671549688735E-2</c:v>
                </c:pt>
                <c:pt idx="146">
                  <c:v>5.6321632834989255E-2</c:v>
                </c:pt>
                <c:pt idx="147">
                  <c:v>5.6343593609218479E-2</c:v>
                </c:pt>
                <c:pt idx="148">
                  <c:v>5.6365553872388507E-2</c:v>
                </c:pt>
                <c:pt idx="149">
                  <c:v>5.638751362451111E-2</c:v>
                </c:pt>
                <c:pt idx="150">
                  <c:v>5.6409472865598165E-2</c:v>
                </c:pt>
                <c:pt idx="151">
                  <c:v>5.6431431595661663E-2</c:v>
                </c:pt>
                <c:pt idx="152">
                  <c:v>5.6453389814713373E-2</c:v>
                </c:pt>
                <c:pt idx="153">
                  <c:v>5.6475347522765285E-2</c:v>
                </c:pt>
                <c:pt idx="154">
                  <c:v>5.6497304719829278E-2</c:v>
                </c:pt>
                <c:pt idx="155">
                  <c:v>5.6519261405917121E-2</c:v>
                </c:pt>
                <c:pt idx="156">
                  <c:v>5.6541217581040804E-2</c:v>
                </c:pt>
                <c:pt idx="157">
                  <c:v>5.6563173245212317E-2</c:v>
                </c:pt>
                <c:pt idx="158">
                  <c:v>5.6585128398443429E-2</c:v>
                </c:pt>
                <c:pt idx="159">
                  <c:v>5.660708304074602E-2</c:v>
                </c:pt>
                <c:pt idx="160">
                  <c:v>5.6629037172131969E-2</c:v>
                </c:pt>
                <c:pt idx="161">
                  <c:v>5.6650990792613265E-2</c:v>
                </c:pt>
                <c:pt idx="162">
                  <c:v>5.6672943902201678E-2</c:v>
                </c:pt>
                <c:pt idx="163">
                  <c:v>5.6694896500909198E-2</c:v>
                </c:pt>
                <c:pt idx="164">
                  <c:v>5.6716848588747704E-2</c:v>
                </c:pt>
                <c:pt idx="165">
                  <c:v>5.6738800165729075E-2</c:v>
                </c:pt>
                <c:pt idx="166">
                  <c:v>5.6760751231865081E-2</c:v>
                </c:pt>
                <c:pt idx="167">
                  <c:v>5.6782701787167822E-2</c:v>
                </c:pt>
                <c:pt idx="168">
                  <c:v>5.6804651831649067E-2</c:v>
                </c:pt>
                <c:pt idx="169">
                  <c:v>5.6826601365320584E-2</c:v>
                </c:pt>
                <c:pt idx="170">
                  <c:v>5.6848550388194474E-2</c:v>
                </c:pt>
                <c:pt idx="171">
                  <c:v>5.6870498900282507E-2</c:v>
                </c:pt>
                <c:pt idx="172">
                  <c:v>5.6892446901596672E-2</c:v>
                </c:pt>
                <c:pt idx="173">
                  <c:v>5.6914394392148737E-2</c:v>
                </c:pt>
                <c:pt idx="174">
                  <c:v>5.6936341371950583E-2</c:v>
                </c:pt>
                <c:pt idx="175">
                  <c:v>5.6958287841014199E-2</c:v>
                </c:pt>
                <c:pt idx="176">
                  <c:v>5.6980233799351465E-2</c:v>
                </c:pt>
                <c:pt idx="177">
                  <c:v>5.700217924697415E-2</c:v>
                </c:pt>
                <c:pt idx="178">
                  <c:v>5.7024124183894243E-2</c:v>
                </c:pt>
                <c:pt idx="179">
                  <c:v>5.7046068610123513E-2</c:v>
                </c:pt>
                <c:pt idx="180">
                  <c:v>5.7068012525674061E-2</c:v>
                </c:pt>
                <c:pt idx="181">
                  <c:v>5.7089955930557545E-2</c:v>
                </c:pt>
                <c:pt idx="182">
                  <c:v>5.7111898824785956E-2</c:v>
                </c:pt>
                <c:pt idx="183">
                  <c:v>5.7133841208371172E-2</c:v>
                </c:pt>
                <c:pt idx="184">
                  <c:v>5.7155783081325073E-2</c:v>
                </c:pt>
                <c:pt idx="185">
                  <c:v>5.7177724443659539E-2</c:v>
                </c:pt>
                <c:pt idx="186">
                  <c:v>5.7199665295386337E-2</c:v>
                </c:pt>
                <c:pt idx="187">
                  <c:v>5.722160563651757E-2</c:v>
                </c:pt>
                <c:pt idx="188">
                  <c:v>5.7243545467065005E-2</c:v>
                </c:pt>
                <c:pt idx="189">
                  <c:v>5.7265484787040521E-2</c:v>
                </c:pt>
                <c:pt idx="190">
                  <c:v>5.7287423596456E-2</c:v>
                </c:pt>
                <c:pt idx="191">
                  <c:v>5.730936189532343E-2</c:v>
                </c:pt>
                <c:pt idx="192">
                  <c:v>5.7331299683654469E-2</c:v>
                </c:pt>
                <c:pt idx="193">
                  <c:v>5.7353236961461218E-2</c:v>
                </c:pt>
                <c:pt idx="194">
                  <c:v>5.7375173728755335E-2</c:v>
                </c:pt>
                <c:pt idx="195">
                  <c:v>5.7397109985548922E-2</c:v>
                </c:pt>
                <c:pt idx="196">
                  <c:v>5.7419045731853746E-2</c:v>
                </c:pt>
                <c:pt idx="197">
                  <c:v>5.7440980967681687E-2</c:v>
                </c:pt>
                <c:pt idx="198">
                  <c:v>5.7462915693044736E-2</c:v>
                </c:pt>
                <c:pt idx="199">
                  <c:v>5.7484849907954549E-2</c:v>
                </c:pt>
                <c:pt idx="200">
                  <c:v>5.7506783612423229E-2</c:v>
                </c:pt>
                <c:pt idx="201">
                  <c:v>5.7528716806462543E-2</c:v>
                </c:pt>
                <c:pt idx="202">
                  <c:v>5.7550649490084371E-2</c:v>
                </c:pt>
                <c:pt idx="203">
                  <c:v>5.7572581663300704E-2</c:v>
                </c:pt>
                <c:pt idx="204">
                  <c:v>5.7594513326123198E-2</c:v>
                </c:pt>
                <c:pt idx="205">
                  <c:v>5.7616444478563955E-2</c:v>
                </c:pt>
                <c:pt idx="206">
                  <c:v>5.7638375120634633E-2</c:v>
                </c:pt>
                <c:pt idx="207">
                  <c:v>5.7660305252347333E-2</c:v>
                </c:pt>
                <c:pt idx="208">
                  <c:v>5.7682234873713822E-2</c:v>
                </c:pt>
                <c:pt idx="209">
                  <c:v>5.7704163984745982E-2</c:v>
                </c:pt>
                <c:pt idx="210">
                  <c:v>5.7726092585455691E-2</c:v>
                </c:pt>
                <c:pt idx="211">
                  <c:v>5.7748020675854717E-2</c:v>
                </c:pt>
                <c:pt idx="212">
                  <c:v>5.7769948255955161E-2</c:v>
                </c:pt>
                <c:pt idx="213">
                  <c:v>5.7791875325768793E-2</c:v>
                </c:pt>
                <c:pt idx="214">
                  <c:v>5.7813801885307381E-2</c:v>
                </c:pt>
                <c:pt idx="215">
                  <c:v>5.7835727934583026E-2</c:v>
                </c:pt>
                <c:pt idx="216">
                  <c:v>5.7857653473607384E-2</c:v>
                </c:pt>
                <c:pt idx="217">
                  <c:v>5.7879578502392448E-2</c:v>
                </c:pt>
                <c:pt idx="218">
                  <c:v>5.7901503020949985E-2</c:v>
                </c:pt>
                <c:pt idx="219">
                  <c:v>5.7923427029292096E-2</c:v>
                </c:pt>
                <c:pt idx="220">
                  <c:v>5.7945350527430328E-2</c:v>
                </c:pt>
                <c:pt idx="221">
                  <c:v>5.7967273515376894E-2</c:v>
                </c:pt>
                <c:pt idx="222">
                  <c:v>5.798919599314345E-2</c:v>
                </c:pt>
                <c:pt idx="223">
                  <c:v>5.8011117960741876E-2</c:v>
                </c:pt>
                <c:pt idx="224">
                  <c:v>5.8033039418184051E-2</c:v>
                </c:pt>
                <c:pt idx="225">
                  <c:v>5.8054960365481967E-2</c:v>
                </c:pt>
                <c:pt idx="226">
                  <c:v>5.807688080264739E-2</c:v>
                </c:pt>
                <c:pt idx="227">
                  <c:v>5.8098800729692313E-2</c:v>
                </c:pt>
                <c:pt idx="228">
                  <c:v>5.8120720146628391E-2</c:v>
                </c:pt>
                <c:pt idx="229">
                  <c:v>5.8142639053467615E-2</c:v>
                </c:pt>
                <c:pt idx="230">
                  <c:v>5.8164557450221865E-2</c:v>
                </c:pt>
                <c:pt idx="231">
                  <c:v>5.8186475336903021E-2</c:v>
                </c:pt>
                <c:pt idx="232">
                  <c:v>5.8208392713522961E-2</c:v>
                </c:pt>
                <c:pt idx="233">
                  <c:v>5.8230309580093564E-2</c:v>
                </c:pt>
                <c:pt idx="234">
                  <c:v>5.82522259366266E-2</c:v>
                </c:pt>
                <c:pt idx="235">
                  <c:v>5.8274141783133948E-2</c:v>
                </c:pt>
                <c:pt idx="236">
                  <c:v>5.8296057119627598E-2</c:v>
                </c:pt>
                <c:pt idx="237">
                  <c:v>5.8317971946119318E-2</c:v>
                </c:pt>
                <c:pt idx="238">
                  <c:v>5.8339886262621099E-2</c:v>
                </c:pt>
                <c:pt idx="239">
                  <c:v>5.8361800069144598E-2</c:v>
                </c:pt>
                <c:pt idx="240">
                  <c:v>5.8383713365701917E-2</c:v>
                </c:pt>
                <c:pt idx="241">
                  <c:v>5.8405626152304713E-2</c:v>
                </c:pt>
                <c:pt idx="242">
                  <c:v>5.8427538428964976E-2</c:v>
                </c:pt>
                <c:pt idx="243">
                  <c:v>5.8449450195694586E-2</c:v>
                </c:pt>
                <c:pt idx="244">
                  <c:v>5.8471361452505421E-2</c:v>
                </c:pt>
                <c:pt idx="245">
                  <c:v>5.8493272199409141E-2</c:v>
                </c:pt>
                <c:pt idx="246">
                  <c:v>5.8515182436417956E-2</c:v>
                </c:pt>
                <c:pt idx="247">
                  <c:v>5.8537092163543414E-2</c:v>
                </c:pt>
                <c:pt idx="248">
                  <c:v>5.8559001380797504E-2</c:v>
                </c:pt>
                <c:pt idx="249">
                  <c:v>5.8580910088192217E-2</c:v>
                </c:pt>
                <c:pt idx="250">
                  <c:v>5.8602818285739211E-2</c:v>
                </c:pt>
                <c:pt idx="251">
                  <c:v>5.8624725973450476E-2</c:v>
                </c:pt>
                <c:pt idx="252">
                  <c:v>5.864663315133789E-2</c:v>
                </c:pt>
                <c:pt idx="253">
                  <c:v>5.8668539819413223E-2</c:v>
                </c:pt>
                <c:pt idx="254">
                  <c:v>5.8690445977688355E-2</c:v>
                </c:pt>
                <c:pt idx="255">
                  <c:v>5.8712351626175163E-2</c:v>
                </c:pt>
                <c:pt idx="256">
                  <c:v>5.873425676488564E-2</c:v>
                </c:pt>
                <c:pt idx="257">
                  <c:v>5.8756161393831441E-2</c:v>
                </c:pt>
                <c:pt idx="258">
                  <c:v>5.8778065513024558E-2</c:v>
                </c:pt>
                <c:pt idx="259">
                  <c:v>5.8799969122476758E-2</c:v>
                </c:pt>
                <c:pt idx="260">
                  <c:v>5.8821872222200033E-2</c:v>
                </c:pt>
                <c:pt idx="261">
                  <c:v>5.8843774812206262E-2</c:v>
                </c:pt>
                <c:pt idx="262">
                  <c:v>5.8865676892507102E-2</c:v>
                </c:pt>
                <c:pt idx="263">
                  <c:v>5.8887578463114543E-2</c:v>
                </c:pt>
                <c:pt idx="264">
                  <c:v>5.8909479524040465E-2</c:v>
                </c:pt>
                <c:pt idx="265">
                  <c:v>5.8931380075296746E-2</c:v>
                </c:pt>
                <c:pt idx="266">
                  <c:v>5.8953280116895157E-2</c:v>
                </c:pt>
                <c:pt idx="267">
                  <c:v>5.8975179648847575E-2</c:v>
                </c:pt>
                <c:pt idx="268">
                  <c:v>5.8997078671165992E-2</c:v>
                </c:pt>
                <c:pt idx="269">
                  <c:v>5.9018977183862065E-2</c:v>
                </c:pt>
                <c:pt idx="270">
                  <c:v>5.9040875186947783E-2</c:v>
                </c:pt>
                <c:pt idx="271">
                  <c:v>5.9062772680435027E-2</c:v>
                </c:pt>
                <c:pt idx="272">
                  <c:v>5.9084669664335565E-2</c:v>
                </c:pt>
                <c:pt idx="273">
                  <c:v>5.9106566138661276E-2</c:v>
                </c:pt>
                <c:pt idx="274">
                  <c:v>5.912846210342404E-2</c:v>
                </c:pt>
                <c:pt idx="275">
                  <c:v>5.9150357558635736E-2</c:v>
                </c:pt>
                <c:pt idx="276">
                  <c:v>5.9172252504308243E-2</c:v>
                </c:pt>
                <c:pt idx="277">
                  <c:v>5.9194146940453329E-2</c:v>
                </c:pt>
                <c:pt idx="278">
                  <c:v>5.9216040867082986E-2</c:v>
                </c:pt>
                <c:pt idx="279">
                  <c:v>5.9237934284208871E-2</c:v>
                </c:pt>
                <c:pt idx="280">
                  <c:v>5.9259827191842973E-2</c:v>
                </c:pt>
                <c:pt idx="281">
                  <c:v>5.9281719589997173E-2</c:v>
                </c:pt>
                <c:pt idx="282">
                  <c:v>5.9303611478683238E-2</c:v>
                </c:pt>
                <c:pt idx="283">
                  <c:v>5.9325502857913159E-2</c:v>
                </c:pt>
                <c:pt idx="284">
                  <c:v>5.9347393727698594E-2</c:v>
                </c:pt>
                <c:pt idx="285">
                  <c:v>5.9369284088051644E-2</c:v>
                </c:pt>
                <c:pt idx="286">
                  <c:v>5.9391173938983965E-2</c:v>
                </c:pt>
                <c:pt idx="287">
                  <c:v>5.9413063280507439E-2</c:v>
                </c:pt>
                <c:pt idx="288">
                  <c:v>5.9434952112633943E-2</c:v>
                </c:pt>
                <c:pt idx="289">
                  <c:v>5.9456840435375358E-2</c:v>
                </c:pt>
                <c:pt idx="290">
                  <c:v>5.9478728248743562E-2</c:v>
                </c:pt>
                <c:pt idx="291">
                  <c:v>5.9500615552750324E-2</c:v>
                </c:pt>
                <c:pt idx="292">
                  <c:v>5.9522502347407635E-2</c:v>
                </c:pt>
                <c:pt idx="293">
                  <c:v>5.9544388632727152E-2</c:v>
                </c:pt>
                <c:pt idx="294">
                  <c:v>5.9566274408720976E-2</c:v>
                </c:pt>
                <c:pt idx="295">
                  <c:v>5.9588159675400654E-2</c:v>
                </c:pt>
                <c:pt idx="296">
                  <c:v>5.9610044432778286E-2</c:v>
                </c:pt>
                <c:pt idx="297">
                  <c:v>5.9631928680865642E-2</c:v>
                </c:pt>
                <c:pt idx="298">
                  <c:v>5.9653812419674601E-2</c:v>
                </c:pt>
                <c:pt idx="299">
                  <c:v>5.9675695649216931E-2</c:v>
                </c:pt>
                <c:pt idx="300">
                  <c:v>5.9697578369504622E-2</c:v>
                </c:pt>
                <c:pt idx="301">
                  <c:v>5.9719460580549333E-2</c:v>
                </c:pt>
                <c:pt idx="302">
                  <c:v>5.9741342282363163E-2</c:v>
                </c:pt>
                <c:pt idx="303">
                  <c:v>5.9763223474957661E-2</c:v>
                </c:pt>
                <c:pt idx="304">
                  <c:v>5.9785104158344926E-2</c:v>
                </c:pt>
                <c:pt idx="305">
                  <c:v>5.9806984332536728E-2</c:v>
                </c:pt>
                <c:pt idx="306">
                  <c:v>5.9828863997544945E-2</c:v>
                </c:pt>
                <c:pt idx="307">
                  <c:v>5.9850743153381347E-2</c:v>
                </c:pt>
                <c:pt idx="308">
                  <c:v>5.9872621800057813E-2</c:v>
                </c:pt>
                <c:pt idx="309">
                  <c:v>5.9894499937586221E-2</c:v>
                </c:pt>
                <c:pt idx="310">
                  <c:v>5.9916377565978451E-2</c:v>
                </c:pt>
                <c:pt idx="311">
                  <c:v>5.9938254685246273E-2</c:v>
                </c:pt>
                <c:pt idx="312">
                  <c:v>5.9960131295401564E-2</c:v>
                </c:pt>
                <c:pt idx="313">
                  <c:v>5.9982007396456205E-2</c:v>
                </c:pt>
                <c:pt idx="314">
                  <c:v>6.0003882988421964E-2</c:v>
                </c:pt>
                <c:pt idx="315">
                  <c:v>6.0025758071310831E-2</c:v>
                </c:pt>
                <c:pt idx="316">
                  <c:v>6.0047632645134463E-2</c:v>
                </c:pt>
                <c:pt idx="317">
                  <c:v>6.0069506709904852E-2</c:v>
                </c:pt>
                <c:pt idx="318">
                  <c:v>6.0091380265633765E-2</c:v>
                </c:pt>
                <c:pt idx="319">
                  <c:v>6.0113253312333081E-2</c:v>
                </c:pt>
                <c:pt idx="320">
                  <c:v>6.0135125850014681E-2</c:v>
                </c:pt>
                <c:pt idx="321">
                  <c:v>6.0156997878690333E-2</c:v>
                </c:pt>
                <c:pt idx="322">
                  <c:v>6.0178869398372026E-2</c:v>
                </c:pt>
                <c:pt idx="323">
                  <c:v>6.0200740409071418E-2</c:v>
                </c:pt>
                <c:pt idx="324">
                  <c:v>6.0222610910800389E-2</c:v>
                </c:pt>
                <c:pt idx="325">
                  <c:v>6.0244480903570929E-2</c:v>
                </c:pt>
                <c:pt idx="326">
                  <c:v>6.0266350387394807E-2</c:v>
                </c:pt>
                <c:pt idx="327">
                  <c:v>6.028821936228379E-2</c:v>
                </c:pt>
                <c:pt idx="328">
                  <c:v>6.0310087828249759E-2</c:v>
                </c:pt>
                <c:pt idx="329">
                  <c:v>6.0331955785304592E-2</c:v>
                </c:pt>
                <c:pt idx="330">
                  <c:v>6.0353823233460169E-2</c:v>
                </c:pt>
                <c:pt idx="331">
                  <c:v>6.0375690172728147E-2</c:v>
                </c:pt>
                <c:pt idx="332">
                  <c:v>6.0397556603120628E-2</c:v>
                </c:pt>
                <c:pt idx="333">
                  <c:v>6.0419422524649269E-2</c:v>
                </c:pt>
                <c:pt idx="334">
                  <c:v>6.044128793732606E-2</c:v>
                </c:pt>
                <c:pt idx="335">
                  <c:v>6.046315284116266E-2</c:v>
                </c:pt>
                <c:pt idx="336">
                  <c:v>6.0485017236171057E-2</c:v>
                </c:pt>
                <c:pt idx="337">
                  <c:v>6.0506881122363021E-2</c:v>
                </c:pt>
                <c:pt idx="338">
                  <c:v>6.0528744499750431E-2</c:v>
                </c:pt>
                <c:pt idx="339">
                  <c:v>6.0550607368345055E-2</c:v>
                </c:pt>
                <c:pt idx="340">
                  <c:v>6.0572469728158884E-2</c:v>
                </c:pt>
                <c:pt idx="341">
                  <c:v>6.0594331579203575E-2</c:v>
                </c:pt>
                <c:pt idx="342">
                  <c:v>6.0616192921491119E-2</c:v>
                </c:pt>
                <c:pt idx="343">
                  <c:v>6.0638053755033172E-2</c:v>
                </c:pt>
                <c:pt idx="344">
                  <c:v>6.0659914079841837E-2</c:v>
                </c:pt>
                <c:pt idx="345">
                  <c:v>6.068177389592877E-2</c:v>
                </c:pt>
                <c:pt idx="346">
                  <c:v>6.070363320330574E-2</c:v>
                </c:pt>
                <c:pt idx="347">
                  <c:v>6.0725492001984849E-2</c:v>
                </c:pt>
                <c:pt idx="348">
                  <c:v>6.0747350291977642E-2</c:v>
                </c:pt>
                <c:pt idx="349">
                  <c:v>6.0769208073296221E-2</c:v>
                </c:pt>
                <c:pt idx="350">
                  <c:v>6.0791065345952133E-2</c:v>
                </c:pt>
                <c:pt idx="351">
                  <c:v>6.081292210995759E-2</c:v>
                </c:pt>
                <c:pt idx="352">
                  <c:v>6.0834778365324027E-2</c:v>
                </c:pt>
                <c:pt idx="353">
                  <c:v>6.0856634112063546E-2</c:v>
                </c:pt>
                <c:pt idx="354">
                  <c:v>6.0878489350187914E-2</c:v>
                </c:pt>
                <c:pt idx="355">
                  <c:v>6.0900344079709012E-2</c:v>
                </c:pt>
                <c:pt idx="356">
                  <c:v>6.0922198300638497E-2</c:v>
                </c:pt>
                <c:pt idx="357">
                  <c:v>6.094405201298847E-2</c:v>
                </c:pt>
                <c:pt idx="358">
                  <c:v>6.0965905216770588E-2</c:v>
                </c:pt>
                <c:pt idx="359">
                  <c:v>6.0987757911996732E-2</c:v>
                </c:pt>
                <c:pt idx="360">
                  <c:v>6.1009610098678668E-2</c:v>
                </c:pt>
                <c:pt idx="361">
                  <c:v>6.1031461776828388E-2</c:v>
                </c:pt>
                <c:pt idx="362">
                  <c:v>6.105331294645755E-2</c:v>
                </c:pt>
                <c:pt idx="363">
                  <c:v>6.1075163607578142E-2</c:v>
                </c:pt>
                <c:pt idx="364">
                  <c:v>6.1097013760201824E-2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9.721557301045182E-2</c:v>
                </c:pt>
                <c:pt idx="1">
                  <c:v>9.7302468208232545E-2</c:v>
                </c:pt>
                <c:pt idx="2">
                  <c:v>9.7389475841409112E-2</c:v>
                </c:pt>
                <c:pt idx="3">
                  <c:v>9.7476573830654056E-2</c:v>
                </c:pt>
                <c:pt idx="4">
                  <c:v>9.7563742955788707E-2</c:v>
                </c:pt>
                <c:pt idx="5">
                  <c:v>9.7650966774114362E-2</c:v>
                </c:pt>
                <c:pt idx="6">
                  <c:v>9.7738231516666843E-2</c:v>
                </c:pt>
                <c:pt idx="7">
                  <c:v>9.7825525964127621E-2</c:v>
                </c:pt>
                <c:pt idx="8">
                  <c:v>9.7912841304277368E-2</c:v>
                </c:pt>
                <c:pt idx="9">
                  <c:v>9.8000170973010364E-2</c:v>
                </c:pt>
                <c:pt idx="10">
                  <c:v>9.8087510481040169E-2</c:v>
                </c:pt>
                <c:pt idx="11">
                  <c:v>9.8174857228513934E-2</c:v>
                </c:pt>
                <c:pt idx="12">
                  <c:v>9.8262210309821268E-2</c:v>
                </c:pt>
                <c:pt idx="13">
                  <c:v>9.8349570310923326E-2</c:v>
                </c:pt>
                <c:pt idx="14">
                  <c:v>9.8436939101550158E-2</c:v>
                </c:pt>
                <c:pt idx="15">
                  <c:v>9.8524319624608267E-2</c:v>
                </c:pt>
                <c:pt idx="16">
                  <c:v>9.8611715685115522E-2</c:v>
                </c:pt>
                <c:pt idx="17">
                  <c:v>9.8699131740931076E-2</c:v>
                </c:pt>
                <c:pt idx="18">
                  <c:v>9.8786572697478189E-2</c:v>
                </c:pt>
                <c:pt idx="19">
                  <c:v>9.8874043708567824E-2</c:v>
                </c:pt>
                <c:pt idx="20">
                  <c:v>9.8961549985320862E-2</c:v>
                </c:pt>
                <c:pt idx="21">
                  <c:v>9.904909661506002E-2</c:v>
                </c:pt>
                <c:pt idx="22">
                  <c:v>9.9136688391898709E-2</c:v>
                </c:pt>
                <c:pt idx="23">
                  <c:v>9.9224329660596716E-2</c:v>
                </c:pt>
                <c:pt idx="24">
                  <c:v>9.9312024175081309E-2</c:v>
                </c:pt>
                <c:pt idx="25">
                  <c:v>9.9399774972850755E-2</c:v>
                </c:pt>
                <c:pt idx="26">
                  <c:v>9.9487584266288592E-2</c:v>
                </c:pt>
                <c:pt idx="27">
                  <c:v>9.9575453351717302E-2</c:v>
                </c:pt>
                <c:pt idx="28">
                  <c:v>9.9663382536821221E-2</c:v>
                </c:pt>
                <c:pt idx="29">
                  <c:v>9.9751371086862994E-2</c:v>
                </c:pt>
                <c:pt idx="30">
                  <c:v>9.9839417189913723E-2</c:v>
                </c:pt>
                <c:pt idx="31">
                  <c:v>9.9927517941114472E-2</c:v>
                </c:pt>
                <c:pt idx="32">
                  <c:v>0.10001566934578822</c:v>
                </c:pt>
                <c:pt idx="33">
                  <c:v>0.10010386634102776</c:v>
                </c:pt>
                <c:pt idx="34">
                  <c:v>0.1001921028351999</c:v>
                </c:pt>
                <c:pt idx="35">
                  <c:v>0.1002803717646305</c:v>
                </c:pt>
                <c:pt idx="36">
                  <c:v>0.10036866516656973</c:v>
                </c:pt>
                <c:pt idx="37">
                  <c:v>0.10045697426738488</c:v>
                </c:pt>
                <c:pt idx="38">
                  <c:v>0.10054528958478991</c:v>
                </c:pt>
                <c:pt idx="39">
                  <c:v>0.10063360104279687</c:v>
                </c:pt>
                <c:pt idx="40">
                  <c:v>0.10072189809796921</c:v>
                </c:pt>
                <c:pt idx="41">
                  <c:v>0.1008101698754649</c:v>
                </c:pt>
                <c:pt idx="42">
                  <c:v>0.10089840531328659</c:v>
                </c:pt>
                <c:pt idx="43">
                  <c:v>0.10098659331310082</c:v>
                </c:pt>
                <c:pt idx="44">
                  <c:v>0.10107472289595254</c:v>
                </c:pt>
                <c:pt idx="45">
                  <c:v>0.10116278336118389</c:v>
                </c:pt>
                <c:pt idx="46">
                  <c:v>0.10125076444686555</c:v>
                </c:pt>
                <c:pt idx="47">
                  <c:v>0.10133865649006818</c:v>
                </c:pt>
                <c:pt idx="48">
                  <c:v>0.10142645058533652</c:v>
                </c:pt>
                <c:pt idx="49">
                  <c:v>0.1015141387397803</c:v>
                </c:pt>
                <c:pt idx="50">
                  <c:v>0.10160171402326344</c:v>
                </c:pt>
                <c:pt idx="51">
                  <c:v>0.10168917071225583</c:v>
                </c:pt>
                <c:pt idx="52">
                  <c:v>0.10177650442600575</c:v>
                </c:pt>
                <c:pt idx="53">
                  <c:v>0.1018637122537996</c:v>
                </c:pt>
                <c:pt idx="54">
                  <c:v>0.10195079287219229</c:v>
                </c:pt>
                <c:pt idx="55">
                  <c:v>0.10203774665121886</c:v>
                </c:pt>
                <c:pt idx="56">
                  <c:v>0.10212457574873152</c:v>
                </c:pt>
                <c:pt idx="57">
                  <c:v>0.10221128419214703</c:v>
                </c:pt>
                <c:pt idx="58">
                  <c:v>0.10229787794703138</c:v>
                </c:pt>
                <c:pt idx="59">
                  <c:v>0.10238436497209702</c:v>
                </c:pt>
                <c:pt idx="60">
                  <c:v>0.10247075526033228</c:v>
                </c:pt>
                <c:pt idx="61">
                  <c:v>0.10255706086612972</c:v>
                </c:pt>
                <c:pt idx="62">
                  <c:v>0.10264329591842215</c:v>
                </c:pt>
                <c:pt idx="63">
                  <c:v>0.10272947661997321</c:v>
                </c:pt>
                <c:pt idx="64">
                  <c:v>0.1028156212331022</c:v>
                </c:pt>
                <c:pt idx="65">
                  <c:v>0.10290175005224766</c:v>
                </c:pt>
                <c:pt idx="66">
                  <c:v>0.10298788536389079</c:v>
                </c:pt>
                <c:pt idx="67">
                  <c:v>0.10307405139446624</c:v>
                </c:pt>
                <c:pt idx="68">
                  <c:v>0.1031602742469839</c:v>
                </c:pt>
                <c:pt idx="69">
                  <c:v>0.10324658182716884</c:v>
                </c:pt>
                <c:pt idx="70">
                  <c:v>0.10333300375999854</c:v>
                </c:pt>
                <c:pt idx="71">
                  <c:v>0.1034195712975749</c:v>
                </c:pt>
                <c:pt idx="72">
                  <c:v>0.10350631721931269</c:v>
                </c:pt>
                <c:pt idx="73">
                  <c:v>0.10359327572545879</c:v>
                </c:pt>
                <c:pt idx="74">
                  <c:v>0.10368048232497265</c:v>
                </c:pt>
                <c:pt idx="75">
                  <c:v>0.10376797371880241</c:v>
                </c:pt>
                <c:pt idx="76">
                  <c:v>0.10385578767958233</c:v>
                </c:pt>
                <c:pt idx="77">
                  <c:v>0.10394396292875331</c:v>
                </c:pt>
                <c:pt idx="78">
                  <c:v>0.10403253901207417</c:v>
                </c:pt>
                <c:pt idx="79">
                  <c:v>0.1041215561744447</c:v>
                </c:pt>
                <c:pt idx="80">
                  <c:v>0.10421105523490361</c:v>
                </c:pt>
                <c:pt idx="81">
                  <c:v>0.10430107746259867</c:v>
                </c:pt>
                <c:pt idx="82">
                  <c:v>0.1043916644544496</c:v>
                </c:pt>
                <c:pt idx="83">
                  <c:v>0.10448285801514245</c:v>
                </c:pt>
                <c:pt idx="84">
                  <c:v>0.10457470004000484</c:v>
                </c:pt>
                <c:pt idx="85">
                  <c:v>0.10466723240121788</c:v>
                </c:pt>
                <c:pt idx="86">
                  <c:v>0.10476049683772491</c:v>
                </c:pt>
                <c:pt idx="87">
                  <c:v>0.10485453484909689</c:v>
                </c:pt>
                <c:pt idx="88">
                  <c:v>0.10494938759351818</c:v>
                </c:pt>
                <c:pt idx="89">
                  <c:v>0.10504509578995648</c:v>
                </c:pt>
                <c:pt idx="90">
                  <c:v>0.10514169962448776</c:v>
                </c:pt>
                <c:pt idx="91">
                  <c:v>0.10523923866065532</c:v>
                </c:pt>
                <c:pt idx="92">
                  <c:v>0.10533775175365684</c:v>
                </c:pt>
                <c:pt idx="93">
                  <c:v>0.10543727696807487</c:v>
                </c:pt>
                <c:pt idx="94">
                  <c:v>0.10553785149879502</c:v>
                </c:pt>
                <c:pt idx="95">
                  <c:v>0.10563951159469379</c:v>
                </c:pt>
                <c:pt idx="96">
                  <c:v>0.10574229248462656</c:v>
                </c:pt>
                <c:pt idx="97">
                  <c:v>0.1058462283052034</c:v>
                </c:pt>
                <c:pt idx="98">
                  <c:v>0.10595135202981124</c:v>
                </c:pt>
                <c:pt idx="99">
                  <c:v>0.10605769539832126</c:v>
                </c:pt>
                <c:pt idx="100">
                  <c:v>0.10616528884691463</c:v>
                </c:pt>
                <c:pt idx="101">
                  <c:v>0.10627416143746538</c:v>
                </c:pt>
                <c:pt idx="102">
                  <c:v>0.10638434078593713</c:v>
                </c:pt>
                <c:pt idx="103">
                  <c:v>0.10649585298928126</c:v>
                </c:pt>
                <c:pt idx="104">
                  <c:v>0.10660872255036589</c:v>
                </c:pt>
                <c:pt idx="105">
                  <c:v>0.10672297230051934</c:v>
                </c:pt>
                <c:pt idx="106">
                  <c:v>0.10683862331933533</c:v>
                </c:pt>
                <c:pt idx="107">
                  <c:v>0.10695569485146236</c:v>
                </c:pt>
                <c:pt idx="108">
                  <c:v>0.10707420422018325</c:v>
                </c:pt>
                <c:pt idx="109">
                  <c:v>0.10719416673768091</c:v>
                </c:pt>
                <c:pt idx="110">
                  <c:v>0.10731559561198671</c:v>
                </c:pt>
                <c:pt idx="111">
                  <c:v>0.10743850185070994</c:v>
                </c:pt>
                <c:pt idx="112">
                  <c:v>0.10756289416175521</c:v>
                </c:pt>
                <c:pt idx="113">
                  <c:v>0.1076887788513457</c:v>
                </c:pt>
                <c:pt idx="114">
                  <c:v>0.10781615971978085</c:v>
                </c:pt>
                <c:pt idx="115">
                  <c:v>0.10794503795546917</c:v>
                </c:pt>
                <c:pt idx="116">
                  <c:v>0.10807541202788622</c:v>
                </c:pt>
                <c:pt idx="117">
                  <c:v>0.1082072775802127</c:v>
                </c:pt>
                <c:pt idx="118">
                  <c:v>0.1083406273225091</c:v>
                </c:pt>
                <c:pt idx="119">
                  <c:v>1.8199148020337074E-2</c:v>
                </c:pt>
                <c:pt idx="120">
                  <c:v>1.8387988768971755E-2</c:v>
                </c:pt>
                <c:pt idx="121">
                  <c:v>1.8577064693754534E-2</c:v>
                </c:pt>
                <c:pt idx="122">
                  <c:v>1.8766378869406391E-2</c:v>
                </c:pt>
                <c:pt idx="123">
                  <c:v>1.8955933620367422E-2</c:v>
                </c:pt>
                <c:pt idx="124">
                  <c:v>1.9145730481686014E-2</c:v>
                </c:pt>
                <c:pt idx="125">
                  <c:v>1.9335770160891049E-2</c:v>
                </c:pt>
                <c:pt idx="126">
                  <c:v>1.9526052501176585E-2</c:v>
                </c:pt>
                <c:pt idx="127">
                  <c:v>1.9716576446242882E-2</c:v>
                </c:pt>
                <c:pt idx="128">
                  <c:v>1.9907340007148312E-2</c:v>
                </c:pt>
                <c:pt idx="129">
                  <c:v>2.0098340231534614E-2</c:v>
                </c:pt>
                <c:pt idx="130">
                  <c:v>2.028957317559172E-2</c:v>
                </c:pt>
                <c:pt idx="131">
                  <c:v>2.0481033879129102E-2</c:v>
                </c:pt>
                <c:pt idx="132">
                  <c:v>2.0672716344115792E-2</c:v>
                </c:pt>
                <c:pt idx="133">
                  <c:v>2.0864613517044599E-2</c:v>
                </c:pt>
                <c:pt idx="134">
                  <c:v>2.1056717275462364E-2</c:v>
                </c:pt>
                <c:pt idx="135">
                  <c:v>2.1249018418993154E-2</c:v>
                </c:pt>
                <c:pt idx="136">
                  <c:v>2.1441506665159329E-2</c:v>
                </c:pt>
                <c:pt idx="137">
                  <c:v>2.163417065028134E-2</c:v>
                </c:pt>
                <c:pt idx="138">
                  <c:v>2.1826997935708116E-2</c:v>
                </c:pt>
                <c:pt idx="139">
                  <c:v>2.2019975019596551E-2</c:v>
                </c:pt>
                <c:pt idx="140">
                  <c:v>2.2213087354422997E-2</c:v>
                </c:pt>
                <c:pt idx="141">
                  <c:v>2.2406319370368914E-2</c:v>
                </c:pt>
                <c:pt idx="142">
                  <c:v>2.2599654504680669E-2</c:v>
                </c:pt>
                <c:pt idx="143">
                  <c:v>2.2793075237057019E-2</c:v>
                </c:pt>
                <c:pt idx="144">
                  <c:v>2.2986563131070663E-2</c:v>
                </c:pt>
                <c:pt idx="145">
                  <c:v>2.3180098881579476E-2</c:v>
                </c:pt>
                <c:pt idx="146">
                  <c:v>2.3373662368032316E-2</c:v>
                </c:pt>
                <c:pt idx="147">
                  <c:v>2.3567232713522134E-2</c:v>
                </c:pt>
                <c:pt idx="148">
                  <c:v>2.3760788349385796E-2</c:v>
                </c:pt>
                <c:pt idx="149">
                  <c:v>2.3954307085098454E-2</c:v>
                </c:pt>
                <c:pt idx="150">
                  <c:v>2.4147766183157841E-2</c:v>
                </c:pt>
                <c:pt idx="151">
                  <c:v>2.4341142438603625E-2</c:v>
                </c:pt>
                <c:pt idx="152">
                  <c:v>2.4534412262768257E-2</c:v>
                </c:pt>
                <c:pt idx="153">
                  <c:v>2.4727551770809122E-2</c:v>
                </c:pt>
                <c:pt idx="154">
                  <c:v>2.4920536872528647E-2</c:v>
                </c:pt>
                <c:pt idx="155">
                  <c:v>2.5113343365948549E-2</c:v>
                </c:pt>
                <c:pt idx="156">
                  <c:v>2.5305947033068737E-2</c:v>
                </c:pt>
                <c:pt idx="157">
                  <c:v>2.5498323737208891E-2</c:v>
                </c:pt>
                <c:pt idx="158">
                  <c:v>2.5690449521304271E-2</c:v>
                </c:pt>
                <c:pt idx="159">
                  <c:v>2.5882300706504806E-2</c:v>
                </c:pt>
                <c:pt idx="160">
                  <c:v>2.6073853990410886E-2</c:v>
                </c:pt>
                <c:pt idx="161">
                  <c:v>2.6265086544267447E-2</c:v>
                </c:pt>
                <c:pt idx="162">
                  <c:v>2.6455976108434337E-2</c:v>
                </c:pt>
                <c:pt idx="163">
                  <c:v>2.66465010854516E-2</c:v>
                </c:pt>
                <c:pt idx="164">
                  <c:v>2.6836640630026481E-2</c:v>
                </c:pt>
                <c:pt idx="165">
                  <c:v>2.7026374735282254E-2</c:v>
                </c:pt>
                <c:pt idx="166">
                  <c:v>2.721568431463002E-2</c:v>
                </c:pt>
                <c:pt idx="167">
                  <c:v>2.7404551278649988E-2</c:v>
                </c:pt>
                <c:pt idx="168">
                  <c:v>2.7592958606401544E-2</c:v>
                </c:pt>
                <c:pt idx="169">
                  <c:v>2.7780890410619676E-2</c:v>
                </c:pt>
                <c:pt idx="170">
                  <c:v>2.7968331996297797E-2</c:v>
                </c:pt>
                <c:pt idx="171">
                  <c:v>2.8155269912206914E-2</c:v>
                </c:pt>
                <c:pt idx="172">
                  <c:v>2.8341691994953195E-2</c:v>
                </c:pt>
                <c:pt idx="173">
                  <c:v>2.8527587405233926E-2</c:v>
                </c:pt>
                <c:pt idx="174">
                  <c:v>2.8712946656013354E-2</c:v>
                </c:pt>
                <c:pt idx="175">
                  <c:v>2.8897761632403214E-2</c:v>
                </c:pt>
                <c:pt idx="176">
                  <c:v>2.9082025603100674E-2</c:v>
                </c:pt>
                <c:pt idx="177">
                  <c:v>2.9265733223304165E-2</c:v>
                </c:pt>
                <c:pt idx="178">
                  <c:v>2.9448880529098217E-2</c:v>
                </c:pt>
                <c:pt idx="179">
                  <c:v>2.9631464923368236E-2</c:v>
                </c:pt>
                <c:pt idx="180">
                  <c:v>2.9813485153376902E-2</c:v>
                </c:pt>
                <c:pt idx="181">
                  <c:v>2.9994941280202907E-2</c:v>
                </c:pt>
                <c:pt idx="182">
                  <c:v>3.0175834640311094E-2</c:v>
                </c:pt>
                <c:pt idx="183">
                  <c:v>3.0356167799587708E-2</c:v>
                </c:pt>
                <c:pt idx="184">
                  <c:v>3.0535944500238405E-2</c:v>
                </c:pt>
                <c:pt idx="185">
                  <c:v>3.0715169601004157E-2</c:v>
                </c:pt>
                <c:pt idx="186">
                  <c:v>3.0893849011206547E-2</c:v>
                </c:pt>
                <c:pt idx="187">
                  <c:v>3.1071989619182783E-2</c:v>
                </c:pt>
                <c:pt idx="188">
                  <c:v>3.1249599215716073E-2</c:v>
                </c:pt>
                <c:pt idx="189">
                  <c:v>3.1426686413105934E-2</c:v>
                </c:pt>
                <c:pt idx="190">
                  <c:v>3.1603260560555298E-2</c:v>
                </c:pt>
                <c:pt idx="191">
                  <c:v>3.1779331656577939E-2</c:v>
                </c:pt>
                <c:pt idx="192">
                  <c:v>3.1954910259148608E-2</c:v>
                </c:pt>
                <c:pt idx="193">
                  <c:v>3.2130007394330369E-2</c:v>
                </c:pt>
                <c:pt idx="194">
                  <c:v>3.2304634464119096E-2</c:v>
                </c:pt>
                <c:pt idx="195">
                  <c:v>3.2478803154241856E-2</c:v>
                </c:pt>
                <c:pt idx="196">
                  <c:v>3.2652525342637101E-2</c:v>
                </c:pt>
                <c:pt idx="197">
                  <c:v>3.2825813009327215E-2</c:v>
                </c:pt>
                <c:pt idx="198">
                  <c:v>3.2998678148369875E-2</c:v>
                </c:pt>
                <c:pt idx="199">
                  <c:v>3.3171132682544895E-2</c:v>
                </c:pt>
                <c:pt idx="200">
                  <c:v>3.3343188381394752E-2</c:v>
                </c:pt>
                <c:pt idx="201">
                  <c:v>3.3514856783194921E-2</c:v>
                </c:pt>
                <c:pt idx="202">
                  <c:v>3.3686149121380828E-2</c:v>
                </c:pt>
                <c:pt idx="203">
                  <c:v>3.3857076255903742E-2</c:v>
                </c:pt>
                <c:pt idx="204">
                  <c:v>3.4027648609930822E-2</c:v>
                </c:pt>
                <c:pt idx="205">
                  <c:v>3.419787611224074E-2</c:v>
                </c:pt>
                <c:pt idx="206">
                  <c:v>3.4367768145601836E-2</c:v>
                </c:pt>
                <c:pt idx="207">
                  <c:v>3.4537333501351276E-2</c:v>
                </c:pt>
                <c:pt idx="208">
                  <c:v>3.4706580340324283E-2</c:v>
                </c:pt>
                <c:pt idx="209">
                  <c:v>3.4875516160211721E-2</c:v>
                </c:pt>
                <c:pt idx="210">
                  <c:v>3.5044147769353405E-2</c:v>
                </c:pt>
                <c:pt idx="211">
                  <c:v>3.5212481266905044E-2</c:v>
                </c:pt>
                <c:pt idx="212">
                  <c:v>3.5380522029247297E-2</c:v>
                </c:pt>
                <c:pt idx="213">
                  <c:v>3.5548274702439063E-2</c:v>
                </c:pt>
                <c:pt idx="214">
                  <c:v>3.5715743200454467E-2</c:v>
                </c:pt>
                <c:pt idx="215">
                  <c:v>3.5882930708882148E-2</c:v>
                </c:pt>
                <c:pt idx="216">
                  <c:v>3.6049839693710645E-2</c:v>
                </c:pt>
                <c:pt idx="217">
                  <c:v>3.6216471914773757E-2</c:v>
                </c:pt>
                <c:pt idx="218">
                  <c:v>3.6382828443383808E-2</c:v>
                </c:pt>
                <c:pt idx="219">
                  <c:v>3.6548909683644076E-2</c:v>
                </c:pt>
                <c:pt idx="220">
                  <c:v>3.671471539689794E-2</c:v>
                </c:pt>
                <c:pt idx="221">
                  <c:v>3.6880244728748825E-2</c:v>
                </c:pt>
                <c:pt idx="222">
                  <c:v>3.7045496238066723E-2</c:v>
                </c:pt>
                <c:pt idx="223">
                  <c:v>3.7210467927387671E-2</c:v>
                </c:pt>
                <c:pt idx="224">
                  <c:v>3.7375157274109866E-2</c:v>
                </c:pt>
                <c:pt idx="225">
                  <c:v>3.753956126189608E-2</c:v>
                </c:pt>
                <c:pt idx="226">
                  <c:v>3.7703676411704856E-2</c:v>
                </c:pt>
                <c:pt idx="227">
                  <c:v>3.7867498811894544E-2</c:v>
                </c:pt>
                <c:pt idx="228">
                  <c:v>3.803102414687172E-2</c:v>
                </c:pt>
                <c:pt idx="229">
                  <c:v>3.8194247723791618E-2</c:v>
                </c:pt>
                <c:pt idx="230">
                  <c:v>3.8357164496859886E-2</c:v>
                </c:pt>
                <c:pt idx="231">
                  <c:v>3.8519769088833491E-2</c:v>
                </c:pt>
                <c:pt idx="232">
                  <c:v>3.8682055809372756E-2</c:v>
                </c:pt>
                <c:pt idx="233">
                  <c:v>3.8844018669955342E-2</c:v>
                </c:pt>
                <c:pt idx="234">
                  <c:v>3.9005651395127017E-2</c:v>
                </c:pt>
                <c:pt idx="235">
                  <c:v>3.9166947429930481E-2</c:v>
                </c:pt>
                <c:pt idx="236">
                  <c:v>3.9327899943424741E-2</c:v>
                </c:pt>
                <c:pt idx="237">
                  <c:v>3.9488501828278136E-2</c:v>
                </c:pt>
                <c:pt idx="238">
                  <c:v>3.9648745696492974E-2</c:v>
                </c:pt>
                <c:pt idx="239">
                  <c:v>3.9808623871391897E-2</c:v>
                </c:pt>
                <c:pt idx="240">
                  <c:v>3.9968128376069993E-2</c:v>
                </c:pt>
                <c:pt idx="241">
                  <c:v>4.0127250918587321E-2</c:v>
                </c:pt>
                <c:pt idx="242">
                  <c:v>4.0285982874246118E-2</c:v>
                </c:pt>
                <c:pt idx="243">
                  <c:v>4.0444315265361845E-2</c:v>
                </c:pt>
                <c:pt idx="244">
                  <c:v>4.0602238738999256E-2</c:v>
                </c:pt>
                <c:pt idx="245">
                  <c:v>4.0759743543200659E-2</c:v>
                </c:pt>
                <c:pt idx="246">
                  <c:v>4.0916819502284152E-2</c:v>
                </c:pt>
                <c:pt idx="247">
                  <c:v>4.1073455991834026E-2</c:v>
                </c:pt>
                <c:pt idx="248">
                  <c:v>4.1229641914042103E-2</c:v>
                </c:pt>
                <c:pt idx="249">
                  <c:v>4.1385365674087904E-2</c:v>
                </c:pt>
                <c:pt idx="250">
                  <c:v>4.1540615158266826E-2</c:v>
                </c:pt>
                <c:pt idx="251">
                  <c:v>4.1695377714587305E-2</c:v>
                </c:pt>
                <c:pt idx="252">
                  <c:v>4.1849640136561318E-2</c:v>
                </c:pt>
                <c:pt idx="253">
                  <c:v>4.2003388650906671E-2</c:v>
                </c:pt>
                <c:pt idx="254">
                  <c:v>4.215660890986403E-2</c:v>
                </c:pt>
                <c:pt idx="255">
                  <c:v>4.2309285988806802E-2</c:v>
                </c:pt>
                <c:pt idx="256">
                  <c:v>4.24614043897883E-2</c:v>
                </c:pt>
                <c:pt idx="257">
                  <c:v>4.2612948051627075E-2</c:v>
                </c:pt>
                <c:pt idx="258">
                  <c:v>4.2763900367079617E-2</c:v>
                </c:pt>
                <c:pt idx="259">
                  <c:v>4.2914244207589082E-2</c:v>
                </c:pt>
                <c:pt idx="260">
                  <c:v>4.306396195603051E-2</c:v>
                </c:pt>
                <c:pt idx="261">
                  <c:v>4.3213035547797506E-2</c:v>
                </c:pt>
                <c:pt idx="262">
                  <c:v>4.3361446520492911E-2</c:v>
                </c:pt>
                <c:pt idx="263">
                  <c:v>4.3509176072397945E-2</c:v>
                </c:pt>
                <c:pt idx="264">
                  <c:v>4.3656205129801402E-2</c:v>
                </c:pt>
                <c:pt idx="265">
                  <c:v>4.3802514423172852E-2</c:v>
                </c:pt>
                <c:pt idx="266">
                  <c:v>4.3948084572064186E-2</c:v>
                </c:pt>
                <c:pt idx="267">
                  <c:v>4.4092896178520607E-2</c:v>
                </c:pt>
                <c:pt idx="268">
                  <c:v>4.4236929928679232E-2</c:v>
                </c:pt>
                <c:pt idx="269">
                  <c:v>4.4380166702130547E-2</c:v>
                </c:pt>
                <c:pt idx="270">
                  <c:v>4.4522587688514602E-2</c:v>
                </c:pt>
                <c:pt idx="271">
                  <c:v>4.4664174510725664E-2</c:v>
                </c:pt>
                <c:pt idx="272">
                  <c:v>4.4804909354001235E-2</c:v>
                </c:pt>
                <c:pt idx="273">
                  <c:v>4.494477510008061E-2</c:v>
                </c:pt>
                <c:pt idx="274">
                  <c:v>4.5083755465531547E-2</c:v>
                </c:pt>
                <c:pt idx="275">
                  <c:v>4.5221835143264028E-2</c:v>
                </c:pt>
                <c:pt idx="276">
                  <c:v>4.5358999946178542E-2</c:v>
                </c:pt>
                <c:pt idx="277">
                  <c:v>4.549523695183285E-2</c:v>
                </c:pt>
                <c:pt idx="278">
                  <c:v>4.5630534646957252E-2</c:v>
                </c:pt>
                <c:pt idx="279">
                  <c:v>4.5764883070604487E-2</c:v>
                </c:pt>
                <c:pt idx="280">
                  <c:v>4.5898273954687908E-2</c:v>
                </c:pt>
                <c:pt idx="281">
                  <c:v>4.6030700860639165E-2</c:v>
                </c:pt>
                <c:pt idx="282">
                  <c:v>4.6162159310907724E-2</c:v>
                </c:pt>
                <c:pt idx="283">
                  <c:v>4.6292646914026236E-2</c:v>
                </c:pt>
                <c:pt idx="284">
                  <c:v>4.6422163481981027E-2</c:v>
                </c:pt>
                <c:pt idx="285">
                  <c:v>4.6550711138653812E-2</c:v>
                </c:pt>
                <c:pt idx="286">
                  <c:v>4.6678294418140864E-2</c:v>
                </c:pt>
                <c:pt idx="287">
                  <c:v>4.6804920351807541E-2</c:v>
                </c:pt>
                <c:pt idx="288">
                  <c:v>4.6930598543000024E-2</c:v>
                </c:pt>
                <c:pt idx="289">
                  <c:v>4.7055341228412144E-2</c:v>
                </c:pt>
                <c:pt idx="290">
                  <c:v>4.7179163325191453E-2</c:v>
                </c:pt>
                <c:pt idx="291">
                  <c:v>4.7302082462965904E-2</c:v>
                </c:pt>
                <c:pt idx="292">
                  <c:v>4.7424119000079111E-2</c:v>
                </c:pt>
                <c:pt idx="293">
                  <c:v>4.7545296023438537E-2</c:v>
                </c:pt>
                <c:pt idx="294">
                  <c:v>4.7665639331502779E-2</c:v>
                </c:pt>
                <c:pt idx="295">
                  <c:v>4.7785177400065916E-2</c:v>
                </c:pt>
                <c:pt idx="296">
                  <c:v>4.7903941330631736E-2</c:v>
                </c:pt>
                <c:pt idx="297">
                  <c:v>4.8021964781310697E-2</c:v>
                </c:pt>
                <c:pt idx="298">
                  <c:v>4.8139283880316741E-2</c:v>
                </c:pt>
                <c:pt idx="299">
                  <c:v>4.8255937122285132E-2</c:v>
                </c:pt>
                <c:pt idx="300">
                  <c:v>4.8371965247779147E-2</c:v>
                </c:pt>
                <c:pt idx="301">
                  <c:v>4.848741110649743E-2</c:v>
                </c:pt>
                <c:pt idx="302">
                  <c:v>4.8602319504837121E-2</c:v>
                </c:pt>
                <c:pt idx="303">
                  <c:v>4.8716737038605976E-2</c:v>
                </c:pt>
                <c:pt idx="304">
                  <c:v>4.8830711911811479E-2</c:v>
                </c:pt>
                <c:pt idx="305">
                  <c:v>4.8944293742581989E-2</c:v>
                </c:pt>
                <c:pt idx="306">
                  <c:v>4.9057533357395489E-2</c:v>
                </c:pt>
                <c:pt idx="307">
                  <c:v>4.9170482574902925E-2</c:v>
                </c:pt>
                <c:pt idx="308">
                  <c:v>4.9283193980734115E-2</c:v>
                </c:pt>
                <c:pt idx="309">
                  <c:v>4.9395720694765936E-2</c:v>
                </c:pt>
                <c:pt idx="310">
                  <c:v>4.9508116132409866E-2</c:v>
                </c:pt>
                <c:pt idx="311">
                  <c:v>4.9620433761543306E-2</c:v>
                </c:pt>
                <c:pt idx="312">
                  <c:v>4.9732726856760986E-2</c:v>
                </c:pt>
                <c:pt idx="313">
                  <c:v>4.9845048252661298E-2</c:v>
                </c:pt>
                <c:pt idx="314">
                  <c:v>4.9957450097907197E-2</c:v>
                </c:pt>
                <c:pt idx="315">
                  <c:v>5.0069983611809664E-2</c:v>
                </c:pt>
                <c:pt idx="316">
                  <c:v>5.018269884517642E-2</c:v>
                </c:pt>
                <c:pt idx="317">
                  <c:v>5.0295644447147847E-2</c:v>
                </c:pt>
                <c:pt idx="318">
                  <c:v>5.0408867439705282E-2</c:v>
                </c:pt>
                <c:pt idx="319">
                  <c:v>5.0522413001487271E-2</c:v>
                </c:pt>
                <c:pt idx="320">
                  <c:v>5.063632426248342E-2</c:v>
                </c:pt>
                <c:pt idx="321">
                  <c:v>5.0750642111096707E-2</c:v>
                </c:pt>
                <c:pt idx="322">
                  <c:v>5.0865405014973053E-2</c:v>
                </c:pt>
                <c:pt idx="323">
                  <c:v>5.0980648856891853E-2</c:v>
                </c:pt>
                <c:pt idx="324">
                  <c:v>5.1096406786895143E-2</c:v>
                </c:pt>
                <c:pt idx="325">
                  <c:v>5.1212709091706304E-2</c:v>
                </c:pt>
                <c:pt idx="326">
                  <c:v>5.1329583082352408E-2</c:v>
                </c:pt>
                <c:pt idx="327">
                  <c:v>5.1447053000760502E-2</c:v>
                </c:pt>
                <c:pt idx="328">
                  <c:v>5.1565139945946074E-2</c:v>
                </c:pt>
                <c:pt idx="329">
                  <c:v>5.1683861820255299E-2</c:v>
                </c:pt>
                <c:pt idx="330">
                  <c:v>5.180323329596126E-2</c:v>
                </c:pt>
                <c:pt idx="331">
                  <c:v>5.1923265802350974E-2</c:v>
                </c:pt>
                <c:pt idx="332">
                  <c:v>5.2043967533274109E-2</c:v>
                </c:pt>
                <c:pt idx="333">
                  <c:v>5.2165343474960678E-2</c:v>
                </c:pt>
                <c:pt idx="334">
                  <c:v>5.2287395453751329E-2</c:v>
                </c:pt>
                <c:pt idx="335">
                  <c:v>5.2410122203224309E-2</c:v>
                </c:pt>
                <c:pt idx="336">
                  <c:v>5.2533519450049276E-2</c:v>
                </c:pt>
                <c:pt idx="337">
                  <c:v>5.2657580017747847E-2</c:v>
                </c:pt>
                <c:pt idx="338">
                  <c:v>5.2782293947401401E-2</c:v>
                </c:pt>
                <c:pt idx="339">
                  <c:v>5.290764863421369E-2</c:v>
                </c:pt>
                <c:pt idx="340">
                  <c:v>5.3033628978712971E-2</c:v>
                </c:pt>
                <c:pt idx="341">
                  <c:v>5.3160217551268776E-2</c:v>
                </c:pt>
                <c:pt idx="342">
                  <c:v>5.3287394768498156E-2</c:v>
                </c:pt>
                <c:pt idx="343">
                  <c:v>5.3415139080050945E-2</c:v>
                </c:pt>
                <c:pt idx="344">
                  <c:v>5.3543427164191651E-2</c:v>
                </c:pt>
                <c:pt idx="345">
                  <c:v>5.3672234130537136E-2</c:v>
                </c:pt>
                <c:pt idx="346">
                  <c:v>5.3801533728267154E-2</c:v>
                </c:pt>
                <c:pt idx="347">
                  <c:v>5.393129855809671E-2</c:v>
                </c:pt>
                <c:pt idx="348">
                  <c:v>5.4061500286287298E-2</c:v>
                </c:pt>
                <c:pt idx="349">
                  <c:v>5.419210985897676E-2</c:v>
                </c:pt>
                <c:pt idx="350">
                  <c:v>5.4323097715127118E-2</c:v>
                </c:pt>
                <c:pt idx="351">
                  <c:v>5.4454433996422219E-2</c:v>
                </c:pt>
                <c:pt idx="352">
                  <c:v>5.4586088752496577E-2</c:v>
                </c:pt>
                <c:pt idx="353">
                  <c:v>5.4718032139938498E-2</c:v>
                </c:pt>
                <c:pt idx="354">
                  <c:v>5.4850234613587505E-2</c:v>
                </c:pt>
                <c:pt idx="355">
                  <c:v>5.4982667108734111E-2</c:v>
                </c:pt>
                <c:pt idx="356">
                  <c:v>5.5115301212931178E-2</c:v>
                </c:pt>
                <c:pt idx="357">
                  <c:v>5.5248109326237319E-2</c:v>
                </c:pt>
                <c:pt idx="358">
                  <c:v>5.5381064808833508E-2</c:v>
                </c:pt>
                <c:pt idx="359">
                  <c:v>5.5514142115083986E-2</c:v>
                </c:pt>
                <c:pt idx="360">
                  <c:v>5.5647316913248958E-2</c:v>
                </c:pt>
                <c:pt idx="361">
                  <c:v>5.5780566190198388E-2</c:v>
                </c:pt>
                <c:pt idx="362">
                  <c:v>5.5913868340623882E-2</c:v>
                </c:pt>
                <c:pt idx="363">
                  <c:v>5.6047203240394403E-2</c:v>
                </c:pt>
                <c:pt idx="364">
                  <c:v>5.618055230385325E-2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2.0550948592817321E-3</c:v>
                </c:pt>
                <c:pt idx="1">
                  <c:v>2.0562871415037592E-3</c:v>
                </c:pt>
                <c:pt idx="2">
                  <c:v>2.0588909503015096E-3</c:v>
                </c:pt>
                <c:pt idx="3">
                  <c:v>2.0628147751773122E-3</c:v>
                </c:pt>
                <c:pt idx="4">
                  <c:v>2.0679657931704041E-3</c:v>
                </c:pt>
                <c:pt idx="5">
                  <c:v>2.074249868476174E-3</c:v>
                </c:pt>
                <c:pt idx="6">
                  <c:v>2.0815716178009176E-3</c:v>
                </c:pt>
                <c:pt idx="7">
                  <c:v>2.0898345383756653E-3</c:v>
                </c:pt>
                <c:pt idx="8">
                  <c:v>2.098993423638877E-3</c:v>
                </c:pt>
                <c:pt idx="9">
                  <c:v>2.1100608139634986E-3</c:v>
                </c:pt>
                <c:pt idx="10">
                  <c:v>2.1215558232841056E-3</c:v>
                </c:pt>
                <c:pt idx="11">
                  <c:v>2.1334929214441522E-3</c:v>
                </c:pt>
                <c:pt idx="12">
                  <c:v>2.1458858418921525E-3</c:v>
                </c:pt>
                <c:pt idx="13">
                  <c:v>2.1587475953807628E-3</c:v>
                </c:pt>
                <c:pt idx="14">
                  <c:v>2.1720904908852576E-3</c:v>
                </c:pt>
                <c:pt idx="15">
                  <c:v>2.1892228395548855E-3</c:v>
                </c:pt>
                <c:pt idx="16">
                  <c:v>2.2094544390676442E-3</c:v>
                </c:pt>
                <c:pt idx="17">
                  <c:v>2.2327102837245067E-3</c:v>
                </c:pt>
                <c:pt idx="18">
                  <c:v>2.2589141101184633E-3</c:v>
                </c:pt>
                <c:pt idx="19">
                  <c:v>2.2880019284228842E-3</c:v>
                </c:pt>
                <c:pt idx="20">
                  <c:v>2.3199165060786538E-3</c:v>
                </c:pt>
                <c:pt idx="21">
                  <c:v>2.354592471050567E-3</c:v>
                </c:pt>
                <c:pt idx="22">
                  <c:v>2.3917552420032514E-3</c:v>
                </c:pt>
                <c:pt idx="23">
                  <c:v>2.4368638686137634E-3</c:v>
                </c:pt>
                <c:pt idx="24">
                  <c:v>2.4888026209719675E-3</c:v>
                </c:pt>
                <c:pt idx="25">
                  <c:v>2.5473334198343779E-3</c:v>
                </c:pt>
                <c:pt idx="26">
                  <c:v>2.6122214984345719E-3</c:v>
                </c:pt>
                <c:pt idx="27">
                  <c:v>2.6832370439493253E-3</c:v>
                </c:pt>
                <c:pt idx="28">
                  <c:v>2.7601566189256114E-3</c:v>
                </c:pt>
                <c:pt idx="29">
                  <c:v>2.8462351123018925E-3</c:v>
                </c:pt>
                <c:pt idx="30">
                  <c:v>2.9383640578639048E-3</c:v>
                </c:pt>
                <c:pt idx="31">
                  <c:v>3.0363232252096418E-3</c:v>
                </c:pt>
                <c:pt idx="32">
                  <c:v>3.1399033650378523E-3</c:v>
                </c:pt>
                <c:pt idx="33">
                  <c:v>3.2489068299585431E-3</c:v>
                </c:pt>
                <c:pt idx="34">
                  <c:v>3.3631480556067985E-3</c:v>
                </c:pt>
                <c:pt idx="35">
                  <c:v>3.4824539223078372E-3</c:v>
                </c:pt>
                <c:pt idx="36">
                  <c:v>3.6064361206959413E-3</c:v>
                </c:pt>
                <c:pt idx="37">
                  <c:v>3.7246862382540363E-3</c:v>
                </c:pt>
                <c:pt idx="38">
                  <c:v>3.8326154428858254E-3</c:v>
                </c:pt>
                <c:pt idx="39">
                  <c:v>3.9305894243037084E-3</c:v>
                </c:pt>
                <c:pt idx="40">
                  <c:v>4.0189708552976332E-3</c:v>
                </c:pt>
                <c:pt idx="41">
                  <c:v>4.0981179313565224E-3</c:v>
                </c:pt>
                <c:pt idx="42">
                  <c:v>4.1683831181704867E-3</c:v>
                </c:pt>
                <c:pt idx="43">
                  <c:v>4.2165987709660525E-3</c:v>
                </c:pt>
                <c:pt idx="44">
                  <c:v>4.2407103199860671E-3</c:v>
                </c:pt>
                <c:pt idx="45">
                  <c:v>4.2416285062020333E-3</c:v>
                </c:pt>
                <c:pt idx="46">
                  <c:v>4.2202337161383573E-3</c:v>
                </c:pt>
                <c:pt idx="47">
                  <c:v>4.1773746767098047E-3</c:v>
                </c:pt>
                <c:pt idx="48">
                  <c:v>4.1138674392181785E-3</c:v>
                </c:pt>
                <c:pt idx="49">
                  <c:v>4.030494613072355E-3</c:v>
                </c:pt>
                <c:pt idx="50">
                  <c:v>3.9278549156641614E-3</c:v>
                </c:pt>
                <c:pt idx="51">
                  <c:v>3.8094944541581435E-3</c:v>
                </c:pt>
                <c:pt idx="52">
                  <c:v>3.6843344110254637E-3</c:v>
                </c:pt>
                <c:pt idx="53">
                  <c:v>3.5526455470701952E-3</c:v>
                </c:pt>
                <c:pt idx="54">
                  <c:v>3.414705588649607E-3</c:v>
                </c:pt>
                <c:pt idx="55">
                  <c:v>3.2707798210950645E-3</c:v>
                </c:pt>
                <c:pt idx="56">
                  <c:v>3.1211211678950374E-3</c:v>
                </c:pt>
                <c:pt idx="57">
                  <c:v>2.974728902339008E-3</c:v>
                </c:pt>
                <c:pt idx="58">
                  <c:v>2.8428607962495706E-3</c:v>
                </c:pt>
                <c:pt idx="59">
                  <c:v>2.7250669946487054E-3</c:v>
                </c:pt>
                <c:pt idx="60">
                  <c:v>2.6209104918281335E-3</c:v>
                </c:pt>
                <c:pt idx="61">
                  <c:v>2.5299674067989198E-3</c:v>
                </c:pt>
                <c:pt idx="62">
                  <c:v>2.451827206620771E-3</c:v>
                </c:pt>
                <c:pt idx="63">
                  <c:v>2.38609288357049E-3</c:v>
                </c:pt>
                <c:pt idx="64">
                  <c:v>2.3323213510516323E-3</c:v>
                </c:pt>
                <c:pt idx="65">
                  <c:v>2.2913643672570292E-3</c:v>
                </c:pt>
                <c:pt idx="66">
                  <c:v>2.2603478168330025E-3</c:v>
                </c:pt>
                <c:pt idx="67">
                  <c:v>2.2389809620624456E-3</c:v>
                </c:pt>
                <c:pt idx="68">
                  <c:v>2.2269827266732439E-3</c:v>
                </c:pt>
                <c:pt idx="69">
                  <c:v>2.2240820027245901E-3</c:v>
                </c:pt>
                <c:pt idx="70">
                  <c:v>2.2300179199683991E-3</c:v>
                </c:pt>
                <c:pt idx="71">
                  <c:v>2.2412650735948807E-3</c:v>
                </c:pt>
                <c:pt idx="72">
                  <c:v>2.2502312740938783E-3</c:v>
                </c:pt>
                <c:pt idx="73">
                  <c:v>2.2570066579639227E-3</c:v>
                </c:pt>
                <c:pt idx="74">
                  <c:v>2.2616786260414297E-3</c:v>
                </c:pt>
                <c:pt idx="75">
                  <c:v>2.2643318135902968E-3</c:v>
                </c:pt>
                <c:pt idx="76">
                  <c:v>2.2650480675522212E-3</c:v>
                </c:pt>
                <c:pt idx="77">
                  <c:v>2.2639064299885586E-3</c:v>
                </c:pt>
                <c:pt idx="78">
                  <c:v>2.2607707901959938E-3</c:v>
                </c:pt>
                <c:pt idx="79">
                  <c:v>2.2523094013465281E-3</c:v>
                </c:pt>
                <c:pt idx="80">
                  <c:v>2.2376658365302659E-3</c:v>
                </c:pt>
                <c:pt idx="81">
                  <c:v>2.2171080392859436E-3</c:v>
                </c:pt>
                <c:pt idx="82">
                  <c:v>2.1908917070411296E-3</c:v>
                </c:pt>
                <c:pt idx="83">
                  <c:v>2.1592584278138176E-3</c:v>
                </c:pt>
                <c:pt idx="84">
                  <c:v>2.1224341114337015E-3</c:v>
                </c:pt>
                <c:pt idx="85">
                  <c:v>2.0791530152922972E-3</c:v>
                </c:pt>
                <c:pt idx="86">
                  <c:v>2.0324863551474375E-3</c:v>
                </c:pt>
                <c:pt idx="87">
                  <c:v>1.9825705837862306E-3</c:v>
                </c:pt>
                <c:pt idx="88">
                  <c:v>1.9295254814526977E-3</c:v>
                </c:pt>
                <c:pt idx="89">
                  <c:v>0</c:v>
                </c:pt>
                <c:pt idx="90">
                  <c:v>2.7825114402455365E-7</c:v>
                </c:pt>
                <c:pt idx="91">
                  <c:v>5.4167091052806773E-7</c:v>
                </c:pt>
                <c:pt idx="92">
                  <c:v>7.8849383204018972E-7</c:v>
                </c:pt>
                <c:pt idx="93">
                  <c:v>1.0174822039772551E-6</c:v>
                </c:pt>
                <c:pt idx="94">
                  <c:v>1.2286072111478439E-6</c:v>
                </c:pt>
                <c:pt idx="95">
                  <c:v>1.4212157119260175E-6</c:v>
                </c:pt>
                <c:pt idx="96">
                  <c:v>1.594592547364903E-6</c:v>
                </c:pt>
                <c:pt idx="97">
                  <c:v>1.7479579762737149E-6</c:v>
                </c:pt>
                <c:pt idx="98">
                  <c:v>1.8804649901480257E-6</c:v>
                </c:pt>
                <c:pt idx="99">
                  <c:v>1.9943003742586864E-6</c:v>
                </c:pt>
                <c:pt idx="100">
                  <c:v>2.0919718328987663E-6</c:v>
                </c:pt>
                <c:pt idx="101">
                  <c:v>2.1743349347436072E-6</c:v>
                </c:pt>
                <c:pt idx="102">
                  <c:v>2.2422844102796751E-6</c:v>
                </c:pt>
                <c:pt idx="103">
                  <c:v>2.2967600479635095E-6</c:v>
                </c:pt>
                <c:pt idx="104">
                  <c:v>2.3387528903456127E-6</c:v>
                </c:pt>
                <c:pt idx="105">
                  <c:v>2.3693117453653732E-6</c:v>
                </c:pt>
                <c:pt idx="106">
                  <c:v>2.3895485121699304E-6</c:v>
                </c:pt>
                <c:pt idx="107">
                  <c:v>2.4046005685870808E-6</c:v>
                </c:pt>
                <c:pt idx="108">
                  <c:v>2.4122418158602371E-6</c:v>
                </c:pt>
                <c:pt idx="109">
                  <c:v>2.4138228087805436E-6</c:v>
                </c:pt>
                <c:pt idx="110">
                  <c:v>2.4107969185631684E-6</c:v>
                </c:pt>
                <c:pt idx="111">
                  <c:v>2.4047220989858853E-6</c:v>
                </c:pt>
                <c:pt idx="112">
                  <c:v>2.3972626896601669E-6</c:v>
                </c:pt>
                <c:pt idx="113">
                  <c:v>2.3950349339210839E-6</c:v>
                </c:pt>
                <c:pt idx="114">
                  <c:v>2.3909344975674993E-6</c:v>
                </c:pt>
                <c:pt idx="115">
                  <c:v>2.3862066841398577E-6</c:v>
                </c:pt>
                <c:pt idx="116">
                  <c:v>2.3821917283749661E-6</c:v>
                </c:pt>
                <c:pt idx="117">
                  <c:v>2.3803315165497221E-6</c:v>
                </c:pt>
                <c:pt idx="118">
                  <c:v>2.3821763901434695E-6</c:v>
                </c:pt>
                <c:pt idx="119">
                  <c:v>2.3893920013883566E-6</c:v>
                </c:pt>
                <c:pt idx="120">
                  <c:v>2.403795573765875E-6</c:v>
                </c:pt>
                <c:pt idx="121">
                  <c:v>2.4311328065687073E-6</c:v>
                </c:pt>
                <c:pt idx="122">
                  <c:v>2.4645437092445277E-6</c:v>
                </c:pt>
                <c:pt idx="123">
                  <c:v>2.5054167120838912E-6</c:v>
                </c:pt>
                <c:pt idx="124">
                  <c:v>2.5552376355146449E-6</c:v>
                </c:pt>
                <c:pt idx="125">
                  <c:v>2.6155941162007144E-6</c:v>
                </c:pt>
                <c:pt idx="126">
                  <c:v>2.6881798198778845E-6</c:v>
                </c:pt>
                <c:pt idx="127">
                  <c:v>2.7745892958829932E-6</c:v>
                </c:pt>
                <c:pt idx="128">
                  <c:v>2.8663230413928598E-6</c:v>
                </c:pt>
                <c:pt idx="129">
                  <c:v>2.9639648808657147E-6</c:v>
                </c:pt>
                <c:pt idx="130">
                  <c:v>3.0681309622385797E-6</c:v>
                </c:pt>
                <c:pt idx="131">
                  <c:v>3.1794704070403392E-6</c:v>
                </c:pt>
                <c:pt idx="132">
                  <c:v>3.298665802702467E-6</c:v>
                </c:pt>
                <c:pt idx="133">
                  <c:v>3.4264335198433573E-6</c:v>
                </c:pt>
                <c:pt idx="134">
                  <c:v>3.563594714433003E-6</c:v>
                </c:pt>
                <c:pt idx="135">
                  <c:v>3.7128987982797078E-6</c:v>
                </c:pt>
                <c:pt idx="136">
                  <c:v>3.8679738974083179E-6</c:v>
                </c:pt>
                <c:pt idx="137">
                  <c:v>4.0290238054119694E-6</c:v>
                </c:pt>
                <c:pt idx="138">
                  <c:v>4.1962516613119112E-6</c:v>
                </c:pt>
                <c:pt idx="139">
                  <c:v>4.3698592228664884E-6</c:v>
                </c:pt>
                <c:pt idx="140">
                  <c:v>4.5500460852741361E-6</c:v>
                </c:pt>
                <c:pt idx="141">
                  <c:v>4.7403970518616561E-6</c:v>
                </c:pt>
                <c:pt idx="142">
                  <c:v>4.9418476518561784E-6</c:v>
                </c:pt>
                <c:pt idx="143">
                  <c:v>5.1550021914028046E-6</c:v>
                </c:pt>
                <c:pt idx="144">
                  <c:v>5.3805048561132375E-6</c:v>
                </c:pt>
                <c:pt idx="145">
                  <c:v>5.6190105538405163E-6</c:v>
                </c:pt>
                <c:pt idx="146">
                  <c:v>5.8711829613713606E-6</c:v>
                </c:pt>
                <c:pt idx="147">
                  <c:v>6.1376923837309392E-6</c:v>
                </c:pt>
                <c:pt idx="148">
                  <c:v>6.4193666235079975E-6</c:v>
                </c:pt>
                <c:pt idx="149">
                  <c:v>6.7145067055681312E-6</c:v>
                </c:pt>
                <c:pt idx="150">
                  <c:v>7.0203220987201066E-6</c:v>
                </c:pt>
                <c:pt idx="151">
                  <c:v>7.3369584002528454E-6</c:v>
                </c:pt>
                <c:pt idx="152">
                  <c:v>7.6645443440223244E-6</c:v>
                </c:pt>
                <c:pt idx="153">
                  <c:v>8.0031907414735965E-6</c:v>
                </c:pt>
                <c:pt idx="154">
                  <c:v>8.352989484116051E-6</c:v>
                </c:pt>
                <c:pt idx="155">
                  <c:v>8.7134145346598462E-6</c:v>
                </c:pt>
                <c:pt idx="156">
                  <c:v>9.078905737124399E-6</c:v>
                </c:pt>
                <c:pt idx="157">
                  <c:v>9.4489583102453942E-6</c:v>
                </c:pt>
                <c:pt idx="158">
                  <c:v>9.8230376092277817E-6</c:v>
                </c:pt>
                <c:pt idx="159">
                  <c:v>1.0200580537655683E-5</c:v>
                </c:pt>
                <c:pt idx="160">
                  <c:v>1.0580997171396178E-5</c:v>
                </c:pt>
                <c:pt idx="161">
                  <c:v>1.0963672584608333E-5</c:v>
                </c:pt>
                <c:pt idx="162">
                  <c:v>1.1348155721016784E-5</c:v>
                </c:pt>
                <c:pt idx="163">
                  <c:v>1.1727698987355555E-5</c:v>
                </c:pt>
                <c:pt idx="164">
                  <c:v>1.2105154834908404E-5</c:v>
                </c:pt>
                <c:pt idx="165">
                  <c:v>1.2479731891007618E-5</c:v>
                </c:pt>
                <c:pt idx="166">
                  <c:v>1.2850631163678228E-5</c:v>
                </c:pt>
                <c:pt idx="167">
                  <c:v>1.3217049035909485E-5</c:v>
                </c:pt>
                <c:pt idx="168">
                  <c:v>1.3578180269230557E-5</c:v>
                </c:pt>
                <c:pt idx="169">
                  <c:v>1.392595675399332E-5</c:v>
                </c:pt>
                <c:pt idx="170">
                  <c:v>1.4259984272382614E-5</c:v>
                </c:pt>
                <c:pt idx="171">
                  <c:v>1.4579064174930968E-5</c:v>
                </c:pt>
                <c:pt idx="172">
                  <c:v>1.4882012655345868E-5</c:v>
                </c:pt>
                <c:pt idx="173">
                  <c:v>1.5167509367445787E-5</c:v>
                </c:pt>
                <c:pt idx="174">
                  <c:v>1.5434236747029605E-5</c:v>
                </c:pt>
                <c:pt idx="175">
                  <c:v>1.5681049218691254E-5</c:v>
                </c:pt>
                <c:pt idx="176">
                  <c:v>1.5906781332205803E-5</c:v>
                </c:pt>
                <c:pt idx="177">
                  <c:v>1.6109359806406791E-5</c:v>
                </c:pt>
                <c:pt idx="178">
                  <c:v>1.6296389564804502E-5</c:v>
                </c:pt>
                <c:pt idx="179">
                  <c:v>1.6467329122193129E-5</c:v>
                </c:pt>
                <c:pt idx="180">
                  <c:v>1.6621670751918261E-5</c:v>
                </c:pt>
                <c:pt idx="181">
                  <c:v>1.6758940609615608E-5</c:v>
                </c:pt>
                <c:pt idx="182">
                  <c:v>1.6878698565325604E-5</c:v>
                </c:pt>
                <c:pt idx="183">
                  <c:v>1.6974912445000467E-5</c:v>
                </c:pt>
                <c:pt idx="184">
                  <c:v>1.7056415222585506E-5</c:v>
                </c:pt>
                <c:pt idx="185">
                  <c:v>1.7123024136907708E-5</c:v>
                </c:pt>
                <c:pt idx="186">
                  <c:v>1.7174582230217654E-5</c:v>
                </c:pt>
                <c:pt idx="187">
                  <c:v>1.7210956960950291E-5</c:v>
                </c:pt>
                <c:pt idx="188">
                  <c:v>1.7232038668912226E-5</c:v>
                </c:pt>
                <c:pt idx="189">
                  <c:v>1.7237738904882316E-5</c:v>
                </c:pt>
                <c:pt idx="190">
                  <c:v>1.7227773021495396E-5</c:v>
                </c:pt>
                <c:pt idx="191">
                  <c:v>1.7212793322477521E-5</c:v>
                </c:pt>
                <c:pt idx="192">
                  <c:v>1.7194337853611229E-5</c:v>
                </c:pt>
                <c:pt idx="193">
                  <c:v>1.7172764405305181E-5</c:v>
                </c:pt>
                <c:pt idx="194">
                  <c:v>1.7148432536372502E-5</c:v>
                </c:pt>
                <c:pt idx="195">
                  <c:v>1.712170248802706E-5</c:v>
                </c:pt>
                <c:pt idx="196">
                  <c:v>1.7092934180729289E-5</c:v>
                </c:pt>
                <c:pt idx="197">
                  <c:v>1.7070696337478544E-5</c:v>
                </c:pt>
                <c:pt idx="198">
                  <c:v>1.7062306651908934E-5</c:v>
                </c:pt>
                <c:pt idx="199">
                  <c:v>1.7068548779701491E-5</c:v>
                </c:pt>
                <c:pt idx="200">
                  <c:v>1.7090192188309603E-5</c:v>
                </c:pt>
                <c:pt idx="201">
                  <c:v>1.7127992830211717E-5</c:v>
                </c:pt>
                <c:pt idx="202">
                  <c:v>1.7182693970566199E-5</c:v>
                </c:pt>
                <c:pt idx="203">
                  <c:v>1.7255027168858153E-5</c:v>
                </c:pt>
                <c:pt idx="204">
                  <c:v>1.7345674993782149E-5</c:v>
                </c:pt>
                <c:pt idx="205">
                  <c:v>1.7453877346721247E-5</c:v>
                </c:pt>
                <c:pt idx="206">
                  <c:v>1.7567569005926245E-5</c:v>
                </c:pt>
                <c:pt idx="207">
                  <c:v>1.7687013240552513E-5</c:v>
                </c:pt>
                <c:pt idx="208">
                  <c:v>1.7812468691024591E-5</c:v>
                </c:pt>
                <c:pt idx="209">
                  <c:v>1.7944189320324967E-5</c:v>
                </c:pt>
                <c:pt idx="210">
                  <c:v>1.8082424387901351E-5</c:v>
                </c:pt>
                <c:pt idx="211">
                  <c:v>1.8262465835028035E-5</c:v>
                </c:pt>
                <c:pt idx="212">
                  <c:v>1.8476018820594555E-5</c:v>
                </c:pt>
                <c:pt idx="213">
                  <c:v>1.8723898404215933E-5</c:v>
                </c:pt>
                <c:pt idx="214">
                  <c:v>1.9006908294413969E-5</c:v>
                </c:pt>
                <c:pt idx="215">
                  <c:v>1.9325841635542166E-5</c:v>
                </c:pt>
                <c:pt idx="216">
                  <c:v>1.9681481738032457E-5</c:v>
                </c:pt>
                <c:pt idx="217">
                  <c:v>2.0074602750990939E-5</c:v>
                </c:pt>
                <c:pt idx="218">
                  <c:v>2.0505899762218021E-5</c:v>
                </c:pt>
                <c:pt idx="219">
                  <c:v>2.1048975536800848E-5</c:v>
                </c:pt>
                <c:pt idx="220">
                  <c:v>2.1707744128688251E-5</c:v>
                </c:pt>
                <c:pt idx="221">
                  <c:v>2.2484604388139149E-5</c:v>
                </c:pt>
                <c:pt idx="222">
                  <c:v>2.3381961499034469E-5</c:v>
                </c:pt>
                <c:pt idx="223">
                  <c:v>2.4402235885567617E-5</c:v>
                </c:pt>
                <c:pt idx="224">
                  <c:v>2.5547872320837307E-5</c:v>
                </c:pt>
                <c:pt idx="225">
                  <c:v>2.691321111226667E-5</c:v>
                </c:pt>
                <c:pt idx="226">
                  <c:v>2.8463673035811709E-5</c:v>
                </c:pt>
                <c:pt idx="227">
                  <c:v>3.0202899814503385E-5</c:v>
                </c:pt>
                <c:pt idx="228">
                  <c:v>3.2134610792821263E-5</c:v>
                </c:pt>
                <c:pt idx="229">
                  <c:v>3.4262617925035906E-5</c:v>
                </c:pt>
                <c:pt idx="230">
                  <c:v>3.6590841300913951E-5</c:v>
                </c:pt>
                <c:pt idx="231">
                  <c:v>3.91233252823906E-5</c:v>
                </c:pt>
                <c:pt idx="232">
                  <c:v>4.1863479136209104E-5</c:v>
                </c:pt>
                <c:pt idx="233">
                  <c:v>4.4969125013322593E-5</c:v>
                </c:pt>
                <c:pt idx="234">
                  <c:v>4.8366983082835634E-5</c:v>
                </c:pt>
                <c:pt idx="235">
                  <c:v>5.20628714107558E-5</c:v>
                </c:pt>
                <c:pt idx="236">
                  <c:v>5.6062824015808969E-5</c:v>
                </c:pt>
                <c:pt idx="237">
                  <c:v>6.0373065227441855E-5</c:v>
                </c:pt>
                <c:pt idx="238">
                  <c:v>6.5000064769887242E-5</c:v>
                </c:pt>
                <c:pt idx="239">
                  <c:v>7.0053724683974248E-5</c:v>
                </c:pt>
                <c:pt idx="240">
                  <c:v>7.5441746603527643E-5</c:v>
                </c:pt>
                <c:pt idx="241">
                  <c:v>8.117158750399211E-5</c:v>
                </c:pt>
                <c:pt idx="242">
                  <c:v>8.7251073640330862E-5</c:v>
                </c:pt>
                <c:pt idx="243">
                  <c:v>9.3688434765631159E-5</c:v>
                </c:pt>
                <c:pt idx="244">
                  <c:v>1.0049234041024277E-4</c:v>
                </c:pt>
                <c:pt idx="245">
                  <c:v>1.0767193851429791E-4</c:v>
                </c:pt>
                <c:pt idx="246">
                  <c:v>1.1523780477870273E-4</c:v>
                </c:pt>
                <c:pt idx="247">
                  <c:v>1.2308159253311994E-4</c:v>
                </c:pt>
                <c:pt idx="248">
                  <c:v>1.3103868336194563E-4</c:v>
                </c:pt>
                <c:pt idx="249">
                  <c:v>1.3911193551378664E-4</c:v>
                </c:pt>
                <c:pt idx="250">
                  <c:v>1.4730409265019254E-4</c:v>
                </c:pt>
                <c:pt idx="251">
                  <c:v>1.5561776824275621E-4</c:v>
                </c:pt>
                <c:pt idx="252">
                  <c:v>1.6405542858884516E-4</c:v>
                </c:pt>
                <c:pt idx="253">
                  <c:v>1.7243958829274458E-4</c:v>
                </c:pt>
                <c:pt idx="254">
                  <c:v>1.806529011095539E-4</c:v>
                </c:pt>
                <c:pt idx="255">
                  <c:v>1.8869004440982124E-4</c:v>
                </c:pt>
                <c:pt idx="256">
                  <c:v>1.9654524659045301E-4</c:v>
                </c:pt>
                <c:pt idx="257">
                  <c:v>2.0421227929098804E-4</c:v>
                </c:pt>
                <c:pt idx="258">
                  <c:v>2.1168445077416069E-4</c:v>
                </c:pt>
                <c:pt idx="259">
                  <c:v>2.1895460067335439E-4</c:v>
                </c:pt>
                <c:pt idx="260">
                  <c:v>2.2603225635388059E-4</c:v>
                </c:pt>
                <c:pt idx="261">
                  <c:v>2.3267448742312634E-4</c:v>
                </c:pt>
                <c:pt idx="262">
                  <c:v>2.3900026809146345E-4</c:v>
                </c:pt>
                <c:pt idx="263">
                  <c:v>2.4499694116195646E-4</c:v>
                </c:pt>
                <c:pt idx="264">
                  <c:v>2.5065071577599663E-4</c:v>
                </c:pt>
                <c:pt idx="265">
                  <c:v>2.5594804906251564E-4</c:v>
                </c:pt>
                <c:pt idx="266">
                  <c:v>2.6087372267075479E-4</c:v>
                </c:pt>
                <c:pt idx="267">
                  <c:v>2.6516577523221906E-4</c:v>
                </c:pt>
                <c:pt idx="268">
                  <c:v>2.690034355025351E-4</c:v>
                </c:pt>
                <c:pt idx="269">
                  <c:v>2.7236613352438769E-4</c:v>
                </c:pt>
                <c:pt idx="270">
                  <c:v>2.7523240982049236E-4</c:v>
                </c:pt>
                <c:pt idx="271">
                  <c:v>2.7758002626683461E-4</c:v>
                </c:pt>
                <c:pt idx="272">
                  <c:v>2.793860961951229E-4</c:v>
                </c:pt>
                <c:pt idx="273">
                  <c:v>2.8062723544635835E-4</c:v>
                </c:pt>
                <c:pt idx="274">
                  <c:v>2.8130246378303448E-4</c:v>
                </c:pt>
                <c:pt idx="275">
                  <c:v>2.8234537104467641E-4</c:v>
                </c:pt>
                <c:pt idx="276">
                  <c:v>2.8405217916526441E-4</c:v>
                </c:pt>
                <c:pt idx="277">
                  <c:v>2.8643830022373674E-4</c:v>
                </c:pt>
                <c:pt idx="278">
                  <c:v>2.8951927092334839E-4</c:v>
                </c:pt>
                <c:pt idx="279">
                  <c:v>2.9331070947928166E-4</c:v>
                </c:pt>
                <c:pt idx="280">
                  <c:v>2.9782826992522202E-4</c:v>
                </c:pt>
                <c:pt idx="281">
                  <c:v>3.0383978267501174E-4</c:v>
                </c:pt>
                <c:pt idx="282">
                  <c:v>3.1165860710629734E-4</c:v>
                </c:pt>
                <c:pt idx="283">
                  <c:v>3.2132617584680791E-4</c:v>
                </c:pt>
                <c:pt idx="284">
                  <c:v>3.3288370208605381E-4</c:v>
                </c:pt>
                <c:pt idx="285">
                  <c:v>3.4637203830676814E-4</c:v>
                </c:pt>
                <c:pt idx="286">
                  <c:v>3.6183152957665728E-4</c:v>
                </c:pt>
                <c:pt idx="287">
                  <c:v>3.7930186154278706E-4</c:v>
                </c:pt>
                <c:pt idx="288">
                  <c:v>3.9882829323021956E-4</c:v>
                </c:pt>
                <c:pt idx="289">
                  <c:v>4.1907090353219233E-4</c:v>
                </c:pt>
                <c:pt idx="290">
                  <c:v>4.3898807389758772E-4</c:v>
                </c:pt>
                <c:pt idx="291">
                  <c:v>4.5856610690973404E-4</c:v>
                </c:pt>
                <c:pt idx="292">
                  <c:v>4.7779155530500335E-4</c:v>
                </c:pt>
                <c:pt idx="293">
                  <c:v>4.9665125819576249E-4</c:v>
                </c:pt>
                <c:pt idx="294">
                  <c:v>5.1513237440000998E-4</c:v>
                </c:pt>
                <c:pt idx="295">
                  <c:v>5.3176955384183228E-4</c:v>
                </c:pt>
                <c:pt idx="296">
                  <c:v>5.4567856515899942E-4</c:v>
                </c:pt>
                <c:pt idx="297">
                  <c:v>5.5680153904845626E-4</c:v>
                </c:pt>
                <c:pt idx="298">
                  <c:v>5.6507624240912659E-4</c:v>
                </c:pt>
                <c:pt idx="299">
                  <c:v>5.704402380309944E-4</c:v>
                </c:pt>
                <c:pt idx="300">
                  <c:v>5.7283075896571198E-4</c:v>
                </c:pt>
                <c:pt idx="301">
                  <c:v>5.7218455996371558E-4</c:v>
                </c:pt>
                <c:pt idx="302">
                  <c:v>5.6846091890543537E-4</c:v>
                </c:pt>
                <c:pt idx="303">
                  <c:v>5.6131003716659584E-4</c:v>
                </c:pt>
                <c:pt idx="304">
                  <c:v>5.5220002583232205E-4</c:v>
                </c:pt>
                <c:pt idx="305">
                  <c:v>5.410794249573256E-4</c:v>
                </c:pt>
                <c:pt idx="306">
                  <c:v>5.2789556474733268E-4</c:v>
                </c:pt>
                <c:pt idx="307">
                  <c:v>5.12594775232032E-4</c:v>
                </c:pt>
                <c:pt idx="308">
                  <c:v>4.9512263493937958E-4</c:v>
                </c:pt>
                <c:pt idx="309">
                  <c:v>4.760532592938275E-4</c:v>
                </c:pt>
                <c:pt idx="310">
                  <c:v>4.5697178012042483E-4</c:v>
                </c:pt>
                <c:pt idx="311">
                  <c:v>4.378753573336914E-4</c:v>
                </c:pt>
                <c:pt idx="312">
                  <c:v>4.1876200181505319E-4</c:v>
                </c:pt>
                <c:pt idx="313">
                  <c:v>3.9963065613655161E-4</c:v>
                </c:pt>
                <c:pt idx="314">
                  <c:v>3.8048128375681823E-4</c:v>
                </c:pt>
                <c:pt idx="315">
                  <c:v>3.6131496579810154E-4</c:v>
                </c:pt>
                <c:pt idx="316">
                  <c:v>3.4217292364077911E-4</c:v>
                </c:pt>
                <c:pt idx="317">
                  <c:v>3.2383439241959514E-4</c:v>
                </c:pt>
                <c:pt idx="318">
                  <c:v>3.0664603074426682E-4</c:v>
                </c:pt>
                <c:pt idx="319">
                  <c:v>2.9062671361450201E-4</c:v>
                </c:pt>
                <c:pt idx="320">
                  <c:v>2.7579706954757689E-4</c:v>
                </c:pt>
                <c:pt idx="321">
                  <c:v>2.6217931879900469E-4</c:v>
                </c:pt>
                <c:pt idx="322">
                  <c:v>2.4979707732053686E-4</c:v>
                </c:pt>
                <c:pt idx="323">
                  <c:v>2.3882526528464282E-4</c:v>
                </c:pt>
                <c:pt idx="324">
                  <c:v>2.2858951598958869E-4</c:v>
                </c:pt>
                <c:pt idx="325">
                  <c:v>2.1910417227924409E-4</c:v>
                </c:pt>
                <c:pt idx="326">
                  <c:v>2.1038284328757224E-4</c:v>
                </c:pt>
                <c:pt idx="327">
                  <c:v>2.0244054695484157E-4</c:v>
                </c:pt>
                <c:pt idx="328">
                  <c:v>1.9529346881099149E-4</c:v>
                </c:pt>
                <c:pt idx="329">
                  <c:v>1.8895754539609015E-4</c:v>
                </c:pt>
                <c:pt idx="330">
                  <c:v>1.8347285843431846E-4</c:v>
                </c:pt>
                <c:pt idx="331">
                  <c:v>1.789810091374889E-4</c:v>
                </c:pt>
                <c:pt idx="332">
                  <c:v>1.7467126400615401E-4</c:v>
                </c:pt>
                <c:pt idx="333">
                  <c:v>1.7054399108653318E-4</c:v>
                </c:pt>
                <c:pt idx="334">
                  <c:v>1.6659971215193101E-4</c:v>
                </c:pt>
                <c:pt idx="335">
                  <c:v>1.6283907868358075E-4</c:v>
                </c:pt>
                <c:pt idx="336">
                  <c:v>1.5926284334769132E-4</c:v>
                </c:pt>
                <c:pt idx="337">
                  <c:v>1.5602133204565684E-4</c:v>
                </c:pt>
                <c:pt idx="338">
                  <c:v>1.5295333294448711E-4</c:v>
                </c:pt>
                <c:pt idx="339">
                  <c:v>1.5005936231532086E-4</c:v>
                </c:pt>
                <c:pt idx="340">
                  <c:v>1.4733988357831595E-4</c:v>
                </c:pt>
                <c:pt idx="341">
                  <c:v>1.447952620057382E-4</c:v>
                </c:pt>
                <c:pt idx="342">
                  <c:v>1.4242571643242037E-4</c:v>
                </c:pt>
                <c:pt idx="343">
                  <c:v>1.4023126901629301E-4</c:v>
                </c:pt>
                <c:pt idx="344">
                  <c:v>1.3820556933460832E-4</c:v>
                </c:pt>
                <c:pt idx="345">
                  <c:v>1.3634970521934938E-4</c:v>
                </c:pt>
                <c:pt idx="346">
                  <c:v>1.3463552193215979E-4</c:v>
                </c:pt>
                <c:pt idx="347">
                  <c:v>1.3307252904976502E-4</c:v>
                </c:pt>
                <c:pt idx="348">
                  <c:v>1.3166950775458241E-4</c:v>
                </c:pt>
                <c:pt idx="349">
                  <c:v>1.3043453385740435E-4</c:v>
                </c:pt>
                <c:pt idx="350">
                  <c:v>1.2937501557661732E-4</c:v>
                </c:pt>
                <c:pt idx="351">
                  <c:v>1.2856789960366788E-4</c:v>
                </c:pt>
                <c:pt idx="352">
                  <c:v>1.2786729584000195E-4</c:v>
                </c:pt>
                <c:pt idx="353">
                  <c:v>1.2727950541808713E-4</c:v>
                </c:pt>
                <c:pt idx="354">
                  <c:v>1.2681052922306033E-4</c:v>
                </c:pt>
                <c:pt idx="355">
                  <c:v>1.2646611297894786E-4</c:v>
                </c:pt>
                <c:pt idx="356">
                  <c:v>1.2625011402994971E-4</c:v>
                </c:pt>
                <c:pt idx="357">
                  <c:v>1.2616949413688929E-4</c:v>
                </c:pt>
                <c:pt idx="358">
                  <c:v>1.2622110276923652E-4</c:v>
                </c:pt>
                <c:pt idx="359">
                  <c:v>1.2639485784828814E-4</c:v>
                </c:pt>
                <c:pt idx="360">
                  <c:v>1.2683339662693312E-4</c:v>
                </c:pt>
                <c:pt idx="361">
                  <c:v>1.2746129678876486E-4</c:v>
                </c:pt>
                <c:pt idx="362">
                  <c:v>1.282718347520473E-4</c:v>
                </c:pt>
                <c:pt idx="363">
                  <c:v>1.292580659467864E-4</c:v>
                </c:pt>
                <c:pt idx="364">
                  <c:v>1.3041278576760731E-4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3384"/>
        <c:axId val="611453776"/>
      </c:lineChart>
      <c:dateAx>
        <c:axId val="611453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3776"/>
        <c:crosses val="autoZero"/>
        <c:auto val="1"/>
        <c:lblOffset val="100"/>
        <c:baseTimeUnit val="days"/>
        <c:majorUnit val="1"/>
        <c:majorTimeUnit val="months"/>
      </c:dateAx>
      <c:valAx>
        <c:axId val="6114537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3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17.573511366821919</c:v>
                </c:pt>
                <c:pt idx="1">
                  <c:v>17.655285182359261</c:v>
                </c:pt>
                <c:pt idx="2">
                  <c:v>17.744340019059923</c:v>
                </c:pt>
                <c:pt idx="3">
                  <c:v>17.84118437244781</c:v>
                </c:pt>
                <c:pt idx="4">
                  <c:v>17.946326376794946</c:v>
                </c:pt>
                <c:pt idx="5">
                  <c:v>18.060273809340302</c:v>
                </c:pt>
                <c:pt idx="6">
                  <c:v>18.183534089754744</c:v>
                </c:pt>
                <c:pt idx="7">
                  <c:v>18.316614279228439</c:v>
                </c:pt>
                <c:pt idx="8">
                  <c:v>18.459561678304762</c:v>
                </c:pt>
                <c:pt idx="9">
                  <c:v>18.611801594019671</c:v>
                </c:pt>
                <c:pt idx="10">
                  <c:v>18.77291479105784</c:v>
                </c:pt>
                <c:pt idx="11">
                  <c:v>18.942479733549657</c:v>
                </c:pt>
                <c:pt idx="12">
                  <c:v>19.120075145548185</c:v>
                </c:pt>
                <c:pt idx="13">
                  <c:v>19.305280009590021</c:v>
                </c:pt>
                <c:pt idx="14">
                  <c:v>19.497673574675243</c:v>
                </c:pt>
                <c:pt idx="15">
                  <c:v>19.696820839143719</c:v>
                </c:pt>
                <c:pt idx="16">
                  <c:v>19.902303405139101</c:v>
                </c:pt>
                <c:pt idx="17">
                  <c:v>20.113701313013379</c:v>
                </c:pt>
                <c:pt idx="18">
                  <c:v>20.330594876265547</c:v>
                </c:pt>
                <c:pt idx="19">
                  <c:v>20.552564655282229</c:v>
                </c:pt>
                <c:pt idx="20">
                  <c:v>20.77919147385029</c:v>
                </c:pt>
                <c:pt idx="21">
                  <c:v>21.0100564365884</c:v>
                </c:pt>
                <c:pt idx="22">
                  <c:v>21.246618593916725</c:v>
                </c:pt>
                <c:pt idx="23">
                  <c:v>21.490343283467514</c:v>
                </c:pt>
                <c:pt idx="24">
                  <c:v>21.740843781624921</c:v>
                </c:pt>
                <c:pt idx="25">
                  <c:v>21.997730822246503</c:v>
                </c:pt>
                <c:pt idx="26">
                  <c:v>22.26061540107845</c:v>
                </c:pt>
                <c:pt idx="27">
                  <c:v>22.529108779864654</c:v>
                </c:pt>
                <c:pt idx="28">
                  <c:v>22.802822479546691</c:v>
                </c:pt>
                <c:pt idx="29">
                  <c:v>23.081374815620055</c:v>
                </c:pt>
                <c:pt idx="30">
                  <c:v>23.364392358533163</c:v>
                </c:pt>
                <c:pt idx="31">
                  <c:v>23.651487437327287</c:v>
                </c:pt>
                <c:pt idx="32">
                  <c:v>23.942272649284185</c:v>
                </c:pt>
                <c:pt idx="33">
                  <c:v>24.236360859843888</c:v>
                </c:pt>
                <c:pt idx="34">
                  <c:v>24.533365207945586</c:v>
                </c:pt>
                <c:pt idx="35">
                  <c:v>24.832899102314872</c:v>
                </c:pt>
                <c:pt idx="36">
                  <c:v>25.136165141263742</c:v>
                </c:pt>
                <c:pt idx="37">
                  <c:v>25.444462747165428</c:v>
                </c:pt>
                <c:pt idx="38">
                  <c:v>25.757513863547405</c:v>
                </c:pt>
                <c:pt idx="39">
                  <c:v>26.075027624383079</c:v>
                </c:pt>
                <c:pt idx="40">
                  <c:v>26.396713372227904</c:v>
                </c:pt>
                <c:pt idx="41">
                  <c:v>26.722280660352901</c:v>
                </c:pt>
                <c:pt idx="42">
                  <c:v>27.051439248371739</c:v>
                </c:pt>
                <c:pt idx="43">
                  <c:v>27.383932529332551</c:v>
                </c:pt>
                <c:pt idx="44">
                  <c:v>27.71946415934994</c:v>
                </c:pt>
                <c:pt idx="45">
                  <c:v>28.057744527113755</c:v>
                </c:pt>
                <c:pt idx="46">
                  <c:v>28.398484218513875</c:v>
                </c:pt>
                <c:pt idx="47">
                  <c:v>28.741394016240079</c:v>
                </c:pt>
                <c:pt idx="48">
                  <c:v>29.086184896323182</c:v>
                </c:pt>
                <c:pt idx="49">
                  <c:v>29.432568022491282</c:v>
                </c:pt>
                <c:pt idx="50">
                  <c:v>29.781391685538736</c:v>
                </c:pt>
                <c:pt idx="51">
                  <c:v>30.133548283516525</c:v>
                </c:pt>
                <c:pt idx="52">
                  <c:v>30.488810938702525</c:v>
                </c:pt>
                <c:pt idx="53">
                  <c:v>30.846986382501228</c:v>
                </c:pt>
                <c:pt idx="54">
                  <c:v>31.207881382340183</c:v>
                </c:pt>
                <c:pt idx="55">
                  <c:v>31.571302800333712</c:v>
                </c:pt>
                <c:pt idx="56">
                  <c:v>31.937057585692592</c:v>
                </c:pt>
                <c:pt idx="57">
                  <c:v>32.304927482390205</c:v>
                </c:pt>
                <c:pt idx="58">
                  <c:v>32.674685926678201</c:v>
                </c:pt>
                <c:pt idx="59">
                  <c:v>33.046140002665616</c:v>
                </c:pt>
                <c:pt idx="60">
                  <c:v>33.41909685763703</c:v>
                </c:pt>
                <c:pt idx="61">
                  <c:v>33.793363699835666</c:v>
                </c:pt>
                <c:pt idx="62">
                  <c:v>34.168747790494265</c:v>
                </c:pt>
                <c:pt idx="63">
                  <c:v>34.545056444523638</c:v>
                </c:pt>
                <c:pt idx="64">
                  <c:v>34.922991755398364</c:v>
                </c:pt>
                <c:pt idx="65">
                  <c:v>35.303262476310003</c:v>
                </c:pt>
                <c:pt idx="66">
                  <c:v>35.685694778490074</c:v>
                </c:pt>
                <c:pt idx="67">
                  <c:v>36.070095359776502</c:v>
                </c:pt>
                <c:pt idx="68">
                  <c:v>36.456270962922858</c:v>
                </c:pt>
                <c:pt idx="69">
                  <c:v>36.844028369284771</c:v>
                </c:pt>
                <c:pt idx="70">
                  <c:v>37.233174400326753</c:v>
                </c:pt>
                <c:pt idx="71">
                  <c:v>37.623523777351139</c:v>
                </c:pt>
                <c:pt idx="72">
                  <c:v>38.014909017949542</c:v>
                </c:pt>
                <c:pt idx="73">
                  <c:v>38.407137173009183</c:v>
                </c:pt>
                <c:pt idx="74">
                  <c:v>38.800015341518687</c:v>
                </c:pt>
                <c:pt idx="75">
                  <c:v>39.193350674800648</c:v>
                </c:pt>
                <c:pt idx="76">
                  <c:v>39.586950375621711</c:v>
                </c:pt>
                <c:pt idx="77">
                  <c:v>39.980621703417569</c:v>
                </c:pt>
                <c:pt idx="78">
                  <c:v>40.3779661061605</c:v>
                </c:pt>
                <c:pt idx="79">
                  <c:v>40.781696075859301</c:v>
                </c:pt>
                <c:pt idx="80">
                  <c:v>41.19026984494397</c:v>
                </c:pt>
                <c:pt idx="81">
                  <c:v>41.602153864842336</c:v>
                </c:pt>
                <c:pt idx="82">
                  <c:v>42.015815514950262</c:v>
                </c:pt>
                <c:pt idx="83">
                  <c:v>42.429723107193404</c:v>
                </c:pt>
                <c:pt idx="84">
                  <c:v>42.842345894092603</c:v>
                </c:pt>
                <c:pt idx="85">
                  <c:v>43.252158308021961</c:v>
                </c:pt>
                <c:pt idx="86">
                  <c:v>43.657623481688212</c:v>
                </c:pt>
                <c:pt idx="87">
                  <c:v>44.057213525734682</c:v>
                </c:pt>
                <c:pt idx="88">
                  <c:v>44.449401533964853</c:v>
                </c:pt>
                <c:pt idx="89">
                  <c:v>44.8326615942308</c:v>
                </c:pt>
                <c:pt idx="90">
                  <c:v>45.205468806615286</c:v>
                </c:pt>
                <c:pt idx="91">
                  <c:v>45.566299293830184</c:v>
                </c:pt>
                <c:pt idx="92">
                  <c:v>45.917654280721813</c:v>
                </c:pt>
                <c:pt idx="93">
                  <c:v>46.262983544586163</c:v>
                </c:pt>
                <c:pt idx="94">
                  <c:v>46.602186521354241</c:v>
                </c:pt>
                <c:pt idx="95">
                  <c:v>46.93516895320743</c:v>
                </c:pt>
                <c:pt idx="96">
                  <c:v>47.261836663705346</c:v>
                </c:pt>
                <c:pt idx="97">
                  <c:v>47.582095573749093</c:v>
                </c:pt>
                <c:pt idx="98">
                  <c:v>47.895851700102106</c:v>
                </c:pt>
                <c:pt idx="99">
                  <c:v>48.203004819839578</c:v>
                </c:pt>
                <c:pt idx="100">
                  <c:v>48.503456630130096</c:v>
                </c:pt>
                <c:pt idx="101">
                  <c:v>48.797113323144579</c:v>
                </c:pt>
                <c:pt idx="102">
                  <c:v>49.083881206660735</c:v>
                </c:pt>
                <c:pt idx="103">
                  <c:v>49.363666701633626</c:v>
                </c:pt>
                <c:pt idx="104">
                  <c:v>49.636376355328991</c:v>
                </c:pt>
                <c:pt idx="105">
                  <c:v>49.901916838536451</c:v>
                </c:pt>
                <c:pt idx="106">
                  <c:v>50.160226699002074</c:v>
                </c:pt>
                <c:pt idx="107">
                  <c:v>50.411367359835069</c:v>
                </c:pt>
                <c:pt idx="108">
                  <c:v>50.655440354659738</c:v>
                </c:pt>
                <c:pt idx="109">
                  <c:v>50.892543031441555</c:v>
                </c:pt>
                <c:pt idx="110">
                  <c:v>51.122772755306798</c:v>
                </c:pt>
                <c:pt idx="111">
                  <c:v>51.346226912185216</c:v>
                </c:pt>
                <c:pt idx="112">
                  <c:v>51.563002932253873</c:v>
                </c:pt>
                <c:pt idx="113">
                  <c:v>51.773194716908854</c:v>
                </c:pt>
                <c:pt idx="114">
                  <c:v>51.976906631653023</c:v>
                </c:pt>
                <c:pt idx="115">
                  <c:v>52.17423630257499</c:v>
                </c:pt>
                <c:pt idx="116">
                  <c:v>52.365281411182522</c:v>
                </c:pt>
                <c:pt idx="117">
                  <c:v>52.550139701559054</c:v>
                </c:pt>
                <c:pt idx="118">
                  <c:v>52.728908986104578</c:v>
                </c:pt>
                <c:pt idx="119">
                  <c:v>52.901687148207202</c:v>
                </c:pt>
                <c:pt idx="120">
                  <c:v>53.067923289611016</c:v>
                </c:pt>
                <c:pt idx="121">
                  <c:v>53.22712845346517</c:v>
                </c:pt>
                <c:pt idx="122">
                  <c:v>53.379501006685999</c:v>
                </c:pt>
                <c:pt idx="123">
                  <c:v>53.525234815721554</c:v>
                </c:pt>
                <c:pt idx="124">
                  <c:v>53.664523777867331</c:v>
                </c:pt>
                <c:pt idx="125">
                  <c:v>53.797561825764177</c:v>
                </c:pt>
                <c:pt idx="126">
                  <c:v>53.924542924079979</c:v>
                </c:pt>
                <c:pt idx="127">
                  <c:v>54.045661158739499</c:v>
                </c:pt>
                <c:pt idx="128">
                  <c:v>54.161114638469911</c:v>
                </c:pt>
                <c:pt idx="129">
                  <c:v>54.271097563967167</c:v>
                </c:pt>
                <c:pt idx="130">
                  <c:v>54.375804183358639</c:v>
                </c:pt>
                <c:pt idx="131">
                  <c:v>54.475428783055918</c:v>
                </c:pt>
                <c:pt idx="132">
                  <c:v>54.570165692659529</c:v>
                </c:pt>
                <c:pt idx="133">
                  <c:v>54.660209275787132</c:v>
                </c:pt>
                <c:pt idx="134">
                  <c:v>54.744665009566717</c:v>
                </c:pt>
                <c:pt idx="135">
                  <c:v>54.822701819822434</c:v>
                </c:pt>
                <c:pt idx="136">
                  <c:v>54.894612360038145</c:v>
                </c:pt>
                <c:pt idx="137">
                  <c:v>54.96068704415238</c:v>
                </c:pt>
                <c:pt idx="138">
                  <c:v>55.021216227998408</c:v>
                </c:pt>
                <c:pt idx="139">
                  <c:v>55.076490191347709</c:v>
                </c:pt>
                <c:pt idx="140">
                  <c:v>55.126799138353668</c:v>
                </c:pt>
                <c:pt idx="141">
                  <c:v>55.172432278787284</c:v>
                </c:pt>
                <c:pt idx="142">
                  <c:v>55.213679491701292</c:v>
                </c:pt>
                <c:pt idx="143">
                  <c:v>55.25083063721096</c:v>
                </c:pt>
                <c:pt idx="144">
                  <c:v>55.284175433071532</c:v>
                </c:pt>
                <c:pt idx="145">
                  <c:v>55.314003451837905</c:v>
                </c:pt>
                <c:pt idx="146">
                  <c:v>55.340604111162172</c:v>
                </c:pt>
                <c:pt idx="147">
                  <c:v>55.364266650913592</c:v>
                </c:pt>
                <c:pt idx="148">
                  <c:v>55.383958353818841</c:v>
                </c:pt>
                <c:pt idx="149">
                  <c:v>55.398647963104175</c:v>
                </c:pt>
                <c:pt idx="150">
                  <c:v>55.408626484745383</c:v>
                </c:pt>
                <c:pt idx="151">
                  <c:v>55.414184011429256</c:v>
                </c:pt>
                <c:pt idx="152">
                  <c:v>55.415610373928089</c:v>
                </c:pt>
                <c:pt idx="153">
                  <c:v>55.413195129054998</c:v>
                </c:pt>
                <c:pt idx="154">
                  <c:v>55.407227545607419</c:v>
                </c:pt>
                <c:pt idx="155">
                  <c:v>55.397996697412381</c:v>
                </c:pt>
                <c:pt idx="156">
                  <c:v>55.385792286750103</c:v>
                </c:pt>
                <c:pt idx="157">
                  <c:v>55.370902647555816</c:v>
                </c:pt>
                <c:pt idx="158">
                  <c:v>55.353615761058784</c:v>
                </c:pt>
                <c:pt idx="159">
                  <c:v>55.334219242126515</c:v>
                </c:pt>
                <c:pt idx="160">
                  <c:v>55.313000325571139</c:v>
                </c:pt>
                <c:pt idx="161">
                  <c:v>55.290245853792378</c:v>
                </c:pt>
                <c:pt idx="162">
                  <c:v>55.265332238187831</c:v>
                </c:pt>
                <c:pt idx="163">
                  <c:v>55.237511781041121</c:v>
                </c:pt>
                <c:pt idx="164">
                  <c:v>55.206882407430349</c:v>
                </c:pt>
                <c:pt idx="165">
                  <c:v>55.173542384802857</c:v>
                </c:pt>
                <c:pt idx="166">
                  <c:v>55.137586312606878</c:v>
                </c:pt>
                <c:pt idx="167">
                  <c:v>55.099114787947457</c:v>
                </c:pt>
                <c:pt idx="168">
                  <c:v>55.058225508380609</c:v>
                </c:pt>
                <c:pt idx="169">
                  <c:v>55.015016638728426</c:v>
                </c:pt>
                <c:pt idx="170">
                  <c:v>54.969584791714617</c:v>
                </c:pt>
                <c:pt idx="171">
                  <c:v>54.922026374531065</c:v>
                </c:pt>
                <c:pt idx="172">
                  <c:v>54.872437462860447</c:v>
                </c:pt>
                <c:pt idx="173">
                  <c:v>54.820913828414334</c:v>
                </c:pt>
                <c:pt idx="174">
                  <c:v>54.767550919474751</c:v>
                </c:pt>
                <c:pt idx="175">
                  <c:v>54.712443837302729</c:v>
                </c:pt>
                <c:pt idx="176">
                  <c:v>54.655859502278368</c:v>
                </c:pt>
                <c:pt idx="177">
                  <c:v>54.597876735762604</c:v>
                </c:pt>
                <c:pt idx="178">
                  <c:v>54.538306779923182</c:v>
                </c:pt>
                <c:pt idx="179">
                  <c:v>54.476962015847683</c:v>
                </c:pt>
                <c:pt idx="180">
                  <c:v>54.413654738231003</c:v>
                </c:pt>
                <c:pt idx="181">
                  <c:v>54.348197165140512</c:v>
                </c:pt>
                <c:pt idx="182">
                  <c:v>54.280401446297148</c:v>
                </c:pt>
                <c:pt idx="183">
                  <c:v>54.210080386383517</c:v>
                </c:pt>
                <c:pt idx="184">
                  <c:v>54.13704470259448</c:v>
                </c:pt>
                <c:pt idx="185">
                  <c:v>54.061106377735435</c:v>
                </c:pt>
                <c:pt idx="186">
                  <c:v>53.982077371065785</c:v>
                </c:pt>
                <c:pt idx="187">
                  <c:v>53.899769634274001</c:v>
                </c:pt>
                <c:pt idx="188">
                  <c:v>53.813995120993461</c:v>
                </c:pt>
                <c:pt idx="189">
                  <c:v>53.724565803955585</c:v>
                </c:pt>
                <c:pt idx="190">
                  <c:v>53.631964974170089</c:v>
                </c:pt>
                <c:pt idx="191">
                  <c:v>53.53673649748449</c:v>
                </c:pt>
                <c:pt idx="192">
                  <c:v>53.438785392135728</c:v>
                </c:pt>
                <c:pt idx="193">
                  <c:v>53.338016750669929</c:v>
                </c:pt>
                <c:pt idx="194">
                  <c:v>53.234335707890999</c:v>
                </c:pt>
                <c:pt idx="195">
                  <c:v>53.127647454751511</c:v>
                </c:pt>
                <c:pt idx="196">
                  <c:v>53.017857250495069</c:v>
                </c:pt>
                <c:pt idx="197">
                  <c:v>52.904868883839349</c:v>
                </c:pt>
                <c:pt idx="198">
                  <c:v>52.788587011547484</c:v>
                </c:pt>
                <c:pt idx="199">
                  <c:v>52.668917133980621</c:v>
                </c:pt>
                <c:pt idx="200">
                  <c:v>52.545764873208633</c:v>
                </c:pt>
                <c:pt idx="201">
                  <c:v>52.419035978123823</c:v>
                </c:pt>
                <c:pt idx="202">
                  <c:v>52.288636343001009</c:v>
                </c:pt>
                <c:pt idx="203">
                  <c:v>52.154472006635636</c:v>
                </c:pt>
                <c:pt idx="204">
                  <c:v>52.016480320182318</c:v>
                </c:pt>
                <c:pt idx="205">
                  <c:v>51.87472348306521</c:v>
                </c:pt>
                <c:pt idx="206">
                  <c:v>51.729296388608951</c:v>
                </c:pt>
                <c:pt idx="207">
                  <c:v>51.580292419591856</c:v>
                </c:pt>
                <c:pt idx="208">
                  <c:v>51.42780502320565</c:v>
                </c:pt>
                <c:pt idx="209">
                  <c:v>51.271927707038266</c:v>
                </c:pt>
                <c:pt idx="210">
                  <c:v>51.112754041656885</c:v>
                </c:pt>
                <c:pt idx="211">
                  <c:v>50.950373793012105</c:v>
                </c:pt>
                <c:pt idx="212">
                  <c:v>50.784882385715846</c:v>
                </c:pt>
                <c:pt idx="213">
                  <c:v>50.616373586943688</c:v>
                </c:pt>
                <c:pt idx="214">
                  <c:v>50.444941225401422</c:v>
                </c:pt>
                <c:pt idx="215">
                  <c:v>50.27067918212957</c:v>
                </c:pt>
                <c:pt idx="216">
                  <c:v>50.093681388871815</c:v>
                </c:pt>
                <c:pt idx="217">
                  <c:v>49.914041821377481</c:v>
                </c:pt>
                <c:pt idx="218">
                  <c:v>49.732025501247215</c:v>
                </c:pt>
                <c:pt idx="219">
                  <c:v>49.547702668031775</c:v>
                </c:pt>
                <c:pt idx="220">
                  <c:v>49.360887459115943</c:v>
                </c:pt>
                <c:pt idx="221">
                  <c:v>49.171394293068111</c:v>
                </c:pt>
                <c:pt idx="222">
                  <c:v>48.979037767257189</c:v>
                </c:pt>
                <c:pt idx="223">
                  <c:v>48.783632651040548</c:v>
                </c:pt>
                <c:pt idx="224">
                  <c:v>48.584993877999167</c:v>
                </c:pt>
                <c:pt idx="225">
                  <c:v>48.382926274431853</c:v>
                </c:pt>
                <c:pt idx="226">
                  <c:v>48.17724898386286</c:v>
                </c:pt>
                <c:pt idx="227">
                  <c:v>47.967777367547406</c:v>
                </c:pt>
                <c:pt idx="228">
                  <c:v>47.754326927019683</c:v>
                </c:pt>
                <c:pt idx="229">
                  <c:v>47.536713297053829</c:v>
                </c:pt>
                <c:pt idx="230">
                  <c:v>47.314752243668515</c:v>
                </c:pt>
                <c:pt idx="231">
                  <c:v>47.088259654667276</c:v>
                </c:pt>
                <c:pt idx="232">
                  <c:v>46.857920387324427</c:v>
                </c:pt>
                <c:pt idx="233">
                  <c:v>46.624401480251251</c:v>
                </c:pt>
                <c:pt idx="234">
                  <c:v>46.387526735063616</c:v>
                </c:pt>
                <c:pt idx="235">
                  <c:v>46.147111751258819</c:v>
                </c:pt>
                <c:pt idx="236">
                  <c:v>45.902972242908618</c:v>
                </c:pt>
                <c:pt idx="237">
                  <c:v>45.654924036134659</c:v>
                </c:pt>
                <c:pt idx="238">
                  <c:v>45.402783067555859</c:v>
                </c:pt>
                <c:pt idx="239">
                  <c:v>45.146353915017471</c:v>
                </c:pt>
                <c:pt idx="240">
                  <c:v>44.885463098713913</c:v>
                </c:pt>
                <c:pt idx="241">
                  <c:v>44.619926869009838</c:v>
                </c:pt>
                <c:pt idx="242">
                  <c:v>44.349561578282284</c:v>
                </c:pt>
                <c:pt idx="243">
                  <c:v>44.074183681083738</c:v>
                </c:pt>
                <c:pt idx="244">
                  <c:v>43.793609741685714</c:v>
                </c:pt>
                <c:pt idx="245">
                  <c:v>43.507656417891063</c:v>
                </c:pt>
                <c:pt idx="246">
                  <c:v>43.215799781812983</c:v>
                </c:pt>
                <c:pt idx="247">
                  <c:v>42.917901709744434</c:v>
                </c:pt>
                <c:pt idx="248">
                  <c:v>42.614354209482983</c:v>
                </c:pt>
                <c:pt idx="249">
                  <c:v>42.305531523204436</c:v>
                </c:pt>
                <c:pt idx="250">
                  <c:v>41.991807688999593</c:v>
                </c:pt>
                <c:pt idx="251">
                  <c:v>41.673556543228138</c:v>
                </c:pt>
                <c:pt idx="252">
                  <c:v>41.351151728770155</c:v>
                </c:pt>
                <c:pt idx="253">
                  <c:v>41.024990004789302</c:v>
                </c:pt>
                <c:pt idx="254">
                  <c:v>40.695456099010357</c:v>
                </c:pt>
                <c:pt idx="255">
                  <c:v>40.362923039246084</c:v>
                </c:pt>
                <c:pt idx="256">
                  <c:v>40.027763639645649</c:v>
                </c:pt>
                <c:pt idx="257">
                  <c:v>39.690350504992544</c:v>
                </c:pt>
                <c:pt idx="258">
                  <c:v>39.351056027633675</c:v>
                </c:pt>
                <c:pt idx="259">
                  <c:v>39.010252385596772</c:v>
                </c:pt>
                <c:pt idx="260">
                  <c:v>38.665374347723471</c:v>
                </c:pt>
                <c:pt idx="261">
                  <c:v>38.314252095710103</c:v>
                </c:pt>
                <c:pt idx="262">
                  <c:v>37.957801542946385</c:v>
                </c:pt>
                <c:pt idx="263">
                  <c:v>37.596951964125005</c:v>
                </c:pt>
                <c:pt idx="264">
                  <c:v>37.232632109931693</c:v>
                </c:pt>
                <c:pt idx="265">
                  <c:v>36.865770095924198</c:v>
                </c:pt>
                <c:pt idx="266">
                  <c:v>36.497293577245557</c:v>
                </c:pt>
                <c:pt idx="267">
                  <c:v>36.128142898823739</c:v>
                </c:pt>
                <c:pt idx="268">
                  <c:v>35.759221598254769</c:v>
                </c:pt>
                <c:pt idx="269">
                  <c:v>35.391455901160981</c:v>
                </c:pt>
                <c:pt idx="270">
                  <c:v>35.025771537616862</c:v>
                </c:pt>
                <c:pt idx="271">
                  <c:v>34.663093746652976</c:v>
                </c:pt>
                <c:pt idx="272">
                  <c:v>34.304347284692597</c:v>
                </c:pt>
                <c:pt idx="273">
                  <c:v>33.950456428973673</c:v>
                </c:pt>
                <c:pt idx="274">
                  <c:v>33.599628377215431</c:v>
                </c:pt>
                <c:pt idx="275">
                  <c:v>33.249506686092609</c:v>
                </c:pt>
                <c:pt idx="276">
                  <c:v>32.900252858065251</c:v>
                </c:pt>
                <c:pt idx="277">
                  <c:v>32.552051149819604</c:v>
                </c:pt>
                <c:pt idx="278">
                  <c:v>32.205085654259847</c:v>
                </c:pt>
                <c:pt idx="279">
                  <c:v>31.859540299129314</c:v>
                </c:pt>
                <c:pt idx="280">
                  <c:v>31.515598849126405</c:v>
                </c:pt>
                <c:pt idx="281">
                  <c:v>31.173398388720571</c:v>
                </c:pt>
                <c:pt idx="282">
                  <c:v>30.833110076569781</c:v>
                </c:pt>
                <c:pt idx="283">
                  <c:v>30.494917729153041</c:v>
                </c:pt>
                <c:pt idx="284">
                  <c:v>30.159005046147183</c:v>
                </c:pt>
                <c:pt idx="285">
                  <c:v>29.82555561537901</c:v>
                </c:pt>
                <c:pt idx="286">
                  <c:v>29.494752916772971</c:v>
                </c:pt>
                <c:pt idx="287">
                  <c:v>29.166780329734852</c:v>
                </c:pt>
                <c:pt idx="288">
                  <c:v>28.841358645703451</c:v>
                </c:pt>
                <c:pt idx="289">
                  <c:v>28.518173981132101</c:v>
                </c:pt>
                <c:pt idx="290">
                  <c:v>28.197291214000529</c:v>
                </c:pt>
                <c:pt idx="291">
                  <c:v>27.878706923239822</c:v>
                </c:pt>
                <c:pt idx="292">
                  <c:v>27.562417569037585</c:v>
                </c:pt>
                <c:pt idx="293">
                  <c:v>27.248419500639329</c:v>
                </c:pt>
                <c:pt idx="294">
                  <c:v>26.936708967037269</c:v>
                </c:pt>
                <c:pt idx="295">
                  <c:v>26.627360871940038</c:v>
                </c:pt>
                <c:pt idx="296">
                  <c:v>26.320414048098407</c:v>
                </c:pt>
                <c:pt idx="297">
                  <c:v>26.01586262654045</c:v>
                </c:pt>
                <c:pt idx="298">
                  <c:v>25.713700903036813</c:v>
                </c:pt>
                <c:pt idx="299">
                  <c:v>25.413923109907966</c:v>
                </c:pt>
                <c:pt idx="300">
                  <c:v>25.116523435425322</c:v>
                </c:pt>
                <c:pt idx="301">
                  <c:v>24.821496047299629</c:v>
                </c:pt>
                <c:pt idx="302">
                  <c:v>24.527833998470076</c:v>
                </c:pt>
                <c:pt idx="303">
                  <c:v>24.234848929602027</c:v>
                </c:pt>
                <c:pt idx="304">
                  <c:v>23.94291407183152</c:v>
                </c:pt>
                <c:pt idx="305">
                  <c:v>23.652486945249976</c:v>
                </c:pt>
                <c:pt idx="306">
                  <c:v>23.364025054893322</c:v>
                </c:pt>
                <c:pt idx="307">
                  <c:v>23.07798590930987</c:v>
                </c:pt>
                <c:pt idx="308">
                  <c:v>22.794827040051516</c:v>
                </c:pt>
                <c:pt idx="309">
                  <c:v>22.514976608910004</c:v>
                </c:pt>
                <c:pt idx="310">
                  <c:v>22.238819157838986</c:v>
                </c:pt>
                <c:pt idx="311">
                  <c:v>21.966813843869236</c:v>
                </c:pt>
                <c:pt idx="312">
                  <c:v>21.699419876614357</c:v>
                </c:pt>
                <c:pt idx="313">
                  <c:v>21.437096520992228</c:v>
                </c:pt>
                <c:pt idx="314">
                  <c:v>21.180303093496313</c:v>
                </c:pt>
                <c:pt idx="315">
                  <c:v>20.929498963694954</c:v>
                </c:pt>
                <c:pt idx="316">
                  <c:v>20.682789075597306</c:v>
                </c:pt>
                <c:pt idx="317">
                  <c:v>20.438310416675751</c:v>
                </c:pt>
                <c:pt idx="318">
                  <c:v>20.196606529601986</c:v>
                </c:pt>
                <c:pt idx="319">
                  <c:v>19.958230693955681</c:v>
                </c:pt>
                <c:pt idx="320">
                  <c:v>19.723736187683166</c:v>
                </c:pt>
                <c:pt idx="321">
                  <c:v>19.493676277900462</c:v>
                </c:pt>
                <c:pt idx="322">
                  <c:v>19.268604202246177</c:v>
                </c:pt>
                <c:pt idx="323">
                  <c:v>19.049067491237796</c:v>
                </c:pt>
                <c:pt idx="324">
                  <c:v>18.835646837896814</c:v>
                </c:pt>
                <c:pt idx="325">
                  <c:v>18.628895044659306</c:v>
                </c:pt>
                <c:pt idx="326">
                  <c:v>18.42936489240536</c:v>
                </c:pt>
                <c:pt idx="327">
                  <c:v>18.237609025089561</c:v>
                </c:pt>
                <c:pt idx="328">
                  <c:v>18.054179926133937</c:v>
                </c:pt>
                <c:pt idx="329">
                  <c:v>17.87962996217302</c:v>
                </c:pt>
                <c:pt idx="330">
                  <c:v>17.71212852604139</c:v>
                </c:pt>
                <c:pt idx="331">
                  <c:v>17.549780233052473</c:v>
                </c:pt>
                <c:pt idx="332">
                  <c:v>17.393074446144624</c:v>
                </c:pt>
                <c:pt idx="333">
                  <c:v>17.242471720713919</c:v>
                </c:pt>
                <c:pt idx="334">
                  <c:v>17.098432490425651</c:v>
                </c:pt>
                <c:pt idx="335">
                  <c:v>16.961417057397878</c:v>
                </c:pt>
                <c:pt idx="336">
                  <c:v>16.831885573296685</c:v>
                </c:pt>
                <c:pt idx="337">
                  <c:v>16.710292455968787</c:v>
                </c:pt>
                <c:pt idx="338">
                  <c:v>16.597102940932686</c:v>
                </c:pt>
                <c:pt idx="339">
                  <c:v>16.492776644976111</c:v>
                </c:pt>
                <c:pt idx="340">
                  <c:v>16.397772976080372</c:v>
                </c:pt>
                <c:pt idx="341">
                  <c:v>16.312551121558748</c:v>
                </c:pt>
                <c:pt idx="342">
                  <c:v>16.237570047091747</c:v>
                </c:pt>
                <c:pt idx="343">
                  <c:v>16.173288470915931</c:v>
                </c:pt>
                <c:pt idx="344">
                  <c:v>16.120879411819445</c:v>
                </c:pt>
                <c:pt idx="345">
                  <c:v>16.0806342195567</c:v>
                </c:pt>
                <c:pt idx="346">
                  <c:v>16.0516909761545</c:v>
                </c:pt>
                <c:pt idx="347">
                  <c:v>16.033186223076342</c:v>
                </c:pt>
                <c:pt idx="348">
                  <c:v>16.024256818723192</c:v>
                </c:pt>
                <c:pt idx="349">
                  <c:v>16.024039939990438</c:v>
                </c:pt>
                <c:pt idx="350">
                  <c:v>16.031673094572767</c:v>
                </c:pt>
                <c:pt idx="351">
                  <c:v>16.046292153291866</c:v>
                </c:pt>
                <c:pt idx="352">
                  <c:v>16.067040739645744</c:v>
                </c:pt>
                <c:pt idx="353">
                  <c:v>16.093057375708987</c:v>
                </c:pt>
                <c:pt idx="354">
                  <c:v>16.123480937761382</c:v>
                </c:pt>
                <c:pt idx="355">
                  <c:v>16.157450663518912</c:v>
                </c:pt>
                <c:pt idx="356">
                  <c:v>16.194106192607343</c:v>
                </c:pt>
                <c:pt idx="357">
                  <c:v>16.232587444367997</c:v>
                </c:pt>
                <c:pt idx="358">
                  <c:v>16.273049918728507</c:v>
                </c:pt>
                <c:pt idx="359">
                  <c:v>16.316546292555611</c:v>
                </c:pt>
                <c:pt idx="360">
                  <c:v>16.363556969160239</c:v>
                </c:pt>
                <c:pt idx="361">
                  <c:v>16.414569448584185</c:v>
                </c:pt>
                <c:pt idx="362">
                  <c:v>16.470068989950043</c:v>
                </c:pt>
                <c:pt idx="363">
                  <c:v>16.5305405671856</c:v>
                </c:pt>
                <c:pt idx="364">
                  <c:v>16.59646887530257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17.207095158395393</c:v>
                </c:pt>
                <c:pt idx="1">
                  <c:v>13.625354427694436</c:v>
                </c:pt>
                <c:pt idx="2">
                  <c:v>13.466926505969324</c:v>
                </c:pt>
                <c:pt idx="3">
                  <c:v>13.94822060184233</c:v>
                </c:pt>
                <c:pt idx="4">
                  <c:v>11.936823458311526</c:v>
                </c:pt>
                <c:pt idx="5">
                  <c:v>15.334476140966938</c:v>
                </c:pt>
                <c:pt idx="6">
                  <c:v>9.5243830671820557</c:v>
                </c:pt>
                <c:pt idx="7">
                  <c:v>6.9245978701710147</c:v>
                </c:pt>
                <c:pt idx="8">
                  <c:v>2.0849279203559701</c:v>
                </c:pt>
                <c:pt idx="9">
                  <c:v>1.666231275347186</c:v>
                </c:pt>
                <c:pt idx="10">
                  <c:v>19.398307377139744</c:v>
                </c:pt>
                <c:pt idx="11">
                  <c:v>16.459622660966598</c:v>
                </c:pt>
                <c:pt idx="12">
                  <c:v>5.387669476366522</c:v>
                </c:pt>
                <c:pt idx="13">
                  <c:v>19.824457422019151</c:v>
                </c:pt>
                <c:pt idx="14">
                  <c:v>19.777260863850792</c:v>
                </c:pt>
                <c:pt idx="15">
                  <c:v>19.50609047231762</c:v>
                </c:pt>
                <c:pt idx="16">
                  <c:v>11.49830273131861</c:v>
                </c:pt>
                <c:pt idx="17">
                  <c:v>3.7686056683386262</c:v>
                </c:pt>
                <c:pt idx="18">
                  <c:v>8.7998862224097323</c:v>
                </c:pt>
                <c:pt idx="19">
                  <c:v>6.4233513369891835</c:v>
                </c:pt>
                <c:pt idx="20">
                  <c:v>17.431576623038382</c:v>
                </c:pt>
                <c:pt idx="21">
                  <c:v>20.939374491414078</c:v>
                </c:pt>
                <c:pt idx="22">
                  <c:v>21.158465658874665</c:v>
                </c:pt>
                <c:pt idx="23">
                  <c:v>21.502355210695011</c:v>
                </c:pt>
                <c:pt idx="24">
                  <c:v>21.463428778744763</c:v>
                </c:pt>
                <c:pt idx="25">
                  <c:v>21.591176668190329</c:v>
                </c:pt>
                <c:pt idx="26">
                  <c:v>22.490741654744568</c:v>
                </c:pt>
                <c:pt idx="27">
                  <c:v>4.1824715306641771</c:v>
                </c:pt>
                <c:pt idx="28">
                  <c:v>9.5270769882313218</c:v>
                </c:pt>
                <c:pt idx="29">
                  <c:v>4.5572123989825375</c:v>
                </c:pt>
                <c:pt idx="30">
                  <c:v>8.0487089236492775</c:v>
                </c:pt>
                <c:pt idx="31">
                  <c:v>9.4576715421427995</c:v>
                </c:pt>
                <c:pt idx="32">
                  <c:v>5.359324464598223</c:v>
                </c:pt>
                <c:pt idx="33">
                  <c:v>9.7425364234518756</c:v>
                </c:pt>
                <c:pt idx="34">
                  <c:v>9.6173940553542607</c:v>
                </c:pt>
                <c:pt idx="35">
                  <c:v>8.8468154796541754</c:v>
                </c:pt>
                <c:pt idx="36">
                  <c:v>16.883552954010586</c:v>
                </c:pt>
                <c:pt idx="37">
                  <c:v>9.0166164965858577</c:v>
                </c:pt>
                <c:pt idx="38">
                  <c:v>26.389236887658033</c:v>
                </c:pt>
                <c:pt idx="39">
                  <c:v>26.466639138723401</c:v>
                </c:pt>
                <c:pt idx="40">
                  <c:v>24.839211087651645</c:v>
                </c:pt>
                <c:pt idx="41">
                  <c:v>15.788713563162334</c:v>
                </c:pt>
                <c:pt idx="42">
                  <c:v>22.826153241116703</c:v>
                </c:pt>
                <c:pt idx="43">
                  <c:v>27.002189448953654</c:v>
                </c:pt>
                <c:pt idx="44">
                  <c:v>14.14263313947388</c:v>
                </c:pt>
                <c:pt idx="45">
                  <c:v>16.675780368307873</c:v>
                </c:pt>
                <c:pt idx="46">
                  <c:v>9.1781714282364231</c:v>
                </c:pt>
                <c:pt idx="47">
                  <c:v>10.929842230995204</c:v>
                </c:pt>
                <c:pt idx="48">
                  <c:v>24.198216287601682</c:v>
                </c:pt>
                <c:pt idx="49">
                  <c:v>18.505699791355465</c:v>
                </c:pt>
                <c:pt idx="50">
                  <c:v>18.158911205582797</c:v>
                </c:pt>
                <c:pt idx="51">
                  <c:v>19.802542746328747</c:v>
                </c:pt>
                <c:pt idx="52">
                  <c:v>28.899609760887547</c:v>
                </c:pt>
                <c:pt idx="53">
                  <c:v>29.114968002484275</c:v>
                </c:pt>
                <c:pt idx="54">
                  <c:v>17.856764035482371</c:v>
                </c:pt>
                <c:pt idx="55">
                  <c:v>28.707881655715685</c:v>
                </c:pt>
                <c:pt idx="56">
                  <c:v>32.837448215370344</c:v>
                </c:pt>
                <c:pt idx="57">
                  <c:v>26.88409459879691</c:v>
                </c:pt>
                <c:pt idx="58">
                  <c:v>27.911742864670959</c:v>
                </c:pt>
                <c:pt idx="59">
                  <c:v>33.101562350262469</c:v>
                </c:pt>
                <c:pt idx="60">
                  <c:v>10.616723176978409</c:v>
                </c:pt>
                <c:pt idx="61">
                  <c:v>31.719189525058187</c:v>
                </c:pt>
                <c:pt idx="62">
                  <c:v>3.7677183824582698</c:v>
                </c:pt>
                <c:pt idx="63">
                  <c:v>13.194895938165109</c:v>
                </c:pt>
                <c:pt idx="64">
                  <c:v>15.562289168320198</c:v>
                </c:pt>
                <c:pt idx="65">
                  <c:v>33.910767392920143</c:v>
                </c:pt>
                <c:pt idx="66">
                  <c:v>26.816039247396816</c:v>
                </c:pt>
                <c:pt idx="67">
                  <c:v>28.557503633041158</c:v>
                </c:pt>
                <c:pt idx="68">
                  <c:v>21.574342535657031</c:v>
                </c:pt>
                <c:pt idx="69">
                  <c:v>14.042614319098067</c:v>
                </c:pt>
                <c:pt idx="70">
                  <c:v>15.713193223506909</c:v>
                </c:pt>
                <c:pt idx="71">
                  <c:v>9.6144493959747859</c:v>
                </c:pt>
                <c:pt idx="72">
                  <c:v>14.15163034567094</c:v>
                </c:pt>
                <c:pt idx="73">
                  <c:v>13.419569937210872</c:v>
                </c:pt>
                <c:pt idx="74">
                  <c:v>13.142682817778406</c:v>
                </c:pt>
                <c:pt idx="75">
                  <c:v>11.394993344291754</c:v>
                </c:pt>
                <c:pt idx="76">
                  <c:v>14.75460732482871</c:v>
                </c:pt>
                <c:pt idx="77">
                  <c:v>26.023564332974985</c:v>
                </c:pt>
                <c:pt idx="78">
                  <c:v>29.239688525549845</c:v>
                </c:pt>
                <c:pt idx="79">
                  <c:v>39.058898670919724</c:v>
                </c:pt>
                <c:pt idx="80">
                  <c:v>37.018456551470138</c:v>
                </c:pt>
                <c:pt idx="81">
                  <c:v>42.501058467361815</c:v>
                </c:pt>
                <c:pt idx="82">
                  <c:v>41.860960826061138</c:v>
                </c:pt>
                <c:pt idx="83">
                  <c:v>39.532835389153291</c:v>
                </c:pt>
                <c:pt idx="84">
                  <c:v>42.071677421995524</c:v>
                </c:pt>
                <c:pt idx="85">
                  <c:v>40.322348721529281</c:v>
                </c:pt>
                <c:pt idx="86">
                  <c:v>30.510929681579931</c:v>
                </c:pt>
                <c:pt idx="87">
                  <c:v>26.275978720988888</c:v>
                </c:pt>
                <c:pt idx="88">
                  <c:v>7.7118469428269378</c:v>
                </c:pt>
                <c:pt idx="89">
                  <c:v>27.755596019390186</c:v>
                </c:pt>
                <c:pt idx="90">
                  <c:v>31.720544430964647</c:v>
                </c:pt>
                <c:pt idx="91">
                  <c:v>20.180109339578504</c:v>
                </c:pt>
                <c:pt idx="92">
                  <c:v>21.142084523701666</c:v>
                </c:pt>
                <c:pt idx="93">
                  <c:v>42.280786606038305</c:v>
                </c:pt>
                <c:pt idx="94">
                  <c:v>47.441044729862696</c:v>
                </c:pt>
                <c:pt idx="95">
                  <c:v>11.197873921915836</c:v>
                </c:pt>
                <c:pt idx="96">
                  <c:v>33.883805189579988</c:v>
                </c:pt>
                <c:pt idx="97">
                  <c:v>26.993352730087732</c:v>
                </c:pt>
                <c:pt idx="98">
                  <c:v>35.274631526248164</c:v>
                </c:pt>
                <c:pt idx="99">
                  <c:v>48.090874739826099</c:v>
                </c:pt>
                <c:pt idx="100">
                  <c:v>39.960725506434727</c:v>
                </c:pt>
                <c:pt idx="101">
                  <c:v>34.988990705170607</c:v>
                </c:pt>
                <c:pt idx="102">
                  <c:v>7.7542332906193634</c:v>
                </c:pt>
                <c:pt idx="103">
                  <c:v>38.012395859496174</c:v>
                </c:pt>
                <c:pt idx="104">
                  <c:v>42.026210091533862</c:v>
                </c:pt>
                <c:pt idx="105">
                  <c:v>45.573363990056542</c:v>
                </c:pt>
                <c:pt idx="106">
                  <c:v>49.880086873441279</c:v>
                </c:pt>
                <c:pt idx="107">
                  <c:v>39.332549776930236</c:v>
                </c:pt>
                <c:pt idx="108">
                  <c:v>9.1896915564579444</c:v>
                </c:pt>
                <c:pt idx="109">
                  <c:v>9.6394597431764666</c:v>
                </c:pt>
                <c:pt idx="110">
                  <c:v>9.3286360934818813</c:v>
                </c:pt>
                <c:pt idx="111">
                  <c:v>26.942480129715872</c:v>
                </c:pt>
                <c:pt idx="112">
                  <c:v>9.0566554902753769</c:v>
                </c:pt>
                <c:pt idx="113">
                  <c:v>31.154484816389974</c:v>
                </c:pt>
                <c:pt idx="114">
                  <c:v>46.685376903008589</c:v>
                </c:pt>
                <c:pt idx="115">
                  <c:v>50.789386333388236</c:v>
                </c:pt>
                <c:pt idx="116">
                  <c:v>37.04869438053705</c:v>
                </c:pt>
                <c:pt idx="117">
                  <c:v>22.916863236324073</c:v>
                </c:pt>
                <c:pt idx="118">
                  <c:v>41.643164213052195</c:v>
                </c:pt>
                <c:pt idx="119">
                  <c:v>43.88146356663654</c:v>
                </c:pt>
                <c:pt idx="120">
                  <c:v>44.741897339422493</c:v>
                </c:pt>
                <c:pt idx="121">
                  <c:v>26.153775097961621</c:v>
                </c:pt>
                <c:pt idx="122">
                  <c:v>35.939645046522202</c:v>
                </c:pt>
                <c:pt idx="123">
                  <c:v>20.382121519785365</c:v>
                </c:pt>
                <c:pt idx="124">
                  <c:v>41.655925827059569</c:v>
                </c:pt>
                <c:pt idx="125">
                  <c:v>35.180460256064542</c:v>
                </c:pt>
                <c:pt idx="126">
                  <c:v>49.617530316387551</c:v>
                </c:pt>
                <c:pt idx="127">
                  <c:v>45.101231314545728</c:v>
                </c:pt>
                <c:pt idx="128">
                  <c:v>51.648215306491153</c:v>
                </c:pt>
                <c:pt idx="129">
                  <c:v>47.901190107251388</c:v>
                </c:pt>
                <c:pt idx="130">
                  <c:v>52.057698732580825</c:v>
                </c:pt>
                <c:pt idx="131">
                  <c:v>40.062573343222624</c:v>
                </c:pt>
                <c:pt idx="132">
                  <c:v>41.580400332328104</c:v>
                </c:pt>
                <c:pt idx="133">
                  <c:v>45.816751919357543</c:v>
                </c:pt>
                <c:pt idx="134">
                  <c:v>48.79118957348431</c:v>
                </c:pt>
                <c:pt idx="135">
                  <c:v>47.061780171739549</c:v>
                </c:pt>
                <c:pt idx="136">
                  <c:v>50.61165885302723</c:v>
                </c:pt>
                <c:pt idx="137">
                  <c:v>49.46744833048762</c:v>
                </c:pt>
                <c:pt idx="138">
                  <c:v>52.288037282080253</c:v>
                </c:pt>
                <c:pt idx="139">
                  <c:v>45.840276601866108</c:v>
                </c:pt>
                <c:pt idx="140">
                  <c:v>45.439016900052088</c:v>
                </c:pt>
                <c:pt idx="141">
                  <c:v>33.655644535359713</c:v>
                </c:pt>
                <c:pt idx="142">
                  <c:v>19.119787204282538</c:v>
                </c:pt>
                <c:pt idx="143">
                  <c:v>15.564921226968471</c:v>
                </c:pt>
                <c:pt idx="144">
                  <c:v>37.912291723780598</c:v>
                </c:pt>
                <c:pt idx="145">
                  <c:v>22.315232261099148</c:v>
                </c:pt>
                <c:pt idx="146">
                  <c:v>43.970266705707978</c:v>
                </c:pt>
                <c:pt idx="147">
                  <c:v>52.404979432020305</c:v>
                </c:pt>
                <c:pt idx="148">
                  <c:v>56.46992684236973</c:v>
                </c:pt>
                <c:pt idx="149">
                  <c:v>48.915309964956315</c:v>
                </c:pt>
                <c:pt idx="150">
                  <c:v>51.94332266606704</c:v>
                </c:pt>
                <c:pt idx="151">
                  <c:v>52.712461136216675</c:v>
                </c:pt>
                <c:pt idx="152">
                  <c:v>43.68668316877627</c:v>
                </c:pt>
                <c:pt idx="153">
                  <c:v>50.915985965299562</c:v>
                </c:pt>
                <c:pt idx="154">
                  <c:v>25.218452459134987</c:v>
                </c:pt>
                <c:pt idx="155">
                  <c:v>35.094130487188714</c:v>
                </c:pt>
                <c:pt idx="156">
                  <c:v>42.30589249334345</c:v>
                </c:pt>
                <c:pt idx="157">
                  <c:v>28.868574261650075</c:v>
                </c:pt>
                <c:pt idx="158">
                  <c:v>20.254714698511446</c:v>
                </c:pt>
                <c:pt idx="159">
                  <c:v>41.702094372342316</c:v>
                </c:pt>
                <c:pt idx="160">
                  <c:v>54.12862972422861</c:v>
                </c:pt>
                <c:pt idx="161">
                  <c:v>52.073203084126035</c:v>
                </c:pt>
                <c:pt idx="162">
                  <c:v>40.504351991675897</c:v>
                </c:pt>
                <c:pt idx="163">
                  <c:v>51.315558412207231</c:v>
                </c:pt>
                <c:pt idx="164">
                  <c:v>44.357870143781263</c:v>
                </c:pt>
                <c:pt idx="165">
                  <c:v>51.430264926015631</c:v>
                </c:pt>
                <c:pt idx="166">
                  <c:v>48.992184554926922</c:v>
                </c:pt>
                <c:pt idx="167">
                  <c:v>49.536334667808674</c:v>
                </c:pt>
                <c:pt idx="168">
                  <c:v>51.73758839660092</c:v>
                </c:pt>
                <c:pt idx="169">
                  <c:v>53.019717975267952</c:v>
                </c:pt>
                <c:pt idx="170">
                  <c:v>31.301951645780324</c:v>
                </c:pt>
                <c:pt idx="171">
                  <c:v>21.88014243190953</c:v>
                </c:pt>
                <c:pt idx="172">
                  <c:v>41.156689366939354</c:v>
                </c:pt>
                <c:pt idx="173">
                  <c:v>39.151873065460819</c:v>
                </c:pt>
                <c:pt idx="174">
                  <c:v>37.737068465778776</c:v>
                </c:pt>
                <c:pt idx="175">
                  <c:v>31.079404865657917</c:v>
                </c:pt>
                <c:pt idx="176">
                  <c:v>11.741619587997096</c:v>
                </c:pt>
                <c:pt idx="177">
                  <c:v>13.667337998480708</c:v>
                </c:pt>
                <c:pt idx="178">
                  <c:v>55.680652319935263</c:v>
                </c:pt>
                <c:pt idx="179">
                  <c:v>53.396343996939009</c:v>
                </c:pt>
                <c:pt idx="180">
                  <c:v>13.501626905579254</c:v>
                </c:pt>
                <c:pt idx="181">
                  <c:v>50.280347739080113</c:v>
                </c:pt>
                <c:pt idx="182">
                  <c:v>52.791889547267324</c:v>
                </c:pt>
                <c:pt idx="183">
                  <c:v>41.15164591705954</c:v>
                </c:pt>
                <c:pt idx="184">
                  <c:v>40.874923110791592</c:v>
                </c:pt>
                <c:pt idx="185">
                  <c:v>52.606022635092323</c:v>
                </c:pt>
                <c:pt idx="186">
                  <c:v>46.189057195530602</c:v>
                </c:pt>
                <c:pt idx="187">
                  <c:v>52.693029555983124</c:v>
                </c:pt>
                <c:pt idx="188">
                  <c:v>54.998054796943258</c:v>
                </c:pt>
                <c:pt idx="189">
                  <c:v>54.059241860350888</c:v>
                </c:pt>
                <c:pt idx="190">
                  <c:v>53.430992052420947</c:v>
                </c:pt>
                <c:pt idx="191">
                  <c:v>51.7386925858941</c:v>
                </c:pt>
                <c:pt idx="192">
                  <c:v>51.383047014790435</c:v>
                </c:pt>
                <c:pt idx="193">
                  <c:v>50.920318733962851</c:v>
                </c:pt>
                <c:pt idx="194">
                  <c:v>50.064300299266733</c:v>
                </c:pt>
                <c:pt idx="195">
                  <c:v>49.128464979087369</c:v>
                </c:pt>
                <c:pt idx="196">
                  <c:v>50.609817288926763</c:v>
                </c:pt>
                <c:pt idx="197">
                  <c:v>49.731433000035565</c:v>
                </c:pt>
                <c:pt idx="198">
                  <c:v>50.431076380540219</c:v>
                </c:pt>
                <c:pt idx="199">
                  <c:v>42.581676206326669</c:v>
                </c:pt>
                <c:pt idx="200">
                  <c:v>41.445406679562211</c:v>
                </c:pt>
                <c:pt idx="201">
                  <c:v>48.13579934197525</c:v>
                </c:pt>
                <c:pt idx="202">
                  <c:v>36.777245503010974</c:v>
                </c:pt>
                <c:pt idx="203">
                  <c:v>47.912397165853548</c:v>
                </c:pt>
                <c:pt idx="204">
                  <c:v>48.237303156623952</c:v>
                </c:pt>
                <c:pt idx="205">
                  <c:v>25.937424296172907</c:v>
                </c:pt>
                <c:pt idx="206">
                  <c:v>54.159290180111647</c:v>
                </c:pt>
                <c:pt idx="207">
                  <c:v>52.565553476815204</c:v>
                </c:pt>
                <c:pt idx="208">
                  <c:v>42.088296077497098</c:v>
                </c:pt>
                <c:pt idx="209">
                  <c:v>30.918045434168533</c:v>
                </c:pt>
                <c:pt idx="210">
                  <c:v>47.422365761646418</c:v>
                </c:pt>
                <c:pt idx="211">
                  <c:v>50.530357643794638</c:v>
                </c:pt>
                <c:pt idx="212">
                  <c:v>50.229427785381041</c:v>
                </c:pt>
                <c:pt idx="213">
                  <c:v>50.003465141068517</c:v>
                </c:pt>
                <c:pt idx="214">
                  <c:v>45.942261678500046</c:v>
                </c:pt>
                <c:pt idx="215">
                  <c:v>45.717308024340113</c:v>
                </c:pt>
                <c:pt idx="216">
                  <c:v>43.746067773678277</c:v>
                </c:pt>
                <c:pt idx="217">
                  <c:v>45.828123365836284</c:v>
                </c:pt>
                <c:pt idx="218">
                  <c:v>48.566262772024608</c:v>
                </c:pt>
                <c:pt idx="219">
                  <c:v>48.850467820458029</c:v>
                </c:pt>
                <c:pt idx="220">
                  <c:v>46.688529324046193</c:v>
                </c:pt>
                <c:pt idx="221">
                  <c:v>43.701168545481821</c:v>
                </c:pt>
                <c:pt idx="222">
                  <c:v>42.345264480141225</c:v>
                </c:pt>
                <c:pt idx="223">
                  <c:v>43.443353841145253</c:v>
                </c:pt>
                <c:pt idx="224">
                  <c:v>31.742056340720108</c:v>
                </c:pt>
                <c:pt idx="225">
                  <c:v>31.115294055065441</c:v>
                </c:pt>
                <c:pt idx="226">
                  <c:v>37.62471512945465</c:v>
                </c:pt>
                <c:pt idx="227">
                  <c:v>32.350898362370799</c:v>
                </c:pt>
                <c:pt idx="228">
                  <c:v>26.937847566843207</c:v>
                </c:pt>
                <c:pt idx="229">
                  <c:v>33.536045009573463</c:v>
                </c:pt>
                <c:pt idx="230">
                  <c:v>40.047749370296778</c:v>
                </c:pt>
                <c:pt idx="231">
                  <c:v>44.955355434807771</c:v>
                </c:pt>
                <c:pt idx="232">
                  <c:v>28.867297479855587</c:v>
                </c:pt>
                <c:pt idx="233">
                  <c:v>24.727446239908097</c:v>
                </c:pt>
                <c:pt idx="234">
                  <c:v>45.187798949907247</c:v>
                </c:pt>
                <c:pt idx="235">
                  <c:v>40.25865996830121</c:v>
                </c:pt>
                <c:pt idx="236">
                  <c:v>32.06809365534918</c:v>
                </c:pt>
                <c:pt idx="237">
                  <c:v>40.225119088712511</c:v>
                </c:pt>
                <c:pt idx="238">
                  <c:v>44.568099667122532</c:v>
                </c:pt>
                <c:pt idx="239">
                  <c:v>42.378563333551291</c:v>
                </c:pt>
                <c:pt idx="240">
                  <c:v>29.811201676338563</c:v>
                </c:pt>
                <c:pt idx="241">
                  <c:v>42.239599071494183</c:v>
                </c:pt>
                <c:pt idx="242">
                  <c:v>22.412957429435579</c:v>
                </c:pt>
                <c:pt idx="243">
                  <c:v>36.870196189670779</c:v>
                </c:pt>
                <c:pt idx="244">
                  <c:v>36.08461833984282</c:v>
                </c:pt>
                <c:pt idx="245">
                  <c:v>34.021474928212946</c:v>
                </c:pt>
                <c:pt idx="246">
                  <c:v>39.967778806232509</c:v>
                </c:pt>
                <c:pt idx="247">
                  <c:v>34.842015214168057</c:v>
                </c:pt>
                <c:pt idx="248">
                  <c:v>40.366176100069694</c:v>
                </c:pt>
                <c:pt idx="249">
                  <c:v>32.995183113015756</c:v>
                </c:pt>
                <c:pt idx="250">
                  <c:v>30.975489222423157</c:v>
                </c:pt>
                <c:pt idx="251">
                  <c:v>22.971473012070607</c:v>
                </c:pt>
                <c:pt idx="252">
                  <c:v>40.186273602985032</c:v>
                </c:pt>
                <c:pt idx="253">
                  <c:v>38.999380006537095</c:v>
                </c:pt>
                <c:pt idx="254">
                  <c:v>27.69830912876856</c:v>
                </c:pt>
                <c:pt idx="255">
                  <c:v>13.014278353163149</c:v>
                </c:pt>
                <c:pt idx="256">
                  <c:v>30.982861393059686</c:v>
                </c:pt>
                <c:pt idx="257">
                  <c:v>35.318754444104727</c:v>
                </c:pt>
                <c:pt idx="258">
                  <c:v>30.302457117155299</c:v>
                </c:pt>
                <c:pt idx="259">
                  <c:v>39.593234957273708</c:v>
                </c:pt>
                <c:pt idx="260">
                  <c:v>39.138000160655288</c:v>
                </c:pt>
                <c:pt idx="261">
                  <c:v>37.620639870729732</c:v>
                </c:pt>
                <c:pt idx="262">
                  <c:v>39.201249712266154</c:v>
                </c:pt>
                <c:pt idx="263">
                  <c:v>37.901809867947726</c:v>
                </c:pt>
                <c:pt idx="264">
                  <c:v>36.234913228266691</c:v>
                </c:pt>
                <c:pt idx="265">
                  <c:v>22.745173643637756</c:v>
                </c:pt>
                <c:pt idx="266">
                  <c:v>14.80482678679768</c:v>
                </c:pt>
                <c:pt idx="267">
                  <c:v>30.212414287991759</c:v>
                </c:pt>
                <c:pt idx="268">
                  <c:v>26.88309333739182</c:v>
                </c:pt>
                <c:pt idx="269">
                  <c:v>16.130224740564863</c:v>
                </c:pt>
                <c:pt idx="270">
                  <c:v>18.206020154814912</c:v>
                </c:pt>
                <c:pt idx="271">
                  <c:v>21.472178596433665</c:v>
                </c:pt>
                <c:pt idx="272">
                  <c:v>24.557956114888931</c:v>
                </c:pt>
                <c:pt idx="273">
                  <c:v>30.856320324268044</c:v>
                </c:pt>
                <c:pt idx="274">
                  <c:v>32.509688333250232</c:v>
                </c:pt>
                <c:pt idx="275">
                  <c:v>31.901194761946019</c:v>
                </c:pt>
                <c:pt idx="276">
                  <c:v>32.919630012704609</c:v>
                </c:pt>
                <c:pt idx="277">
                  <c:v>33.884639730971628</c:v>
                </c:pt>
                <c:pt idx="278">
                  <c:v>10.615572469543441</c:v>
                </c:pt>
                <c:pt idx="279">
                  <c:v>23.66152069871254</c:v>
                </c:pt>
                <c:pt idx="280">
                  <c:v>15.668283838403809</c:v>
                </c:pt>
                <c:pt idx="281">
                  <c:v>30.71458385169208</c:v>
                </c:pt>
                <c:pt idx="282">
                  <c:v>24.659112399116246</c:v>
                </c:pt>
                <c:pt idx="283">
                  <c:v>19.1675485988664</c:v>
                </c:pt>
                <c:pt idx="284">
                  <c:v>23.118640320477034</c:v>
                </c:pt>
                <c:pt idx="285">
                  <c:v>19.886198350399738</c:v>
                </c:pt>
                <c:pt idx="286">
                  <c:v>16.646774977775085</c:v>
                </c:pt>
                <c:pt idx="287">
                  <c:v>29.308571571852209</c:v>
                </c:pt>
                <c:pt idx="288">
                  <c:v>26.785920341225292</c:v>
                </c:pt>
                <c:pt idx="289">
                  <c:v>17.312859233994644</c:v>
                </c:pt>
                <c:pt idx="290">
                  <c:v>27.329608146151656</c:v>
                </c:pt>
                <c:pt idx="291">
                  <c:v>13.73634624432124</c:v>
                </c:pt>
                <c:pt idx="292">
                  <c:v>6.0547278661900243</c:v>
                </c:pt>
                <c:pt idx="293">
                  <c:v>13.901702036715248</c:v>
                </c:pt>
                <c:pt idx="294">
                  <c:v>26.338761431455421</c:v>
                </c:pt>
                <c:pt idx="295">
                  <c:v>15.122517507362847</c:v>
                </c:pt>
                <c:pt idx="296">
                  <c:v>18.754317815295675</c:v>
                </c:pt>
                <c:pt idx="297">
                  <c:v>18.615242724395017</c:v>
                </c:pt>
                <c:pt idx="298">
                  <c:v>11.062940733277529</c:v>
                </c:pt>
                <c:pt idx="299">
                  <c:v>11.237357155637117</c:v>
                </c:pt>
                <c:pt idx="300">
                  <c:v>15.20964568321835</c:v>
                </c:pt>
                <c:pt idx="301">
                  <c:v>21.411897144464923</c:v>
                </c:pt>
                <c:pt idx="302">
                  <c:v>17.696015860516955</c:v>
                </c:pt>
                <c:pt idx="303">
                  <c:v>16.726088684130779</c:v>
                </c:pt>
                <c:pt idx="304">
                  <c:v>16.803956527700727</c:v>
                </c:pt>
                <c:pt idx="305">
                  <c:v>22.769195268023889</c:v>
                </c:pt>
                <c:pt idx="306">
                  <c:v>9.2705282243846003</c:v>
                </c:pt>
                <c:pt idx="307">
                  <c:v>15.353194404739337</c:v>
                </c:pt>
                <c:pt idx="308">
                  <c:v>23.243194646327346</c:v>
                </c:pt>
                <c:pt idx="309">
                  <c:v>22.658575605293873</c:v>
                </c:pt>
                <c:pt idx="310">
                  <c:v>20.759945574402696</c:v>
                </c:pt>
                <c:pt idx="311">
                  <c:v>15.34028321546362</c:v>
                </c:pt>
                <c:pt idx="312">
                  <c:v>8.2101412203415727</c:v>
                </c:pt>
                <c:pt idx="313">
                  <c:v>17.396932651508759</c:v>
                </c:pt>
                <c:pt idx="314">
                  <c:v>20.496591249755841</c:v>
                </c:pt>
                <c:pt idx="315">
                  <c:v>20.306297940333348</c:v>
                </c:pt>
                <c:pt idx="316">
                  <c:v>19.389672515766339</c:v>
                </c:pt>
                <c:pt idx="317">
                  <c:v>7.7887217186939877</c:v>
                </c:pt>
                <c:pt idx="318">
                  <c:v>10.497994057015919</c:v>
                </c:pt>
                <c:pt idx="319">
                  <c:v>19.918118018108569</c:v>
                </c:pt>
                <c:pt idx="320">
                  <c:v>11.626312117437706</c:v>
                </c:pt>
                <c:pt idx="321">
                  <c:v>12.289758770400455</c:v>
                </c:pt>
                <c:pt idx="322">
                  <c:v>6.8182932544161678</c:v>
                </c:pt>
                <c:pt idx="323">
                  <c:v>12.617886403576199</c:v>
                </c:pt>
                <c:pt idx="324">
                  <c:v>2.9543301280074248</c:v>
                </c:pt>
                <c:pt idx="325">
                  <c:v>6.998671823889417</c:v>
                </c:pt>
                <c:pt idx="326">
                  <c:v>11.191701932492176</c:v>
                </c:pt>
                <c:pt idx="327">
                  <c:v>11.269253597339546</c:v>
                </c:pt>
                <c:pt idx="328">
                  <c:v>4.5852516642018069</c:v>
                </c:pt>
                <c:pt idx="329">
                  <c:v>10.292470002893374</c:v>
                </c:pt>
                <c:pt idx="330">
                  <c:v>11.599320115331256</c:v>
                </c:pt>
                <c:pt idx="331">
                  <c:v>9.8482175559092102</c:v>
                </c:pt>
                <c:pt idx="332">
                  <c:v>13.234822937258278</c:v>
                </c:pt>
                <c:pt idx="333">
                  <c:v>3.7322255813774965</c:v>
                </c:pt>
                <c:pt idx="334">
                  <c:v>3.5365436270717123</c:v>
                </c:pt>
                <c:pt idx="335">
                  <c:v>5.3426686305972533</c:v>
                </c:pt>
                <c:pt idx="336">
                  <c:v>7.2596674778027772</c:v>
                </c:pt>
                <c:pt idx="337">
                  <c:v>13.508004877646348</c:v>
                </c:pt>
                <c:pt idx="338">
                  <c:v>16.862106068418246</c:v>
                </c:pt>
                <c:pt idx="339">
                  <c:v>9.1169569215089545</c:v>
                </c:pt>
                <c:pt idx="340">
                  <c:v>15.047770092369689</c:v>
                </c:pt>
                <c:pt idx="341">
                  <c:v>3.8115170665405533</c:v>
                </c:pt>
                <c:pt idx="342">
                  <c:v>4.630781964294699</c:v>
                </c:pt>
                <c:pt idx="343">
                  <c:v>10.50889484054847</c:v>
                </c:pt>
                <c:pt idx="344">
                  <c:v>12.839190772469225</c:v>
                </c:pt>
                <c:pt idx="345">
                  <c:v>4.0331841956708816</c:v>
                </c:pt>
                <c:pt idx="346">
                  <c:v>4.9789110049948526</c:v>
                </c:pt>
                <c:pt idx="347">
                  <c:v>14.415051785470963</c:v>
                </c:pt>
                <c:pt idx="348">
                  <c:v>5.4468228176762779</c:v>
                </c:pt>
                <c:pt idx="349">
                  <c:v>4.8727114433300311</c:v>
                </c:pt>
                <c:pt idx="350">
                  <c:v>3.2477976219303613</c:v>
                </c:pt>
                <c:pt idx="351">
                  <c:v>14.918537917618835</c:v>
                </c:pt>
                <c:pt idx="352">
                  <c:v>12.359526634668768</c:v>
                </c:pt>
                <c:pt idx="353">
                  <c:v>4.3413165138061522</c:v>
                </c:pt>
                <c:pt idx="354">
                  <c:v>15.476632144230356</c:v>
                </c:pt>
                <c:pt idx="355">
                  <c:v>11.872742635781009</c:v>
                </c:pt>
                <c:pt idx="356">
                  <c:v>12.490449364633413</c:v>
                </c:pt>
                <c:pt idx="357">
                  <c:v>16.049281443237319</c:v>
                </c:pt>
                <c:pt idx="358">
                  <c:v>9.1910919410801437</c:v>
                </c:pt>
                <c:pt idx="359">
                  <c:v>15.633573709903361</c:v>
                </c:pt>
                <c:pt idx="360">
                  <c:v>6.3530037729641773</c:v>
                </c:pt>
                <c:pt idx="361">
                  <c:v>15.118675631123716</c:v>
                </c:pt>
                <c:pt idx="362">
                  <c:v>8.5564900790463536</c:v>
                </c:pt>
                <c:pt idx="363">
                  <c:v>11.342751959930954</c:v>
                </c:pt>
                <c:pt idx="364">
                  <c:v>8.4425636012883718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17.207095158395393</c:v>
                </c:pt>
                <c:pt idx="1">
                  <c:v>13.625354427694436</c:v>
                </c:pt>
                <c:pt idx="2">
                  <c:v>13.466926505969324</c:v>
                </c:pt>
                <c:pt idx="3">
                  <c:v>13.94822060184233</c:v>
                </c:pt>
                <c:pt idx="4">
                  <c:v>11.936823458311526</c:v>
                </c:pt>
                <c:pt idx="5">
                  <c:v>15.334476140966938</c:v>
                </c:pt>
                <c:pt idx="6">
                  <c:v>9.5243830671820557</c:v>
                </c:pt>
                <c:pt idx="7">
                  <c:v>6.9245978701710147</c:v>
                </c:pt>
                <c:pt idx="8">
                  <c:v>2.0849279203559701</c:v>
                </c:pt>
                <c:pt idx="9">
                  <c:v>1.666231275347186</c:v>
                </c:pt>
                <c:pt idx="10">
                  <c:v>19.398307377139744</c:v>
                </c:pt>
                <c:pt idx="11">
                  <c:v>16.459622660966598</c:v>
                </c:pt>
                <c:pt idx="12">
                  <c:v>5.387669476366522</c:v>
                </c:pt>
                <c:pt idx="13">
                  <c:v>19.824457422019151</c:v>
                </c:pt>
                <c:pt idx="14">
                  <c:v>19.777260863850792</c:v>
                </c:pt>
                <c:pt idx="15">
                  <c:v>19.50609047231762</c:v>
                </c:pt>
                <c:pt idx="16">
                  <c:v>11.49830273131861</c:v>
                </c:pt>
                <c:pt idx="17">
                  <c:v>3.7686056683386262</c:v>
                </c:pt>
                <c:pt idx="18">
                  <c:v>8.7998862224097323</c:v>
                </c:pt>
                <c:pt idx="19">
                  <c:v>6.4233513369891835</c:v>
                </c:pt>
                <c:pt idx="20">
                  <c:v>17.431576623038382</c:v>
                </c:pt>
                <c:pt idx="21">
                  <c:v>20.939374491414078</c:v>
                </c:pt>
                <c:pt idx="22">
                  <c:v>21.158465658874665</c:v>
                </c:pt>
                <c:pt idx="23">
                  <c:v>21.502355210695011</c:v>
                </c:pt>
                <c:pt idx="24">
                  <c:v>21.463428778744763</c:v>
                </c:pt>
                <c:pt idx="25">
                  <c:v>21.591176668190329</c:v>
                </c:pt>
                <c:pt idx="26">
                  <c:v>22.490741654744568</c:v>
                </c:pt>
                <c:pt idx="27">
                  <c:v>4.1824715306641771</c:v>
                </c:pt>
                <c:pt idx="28">
                  <c:v>9.5270769882313218</c:v>
                </c:pt>
                <c:pt idx="29">
                  <c:v>4.5572123989825375</c:v>
                </c:pt>
                <c:pt idx="30">
                  <c:v>8.0487089236492775</c:v>
                </c:pt>
                <c:pt idx="31">
                  <c:v>9.4576715421427995</c:v>
                </c:pt>
                <c:pt idx="32">
                  <c:v>5.359324464598223</c:v>
                </c:pt>
                <c:pt idx="33">
                  <c:v>9.7425364234518756</c:v>
                </c:pt>
                <c:pt idx="34">
                  <c:v>9.6173940553542607</c:v>
                </c:pt>
                <c:pt idx="35">
                  <c:v>8.8468154796541754</c:v>
                </c:pt>
                <c:pt idx="36">
                  <c:v>16.883552954010586</c:v>
                </c:pt>
                <c:pt idx="37">
                  <c:v>9.0166164965858577</c:v>
                </c:pt>
                <c:pt idx="38">
                  <c:v>26.389236887658033</c:v>
                </c:pt>
                <c:pt idx="39">
                  <c:v>26.466639138723401</c:v>
                </c:pt>
                <c:pt idx="40">
                  <c:v>24.839211087651645</c:v>
                </c:pt>
                <c:pt idx="41">
                  <c:v>15.788713563162334</c:v>
                </c:pt>
                <c:pt idx="42">
                  <c:v>22.826153241116703</c:v>
                </c:pt>
                <c:pt idx="43">
                  <c:v>27.002189448953654</c:v>
                </c:pt>
                <c:pt idx="44">
                  <c:v>14.14263313947388</c:v>
                </c:pt>
                <c:pt idx="45">
                  <c:v>16.675780368307873</c:v>
                </c:pt>
                <c:pt idx="46">
                  <c:v>9.1781714282364231</c:v>
                </c:pt>
                <c:pt idx="47">
                  <c:v>10.929842230995204</c:v>
                </c:pt>
                <c:pt idx="48">
                  <c:v>24.198216287601682</c:v>
                </c:pt>
                <c:pt idx="49">
                  <c:v>18.505699791355465</c:v>
                </c:pt>
                <c:pt idx="50">
                  <c:v>18.158911205582797</c:v>
                </c:pt>
                <c:pt idx="51">
                  <c:v>19.802542746328747</c:v>
                </c:pt>
                <c:pt idx="52">
                  <c:v>28.899609760887547</c:v>
                </c:pt>
                <c:pt idx="53">
                  <c:v>29.114968002484275</c:v>
                </c:pt>
                <c:pt idx="54">
                  <c:v>17.856764035482371</c:v>
                </c:pt>
                <c:pt idx="55">
                  <c:v>28.707881655715685</c:v>
                </c:pt>
                <c:pt idx="56">
                  <c:v>32.837448215370344</c:v>
                </c:pt>
                <c:pt idx="57">
                  <c:v>26.88409459879691</c:v>
                </c:pt>
                <c:pt idx="58">
                  <c:v>27.911742864670959</c:v>
                </c:pt>
                <c:pt idx="59">
                  <c:v>33.101562350262469</c:v>
                </c:pt>
                <c:pt idx="60">
                  <c:v>10.616723176978409</c:v>
                </c:pt>
                <c:pt idx="61">
                  <c:v>31.719189525058187</c:v>
                </c:pt>
                <c:pt idx="62">
                  <c:v>3.7677183824582698</c:v>
                </c:pt>
                <c:pt idx="63">
                  <c:v>13.194895938165109</c:v>
                </c:pt>
                <c:pt idx="64">
                  <c:v>15.562289168320198</c:v>
                </c:pt>
                <c:pt idx="65">
                  <c:v>33.910767392920143</c:v>
                </c:pt>
                <c:pt idx="66">
                  <c:v>26.816039247396816</c:v>
                </c:pt>
                <c:pt idx="67">
                  <c:v>28.557503633041158</c:v>
                </c:pt>
                <c:pt idx="68">
                  <c:v>21.574342535657031</c:v>
                </c:pt>
                <c:pt idx="69">
                  <c:v>14.042614319098067</c:v>
                </c:pt>
                <c:pt idx="70">
                  <c:v>15.713193223506909</c:v>
                </c:pt>
                <c:pt idx="71">
                  <c:v>9.6144493959747859</c:v>
                </c:pt>
                <c:pt idx="72">
                  <c:v>14.15163034567094</c:v>
                </c:pt>
                <c:pt idx="73">
                  <c:v>13.419569937210872</c:v>
                </c:pt>
                <c:pt idx="74">
                  <c:v>13.142682817778406</c:v>
                </c:pt>
                <c:pt idx="75">
                  <c:v>11.394993344291754</c:v>
                </c:pt>
                <c:pt idx="76">
                  <c:v>14.75460732482871</c:v>
                </c:pt>
                <c:pt idx="77">
                  <c:v>26.023564332974985</c:v>
                </c:pt>
                <c:pt idx="78">
                  <c:v>29.239688525549845</c:v>
                </c:pt>
                <c:pt idx="79">
                  <c:v>39.058898670919724</c:v>
                </c:pt>
                <c:pt idx="80">
                  <c:v>37.018456551470138</c:v>
                </c:pt>
                <c:pt idx="81">
                  <c:v>42.501058467361815</c:v>
                </c:pt>
                <c:pt idx="82">
                  <c:v>41.860960826061138</c:v>
                </c:pt>
                <c:pt idx="83">
                  <c:v>39.532835389153291</c:v>
                </c:pt>
                <c:pt idx="84">
                  <c:v>42.071677421995524</c:v>
                </c:pt>
                <c:pt idx="85">
                  <c:v>40.322348721529281</c:v>
                </c:pt>
                <c:pt idx="86">
                  <c:v>30.510929681579931</c:v>
                </c:pt>
                <c:pt idx="87">
                  <c:v>26.275978720988888</c:v>
                </c:pt>
                <c:pt idx="88">
                  <c:v>7.7118469428269378</c:v>
                </c:pt>
                <c:pt idx="89">
                  <c:v>27.755596019390186</c:v>
                </c:pt>
                <c:pt idx="90">
                  <c:v>31.720544430964647</c:v>
                </c:pt>
                <c:pt idx="91">
                  <c:v>20.180109339578504</c:v>
                </c:pt>
                <c:pt idx="92">
                  <c:v>21.142084523701666</c:v>
                </c:pt>
                <c:pt idx="93">
                  <c:v>42.280786606038305</c:v>
                </c:pt>
                <c:pt idx="94">
                  <c:v>47.441044729862696</c:v>
                </c:pt>
                <c:pt idx="95">
                  <c:v>11.197873921915836</c:v>
                </c:pt>
                <c:pt idx="96">
                  <c:v>33.883805189579988</c:v>
                </c:pt>
                <c:pt idx="97">
                  <c:v>26.993352730087732</c:v>
                </c:pt>
                <c:pt idx="98">
                  <c:v>35.274631526248164</c:v>
                </c:pt>
                <c:pt idx="99">
                  <c:v>48.090874739826099</c:v>
                </c:pt>
                <c:pt idx="100">
                  <c:v>39.960725506434727</c:v>
                </c:pt>
                <c:pt idx="101">
                  <c:v>34.988990705170607</c:v>
                </c:pt>
                <c:pt idx="102">
                  <c:v>7.7542332906193634</c:v>
                </c:pt>
                <c:pt idx="103">
                  <c:v>38.012395859496174</c:v>
                </c:pt>
                <c:pt idx="104">
                  <c:v>42.026210091533862</c:v>
                </c:pt>
                <c:pt idx="105">
                  <c:v>45.573363990056542</c:v>
                </c:pt>
                <c:pt idx="106">
                  <c:v>49.880086873441279</c:v>
                </c:pt>
                <c:pt idx="107">
                  <c:v>39.332549776930236</c:v>
                </c:pt>
                <c:pt idx="108">
                  <c:v>9.1896915564579444</c:v>
                </c:pt>
                <c:pt idx="109">
                  <c:v>9.6394597431764666</c:v>
                </c:pt>
                <c:pt idx="110">
                  <c:v>9.3286360934818813</c:v>
                </c:pt>
                <c:pt idx="111">
                  <c:v>26.942480129715872</c:v>
                </c:pt>
                <c:pt idx="112">
                  <c:v>9.0566554902753769</c:v>
                </c:pt>
                <c:pt idx="113">
                  <c:v>31.154484816389974</c:v>
                </c:pt>
                <c:pt idx="114">
                  <c:v>46.685376903008589</c:v>
                </c:pt>
                <c:pt idx="115">
                  <c:v>50.789386333388236</c:v>
                </c:pt>
                <c:pt idx="116">
                  <c:v>37.04869438053705</c:v>
                </c:pt>
                <c:pt idx="117">
                  <c:v>22.916863236324073</c:v>
                </c:pt>
                <c:pt idx="118">
                  <c:v>41.643164213052195</c:v>
                </c:pt>
                <c:pt idx="119">
                  <c:v>43.88146356663654</c:v>
                </c:pt>
                <c:pt idx="120">
                  <c:v>44.741897339422493</c:v>
                </c:pt>
                <c:pt idx="121">
                  <c:v>26.153775097961621</c:v>
                </c:pt>
                <c:pt idx="122">
                  <c:v>35.939645046522202</c:v>
                </c:pt>
                <c:pt idx="123">
                  <c:v>20.382121519785365</c:v>
                </c:pt>
                <c:pt idx="124">
                  <c:v>41.655925827059569</c:v>
                </c:pt>
                <c:pt idx="125">
                  <c:v>35.180460256064542</c:v>
                </c:pt>
                <c:pt idx="126">
                  <c:v>49.617530316387551</c:v>
                </c:pt>
                <c:pt idx="127">
                  <c:v>45.101231314545728</c:v>
                </c:pt>
                <c:pt idx="128">
                  <c:v>51.648215306491153</c:v>
                </c:pt>
                <c:pt idx="129">
                  <c:v>47.901190107251388</c:v>
                </c:pt>
                <c:pt idx="130">
                  <c:v>52.057698732580825</c:v>
                </c:pt>
                <c:pt idx="131">
                  <c:v>40.062573343222624</c:v>
                </c:pt>
                <c:pt idx="132">
                  <c:v>41.580400332328104</c:v>
                </c:pt>
                <c:pt idx="133">
                  <c:v>45.816751919357543</c:v>
                </c:pt>
                <c:pt idx="134">
                  <c:v>48.79118957348431</c:v>
                </c:pt>
                <c:pt idx="135">
                  <c:v>47.061780171739549</c:v>
                </c:pt>
                <c:pt idx="136">
                  <c:v>50.61165885302723</c:v>
                </c:pt>
                <c:pt idx="137">
                  <c:v>49.46744833048762</c:v>
                </c:pt>
                <c:pt idx="138">
                  <c:v>52.288037282080253</c:v>
                </c:pt>
                <c:pt idx="139">
                  <c:v>45.840276601866108</c:v>
                </c:pt>
                <c:pt idx="140">
                  <c:v>45.439016900052088</c:v>
                </c:pt>
                <c:pt idx="141">
                  <c:v>33.655644535359713</c:v>
                </c:pt>
                <c:pt idx="142">
                  <c:v>19.119787204282538</c:v>
                </c:pt>
                <c:pt idx="143">
                  <c:v>15.564921226968471</c:v>
                </c:pt>
                <c:pt idx="144">
                  <c:v>37.912291723780598</c:v>
                </c:pt>
                <c:pt idx="145">
                  <c:v>22.315232261099148</c:v>
                </c:pt>
                <c:pt idx="146">
                  <c:v>43.970266705707978</c:v>
                </c:pt>
                <c:pt idx="147">
                  <c:v>52.404979432020305</c:v>
                </c:pt>
                <c:pt idx="148">
                  <c:v>56.46992684236973</c:v>
                </c:pt>
                <c:pt idx="149">
                  <c:v>48.915309964956315</c:v>
                </c:pt>
                <c:pt idx="150">
                  <c:v>51.94332266606704</c:v>
                </c:pt>
                <c:pt idx="151">
                  <c:v>52.712461136216675</c:v>
                </c:pt>
                <c:pt idx="152">
                  <c:v>43.68668316877627</c:v>
                </c:pt>
                <c:pt idx="153">
                  <c:v>50.915985965299562</c:v>
                </c:pt>
                <c:pt idx="154">
                  <c:v>25.218452459134987</c:v>
                </c:pt>
                <c:pt idx="155">
                  <c:v>35.094130487188714</c:v>
                </c:pt>
                <c:pt idx="156">
                  <c:v>42.30589249334345</c:v>
                </c:pt>
                <c:pt idx="157">
                  <c:v>28.868574261650075</c:v>
                </c:pt>
                <c:pt idx="158">
                  <c:v>20.254714698511446</c:v>
                </c:pt>
                <c:pt idx="159">
                  <c:v>41.702094372342316</c:v>
                </c:pt>
                <c:pt idx="160">
                  <c:v>54.12862972422861</c:v>
                </c:pt>
                <c:pt idx="161">
                  <c:v>52.073203084126035</c:v>
                </c:pt>
                <c:pt idx="162">
                  <c:v>40.504351991675897</c:v>
                </c:pt>
                <c:pt idx="163">
                  <c:v>51.315558412207231</c:v>
                </c:pt>
                <c:pt idx="164">
                  <c:v>44.357870143781263</c:v>
                </c:pt>
                <c:pt idx="165">
                  <c:v>51.430264926015631</c:v>
                </c:pt>
                <c:pt idx="166">
                  <c:v>48.992184554926922</c:v>
                </c:pt>
                <c:pt idx="167">
                  <c:v>49.536334667808674</c:v>
                </c:pt>
                <c:pt idx="168">
                  <c:v>51.73758839660092</c:v>
                </c:pt>
                <c:pt idx="169">
                  <c:v>53.019717975267952</c:v>
                </c:pt>
                <c:pt idx="170">
                  <c:v>31.301951645780324</c:v>
                </c:pt>
                <c:pt idx="171">
                  <c:v>21.88014243190953</c:v>
                </c:pt>
                <c:pt idx="172">
                  <c:v>41.156689366939354</c:v>
                </c:pt>
                <c:pt idx="173">
                  <c:v>39.151873065460819</c:v>
                </c:pt>
                <c:pt idx="174">
                  <c:v>37.737068465778776</c:v>
                </c:pt>
                <c:pt idx="175">
                  <c:v>31.079404865657917</c:v>
                </c:pt>
                <c:pt idx="176">
                  <c:v>11.741619587997096</c:v>
                </c:pt>
                <c:pt idx="177">
                  <c:v>13.667337998480708</c:v>
                </c:pt>
                <c:pt idx="178">
                  <c:v>55.680652319935263</c:v>
                </c:pt>
                <c:pt idx="179">
                  <c:v>53.396343996939009</c:v>
                </c:pt>
                <c:pt idx="180">
                  <c:v>13.501626905579254</c:v>
                </c:pt>
                <c:pt idx="181">
                  <c:v>50.280347739080113</c:v>
                </c:pt>
                <c:pt idx="182">
                  <c:v>52.791889547267324</c:v>
                </c:pt>
                <c:pt idx="183">
                  <c:v>41.15164591705954</c:v>
                </c:pt>
                <c:pt idx="184">
                  <c:v>40.874923110791592</c:v>
                </c:pt>
                <c:pt idx="185">
                  <c:v>52.606022635092323</c:v>
                </c:pt>
                <c:pt idx="186">
                  <c:v>46.189057195530602</c:v>
                </c:pt>
                <c:pt idx="187">
                  <c:v>52.693029555983124</c:v>
                </c:pt>
                <c:pt idx="188">
                  <c:v>54.998054796943258</c:v>
                </c:pt>
                <c:pt idx="189">
                  <c:v>54.059241860350888</c:v>
                </c:pt>
                <c:pt idx="190">
                  <c:v>53.430992052420947</c:v>
                </c:pt>
                <c:pt idx="191">
                  <c:v>51.7386925858941</c:v>
                </c:pt>
                <c:pt idx="192">
                  <c:v>51.383047014790435</c:v>
                </c:pt>
                <c:pt idx="193">
                  <c:v>50.920318733962851</c:v>
                </c:pt>
                <c:pt idx="194">
                  <c:v>50.064300299266733</c:v>
                </c:pt>
                <c:pt idx="195">
                  <c:v>49.128464979087369</c:v>
                </c:pt>
                <c:pt idx="196">
                  <c:v>50.609817288926763</c:v>
                </c:pt>
                <c:pt idx="197">
                  <c:v>49.731433000035565</c:v>
                </c:pt>
                <c:pt idx="198">
                  <c:v>50.431076380540219</c:v>
                </c:pt>
                <c:pt idx="199">
                  <c:v>42.581676206326669</c:v>
                </c:pt>
                <c:pt idx="200">
                  <c:v>41.445406679562211</c:v>
                </c:pt>
                <c:pt idx="201">
                  <c:v>48.13579934197525</c:v>
                </c:pt>
                <c:pt idx="202">
                  <c:v>36.777245503010974</c:v>
                </c:pt>
                <c:pt idx="203">
                  <c:v>47.912397165853548</c:v>
                </c:pt>
                <c:pt idx="204">
                  <c:v>48.237303156623952</c:v>
                </c:pt>
                <c:pt idx="205">
                  <c:v>25.937424296172907</c:v>
                </c:pt>
                <c:pt idx="206">
                  <c:v>54.159290180111647</c:v>
                </c:pt>
                <c:pt idx="207">
                  <c:v>52.565553476815204</c:v>
                </c:pt>
                <c:pt idx="208">
                  <c:v>42.088296077497098</c:v>
                </c:pt>
                <c:pt idx="209">
                  <c:v>30.918045434168533</c:v>
                </c:pt>
                <c:pt idx="210">
                  <c:v>47.422365761646418</c:v>
                </c:pt>
                <c:pt idx="211">
                  <c:v>50.530357643794638</c:v>
                </c:pt>
                <c:pt idx="212">
                  <c:v>50.229427785381041</c:v>
                </c:pt>
                <c:pt idx="213">
                  <c:v>50.003465141068517</c:v>
                </c:pt>
                <c:pt idx="214">
                  <c:v>45.942261678500046</c:v>
                </c:pt>
                <c:pt idx="215">
                  <c:v>45.717308024340113</c:v>
                </c:pt>
                <c:pt idx="216">
                  <c:v>43.746067773678277</c:v>
                </c:pt>
                <c:pt idx="217">
                  <c:v>45.828123365836284</c:v>
                </c:pt>
                <c:pt idx="218">
                  <c:v>48.566262772024608</c:v>
                </c:pt>
                <c:pt idx="219">
                  <c:v>48.850467820458029</c:v>
                </c:pt>
                <c:pt idx="220">
                  <c:v>46.688529324046193</c:v>
                </c:pt>
                <c:pt idx="221">
                  <c:v>43.701168545481821</c:v>
                </c:pt>
                <c:pt idx="222">
                  <c:v>42.345264480141225</c:v>
                </c:pt>
                <c:pt idx="223">
                  <c:v>43.443353841145253</c:v>
                </c:pt>
                <c:pt idx="224">
                  <c:v>31.742056340720108</c:v>
                </c:pt>
                <c:pt idx="225">
                  <c:v>31.115294055065441</c:v>
                </c:pt>
                <c:pt idx="226">
                  <c:v>37.62471512945465</c:v>
                </c:pt>
                <c:pt idx="227">
                  <c:v>32.350898362370799</c:v>
                </c:pt>
                <c:pt idx="228">
                  <c:v>26.937847566843207</c:v>
                </c:pt>
                <c:pt idx="229">
                  <c:v>33.536045009573463</c:v>
                </c:pt>
                <c:pt idx="230">
                  <c:v>40.047749370296778</c:v>
                </c:pt>
                <c:pt idx="231">
                  <c:v>44.955355434807771</c:v>
                </c:pt>
                <c:pt idx="232">
                  <c:v>28.867297479855587</c:v>
                </c:pt>
                <c:pt idx="233">
                  <c:v>24.727446239908097</c:v>
                </c:pt>
                <c:pt idx="234">
                  <c:v>45.187798949907247</c:v>
                </c:pt>
                <c:pt idx="235">
                  <c:v>40.25865996830121</c:v>
                </c:pt>
                <c:pt idx="236">
                  <c:v>32.06809365534918</c:v>
                </c:pt>
                <c:pt idx="237">
                  <c:v>40.225119088712511</c:v>
                </c:pt>
                <c:pt idx="238">
                  <c:v>44.568099667122532</c:v>
                </c:pt>
                <c:pt idx="239">
                  <c:v>42.378563333551291</c:v>
                </c:pt>
                <c:pt idx="240">
                  <c:v>29.811201676338563</c:v>
                </c:pt>
                <c:pt idx="241">
                  <c:v>42.239599071494183</c:v>
                </c:pt>
                <c:pt idx="242">
                  <c:v>22.412957429435579</c:v>
                </c:pt>
                <c:pt idx="243">
                  <c:v>36.870196189670779</c:v>
                </c:pt>
                <c:pt idx="244">
                  <c:v>36.08461833984282</c:v>
                </c:pt>
                <c:pt idx="245">
                  <c:v>34.021474928212946</c:v>
                </c:pt>
                <c:pt idx="246">
                  <c:v>39.967778806232509</c:v>
                </c:pt>
                <c:pt idx="247">
                  <c:v>34.842015214168057</c:v>
                </c:pt>
                <c:pt idx="248">
                  <c:v>40.366176100069694</c:v>
                </c:pt>
                <c:pt idx="249">
                  <c:v>32.995183113015756</c:v>
                </c:pt>
                <c:pt idx="250">
                  <c:v>30.975489222423157</c:v>
                </c:pt>
                <c:pt idx="251">
                  <c:v>22.971473012070607</c:v>
                </c:pt>
                <c:pt idx="252">
                  <c:v>40.186273602985032</c:v>
                </c:pt>
                <c:pt idx="253">
                  <c:v>38.999380006537095</c:v>
                </c:pt>
                <c:pt idx="254">
                  <c:v>27.69830912876856</c:v>
                </c:pt>
                <c:pt idx="255">
                  <c:v>13.014278353163149</c:v>
                </c:pt>
                <c:pt idx="256">
                  <c:v>30.982861393059686</c:v>
                </c:pt>
                <c:pt idx="257">
                  <c:v>35.318754444104727</c:v>
                </c:pt>
                <c:pt idx="258">
                  <c:v>30.302457117155299</c:v>
                </c:pt>
                <c:pt idx="259">
                  <c:v>39.593234957273708</c:v>
                </c:pt>
                <c:pt idx="260">
                  <c:v>39.138000160655288</c:v>
                </c:pt>
                <c:pt idx="261">
                  <c:v>37.620639870729732</c:v>
                </c:pt>
                <c:pt idx="262">
                  <c:v>39.201249712266154</c:v>
                </c:pt>
                <c:pt idx="263">
                  <c:v>37.901809867947726</c:v>
                </c:pt>
                <c:pt idx="264">
                  <c:v>36.234913228266691</c:v>
                </c:pt>
                <c:pt idx="265">
                  <c:v>22.745173643637756</c:v>
                </c:pt>
                <c:pt idx="266">
                  <c:v>14.80482678679768</c:v>
                </c:pt>
                <c:pt idx="267">
                  <c:v>30.212414287991759</c:v>
                </c:pt>
                <c:pt idx="268">
                  <c:v>26.88309333739182</c:v>
                </c:pt>
                <c:pt idx="269">
                  <c:v>16.130224740564863</c:v>
                </c:pt>
                <c:pt idx="270">
                  <c:v>18.206020154814912</c:v>
                </c:pt>
                <c:pt idx="271">
                  <c:v>21.472178596433665</c:v>
                </c:pt>
                <c:pt idx="272">
                  <c:v>24.557956114888931</c:v>
                </c:pt>
                <c:pt idx="273">
                  <c:v>30.856320324268044</c:v>
                </c:pt>
                <c:pt idx="274">
                  <c:v>32.509688333250232</c:v>
                </c:pt>
                <c:pt idx="275">
                  <c:v>31.901194761946019</c:v>
                </c:pt>
                <c:pt idx="276">
                  <c:v>32.919630012704609</c:v>
                </c:pt>
                <c:pt idx="277">
                  <c:v>33.884639730971628</c:v>
                </c:pt>
                <c:pt idx="278">
                  <c:v>10.615572469543441</c:v>
                </c:pt>
                <c:pt idx="279">
                  <c:v>23.66152069871254</c:v>
                </c:pt>
                <c:pt idx="280">
                  <c:v>15.668283838403809</c:v>
                </c:pt>
                <c:pt idx="281">
                  <c:v>30.71458385169208</c:v>
                </c:pt>
                <c:pt idx="282">
                  <c:v>24.659112399116246</c:v>
                </c:pt>
                <c:pt idx="283">
                  <c:v>19.1675485988664</c:v>
                </c:pt>
                <c:pt idx="284">
                  <c:v>23.118640320477034</c:v>
                </c:pt>
                <c:pt idx="285">
                  <c:v>19.886198350399738</c:v>
                </c:pt>
                <c:pt idx="286">
                  <c:v>16.646774977775085</c:v>
                </c:pt>
                <c:pt idx="287">
                  <c:v>29.308571571852209</c:v>
                </c:pt>
                <c:pt idx="288">
                  <c:v>26.785920341225292</c:v>
                </c:pt>
                <c:pt idx="289">
                  <c:v>17.312859233994644</c:v>
                </c:pt>
                <c:pt idx="290">
                  <c:v>27.329608146151656</c:v>
                </c:pt>
                <c:pt idx="291">
                  <c:v>13.73634624432124</c:v>
                </c:pt>
                <c:pt idx="292">
                  <c:v>6.0547278661900243</c:v>
                </c:pt>
                <c:pt idx="293">
                  <c:v>13.901702036715248</c:v>
                </c:pt>
                <c:pt idx="294">
                  <c:v>26.338761431455421</c:v>
                </c:pt>
                <c:pt idx="295">
                  <c:v>15.122517507362847</c:v>
                </c:pt>
                <c:pt idx="296">
                  <c:v>18.754317815295675</c:v>
                </c:pt>
                <c:pt idx="297">
                  <c:v>18.615242724395017</c:v>
                </c:pt>
                <c:pt idx="298">
                  <c:v>11.062940733277529</c:v>
                </c:pt>
                <c:pt idx="299">
                  <c:v>11.237357155637117</c:v>
                </c:pt>
                <c:pt idx="300">
                  <c:v>15.20964568321835</c:v>
                </c:pt>
                <c:pt idx="301">
                  <c:v>21.411897144464923</c:v>
                </c:pt>
                <c:pt idx="302">
                  <c:v>17.696015860516955</c:v>
                </c:pt>
                <c:pt idx="303">
                  <c:v>16.726088684130779</c:v>
                </c:pt>
                <c:pt idx="304">
                  <c:v>16.803956527700727</c:v>
                </c:pt>
                <c:pt idx="305">
                  <c:v>22.769195268023889</c:v>
                </c:pt>
                <c:pt idx="306">
                  <c:v>9.2705282243846003</c:v>
                </c:pt>
                <c:pt idx="307">
                  <c:v>15.353194404739337</c:v>
                </c:pt>
                <c:pt idx="308">
                  <c:v>23.243194646327346</c:v>
                </c:pt>
                <c:pt idx="309">
                  <c:v>22.658575605293873</c:v>
                </c:pt>
                <c:pt idx="310">
                  <c:v>20.759945574402696</c:v>
                </c:pt>
                <c:pt idx="311">
                  <c:v>15.34028321546362</c:v>
                </c:pt>
                <c:pt idx="312">
                  <c:v>8.2101412203415727</c:v>
                </c:pt>
                <c:pt idx="313">
                  <c:v>17.396932651508759</c:v>
                </c:pt>
                <c:pt idx="314">
                  <c:v>20.496591249755841</c:v>
                </c:pt>
                <c:pt idx="315">
                  <c:v>20.306297940333348</c:v>
                </c:pt>
                <c:pt idx="316">
                  <c:v>19.389672515766339</c:v>
                </c:pt>
                <c:pt idx="317">
                  <c:v>7.7887217186939877</c:v>
                </c:pt>
                <c:pt idx="318">
                  <c:v>10.497994057015919</c:v>
                </c:pt>
                <c:pt idx="319">
                  <c:v>19.918118018108569</c:v>
                </c:pt>
                <c:pt idx="320">
                  <c:v>11.626312117437706</c:v>
                </c:pt>
                <c:pt idx="321">
                  <c:v>12.289758770400455</c:v>
                </c:pt>
                <c:pt idx="322">
                  <c:v>6.8182932544161678</c:v>
                </c:pt>
                <c:pt idx="323">
                  <c:v>12.617886403576199</c:v>
                </c:pt>
                <c:pt idx="324">
                  <c:v>2.9543301280074248</c:v>
                </c:pt>
                <c:pt idx="325">
                  <c:v>6.998671823889417</c:v>
                </c:pt>
                <c:pt idx="326">
                  <c:v>11.191701932492176</c:v>
                </c:pt>
                <c:pt idx="327">
                  <c:v>11.269253597339546</c:v>
                </c:pt>
                <c:pt idx="328">
                  <c:v>4.5852516642018069</c:v>
                </c:pt>
                <c:pt idx="329">
                  <c:v>10.292470002893374</c:v>
                </c:pt>
                <c:pt idx="330">
                  <c:v>11.599320115331256</c:v>
                </c:pt>
                <c:pt idx="331">
                  <c:v>9.8482175559092102</c:v>
                </c:pt>
                <c:pt idx="332">
                  <c:v>13.234822937258278</c:v>
                </c:pt>
                <c:pt idx="333">
                  <c:v>3.7322255813774965</c:v>
                </c:pt>
                <c:pt idx="334">
                  <c:v>3.5365436270717123</c:v>
                </c:pt>
                <c:pt idx="335">
                  <c:v>5.3426686305972533</c:v>
                </c:pt>
                <c:pt idx="336">
                  <c:v>7.2596674778027772</c:v>
                </c:pt>
                <c:pt idx="337">
                  <c:v>13.508004877646348</c:v>
                </c:pt>
                <c:pt idx="338">
                  <c:v>16.862106068418246</c:v>
                </c:pt>
                <c:pt idx="339">
                  <c:v>9.1169569215089545</c:v>
                </c:pt>
                <c:pt idx="340">
                  <c:v>15.047770092369689</c:v>
                </c:pt>
                <c:pt idx="341">
                  <c:v>3.8115170665405533</c:v>
                </c:pt>
                <c:pt idx="342">
                  <c:v>4.630781964294699</c:v>
                </c:pt>
                <c:pt idx="343">
                  <c:v>10.50889484054847</c:v>
                </c:pt>
                <c:pt idx="344">
                  <c:v>12.839190772469225</c:v>
                </c:pt>
                <c:pt idx="345">
                  <c:v>4.0331841956708816</c:v>
                </c:pt>
                <c:pt idx="346">
                  <c:v>4.9789110049948526</c:v>
                </c:pt>
                <c:pt idx="347">
                  <c:v>14.415051785470963</c:v>
                </c:pt>
                <c:pt idx="348">
                  <c:v>5.4468228176762779</c:v>
                </c:pt>
                <c:pt idx="349">
                  <c:v>4.8727114433300311</c:v>
                </c:pt>
                <c:pt idx="350">
                  <c:v>3.2477976219303613</c:v>
                </c:pt>
                <c:pt idx="351">
                  <c:v>14.918537917618835</c:v>
                </c:pt>
                <c:pt idx="352">
                  <c:v>12.359526634668768</c:v>
                </c:pt>
                <c:pt idx="353">
                  <c:v>4.3413165138061522</c:v>
                </c:pt>
                <c:pt idx="354">
                  <c:v>15.476632144230356</c:v>
                </c:pt>
                <c:pt idx="355">
                  <c:v>11.872742635781009</c:v>
                </c:pt>
                <c:pt idx="356">
                  <c:v>12.490449364633413</c:v>
                </c:pt>
                <c:pt idx="357">
                  <c:v>16.049281443237319</c:v>
                </c:pt>
                <c:pt idx="358">
                  <c:v>9.1910919410801437</c:v>
                </c:pt>
                <c:pt idx="359">
                  <c:v>15.633573709903361</c:v>
                </c:pt>
                <c:pt idx="360">
                  <c:v>6.3530037729641773</c:v>
                </c:pt>
                <c:pt idx="361">
                  <c:v>15.118675631123716</c:v>
                </c:pt>
                <c:pt idx="362">
                  <c:v>8.5564900790463536</c:v>
                </c:pt>
                <c:pt idx="363">
                  <c:v>11.342751959930954</c:v>
                </c:pt>
                <c:pt idx="364">
                  <c:v>8.4425636012883718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4560"/>
        <c:axId val="611454952"/>
      </c:lineChart>
      <c:dateAx>
        <c:axId val="61145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4952"/>
        <c:crosses val="autoZero"/>
        <c:auto val="1"/>
        <c:lblOffset val="100"/>
        <c:baseTimeUnit val="days"/>
        <c:majorUnit val="1"/>
        <c:majorTimeUnit val="months"/>
      </c:dateAx>
      <c:valAx>
        <c:axId val="6114549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45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6.1118863404340695E-2</c:v>
                </c:pt>
                <c:pt idx="1">
                  <c:v>6.1140712540006303E-2</c:v>
                </c:pt>
                <c:pt idx="2">
                  <c:v>6.1162561167210638E-2</c:v>
                </c:pt>
                <c:pt idx="3">
                  <c:v>6.1184409285965469E-2</c:v>
                </c:pt>
                <c:pt idx="4">
                  <c:v>6.1206256896282674E-2</c:v>
                </c:pt>
                <c:pt idx="5">
                  <c:v>6.1228103998174133E-2</c:v>
                </c:pt>
                <c:pt idx="6">
                  <c:v>6.1249950591651614E-2</c:v>
                </c:pt>
                <c:pt idx="7">
                  <c:v>6.1271796676726886E-2</c:v>
                </c:pt>
                <c:pt idx="8">
                  <c:v>6.1293642253411829E-2</c:v>
                </c:pt>
                <c:pt idx="9">
                  <c:v>6.1315487321718321E-2</c:v>
                </c:pt>
                <c:pt idx="10">
                  <c:v>6.133733188165813E-2</c:v>
                </c:pt>
                <c:pt idx="11">
                  <c:v>6.1359175933243137E-2</c:v>
                </c:pt>
                <c:pt idx="12">
                  <c:v>6.1381019476485221E-2</c:v>
                </c:pt>
                <c:pt idx="13">
                  <c:v>6.1402862511396039E-2</c:v>
                </c:pt>
                <c:pt idx="14">
                  <c:v>6.1424705037987581E-2</c:v>
                </c:pt>
                <c:pt idx="15">
                  <c:v>6.1446547056271617E-2</c:v>
                </c:pt>
                <c:pt idx="16">
                  <c:v>6.1468388566259913E-2</c:v>
                </c:pt>
                <c:pt idx="17">
                  <c:v>6.1490229567964461E-2</c:v>
                </c:pt>
                <c:pt idx="18">
                  <c:v>6.1512070061396917E-2</c:v>
                </c:pt>
                <c:pt idx="19">
                  <c:v>6.1533910046569273E-2</c:v>
                </c:pt>
                <c:pt idx="20">
                  <c:v>6.1555749523493186E-2</c:v>
                </c:pt>
                <c:pt idx="21">
                  <c:v>6.1577588492180535E-2</c:v>
                </c:pt>
                <c:pt idx="22">
                  <c:v>6.159942695264331E-2</c:v>
                </c:pt>
                <c:pt idx="23">
                  <c:v>6.1621264904893058E-2</c:v>
                </c:pt>
                <c:pt idx="24">
                  <c:v>6.1643102348941881E-2</c:v>
                </c:pt>
                <c:pt idx="25">
                  <c:v>6.1664939284801434E-2</c:v>
                </c:pt>
                <c:pt idx="26">
                  <c:v>6.1686775712483488E-2</c:v>
                </c:pt>
                <c:pt idx="27">
                  <c:v>6.1708611632000143E-2</c:v>
                </c:pt>
                <c:pt idx="28">
                  <c:v>6.1730447043362946E-2</c:v>
                </c:pt>
                <c:pt idx="29">
                  <c:v>6.1752281946583776E-2</c:v>
                </c:pt>
                <c:pt idx="30">
                  <c:v>6.1774116341674623E-2</c:v>
                </c:pt>
                <c:pt idx="31">
                  <c:v>6.1795950228647145E-2</c:v>
                </c:pt>
                <c:pt idx="32">
                  <c:v>6.1817783607513221E-2</c:v>
                </c:pt>
                <c:pt idx="33">
                  <c:v>6.1839616478284731E-2</c:v>
                </c:pt>
                <c:pt idx="34">
                  <c:v>6.1861448840973332E-2</c:v>
                </c:pt>
                <c:pt idx="35">
                  <c:v>6.1883280695591014E-2</c:v>
                </c:pt>
                <c:pt idx="36">
                  <c:v>6.1905112042149546E-2</c:v>
                </c:pt>
                <c:pt idx="37">
                  <c:v>6.1926942880660807E-2</c:v>
                </c:pt>
                <c:pt idx="38">
                  <c:v>6.1948773211136454E-2</c:v>
                </c:pt>
                <c:pt idx="39">
                  <c:v>6.1970603033588478E-2</c:v>
                </c:pt>
                <c:pt idx="40">
                  <c:v>6.1992432348028648E-2</c:v>
                </c:pt>
                <c:pt idx="41">
                  <c:v>6.2014261154468731E-2</c:v>
                </c:pt>
                <c:pt idx="42">
                  <c:v>6.2036089452920717E-2</c:v>
                </c:pt>
                <c:pt idx="43">
                  <c:v>6.2057917243396155E-2</c:v>
                </c:pt>
                <c:pt idx="44">
                  <c:v>6.2079744525907143E-2</c:v>
                </c:pt>
                <c:pt idx="45">
                  <c:v>6.2101571300465341E-2</c:v>
                </c:pt>
                <c:pt idx="46">
                  <c:v>6.2123397567082628E-2</c:v>
                </c:pt>
                <c:pt idx="47">
                  <c:v>6.2145223325770771E-2</c:v>
                </c:pt>
                <c:pt idx="48">
                  <c:v>6.2167048576541539E-2</c:v>
                </c:pt>
                <c:pt idx="49">
                  <c:v>6.2188873319406923E-2</c:v>
                </c:pt>
                <c:pt idx="50">
                  <c:v>6.2210697554378691E-2</c:v>
                </c:pt>
                <c:pt idx="51">
                  <c:v>6.2232521281468611E-2</c:v>
                </c:pt>
                <c:pt idx="52">
                  <c:v>6.2254344500688563E-2</c:v>
                </c:pt>
                <c:pt idx="53">
                  <c:v>6.2276167212050204E-2</c:v>
                </c:pt>
                <c:pt idx="54">
                  <c:v>6.2297989415565524E-2</c:v>
                </c:pt>
                <c:pt idx="55">
                  <c:v>6.2319811111246293E-2</c:v>
                </c:pt>
                <c:pt idx="56">
                  <c:v>6.2341632299104277E-2</c:v>
                </c:pt>
                <c:pt idx="57">
                  <c:v>6.2363452979151468E-2</c:v>
                </c:pt>
                <c:pt idx="58">
                  <c:v>6.2385273151399412E-2</c:v>
                </c:pt>
                <c:pt idx="59">
                  <c:v>6.240709281586021E-2</c:v>
                </c:pt>
                <c:pt idx="60">
                  <c:v>6.2428911972545409E-2</c:v>
                </c:pt>
                <c:pt idx="61">
                  <c:v>6.2450730621466999E-2</c:v>
                </c:pt>
                <c:pt idx="62">
                  <c:v>6.2472548762636748E-2</c:v>
                </c:pt>
                <c:pt idx="63">
                  <c:v>6.2494366396066536E-2</c:v>
                </c:pt>
                <c:pt idx="64">
                  <c:v>6.2516183521768132E-2</c:v>
                </c:pt>
                <c:pt idx="65">
                  <c:v>6.2538000139753303E-2</c:v>
                </c:pt>
                <c:pt idx="66">
                  <c:v>6.2559816250033817E-2</c:v>
                </c:pt>
                <c:pt idx="67">
                  <c:v>6.2581631852621666E-2</c:v>
                </c:pt>
                <c:pt idx="68">
                  <c:v>6.2603446947528507E-2</c:v>
                </c:pt>
                <c:pt idx="69">
                  <c:v>6.262526153476633E-2</c:v>
                </c:pt>
                <c:pt idx="70">
                  <c:v>6.2647075614346792E-2</c:v>
                </c:pt>
                <c:pt idx="71">
                  <c:v>6.2668889186281662E-2</c:v>
                </c:pt>
                <c:pt idx="72">
                  <c:v>6.269070225058293E-2</c:v>
                </c:pt>
                <c:pt idx="73">
                  <c:v>6.2712514807262365E-2</c:v>
                </c:pt>
                <c:pt idx="74">
                  <c:v>6.2734326856331624E-2</c:v>
                </c:pt>
                <c:pt idx="75">
                  <c:v>6.2756138397802697E-2</c:v>
                </c:pt>
                <c:pt idx="76">
                  <c:v>6.2777949431687352E-2</c:v>
                </c:pt>
                <c:pt idx="77">
                  <c:v>6.2799759957997359E-2</c:v>
                </c:pt>
                <c:pt idx="78">
                  <c:v>6.2821569976744596E-2</c:v>
                </c:pt>
                <c:pt idx="79">
                  <c:v>6.2843379487940831E-2</c:v>
                </c:pt>
                <c:pt idx="80">
                  <c:v>6.2865188491597834E-2</c:v>
                </c:pt>
                <c:pt idx="81">
                  <c:v>6.2886996987727484E-2</c:v>
                </c:pt>
                <c:pt idx="82">
                  <c:v>6.2908804976341548E-2</c:v>
                </c:pt>
                <c:pt idx="83">
                  <c:v>6.2930612457451907E-2</c:v>
                </c:pt>
                <c:pt idx="84">
                  <c:v>6.2952419431070328E-2</c:v>
                </c:pt>
                <c:pt idx="85">
                  <c:v>6.297422589720858E-2</c:v>
                </c:pt>
                <c:pt idx="86">
                  <c:v>6.2996031855878432E-2</c:v>
                </c:pt>
                <c:pt idx="87">
                  <c:v>6.3017837307091873E-2</c:v>
                </c:pt>
                <c:pt idx="88">
                  <c:v>6.3039642250860561E-2</c:v>
                </c:pt>
                <c:pt idx="89">
                  <c:v>6.3061446687196376E-2</c:v>
                </c:pt>
                <c:pt idx="90">
                  <c:v>6.3083250616111086E-2</c:v>
                </c:pt>
                <c:pt idx="91">
                  <c:v>6.310505403761657E-2</c:v>
                </c:pt>
                <c:pt idx="92">
                  <c:v>6.3126856951724486E-2</c:v>
                </c:pt>
                <c:pt idx="93">
                  <c:v>6.3148659358446824E-2</c:v>
                </c:pt>
                <c:pt idx="94">
                  <c:v>6.3170461257795241E-2</c:v>
                </c:pt>
                <c:pt idx="95">
                  <c:v>6.3192262649781616E-2</c:v>
                </c:pt>
                <c:pt idx="96">
                  <c:v>6.321406353441783E-2</c:v>
                </c:pt>
                <c:pt idx="97">
                  <c:v>6.323586391171554E-2</c:v>
                </c:pt>
                <c:pt idx="98">
                  <c:v>6.3257663781686624E-2</c:v>
                </c:pt>
                <c:pt idx="99">
                  <c:v>6.3279463144342962E-2</c:v>
                </c:pt>
                <c:pt idx="100">
                  <c:v>6.3301261999696212E-2</c:v>
                </c:pt>
                <c:pt idx="101">
                  <c:v>6.3323060347758253E-2</c:v>
                </c:pt>
                <c:pt idx="102">
                  <c:v>6.3344858188540853E-2</c:v>
                </c:pt>
                <c:pt idx="103">
                  <c:v>6.3366655522055892E-2</c:v>
                </c:pt>
                <c:pt idx="104">
                  <c:v>6.3388452348315139E-2</c:v>
                </c:pt>
                <c:pt idx="105">
                  <c:v>6.3410248667330471E-2</c:v>
                </c:pt>
                <c:pt idx="106">
                  <c:v>6.3432044479113547E-2</c:v>
                </c:pt>
                <c:pt idx="107">
                  <c:v>6.3453839783676247E-2</c:v>
                </c:pt>
                <c:pt idx="108">
                  <c:v>6.3475634581030338E-2</c:v>
                </c:pt>
                <c:pt idx="109">
                  <c:v>6.34974288711877E-2</c:v>
                </c:pt>
                <c:pt idx="110">
                  <c:v>6.351922265415999E-2</c:v>
                </c:pt>
                <c:pt idx="111">
                  <c:v>6.3541015929959199E-2</c:v>
                </c:pt>
                <c:pt idx="112">
                  <c:v>6.3562808698597095E-2</c:v>
                </c:pt>
                <c:pt idx="113">
                  <c:v>6.3584600960085336E-2</c:v>
                </c:pt>
                <c:pt idx="114">
                  <c:v>6.3606392714435911E-2</c:v>
                </c:pt>
                <c:pt idx="115">
                  <c:v>6.3628183961660367E-2</c:v>
                </c:pt>
                <c:pt idx="116">
                  <c:v>6.3649974701770806E-2</c:v>
                </c:pt>
                <c:pt idx="117">
                  <c:v>6.3671764934778885E-2</c:v>
                </c:pt>
                <c:pt idx="118">
                  <c:v>6.3693554660696372E-2</c:v>
                </c:pt>
                <c:pt idx="119">
                  <c:v>6.3715343879535036E-2</c:v>
                </c:pt>
                <c:pt idx="120">
                  <c:v>6.3737132591306755E-2</c:v>
                </c:pt>
                <c:pt idx="121">
                  <c:v>6.3758920796023411E-2</c:v>
                </c:pt>
                <c:pt idx="122">
                  <c:v>6.3780708493696658E-2</c:v>
                </c:pt>
                <c:pt idx="123">
                  <c:v>6.3802495684338378E-2</c:v>
                </c:pt>
                <c:pt idx="124">
                  <c:v>6.3824282367960339E-2</c:v>
                </c:pt>
                <c:pt idx="125">
                  <c:v>6.3846068544574308E-2</c:v>
                </c:pt>
                <c:pt idx="126">
                  <c:v>6.3867854214192166E-2</c:v>
                </c:pt>
                <c:pt idx="127">
                  <c:v>6.388963937682568E-2</c:v>
                </c:pt>
                <c:pt idx="128">
                  <c:v>6.3911424032486619E-2</c:v>
                </c:pt>
                <c:pt idx="129">
                  <c:v>6.3933208181186751E-2</c:v>
                </c:pt>
                <c:pt idx="130">
                  <c:v>6.3954991822937957E-2</c:v>
                </c:pt>
                <c:pt idx="131">
                  <c:v>6.3976774957752003E-2</c:v>
                </c:pt>
                <c:pt idx="132">
                  <c:v>6.3998557585640659E-2</c:v>
                </c:pt>
                <c:pt idx="133">
                  <c:v>6.4020339706615692E-2</c:v>
                </c:pt>
                <c:pt idx="134">
                  <c:v>6.4042121320688983E-2</c:v>
                </c:pt>
                <c:pt idx="135">
                  <c:v>6.4063902427872299E-2</c:v>
                </c:pt>
                <c:pt idx="136">
                  <c:v>6.408568302817752E-2</c:v>
                </c:pt>
                <c:pt idx="137">
                  <c:v>6.4107463121616193E-2</c:v>
                </c:pt>
                <c:pt idx="138">
                  <c:v>6.4129242708200418E-2</c:v>
                </c:pt>
                <c:pt idx="139">
                  <c:v>6.4151021787941742E-2</c:v>
                </c:pt>
                <c:pt idx="140">
                  <c:v>6.4172800360852156E-2</c:v>
                </c:pt>
                <c:pt idx="141">
                  <c:v>6.4194578426943316E-2</c:v>
                </c:pt>
                <c:pt idx="142">
                  <c:v>6.4216355986226992E-2</c:v>
                </c:pt>
                <c:pt idx="143">
                  <c:v>6.4238133038715173E-2</c:v>
                </c:pt>
                <c:pt idx="144">
                  <c:v>6.4259909584419406E-2</c:v>
                </c:pt>
                <c:pt idx="145">
                  <c:v>6.4281685623351681E-2</c:v>
                </c:pt>
                <c:pt idx="146">
                  <c:v>6.4303461155523656E-2</c:v>
                </c:pt>
                <c:pt idx="147">
                  <c:v>6.4325236180947321E-2</c:v>
                </c:pt>
                <c:pt idx="148">
                  <c:v>6.4347010699634222E-2</c:v>
                </c:pt>
                <c:pt idx="149">
                  <c:v>6.4368784711596239E-2</c:v>
                </c:pt>
                <c:pt idx="150">
                  <c:v>6.4390558216845251E-2</c:v>
                </c:pt>
                <c:pt idx="151">
                  <c:v>6.4412331215392915E-2</c:v>
                </c:pt>
                <c:pt idx="152">
                  <c:v>6.4434103707251222E-2</c:v>
                </c:pt>
                <c:pt idx="153">
                  <c:v>6.4455875692431719E-2</c:v>
                </c:pt>
                <c:pt idx="154">
                  <c:v>6.4477647170946395E-2</c:v>
                </c:pt>
                <c:pt idx="155">
                  <c:v>6.4499418142806908E-2</c:v>
                </c:pt>
                <c:pt idx="156">
                  <c:v>6.4521188608025137E-2</c:v>
                </c:pt>
                <c:pt idx="157">
                  <c:v>6.454295856661274E-2</c:v>
                </c:pt>
                <c:pt idx="158">
                  <c:v>6.4564728018581707E-2</c:v>
                </c:pt>
                <c:pt idx="159">
                  <c:v>6.4586496963943696E-2</c:v>
                </c:pt>
                <c:pt idx="160">
                  <c:v>6.4608265402710585E-2</c:v>
                </c:pt>
                <c:pt idx="161">
                  <c:v>6.4630033334894033E-2</c:v>
                </c:pt>
                <c:pt idx="162">
                  <c:v>6.4651800760505918E-2</c:v>
                </c:pt>
                <c:pt idx="163">
                  <c:v>6.4673567679557897E-2</c:v>
                </c:pt>
                <c:pt idx="164">
                  <c:v>6.4695334092062073E-2</c:v>
                </c:pt>
                <c:pt idx="165">
                  <c:v>6.4717099998029881E-2</c:v>
                </c:pt>
                <c:pt idx="166">
                  <c:v>6.4738865397473311E-2</c:v>
                </c:pt>
                <c:pt idx="167">
                  <c:v>6.476063029040402E-2</c:v>
                </c:pt>
                <c:pt idx="168">
                  <c:v>6.4782394676833999E-2</c:v>
                </c:pt>
                <c:pt idx="169">
                  <c:v>6.4804158556774905E-2</c:v>
                </c:pt>
                <c:pt idx="170">
                  <c:v>6.4825921930238395E-2</c:v>
                </c:pt>
                <c:pt idx="171">
                  <c:v>6.484768479723646E-2</c:v>
                </c:pt>
                <c:pt idx="172">
                  <c:v>6.4869447157780868E-2</c:v>
                </c:pt>
                <c:pt idx="173">
                  <c:v>6.4891209011883388E-2</c:v>
                </c:pt>
                <c:pt idx="174">
                  <c:v>6.4912970359555677E-2</c:v>
                </c:pt>
                <c:pt idx="175">
                  <c:v>6.4934731200809614E-2</c:v>
                </c:pt>
                <c:pt idx="176">
                  <c:v>6.4956491535656968E-2</c:v>
                </c:pt>
                <c:pt idx="177">
                  <c:v>6.4978251364109618E-2</c:v>
                </c:pt>
                <c:pt idx="178">
                  <c:v>6.5000010686179222E-2</c:v>
                </c:pt>
                <c:pt idx="179">
                  <c:v>6.5021769501877658E-2</c:v>
                </c:pt>
                <c:pt idx="180">
                  <c:v>6.5043527811216584E-2</c:v>
                </c:pt>
                <c:pt idx="181">
                  <c:v>6.5065285614207991E-2</c:v>
                </c:pt>
                <c:pt idx="182">
                  <c:v>6.5087042910863424E-2</c:v>
                </c:pt>
                <c:pt idx="183">
                  <c:v>6.5108799701194764E-2</c:v>
                </c:pt>
                <c:pt idx="184">
                  <c:v>6.5130555985213889E-2</c:v>
                </c:pt>
                <c:pt idx="185">
                  <c:v>6.5152311762932458E-2</c:v>
                </c:pt>
                <c:pt idx="186">
                  <c:v>6.5174067034362348E-2</c:v>
                </c:pt>
                <c:pt idx="187">
                  <c:v>6.5195821799515219E-2</c:v>
                </c:pt>
                <c:pt idx="188">
                  <c:v>6.5217576058402948E-2</c:v>
                </c:pt>
                <c:pt idx="189">
                  <c:v>6.5239329811037305E-2</c:v>
                </c:pt>
                <c:pt idx="190">
                  <c:v>6.5261083057430058E-2</c:v>
                </c:pt>
                <c:pt idx="191">
                  <c:v>6.5282835797592975E-2</c:v>
                </c:pt>
                <c:pt idx="192">
                  <c:v>6.5304588031537825E-2</c:v>
                </c:pt>
                <c:pt idx="193">
                  <c:v>6.5326339759276486E-2</c:v>
                </c:pt>
                <c:pt idx="194">
                  <c:v>6.5348090980820617E-2</c:v>
                </c:pt>
                <c:pt idx="195">
                  <c:v>6.5369841696182096E-2</c:v>
                </c:pt>
                <c:pt idx="196">
                  <c:v>6.5391591905372581E-2</c:v>
                </c:pt>
                <c:pt idx="197">
                  <c:v>6.5413341608403952E-2</c:v>
                </c:pt>
                <c:pt idx="198">
                  <c:v>6.5435090805287977E-2</c:v>
                </c:pt>
                <c:pt idx="199">
                  <c:v>6.5456839496036423E-2</c:v>
                </c:pt>
                <c:pt idx="200">
                  <c:v>6.5478587680660949E-2</c:v>
                </c:pt>
                <c:pt idx="201">
                  <c:v>6.5500335359173545E-2</c:v>
                </c:pt>
                <c:pt idx="202">
                  <c:v>6.5522082531585868E-2</c:v>
                </c:pt>
                <c:pt idx="203">
                  <c:v>6.5543829197909798E-2</c:v>
                </c:pt>
                <c:pt idx="204">
                  <c:v>6.5565575358156991E-2</c:v>
                </c:pt>
                <c:pt idx="205">
                  <c:v>6.5587321012339217E-2</c:v>
                </c:pt>
                <c:pt idx="206">
                  <c:v>6.5609066160468354E-2</c:v>
                </c:pt>
                <c:pt idx="207">
                  <c:v>6.5630810802556061E-2</c:v>
                </c:pt>
                <c:pt idx="208">
                  <c:v>6.5652554938614216E-2</c:v>
                </c:pt>
                <c:pt idx="209">
                  <c:v>6.5674298568654588E-2</c:v>
                </c:pt>
                <c:pt idx="210">
                  <c:v>6.5696041692688834E-2</c:v>
                </c:pt>
                <c:pt idx="211">
                  <c:v>6.5717784310728944E-2</c:v>
                </c:pt>
                <c:pt idx="212">
                  <c:v>6.5739526422786465E-2</c:v>
                </c:pt>
                <c:pt idx="213">
                  <c:v>6.5761268028873276E-2</c:v>
                </c:pt>
                <c:pt idx="214">
                  <c:v>6.5783009129001258E-2</c:v>
                </c:pt>
                <c:pt idx="215">
                  <c:v>6.5804749723181954E-2</c:v>
                </c:pt>
                <c:pt idx="216">
                  <c:v>6.5826489811427358E-2</c:v>
                </c:pt>
                <c:pt idx="217">
                  <c:v>6.5848229393749125E-2</c:v>
                </c:pt>
                <c:pt idx="218">
                  <c:v>6.5869968470159024E-2</c:v>
                </c:pt>
                <c:pt idx="219">
                  <c:v>6.5891707040668823E-2</c:v>
                </c:pt>
                <c:pt idx="220">
                  <c:v>6.5913445105290402E-2</c:v>
                </c:pt>
                <c:pt idx="221">
                  <c:v>6.5935182664035419E-2</c:v>
                </c:pt>
                <c:pt idx="222">
                  <c:v>6.5956919716915752E-2</c:v>
                </c:pt>
                <c:pt idx="223">
                  <c:v>6.5978656263943058E-2</c:v>
                </c:pt>
                <c:pt idx="224">
                  <c:v>6.6000392305129107E-2</c:v>
                </c:pt>
                <c:pt idx="225">
                  <c:v>6.6022127840485778E-2</c:v>
                </c:pt>
                <c:pt idx="226">
                  <c:v>6.6043862870024839E-2</c:v>
                </c:pt>
                <c:pt idx="227">
                  <c:v>6.6065597393757947E-2</c:v>
                </c:pt>
                <c:pt idx="228">
                  <c:v>6.608733141169687E-2</c:v>
                </c:pt>
                <c:pt idx="229">
                  <c:v>6.61090649238536E-2</c:v>
                </c:pt>
                <c:pt idx="230">
                  <c:v>6.6130797930239571E-2</c:v>
                </c:pt>
                <c:pt idx="231">
                  <c:v>6.6152530430866885E-2</c:v>
                </c:pt>
                <c:pt idx="232">
                  <c:v>6.6174262425747088E-2</c:v>
                </c:pt>
                <c:pt idx="233">
                  <c:v>6.619599391489206E-2</c:v>
                </c:pt>
                <c:pt idx="234">
                  <c:v>6.6217724898313568E-2</c:v>
                </c:pt>
                <c:pt idx="235">
                  <c:v>6.6239455376023271E-2</c:v>
                </c:pt>
                <c:pt idx="236">
                  <c:v>6.6261185348033047E-2</c:v>
                </c:pt>
                <c:pt idx="237">
                  <c:v>6.6282914814354554E-2</c:v>
                </c:pt>
                <c:pt idx="238">
                  <c:v>6.6304643774999672E-2</c:v>
                </c:pt>
                <c:pt idx="239">
                  <c:v>6.6326372229980168E-2</c:v>
                </c:pt>
                <c:pt idx="240">
                  <c:v>6.6348100179307812E-2</c:v>
                </c:pt>
                <c:pt idx="241">
                  <c:v>6.636982762299426E-2</c:v>
                </c:pt>
                <c:pt idx="242">
                  <c:v>6.6391554561051391E-2</c:v>
                </c:pt>
                <c:pt idx="243">
                  <c:v>6.6413280993490864E-2</c:v>
                </c:pt>
                <c:pt idx="244">
                  <c:v>6.6435006920324557E-2</c:v>
                </c:pt>
                <c:pt idx="245">
                  <c:v>6.645673234156424E-2</c:v>
                </c:pt>
                <c:pt idx="246">
                  <c:v>6.6478457257221568E-2</c:v>
                </c:pt>
                <c:pt idx="247">
                  <c:v>6.6500181667308422E-2</c:v>
                </c:pt>
                <c:pt idx="248">
                  <c:v>6.6521905571836459E-2</c:v>
                </c:pt>
                <c:pt idx="249">
                  <c:v>6.6543628970817559E-2</c:v>
                </c:pt>
                <c:pt idx="250">
                  <c:v>6.6565351864263378E-2</c:v>
                </c:pt>
                <c:pt idx="251">
                  <c:v>6.6587074252185685E-2</c:v>
                </c:pt>
                <c:pt idx="252">
                  <c:v>6.660879613459636E-2</c:v>
                </c:pt>
                <c:pt idx="253">
                  <c:v>6.663051751150717E-2</c:v>
                </c:pt>
                <c:pt idx="254">
                  <c:v>6.6652238382929663E-2</c:v>
                </c:pt>
                <c:pt idx="255">
                  <c:v>6.6673958748875828E-2</c:v>
                </c:pt>
                <c:pt idx="256">
                  <c:v>6.6695678609357323E-2</c:v>
                </c:pt>
                <c:pt idx="257">
                  <c:v>6.6717397964386027E-2</c:v>
                </c:pt>
                <c:pt idx="258">
                  <c:v>6.6739116813973487E-2</c:v>
                </c:pt>
                <c:pt idx="259">
                  <c:v>6.6760835158131582E-2</c:v>
                </c:pt>
                <c:pt idx="260">
                  <c:v>6.6782552996872191E-2</c:v>
                </c:pt>
                <c:pt idx="261">
                  <c:v>6.6804270330206861E-2</c:v>
                </c:pt>
                <c:pt idx="262">
                  <c:v>6.6825987158147471E-2</c:v>
                </c:pt>
                <c:pt idx="263">
                  <c:v>6.6847703480705789E-2</c:v>
                </c:pt>
                <c:pt idx="264">
                  <c:v>6.6869419297893584E-2</c:v>
                </c:pt>
                <c:pt idx="265">
                  <c:v>6.6891134609722513E-2</c:v>
                </c:pt>
                <c:pt idx="266">
                  <c:v>6.6912849416204456E-2</c:v>
                </c:pt>
                <c:pt idx="267">
                  <c:v>6.6934563717351181E-2</c:v>
                </c:pt>
                <c:pt idx="268">
                  <c:v>6.6956277513174345E-2</c:v>
                </c:pt>
                <c:pt idx="269">
                  <c:v>6.6977990803685827E-2</c:v>
                </c:pt>
                <c:pt idx="270">
                  <c:v>6.6999703588897175E-2</c:v>
                </c:pt>
                <c:pt idx="271">
                  <c:v>6.7021415868820378E-2</c:v>
                </c:pt>
                <c:pt idx="272">
                  <c:v>6.7043127643467093E-2</c:v>
                </c:pt>
                <c:pt idx="273">
                  <c:v>6.706483891284909E-2</c:v>
                </c:pt>
                <c:pt idx="274">
                  <c:v>6.7086549676978136E-2</c:v>
                </c:pt>
                <c:pt idx="275">
                  <c:v>6.7108259935865999E-2</c:v>
                </c:pt>
                <c:pt idx="276">
                  <c:v>6.7129969689524449E-2</c:v>
                </c:pt>
                <c:pt idx="277">
                  <c:v>6.7151678937965142E-2</c:v>
                </c:pt>
                <c:pt idx="278">
                  <c:v>6.7173387681199959E-2</c:v>
                </c:pt>
                <c:pt idx="279">
                  <c:v>6.7195095919240555E-2</c:v>
                </c:pt>
                <c:pt idx="280">
                  <c:v>6.7216803652098811E-2</c:v>
                </c:pt>
                <c:pt idx="281">
                  <c:v>6.7238510879786384E-2</c:v>
                </c:pt>
                <c:pt idx="282">
                  <c:v>6.7260217602315042E-2</c:v>
                </c:pt>
                <c:pt idx="283">
                  <c:v>6.7281923819696554E-2</c:v>
                </c:pt>
                <c:pt idx="284">
                  <c:v>6.7303629531942688E-2</c:v>
                </c:pt>
                <c:pt idx="285">
                  <c:v>6.7325334739065212E-2</c:v>
                </c:pt>
                <c:pt idx="286">
                  <c:v>6.7347039441075784E-2</c:v>
                </c:pt>
                <c:pt idx="287">
                  <c:v>6.7368743637986284E-2</c:v>
                </c:pt>
                <c:pt idx="288">
                  <c:v>6.7390447329808367E-2</c:v>
                </c:pt>
                <c:pt idx="289">
                  <c:v>6.7412150516553915E-2</c:v>
                </c:pt>
                <c:pt idx="290">
                  <c:v>6.7433853198234583E-2</c:v>
                </c:pt>
                <c:pt idx="291">
                  <c:v>6.7455555374862031E-2</c:v>
                </c:pt>
                <c:pt idx="292">
                  <c:v>6.7477257046448247E-2</c:v>
                </c:pt>
                <c:pt idx="293">
                  <c:v>6.7498958213004778E-2</c:v>
                </c:pt>
                <c:pt idx="294">
                  <c:v>6.7520658874543504E-2</c:v>
                </c:pt>
                <c:pt idx="295">
                  <c:v>6.7542359031076193E-2</c:v>
                </c:pt>
                <c:pt idx="296">
                  <c:v>6.7564058682614503E-2</c:v>
                </c:pt>
                <c:pt idx="297">
                  <c:v>6.7585757829170201E-2</c:v>
                </c:pt>
                <c:pt idx="298">
                  <c:v>6.7607456470755056E-2</c:v>
                </c:pt>
                <c:pt idx="299">
                  <c:v>6.7629154607380726E-2</c:v>
                </c:pt>
                <c:pt idx="300">
                  <c:v>6.76508522390592E-2</c:v>
                </c:pt>
                <c:pt idx="301">
                  <c:v>6.7672549365802026E-2</c:v>
                </c:pt>
                <c:pt idx="302">
                  <c:v>6.7694245987621082E-2</c:v>
                </c:pt>
                <c:pt idx="303">
                  <c:v>6.7715942104527915E-2</c:v>
                </c:pt>
                <c:pt idx="304">
                  <c:v>6.7737637716534516E-2</c:v>
                </c:pt>
                <c:pt idx="305">
                  <c:v>6.7759332823652541E-2</c:v>
                </c:pt>
                <c:pt idx="306">
                  <c:v>6.7781027425893647E-2</c:v>
                </c:pt>
                <c:pt idx="307">
                  <c:v>6.7802721523269716E-2</c:v>
                </c:pt>
                <c:pt idx="308">
                  <c:v>6.7824415115792513E-2</c:v>
                </c:pt>
                <c:pt idx="309">
                  <c:v>6.7846108203473587E-2</c:v>
                </c:pt>
                <c:pt idx="310">
                  <c:v>6.7867800786324928E-2</c:v>
                </c:pt>
                <c:pt idx="311">
                  <c:v>6.7889492864358081E-2</c:v>
                </c:pt>
                <c:pt idx="312">
                  <c:v>6.7911184437584926E-2</c:v>
                </c:pt>
                <c:pt idx="313">
                  <c:v>6.7932875506017232E-2</c:v>
                </c:pt>
                <c:pt idx="314">
                  <c:v>6.7954566069666655E-2</c:v>
                </c:pt>
                <c:pt idx="315">
                  <c:v>6.7976256128544965E-2</c:v>
                </c:pt>
                <c:pt idx="316">
                  <c:v>6.7997945682663929E-2</c:v>
                </c:pt>
                <c:pt idx="317">
                  <c:v>6.8019634732035206E-2</c:v>
                </c:pt>
                <c:pt idx="318">
                  <c:v>6.8041323276670673E-2</c:v>
                </c:pt>
                <c:pt idx="319">
                  <c:v>6.8063011316581989E-2</c:v>
                </c:pt>
                <c:pt idx="320">
                  <c:v>6.8084698851781034E-2</c:v>
                </c:pt>
                <c:pt idx="321">
                  <c:v>6.8106385882279352E-2</c:v>
                </c:pt>
                <c:pt idx="322">
                  <c:v>6.8128072408088824E-2</c:v>
                </c:pt>
                <c:pt idx="323">
                  <c:v>6.8149758429221219E-2</c:v>
                </c:pt>
                <c:pt idx="324">
                  <c:v>6.8171443945688082E-2</c:v>
                </c:pt>
                <c:pt idx="325">
                  <c:v>6.8193128957501403E-2</c:v>
                </c:pt>
                <c:pt idx="326">
                  <c:v>6.821481346467273E-2</c:v>
                </c:pt>
                <c:pt idx="327">
                  <c:v>6.8236497467214052E-2</c:v>
                </c:pt>
                <c:pt idx="328">
                  <c:v>6.8258180965136805E-2</c:v>
                </c:pt>
                <c:pt idx="329">
                  <c:v>6.827986395845298E-2</c:v>
                </c:pt>
                <c:pt idx="330">
                  <c:v>6.8301546447174122E-2</c:v>
                </c:pt>
                <c:pt idx="331">
                  <c:v>6.8323228431312111E-2</c:v>
                </c:pt>
                <c:pt idx="332">
                  <c:v>6.8344909910878715E-2</c:v>
                </c:pt>
                <c:pt idx="333">
                  <c:v>6.8366590885885592E-2</c:v>
                </c:pt>
                <c:pt idx="334">
                  <c:v>6.838827135634451E-2</c:v>
                </c:pt>
                <c:pt idx="335">
                  <c:v>6.8409951322267126E-2</c:v>
                </c:pt>
                <c:pt idx="336">
                  <c:v>6.843163078366532E-2</c:v>
                </c:pt>
                <c:pt idx="337">
                  <c:v>6.8453309740550861E-2</c:v>
                </c:pt>
                <c:pt idx="338">
                  <c:v>6.8474988192935293E-2</c:v>
                </c:pt>
                <c:pt idx="339">
                  <c:v>6.8496666140830498E-2</c:v>
                </c:pt>
                <c:pt idx="340">
                  <c:v>6.8518343584248242E-2</c:v>
                </c:pt>
                <c:pt idx="341">
                  <c:v>6.8540020523200074E-2</c:v>
                </c:pt>
                <c:pt idx="342">
                  <c:v>6.8561696957697982E-2</c:v>
                </c:pt>
                <c:pt idx="343">
                  <c:v>6.8583372887753513E-2</c:v>
                </c:pt>
                <c:pt idx="344">
                  <c:v>6.8605048313378547E-2</c:v>
                </c:pt>
                <c:pt idx="345">
                  <c:v>6.8626723234584741E-2</c:v>
                </c:pt>
                <c:pt idx="346">
                  <c:v>6.8648397651383863E-2</c:v>
                </c:pt>
                <c:pt idx="347">
                  <c:v>6.8670071563787682E-2</c:v>
                </c:pt>
                <c:pt idx="348">
                  <c:v>6.8691744971807855E-2</c:v>
                </c:pt>
                <c:pt idx="349">
                  <c:v>6.8713417875456151E-2</c:v>
                </c:pt>
                <c:pt idx="350">
                  <c:v>6.8735090274744337E-2</c:v>
                </c:pt>
                <c:pt idx="351">
                  <c:v>6.8756762169684071E-2</c:v>
                </c:pt>
                <c:pt idx="352">
                  <c:v>6.8778433560287233E-2</c:v>
                </c:pt>
                <c:pt idx="353">
                  <c:v>6.8800104446565369E-2</c:v>
                </c:pt>
                <c:pt idx="354">
                  <c:v>6.8821774828530469E-2</c:v>
                </c:pt>
                <c:pt idx="355">
                  <c:v>6.8843444706193968E-2</c:v>
                </c:pt>
                <c:pt idx="356">
                  <c:v>6.8865114079567857E-2</c:v>
                </c:pt>
                <c:pt idx="357">
                  <c:v>6.8886782948663794E-2</c:v>
                </c:pt>
                <c:pt idx="358">
                  <c:v>6.8908451313493435E-2</c:v>
                </c:pt>
                <c:pt idx="359">
                  <c:v>6.8930119174068549E-2</c:v>
                </c:pt>
                <c:pt idx="360">
                  <c:v>6.8951786530400905E-2</c:v>
                </c:pt>
                <c:pt idx="361">
                  <c:v>6.897345338250227E-2</c:v>
                </c:pt>
                <c:pt idx="362">
                  <c:v>6.8995119730384302E-2</c:v>
                </c:pt>
                <c:pt idx="363">
                  <c:v>6.901678557405877E-2</c:v>
                </c:pt>
                <c:pt idx="364">
                  <c:v>6.903845091353733E-2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5.6313898525004645E-2</c:v>
                </c:pt>
                <c:pt idx="1">
                  <c:v>5.6447226502688061E-2</c:v>
                </c:pt>
                <c:pt idx="2">
                  <c:v>5.6580522449985203E-2</c:v>
                </c:pt>
                <c:pt idx="3">
                  <c:v>5.6713774188247405E-2</c:v>
                </c:pt>
                <c:pt idx="4">
                  <c:v>5.6846971126268055E-2</c:v>
                </c:pt>
                <c:pt idx="5">
                  <c:v>5.6980104225254492E-2</c:v>
                </c:pt>
                <c:pt idx="6">
                  <c:v>5.7113165950376972E-2</c:v>
                </c:pt>
                <c:pt idx="7">
                  <c:v>5.7246150209783894E-2</c:v>
                </c:pt>
                <c:pt idx="8">
                  <c:v>5.737905228207639E-2</c:v>
                </c:pt>
                <c:pt idx="9">
                  <c:v>5.7511868733326352E-2</c:v>
                </c:pt>
                <c:pt idx="10">
                  <c:v>5.7644597324802607E-2</c:v>
                </c:pt>
                <c:pt idx="11">
                  <c:v>5.7777236912636275E-2</c:v>
                </c:pt>
                <c:pt idx="12">
                  <c:v>5.7909787340712067E-2</c:v>
                </c:pt>
                <c:pt idx="13">
                  <c:v>5.8042249328111861E-2</c:v>
                </c:pt>
                <c:pt idx="14">
                  <c:v>5.8174624352465454E-2</c:v>
                </c:pt>
                <c:pt idx="15">
                  <c:v>5.8306914530576237E-2</c:v>
                </c:pt>
                <c:pt idx="16">
                  <c:v>5.8439122497689407E-2</c:v>
                </c:pt>
                <c:pt idx="17">
                  <c:v>5.8571251286756942E-2</c:v>
                </c:pt>
                <c:pt idx="18">
                  <c:v>5.8703304209026655E-2</c:v>
                </c:pt>
                <c:pt idx="19">
                  <c:v>5.8835284737242192E-2</c:v>
                </c:pt>
                <c:pt idx="20">
                  <c:v>5.896719639268988E-2</c:v>
                </c:pt>
                <c:pt idx="21">
                  <c:v>5.9099042637263795E-2</c:v>
                </c:pt>
                <c:pt idx="22">
                  <c:v>5.9230826771646795E-2</c:v>
                </c:pt>
                <c:pt idx="23">
                  <c:v>5.9362551840620462E-2</c:v>
                </c:pt>
                <c:pt idx="24">
                  <c:v>5.9494220546424739E-2</c:v>
                </c:pt>
                <c:pt idx="25">
                  <c:v>5.9625835170985721E-2</c:v>
                </c:pt>
                <c:pt idx="26">
                  <c:v>5.9757397507724075E-2</c:v>
                </c:pt>
                <c:pt idx="27">
                  <c:v>5.9888908803542577E-2</c:v>
                </c:pt>
                <c:pt idx="28">
                  <c:v>6.0020369711473856E-2</c:v>
                </c:pt>
                <c:pt idx="29">
                  <c:v>6.0151780254350092E-2</c:v>
                </c:pt>
                <c:pt idx="30">
                  <c:v>6.0283139799733647E-2</c:v>
                </c:pt>
                <c:pt idx="31">
                  <c:v>6.0414447046225388E-2</c:v>
                </c:pt>
                <c:pt idx="32">
                  <c:v>6.0545700021146606E-2</c:v>
                </c:pt>
                <c:pt idx="33">
                  <c:v>6.0676896089470175E-2</c:v>
                </c:pt>
                <c:pt idx="34">
                  <c:v>6.0808031973761195E-2</c:v>
                </c:pt>
                <c:pt idx="35">
                  <c:v>6.0939103784776114E-2</c:v>
                </c:pt>
                <c:pt idx="36">
                  <c:v>6.1070107062262034E-2</c:v>
                </c:pt>
                <c:pt idx="37">
                  <c:v>6.1201036825400554E-2</c:v>
                </c:pt>
                <c:pt idx="38">
                  <c:v>6.1331887632246999E-2</c:v>
                </c:pt>
                <c:pt idx="39">
                  <c:v>6.1462653647433411E-2</c:v>
                </c:pt>
                <c:pt idx="40">
                  <c:v>6.1593328717329462E-2</c:v>
                </c:pt>
                <c:pt idx="41">
                  <c:v>6.1723906451790544E-2</c:v>
                </c:pt>
                <c:pt idx="42">
                  <c:v>6.185438031156866E-2</c:v>
                </c:pt>
                <c:pt idx="43">
                  <c:v>6.1984743700417955E-2</c:v>
                </c:pt>
                <c:pt idx="44">
                  <c:v>6.2114990060894541E-2</c:v>
                </c:pt>
                <c:pt idx="45">
                  <c:v>6.2245112972828934E-2</c:v>
                </c:pt>
                <c:pt idx="46">
                  <c:v>6.2375106253439158E-2</c:v>
                </c:pt>
                <c:pt idx="47">
                  <c:v>6.2504964058053517E-2</c:v>
                </c:pt>
                <c:pt idx="48">
                  <c:v>6.2634680980424573E-2</c:v>
                </c:pt>
                <c:pt idx="49">
                  <c:v>6.2764252151637154E-2</c:v>
                </c:pt>
                <c:pt idx="50">
                  <c:v>6.2893673336646624E-2</c:v>
                </c:pt>
                <c:pt idx="51">
                  <c:v>6.3022941027525203E-2</c:v>
                </c:pt>
                <c:pt idx="52">
                  <c:v>6.3152052532545383E-2</c:v>
                </c:pt>
                <c:pt idx="53">
                  <c:v>6.3281006060288525E-2</c:v>
                </c:pt>
                <c:pt idx="54">
                  <c:v>6.3409800798032906E-2</c:v>
                </c:pt>
                <c:pt idx="55">
                  <c:v>6.3538436983749086E-2</c:v>
                </c:pt>
                <c:pt idx="56">
                  <c:v>6.3666915971107893E-2</c:v>
                </c:pt>
                <c:pt idx="57">
                  <c:v>6.3795240286990545E-2</c:v>
                </c:pt>
                <c:pt idx="58">
                  <c:v>6.3923413681075514E-2</c:v>
                </c:pt>
                <c:pt idx="59">
                  <c:v>6.4051441167166448E-2</c:v>
                </c:pt>
                <c:pt idx="60">
                  <c:v>6.4179329056015325E-2</c:v>
                </c:pt>
                <c:pt idx="61">
                  <c:v>6.4307084979485174E-2</c:v>
                </c:pt>
                <c:pt idx="62">
                  <c:v>6.443471790598683E-2</c:v>
                </c:pt>
                <c:pt idx="63">
                  <c:v>6.4562238147210918E-2</c:v>
                </c:pt>
                <c:pt idx="64">
                  <c:v>6.4689657356262892E-2</c:v>
                </c:pt>
                <c:pt idx="65">
                  <c:v>6.4816988517388027E-2</c:v>
                </c:pt>
                <c:pt idx="66">
                  <c:v>6.4944245927551131E-2</c:v>
                </c:pt>
                <c:pt idx="67">
                  <c:v>6.5071445170206785E-2</c:v>
                </c:pt>
                <c:pt idx="68">
                  <c:v>6.5198603081659062E-2</c:v>
                </c:pt>
                <c:pt idx="69">
                  <c:v>6.5325737710469844E-2</c:v>
                </c:pt>
                <c:pt idx="70">
                  <c:v>6.5452868270423209E-2</c:v>
                </c:pt>
                <c:pt idx="71">
                  <c:v>6.5580015087597046E-2</c:v>
                </c:pt>
                <c:pt idx="72">
                  <c:v>6.5707199542126948E-2</c:v>
                </c:pt>
                <c:pt idx="73">
                  <c:v>6.5834444005272927E-2</c:v>
                </c:pt>
                <c:pt idx="74">
                  <c:v>6.5961771772417022E-2</c:v>
                </c:pt>
                <c:pt idx="75">
                  <c:v>6.6089206992627741E-2</c:v>
                </c:pt>
                <c:pt idx="76">
                  <c:v>6.6216774595427616E-2</c:v>
                </c:pt>
                <c:pt idx="77">
                  <c:v>6.6344500215391081E-2</c:v>
                </c:pt>
                <c:pt idx="78">
                  <c:v>6.6472410115183594E-2</c:v>
                </c:pt>
                <c:pt idx="79">
                  <c:v>6.6600531107627897E-2</c:v>
                </c:pt>
                <c:pt idx="80">
                  <c:v>6.6728890477352781E-2</c:v>
                </c:pt>
                <c:pt idx="81">
                  <c:v>6.6857515902540132E-2</c:v>
                </c:pt>
                <c:pt idx="82">
                  <c:v>6.6986435377242901E-2</c:v>
                </c:pt>
                <c:pt idx="83">
                  <c:v>6.7115677134697224E-2</c:v>
                </c:pt>
                <c:pt idx="84">
                  <c:v>6.7245269571996821E-2</c:v>
                </c:pt>
                <c:pt idx="85">
                  <c:v>6.7375241176442571E-2</c:v>
                </c:pt>
                <c:pt idx="86">
                  <c:v>6.7505620453818152E-2</c:v>
                </c:pt>
                <c:pt idx="87">
                  <c:v>6.7636435858781874E-2</c:v>
                </c:pt>
                <c:pt idx="88">
                  <c:v>6.7767715727502578E-2</c:v>
                </c:pt>
                <c:pt idx="89">
                  <c:v>6.7899488212603873E-2</c:v>
                </c:pt>
                <c:pt idx="90">
                  <c:v>6.8031781220421417E-2</c:v>
                </c:pt>
                <c:pt idx="91">
                  <c:v>6.8164622350517151E-2</c:v>
                </c:pt>
                <c:pt idx="92">
                  <c:v>6.8298038837339356E-2</c:v>
                </c:pt>
                <c:pt idx="93">
                  <c:v>6.8432057493864232E-2</c:v>
                </c:pt>
                <c:pt idx="94">
                  <c:v>6.8566704657007316E-2</c:v>
                </c:pt>
                <c:pt idx="95">
                  <c:v>6.8702006134550436E-2</c:v>
                </c:pt>
                <c:pt idx="96">
                  <c:v>6.8837987153293631E-2</c:v>
                </c:pt>
                <c:pt idx="97">
                  <c:v>6.8974672308111329E-2</c:v>
                </c:pt>
                <c:pt idx="98">
                  <c:v>6.9112085511570123E-2</c:v>
                </c:pt>
                <c:pt idx="99">
                  <c:v>6.925024994375005E-2</c:v>
                </c:pt>
                <c:pt idx="100">
                  <c:v>6.9389188001903399E-2</c:v>
                </c:pt>
                <c:pt idx="101">
                  <c:v>6.9528921249587899E-2</c:v>
                </c:pt>
                <c:pt idx="102">
                  <c:v>6.9669470364917413E-2</c:v>
                </c:pt>
                <c:pt idx="103">
                  <c:v>6.9810855087592882E-2</c:v>
                </c:pt>
                <c:pt idx="104">
                  <c:v>6.9953094164399862E-2</c:v>
                </c:pt>
                <c:pt idx="105">
                  <c:v>7.0096205292892566E-2</c:v>
                </c:pt>
                <c:pt idx="106">
                  <c:v>7.0240205063024391E-2</c:v>
                </c:pt>
                <c:pt idx="107">
                  <c:v>7.0385108896532281E-2</c:v>
                </c:pt>
                <c:pt idx="108">
                  <c:v>7.053093098393598E-2</c:v>
                </c:pt>
                <c:pt idx="109">
                  <c:v>7.0677684219072542E-2</c:v>
                </c:pt>
                <c:pt idx="110">
                  <c:v>7.0825380131150847E-2</c:v>
                </c:pt>
                <c:pt idx="111">
                  <c:v>7.0974028814380044E-2</c:v>
                </c:pt>
                <c:pt idx="112">
                  <c:v>7.1123638855296753E-2</c:v>
                </c:pt>
                <c:pt idx="113">
                  <c:v>7.1274217257991351E-2</c:v>
                </c:pt>
                <c:pt idx="114">
                  <c:v>7.1425769367508454E-2</c:v>
                </c:pt>
                <c:pt idx="115">
                  <c:v>7.1578298791773104E-2</c:v>
                </c:pt>
                <c:pt idx="116">
                  <c:v>7.1731807322469712E-2</c:v>
                </c:pt>
                <c:pt idx="117">
                  <c:v>7.1886294855373636E-2</c:v>
                </c:pt>
                <c:pt idx="118">
                  <c:v>7.2041759310706832E-2</c:v>
                </c:pt>
                <c:pt idx="119">
                  <c:v>7.2198196554154895E-2</c:v>
                </c:pt>
                <c:pt idx="120">
                  <c:v>7.2355600319245678E-2</c:v>
                </c:pt>
                <c:pt idx="121">
                  <c:v>7.2513962131844481E-2</c:v>
                </c:pt>
                <c:pt idx="122">
                  <c:v>7.2673271237570822E-2</c:v>
                </c:pt>
                <c:pt idx="123">
                  <c:v>7.2833514532982979E-2</c:v>
                </c:pt>
                <c:pt idx="124">
                  <c:v>7.2994676501408992E-2</c:v>
                </c:pt>
                <c:pt idx="125">
                  <c:v>7.3156739154326716E-2</c:v>
                </c:pt>
                <c:pt idx="126">
                  <c:v>7.3319681979209836E-2</c:v>
                </c:pt>
                <c:pt idx="127">
                  <c:v>7.3483481894759631E-2</c:v>
                </c:pt>
                <c:pt idx="128">
                  <c:v>7.3648113214435151E-2</c:v>
                </c:pt>
                <c:pt idx="129">
                  <c:v>7.3813547619176911E-2</c:v>
                </c:pt>
                <c:pt idx="130">
                  <c:v>7.3979754140189286E-2</c:v>
                </c:pt>
                <c:pt idx="131">
                  <c:v>7.4146699152606368E-2</c:v>
                </c:pt>
                <c:pt idx="132">
                  <c:v>7.4314346380815008E-2</c:v>
                </c:pt>
                <c:pt idx="133">
                  <c:v>7.4482656916145515E-2</c:v>
                </c:pt>
                <c:pt idx="134">
                  <c:v>7.4651589247568775E-2</c:v>
                </c:pt>
                <c:pt idx="135">
                  <c:v>7.4821099305954694E-2</c:v>
                </c:pt>
                <c:pt idx="136">
                  <c:v>7.499114052235549E-2</c:v>
                </c:pt>
                <c:pt idx="137">
                  <c:v>7.5161663900676301E-2</c:v>
                </c:pt>
                <c:pt idx="138">
                  <c:v>7.5332618104987106E-2</c:v>
                </c:pt>
                <c:pt idx="139">
                  <c:v>7.55039495616147E-2</c:v>
                </c:pt>
                <c:pt idx="140">
                  <c:v>7.5675602576032494E-2</c:v>
                </c:pt>
                <c:pt idx="141">
                  <c:v>7.5847519464439905E-2</c:v>
                </c:pt>
                <c:pt idx="142">
                  <c:v>7.6019640699794472E-2</c:v>
                </c:pt>
                <c:pt idx="143">
                  <c:v>7.6191905071928287E-2</c:v>
                </c:pt>
                <c:pt idx="144">
                  <c:v>7.6364249861248207E-2</c:v>
                </c:pt>
                <c:pt idx="145">
                  <c:v>7.6536611025388029E-2</c:v>
                </c:pt>
                <c:pt idx="146">
                  <c:v>7.670892339805091E-2</c:v>
                </c:pt>
                <c:pt idx="147">
                  <c:v>7.6881120899154221E-2</c:v>
                </c:pt>
                <c:pt idx="148">
                  <c:v>7.7053136755266677E-2</c:v>
                </c:pt>
                <c:pt idx="149">
                  <c:v>7.7224903729212854E-2</c:v>
                </c:pt>
                <c:pt idx="150">
                  <c:v>7.7396354357610483E-2</c:v>
                </c:pt>
                <c:pt idx="151">
                  <c:v>7.7567421195007091E-2</c:v>
                </c:pt>
                <c:pt idx="152">
                  <c:v>7.7738037063191337E-2</c:v>
                </c:pt>
                <c:pt idx="153">
                  <c:v>7.7908135304175882E-2</c:v>
                </c:pt>
                <c:pt idx="154">
                  <c:v>7.8077650035280319E-2</c:v>
                </c:pt>
                <c:pt idx="155">
                  <c:v>7.8246516404688118E-2</c:v>
                </c:pt>
                <c:pt idx="156">
                  <c:v>7.8414670845809692E-2</c:v>
                </c:pt>
                <c:pt idx="157">
                  <c:v>7.8582051328757396E-2</c:v>
                </c:pt>
                <c:pt idx="158">
                  <c:v>7.8748597607224177E-2</c:v>
                </c:pt>
                <c:pt idx="159">
                  <c:v>7.8914251459060974E-2</c:v>
                </c:pt>
                <c:pt idx="160">
                  <c:v>7.907895691886549E-2</c:v>
                </c:pt>
                <c:pt idx="161">
                  <c:v>7.9242660500927292E-2</c:v>
                </c:pt>
                <c:pt idx="162">
                  <c:v>7.9405311410922719E-2</c:v>
                </c:pt>
                <c:pt idx="163">
                  <c:v>7.9566861744816031E-2</c:v>
                </c:pt>
                <c:pt idx="164">
                  <c:v>7.9727266673501038E-2</c:v>
                </c:pt>
                <c:pt idx="165">
                  <c:v>7.9886484611808681E-2</c:v>
                </c:pt>
                <c:pt idx="166">
                  <c:v>8.0044477370611336E-2</c:v>
                </c:pt>
                <c:pt idx="167">
                  <c:v>8.020121029087203E-2</c:v>
                </c:pt>
                <c:pt idx="168">
                  <c:v>8.0356652358615333E-2</c:v>
                </c:pt>
                <c:pt idx="169">
                  <c:v>8.051077629993672E-2</c:v>
                </c:pt>
                <c:pt idx="170">
                  <c:v>8.0663558655314188E-2</c:v>
                </c:pt>
                <c:pt idx="171">
                  <c:v>8.0814979832644476E-2</c:v>
                </c:pt>
                <c:pt idx="172">
                  <c:v>8.0965024138586278E-2</c:v>
                </c:pt>
                <c:pt idx="173">
                  <c:v>8.111367978796237E-2</c:v>
                </c:pt>
                <c:pt idx="174">
                  <c:v>8.1260938891143164E-2</c:v>
                </c:pt>
                <c:pt idx="175">
                  <c:v>8.1406797419505739E-2</c:v>
                </c:pt>
                <c:pt idx="176">
                  <c:v>8.1551255149237029E-2</c:v>
                </c:pt>
                <c:pt idx="177">
                  <c:v>8.1694315583919583E-2</c:v>
                </c:pt>
                <c:pt idx="178">
                  <c:v>8.1835985856506963E-2</c:v>
                </c:pt>
                <c:pt idx="179">
                  <c:v>8.1976276611459856E-2</c:v>
                </c:pt>
                <c:pt idx="180">
                  <c:v>8.2115201867969112E-2</c:v>
                </c:pt>
                <c:pt idx="181">
                  <c:v>8.2252778865342699E-2</c:v>
                </c:pt>
                <c:pt idx="182">
                  <c:v>8.2389027891771896E-2</c:v>
                </c:pt>
                <c:pt idx="183">
                  <c:v>8.2523972097821308E-2</c:v>
                </c:pt>
                <c:pt idx="184">
                  <c:v>8.2657637296103856E-2</c:v>
                </c:pt>
                <c:pt idx="185">
                  <c:v>8.2790051748705434E-2</c:v>
                </c:pt>
                <c:pt idx="186">
                  <c:v>8.2921245944013053E-2</c:v>
                </c:pt>
                <c:pt idx="187">
                  <c:v>8.3051252364674616E-2</c:v>
                </c:pt>
                <c:pt idx="188">
                  <c:v>8.3180105248476396E-2</c:v>
                </c:pt>
                <c:pt idx="189">
                  <c:v>8.3307840343966308E-2</c:v>
                </c:pt>
                <c:pt idx="190">
                  <c:v>8.3434494662675648E-2</c:v>
                </c:pt>
                <c:pt idx="191">
                  <c:v>8.3560106229800049E-2</c:v>
                </c:pt>
                <c:pt idx="192">
                  <c:v>8.368471383519023E-2</c:v>
                </c:pt>
                <c:pt idx="193">
                  <c:v>8.3808356786477314E-2</c:v>
                </c:pt>
                <c:pt idx="194">
                  <c:v>8.3931074666113714E-2</c:v>
                </c:pt>
                <c:pt idx="195">
                  <c:v>8.4052907094049709E-2</c:v>
                </c:pt>
                <c:pt idx="196">
                  <c:v>8.4173893497692318E-2</c:v>
                </c:pt>
                <c:pt idx="197">
                  <c:v>8.4294072890700303E-2</c:v>
                </c:pt>
                <c:pt idx="198">
                  <c:v>8.441348366206558E-2</c:v>
                </c:pt>
                <c:pt idx="199">
                  <c:v>8.453216337681331E-2</c:v>
                </c:pt>
                <c:pt idx="200">
                  <c:v>8.4650148589523647E-2</c:v>
                </c:pt>
                <c:pt idx="201">
                  <c:v>8.4767474671737994E-2</c:v>
                </c:pt>
                <c:pt idx="202">
                  <c:v>8.4884175654164368E-2</c:v>
                </c:pt>
                <c:pt idx="203">
                  <c:v>8.5000284084439146E-2</c:v>
                </c:pt>
                <c:pt idx="204">
                  <c:v>8.5115830901042244E-2</c:v>
                </c:pt>
                <c:pt idx="205">
                  <c:v>8.5230845323795004E-2</c:v>
                </c:pt>
                <c:pt idx="206">
                  <c:v>8.5345354761202752E-2</c:v>
                </c:pt>
                <c:pt idx="207">
                  <c:v>8.5459384734734661E-2</c:v>
                </c:pt>
                <c:pt idx="208">
                  <c:v>8.5572958819965808E-2</c:v>
                </c:pt>
                <c:pt idx="209">
                  <c:v>8.5686098604341662E-2</c:v>
                </c:pt>
                <c:pt idx="210">
                  <c:v>8.5798823661164925E-2</c:v>
                </c:pt>
                <c:pt idx="211">
                  <c:v>8.591115153925101E-2</c:v>
                </c:pt>
                <c:pt idx="212">
                  <c:v>8.6023097767553E-2</c:v>
                </c:pt>
                <c:pt idx="213">
                  <c:v>8.6134675873920027E-2</c:v>
                </c:pt>
                <c:pt idx="214">
                  <c:v>8.6245897417028608E-2</c:v>
                </c:pt>
                <c:pt idx="215">
                  <c:v>8.6356772030412865E-2</c:v>
                </c:pt>
                <c:pt idx="216">
                  <c:v>8.6467307477420194E-2</c:v>
                </c:pt>
                <c:pt idx="217">
                  <c:v>8.6577509715834486E-2</c:v>
                </c:pt>
                <c:pt idx="218">
                  <c:v>8.6687382970838348E-2</c:v>
                </c:pt>
                <c:pt idx="219">
                  <c:v>8.6796929814933269E-2</c:v>
                </c:pt>
                <c:pt idx="220">
                  <c:v>8.690615125339933E-2</c:v>
                </c:pt>
                <c:pt idx="221">
                  <c:v>8.7015046813856189E-2</c:v>
                </c:pt>
                <c:pt idx="222">
                  <c:v>8.7123614638484753E-2</c:v>
                </c:pt>
                <c:pt idx="223">
                  <c:v>8.7231851577483213E-2</c:v>
                </c:pt>
                <c:pt idx="224">
                  <c:v>8.7339753282362834E-2</c:v>
                </c:pt>
                <c:pt idx="225">
                  <c:v>8.7447314297736889E-2</c:v>
                </c:pt>
                <c:pt idx="226">
                  <c:v>8.7554528150320554E-2</c:v>
                </c:pt>
                <c:pt idx="227">
                  <c:v>8.7661387433938753E-2</c:v>
                </c:pt>
                <c:pt idx="228">
                  <c:v>8.7767883889433018E-2</c:v>
                </c:pt>
                <c:pt idx="229">
                  <c:v>8.7874008478465424E-2</c:v>
                </c:pt>
                <c:pt idx="230">
                  <c:v>8.7979751450336596E-2</c:v>
                </c:pt>
                <c:pt idx="231">
                  <c:v>8.8085102401065152E-2</c:v>
                </c:pt>
                <c:pt idx="232">
                  <c:v>8.8190050324114408E-2</c:v>
                </c:pt>
                <c:pt idx="233">
                  <c:v>8.8294583652298725E-2</c:v>
                </c:pt>
                <c:pt idx="234">
                  <c:v>8.8398690290554888E-2</c:v>
                </c:pt>
                <c:pt idx="235">
                  <c:v>8.8502357639419368E-2</c:v>
                </c:pt>
                <c:pt idx="236">
                  <c:v>8.8605572609212285E-2</c:v>
                </c:pt>
                <c:pt idx="237">
                  <c:v>8.8708321625086725E-2</c:v>
                </c:pt>
                <c:pt idx="238">
                  <c:v>8.8810590623261104E-2</c:v>
                </c:pt>
                <c:pt idx="239">
                  <c:v>8.8912365038904997E-2</c:v>
                </c:pt>
                <c:pt idx="240">
                  <c:v>8.901362978629962E-2</c:v>
                </c:pt>
                <c:pt idx="241">
                  <c:v>8.9114369232034488E-2</c:v>
                </c:pt>
                <c:pt idx="242">
                  <c:v>8.9214567162136785E-2</c:v>
                </c:pt>
                <c:pt idx="243">
                  <c:v>8.9314206744150929E-2</c:v>
                </c:pt>
                <c:pt idx="244">
                  <c:v>8.9413270485298887E-2</c:v>
                </c:pt>
                <c:pt idx="245">
                  <c:v>8.9511740187947331E-2</c:v>
                </c:pt>
                <c:pt idx="246">
                  <c:v>8.9609596903691927E-2</c:v>
                </c:pt>
                <c:pt idx="247">
                  <c:v>8.9706820887435354E-2</c:v>
                </c:pt>
                <c:pt idx="248">
                  <c:v>8.9803391552886441E-2</c:v>
                </c:pt>
                <c:pt idx="249">
                  <c:v>8.9899287430939348E-2</c:v>
                </c:pt>
                <c:pt idx="250">
                  <c:v>8.9994486132407805E-2</c:v>
                </c:pt>
                <c:pt idx="251">
                  <c:v>9.008896431658367E-2</c:v>
                </c:pt>
                <c:pt idx="252">
                  <c:v>9.018269766706706E-2</c:v>
                </c:pt>
                <c:pt idx="253">
                  <c:v>9.0275660876272909E-2</c:v>
                </c:pt>
                <c:pt idx="254">
                  <c:v>9.0367827639958945E-2</c:v>
                </c:pt>
                <c:pt idx="255">
                  <c:v>9.04591706630406E-2</c:v>
                </c:pt>
                <c:pt idx="256">
                  <c:v>9.0549661677863255E-2</c:v>
                </c:pt>
                <c:pt idx="257">
                  <c:v>9.0639271475988048E-2</c:v>
                </c:pt>
                <c:pt idx="258">
                  <c:v>9.0727969954419549E-2</c:v>
                </c:pt>
                <c:pt idx="259">
                  <c:v>9.0815726177059949E-2</c:v>
                </c:pt>
                <c:pt idx="260">
                  <c:v>9.0902508452017722E-2</c:v>
                </c:pt>
                <c:pt idx="261">
                  <c:v>9.0988284425230645E-2</c:v>
                </c:pt>
                <c:pt idx="262">
                  <c:v>9.1073021190685277E-2</c:v>
                </c:pt>
                <c:pt idx="263">
                  <c:v>9.1156685417327188E-2</c:v>
                </c:pt>
                <c:pt idx="264">
                  <c:v>9.1239243492565306E-2</c:v>
                </c:pt>
                <c:pt idx="265">
                  <c:v>9.1320661682074852E-2</c:v>
                </c:pt>
                <c:pt idx="266">
                  <c:v>9.1400906305405843E-2</c:v>
                </c:pt>
                <c:pt idx="267">
                  <c:v>9.1479943926702778E-2</c:v>
                </c:pt>
                <c:pt idx="268">
                  <c:v>9.1557741559645148E-2</c:v>
                </c:pt>
                <c:pt idx="269">
                  <c:v>9.1634266885525367E-2</c:v>
                </c:pt>
                <c:pt idx="270">
                  <c:v>9.1709488483191881E-2</c:v>
                </c:pt>
                <c:pt idx="271">
                  <c:v>9.1783376069409436E-2</c:v>
                </c:pt>
                <c:pt idx="272">
                  <c:v>9.1855900748018221E-2</c:v>
                </c:pt>
                <c:pt idx="273">
                  <c:v>9.1927035266119339E-2</c:v>
                </c:pt>
                <c:pt idx="274">
                  <c:v>9.1996754275372003E-2</c:v>
                </c:pt>
                <c:pt idx="275">
                  <c:v>9.2065034596363005E-2</c:v>
                </c:pt>
                <c:pt idx="276">
                  <c:v>9.2131855483900377E-2</c:v>
                </c:pt>
                <c:pt idx="277">
                  <c:v>9.2197198890995605E-2</c:v>
                </c:pt>
                <c:pt idx="278">
                  <c:v>9.2261049729228273E-2</c:v>
                </c:pt>
                <c:pt idx="279">
                  <c:v>9.2323396123141666E-2</c:v>
                </c:pt>
                <c:pt idx="280">
                  <c:v>9.2384229656290784E-2</c:v>
                </c:pt>
                <c:pt idx="281">
                  <c:v>9.2443545606562955E-2</c:v>
                </c:pt>
                <c:pt idx="282">
                  <c:v>9.250134316841091E-2</c:v>
                </c:pt>
                <c:pt idx="283">
                  <c:v>9.2557625659682619E-2</c:v>
                </c:pt>
                <c:pt idx="284">
                  <c:v>9.2612400710798959E-2</c:v>
                </c:pt>
                <c:pt idx="285">
                  <c:v>9.266568043412074E-2</c:v>
                </c:pt>
                <c:pt idx="286">
                  <c:v>9.2717481571458607E-2</c:v>
                </c:pt>
                <c:pt idx="287">
                  <c:v>9.276782561781402E-2</c:v>
                </c:pt>
                <c:pt idx="288">
                  <c:v>9.2816738919594285E-2</c:v>
                </c:pt>
                <c:pt idx="289">
                  <c:v>9.2864252745718551E-2</c:v>
                </c:pt>
                <c:pt idx="290">
                  <c:v>9.2910403330224725E-2</c:v>
                </c:pt>
                <c:pt idx="291">
                  <c:v>9.2955231885196166E-2</c:v>
                </c:pt>
                <c:pt idx="292">
                  <c:v>9.299878458304997E-2</c:v>
                </c:pt>
                <c:pt idx="293">
                  <c:v>9.3041112507466397E-2</c:v>
                </c:pt>
                <c:pt idx="294">
                  <c:v>9.3082271572484457E-2</c:v>
                </c:pt>
                <c:pt idx="295">
                  <c:v>9.3122322409546321E-2</c:v>
                </c:pt>
                <c:pt idx="296">
                  <c:v>9.3161330222532909E-2</c:v>
                </c:pt>
                <c:pt idx="297">
                  <c:v>9.3199364611100316E-2</c:v>
                </c:pt>
                <c:pt idx="298">
                  <c:v>9.3236499362892342E-2</c:v>
                </c:pt>
                <c:pt idx="299">
                  <c:v>9.3272812215471054E-2</c:v>
                </c:pt>
                <c:pt idx="300">
                  <c:v>9.3308384589068857E-2</c:v>
                </c:pt>
                <c:pt idx="301">
                  <c:v>9.3343301291521311E-2</c:v>
                </c:pt>
                <c:pt idx="302">
                  <c:v>9.3377650196987808E-2</c:v>
                </c:pt>
                <c:pt idx="303">
                  <c:v>9.3411521900302885E-2</c:v>
                </c:pt>
                <c:pt idx="304">
                  <c:v>9.3445009349024777E-2</c:v>
                </c:pt>
                <c:pt idx="305">
                  <c:v>9.3478207455454362E-2</c:v>
                </c:pt>
                <c:pt idx="306">
                  <c:v>9.3511212691088988E-2</c:v>
                </c:pt>
                <c:pt idx="307">
                  <c:v>9.3544122666145535E-2</c:v>
                </c:pt>
                <c:pt idx="308">
                  <c:v>9.3577035696936789E-2</c:v>
                </c:pt>
                <c:pt idx="309">
                  <c:v>9.361005036401239E-2</c:v>
                </c:pt>
                <c:pt idx="310">
                  <c:v>9.3643265064078454E-2</c:v>
                </c:pt>
                <c:pt idx="311">
                  <c:v>9.3676777558787727E-2</c:v>
                </c:pt>
                <c:pt idx="312">
                  <c:v>9.3710684523544044E-2</c:v>
                </c:pt>
                <c:pt idx="313">
                  <c:v>9.3745081099490216E-2</c:v>
                </c:pt>
                <c:pt idx="314">
                  <c:v>9.3780060451846864E-2</c:v>
                </c:pt>
                <c:pt idx="315">
                  <c:v>9.3815713337740497E-2</c:v>
                </c:pt>
                <c:pt idx="316">
                  <c:v>9.3852127686603629E-2</c:v>
                </c:pt>
                <c:pt idx="317">
                  <c:v>9.3889388196147644E-2</c:v>
                </c:pt>
                <c:pt idx="318">
                  <c:v>9.3927575946799138E-2</c:v>
                </c:pt>
                <c:pt idx="319">
                  <c:v>9.3966768037359497E-2</c:v>
                </c:pt>
                <c:pt idx="320">
                  <c:v>9.4007037244486738E-2</c:v>
                </c:pt>
                <c:pt idx="321">
                  <c:v>9.404845170842166E-2</c:v>
                </c:pt>
                <c:pt idx="322">
                  <c:v>9.4091074647176087E-2</c:v>
                </c:pt>
                <c:pt idx="323">
                  <c:v>9.4134964101182661E-2</c:v>
                </c:pt>
                <c:pt idx="324">
                  <c:v>9.4180172710165808E-2</c:v>
                </c:pt>
                <c:pt idx="325">
                  <c:v>9.4226747523741772E-2</c:v>
                </c:pt>
                <c:pt idx="326">
                  <c:v>9.4274729846987676E-2</c:v>
                </c:pt>
                <c:pt idx="327">
                  <c:v>9.4324155121944073E-2</c:v>
                </c:pt>
                <c:pt idx="328">
                  <c:v>9.4375052845729113E-2</c:v>
                </c:pt>
                <c:pt idx="329">
                  <c:v>9.4427446525652659E-2</c:v>
                </c:pt>
                <c:pt idx="330">
                  <c:v>9.4481353671424503E-2</c:v>
                </c:pt>
                <c:pt idx="331">
                  <c:v>9.4536785824256953E-2</c:v>
                </c:pt>
                <c:pt idx="332">
                  <c:v>9.4593748622370452E-2</c:v>
                </c:pt>
                <c:pt idx="333">
                  <c:v>9.4652241902124568E-2</c:v>
                </c:pt>
                <c:pt idx="334">
                  <c:v>9.471225983371627E-2</c:v>
                </c:pt>
                <c:pt idx="335">
                  <c:v>9.4773791090120074E-2</c:v>
                </c:pt>
                <c:pt idx="336">
                  <c:v>9.4836819047686288E-2</c:v>
                </c:pt>
                <c:pt idx="337">
                  <c:v>9.4901322016572587E-2</c:v>
                </c:pt>
                <c:pt idx="338">
                  <c:v>9.4967273498958463E-2</c:v>
                </c:pt>
                <c:pt idx="339">
                  <c:v>9.5034642472786285E-2</c:v>
                </c:pt>
                <c:pt idx="340">
                  <c:v>9.5103393698586322E-2</c:v>
                </c:pt>
                <c:pt idx="341">
                  <c:v>9.5173488046780663E-2</c:v>
                </c:pt>
                <c:pt idx="342">
                  <c:v>9.5244882842719925E-2</c:v>
                </c:pt>
                <c:pt idx="343">
                  <c:v>9.5317532226592866E-2</c:v>
                </c:pt>
                <c:pt idx="344">
                  <c:v>9.5391387525258525E-2</c:v>
                </c:pt>
                <c:pt idx="345">
                  <c:v>9.5466397632988476E-2</c:v>
                </c:pt>
                <c:pt idx="346">
                  <c:v>9.5542509398069894E-2</c:v>
                </c:pt>
                <c:pt idx="347">
                  <c:v>9.5619668012211695E-2</c:v>
                </c:pt>
                <c:pt idx="348">
                  <c:v>9.5697817399712656E-2</c:v>
                </c:pt>
                <c:pt idx="349">
                  <c:v>9.5776900603395679E-2</c:v>
                </c:pt>
                <c:pt idx="350">
                  <c:v>9.5856860164381913E-2</c:v>
                </c:pt>
                <c:pt idx="351">
                  <c:v>9.5937638492873845E-2</c:v>
                </c:pt>
                <c:pt idx="352">
                  <c:v>9.6019178227235977E-2</c:v>
                </c:pt>
                <c:pt idx="353">
                  <c:v>9.6101422578803358E-2</c:v>
                </c:pt>
                <c:pt idx="354">
                  <c:v>9.6184315660012565E-2</c:v>
                </c:pt>
                <c:pt idx="355">
                  <c:v>9.6267802793631216E-2</c:v>
                </c:pt>
                <c:pt idx="356">
                  <c:v>9.6351830801064256E-2</c:v>
                </c:pt>
                <c:pt idx="357">
                  <c:v>9.6436348267930641E-2</c:v>
                </c:pt>
                <c:pt idx="358">
                  <c:v>9.6521305785334119E-2</c:v>
                </c:pt>
                <c:pt idx="359">
                  <c:v>9.6606656165493174E-2</c:v>
                </c:pt>
                <c:pt idx="360">
                  <c:v>9.6692354630645336E-2</c:v>
                </c:pt>
                <c:pt idx="361">
                  <c:v>9.6778358974396878E-2</c:v>
                </c:pt>
                <c:pt idx="362">
                  <c:v>9.686462969495023E-2</c:v>
                </c:pt>
                <c:pt idx="363">
                  <c:v>9.6951130099903277E-2</c:v>
                </c:pt>
                <c:pt idx="364">
                  <c:v>9.7037826382575132E-2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1.3172882894410686E-4</c:v>
                </c:pt>
                <c:pt idx="1">
                  <c:v>1.3324239941718612E-4</c:v>
                </c:pt>
                <c:pt idx="2">
                  <c:v>1.3493748547472169E-4</c:v>
                </c:pt>
                <c:pt idx="3">
                  <c:v>1.3680502266310123E-4</c:v>
                </c:pt>
                <c:pt idx="4">
                  <c:v>1.3883551343918106E-4</c:v>
                </c:pt>
                <c:pt idx="5">
                  <c:v>1.4101902626695577E-4</c:v>
                </c:pt>
                <c:pt idx="6">
                  <c:v>1.433452037592771E-4</c:v>
                </c:pt>
                <c:pt idx="7">
                  <c:v>1.4580327972704346E-4</c:v>
                </c:pt>
                <c:pt idx="8">
                  <c:v>1.4838579712063156E-4</c:v>
                </c:pt>
                <c:pt idx="9">
                  <c:v>1.5124033541516713E-4</c:v>
                </c:pt>
                <c:pt idx="10">
                  <c:v>1.5422287359901136E-4</c:v>
                </c:pt>
                <c:pt idx="11">
                  <c:v>1.5732912452193505E-4</c:v>
                </c:pt>
                <c:pt idx="12">
                  <c:v>1.605548614219522E-4</c:v>
                </c:pt>
                <c:pt idx="13">
                  <c:v>1.6389595418006144E-4</c:v>
                </c:pt>
                <c:pt idx="14">
                  <c:v>1.6734840107361729E-4</c:v>
                </c:pt>
                <c:pt idx="15">
                  <c:v>1.7164498614752503E-4</c:v>
                </c:pt>
                <c:pt idx="16">
                  <c:v>1.7666756228903218E-4</c:v>
                </c:pt>
                <c:pt idx="17">
                  <c:v>1.8239246347383914E-4</c:v>
                </c:pt>
                <c:pt idx="18">
                  <c:v>1.8879607218734508E-4</c:v>
                </c:pt>
                <c:pt idx="19">
                  <c:v>1.9585609776636564E-4</c:v>
                </c:pt>
                <c:pt idx="20">
                  <c:v>2.0355133189734585E-4</c:v>
                </c:pt>
                <c:pt idx="21">
                  <c:v>2.118604808386071E-4</c:v>
                </c:pt>
                <c:pt idx="22">
                  <c:v>2.2074358913440218E-4</c:v>
                </c:pt>
                <c:pt idx="23">
                  <c:v>2.3076457892542222E-4</c:v>
                </c:pt>
                <c:pt idx="24">
                  <c:v>2.4175115005448117E-4</c:v>
                </c:pt>
                <c:pt idx="25">
                  <c:v>2.5366496708919807E-4</c:v>
                </c:pt>
                <c:pt idx="26">
                  <c:v>2.6646871835011329E-4</c:v>
                </c:pt>
                <c:pt idx="27">
                  <c:v>2.8012633054936556E-4</c:v>
                </c:pt>
                <c:pt idx="28">
                  <c:v>2.9460314993572323E-4</c:v>
                </c:pt>
                <c:pt idx="29">
                  <c:v>3.0958362343147343E-4</c:v>
                </c:pt>
                <c:pt idx="30">
                  <c:v>3.244255003564764E-4</c:v>
                </c:pt>
                <c:pt idx="31">
                  <c:v>3.3913178732670633E-4</c:v>
                </c:pt>
                <c:pt idx="32">
                  <c:v>3.537065193641563E-4</c:v>
                </c:pt>
                <c:pt idx="33">
                  <c:v>3.6815466749840669E-4</c:v>
                </c:pt>
                <c:pt idx="34">
                  <c:v>3.8248205274630875E-4</c:v>
                </c:pt>
                <c:pt idx="35">
                  <c:v>3.9669526708238119E-4</c:v>
                </c:pt>
                <c:pt idx="36">
                  <c:v>4.1077564434506694E-4</c:v>
                </c:pt>
                <c:pt idx="37">
                  <c:v>4.2338959485843587E-4</c:v>
                </c:pt>
                <c:pt idx="38">
                  <c:v>4.3408270983389373E-4</c:v>
                </c:pt>
                <c:pt idx="39">
                  <c:v>4.4292389128815907E-4</c:v>
                </c:pt>
                <c:pt idx="40">
                  <c:v>4.4998092278947482E-4</c:v>
                </c:pt>
                <c:pt idx="41">
                  <c:v>4.5532022200142955E-4</c:v>
                </c:pt>
                <c:pt idx="42">
                  <c:v>4.5900662995915513E-4</c:v>
                </c:pt>
                <c:pt idx="43">
                  <c:v>4.5988301938019169E-4</c:v>
                </c:pt>
                <c:pt idx="44">
                  <c:v>4.582896026885833E-4</c:v>
                </c:pt>
                <c:pt idx="45">
                  <c:v>4.5431908743612432E-4</c:v>
                </c:pt>
                <c:pt idx="46">
                  <c:v>4.4806074462826596E-4</c:v>
                </c:pt>
                <c:pt idx="47">
                  <c:v>4.3960028144500457E-4</c:v>
                </c:pt>
                <c:pt idx="48">
                  <c:v>4.2901974217491136E-4</c:v>
                </c:pt>
                <c:pt idx="49">
                  <c:v>4.1639743325042278E-4</c:v>
                </c:pt>
                <c:pt idx="50">
                  <c:v>4.0179253514705329E-4</c:v>
                </c:pt>
                <c:pt idx="51">
                  <c:v>3.8590583154479144E-4</c:v>
                </c:pt>
                <c:pt idx="52">
                  <c:v>3.6988449409931052E-4</c:v>
                </c:pt>
                <c:pt idx="53">
                  <c:v>3.5373702388218417E-4</c:v>
                </c:pt>
                <c:pt idx="54">
                  <c:v>3.3747309724404574E-4</c:v>
                </c:pt>
                <c:pt idx="55">
                  <c:v>3.211015970128651E-4</c:v>
                </c:pt>
                <c:pt idx="56">
                  <c:v>3.0463063370587279E-4</c:v>
                </c:pt>
                <c:pt idx="57">
                  <c:v>2.8885019794138778E-4</c:v>
                </c:pt>
                <c:pt idx="58">
                  <c:v>2.7477082246199415E-4</c:v>
                </c:pt>
                <c:pt idx="59">
                  <c:v>2.6234135006747807E-4</c:v>
                </c:pt>
                <c:pt idx="60">
                  <c:v>2.5151226805484732E-4</c:v>
                </c:pt>
                <c:pt idx="61">
                  <c:v>2.4223574526314459E-4</c:v>
                </c:pt>
                <c:pt idx="62">
                  <c:v>2.3446566365884099E-4</c:v>
                </c:pt>
                <c:pt idx="63">
                  <c:v>2.2815764519922574E-4</c:v>
                </c:pt>
                <c:pt idx="64">
                  <c:v>2.2326335593423718E-4</c:v>
                </c:pt>
                <c:pt idx="65">
                  <c:v>2.1953338481642533E-4</c:v>
                </c:pt>
                <c:pt idx="66">
                  <c:v>2.1638726518059695E-4</c:v>
                </c:pt>
                <c:pt idx="67">
                  <c:v>2.1380988306320944E-4</c:v>
                </c:pt>
                <c:pt idx="68">
                  <c:v>2.1178667219936737E-4</c:v>
                </c:pt>
                <c:pt idx="69">
                  <c:v>2.1030363616915079E-4</c:v>
                </c:pt>
                <c:pt idx="70">
                  <c:v>2.0934736849626332E-4</c:v>
                </c:pt>
                <c:pt idx="71">
                  <c:v>2.0869611622092627E-4</c:v>
                </c:pt>
                <c:pt idx="72">
                  <c:v>2.076702910651786E-4</c:v>
                </c:pt>
                <c:pt idx="73">
                  <c:v>2.0628211762461267E-4</c:v>
                </c:pt>
                <c:pt idx="74">
                  <c:v>2.0454324651969407E-4</c:v>
                </c:pt>
                <c:pt idx="75">
                  <c:v>2.0246474649868686E-4</c:v>
                </c:pt>
                <c:pt idx="76">
                  <c:v>2.0005709735873052E-4</c:v>
                </c:pt>
                <c:pt idx="77">
                  <c:v>1.973301835501369E-4</c:v>
                </c:pt>
                <c:pt idx="78">
                  <c:v>1.9427504159845777E-4</c:v>
                </c:pt>
                <c:pt idx="79">
                  <c:v>1.9074083544065321E-4</c:v>
                </c:pt>
                <c:pt idx="80">
                  <c:v>1.8692618881588769E-4</c:v>
                </c:pt>
                <c:pt idx="81">
                  <c:v>1.8284593914331382E-4</c:v>
                </c:pt>
                <c:pt idx="82">
                  <c:v>1.7851365147381043E-4</c:v>
                </c:pt>
                <c:pt idx="83">
                  <c:v>1.7394155942356736E-4</c:v>
                </c:pt>
                <c:pt idx="84">
                  <c:v>1.6914051929847447E-4</c:v>
                </c:pt>
                <c:pt idx="85">
                  <c:v>1.640222372165648E-4</c:v>
                </c:pt>
                <c:pt idx="86">
                  <c:v>1.5878141717133793E-4</c:v>
                </c:pt>
                <c:pt idx="87">
                  <c:v>1.5342276636912065E-4</c:v>
                </c:pt>
                <c:pt idx="88">
                  <c:v>1.4794972582557854E-4</c:v>
                </c:pt>
                <c:pt idx="89">
                  <c:v>1.4236447771801762E-4</c:v>
                </c:pt>
                <c:pt idx="90">
                  <c:v>1.3666795113927412E-4</c:v>
                </c:pt>
                <c:pt idx="91">
                  <c:v>1.308598249612936E-4</c:v>
                </c:pt>
                <c:pt idx="92">
                  <c:v>1.2492757869183305E-4</c:v>
                </c:pt>
                <c:pt idx="93">
                  <c:v>1.189433749916174E-4</c:v>
                </c:pt>
                <c:pt idx="94">
                  <c:v>1.1303754200075185E-4</c:v>
                </c:pt>
                <c:pt idx="95">
                  <c:v>1.0720403641556098E-4</c:v>
                </c:pt>
                <c:pt idx="96">
                  <c:v>1.0143686816435404E-4</c:v>
                </c:pt>
                <c:pt idx="97">
                  <c:v>9.5730090484433958E-5</c:v>
                </c:pt>
                <c:pt idx="98">
                  <c:v>9.0077790431874682E-5</c:v>
                </c:pt>
                <c:pt idx="99">
                  <c:v>8.4605757272886875E-5</c:v>
                </c:pt>
                <c:pt idx="100">
                  <c:v>7.9399255195584611E-5</c:v>
                </c:pt>
                <c:pt idx="101">
                  <c:v>7.4451722782849735E-5</c:v>
                </c:pt>
                <c:pt idx="102">
                  <c:v>6.9757085321421142E-5</c:v>
                </c:pt>
                <c:pt idx="103">
                  <c:v>6.5309748547492363E-5</c:v>
                </c:pt>
                <c:pt idx="104">
                  <c:v>6.1104593472888091E-5</c:v>
                </c:pt>
                <c:pt idx="105">
                  <c:v>5.71369722895478E-5</c:v>
                </c:pt>
                <c:pt idx="106">
                  <c:v>5.34026714788816E-5</c:v>
                </c:pt>
                <c:pt idx="107">
                  <c:v>4.9980131409242997E-5</c:v>
                </c:pt>
                <c:pt idx="108">
                  <c:v>4.6781913239462932E-5</c:v>
                </c:pt>
                <c:pt idx="109">
                  <c:v>4.3805219611624667E-5</c:v>
                </c:pt>
                <c:pt idx="110">
                  <c:v>4.10478643041541E-5</c:v>
                </c:pt>
                <c:pt idx="111">
                  <c:v>3.8508121771227993E-5</c:v>
                </c:pt>
                <c:pt idx="112">
                  <c:v>3.6184621905896638E-5</c:v>
                </c:pt>
                <c:pt idx="113">
                  <c:v>3.4145331693080492E-5</c:v>
                </c:pt>
                <c:pt idx="114">
                  <c:v>3.2257026848297877E-5</c:v>
                </c:pt>
                <c:pt idx="115">
                  <c:v>3.0519111817600511E-5</c:v>
                </c:pt>
                <c:pt idx="116">
                  <c:v>2.8931324366076572E-5</c:v>
                </c:pt>
                <c:pt idx="117">
                  <c:v>2.7493733580678051E-5</c:v>
                </c:pt>
                <c:pt idx="118">
                  <c:v>2.620673823727456E-5</c:v>
                </c:pt>
                <c:pt idx="119">
                  <c:v>2.5071065438934729E-5</c:v>
                </c:pt>
                <c:pt idx="120">
                  <c:v>2.4088063939039207E-5</c:v>
                </c:pt>
                <c:pt idx="121">
                  <c:v>2.3295764310592128E-5</c:v>
                </c:pt>
                <c:pt idx="122">
                  <c:v>2.2609383843539432E-5</c:v>
                </c:pt>
                <c:pt idx="123">
                  <c:v>2.2029954921977333E-5</c:v>
                </c:pt>
                <c:pt idx="124">
                  <c:v>2.1558747888150928E-5</c:v>
                </c:pt>
                <c:pt idx="125">
                  <c:v>2.1197267948271922E-5</c:v>
                </c:pt>
                <c:pt idx="126">
                  <c:v>2.0947251901794841E-5</c:v>
                </c:pt>
                <c:pt idx="127">
                  <c:v>2.0809096428635476E-5</c:v>
                </c:pt>
                <c:pt idx="128">
                  <c:v>2.0709899201689407E-5</c:v>
                </c:pt>
                <c:pt idx="129">
                  <c:v>2.065018431096152E-5</c:v>
                </c:pt>
                <c:pt idx="130">
                  <c:v>2.0630543076699937E-5</c:v>
                </c:pt>
                <c:pt idx="131">
                  <c:v>2.0651632145038375E-5</c:v>
                </c:pt>
                <c:pt idx="132">
                  <c:v>2.071417140083616E-5</c:v>
                </c:pt>
                <c:pt idx="133">
                  <c:v>2.0818941682684324E-5</c:v>
                </c:pt>
                <c:pt idx="134">
                  <c:v>2.0967199306002255E-5</c:v>
                </c:pt>
                <c:pt idx="135">
                  <c:v>2.117100687970081E-5</c:v>
                </c:pt>
                <c:pt idx="136">
                  <c:v>2.1390505457638791E-5</c:v>
                </c:pt>
                <c:pt idx="137">
                  <c:v>2.1625793496050666E-5</c:v>
                </c:pt>
                <c:pt idx="138">
                  <c:v>2.1876971788540655E-5</c:v>
                </c:pt>
                <c:pt idx="139">
                  <c:v>2.2144141888340792E-5</c:v>
                </c:pt>
                <c:pt idx="140">
                  <c:v>2.2427404494139508E-5</c:v>
                </c:pt>
                <c:pt idx="141">
                  <c:v>2.2743113471349476E-5</c:v>
                </c:pt>
                <c:pt idx="142">
                  <c:v>2.3093566921470896E-5</c:v>
                </c:pt>
                <c:pt idx="143">
                  <c:v>2.3479346046565036E-5</c:v>
                </c:pt>
                <c:pt idx="144">
                  <c:v>2.3901181190786747E-5</c:v>
                </c:pt>
                <c:pt idx="145">
                  <c:v>2.4359813128275319E-5</c:v>
                </c:pt>
                <c:pt idx="146">
                  <c:v>2.4855989210610142E-5</c:v>
                </c:pt>
                <c:pt idx="147">
                  <c:v>2.5390459350419653E-5</c:v>
                </c:pt>
                <c:pt idx="148">
                  <c:v>2.5964591469663771E-5</c:v>
                </c:pt>
                <c:pt idx="149">
                  <c:v>2.6569688081492262E-5</c:v>
                </c:pt>
                <c:pt idx="150">
                  <c:v>2.7193613650482156E-5</c:v>
                </c:pt>
                <c:pt idx="151">
                  <c:v>2.7836421559432994E-5</c:v>
                </c:pt>
                <c:pt idx="152">
                  <c:v>2.8498141434432749E-5</c:v>
                </c:pt>
                <c:pt idx="153">
                  <c:v>2.9178777933281389E-5</c:v>
                </c:pt>
                <c:pt idx="154">
                  <c:v>2.9878309637125995E-5</c:v>
                </c:pt>
                <c:pt idx="155">
                  <c:v>3.0594588063370865E-5</c:v>
                </c:pt>
                <c:pt idx="156">
                  <c:v>3.1308298241618019E-5</c:v>
                </c:pt>
                <c:pt idx="157">
                  <c:v>3.2018633508109541E-5</c:v>
                </c:pt>
                <c:pt idx="158">
                  <c:v>3.2724753387834649E-5</c:v>
                </c:pt>
                <c:pt idx="159">
                  <c:v>3.3425786286543307E-5</c:v>
                </c:pt>
                <c:pt idx="160">
                  <c:v>3.4120832394828939E-5</c:v>
                </c:pt>
                <c:pt idx="161">
                  <c:v>3.480896678692618E-5</c:v>
                </c:pt>
                <c:pt idx="162">
                  <c:v>3.5489827059852033E-5</c:v>
                </c:pt>
                <c:pt idx="163">
                  <c:v>3.6143657174959839E-5</c:v>
                </c:pt>
                <c:pt idx="164">
                  <c:v>3.6780972087412563E-5</c:v>
                </c:pt>
                <c:pt idx="165">
                  <c:v>3.7400748857756168E-5</c:v>
                </c:pt>
                <c:pt idx="166">
                  <c:v>3.8062960134724556E-5</c:v>
                </c:pt>
                <c:pt idx="167">
                  <c:v>3.8713268227442739E-5</c:v>
                </c:pt>
                <c:pt idx="168">
                  <c:v>3.9344042907247018E-5</c:v>
                </c:pt>
                <c:pt idx="169">
                  <c:v>3.9933335566040191E-5</c:v>
                </c:pt>
                <c:pt idx="170">
                  <c:v>4.04814000746835E-5</c:v>
                </c:pt>
                <c:pt idx="171">
                  <c:v>4.0986302555466876E-5</c:v>
                </c:pt>
                <c:pt idx="172">
                  <c:v>4.1446141838419051E-5</c:v>
                </c:pt>
                <c:pt idx="173">
                  <c:v>4.1858626830242576E-5</c:v>
                </c:pt>
                <c:pt idx="174">
                  <c:v>4.2221471806800911E-5</c:v>
                </c:pt>
                <c:pt idx="175">
                  <c:v>4.2532851775001076E-5</c:v>
                </c:pt>
                <c:pt idx="176">
                  <c:v>4.2790864480399397E-5</c:v>
                </c:pt>
                <c:pt idx="177">
                  <c:v>4.2992235567685636E-5</c:v>
                </c:pt>
                <c:pt idx="178">
                  <c:v>4.3158944652368464E-5</c:v>
                </c:pt>
                <c:pt idx="179">
                  <c:v>4.3290538620456424E-5</c:v>
                </c:pt>
                <c:pt idx="180">
                  <c:v>4.3386612566006404E-5</c:v>
                </c:pt>
                <c:pt idx="181">
                  <c:v>4.3446808255570874E-5</c:v>
                </c:pt>
                <c:pt idx="182">
                  <c:v>4.347081222431917E-5</c:v>
                </c:pt>
                <c:pt idx="183">
                  <c:v>4.3445207062643563E-5</c:v>
                </c:pt>
                <c:pt idx="184">
                  <c:v>4.3394185972715131E-5</c:v>
                </c:pt>
                <c:pt idx="185">
                  <c:v>4.3318051634013506E-5</c:v>
                </c:pt>
                <c:pt idx="186">
                  <c:v>4.3217126065897457E-5</c:v>
                </c:pt>
                <c:pt idx="187">
                  <c:v>4.3091747463387224E-5</c:v>
                </c:pt>
                <c:pt idx="188">
                  <c:v>4.2942267000988447E-5</c:v>
                </c:pt>
                <c:pt idx="189">
                  <c:v>4.2769045613386159E-5</c:v>
                </c:pt>
                <c:pt idx="190">
                  <c:v>4.2571917949426537E-5</c:v>
                </c:pt>
                <c:pt idx="191">
                  <c:v>4.237830739037639E-5</c:v>
                </c:pt>
                <c:pt idx="192">
                  <c:v>4.2189887013831559E-5</c:v>
                </c:pt>
                <c:pt idx="193">
                  <c:v>4.2007437596804346E-5</c:v>
                </c:pt>
                <c:pt idx="194">
                  <c:v>4.1831729261752074E-5</c:v>
                </c:pt>
                <c:pt idx="195">
                  <c:v>4.166352058408359E-5</c:v>
                </c:pt>
                <c:pt idx="196">
                  <c:v>4.1503557887895174E-5</c:v>
                </c:pt>
                <c:pt idx="197">
                  <c:v>4.1382007384582527E-5</c:v>
                </c:pt>
                <c:pt idx="198">
                  <c:v>4.1314567552432891E-5</c:v>
                </c:pt>
                <c:pt idx="199">
                  <c:v>4.13031391775101E-5</c:v>
                </c:pt>
                <c:pt idx="200">
                  <c:v>4.1349581061204022E-5</c:v>
                </c:pt>
                <c:pt idx="201">
                  <c:v>4.1455713746463003E-5</c:v>
                </c:pt>
                <c:pt idx="202">
                  <c:v>4.1623323574860399E-5</c:v>
                </c:pt>
                <c:pt idx="203">
                  <c:v>4.1854167066071083E-5</c:v>
                </c:pt>
                <c:pt idx="204">
                  <c:v>4.2149882251949332E-5</c:v>
                </c:pt>
                <c:pt idx="205">
                  <c:v>4.2510013902175815E-5</c:v>
                </c:pt>
                <c:pt idx="206">
                  <c:v>4.2905497256236252E-5</c:v>
                </c:pt>
                <c:pt idx="207">
                  <c:v>4.3337250851086494E-5</c:v>
                </c:pt>
                <c:pt idx="208">
                  <c:v>4.3806171877276091E-5</c:v>
                </c:pt>
                <c:pt idx="209">
                  <c:v>4.4313137227052612E-5</c:v>
                </c:pt>
                <c:pt idx="210">
                  <c:v>4.4859004526412894E-5</c:v>
                </c:pt>
                <c:pt idx="211">
                  <c:v>4.5520578152577169E-5</c:v>
                </c:pt>
                <c:pt idx="212">
                  <c:v>4.626544041626851E-5</c:v>
                </c:pt>
                <c:pt idx="213">
                  <c:v>4.7094633405264287E-5</c:v>
                </c:pt>
                <c:pt idx="214">
                  <c:v>4.8009210020227318E-5</c:v>
                </c:pt>
                <c:pt idx="215">
                  <c:v>4.901023436962161E-5</c:v>
                </c:pt>
                <c:pt idx="216">
                  <c:v>5.0098782005718068E-5</c:v>
                </c:pt>
                <c:pt idx="217">
                  <c:v>5.1275940012815884E-5</c:v>
                </c:pt>
                <c:pt idx="218">
                  <c:v>5.2542626278565364E-5</c:v>
                </c:pt>
                <c:pt idx="219">
                  <c:v>5.4065334539020338E-5</c:v>
                </c:pt>
                <c:pt idx="220">
                  <c:v>5.5850056105650659E-5</c:v>
                </c:pt>
                <c:pt idx="221">
                  <c:v>5.7900941192657981E-5</c:v>
                </c:pt>
                <c:pt idx="222">
                  <c:v>6.0222228123511103E-5</c:v>
                </c:pt>
                <c:pt idx="223">
                  <c:v>6.281826003740931E-5</c:v>
                </c:pt>
                <c:pt idx="224">
                  <c:v>6.5693502031914761E-5</c:v>
                </c:pt>
                <c:pt idx="225">
                  <c:v>6.9064740687173164E-5</c:v>
                </c:pt>
                <c:pt idx="226">
                  <c:v>7.2858434344513087E-5</c:v>
                </c:pt>
                <c:pt idx="227">
                  <c:v>7.7081861750606057E-5</c:v>
                </c:pt>
                <c:pt idx="228">
                  <c:v>8.1742548325363634E-5</c:v>
                </c:pt>
                <c:pt idx="229">
                  <c:v>8.6848296562335852E-5</c:v>
                </c:pt>
                <c:pt idx="230">
                  <c:v>9.2407217720902828E-5</c:v>
                </c:pt>
                <c:pt idx="231">
                  <c:v>9.8427764987453034E-5</c:v>
                </c:pt>
                <c:pt idx="232">
                  <c:v>1.0491682302159975E-4</c:v>
                </c:pt>
                <c:pt idx="233">
                  <c:v>1.1225545149388819E-4</c:v>
                </c:pt>
                <c:pt idx="234">
                  <c:v>1.2027961185112266E-4</c:v>
                </c:pt>
                <c:pt idx="235">
                  <c:v>1.2900231405106989E-4</c:v>
                </c:pt>
                <c:pt idx="236">
                  <c:v>1.3843712744591847E-4</c:v>
                </c:pt>
                <c:pt idx="237">
                  <c:v>1.4859811080683154E-4</c:v>
                </c:pt>
                <c:pt idx="238">
                  <c:v>1.594999428448097E-4</c:v>
                </c:pt>
                <c:pt idx="239">
                  <c:v>1.7141189612910205E-4</c:v>
                </c:pt>
                <c:pt idx="240">
                  <c:v>1.8412346046739952E-4</c:v>
                </c:pt>
                <c:pt idx="241">
                  <c:v>1.9765223003119685E-4</c:v>
                </c:pt>
                <c:pt idx="242">
                  <c:v>2.1201670530752493E-4</c:v>
                </c:pt>
                <c:pt idx="243">
                  <c:v>2.2723637294537916E-4</c:v>
                </c:pt>
                <c:pt idx="244">
                  <c:v>2.4333179061201136E-4</c:v>
                </c:pt>
                <c:pt idx="245">
                  <c:v>2.603246775594785E-4</c:v>
                </c:pt>
                <c:pt idx="246">
                  <c:v>2.7824020412746772E-4</c:v>
                </c:pt>
                <c:pt idx="247">
                  <c:v>2.9677897655460322E-4</c:v>
                </c:pt>
                <c:pt idx="248">
                  <c:v>3.1554382032178462E-4</c:v>
                </c:pt>
                <c:pt idx="249">
                  <c:v>3.3454097121866087E-4</c:v>
                </c:pt>
                <c:pt idx="250">
                  <c:v>3.5377634347390045E-4</c:v>
                </c:pt>
                <c:pt idx="251">
                  <c:v>3.7325549486176795E-4</c:v>
                </c:pt>
                <c:pt idx="252">
                  <c:v>3.9298358870531151E-4</c:v>
                </c:pt>
                <c:pt idx="253">
                  <c:v>4.1239727186273534E-4</c:v>
                </c:pt>
                <c:pt idx="254">
                  <c:v>4.3120500761432935E-4</c:v>
                </c:pt>
                <c:pt idx="255">
                  <c:v>4.4938974452896535E-4</c:v>
                </c:pt>
                <c:pt idx="256">
                  <c:v>4.6693321556282139E-4</c:v>
                </c:pt>
                <c:pt idx="257">
                  <c:v>4.8381593193123684E-4</c:v>
                </c:pt>
                <c:pt idx="258">
                  <c:v>5.0001718134187734E-4</c:v>
                </c:pt>
                <c:pt idx="259">
                  <c:v>5.1551503120023784E-4</c:v>
                </c:pt>
                <c:pt idx="260">
                  <c:v>5.303265990323229E-4</c:v>
                </c:pt>
                <c:pt idx="261">
                  <c:v>5.438610455378919E-4</c:v>
                </c:pt>
                <c:pt idx="262">
                  <c:v>5.5644185432164985E-4</c:v>
                </c:pt>
                <c:pt idx="263">
                  <c:v>5.6803397701587555E-4</c:v>
                </c:pt>
                <c:pt idx="264">
                  <c:v>5.785996360805017E-4</c:v>
                </c:pt>
                <c:pt idx="265">
                  <c:v>5.8810155032418016E-4</c:v>
                </c:pt>
                <c:pt idx="266">
                  <c:v>5.9649851759005675E-4</c:v>
                </c:pt>
                <c:pt idx="267">
                  <c:v>6.033817028148205E-4</c:v>
                </c:pt>
                <c:pt idx="268">
                  <c:v>6.093394819830975E-4</c:v>
                </c:pt>
                <c:pt idx="269">
                  <c:v>6.1432977368701121E-4</c:v>
                </c:pt>
                <c:pt idx="270">
                  <c:v>6.1830879244337354E-4</c:v>
                </c:pt>
                <c:pt idx="271">
                  <c:v>6.2123128504148247E-4</c:v>
                </c:pt>
                <c:pt idx="272">
                  <c:v>6.2305080609482684E-4</c:v>
                </c:pt>
                <c:pt idx="273">
                  <c:v>6.2372003620716219E-4</c:v>
                </c:pt>
                <c:pt idx="274">
                  <c:v>6.2324150063209618E-4</c:v>
                </c:pt>
                <c:pt idx="275">
                  <c:v>6.2374344265360719E-4</c:v>
                </c:pt>
                <c:pt idx="276">
                  <c:v>6.2594003476889107E-4</c:v>
                </c:pt>
                <c:pt idx="277">
                  <c:v>6.2987130970760879E-4</c:v>
                </c:pt>
                <c:pt idx="278">
                  <c:v>6.355777039162969E-4</c:v>
                </c:pt>
                <c:pt idx="279">
                  <c:v>6.4309994606696918E-4</c:v>
                </c:pt>
                <c:pt idx="280">
                  <c:v>6.5247893886285796E-4</c:v>
                </c:pt>
                <c:pt idx="281">
                  <c:v>6.6524692292837086E-4</c:v>
                </c:pt>
                <c:pt idx="282">
                  <c:v>6.8189227613504606E-4</c:v>
                </c:pt>
                <c:pt idx="283">
                  <c:v>7.0250244735541013E-4</c:v>
                </c:pt>
                <c:pt idx="284">
                  <c:v>7.2716448593191459E-4</c:v>
                </c:pt>
                <c:pt idx="285">
                  <c:v>7.559647357960321E-4</c:v>
                </c:pt>
                <c:pt idx="286">
                  <c:v>7.8898851818887659E-4</c:v>
                </c:pt>
                <c:pt idx="287">
                  <c:v>8.2631980326686335E-4</c:v>
                </c:pt>
                <c:pt idx="288">
                  <c:v>8.6805477870501274E-4</c:v>
                </c:pt>
                <c:pt idx="289">
                  <c:v>9.1119127030667223E-4</c:v>
                </c:pt>
                <c:pt idx="290">
                  <c:v>9.5335841418387835E-4</c:v>
                </c:pt>
                <c:pt idx="291">
                  <c:v>9.9452115827180164E-4</c:v>
                </c:pt>
                <c:pt idx="292">
                  <c:v>1.034644980353416E-3</c:v>
                </c:pt>
                <c:pt idx="293">
                  <c:v>1.0736959620366571E-3</c:v>
                </c:pt>
                <c:pt idx="294">
                  <c:v>1.1116408546878957E-3</c:v>
                </c:pt>
                <c:pt idx="295">
                  <c:v>1.1454931479274115E-3</c:v>
                </c:pt>
                <c:pt idx="296">
                  <c:v>1.1734955298103524E-3</c:v>
                </c:pt>
                <c:pt idx="297">
                  <c:v>1.1955259628685115E-3</c:v>
                </c:pt>
                <c:pt idx="298">
                  <c:v>1.2114528956001622E-3</c:v>
                </c:pt>
                <c:pt idx="299">
                  <c:v>1.2211442412785279E-3</c:v>
                </c:pt>
                <c:pt idx="300">
                  <c:v>1.2244671095646014E-3</c:v>
                </c:pt>
                <c:pt idx="301">
                  <c:v>1.2212874890828694E-3</c:v>
                </c:pt>
                <c:pt idx="302">
                  <c:v>1.2115192677732093E-3</c:v>
                </c:pt>
                <c:pt idx="303">
                  <c:v>1.1946341969819591E-3</c:v>
                </c:pt>
                <c:pt idx="304">
                  <c:v>1.1739269424781002E-3</c:v>
                </c:pt>
                <c:pt idx="305">
                  <c:v>1.1492964120160018E-3</c:v>
                </c:pt>
                <c:pt idx="306">
                  <c:v>1.1206391958628597E-3</c:v>
                </c:pt>
                <c:pt idx="307">
                  <c:v>1.08784998200772E-3</c:v>
                </c:pt>
                <c:pt idx="308">
                  <c:v>1.0508220485696653E-3</c:v>
                </c:pt>
                <c:pt idx="309">
                  <c:v>1.0107527293108552E-3</c:v>
                </c:pt>
                <c:pt idx="310">
                  <c:v>9.7086617971489783E-4</c:v>
                </c:pt>
                <c:pt idx="311">
                  <c:v>9.3116068423363492E-4</c:v>
                </c:pt>
                <c:pt idx="312">
                  <c:v>8.9163632681636587E-4</c:v>
                </c:pt>
                <c:pt idx="313">
                  <c:v>8.5229511941803805E-4</c:v>
                </c:pt>
                <c:pt idx="314">
                  <c:v>8.131411429435683E-4</c:v>
                </c:pt>
                <c:pt idx="315">
                  <c:v>7.7418069838006761E-4</c:v>
                </c:pt>
                <c:pt idx="316">
                  <c:v>7.3550612322510972E-4</c:v>
                </c:pt>
                <c:pt idx="317">
                  <c:v>6.98670812964162E-4</c:v>
                </c:pt>
                <c:pt idx="318">
                  <c:v>6.641722193713892E-4</c:v>
                </c:pt>
                <c:pt idx="319">
                  <c:v>6.3204718137781603E-4</c:v>
                </c:pt>
                <c:pt idx="320">
                  <c:v>6.0233601027543673E-4</c:v>
                </c:pt>
                <c:pt idx="321">
                  <c:v>5.7508215403686354E-4</c:v>
                </c:pt>
                <c:pt idx="322">
                  <c:v>5.5033179309150169E-4</c:v>
                </c:pt>
                <c:pt idx="323">
                  <c:v>5.2843062862301625E-4</c:v>
                </c:pt>
                <c:pt idx="324">
                  <c:v>5.0797696423752494E-4</c:v>
                </c:pt>
                <c:pt idx="325">
                  <c:v>4.8899709638883888E-4</c:v>
                </c:pt>
                <c:pt idx="326">
                  <c:v>4.7151546981192996E-4</c:v>
                </c:pt>
                <c:pt idx="327">
                  <c:v>4.5555950248717916E-4</c:v>
                </c:pt>
                <c:pt idx="328">
                  <c:v>4.4115916807099901E-4</c:v>
                </c:pt>
                <c:pt idx="329">
                  <c:v>4.2834391993880257E-4</c:v>
                </c:pt>
                <c:pt idx="330">
                  <c:v>4.1719825743646833E-4</c:v>
                </c:pt>
                <c:pt idx="331">
                  <c:v>4.0802791022481093E-4</c:v>
                </c:pt>
                <c:pt idx="332">
                  <c:v>3.9922698198657347E-4</c:v>
                </c:pt>
                <c:pt idx="333">
                  <c:v>3.9079490192439647E-4</c:v>
                </c:pt>
                <c:pt idx="334">
                  <c:v>3.8273135814503439E-4</c:v>
                </c:pt>
                <c:pt idx="335">
                  <c:v>3.7503625373099729E-4</c:v>
                </c:pt>
                <c:pt idx="336">
                  <c:v>3.6770965504138921E-4</c:v>
                </c:pt>
                <c:pt idx="337">
                  <c:v>3.61085011684201E-4</c:v>
                </c:pt>
                <c:pt idx="338">
                  <c:v>3.548422425314086E-4</c:v>
                </c:pt>
                <c:pt idx="339">
                  <c:v>3.4898128580280135E-4</c:v>
                </c:pt>
                <c:pt idx="340">
                  <c:v>3.4350187403688347E-4</c:v>
                </c:pt>
                <c:pt idx="341">
                  <c:v>3.3840343886299687E-4</c:v>
                </c:pt>
                <c:pt idx="342">
                  <c:v>3.3368501094404283E-4</c:v>
                </c:pt>
                <c:pt idx="343">
                  <c:v>3.2934511750107927E-4</c:v>
                </c:pt>
                <c:pt idx="344">
                  <c:v>3.253672607126095E-4</c:v>
                </c:pt>
                <c:pt idx="345">
                  <c:v>3.2175235863068284E-4</c:v>
                </c:pt>
                <c:pt idx="346">
                  <c:v>3.1840968041849219E-4</c:v>
                </c:pt>
                <c:pt idx="347">
                  <c:v>3.1536042570908283E-4</c:v>
                </c:pt>
                <c:pt idx="348">
                  <c:v>3.1262440995493145E-4</c:v>
                </c:pt>
                <c:pt idx="349">
                  <c:v>3.1022009364448241E-4</c:v>
                </c:pt>
                <c:pt idx="350">
                  <c:v>3.0816464282961038E-4</c:v>
                </c:pt>
                <c:pt idx="351">
                  <c:v>3.0659662252110884E-4</c:v>
                </c:pt>
                <c:pt idx="352">
                  <c:v>3.0519203672705849E-4</c:v>
                </c:pt>
                <c:pt idx="353">
                  <c:v>3.0396628435704092E-4</c:v>
                </c:pt>
                <c:pt idx="354">
                  <c:v>3.0293421730915774E-4</c:v>
                </c:pt>
                <c:pt idx="355">
                  <c:v>3.0211019983797399E-4</c:v>
                </c:pt>
                <c:pt idx="356">
                  <c:v>3.0150536024684357E-4</c:v>
                </c:pt>
                <c:pt idx="357">
                  <c:v>3.0113582844666263E-4</c:v>
                </c:pt>
                <c:pt idx="358">
                  <c:v>3.0099484839056224E-4</c:v>
                </c:pt>
                <c:pt idx="359">
                  <c:v>3.0105918384385573E-4</c:v>
                </c:pt>
                <c:pt idx="360">
                  <c:v>3.0164678944351721E-4</c:v>
                </c:pt>
                <c:pt idx="361">
                  <c:v>3.0262254725635281E-4</c:v>
                </c:pt>
                <c:pt idx="362">
                  <c:v>3.0397140983429367E-4</c:v>
                </c:pt>
                <c:pt idx="363">
                  <c:v>3.0567794916437537E-4</c:v>
                </c:pt>
                <c:pt idx="364">
                  <c:v>3.0772627893687487E-4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5736"/>
        <c:axId val="611456128"/>
      </c:lineChart>
      <c:dateAx>
        <c:axId val="611455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6128"/>
        <c:crosses val="autoZero"/>
        <c:auto val="1"/>
        <c:lblOffset val="100"/>
        <c:baseTimeUnit val="days"/>
        <c:majorUnit val="1"/>
        <c:majorTimeUnit val="months"/>
      </c:dateAx>
      <c:valAx>
        <c:axId val="611456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5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16.668338308683587</c:v>
                </c:pt>
                <c:pt idx="1">
                  <c:v>16.746630980689158</c:v>
                </c:pt>
                <c:pt idx="2">
                  <c:v>16.831830929185053</c:v>
                </c:pt>
                <c:pt idx="3">
                  <c:v>16.924421704318387</c:v>
                </c:pt>
                <c:pt idx="4">
                  <c:v>17.024886572048821</c:v>
                </c:pt>
                <c:pt idx="5">
                  <c:v>17.133708518613368</c:v>
                </c:pt>
                <c:pt idx="6">
                  <c:v>17.251370250599415</c:v>
                </c:pt>
                <c:pt idx="7">
                  <c:v>17.378354194756501</c:v>
                </c:pt>
                <c:pt idx="8">
                  <c:v>17.514706526513283</c:v>
                </c:pt>
                <c:pt idx="9">
                  <c:v>17.659880513669407</c:v>
                </c:pt>
                <c:pt idx="10">
                  <c:v>17.813482428882566</c:v>
                </c:pt>
                <c:pt idx="11">
                  <c:v>17.975113288250533</c:v>
                </c:pt>
                <c:pt idx="12">
                  <c:v>18.144374266648484</c:v>
                </c:pt>
                <c:pt idx="13">
                  <c:v>18.320866698215735</c:v>
                </c:pt>
                <c:pt idx="14">
                  <c:v>18.504192085828318</c:v>
                </c:pt>
                <c:pt idx="15">
                  <c:v>18.693924862035949</c:v>
                </c:pt>
                <c:pt idx="16">
                  <c:v>18.889670631810503</c:v>
                </c:pt>
                <c:pt idx="17">
                  <c:v>19.091031409239143</c:v>
                </c:pt>
                <c:pt idx="18">
                  <c:v>19.297609393464739</c:v>
                </c:pt>
                <c:pt idx="19">
                  <c:v>19.509006919946756</c:v>
                </c:pt>
                <c:pt idx="20">
                  <c:v>19.724826488003103</c:v>
                </c:pt>
                <c:pt idx="21">
                  <c:v>19.944670811211662</c:v>
                </c:pt>
                <c:pt idx="22">
                  <c:v>20.169925785546301</c:v>
                </c:pt>
                <c:pt idx="23">
                  <c:v>20.401970286316939</c:v>
                </c:pt>
                <c:pt idx="24">
                  <c:v>20.640440430692916</c:v>
                </c:pt>
                <c:pt idx="25">
                  <c:v>20.884967265182063</c:v>
                </c:pt>
                <c:pt idx="26">
                  <c:v>21.13518202549843</c:v>
                </c:pt>
                <c:pt idx="27">
                  <c:v>21.390716142002812</c:v>
                </c:pt>
                <c:pt idx="28">
                  <c:v>21.651201234719842</c:v>
                </c:pt>
                <c:pt idx="29">
                  <c:v>21.916277800559456</c:v>
                </c:pt>
                <c:pt idx="30">
                  <c:v>22.185605077963288</c:v>
                </c:pt>
                <c:pt idx="31">
                  <c:v>22.458815282200472</c:v>
                </c:pt>
                <c:pt idx="32">
                  <c:v>22.73554083121865</c:v>
                </c:pt>
                <c:pt idx="33">
                  <c:v>23.015414346485571</c:v>
                </c:pt>
                <c:pt idx="34">
                  <c:v>23.298068658766034</c:v>
                </c:pt>
                <c:pt idx="35">
                  <c:v>23.583136805063454</c:v>
                </c:pt>
                <c:pt idx="36">
                  <c:v>23.87176171460731</c:v>
                </c:pt>
                <c:pt idx="37">
                  <c:v>24.165211002948993</c:v>
                </c:pt>
                <c:pt idx="38">
                  <c:v>24.463234264781541</c:v>
                </c:pt>
                <c:pt idx="39">
                  <c:v>24.765555679369328</c:v>
                </c:pt>
                <c:pt idx="40">
                  <c:v>25.07189958747389</c:v>
                </c:pt>
                <c:pt idx="41">
                  <c:v>25.381990492460812</c:v>
                </c:pt>
                <c:pt idx="42">
                  <c:v>25.695553054954967</c:v>
                </c:pt>
                <c:pt idx="43">
                  <c:v>26.012382830479858</c:v>
                </c:pt>
                <c:pt idx="44">
                  <c:v>26.332196165124401</c:v>
                </c:pt>
                <c:pt idx="45">
                  <c:v>26.654718211658146</c:v>
                </c:pt>
                <c:pt idx="46">
                  <c:v>26.979674267998231</c:v>
                </c:pt>
                <c:pt idx="47">
                  <c:v>27.306789774916165</c:v>
                </c:pt>
                <c:pt idx="48">
                  <c:v>27.635790310766577</c:v>
                </c:pt>
                <c:pt idx="49">
                  <c:v>27.966401584112045</c:v>
                </c:pt>
                <c:pt idx="50">
                  <c:v>28.299430292988298</c:v>
                </c:pt>
                <c:pt idx="51">
                  <c:v>28.635707444674633</c:v>
                </c:pt>
                <c:pt idx="52">
                  <c:v>28.97498538779973</c:v>
                </c:pt>
                <c:pt idx="53">
                  <c:v>29.317080835100462</c:v>
                </c:pt>
                <c:pt idx="54">
                  <c:v>29.661810418721245</c:v>
                </c:pt>
                <c:pt idx="55">
                  <c:v>30.008990808336424</c:v>
                </c:pt>
                <c:pt idx="56">
                  <c:v>30.358438701836143</c:v>
                </c:pt>
                <c:pt idx="57">
                  <c:v>30.709916537797064</c:v>
                </c:pt>
                <c:pt idx="58">
                  <c:v>31.063169963668948</c:v>
                </c:pt>
                <c:pt idx="59">
                  <c:v>31.418015579724397</c:v>
                </c:pt>
                <c:pt idx="60">
                  <c:v>31.77426998136967</c:v>
                </c:pt>
                <c:pt idx="61">
                  <c:v>32.1317497553012</c:v>
                </c:pt>
                <c:pt idx="62">
                  <c:v>32.490271470271395</c:v>
                </c:pt>
                <c:pt idx="63">
                  <c:v>32.849651676182525</c:v>
                </c:pt>
                <c:pt idx="64">
                  <c:v>33.210557977007127</c:v>
                </c:pt>
                <c:pt idx="65">
                  <c:v>33.573667306698781</c:v>
                </c:pt>
                <c:pt idx="66">
                  <c:v>33.938831835771047</c:v>
                </c:pt>
                <c:pt idx="67">
                  <c:v>34.305867410302419</c:v>
                </c:pt>
                <c:pt idx="68">
                  <c:v>34.674589840715392</c:v>
                </c:pt>
                <c:pt idx="69">
                  <c:v>35.044814895027962</c:v>
                </c:pt>
                <c:pt idx="70">
                  <c:v>35.416358299722297</c:v>
                </c:pt>
                <c:pt idx="71">
                  <c:v>35.789053528776883</c:v>
                </c:pt>
                <c:pt idx="72">
                  <c:v>36.162770999760795</c:v>
                </c:pt>
                <c:pt idx="73">
                  <c:v>36.537326490168589</c:v>
                </c:pt>
                <c:pt idx="74">
                  <c:v>36.912535753116671</c:v>
                </c:pt>
                <c:pt idx="75">
                  <c:v>37.288214523008229</c:v>
                </c:pt>
                <c:pt idx="76">
                  <c:v>37.664178516553243</c:v>
                </c:pt>
                <c:pt idx="77">
                  <c:v>38.040243439822035</c:v>
                </c:pt>
                <c:pt idx="78">
                  <c:v>38.419836002596419</c:v>
                </c:pt>
                <c:pt idx="79">
                  <c:v>38.805549766470783</c:v>
                </c:pt>
                <c:pt idx="80">
                  <c:v>39.195914210651118</c:v>
                </c:pt>
                <c:pt idx="81">
                  <c:v>39.589469242865029</c:v>
                </c:pt>
                <c:pt idx="82">
                  <c:v>39.984755415609911</c:v>
                </c:pt>
                <c:pt idx="83">
                  <c:v>40.3803139377262</c:v>
                </c:pt>
                <c:pt idx="84">
                  <c:v>40.774686689853851</c:v>
                </c:pt>
                <c:pt idx="85">
                  <c:v>41.166427142402917</c:v>
                </c:pt>
                <c:pt idx="86">
                  <c:v>41.55406049585158</c:v>
                </c:pt>
                <c:pt idx="87">
                  <c:v>41.936130727818181</c:v>
                </c:pt>
                <c:pt idx="88">
                  <c:v>42.311182563217557</c:v>
                </c:pt>
                <c:pt idx="89">
                  <c:v>42.677761494759061</c:v>
                </c:pt>
                <c:pt idx="90">
                  <c:v>43.034413810808921</c:v>
                </c:pt>
                <c:pt idx="91">
                  <c:v>43.379686616236043</c:v>
                </c:pt>
                <c:pt idx="92">
                  <c:v>43.715959615457251</c:v>
                </c:pt>
                <c:pt idx="93">
                  <c:v>44.046510827156816</c:v>
                </c:pt>
                <c:pt idx="94">
                  <c:v>44.371230097270768</c:v>
                </c:pt>
                <c:pt idx="95">
                  <c:v>44.69002616666522</c:v>
                </c:pt>
                <c:pt idx="96">
                  <c:v>45.002807873847232</c:v>
                </c:pt>
                <c:pt idx="97">
                  <c:v>45.3094841734694</c:v>
                </c:pt>
                <c:pt idx="98">
                  <c:v>45.609964138204852</c:v>
                </c:pt>
                <c:pt idx="99">
                  <c:v>45.904142835769989</c:v>
                </c:pt>
                <c:pt idx="100">
                  <c:v>46.191918007875095</c:v>
                </c:pt>
                <c:pt idx="101">
                  <c:v>46.473198812263028</c:v>
                </c:pt>
                <c:pt idx="102">
                  <c:v>46.747894540459889</c:v>
                </c:pt>
                <c:pt idx="103">
                  <c:v>47.015914618074952</c:v>
                </c:pt>
                <c:pt idx="104">
                  <c:v>47.277168619945108</c:v>
                </c:pt>
                <c:pt idx="105">
                  <c:v>47.531566270141447</c:v>
                </c:pt>
                <c:pt idx="106">
                  <c:v>47.779047692920152</c:v>
                </c:pt>
                <c:pt idx="107">
                  <c:v>48.019665483512398</c:v>
                </c:pt>
                <c:pt idx="108">
                  <c:v>48.253520667571841</c:v>
                </c:pt>
                <c:pt idx="109">
                  <c:v>48.480704823675403</c:v>
                </c:pt>
                <c:pt idx="110">
                  <c:v>48.701309601307457</c:v>
                </c:pt>
                <c:pt idx="111">
                  <c:v>48.915426735515361</c:v>
                </c:pt>
                <c:pt idx="112">
                  <c:v>49.123148077951122</c:v>
                </c:pt>
                <c:pt idx="113">
                  <c:v>49.324558515020016</c:v>
                </c:pt>
                <c:pt idx="114">
                  <c:v>49.519765231857235</c:v>
                </c:pt>
                <c:pt idx="115">
                  <c:v>49.708860570070208</c:v>
                </c:pt>
                <c:pt idx="116">
                  <c:v>49.891937003552137</c:v>
                </c:pt>
                <c:pt idx="117">
                  <c:v>50.069087147165988</c:v>
                </c:pt>
                <c:pt idx="118">
                  <c:v>50.240403764018275</c:v>
                </c:pt>
                <c:pt idx="119">
                  <c:v>55.505100432963836</c:v>
                </c:pt>
                <c:pt idx="120">
                  <c:v>55.678330443019647</c:v>
                </c:pt>
                <c:pt idx="121">
                  <c:v>55.844208804186621</c:v>
                </c:pt>
                <c:pt idx="122">
                  <c:v>56.002949053464903</c:v>
                </c:pt>
                <c:pt idx="123">
                  <c:v>56.154754464508642</c:v>
                </c:pt>
                <c:pt idx="124">
                  <c:v>56.299828179674776</c:v>
                </c:pt>
                <c:pt idx="125">
                  <c:v>56.438373214683907</c:v>
                </c:pt>
                <c:pt idx="126">
                  <c:v>56.570592455498129</c:v>
                </c:pt>
                <c:pt idx="127">
                  <c:v>56.696688722286119</c:v>
                </c:pt>
                <c:pt idx="128">
                  <c:v>56.816873279779294</c:v>
                </c:pt>
                <c:pt idx="129">
                  <c:v>56.931348850881001</c:v>
                </c:pt>
                <c:pt idx="130">
                  <c:v>57.04031805398575</c:v>
                </c:pt>
                <c:pt idx="131">
                  <c:v>57.143983396121023</c:v>
                </c:pt>
                <c:pt idx="132">
                  <c:v>57.242547281388738</c:v>
                </c:pt>
                <c:pt idx="133">
                  <c:v>57.336212005213532</c:v>
                </c:pt>
                <c:pt idx="134">
                  <c:v>57.424037513318133</c:v>
                </c:pt>
                <c:pt idx="135">
                  <c:v>57.505148382918335</c:v>
                </c:pt>
                <c:pt idx="136">
                  <c:v>57.579851483035512</c:v>
                </c:pt>
                <c:pt idx="137">
                  <c:v>57.648449357312856</c:v>
                </c:pt>
                <c:pt idx="138">
                  <c:v>57.711244361491708</c:v>
                </c:pt>
                <c:pt idx="139">
                  <c:v>57.768538653164278</c:v>
                </c:pt>
                <c:pt idx="140">
                  <c:v>57.820634201331906</c:v>
                </c:pt>
                <c:pt idx="141">
                  <c:v>57.867830801913499</c:v>
                </c:pt>
                <c:pt idx="142">
                  <c:v>57.91042993102316</c:v>
                </c:pt>
                <c:pt idx="143">
                  <c:v>57.948732915826291</c:v>
                </c:pt>
                <c:pt idx="144">
                  <c:v>57.983040856946914</c:v>
                </c:pt>
                <c:pt idx="145">
                  <c:v>58.013654645136903</c:v>
                </c:pt>
                <c:pt idx="146">
                  <c:v>58.04087496234775</c:v>
                </c:pt>
                <c:pt idx="147">
                  <c:v>58.065002269139384</c:v>
                </c:pt>
                <c:pt idx="148">
                  <c:v>58.084950540707034</c:v>
                </c:pt>
                <c:pt idx="149">
                  <c:v>58.099635551102459</c:v>
                </c:pt>
                <c:pt idx="150">
                  <c:v>58.109361919558062</c:v>
                </c:pt>
                <c:pt idx="151">
                  <c:v>58.114431166507352</c:v>
                </c:pt>
                <c:pt idx="152">
                  <c:v>58.115144567584103</c:v>
                </c:pt>
                <c:pt idx="153">
                  <c:v>58.111803152943111</c:v>
                </c:pt>
                <c:pt idx="154">
                  <c:v>58.104707704082998</c:v>
                </c:pt>
                <c:pt idx="155">
                  <c:v>58.094158520191364</c:v>
                </c:pt>
                <c:pt idx="156">
                  <c:v>58.080458110237053</c:v>
                </c:pt>
                <c:pt idx="157">
                  <c:v>58.063906505358077</c:v>
                </c:pt>
                <c:pt idx="158">
                  <c:v>58.044803460648382</c:v>
                </c:pt>
                <c:pt idx="159">
                  <c:v>58.023448449350312</c:v>
                </c:pt>
                <c:pt idx="160">
                  <c:v>58.000140656213375</c:v>
                </c:pt>
                <c:pt idx="161">
                  <c:v>57.975178971410159</c:v>
                </c:pt>
                <c:pt idx="162">
                  <c:v>57.947907755761847</c:v>
                </c:pt>
                <c:pt idx="163">
                  <c:v>57.917542568835792</c:v>
                </c:pt>
                <c:pt idx="164">
                  <c:v>57.884184571232524</c:v>
                </c:pt>
                <c:pt idx="165">
                  <c:v>57.847935631765132</c:v>
                </c:pt>
                <c:pt idx="166">
                  <c:v>57.808897466677053</c:v>
                </c:pt>
                <c:pt idx="167">
                  <c:v>57.767171636734247</c:v>
                </c:pt>
                <c:pt idx="168">
                  <c:v>57.722859539113934</c:v>
                </c:pt>
                <c:pt idx="169">
                  <c:v>57.676064770373415</c:v>
                </c:pt>
                <c:pt idx="170">
                  <c:v>57.626888736192669</c:v>
                </c:pt>
                <c:pt idx="171">
                  <c:v>57.575432392406704</c:v>
                </c:pt>
                <c:pt idx="172">
                  <c:v>57.521796517056451</c:v>
                </c:pt>
                <c:pt idx="173">
                  <c:v>57.466081755767739</c:v>
                </c:pt>
                <c:pt idx="174">
                  <c:v>57.408388578948021</c:v>
                </c:pt>
                <c:pt idx="175">
                  <c:v>57.348817231937886</c:v>
                </c:pt>
                <c:pt idx="176">
                  <c:v>57.28764821034607</c:v>
                </c:pt>
                <c:pt idx="177">
                  <c:v>57.224964560806981</c:v>
                </c:pt>
                <c:pt idx="178">
                  <c:v>57.160568256232452</c:v>
                </c:pt>
                <c:pt idx="179">
                  <c:v>57.094263800553506</c:v>
                </c:pt>
                <c:pt idx="180">
                  <c:v>57.02585577213528</c:v>
                </c:pt>
                <c:pt idx="181">
                  <c:v>56.955148827085267</c:v>
                </c:pt>
                <c:pt idx="182">
                  <c:v>56.881947700347688</c:v>
                </c:pt>
                <c:pt idx="183">
                  <c:v>56.80605813715659</c:v>
                </c:pt>
                <c:pt idx="184">
                  <c:v>56.727282470449552</c:v>
                </c:pt>
                <c:pt idx="185">
                  <c:v>56.645425658795659</c:v>
                </c:pt>
                <c:pt idx="186">
                  <c:v>56.560292751405257</c:v>
                </c:pt>
                <c:pt idx="187">
                  <c:v>56.471688894954966</c:v>
                </c:pt>
                <c:pt idx="188">
                  <c:v>56.379419333410091</c:v>
                </c:pt>
                <c:pt idx="189">
                  <c:v>56.283289415696821</c:v>
                </c:pt>
                <c:pt idx="190">
                  <c:v>56.183807847007898</c:v>
                </c:pt>
                <c:pt idx="191">
                  <c:v>56.081545465389837</c:v>
                </c:pt>
                <c:pt idx="192">
                  <c:v>55.976405495176373</c:v>
                </c:pt>
                <c:pt idx="193">
                  <c:v>55.868290842666589</c:v>
                </c:pt>
                <c:pt idx="194">
                  <c:v>55.757104469858788</c:v>
                </c:pt>
                <c:pt idx="195">
                  <c:v>55.642749399471214</c:v>
                </c:pt>
                <c:pt idx="196">
                  <c:v>55.525128718580675</c:v>
                </c:pt>
                <c:pt idx="197">
                  <c:v>55.404141190258116</c:v>
                </c:pt>
                <c:pt idx="198">
                  <c:v>55.279689050798446</c:v>
                </c:pt>
                <c:pt idx="199">
                  <c:v>55.151675571727601</c:v>
                </c:pt>
                <c:pt idx="200">
                  <c:v>55.020004114632904</c:v>
                </c:pt>
                <c:pt idx="201">
                  <c:v>54.884578130366236</c:v>
                </c:pt>
                <c:pt idx="202">
                  <c:v>54.745301173048496</c:v>
                </c:pt>
                <c:pt idx="203">
                  <c:v>54.60207689447887</c:v>
                </c:pt>
                <c:pt idx="204">
                  <c:v>54.454841672994533</c:v>
                </c:pt>
                <c:pt idx="205">
                  <c:v>54.303662414387013</c:v>
                </c:pt>
                <c:pt idx="206">
                  <c:v>54.148641513336059</c:v>
                </c:pt>
                <c:pt idx="207">
                  <c:v>53.989878418933884</c:v>
                </c:pt>
                <c:pt idx="208">
                  <c:v>53.827472541818487</c:v>
                </c:pt>
                <c:pt idx="209">
                  <c:v>53.661523249566827</c:v>
                </c:pt>
                <c:pt idx="210">
                  <c:v>53.492129869721666</c:v>
                </c:pt>
                <c:pt idx="211">
                  <c:v>53.319385541658718</c:v>
                </c:pt>
                <c:pt idx="212">
                  <c:v>53.143394082940212</c:v>
                </c:pt>
                <c:pt idx="213">
                  <c:v>52.964254717064144</c:v>
                </c:pt>
                <c:pt idx="214">
                  <c:v>52.782066633492491</c:v>
                </c:pt>
                <c:pt idx="215">
                  <c:v>52.596928981194779</c:v>
                </c:pt>
                <c:pt idx="216">
                  <c:v>52.408940870492948</c:v>
                </c:pt>
                <c:pt idx="217">
                  <c:v>52.218201369925097</c:v>
                </c:pt>
                <c:pt idx="218">
                  <c:v>52.02498840483269</c:v>
                </c:pt>
                <c:pt idx="219">
                  <c:v>51.829370447635519</c:v>
                </c:pt>
                <c:pt idx="220">
                  <c:v>51.631153692611008</c:v>
                </c:pt>
                <c:pt idx="221">
                  <c:v>51.430144514999462</c:v>
                </c:pt>
                <c:pt idx="222">
                  <c:v>51.226149473002501</c:v>
                </c:pt>
                <c:pt idx="223">
                  <c:v>51.018975305344</c:v>
                </c:pt>
                <c:pt idx="224">
                  <c:v>50.808428927750157</c:v>
                </c:pt>
                <c:pt idx="225">
                  <c:v>50.594299259903764</c:v>
                </c:pt>
                <c:pt idx="226">
                  <c:v>50.376399743826553</c:v>
                </c:pt>
                <c:pt idx="227">
                  <c:v>50.154537793502854</c:v>
                </c:pt>
                <c:pt idx="228">
                  <c:v>49.928520991974231</c:v>
                </c:pt>
                <c:pt idx="229">
                  <c:v>49.69815708765524</c:v>
                </c:pt>
                <c:pt idx="230">
                  <c:v>49.463253995653247</c:v>
                </c:pt>
                <c:pt idx="231">
                  <c:v>49.223619791000381</c:v>
                </c:pt>
                <c:pt idx="232">
                  <c:v>48.979970986555131</c:v>
                </c:pt>
                <c:pt idx="233">
                  <c:v>48.732991050161694</c:v>
                </c:pt>
                <c:pt idx="234">
                  <c:v>48.482501708760289</c:v>
                </c:pt>
                <c:pt idx="235">
                  <c:v>48.228310609615498</c:v>
                </c:pt>
                <c:pt idx="236">
                  <c:v>47.970225560352475</c:v>
                </c:pt>
                <c:pt idx="237">
                  <c:v>47.708054532590943</c:v>
                </c:pt>
                <c:pt idx="238">
                  <c:v>47.441605658486679</c:v>
                </c:pt>
                <c:pt idx="239">
                  <c:v>47.170665581578866</c:v>
                </c:pt>
                <c:pt idx="240">
                  <c:v>46.895060980398341</c:v>
                </c:pt>
                <c:pt idx="241">
                  <c:v>46.614600460569633</c:v>
                </c:pt>
                <c:pt idx="242">
                  <c:v>46.329092782564892</c:v>
                </c:pt>
                <c:pt idx="243">
                  <c:v>46.038346862428838</c:v>
                </c:pt>
                <c:pt idx="244">
                  <c:v>45.742171780230144</c:v>
                </c:pt>
                <c:pt idx="245">
                  <c:v>45.440376763781913</c:v>
                </c:pt>
                <c:pt idx="246">
                  <c:v>45.132415324389406</c:v>
                </c:pt>
                <c:pt idx="247">
                  <c:v>44.818158016937041</c:v>
                </c:pt>
                <c:pt idx="248">
                  <c:v>44.498029280440676</c:v>
                </c:pt>
                <c:pt idx="249">
                  <c:v>44.172420765902757</c:v>
                </c:pt>
                <c:pt idx="250">
                  <c:v>43.841723827981554</c:v>
                </c:pt>
                <c:pt idx="251">
                  <c:v>43.506329527335026</c:v>
                </c:pt>
                <c:pt idx="252">
                  <c:v>43.166628639291311</c:v>
                </c:pt>
                <c:pt idx="253">
                  <c:v>42.823063826702715</c:v>
                </c:pt>
                <c:pt idx="254">
                  <c:v>42.476046722555367</c:v>
                </c:pt>
                <c:pt idx="255">
                  <c:v>42.125967079669806</c:v>
                </c:pt>
                <c:pt idx="256">
                  <c:v>41.773214337618825</c:v>
                </c:pt>
                <c:pt idx="257">
                  <c:v>41.418177627550314</c:v>
                </c:pt>
                <c:pt idx="258">
                  <c:v>41.061245769457209</c:v>
                </c:pt>
                <c:pt idx="259">
                  <c:v>40.702807270815143</c:v>
                </c:pt>
                <c:pt idx="260">
                  <c:v>40.340184722017007</c:v>
                </c:pt>
                <c:pt idx="261">
                  <c:v>39.971132688012212</c:v>
                </c:pt>
                <c:pt idx="262">
                  <c:v>39.596594136183263</c:v>
                </c:pt>
                <c:pt idx="263">
                  <c:v>39.2175395224113</c:v>
                </c:pt>
                <c:pt idx="264">
                  <c:v>38.834938538050537</c:v>
                </c:pt>
                <c:pt idx="265">
                  <c:v>38.449759909236484</c:v>
                </c:pt>
                <c:pt idx="266">
                  <c:v>38.062971705537123</c:v>
                </c:pt>
                <c:pt idx="267">
                  <c:v>37.675552593216345</c:v>
                </c:pt>
                <c:pt idx="268">
                  <c:v>37.288417853664733</c:v>
                </c:pt>
                <c:pt idx="269">
                  <c:v>36.902533626667328</c:v>
                </c:pt>
                <c:pt idx="270">
                  <c:v>36.51886531771455</c:v>
                </c:pt>
                <c:pt idx="271">
                  <c:v>36.138377599892067</c:v>
                </c:pt>
                <c:pt idx="272">
                  <c:v>35.762034419465948</c:v>
                </c:pt>
                <c:pt idx="273">
                  <c:v>35.390798995829307</c:v>
                </c:pt>
                <c:pt idx="274">
                  <c:v>35.022801025698399</c:v>
                </c:pt>
                <c:pt idx="275">
                  <c:v>34.655533161454912</c:v>
                </c:pt>
                <c:pt idx="276">
                  <c:v>34.289146177597097</c:v>
                </c:pt>
                <c:pt idx="277">
                  <c:v>33.923832857529746</c:v>
                </c:pt>
                <c:pt idx="278">
                  <c:v>33.559785847105196</c:v>
                </c:pt>
                <c:pt idx="279">
                  <c:v>33.197197653906002</c:v>
                </c:pt>
                <c:pt idx="280">
                  <c:v>32.836260649525705</c:v>
                </c:pt>
                <c:pt idx="281">
                  <c:v>32.477096946984261</c:v>
                </c:pt>
                <c:pt idx="282">
                  <c:v>32.119888449597902</c:v>
                </c:pt>
                <c:pt idx="283">
                  <c:v>31.764827873817325</c:v>
                </c:pt>
                <c:pt idx="284">
                  <c:v>31.412107852777531</c:v>
                </c:pt>
                <c:pt idx="285">
                  <c:v>31.061920938004135</c:v>
                </c:pt>
                <c:pt idx="286">
                  <c:v>30.714459599277763</c:v>
                </c:pt>
                <c:pt idx="287">
                  <c:v>30.369916227300038</c:v>
                </c:pt>
                <c:pt idx="288">
                  <c:v>30.028001357114885</c:v>
                </c:pt>
                <c:pt idx="289">
                  <c:v>29.688449855871095</c:v>
                </c:pt>
                <c:pt idx="290">
                  <c:v>29.351377926477671</c:v>
                </c:pt>
                <c:pt idx="291">
                  <c:v>29.016782448704721</c:v>
                </c:pt>
                <c:pt idx="292">
                  <c:v>28.684660177895811</c:v>
                </c:pt>
                <c:pt idx="293">
                  <c:v>28.355007748036883</c:v>
                </c:pt>
                <c:pt idx="294">
                  <c:v>28.0278216778174</c:v>
                </c:pt>
                <c:pt idx="295">
                  <c:v>27.703220845464614</c:v>
                </c:pt>
                <c:pt idx="296">
                  <c:v>27.381265754634843</c:v>
                </c:pt>
                <c:pt idx="297">
                  <c:v>27.061949637304217</c:v>
                </c:pt>
                <c:pt idx="298">
                  <c:v>26.745266009571949</c:v>
                </c:pt>
                <c:pt idx="299">
                  <c:v>26.431208278874472</c:v>
                </c:pt>
                <c:pt idx="300">
                  <c:v>26.119769763195247</c:v>
                </c:pt>
                <c:pt idx="301">
                  <c:v>25.810943714994373</c:v>
                </c:pt>
                <c:pt idx="302">
                  <c:v>25.503681671586499</c:v>
                </c:pt>
                <c:pt idx="303">
                  <c:v>25.197263966909297</c:v>
                </c:pt>
                <c:pt idx="304">
                  <c:v>24.89202212228993</c:v>
                </c:pt>
                <c:pt idx="305">
                  <c:v>24.588432420936556</c:v>
                </c:pt>
                <c:pt idx="306">
                  <c:v>24.286970929418555</c:v>
                </c:pt>
                <c:pt idx="307">
                  <c:v>23.988113515318023</c:v>
                </c:pt>
                <c:pt idx="308">
                  <c:v>23.692335866640917</c:v>
                </c:pt>
                <c:pt idx="309">
                  <c:v>23.400066721370742</c:v>
                </c:pt>
                <c:pt idx="310">
                  <c:v>23.11166799860089</c:v>
                </c:pt>
                <c:pt idx="311">
                  <c:v>22.82761728270475</c:v>
                </c:pt>
                <c:pt idx="312">
                  <c:v>22.548391999321975</c:v>
                </c:pt>
                <c:pt idx="313">
                  <c:v>22.274469417608266</c:v>
                </c:pt>
                <c:pt idx="314">
                  <c:v>22.006326646607263</c:v>
                </c:pt>
                <c:pt idx="315">
                  <c:v>21.744440637875467</c:v>
                </c:pt>
                <c:pt idx="316">
                  <c:v>21.48684111517338</c:v>
                </c:pt>
                <c:pt idx="317">
                  <c:v>21.23157759500079</c:v>
                </c:pt>
                <c:pt idx="318">
                  <c:v>20.979217952347749</c:v>
                </c:pt>
                <c:pt idx="319">
                  <c:v>20.730337121014273</c:v>
                </c:pt>
                <c:pt idx="320">
                  <c:v>20.485509777430728</c:v>
                </c:pt>
                <c:pt idx="321">
                  <c:v>20.245310335296455</c:v>
                </c:pt>
                <c:pt idx="322">
                  <c:v>20.010312931267617</c:v>
                </c:pt>
                <c:pt idx="323">
                  <c:v>19.781082890804111</c:v>
                </c:pt>
                <c:pt idx="324">
                  <c:v>19.558237544947808</c:v>
                </c:pt>
                <c:pt idx="325">
                  <c:v>19.342349719746366</c:v>
                </c:pt>
                <c:pt idx="326">
                  <c:v>19.133992045666687</c:v>
                </c:pt>
                <c:pt idx="327">
                  <c:v>18.933736780568204</c:v>
                </c:pt>
                <c:pt idx="328">
                  <c:v>18.742155793709429</c:v>
                </c:pt>
                <c:pt idx="329">
                  <c:v>18.55982065258052</c:v>
                </c:pt>
                <c:pt idx="330">
                  <c:v>18.384828572447503</c:v>
                </c:pt>
                <c:pt idx="331">
                  <c:v>18.215207512419237</c:v>
                </c:pt>
                <c:pt idx="332">
                  <c:v>18.051477365501349</c:v>
                </c:pt>
                <c:pt idx="333">
                  <c:v>17.894114597738284</c:v>
                </c:pt>
                <c:pt idx="334">
                  <c:v>17.743595414573264</c:v>
                </c:pt>
                <c:pt idx="335">
                  <c:v>17.600395758656852</c:v>
                </c:pt>
                <c:pt idx="336">
                  <c:v>17.464991298038754</c:v>
                </c:pt>
                <c:pt idx="337">
                  <c:v>17.337847887588772</c:v>
                </c:pt>
                <c:pt idx="338">
                  <c:v>17.219448796844269</c:v>
                </c:pt>
                <c:pt idx="339">
                  <c:v>17.11026883511493</c:v>
                </c:pt>
                <c:pt idx="340">
                  <c:v>17.010782503875458</c:v>
                </c:pt>
                <c:pt idx="341">
                  <c:v>16.921463990582026</c:v>
                </c:pt>
                <c:pt idx="342">
                  <c:v>16.842787173342309</c:v>
                </c:pt>
                <c:pt idx="343">
                  <c:v>16.77522559933011</c:v>
                </c:pt>
                <c:pt idx="344">
                  <c:v>16.71999376969648</c:v>
                </c:pt>
                <c:pt idx="345">
                  <c:v>16.677391357753706</c:v>
                </c:pt>
                <c:pt idx="346">
                  <c:v>16.646523688213925</c:v>
                </c:pt>
                <c:pt idx="347">
                  <c:v>16.626492746465228</c:v>
                </c:pt>
                <c:pt idx="348">
                  <c:v>16.616401069807541</c:v>
                </c:pt>
                <c:pt idx="349">
                  <c:v>16.615351743260295</c:v>
                </c:pt>
                <c:pt idx="350">
                  <c:v>16.622448406967937</c:v>
                </c:pt>
                <c:pt idx="351">
                  <c:v>16.636792776300773</c:v>
                </c:pt>
                <c:pt idx="352">
                  <c:v>16.657498899993243</c:v>
                </c:pt>
                <c:pt idx="353">
                  <c:v>16.683672069936588</c:v>
                </c:pt>
                <c:pt idx="354">
                  <c:v>16.714418142538491</c:v>
                </c:pt>
                <c:pt idx="355">
                  <c:v>16.748843543089681</c:v>
                </c:pt>
                <c:pt idx="356">
                  <c:v>16.786055302380511</c:v>
                </c:pt>
                <c:pt idx="357">
                  <c:v>16.82516094148388</c:v>
                </c:pt>
                <c:pt idx="358">
                  <c:v>16.866321022170176</c:v>
                </c:pt>
                <c:pt idx="359">
                  <c:v>16.910626149424974</c:v>
                </c:pt>
                <c:pt idx="360">
                  <c:v>16.958569893213348</c:v>
                </c:pt>
                <c:pt idx="361">
                  <c:v>17.01065718566181</c:v>
                </c:pt>
                <c:pt idx="362">
                  <c:v>17.067390135988827</c:v>
                </c:pt>
                <c:pt idx="363">
                  <c:v>17.129270491994998</c:v>
                </c:pt>
                <c:pt idx="364">
                  <c:v>17.196799647857059</c:v>
                </c:pt>
                <c:pt idx="365">
                  <c:v>16.932568978270325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16.320795396151649</c:v>
                </c:pt>
                <c:pt idx="1">
                  <c:v>12.924106307254023</c:v>
                </c:pt>
                <c:pt idx="2">
                  <c:v>12.77438494983514</c:v>
                </c:pt>
                <c:pt idx="3">
                  <c:v>13.231496438935855</c:v>
                </c:pt>
                <c:pt idx="4">
                  <c:v>11.323936784694713</c:v>
                </c:pt>
                <c:pt idx="5">
                  <c:v>14.547755325230909</c:v>
                </c:pt>
                <c:pt idx="6">
                  <c:v>9.0361234449509311</c:v>
                </c:pt>
                <c:pt idx="7">
                  <c:v>6.5698885508854783</c:v>
                </c:pt>
                <c:pt idx="8">
                  <c:v>1.9782106038241538</c:v>
                </c:pt>
                <c:pt idx="9">
                  <c:v>1.58101004258638</c:v>
                </c:pt>
                <c:pt idx="10">
                  <c:v>18.406912909301621</c:v>
                </c:pt>
                <c:pt idx="11">
                  <c:v>15.619052319148926</c:v>
                </c:pt>
                <c:pt idx="12">
                  <c:v>5.1127357324719087</c:v>
                </c:pt>
                <c:pt idx="13">
                  <c:v>18.813570257092561</c:v>
                </c:pt>
                <c:pt idx="14">
                  <c:v>18.769533326866433</c:v>
                </c:pt>
                <c:pt idx="15">
                  <c:v>18.512905845034492</c:v>
                </c:pt>
                <c:pt idx="16">
                  <c:v>10.913267022317189</c:v>
                </c:pt>
                <c:pt idx="17">
                  <c:v>3.5769930190193597</c:v>
                </c:pt>
                <c:pt idx="18">
                  <c:v>8.3527692160765739</c:v>
                </c:pt>
                <c:pt idx="19">
                  <c:v>6.0972052775109216</c:v>
                </c:pt>
                <c:pt idx="20">
                  <c:v>16.547074256207914</c:v>
                </c:pt>
                <c:pt idx="21">
                  <c:v>19.877573031962342</c:v>
                </c:pt>
                <c:pt idx="22">
                  <c:v>20.086240085173934</c:v>
                </c:pt>
                <c:pt idx="23">
                  <c:v>20.413373872529792</c:v>
                </c:pt>
                <c:pt idx="24">
                  <c:v>20.377066667510462</c:v>
                </c:pt>
                <c:pt idx="25">
                  <c:v>20.498978807208928</c:v>
                </c:pt>
                <c:pt idx="26">
                  <c:v>21.353673750567442</c:v>
                </c:pt>
                <c:pt idx="27">
                  <c:v>3.9711318436353569</c:v>
                </c:pt>
                <c:pt idx="28">
                  <c:v>9.0459267152513299</c:v>
                </c:pt>
                <c:pt idx="29">
                  <c:v>4.3271743442537307</c:v>
                </c:pt>
                <c:pt idx="30">
                  <c:v>7.6426330643410036</c:v>
                </c:pt>
                <c:pt idx="31">
                  <c:v>8.980750099864002</c:v>
                </c:pt>
                <c:pt idx="32">
                  <c:v>5.0892052720928671</c:v>
                </c:pt>
                <c:pt idx="33">
                  <c:v>9.2517401382229139</c:v>
                </c:pt>
                <c:pt idx="34">
                  <c:v>9.1331419526369633</c:v>
                </c:pt>
                <c:pt idx="35">
                  <c:v>8.401582871425143</c:v>
                </c:pt>
                <c:pt idx="36">
                  <c:v>16.03427375452992</c:v>
                </c:pt>
                <c:pt idx="37">
                  <c:v>8.5632949824000999</c:v>
                </c:pt>
                <c:pt idx="38">
                  <c:v>25.063214076930468</c:v>
                </c:pt>
                <c:pt idx="39">
                  <c:v>25.137500702890922</c:v>
                </c:pt>
                <c:pt idx="40">
                  <c:v>23.592566144120244</c:v>
                </c:pt>
                <c:pt idx="41">
                  <c:v>14.996810438524937</c:v>
                </c:pt>
                <c:pt idx="42">
                  <c:v>21.682049012713826</c:v>
                </c:pt>
                <c:pt idx="43">
                  <c:v>25.64975970689942</c:v>
                </c:pt>
                <c:pt idx="44">
                  <c:v>13.434840874959713</c:v>
                </c:pt>
                <c:pt idx="45">
                  <c:v>15.841908683971855</c:v>
                </c:pt>
                <c:pt idx="46">
                  <c:v>8.7196229772092124</c:v>
                </c:pt>
                <c:pt idx="47">
                  <c:v>10.384287689947991</c:v>
                </c:pt>
                <c:pt idx="48">
                  <c:v>22.991562269250114</c:v>
                </c:pt>
                <c:pt idx="49">
                  <c:v>17.583849005787812</c:v>
                </c:pt>
                <c:pt idx="50">
                  <c:v>17.255299795425206</c:v>
                </c:pt>
                <c:pt idx="51">
                  <c:v>18.818222647039661</c:v>
                </c:pt>
                <c:pt idx="52">
                  <c:v>27.464690971987963</c:v>
                </c:pt>
                <c:pt idx="53">
                  <c:v>27.670964672399986</c:v>
                </c:pt>
                <c:pt idx="54">
                  <c:v>16.97212133765807</c:v>
                </c:pt>
                <c:pt idx="55">
                  <c:v>27.287266609855447</c:v>
                </c:pt>
                <c:pt idx="56">
                  <c:v>31.214323864877123</c:v>
                </c:pt>
                <c:pt idx="57">
                  <c:v>25.556729751934675</c:v>
                </c:pt>
                <c:pt idx="58">
                  <c:v>26.53513531952845</c:v>
                </c:pt>
                <c:pt idx="59">
                  <c:v>31.470707367029124</c:v>
                </c:pt>
                <c:pt idx="60">
                  <c:v>10.094187463527671</c:v>
                </c:pt>
                <c:pt idx="61">
                  <c:v>30.159562371859924</c:v>
                </c:pt>
                <c:pt idx="62">
                  <c:v>3.5826362095615516</c:v>
                </c:pt>
                <c:pt idx="63">
                  <c:v>12.547315884930711</c:v>
                </c:pt>
                <c:pt idx="64">
                  <c:v>14.799199057725531</c:v>
                </c:pt>
                <c:pt idx="65">
                  <c:v>32.2493940419455</c:v>
                </c:pt>
                <c:pt idx="66">
                  <c:v>25.503357918854707</c:v>
                </c:pt>
                <c:pt idx="67">
                  <c:v>27.160724789678238</c:v>
                </c:pt>
                <c:pt idx="68">
                  <c:v>20.519967038533068</c:v>
                </c:pt>
                <c:pt idx="69">
                  <c:v>13.356867889758769</c:v>
                </c:pt>
                <c:pt idx="70">
                  <c:v>14.946458103545567</c:v>
                </c:pt>
                <c:pt idx="71">
                  <c:v>9.1456623286678163</c:v>
                </c:pt>
                <c:pt idx="72">
                  <c:v>13.462143687418129</c:v>
                </c:pt>
                <c:pt idx="73">
                  <c:v>12.766252427116498</c:v>
                </c:pt>
                <c:pt idx="74">
                  <c:v>12.503339112961518</c:v>
                </c:pt>
                <c:pt idx="75">
                  <c:v>10.841098017766328</c:v>
                </c:pt>
                <c:pt idx="76">
                  <c:v>14.037963494308825</c:v>
                </c:pt>
                <c:pt idx="77">
                  <c:v>24.760563498531525</c:v>
                </c:pt>
                <c:pt idx="78">
                  <c:v>27.821709369041987</c:v>
                </c:pt>
                <c:pt idx="79">
                  <c:v>37.166233434198283</c:v>
                </c:pt>
                <c:pt idx="80">
                  <c:v>35.226092294713226</c:v>
                </c:pt>
                <c:pt idx="81">
                  <c:v>40.444885436683521</c:v>
                </c:pt>
                <c:pt idx="82">
                  <c:v>39.837386459794004</c:v>
                </c:pt>
                <c:pt idx="83">
                  <c:v>37.623349552140304</c:v>
                </c:pt>
                <c:pt idx="84">
                  <c:v>40.041212253855711</c:v>
                </c:pt>
                <c:pt idx="85">
                  <c:v>38.377900567045977</c:v>
                </c:pt>
                <c:pt idx="86">
                  <c:v>29.040816165928852</c:v>
                </c:pt>
                <c:pt idx="87">
                  <c:v>25.010952587846024</c:v>
                </c:pt>
                <c:pt idx="88">
                  <c:v>7.3408719271104275</c:v>
                </c:pt>
                <c:pt idx="89">
                  <c:v>26.421512016874082</c:v>
                </c:pt>
                <c:pt idx="90">
                  <c:v>30.197121529387179</c:v>
                </c:pt>
                <c:pt idx="91">
                  <c:v>19.211716391259063</c:v>
                </c:pt>
                <c:pt idx="92">
                  <c:v>20.128347749958209</c:v>
                </c:pt>
                <c:pt idx="93">
                  <c:v>40.255102078073989</c:v>
                </c:pt>
                <c:pt idx="94">
                  <c:v>45.169930187698014</c:v>
                </c:pt>
                <c:pt idx="95">
                  <c:v>10.662223866294156</c:v>
                </c:pt>
                <c:pt idx="96">
                  <c:v>32.26422167703344</c:v>
                </c:pt>
                <c:pt idx="97">
                  <c:v>25.704098854098032</c:v>
                </c:pt>
                <c:pt idx="98">
                  <c:v>33.591106991362665</c:v>
                </c:pt>
                <c:pt idx="99">
                  <c:v>45.797360380436281</c:v>
                </c:pt>
                <c:pt idx="100">
                  <c:v>38.056309475102346</c:v>
                </c:pt>
                <c:pt idx="101">
                  <c:v>33.322674448256294</c:v>
                </c:pt>
                <c:pt idx="102">
                  <c:v>7.3851959380670662</c:v>
                </c:pt>
                <c:pt idx="103">
                  <c:v>36.204513918318661</c:v>
                </c:pt>
                <c:pt idx="104">
                  <c:v>40.028712143113012</c:v>
                </c:pt>
                <c:pt idx="105">
                  <c:v>43.408620507616178</c:v>
                </c:pt>
                <c:pt idx="106">
                  <c:v>47.512206512825927</c:v>
                </c:pt>
                <c:pt idx="107">
                  <c:v>37.466468017422358</c:v>
                </c:pt>
                <c:pt idx="108">
                  <c:v>8.7539456442088301</c:v>
                </c:pt>
                <c:pt idx="109">
                  <c:v>9.1826380572085728</c:v>
                </c:pt>
                <c:pt idx="110">
                  <c:v>8.8867792191383455</c:v>
                </c:pt>
                <c:pt idx="111">
                  <c:v>25.666986497608402</c:v>
                </c:pt>
                <c:pt idx="112">
                  <c:v>8.6281132486466614</c:v>
                </c:pt>
                <c:pt idx="113">
                  <c:v>29.68101964218673</c:v>
                </c:pt>
                <c:pt idx="114">
                  <c:v>44.47838576430172</c:v>
                </c:pt>
                <c:pt idx="115">
                  <c:v>48.389448559330859</c:v>
                </c:pt>
                <c:pt idx="116">
                  <c:v>35.298791036438146</c:v>
                </c:pt>
                <c:pt idx="117">
                  <c:v>21.834888147502916</c:v>
                </c:pt>
                <c:pt idx="118">
                  <c:v>39.677843223086583</c:v>
                </c:pt>
                <c:pt idx="119">
                  <c:v>46.040970972967294</c:v>
                </c:pt>
                <c:pt idx="120">
                  <c:v>46.942747902850662</c:v>
                </c:pt>
                <c:pt idx="121">
                  <c:v>27.439708284567846</c:v>
                </c:pt>
                <c:pt idx="122">
                  <c:v>37.705974626624801</c:v>
                </c:pt>
                <c:pt idx="123">
                  <c:v>21.383428458554732</c:v>
                </c:pt>
                <c:pt idx="124">
                  <c:v>43.701523867728092</c:v>
                </c:pt>
                <c:pt idx="125">
                  <c:v>36.907396514115554</c:v>
                </c:pt>
                <c:pt idx="126">
                  <c:v>52.052236958753461</c:v>
                </c:pt>
                <c:pt idx="127">
                  <c:v>47.313520049687206</c:v>
                </c:pt>
                <c:pt idx="128">
                  <c:v>54.180755395889442</c:v>
                </c:pt>
                <c:pt idx="129">
                  <c:v>50.249202370635672</c:v>
                </c:pt>
                <c:pt idx="130">
                  <c:v>54.608621195780735</c:v>
                </c:pt>
                <c:pt idx="131">
                  <c:v>42.025094195184586</c:v>
                </c:pt>
                <c:pt idx="132">
                  <c:v>43.61665393151867</c:v>
                </c:pt>
                <c:pt idx="133">
                  <c:v>48.059805043633887</c:v>
                </c:pt>
                <c:pt idx="134">
                  <c:v>51.179180654362625</c:v>
                </c:pt>
                <c:pt idx="135">
                  <c:v>49.364488835930416</c:v>
                </c:pt>
                <c:pt idx="136">
                  <c:v>53.087391909316729</c:v>
                </c:pt>
                <c:pt idx="137">
                  <c:v>51.88657280839103</c:v>
                </c:pt>
                <c:pt idx="138">
                  <c:v>54.844438266585705</c:v>
                </c:pt>
                <c:pt idx="139">
                  <c:v>48.080874099756159</c:v>
                </c:pt>
                <c:pt idx="140">
                  <c:v>47.65944723277314</c:v>
                </c:pt>
                <c:pt idx="141">
                  <c:v>35.29986014864069</c:v>
                </c:pt>
                <c:pt idx="142">
                  <c:v>20.053637203369075</c:v>
                </c:pt>
                <c:pt idx="143">
                  <c:v>16.324957518919252</c:v>
                </c:pt>
                <c:pt idx="144">
                  <c:v>39.763095728211482</c:v>
                </c:pt>
                <c:pt idx="145">
                  <c:v>23.404347849249888</c:v>
                </c:pt>
                <c:pt idx="146">
                  <c:v>46.115737132192372</c:v>
                </c:pt>
                <c:pt idx="147">
                  <c:v>54.961357454993937</c:v>
                </c:pt>
                <c:pt idx="148">
                  <c:v>59.223880075921365</c:v>
                </c:pt>
                <c:pt idx="149">
                  <c:v>51.300199306776143</c:v>
                </c:pt>
                <c:pt idx="150">
                  <c:v>54.475151751647743</c:v>
                </c:pt>
                <c:pt idx="151">
                  <c:v>55.281057530072736</c:v>
                </c:pt>
                <c:pt idx="152">
                  <c:v>45.814850561064226</c:v>
                </c:pt>
                <c:pt idx="153">
                  <c:v>53.395581086102972</c:v>
                </c:pt>
                <c:pt idx="154">
                  <c:v>26.446203388920846</c:v>
                </c:pt>
                <c:pt idx="155">
                  <c:v>36.80212464697756</c:v>
                </c:pt>
                <c:pt idx="156">
                  <c:v>44.364186469598401</c:v>
                </c:pt>
                <c:pt idx="157">
                  <c:v>30.272618229484983</c:v>
                </c:pt>
                <c:pt idx="158">
                  <c:v>21.239460469964335</c:v>
                </c:pt>
                <c:pt idx="159">
                  <c:v>43.728805722470625</c:v>
                </c:pt>
                <c:pt idx="160">
                  <c:v>56.758232586453623</c:v>
                </c:pt>
                <c:pt idx="161">
                  <c:v>54.601914348509325</c:v>
                </c:pt>
                <c:pt idx="162">
                  <c:v>42.470430518803433</c:v>
                </c:pt>
                <c:pt idx="163">
                  <c:v>53.805302645849451</c:v>
                </c:pt>
                <c:pt idx="164">
                  <c:v>46.509040732280525</c:v>
                </c:pt>
                <c:pt idx="165">
                  <c:v>53.923212582853097</c:v>
                </c:pt>
                <c:pt idx="166">
                  <c:v>51.36576268585641</c:v>
                </c:pt>
                <c:pt idx="167">
                  <c:v>51.935025780776456</c:v>
                </c:pt>
                <c:pt idx="168">
                  <c:v>54.241514693474983</c:v>
                </c:pt>
                <c:pt idx="169">
                  <c:v>55.584254534166497</c:v>
                </c:pt>
                <c:pt idx="170">
                  <c:v>32.815130249791366</c:v>
                </c:pt>
                <c:pt idx="171">
                  <c:v>22.937221083831364</c:v>
                </c:pt>
                <c:pt idx="172">
                  <c:v>43.143822664760037</c:v>
                </c:pt>
                <c:pt idx="173">
                  <c:v>41.040992959607685</c:v>
                </c:pt>
                <c:pt idx="174">
                  <c:v>39.556712943018169</c:v>
                </c:pt>
                <c:pt idx="175">
                  <c:v>32.576996827599324</c:v>
                </c:pt>
                <c:pt idx="176">
                  <c:v>12.30700200312185</c:v>
                </c:pt>
                <c:pt idx="177">
                  <c:v>14.324969749076907</c:v>
                </c:pt>
                <c:pt idx="178">
                  <c:v>58.357839019983054</c:v>
                </c:pt>
                <c:pt idx="179">
                  <c:v>55.961728358851467</c:v>
                </c:pt>
                <c:pt idx="180">
                  <c:v>14.149790752169105</c:v>
                </c:pt>
                <c:pt idx="181">
                  <c:v>52.692174495784933</c:v>
                </c:pt>
                <c:pt idx="182">
                  <c:v>55.322094535375641</c:v>
                </c:pt>
                <c:pt idx="183">
                  <c:v>43.122289687497691</c:v>
                </c:pt>
                <c:pt idx="184">
                  <c:v>42.830622210758726</c:v>
                </c:pt>
                <c:pt idx="185">
                  <c:v>55.120783573313702</c:v>
                </c:pt>
                <c:pt idx="186">
                  <c:v>48.395073404323746</c:v>
                </c:pt>
                <c:pt idx="187">
                  <c:v>55.207367159617107</c:v>
                </c:pt>
                <c:pt idx="188">
                  <c:v>57.619925577855653</c:v>
                </c:pt>
                <c:pt idx="189">
                  <c:v>56.633904987190448</c:v>
                </c:pt>
                <c:pt idx="190">
                  <c:v>55.973272506312405</c:v>
                </c:pt>
                <c:pt idx="191">
                  <c:v>54.198033544909556</c:v>
                </c:pt>
                <c:pt idx="192">
                  <c:v>53.82304732736123</c:v>
                </c:pt>
                <c:pt idx="193">
                  <c:v>53.335900922761425</c:v>
                </c:pt>
                <c:pt idx="194">
                  <c:v>52.436841464761976</c:v>
                </c:pt>
                <c:pt idx="195">
                  <c:v>51.454242681087713</c:v>
                </c:pt>
                <c:pt idx="196">
                  <c:v>53.003209958381859</c:v>
                </c:pt>
                <c:pt idx="197">
                  <c:v>52.080789418032026</c:v>
                </c:pt>
                <c:pt idx="198">
                  <c:v>52.810927108230722</c:v>
                </c:pt>
                <c:pt idx="199">
                  <c:v>44.588932509427302</c:v>
                </c:pt>
                <c:pt idx="200">
                  <c:v>43.396959803411498</c:v>
                </c:pt>
                <c:pt idx="201">
                  <c:v>50.399878413537195</c:v>
                </c:pt>
                <c:pt idx="202">
                  <c:v>38.505142267818513</c:v>
                </c:pt>
                <c:pt idx="203">
                  <c:v>50.160921846086318</c:v>
                </c:pt>
                <c:pt idx="204">
                  <c:v>50.498509125520741</c:v>
                </c:pt>
                <c:pt idx="205">
                  <c:v>27.151896690840285</c:v>
                </c:pt>
                <c:pt idx="206">
                  <c:v>56.692284514146074</c:v>
                </c:pt>
                <c:pt idx="207">
                  <c:v>55.021166187868559</c:v>
                </c:pt>
                <c:pt idx="208">
                  <c:v>44.052173730166835</c:v>
                </c:pt>
                <c:pt idx="209">
                  <c:v>32.359021556137961</c:v>
                </c:pt>
                <c:pt idx="210">
                  <c:v>49.629948446604999</c:v>
                </c:pt>
                <c:pt idx="211">
                  <c:v>52.87984013057244</c:v>
                </c:pt>
                <c:pt idx="212">
                  <c:v>52.562143495480399</c:v>
                </c:pt>
                <c:pt idx="213">
                  <c:v>52.322916020805863</c:v>
                </c:pt>
                <c:pt idx="214">
                  <c:v>48.070776936238595</c:v>
                </c:pt>
                <c:pt idx="215">
                  <c:v>47.832852917221309</c:v>
                </c:pt>
                <c:pt idx="216">
                  <c:v>45.767949483876343</c:v>
                </c:pt>
                <c:pt idx="217">
                  <c:v>47.943666491421936</c:v>
                </c:pt>
                <c:pt idx="218">
                  <c:v>50.805476594096746</c:v>
                </c:pt>
                <c:pt idx="219">
                  <c:v>51.100027990609426</c:v>
                </c:pt>
                <c:pt idx="220">
                  <c:v>48.835885197737056</c:v>
                </c:pt>
                <c:pt idx="221">
                  <c:v>45.70863702527398</c:v>
                </c:pt>
                <c:pt idx="222">
                  <c:v>44.288024971851371</c:v>
                </c:pt>
                <c:pt idx="223">
                  <c:v>45.433996534397785</c:v>
                </c:pt>
                <c:pt idx="224">
                  <c:v>33.194694181868151</c:v>
                </c:pt>
                <c:pt idx="225">
                  <c:v>32.537438724821563</c:v>
                </c:pt>
                <c:pt idx="226">
                  <c:v>39.342173527672294</c:v>
                </c:pt>
                <c:pt idx="227">
                  <c:v>33.825714752983906</c:v>
                </c:pt>
                <c:pt idx="228">
                  <c:v>28.164293672805233</c:v>
                </c:pt>
                <c:pt idx="229">
                  <c:v>35.060893305127891</c:v>
                </c:pt>
                <c:pt idx="230">
                  <c:v>41.866265913340541</c:v>
                </c:pt>
                <c:pt idx="231">
                  <c:v>46.993992551876488</c:v>
                </c:pt>
                <c:pt idx="232">
                  <c:v>30.174608291111081</c:v>
                </c:pt>
                <c:pt idx="233">
                  <c:v>25.845745533338736</c:v>
                </c:pt>
                <c:pt idx="234">
                  <c:v>47.228591261538185</c:v>
                </c:pt>
                <c:pt idx="235">
                  <c:v>42.074294229804323</c:v>
                </c:pt>
                <c:pt idx="236">
                  <c:v>33.512289308787771</c:v>
                </c:pt>
                <c:pt idx="237">
                  <c:v>42.034067859698432</c:v>
                </c:pt>
                <c:pt idx="238">
                  <c:v>46.569440604769092</c:v>
                </c:pt>
                <c:pt idx="239">
                  <c:v>44.27877038747426</c:v>
                </c:pt>
                <c:pt idx="240">
                  <c:v>31.145899451595643</c:v>
                </c:pt>
                <c:pt idx="241">
                  <c:v>44.12786332242689</c:v>
                </c:pt>
                <c:pt idx="242">
                  <c:v>23.413353984281159</c:v>
                </c:pt>
                <c:pt idx="243">
                  <c:v>38.513314128479102</c:v>
                </c:pt>
                <c:pt idx="244">
                  <c:v>37.690174901339354</c:v>
                </c:pt>
                <c:pt idx="245">
                  <c:v>35.532795054477745</c:v>
                </c:pt>
                <c:pt idx="246">
                  <c:v>41.740345007691992</c:v>
                </c:pt>
                <c:pt idx="247">
                  <c:v>36.384699188184221</c:v>
                </c:pt>
                <c:pt idx="248">
                  <c:v>42.150475335388606</c:v>
                </c:pt>
                <c:pt idx="249">
                  <c:v>34.451218534311998</c:v>
                </c:pt>
                <c:pt idx="250">
                  <c:v>32.340090095284211</c:v>
                </c:pt>
                <c:pt idx="251">
                  <c:v>23.981741840410024</c:v>
                </c:pt>
                <c:pt idx="252">
                  <c:v>41.950607818502057</c:v>
                </c:pt>
                <c:pt idx="253">
                  <c:v>40.708673884547089</c:v>
                </c:pt>
                <c:pt idx="254">
                  <c:v>28.910222060835089</c:v>
                </c:pt>
                <c:pt idx="255">
                  <c:v>13.582739310974601</c:v>
                </c:pt>
                <c:pt idx="256">
                  <c:v>32.333900075374665</c:v>
                </c:pt>
                <c:pt idx="257">
                  <c:v>36.856274296840866</c:v>
                </c:pt>
                <c:pt idx="258">
                  <c:v>31.619396395161324</c:v>
                </c:pt>
                <c:pt idx="259">
                  <c:v>41.311083962354104</c:v>
                </c:pt>
                <c:pt idx="260">
                  <c:v>40.8332825626483</c:v>
                </c:pt>
                <c:pt idx="261">
                  <c:v>39.247525550661308</c:v>
                </c:pt>
                <c:pt idx="262">
                  <c:v>40.893727017660289</c:v>
                </c:pt>
                <c:pt idx="263">
                  <c:v>39.535538090574363</c:v>
                </c:pt>
                <c:pt idx="264">
                  <c:v>37.794282821492232</c:v>
                </c:pt>
                <c:pt idx="265">
                  <c:v>23.722452112520859</c:v>
                </c:pt>
                <c:pt idx="266">
                  <c:v>15.439931234862444</c:v>
                </c:pt>
                <c:pt idx="267">
                  <c:v>31.506446557825541</c:v>
                </c:pt>
                <c:pt idx="268">
                  <c:v>28.032713598348018</c:v>
                </c:pt>
                <c:pt idx="269">
                  <c:v>16.818922695826981</c:v>
                </c:pt>
                <c:pt idx="270">
                  <c:v>18.982114278089057</c:v>
                </c:pt>
                <c:pt idx="271">
                  <c:v>22.386048506855129</c:v>
                </c:pt>
                <c:pt idx="272">
                  <c:v>25.6014919789564</c:v>
                </c:pt>
                <c:pt idx="273">
                  <c:v>32.16539467243048</c:v>
                </c:pt>
                <c:pt idx="274">
                  <c:v>33.886694612223302</c:v>
                </c:pt>
                <c:pt idx="275">
                  <c:v>33.250204984998334</c:v>
                </c:pt>
                <c:pt idx="276">
                  <c:v>34.309341344205734</c:v>
                </c:pt>
                <c:pt idx="277">
                  <c:v>35.312578288249078</c:v>
                </c:pt>
                <c:pt idx="278">
                  <c:v>11.062114305390168</c:v>
                </c:pt>
                <c:pt idx="279">
                  <c:v>24.654975308875219</c:v>
                </c:pt>
                <c:pt idx="280">
                  <c:v>16.324863586174242</c:v>
                </c:pt>
                <c:pt idx="281">
                  <c:v>31.999094388073278</c:v>
                </c:pt>
                <c:pt idx="282">
                  <c:v>25.688227284200924</c:v>
                </c:pt>
                <c:pt idx="283">
                  <c:v>19.965749290215573</c:v>
                </c:pt>
                <c:pt idx="284">
                  <c:v>24.079216872214712</c:v>
                </c:pt>
                <c:pt idx="285">
                  <c:v>20.710545308301892</c:v>
                </c:pt>
                <c:pt idx="286">
                  <c:v>17.335174800612702</c:v>
                </c:pt>
                <c:pt idx="287">
                  <c:v>30.517556388338964</c:v>
                </c:pt>
                <c:pt idx="288">
                  <c:v>27.887994537237461</c:v>
                </c:pt>
                <c:pt idx="289">
                  <c:v>18.023312206814744</c:v>
                </c:pt>
                <c:pt idx="290">
                  <c:v>28.448181465102948</c:v>
                </c:pt>
                <c:pt idx="291">
                  <c:v>14.297096766682875</c:v>
                </c:pt>
                <c:pt idx="292">
                  <c:v>6.3012546296519041</c:v>
                </c:pt>
                <c:pt idx="293">
                  <c:v>14.466265426980536</c:v>
                </c:pt>
                <c:pt idx="294">
                  <c:v>27.405653360207154</c:v>
                </c:pt>
                <c:pt idx="295">
                  <c:v>15.733532296374154</c:v>
                </c:pt>
                <c:pt idx="296">
                  <c:v>19.510215880688019</c:v>
                </c:pt>
                <c:pt idx="297">
                  <c:v>19.363753888362286</c:v>
                </c:pt>
                <c:pt idx="298">
                  <c:v>11.506756412675417</c:v>
                </c:pt>
                <c:pt idx="299">
                  <c:v>11.687173452136122</c:v>
                </c:pt>
                <c:pt idx="300">
                  <c:v>15.817174874812142</c:v>
                </c:pt>
                <c:pt idx="301">
                  <c:v>22.265429568543585</c:v>
                </c:pt>
                <c:pt idx="302">
                  <c:v>18.400057477155176</c:v>
                </c:pt>
                <c:pt idx="303">
                  <c:v>17.390315612538821</c:v>
                </c:pt>
                <c:pt idx="304">
                  <c:v>17.470073040174761</c:v>
                </c:pt>
                <c:pt idx="305">
                  <c:v>23.670188273345513</c:v>
                </c:pt>
                <c:pt idx="306">
                  <c:v>9.6367406282517809</c:v>
                </c:pt>
                <c:pt idx="307">
                  <c:v>15.958679048116567</c:v>
                </c:pt>
                <c:pt idx="308">
                  <c:v>24.158357210033607</c:v>
                </c:pt>
                <c:pt idx="309">
                  <c:v>23.549310762564843</c:v>
                </c:pt>
                <c:pt idx="310">
                  <c:v>21.574750276949612</c:v>
                </c:pt>
                <c:pt idx="311">
                  <c:v>15.941415843911109</c:v>
                </c:pt>
                <c:pt idx="312">
                  <c:v>8.5313563062376954</c:v>
                </c:pt>
                <c:pt idx="313">
                  <c:v>18.07648922636313</c:v>
                </c:pt>
                <c:pt idx="314">
                  <c:v>21.295950307841508</c:v>
                </c:pt>
                <c:pt idx="315">
                  <c:v>21.096973745263465</c:v>
                </c:pt>
                <c:pt idx="316">
                  <c:v>20.143454110503406</c:v>
                </c:pt>
                <c:pt idx="317">
                  <c:v>8.0910234831053067</c:v>
                </c:pt>
                <c:pt idx="318">
                  <c:v>10.904787646468479</c:v>
                </c:pt>
                <c:pt idx="319">
                  <c:v>20.688672641537721</c:v>
                </c:pt>
                <c:pt idx="320">
                  <c:v>12.075345578083807</c:v>
                </c:pt>
                <c:pt idx="321">
                  <c:v>12.763625326781424</c:v>
                </c:pt>
                <c:pt idx="322">
                  <c:v>7.0807506473205768</c:v>
                </c:pt>
                <c:pt idx="323">
                  <c:v>13.102765107567604</c:v>
                </c:pt>
                <c:pt idx="324">
                  <c:v>3.0676669045158822</c:v>
                </c:pt>
                <c:pt idx="325">
                  <c:v>7.2667089307700792</c:v>
                </c:pt>
                <c:pt idx="326">
                  <c:v>11.619604745143686</c:v>
                </c:pt>
                <c:pt idx="327">
                  <c:v>11.699399906641572</c:v>
                </c:pt>
                <c:pt idx="328">
                  <c:v>4.7599780990018123</c:v>
                </c:pt>
                <c:pt idx="329">
                  <c:v>10.684024095012608</c:v>
                </c:pt>
                <c:pt idx="330">
                  <c:v>12.039857974368948</c:v>
                </c:pt>
                <c:pt idx="331">
                  <c:v>10.221628078879665</c:v>
                </c:pt>
                <c:pt idx="332">
                  <c:v>13.735818094039875</c:v>
                </c:pt>
                <c:pt idx="333">
                  <c:v>3.8732771808782243</c:v>
                </c:pt>
                <c:pt idx="334">
                  <c:v>3.6699854983715996</c:v>
                </c:pt>
                <c:pt idx="335">
                  <c:v>5.5439402254931007</c:v>
                </c:pt>
                <c:pt idx="336">
                  <c:v>7.5327288065473361</c:v>
                </c:pt>
                <c:pt idx="337">
                  <c:v>14.015298322907883</c:v>
                </c:pt>
                <c:pt idx="338">
                  <c:v>17.494388815049927</c:v>
                </c:pt>
                <c:pt idx="339">
                  <c:v>9.4582972438844894</c:v>
                </c:pt>
                <c:pt idx="340">
                  <c:v>15.610311508947923</c:v>
                </c:pt>
                <c:pt idx="341">
                  <c:v>3.9537928991202356</c:v>
                </c:pt>
                <c:pt idx="342">
                  <c:v>4.8033834400447812</c:v>
                </c:pt>
                <c:pt idx="343">
                  <c:v>10.900014679565853</c:v>
                </c:pt>
                <c:pt idx="344">
                  <c:v>13.316344861821754</c:v>
                </c:pt>
                <c:pt idx="345">
                  <c:v>4.1828568656395104</c:v>
                </c:pt>
                <c:pt idx="346">
                  <c:v>5.1634161229044366</c:v>
                </c:pt>
                <c:pt idx="347">
                  <c:v>14.948479398692282</c:v>
                </c:pt>
                <c:pt idx="348">
                  <c:v>5.6480992234808536</c:v>
                </c:pt>
                <c:pt idx="349">
                  <c:v>5.0525220155177877</c:v>
                </c:pt>
                <c:pt idx="350">
                  <c:v>3.3674806171719336</c:v>
                </c:pt>
                <c:pt idx="351">
                  <c:v>15.467537390554936</c:v>
                </c:pt>
                <c:pt idx="352">
                  <c:v>12.813734940835879</c:v>
                </c:pt>
                <c:pt idx="353">
                  <c:v>4.5006426918894444</c:v>
                </c:pt>
                <c:pt idx="354">
                  <c:v>16.043861874211036</c:v>
                </c:pt>
                <c:pt idx="355">
                  <c:v>12.307307196861833</c:v>
                </c:pt>
                <c:pt idx="356">
                  <c:v>12.947017346473425</c:v>
                </c:pt>
                <c:pt idx="357">
                  <c:v>16.63516332211892</c:v>
                </c:pt>
                <c:pt idx="358">
                  <c:v>9.5261741343353172</c:v>
                </c:pt>
                <c:pt idx="359">
                  <c:v>16.202786769175194</c:v>
                </c:pt>
                <c:pt idx="360">
                  <c:v>6.5840121874914148</c:v>
                </c:pt>
                <c:pt idx="361">
                  <c:v>15.667703564679687</c:v>
                </c:pt>
                <c:pt idx="362">
                  <c:v>8.8668089042561427</c:v>
                </c:pt>
                <c:pt idx="363">
                  <c:v>11.753582144249441</c:v>
                </c:pt>
                <c:pt idx="364">
                  <c:v>8.7479496907741972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16.320795396151649</c:v>
                </c:pt>
                <c:pt idx="1">
                  <c:v>12.924106307254023</c:v>
                </c:pt>
                <c:pt idx="2">
                  <c:v>12.77438494983514</c:v>
                </c:pt>
                <c:pt idx="3">
                  <c:v>13.231496438935855</c:v>
                </c:pt>
                <c:pt idx="4">
                  <c:v>11.323936784694713</c:v>
                </c:pt>
                <c:pt idx="5">
                  <c:v>14.547755325230909</c:v>
                </c:pt>
                <c:pt idx="6">
                  <c:v>9.0361234449509311</c:v>
                </c:pt>
                <c:pt idx="7">
                  <c:v>6.5698885508854783</c:v>
                </c:pt>
                <c:pt idx="8">
                  <c:v>1.9782106038241538</c:v>
                </c:pt>
                <c:pt idx="9">
                  <c:v>1.58101004258638</c:v>
                </c:pt>
                <c:pt idx="10">
                  <c:v>18.406912909301621</c:v>
                </c:pt>
                <c:pt idx="11">
                  <c:v>15.619052319148926</c:v>
                </c:pt>
                <c:pt idx="12">
                  <c:v>5.1127357324719087</c:v>
                </c:pt>
                <c:pt idx="13">
                  <c:v>18.813570257092561</c:v>
                </c:pt>
                <c:pt idx="14">
                  <c:v>18.769533326866433</c:v>
                </c:pt>
                <c:pt idx="15">
                  <c:v>18.512905845034492</c:v>
                </c:pt>
                <c:pt idx="16">
                  <c:v>10.913267022317189</c:v>
                </c:pt>
                <c:pt idx="17">
                  <c:v>3.5769930190193597</c:v>
                </c:pt>
                <c:pt idx="18">
                  <c:v>8.3527692160765739</c:v>
                </c:pt>
                <c:pt idx="19">
                  <c:v>6.0972052775109216</c:v>
                </c:pt>
                <c:pt idx="20">
                  <c:v>16.547074256207914</c:v>
                </c:pt>
                <c:pt idx="21">
                  <c:v>19.877573031962342</c:v>
                </c:pt>
                <c:pt idx="22">
                  <c:v>20.086240085173934</c:v>
                </c:pt>
                <c:pt idx="23">
                  <c:v>20.413373872529792</c:v>
                </c:pt>
                <c:pt idx="24">
                  <c:v>20.377066667510462</c:v>
                </c:pt>
                <c:pt idx="25">
                  <c:v>20.498978807208928</c:v>
                </c:pt>
                <c:pt idx="26">
                  <c:v>21.353673750567442</c:v>
                </c:pt>
                <c:pt idx="27">
                  <c:v>3.9711318436353569</c:v>
                </c:pt>
                <c:pt idx="28">
                  <c:v>9.0459267152513299</c:v>
                </c:pt>
                <c:pt idx="29">
                  <c:v>4.3271743442537307</c:v>
                </c:pt>
                <c:pt idx="30">
                  <c:v>7.6426330643410036</c:v>
                </c:pt>
                <c:pt idx="31">
                  <c:v>8.980750099864002</c:v>
                </c:pt>
                <c:pt idx="32">
                  <c:v>5.0892052720928671</c:v>
                </c:pt>
                <c:pt idx="33">
                  <c:v>9.2517401382229139</c:v>
                </c:pt>
                <c:pt idx="34">
                  <c:v>9.1331419526369633</c:v>
                </c:pt>
                <c:pt idx="35">
                  <c:v>8.401582871425143</c:v>
                </c:pt>
                <c:pt idx="36">
                  <c:v>16.03427375452992</c:v>
                </c:pt>
                <c:pt idx="37">
                  <c:v>8.5632949824000999</c:v>
                </c:pt>
                <c:pt idx="38">
                  <c:v>25.063214076930468</c:v>
                </c:pt>
                <c:pt idx="39">
                  <c:v>25.137500702890922</c:v>
                </c:pt>
                <c:pt idx="40">
                  <c:v>23.592566144120244</c:v>
                </c:pt>
                <c:pt idx="41">
                  <c:v>14.996810438524937</c:v>
                </c:pt>
                <c:pt idx="42">
                  <c:v>21.682049012713826</c:v>
                </c:pt>
                <c:pt idx="43">
                  <c:v>25.64975970689942</c:v>
                </c:pt>
                <c:pt idx="44">
                  <c:v>13.434840874959713</c:v>
                </c:pt>
                <c:pt idx="45">
                  <c:v>15.841908683971855</c:v>
                </c:pt>
                <c:pt idx="46">
                  <c:v>8.7196229772092124</c:v>
                </c:pt>
                <c:pt idx="47">
                  <c:v>10.384287689947991</c:v>
                </c:pt>
                <c:pt idx="48">
                  <c:v>22.991562269250114</c:v>
                </c:pt>
                <c:pt idx="49">
                  <c:v>17.583849005787812</c:v>
                </c:pt>
                <c:pt idx="50">
                  <c:v>17.255299795425206</c:v>
                </c:pt>
                <c:pt idx="51">
                  <c:v>18.818222647039661</c:v>
                </c:pt>
                <c:pt idx="52">
                  <c:v>27.464690971987963</c:v>
                </c:pt>
                <c:pt idx="53">
                  <c:v>27.670964672399986</c:v>
                </c:pt>
                <c:pt idx="54">
                  <c:v>16.97212133765807</c:v>
                </c:pt>
                <c:pt idx="55">
                  <c:v>27.287266609855447</c:v>
                </c:pt>
                <c:pt idx="56">
                  <c:v>31.214323864877123</c:v>
                </c:pt>
                <c:pt idx="57">
                  <c:v>25.556729751934675</c:v>
                </c:pt>
                <c:pt idx="58">
                  <c:v>26.53513531952845</c:v>
                </c:pt>
                <c:pt idx="59">
                  <c:v>31.470707367029124</c:v>
                </c:pt>
                <c:pt idx="60">
                  <c:v>10.094187463527671</c:v>
                </c:pt>
                <c:pt idx="61">
                  <c:v>30.159562371859924</c:v>
                </c:pt>
                <c:pt idx="62">
                  <c:v>3.5826362095615516</c:v>
                </c:pt>
                <c:pt idx="63">
                  <c:v>12.547315884930711</c:v>
                </c:pt>
                <c:pt idx="64">
                  <c:v>14.799199057725531</c:v>
                </c:pt>
                <c:pt idx="65">
                  <c:v>32.2493940419455</c:v>
                </c:pt>
                <c:pt idx="66">
                  <c:v>25.503357918854707</c:v>
                </c:pt>
                <c:pt idx="67">
                  <c:v>27.160724789678238</c:v>
                </c:pt>
                <c:pt idx="68">
                  <c:v>20.519967038533068</c:v>
                </c:pt>
                <c:pt idx="69">
                  <c:v>13.356867889758769</c:v>
                </c:pt>
                <c:pt idx="70">
                  <c:v>14.946458103545567</c:v>
                </c:pt>
                <c:pt idx="71">
                  <c:v>9.1456623286678163</c:v>
                </c:pt>
                <c:pt idx="72">
                  <c:v>13.462143687418129</c:v>
                </c:pt>
                <c:pt idx="73">
                  <c:v>12.766252427116498</c:v>
                </c:pt>
                <c:pt idx="74">
                  <c:v>12.503339112961518</c:v>
                </c:pt>
                <c:pt idx="75">
                  <c:v>10.841098017766328</c:v>
                </c:pt>
                <c:pt idx="76">
                  <c:v>14.037963494308825</c:v>
                </c:pt>
                <c:pt idx="77">
                  <c:v>24.760563498531525</c:v>
                </c:pt>
                <c:pt idx="78">
                  <c:v>27.821709369041987</c:v>
                </c:pt>
                <c:pt idx="79">
                  <c:v>37.166233434198283</c:v>
                </c:pt>
                <c:pt idx="80">
                  <c:v>35.226092294713226</c:v>
                </c:pt>
                <c:pt idx="81">
                  <c:v>40.444885436683521</c:v>
                </c:pt>
                <c:pt idx="82">
                  <c:v>39.837386459794004</c:v>
                </c:pt>
                <c:pt idx="83">
                  <c:v>37.623349552140304</c:v>
                </c:pt>
                <c:pt idx="84">
                  <c:v>40.041212253855711</c:v>
                </c:pt>
                <c:pt idx="85">
                  <c:v>38.377900567045977</c:v>
                </c:pt>
                <c:pt idx="86">
                  <c:v>29.040816165928852</c:v>
                </c:pt>
                <c:pt idx="87">
                  <c:v>25.010952587846024</c:v>
                </c:pt>
                <c:pt idx="88">
                  <c:v>7.3408719271104275</c:v>
                </c:pt>
                <c:pt idx="89">
                  <c:v>26.421512016874082</c:v>
                </c:pt>
                <c:pt idx="90">
                  <c:v>30.197121529387179</c:v>
                </c:pt>
                <c:pt idx="91">
                  <c:v>19.211716391259063</c:v>
                </c:pt>
                <c:pt idx="92">
                  <c:v>20.128347749958209</c:v>
                </c:pt>
                <c:pt idx="93">
                  <c:v>40.255102078073989</c:v>
                </c:pt>
                <c:pt idx="94">
                  <c:v>45.169930187698014</c:v>
                </c:pt>
                <c:pt idx="95">
                  <c:v>10.662223866294156</c:v>
                </c:pt>
                <c:pt idx="96">
                  <c:v>32.26422167703344</c:v>
                </c:pt>
                <c:pt idx="97">
                  <c:v>25.704098854098032</c:v>
                </c:pt>
                <c:pt idx="98">
                  <c:v>33.591106991362665</c:v>
                </c:pt>
                <c:pt idx="99">
                  <c:v>45.797360380436281</c:v>
                </c:pt>
                <c:pt idx="100">
                  <c:v>38.056309475102346</c:v>
                </c:pt>
                <c:pt idx="101">
                  <c:v>33.322674448256294</c:v>
                </c:pt>
                <c:pt idx="102">
                  <c:v>7.3851959380670662</c:v>
                </c:pt>
                <c:pt idx="103">
                  <c:v>36.204513918318661</c:v>
                </c:pt>
                <c:pt idx="104">
                  <c:v>40.028712143113012</c:v>
                </c:pt>
                <c:pt idx="105">
                  <c:v>43.408620507616178</c:v>
                </c:pt>
                <c:pt idx="106">
                  <c:v>47.512206512825927</c:v>
                </c:pt>
                <c:pt idx="107">
                  <c:v>37.466468017422358</c:v>
                </c:pt>
                <c:pt idx="108">
                  <c:v>8.7539456442088301</c:v>
                </c:pt>
                <c:pt idx="109">
                  <c:v>9.1826380572085728</c:v>
                </c:pt>
                <c:pt idx="110">
                  <c:v>8.8867792191383455</c:v>
                </c:pt>
                <c:pt idx="111">
                  <c:v>25.666986497608402</c:v>
                </c:pt>
                <c:pt idx="112">
                  <c:v>8.6281132486466614</c:v>
                </c:pt>
                <c:pt idx="113">
                  <c:v>29.68101964218673</c:v>
                </c:pt>
                <c:pt idx="114">
                  <c:v>44.47838576430172</c:v>
                </c:pt>
                <c:pt idx="115">
                  <c:v>48.389448559330859</c:v>
                </c:pt>
                <c:pt idx="116">
                  <c:v>35.298791036438146</c:v>
                </c:pt>
                <c:pt idx="117">
                  <c:v>21.834888147502916</c:v>
                </c:pt>
                <c:pt idx="118">
                  <c:v>39.677843223086583</c:v>
                </c:pt>
                <c:pt idx="119">
                  <c:v>46.040970972967294</c:v>
                </c:pt>
                <c:pt idx="120">
                  <c:v>46.942747902850662</c:v>
                </c:pt>
                <c:pt idx="121">
                  <c:v>27.439708284567846</c:v>
                </c:pt>
                <c:pt idx="122">
                  <c:v>37.705974626624801</c:v>
                </c:pt>
                <c:pt idx="123">
                  <c:v>21.383428458554732</c:v>
                </c:pt>
                <c:pt idx="124">
                  <c:v>43.701523867728092</c:v>
                </c:pt>
                <c:pt idx="125">
                  <c:v>36.907396514115554</c:v>
                </c:pt>
                <c:pt idx="126">
                  <c:v>52.052236958753461</c:v>
                </c:pt>
                <c:pt idx="127">
                  <c:v>47.313520049687206</c:v>
                </c:pt>
                <c:pt idx="128">
                  <c:v>54.180755395889442</c:v>
                </c:pt>
                <c:pt idx="129">
                  <c:v>50.249202370635672</c:v>
                </c:pt>
                <c:pt idx="130">
                  <c:v>54.608621195780735</c:v>
                </c:pt>
                <c:pt idx="131">
                  <c:v>42.025094195184586</c:v>
                </c:pt>
                <c:pt idx="132">
                  <c:v>43.61665393151867</c:v>
                </c:pt>
                <c:pt idx="133">
                  <c:v>48.059805043633887</c:v>
                </c:pt>
                <c:pt idx="134">
                  <c:v>51.179180654362625</c:v>
                </c:pt>
                <c:pt idx="135">
                  <c:v>49.364488835930416</c:v>
                </c:pt>
                <c:pt idx="136">
                  <c:v>53.087391909316729</c:v>
                </c:pt>
                <c:pt idx="137">
                  <c:v>51.88657280839103</c:v>
                </c:pt>
                <c:pt idx="138">
                  <c:v>54.844438266585705</c:v>
                </c:pt>
                <c:pt idx="139">
                  <c:v>48.080874099756159</c:v>
                </c:pt>
                <c:pt idx="140">
                  <c:v>47.65944723277314</c:v>
                </c:pt>
                <c:pt idx="141">
                  <c:v>35.29986014864069</c:v>
                </c:pt>
                <c:pt idx="142">
                  <c:v>20.053637203369075</c:v>
                </c:pt>
                <c:pt idx="143">
                  <c:v>16.324957518919252</c:v>
                </c:pt>
                <c:pt idx="144">
                  <c:v>39.763095728211482</c:v>
                </c:pt>
                <c:pt idx="145">
                  <c:v>23.404347849249888</c:v>
                </c:pt>
                <c:pt idx="146">
                  <c:v>46.115737132192372</c:v>
                </c:pt>
                <c:pt idx="147">
                  <c:v>54.961357454993937</c:v>
                </c:pt>
                <c:pt idx="148">
                  <c:v>59.223880075921365</c:v>
                </c:pt>
                <c:pt idx="149">
                  <c:v>51.300199306776143</c:v>
                </c:pt>
                <c:pt idx="150">
                  <c:v>54.475151751647743</c:v>
                </c:pt>
                <c:pt idx="151">
                  <c:v>55.281057530072736</c:v>
                </c:pt>
                <c:pt idx="152">
                  <c:v>45.814850561064226</c:v>
                </c:pt>
                <c:pt idx="153">
                  <c:v>53.395581086102972</c:v>
                </c:pt>
                <c:pt idx="154">
                  <c:v>26.446203388920846</c:v>
                </c:pt>
                <c:pt idx="155">
                  <c:v>36.80212464697756</c:v>
                </c:pt>
                <c:pt idx="156">
                  <c:v>44.364186469598401</c:v>
                </c:pt>
                <c:pt idx="157">
                  <c:v>30.272618229484983</c:v>
                </c:pt>
                <c:pt idx="158">
                  <c:v>21.239460469964335</c:v>
                </c:pt>
                <c:pt idx="159">
                  <c:v>43.728805722470625</c:v>
                </c:pt>
                <c:pt idx="160">
                  <c:v>56.758232586453623</c:v>
                </c:pt>
                <c:pt idx="161">
                  <c:v>54.601914348509325</c:v>
                </c:pt>
                <c:pt idx="162">
                  <c:v>42.470430518803433</c:v>
                </c:pt>
                <c:pt idx="163">
                  <c:v>53.805302645849451</c:v>
                </c:pt>
                <c:pt idx="164">
                  <c:v>46.509040732280525</c:v>
                </c:pt>
                <c:pt idx="165">
                  <c:v>53.923212582853097</c:v>
                </c:pt>
                <c:pt idx="166">
                  <c:v>51.36576268585641</c:v>
                </c:pt>
                <c:pt idx="167">
                  <c:v>51.935025780776456</c:v>
                </c:pt>
                <c:pt idx="168">
                  <c:v>54.241514693474983</c:v>
                </c:pt>
                <c:pt idx="169">
                  <c:v>55.584254534166497</c:v>
                </c:pt>
                <c:pt idx="170">
                  <c:v>32.815130249791366</c:v>
                </c:pt>
                <c:pt idx="171">
                  <c:v>22.937221083831364</c:v>
                </c:pt>
                <c:pt idx="172">
                  <c:v>43.143822664760037</c:v>
                </c:pt>
                <c:pt idx="173">
                  <c:v>41.040992959607685</c:v>
                </c:pt>
                <c:pt idx="174">
                  <c:v>39.556712943018169</c:v>
                </c:pt>
                <c:pt idx="175">
                  <c:v>32.576996827599324</c:v>
                </c:pt>
                <c:pt idx="176">
                  <c:v>12.30700200312185</c:v>
                </c:pt>
                <c:pt idx="177">
                  <c:v>14.324969749076907</c:v>
                </c:pt>
                <c:pt idx="178">
                  <c:v>58.357839019983054</c:v>
                </c:pt>
                <c:pt idx="179">
                  <c:v>55.961728358851467</c:v>
                </c:pt>
                <c:pt idx="180">
                  <c:v>14.149790752169105</c:v>
                </c:pt>
                <c:pt idx="181">
                  <c:v>52.692174495784933</c:v>
                </c:pt>
                <c:pt idx="182">
                  <c:v>55.322094535375641</c:v>
                </c:pt>
                <c:pt idx="183">
                  <c:v>43.122289687497691</c:v>
                </c:pt>
                <c:pt idx="184">
                  <c:v>42.830622210758726</c:v>
                </c:pt>
                <c:pt idx="185">
                  <c:v>55.120783573313702</c:v>
                </c:pt>
                <c:pt idx="186">
                  <c:v>48.395073404323746</c:v>
                </c:pt>
                <c:pt idx="187">
                  <c:v>55.207367159617107</c:v>
                </c:pt>
                <c:pt idx="188">
                  <c:v>57.619925577855653</c:v>
                </c:pt>
                <c:pt idx="189">
                  <c:v>56.633904987190448</c:v>
                </c:pt>
                <c:pt idx="190">
                  <c:v>55.973272506312405</c:v>
                </c:pt>
                <c:pt idx="191">
                  <c:v>54.198033544909556</c:v>
                </c:pt>
                <c:pt idx="192">
                  <c:v>53.82304732736123</c:v>
                </c:pt>
                <c:pt idx="193">
                  <c:v>53.335900922761425</c:v>
                </c:pt>
                <c:pt idx="194">
                  <c:v>52.436841464761976</c:v>
                </c:pt>
                <c:pt idx="195">
                  <c:v>51.454242681087713</c:v>
                </c:pt>
                <c:pt idx="196">
                  <c:v>53.003209958381859</c:v>
                </c:pt>
                <c:pt idx="197">
                  <c:v>52.080789418032026</c:v>
                </c:pt>
                <c:pt idx="198">
                  <c:v>52.810927108230722</c:v>
                </c:pt>
                <c:pt idx="199">
                  <c:v>44.588932509427302</c:v>
                </c:pt>
                <c:pt idx="200">
                  <c:v>43.396959803411498</c:v>
                </c:pt>
                <c:pt idx="201">
                  <c:v>50.399878413537195</c:v>
                </c:pt>
                <c:pt idx="202">
                  <c:v>38.505142267818513</c:v>
                </c:pt>
                <c:pt idx="203">
                  <c:v>50.160921846086318</c:v>
                </c:pt>
                <c:pt idx="204">
                  <c:v>50.498509125520741</c:v>
                </c:pt>
                <c:pt idx="205">
                  <c:v>27.151896690840285</c:v>
                </c:pt>
                <c:pt idx="206">
                  <c:v>56.692284514146074</c:v>
                </c:pt>
                <c:pt idx="207">
                  <c:v>55.021166187868559</c:v>
                </c:pt>
                <c:pt idx="208">
                  <c:v>44.052173730166835</c:v>
                </c:pt>
                <c:pt idx="209">
                  <c:v>32.359021556137961</c:v>
                </c:pt>
                <c:pt idx="210">
                  <c:v>49.629948446604999</c:v>
                </c:pt>
                <c:pt idx="211">
                  <c:v>52.87984013057244</c:v>
                </c:pt>
                <c:pt idx="212">
                  <c:v>52.562143495480399</c:v>
                </c:pt>
                <c:pt idx="213">
                  <c:v>52.322916020805863</c:v>
                </c:pt>
                <c:pt idx="214">
                  <c:v>48.070776936238595</c:v>
                </c:pt>
                <c:pt idx="215">
                  <c:v>47.832852917221309</c:v>
                </c:pt>
                <c:pt idx="216">
                  <c:v>45.767949483876343</c:v>
                </c:pt>
                <c:pt idx="217">
                  <c:v>47.943666491421936</c:v>
                </c:pt>
                <c:pt idx="218">
                  <c:v>50.805476594096746</c:v>
                </c:pt>
                <c:pt idx="219">
                  <c:v>51.100027990609426</c:v>
                </c:pt>
                <c:pt idx="220">
                  <c:v>48.835885197737056</c:v>
                </c:pt>
                <c:pt idx="221">
                  <c:v>45.70863702527398</c:v>
                </c:pt>
                <c:pt idx="222">
                  <c:v>44.288024971851371</c:v>
                </c:pt>
                <c:pt idx="223">
                  <c:v>45.433996534397785</c:v>
                </c:pt>
                <c:pt idx="224">
                  <c:v>33.194694181868151</c:v>
                </c:pt>
                <c:pt idx="225">
                  <c:v>32.537438724821563</c:v>
                </c:pt>
                <c:pt idx="226">
                  <c:v>39.342173527672294</c:v>
                </c:pt>
                <c:pt idx="227">
                  <c:v>33.825714752983906</c:v>
                </c:pt>
                <c:pt idx="228">
                  <c:v>28.164293672805233</c:v>
                </c:pt>
                <c:pt idx="229">
                  <c:v>35.060893305127891</c:v>
                </c:pt>
                <c:pt idx="230">
                  <c:v>41.866265913340541</c:v>
                </c:pt>
                <c:pt idx="231">
                  <c:v>46.993992551876488</c:v>
                </c:pt>
                <c:pt idx="232">
                  <c:v>30.174608291111081</c:v>
                </c:pt>
                <c:pt idx="233">
                  <c:v>25.845745533338736</c:v>
                </c:pt>
                <c:pt idx="234">
                  <c:v>47.228591261538185</c:v>
                </c:pt>
                <c:pt idx="235">
                  <c:v>42.074294229804323</c:v>
                </c:pt>
                <c:pt idx="236">
                  <c:v>33.512289308787771</c:v>
                </c:pt>
                <c:pt idx="237">
                  <c:v>42.034067859698432</c:v>
                </c:pt>
                <c:pt idx="238">
                  <c:v>46.569440604769092</c:v>
                </c:pt>
                <c:pt idx="239">
                  <c:v>44.27877038747426</c:v>
                </c:pt>
                <c:pt idx="240">
                  <c:v>31.145899451595643</c:v>
                </c:pt>
                <c:pt idx="241">
                  <c:v>44.12786332242689</c:v>
                </c:pt>
                <c:pt idx="242">
                  <c:v>23.413353984281159</c:v>
                </c:pt>
                <c:pt idx="243">
                  <c:v>38.513314128479102</c:v>
                </c:pt>
                <c:pt idx="244">
                  <c:v>37.690174901339354</c:v>
                </c:pt>
                <c:pt idx="245">
                  <c:v>35.532795054477745</c:v>
                </c:pt>
                <c:pt idx="246">
                  <c:v>41.740345007691992</c:v>
                </c:pt>
                <c:pt idx="247">
                  <c:v>36.384699188184221</c:v>
                </c:pt>
                <c:pt idx="248">
                  <c:v>42.150475335388606</c:v>
                </c:pt>
                <c:pt idx="249">
                  <c:v>34.451218534311998</c:v>
                </c:pt>
                <c:pt idx="250">
                  <c:v>32.340090095284211</c:v>
                </c:pt>
                <c:pt idx="251">
                  <c:v>23.981741840410024</c:v>
                </c:pt>
                <c:pt idx="252">
                  <c:v>41.950607818502057</c:v>
                </c:pt>
                <c:pt idx="253">
                  <c:v>40.708673884547089</c:v>
                </c:pt>
                <c:pt idx="254">
                  <c:v>28.910222060835089</c:v>
                </c:pt>
                <c:pt idx="255">
                  <c:v>13.582739310974601</c:v>
                </c:pt>
                <c:pt idx="256">
                  <c:v>32.333900075374665</c:v>
                </c:pt>
                <c:pt idx="257">
                  <c:v>36.856274296840866</c:v>
                </c:pt>
                <c:pt idx="258">
                  <c:v>31.619396395161324</c:v>
                </c:pt>
                <c:pt idx="259">
                  <c:v>41.311083962354104</c:v>
                </c:pt>
                <c:pt idx="260">
                  <c:v>40.8332825626483</c:v>
                </c:pt>
                <c:pt idx="261">
                  <c:v>39.247525550661308</c:v>
                </c:pt>
                <c:pt idx="262">
                  <c:v>40.893727017660289</c:v>
                </c:pt>
                <c:pt idx="263">
                  <c:v>39.535538090574363</c:v>
                </c:pt>
                <c:pt idx="264">
                  <c:v>37.794282821492232</c:v>
                </c:pt>
                <c:pt idx="265">
                  <c:v>23.722452112520859</c:v>
                </c:pt>
                <c:pt idx="266">
                  <c:v>15.439931234862444</c:v>
                </c:pt>
                <c:pt idx="267">
                  <c:v>31.506446557825541</c:v>
                </c:pt>
                <c:pt idx="268">
                  <c:v>28.032713598348018</c:v>
                </c:pt>
                <c:pt idx="269">
                  <c:v>16.818922695826981</c:v>
                </c:pt>
                <c:pt idx="270">
                  <c:v>18.982114278089057</c:v>
                </c:pt>
                <c:pt idx="271">
                  <c:v>22.386048506855129</c:v>
                </c:pt>
                <c:pt idx="272">
                  <c:v>25.6014919789564</c:v>
                </c:pt>
                <c:pt idx="273">
                  <c:v>32.16539467243048</c:v>
                </c:pt>
                <c:pt idx="274">
                  <c:v>33.886694612223302</c:v>
                </c:pt>
                <c:pt idx="275">
                  <c:v>33.250204984998334</c:v>
                </c:pt>
                <c:pt idx="276">
                  <c:v>34.309341344205734</c:v>
                </c:pt>
                <c:pt idx="277">
                  <c:v>35.312578288249078</c:v>
                </c:pt>
                <c:pt idx="278">
                  <c:v>11.062114305390168</c:v>
                </c:pt>
                <c:pt idx="279">
                  <c:v>24.654975308875219</c:v>
                </c:pt>
                <c:pt idx="280">
                  <c:v>16.324863586174242</c:v>
                </c:pt>
                <c:pt idx="281">
                  <c:v>31.999094388073278</c:v>
                </c:pt>
                <c:pt idx="282">
                  <c:v>25.688227284200924</c:v>
                </c:pt>
                <c:pt idx="283">
                  <c:v>19.965749290215573</c:v>
                </c:pt>
                <c:pt idx="284">
                  <c:v>24.079216872214712</c:v>
                </c:pt>
                <c:pt idx="285">
                  <c:v>20.710545308301892</c:v>
                </c:pt>
                <c:pt idx="286">
                  <c:v>17.335174800612702</c:v>
                </c:pt>
                <c:pt idx="287">
                  <c:v>30.517556388338964</c:v>
                </c:pt>
                <c:pt idx="288">
                  <c:v>27.887994537237461</c:v>
                </c:pt>
                <c:pt idx="289">
                  <c:v>18.023312206814744</c:v>
                </c:pt>
                <c:pt idx="290">
                  <c:v>28.448181465102948</c:v>
                </c:pt>
                <c:pt idx="291">
                  <c:v>14.297096766682875</c:v>
                </c:pt>
                <c:pt idx="292">
                  <c:v>6.3012546296519041</c:v>
                </c:pt>
                <c:pt idx="293">
                  <c:v>14.466265426980536</c:v>
                </c:pt>
                <c:pt idx="294">
                  <c:v>27.405653360207154</c:v>
                </c:pt>
                <c:pt idx="295">
                  <c:v>15.733532296374154</c:v>
                </c:pt>
                <c:pt idx="296">
                  <c:v>19.510215880688019</c:v>
                </c:pt>
                <c:pt idx="297">
                  <c:v>19.363753888362286</c:v>
                </c:pt>
                <c:pt idx="298">
                  <c:v>11.506756412675417</c:v>
                </c:pt>
                <c:pt idx="299">
                  <c:v>11.687173452136122</c:v>
                </c:pt>
                <c:pt idx="300">
                  <c:v>15.817174874812142</c:v>
                </c:pt>
                <c:pt idx="301">
                  <c:v>22.265429568543585</c:v>
                </c:pt>
                <c:pt idx="302">
                  <c:v>18.400057477155176</c:v>
                </c:pt>
                <c:pt idx="303">
                  <c:v>17.390315612538821</c:v>
                </c:pt>
                <c:pt idx="304">
                  <c:v>17.470073040174761</c:v>
                </c:pt>
                <c:pt idx="305">
                  <c:v>23.670188273345513</c:v>
                </c:pt>
                <c:pt idx="306">
                  <c:v>9.6367406282517809</c:v>
                </c:pt>
                <c:pt idx="307">
                  <c:v>15.958679048116567</c:v>
                </c:pt>
                <c:pt idx="308">
                  <c:v>24.158357210033607</c:v>
                </c:pt>
                <c:pt idx="309">
                  <c:v>23.549310762564843</c:v>
                </c:pt>
                <c:pt idx="310">
                  <c:v>21.574750276949612</c:v>
                </c:pt>
                <c:pt idx="311">
                  <c:v>15.941415843911109</c:v>
                </c:pt>
                <c:pt idx="312">
                  <c:v>8.5313563062376954</c:v>
                </c:pt>
                <c:pt idx="313">
                  <c:v>18.07648922636313</c:v>
                </c:pt>
                <c:pt idx="314">
                  <c:v>21.295950307841508</c:v>
                </c:pt>
                <c:pt idx="315">
                  <c:v>21.096973745263465</c:v>
                </c:pt>
                <c:pt idx="316">
                  <c:v>20.143454110503406</c:v>
                </c:pt>
                <c:pt idx="317">
                  <c:v>8.0910234831053067</c:v>
                </c:pt>
                <c:pt idx="318">
                  <c:v>10.904787646468479</c:v>
                </c:pt>
                <c:pt idx="319">
                  <c:v>20.688672641537721</c:v>
                </c:pt>
                <c:pt idx="320">
                  <c:v>12.075345578083807</c:v>
                </c:pt>
                <c:pt idx="321">
                  <c:v>12.763625326781424</c:v>
                </c:pt>
                <c:pt idx="322">
                  <c:v>7.0807506473205768</c:v>
                </c:pt>
                <c:pt idx="323">
                  <c:v>13.102765107567604</c:v>
                </c:pt>
                <c:pt idx="324">
                  <c:v>3.0676669045158822</c:v>
                </c:pt>
                <c:pt idx="325">
                  <c:v>7.2667089307700792</c:v>
                </c:pt>
                <c:pt idx="326">
                  <c:v>11.619604745143686</c:v>
                </c:pt>
                <c:pt idx="327">
                  <c:v>11.699399906641572</c:v>
                </c:pt>
                <c:pt idx="328">
                  <c:v>4.7599780990018123</c:v>
                </c:pt>
                <c:pt idx="329">
                  <c:v>10.684024095012608</c:v>
                </c:pt>
                <c:pt idx="330">
                  <c:v>12.039857974368948</c:v>
                </c:pt>
                <c:pt idx="331">
                  <c:v>10.221628078879665</c:v>
                </c:pt>
                <c:pt idx="332">
                  <c:v>13.735818094039875</c:v>
                </c:pt>
                <c:pt idx="333">
                  <c:v>3.8732771808782243</c:v>
                </c:pt>
                <c:pt idx="334">
                  <c:v>3.6699854983715996</c:v>
                </c:pt>
                <c:pt idx="335">
                  <c:v>5.5439402254931007</c:v>
                </c:pt>
                <c:pt idx="336">
                  <c:v>7.5327288065473361</c:v>
                </c:pt>
                <c:pt idx="337">
                  <c:v>14.015298322907883</c:v>
                </c:pt>
                <c:pt idx="338">
                  <c:v>17.494388815049927</c:v>
                </c:pt>
                <c:pt idx="339">
                  <c:v>9.4582972438844894</c:v>
                </c:pt>
                <c:pt idx="340">
                  <c:v>15.610311508947923</c:v>
                </c:pt>
                <c:pt idx="341">
                  <c:v>3.9537928991202356</c:v>
                </c:pt>
                <c:pt idx="342">
                  <c:v>4.8033834400447812</c:v>
                </c:pt>
                <c:pt idx="343">
                  <c:v>10.900014679565853</c:v>
                </c:pt>
                <c:pt idx="344">
                  <c:v>13.316344861821754</c:v>
                </c:pt>
                <c:pt idx="345">
                  <c:v>4.1828568656395104</c:v>
                </c:pt>
                <c:pt idx="346">
                  <c:v>5.1634161229044366</c:v>
                </c:pt>
                <c:pt idx="347">
                  <c:v>14.948479398692282</c:v>
                </c:pt>
                <c:pt idx="348">
                  <c:v>5.6480992234808536</c:v>
                </c:pt>
                <c:pt idx="349">
                  <c:v>5.0525220155177877</c:v>
                </c:pt>
                <c:pt idx="350">
                  <c:v>3.3674806171719336</c:v>
                </c:pt>
                <c:pt idx="351">
                  <c:v>15.467537390554936</c:v>
                </c:pt>
                <c:pt idx="352">
                  <c:v>12.813734940835879</c:v>
                </c:pt>
                <c:pt idx="353">
                  <c:v>4.5006426918894444</c:v>
                </c:pt>
                <c:pt idx="354">
                  <c:v>16.043861874211036</c:v>
                </c:pt>
                <c:pt idx="355">
                  <c:v>12.307307196861833</c:v>
                </c:pt>
                <c:pt idx="356">
                  <c:v>12.947017346473425</c:v>
                </c:pt>
                <c:pt idx="357">
                  <c:v>16.63516332211892</c:v>
                </c:pt>
                <c:pt idx="358">
                  <c:v>9.5261741343353172</c:v>
                </c:pt>
                <c:pt idx="359">
                  <c:v>16.202786769175194</c:v>
                </c:pt>
                <c:pt idx="360">
                  <c:v>6.5840121874914148</c:v>
                </c:pt>
                <c:pt idx="361">
                  <c:v>15.667703564679687</c:v>
                </c:pt>
                <c:pt idx="362">
                  <c:v>8.8668089042561427</c:v>
                </c:pt>
                <c:pt idx="363">
                  <c:v>11.753582144249441</c:v>
                </c:pt>
                <c:pt idx="364">
                  <c:v>8.7479496907741972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7304"/>
        <c:axId val="611457696"/>
      </c:lineChart>
      <c:dateAx>
        <c:axId val="611457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7696"/>
        <c:crosses val="autoZero"/>
        <c:auto val="1"/>
        <c:lblOffset val="100"/>
        <c:baseTimeUnit val="days"/>
        <c:majorUnit val="1"/>
        <c:majorTimeUnit val="months"/>
      </c:dateAx>
      <c:valAx>
        <c:axId val="6114576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73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Crêche d'Escalquens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76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6.1500719218802429</c:v>
                </c:pt>
                <c:pt idx="3">
                  <c:v>10.763583124839117</c:v>
                </c:pt>
                <c:pt idx="4">
                  <c:v>11.387500709569828</c:v>
                </c:pt>
                <c:pt idx="5">
                  <c:v>15.627791497656707</c:v>
                </c:pt>
                <c:pt idx="6">
                  <c:v>15.204348530812602</c:v>
                </c:pt>
                <c:pt idx="7">
                  <c:v>14.786100051932294</c:v>
                </c:pt>
                <c:pt idx="8">
                  <c:v>16.755678516309555</c:v>
                </c:pt>
                <c:pt idx="9">
                  <c:v>13.104922586930881</c:v>
                </c:pt>
                <c:pt idx="10">
                  <c:v>14.523119076864988</c:v>
                </c:pt>
                <c:pt idx="11">
                  <c:v>16.139247954146267</c:v>
                </c:pt>
                <c:pt idx="12">
                  <c:v>12.622566912233365</c:v>
                </c:pt>
                <c:pt idx="13">
                  <c:v>8.276847093685447</c:v>
                </c:pt>
                <c:pt idx="14">
                  <c:v>9.2961780956121896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5.7072071262521833</c:v>
                </c:pt>
                <c:pt idx="3">
                  <c:v>9.9945378731830417</c:v>
                </c:pt>
                <c:pt idx="4">
                  <c:v>10.523420225832613</c:v>
                </c:pt>
                <c:pt idx="5">
                  <c:v>14.445236384725746</c:v>
                </c:pt>
                <c:pt idx="6">
                  <c:v>13.569243819478228</c:v>
                </c:pt>
                <c:pt idx="7">
                  <c:v>13.100422197061961</c:v>
                </c:pt>
                <c:pt idx="8">
                  <c:v>15.92824132585336</c:v>
                </c:pt>
                <c:pt idx="9">
                  <c:v>11.926508403716026</c:v>
                </c:pt>
                <c:pt idx="10">
                  <c:v>13.582405611295727</c:v>
                </c:pt>
                <c:pt idx="11">
                  <c:v>14.990346680139616</c:v>
                </c:pt>
                <c:pt idx="12">
                  <c:v>11.472593607558727</c:v>
                </c:pt>
                <c:pt idx="13">
                  <c:v>7.566694391966224</c:v>
                </c:pt>
                <c:pt idx="14">
                  <c:v>8.6205361799749074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5.2636570740722846</c:v>
                </c:pt>
                <c:pt idx="3">
                  <c:v>9.2218373396841979</c:v>
                </c:pt>
                <c:pt idx="4">
                  <c:v>9.6544714208033007</c:v>
                </c:pt>
                <c:pt idx="5">
                  <c:v>13.249973408026756</c:v>
                </c:pt>
                <c:pt idx="6">
                  <c:v>11.911306156443828</c:v>
                </c:pt>
                <c:pt idx="7">
                  <c:v>11.39134841869534</c:v>
                </c:pt>
                <c:pt idx="8">
                  <c:v>15.093927422343874</c:v>
                </c:pt>
                <c:pt idx="9">
                  <c:v>10.737767601372948</c:v>
                </c:pt>
                <c:pt idx="10">
                  <c:v>12.634170041671736</c:v>
                </c:pt>
                <c:pt idx="11">
                  <c:v>13.828975535486341</c:v>
                </c:pt>
                <c:pt idx="12">
                  <c:v>10.313175903770381</c:v>
                </c:pt>
                <c:pt idx="13">
                  <c:v>6.8541956275456428</c:v>
                </c:pt>
                <c:pt idx="14">
                  <c:v>7.9424699888085435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4.8194734542403666</c:v>
                </c:pt>
                <c:pt idx="3">
                  <c:v>8.4457383860124136</c:v>
                </c:pt>
                <c:pt idx="4">
                  <c:v>8.7810159799025254</c:v>
                </c:pt>
                <c:pt idx="5">
                  <c:v>12.042853012650523</c:v>
                </c:pt>
                <c:pt idx="6">
                  <c:v>10.232884667502734</c:v>
                </c:pt>
                <c:pt idx="7">
                  <c:v>9.6614883537590686</c:v>
                </c:pt>
                <c:pt idx="8">
                  <c:v>14.253008834133279</c:v>
                </c:pt>
                <c:pt idx="9">
                  <c:v>9.5395999350258815</c:v>
                </c:pt>
                <c:pt idx="10">
                  <c:v>11.678847220130889</c:v>
                </c:pt>
                <c:pt idx="11">
                  <c:v>12.655899654165962</c:v>
                </c:pt>
                <c:pt idx="12">
                  <c:v>9.1451575128019744</c:v>
                </c:pt>
                <c:pt idx="13">
                  <c:v>6.1395605451962103</c:v>
                </c:pt>
                <c:pt idx="14">
                  <c:v>7.2621573569519056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7.6665051231402241</c:v>
                </c:pt>
                <c:pt idx="4">
                  <c:v>7.9034277214296313</c:v>
                </c:pt>
                <c:pt idx="5">
                  <c:v>10.824784641743701</c:v>
                </c:pt>
                <c:pt idx="6">
                  <c:v>8.5365270817046692</c:v>
                </c:pt>
                <c:pt idx="7">
                  <c:v>7.9136665917859945</c:v>
                </c:pt>
                <c:pt idx="8">
                  <c:v>13.405773287113588</c:v>
                </c:pt>
                <c:pt idx="9">
                  <c:v>8.3329524141524391</c:v>
                </c:pt>
                <c:pt idx="10">
                  <c:v>10.716894270494013</c:v>
                </c:pt>
                <c:pt idx="11">
                  <c:v>11.471938866393181</c:v>
                </c:pt>
                <c:pt idx="12">
                  <c:v>7.969423261226293</c:v>
                </c:pt>
                <c:pt idx="13">
                  <c:v>5.4230028065195208</c:v>
                </c:pt>
                <c:pt idx="14">
                  <c:v>6.5797798318844629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6.8844084342591554</c:v>
                </c:pt>
                <c:pt idx="4">
                  <c:v>7.0220917593398786</c:v>
                </c:pt>
                <c:pt idx="5">
                  <c:v>9.5967338306185308</c:v>
                </c:pt>
                <c:pt idx="6">
                  <c:v>6.8249612477004442</c:v>
                </c:pt>
                <c:pt idx="7">
                  <c:v>6.1508999434704172</c:v>
                </c:pt>
                <c:pt idx="8">
                  <c:v>12.55252388802935</c:v>
                </c:pt>
                <c:pt idx="9">
                  <c:v>7.1188155389532408</c:v>
                </c:pt>
                <c:pt idx="10">
                  <c:v>9.7487896197562272</c:v>
                </c:pt>
                <c:pt idx="11">
                  <c:v>10.27796541487275</c:v>
                </c:pt>
                <c:pt idx="12">
                  <c:v>6.7868956561429972</c:v>
                </c:pt>
                <c:pt idx="13">
                  <c:v>4.7047396286166077</c:v>
                </c:pt>
                <c:pt idx="14">
                  <c:v>5.8955224066596266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6.099725462267207</c:v>
                </c:pt>
                <c:pt idx="4">
                  <c:v>6.1374035914906777</c:v>
                </c:pt>
                <c:pt idx="5">
                  <c:v>8.3597186312960527</c:v>
                </c:pt>
                <c:pt idx="6">
                  <c:v>5.1010723527582522</c:v>
                </c:pt>
                <c:pt idx="7">
                  <c:v>5.689221533333658</c:v>
                </c:pt>
                <c:pt idx="8">
                  <c:v>11.693578723420272</c:v>
                </c:pt>
                <c:pt idx="9">
                  <c:v>5.9353560409058943</c:v>
                </c:pt>
                <c:pt idx="10">
                  <c:v>8.7750318692560683</c:v>
                </c:pt>
                <c:pt idx="11">
                  <c:v>9.0749010879791214</c:v>
                </c:pt>
                <c:pt idx="12">
                  <c:v>5.5985310085614284</c:v>
                </c:pt>
                <c:pt idx="13">
                  <c:v>3.9849914065919703</c:v>
                </c:pt>
                <c:pt idx="14">
                  <c:v>5.2095732387949818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5.3127390639304508</c:v>
                </c:pt>
                <c:pt idx="4">
                  <c:v>5.2497681179543996</c:v>
                </c:pt>
                <c:pt idx="5">
                  <c:v>7.1148053837485632</c:v>
                </c:pt>
                <c:pt idx="6">
                  <c:v>3.3678762152422932</c:v>
                </c:pt>
                <c:pt idx="7">
                  <c:v>5.689221533333658</c:v>
                </c:pt>
                <c:pt idx="8">
                  <c:v>10.829270373281052</c:v>
                </c:pt>
                <c:pt idx="9">
                  <c:v>5.9353560409058943</c:v>
                </c:pt>
                <c:pt idx="10">
                  <c:v>7.796138509109876</c:v>
                </c:pt>
                <c:pt idx="11">
                  <c:v>7.8637137775370665</c:v>
                </c:pt>
                <c:pt idx="12">
                  <c:v>4.4053151484537265</c:v>
                </c:pt>
                <c:pt idx="13">
                  <c:v>3.2639813214444371</c:v>
                </c:pt>
                <c:pt idx="14">
                  <c:v>4.5221233560967216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4.5237372331435619</c:v>
                </c:pt>
                <c:pt idx="4">
                  <c:v>4.3595985948478342</c:v>
                </c:pt>
                <c:pt idx="5">
                  <c:v>5.8631038643158693</c:v>
                </c:pt>
                <c:pt idx="6">
                  <c:v>1.6284891970907642</c:v>
                </c:pt>
                <c:pt idx="7">
                  <c:v>5.689221533333658</c:v>
                </c:pt>
                <c:pt idx="8">
                  <c:v>9.9599453393317976</c:v>
                </c:pt>
                <c:pt idx="9">
                  <c:v>5.9353560409058943</c:v>
                </c:pt>
                <c:pt idx="10">
                  <c:v>6.812644481632991</c:v>
                </c:pt>
                <c:pt idx="11">
                  <c:v>6.6454134804412464</c:v>
                </c:pt>
                <c:pt idx="12">
                  <c:v>3.2082587745674611</c:v>
                </c:pt>
                <c:pt idx="13">
                  <c:v>2.5419349350218012</c:v>
                </c:pt>
                <c:pt idx="14">
                  <c:v>3.8333663504943005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3.733012496019084</c:v>
                </c:pt>
                <c:pt idx="4">
                  <c:v>3.4673155299344867</c:v>
                </c:pt>
                <c:pt idx="5">
                  <c:v>4.6057618560482014</c:v>
                </c:pt>
                <c:pt idx="6">
                  <c:v>0.22249846011628849</c:v>
                </c:pt>
                <c:pt idx="7">
                  <c:v>5.689221533333658</c:v>
                </c:pt>
                <c:pt idx="8">
                  <c:v>9.0859633886449558</c:v>
                </c:pt>
                <c:pt idx="9">
                  <c:v>5.9353560409058943</c:v>
                </c:pt>
                <c:pt idx="10">
                  <c:v>5.825100601612986</c:v>
                </c:pt>
                <c:pt idx="11">
                  <c:v>5.4210477751762864</c:v>
                </c:pt>
                <c:pt idx="12">
                  <c:v>2.0083924903274823</c:v>
                </c:pt>
                <c:pt idx="13">
                  <c:v>1.8190797738270847</c:v>
                </c:pt>
                <c:pt idx="14">
                  <c:v>3.1434980610532435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-35.497218689406004</c:v>
                </c:pt>
                <c:pt idx="3">
                  <c:v>-16.939002002972433</c:v>
                </c:pt>
                <c:pt idx="4">
                  <c:v>0.80536182776992982</c:v>
                </c:pt>
                <c:pt idx="5">
                  <c:v>12.965234627757482</c:v>
                </c:pt>
                <c:pt idx="6">
                  <c:v>20.466234627757483</c:v>
                </c:pt>
                <c:pt idx="7">
                  <c:v>43.307099455441318</c:v>
                </c:pt>
                <c:pt idx="8">
                  <c:v>60.965397422618153</c:v>
                </c:pt>
                <c:pt idx="9">
                  <c:v>68.466397422618158</c:v>
                </c:pt>
                <c:pt idx="10">
                  <c:v>77.88802050702806</c:v>
                </c:pt>
                <c:pt idx="11">
                  <c:v>85.389020507028064</c:v>
                </c:pt>
                <c:pt idx="12">
                  <c:v>98.330897710413623</c:v>
                </c:pt>
                <c:pt idx="13">
                  <c:v>111.22526710001152</c:v>
                </c:pt>
                <c:pt idx="14">
                  <c:v>132.55886754281812</c:v>
                </c:pt>
                <c:pt idx="15">
                  <c:v>166</c:v>
                </c:pt>
                <c:pt idx="16">
                  <c:v>256</c:v>
                </c:pt>
                <c:pt idx="17">
                  <c:v>256</c:v>
                </c:pt>
                <c:pt idx="18">
                  <c:v>256</c:v>
                </c:pt>
                <c:pt idx="19">
                  <c:v>256</c:v>
                </c:pt>
                <c:pt idx="20">
                  <c:v>256</c:v>
                </c:pt>
                <c:pt idx="21">
                  <c:v>256</c:v>
                </c:pt>
                <c:pt idx="22">
                  <c:v>256</c:v>
                </c:pt>
                <c:pt idx="23">
                  <c:v>256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4.7498898506284117</c:v>
                </c:pt>
                <c:pt idx="3">
                  <c:v>2.9408612808185213</c:v>
                </c:pt>
                <c:pt idx="4">
                  <c:v>2.5733455269995726</c:v>
                </c:pt>
                <c:pt idx="5">
                  <c:v>3.3439591995806617</c:v>
                </c:pt>
                <c:pt idx="6">
                  <c:v>0.22249846011628849</c:v>
                </c:pt>
                <c:pt idx="7">
                  <c:v>5.689221533333658</c:v>
                </c:pt>
                <c:pt idx="8">
                  <c:v>8.2076968142623628</c:v>
                </c:pt>
                <c:pt idx="9">
                  <c:v>5.9353560409058943</c:v>
                </c:pt>
                <c:pt idx="10">
                  <c:v>4.8340718434079228</c:v>
                </c:pt>
                <c:pt idx="11">
                  <c:v>4.19169681600797</c:v>
                </c:pt>
                <c:pt idx="12">
                  <c:v>0.80676158443268386</c:v>
                </c:pt>
                <c:pt idx="13">
                  <c:v>1.0956449035609972</c:v>
                </c:pt>
                <c:pt idx="14">
                  <c:v>2.4527162474182806</c:v>
                </c:pt>
                <c:pt idx="15">
                  <c:v>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-194</c:v>
                </c:pt>
                <c:pt idx="1">
                  <c:v>-104</c:v>
                </c:pt>
                <c:pt idx="2">
                  <c:v>-14</c:v>
                </c:pt>
                <c:pt idx="3">
                  <c:v>5.3221648969759707</c:v>
                </c:pt>
                <c:pt idx="4">
                  <c:v>54.612567039239572</c:v>
                </c:pt>
                <c:pt idx="5">
                  <c:v>63.59282567395384</c:v>
                </c:pt>
                <c:pt idx="6">
                  <c:v>82.897506652610019</c:v>
                </c:pt>
                <c:pt idx="7">
                  <c:v>166</c:v>
                </c:pt>
                <c:pt idx="8">
                  <c:v>256</c:v>
                </c:pt>
                <c:pt idx="9">
                  <c:v>257</c:v>
                </c:pt>
                <c:pt idx="10">
                  <c:v>257</c:v>
                </c:pt>
                <c:pt idx="11">
                  <c:v>257</c:v>
                </c:pt>
                <c:pt idx="12">
                  <c:v>257</c:v>
                </c:pt>
                <c:pt idx="13">
                  <c:v>257</c:v>
                </c:pt>
                <c:pt idx="14">
                  <c:v>257</c:v>
                </c:pt>
                <c:pt idx="15">
                  <c:v>257</c:v>
                </c:pt>
                <c:pt idx="16">
                  <c:v>257</c:v>
                </c:pt>
                <c:pt idx="17">
                  <c:v>257</c:v>
                </c:pt>
                <c:pt idx="18">
                  <c:v>257</c:v>
                </c:pt>
                <c:pt idx="19">
                  <c:v>257</c:v>
                </c:pt>
                <c:pt idx="20">
                  <c:v>257</c:v>
                </c:pt>
                <c:pt idx="21">
                  <c:v>257</c:v>
                </c:pt>
                <c:pt idx="22">
                  <c:v>257</c:v>
                </c:pt>
                <c:pt idx="23">
                  <c:v>257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1</c:v>
                </c:pt>
                <c:pt idx="3">
                  <c:v>-3.0975516078479006</c:v>
                </c:pt>
                <c:pt idx="4">
                  <c:v>8.3044314861352913</c:v>
                </c:pt>
                <c:pt idx="5">
                  <c:v>5.1534754837461936</c:v>
                </c:pt>
                <c:pt idx="6">
                  <c:v>-1.2100572734327308</c:v>
                </c:pt>
                <c:pt idx="7">
                  <c:v>1</c:v>
                </c:pt>
                <c:pt idx="8">
                  <c:v>16.699244233993621</c:v>
                </c:pt>
                <c:pt idx="9">
                  <c:v>16.699244233993621</c:v>
                </c:pt>
                <c:pt idx="10">
                  <c:v>16.699244233993621</c:v>
                </c:pt>
                <c:pt idx="11">
                  <c:v>16.699244233993621</c:v>
                </c:pt>
                <c:pt idx="12">
                  <c:v>16.699244233993621</c:v>
                </c:pt>
                <c:pt idx="13">
                  <c:v>16.699244233993621</c:v>
                </c:pt>
                <c:pt idx="14">
                  <c:v>16.699244233993621</c:v>
                </c:pt>
                <c:pt idx="15">
                  <c:v>16.699244233993621</c:v>
                </c:pt>
                <c:pt idx="16">
                  <c:v>16.699244233993621</c:v>
                </c:pt>
                <c:pt idx="17">
                  <c:v>16.699244233993621</c:v>
                </c:pt>
                <c:pt idx="18">
                  <c:v>16.699244233993621</c:v>
                </c:pt>
                <c:pt idx="19">
                  <c:v>16.699244233993621</c:v>
                </c:pt>
                <c:pt idx="20">
                  <c:v>16.699244233993621</c:v>
                </c:pt>
                <c:pt idx="21">
                  <c:v>16.699244233993621</c:v>
                </c:pt>
                <c:pt idx="22">
                  <c:v>16.699244233993621</c:v>
                </c:pt>
                <c:pt idx="23">
                  <c:v>16.699244233993621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426336"/>
        <c:axId val="611426728"/>
      </c:scatterChart>
      <c:valAx>
        <c:axId val="611426336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611426728"/>
        <c:crosses val="autoZero"/>
        <c:crossBetween val="midCat"/>
        <c:majorUnit val="30"/>
      </c:valAx>
      <c:valAx>
        <c:axId val="61142672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6336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6.9060115748831863E-2</c:v>
                </c:pt>
                <c:pt idx="1">
                  <c:v>6.9081780079954025E-2</c:v>
                </c:pt>
                <c:pt idx="2">
                  <c:v>6.9103443906915585E-2</c:v>
                </c:pt>
                <c:pt idx="3">
                  <c:v>6.91251072297282E-2</c:v>
                </c:pt>
                <c:pt idx="4">
                  <c:v>6.9146770048403638E-2</c:v>
                </c:pt>
                <c:pt idx="5">
                  <c:v>6.9168432362953669E-2</c:v>
                </c:pt>
                <c:pt idx="6">
                  <c:v>6.919009417339006E-2</c:v>
                </c:pt>
                <c:pt idx="7">
                  <c:v>6.9211755479724357E-2</c:v>
                </c:pt>
                <c:pt idx="8">
                  <c:v>6.9233416281968441E-2</c:v>
                </c:pt>
                <c:pt idx="9">
                  <c:v>6.9255076580134078E-2</c:v>
                </c:pt>
                <c:pt idx="10">
                  <c:v>6.9276736374232817E-2</c:v>
                </c:pt>
                <c:pt idx="11">
                  <c:v>6.9298395664276646E-2</c:v>
                </c:pt>
                <c:pt idx="12">
                  <c:v>6.9320054450277002E-2</c:v>
                </c:pt>
                <c:pt idx="13">
                  <c:v>6.9341712732245875E-2</c:v>
                </c:pt>
                <c:pt idx="14">
                  <c:v>6.9363370510194811E-2</c:v>
                </c:pt>
                <c:pt idx="15">
                  <c:v>6.9385027784135689E-2</c:v>
                </c:pt>
                <c:pt idx="16">
                  <c:v>6.9406684554080056E-2</c:v>
                </c:pt>
                <c:pt idx="17">
                  <c:v>6.9428340820039902E-2</c:v>
                </c:pt>
                <c:pt idx="18">
                  <c:v>6.9449996582026663E-2</c:v>
                </c:pt>
                <c:pt idx="19">
                  <c:v>6.9471651840052218E-2</c:v>
                </c:pt>
                <c:pt idx="20">
                  <c:v>6.9493306594128335E-2</c:v>
                </c:pt>
                <c:pt idx="21">
                  <c:v>6.9514960844266671E-2</c:v>
                </c:pt>
                <c:pt idx="22">
                  <c:v>6.9536614590478996E-2</c:v>
                </c:pt>
                <c:pt idx="23">
                  <c:v>6.9558267832777076E-2</c:v>
                </c:pt>
                <c:pt idx="24">
                  <c:v>6.957992057117246E-2</c:v>
                </c:pt>
                <c:pt idx="25">
                  <c:v>6.9601572805677026E-2</c:v>
                </c:pt>
                <c:pt idx="26">
                  <c:v>6.962322453630243E-2</c:v>
                </c:pt>
                <c:pt idx="27">
                  <c:v>6.9644875763060443E-2</c:v>
                </c:pt>
                <c:pt idx="28">
                  <c:v>6.9666526485962832E-2</c:v>
                </c:pt>
                <c:pt idx="29">
                  <c:v>6.9688176705021254E-2</c:v>
                </c:pt>
                <c:pt idx="30">
                  <c:v>6.9709826420247367E-2</c:v>
                </c:pt>
                <c:pt idx="31">
                  <c:v>6.973147563165305E-2</c:v>
                </c:pt>
                <c:pt idx="32">
                  <c:v>6.9753124339249961E-2</c:v>
                </c:pt>
                <c:pt idx="33">
                  <c:v>6.9774772543049868E-2</c:v>
                </c:pt>
                <c:pt idx="34">
                  <c:v>6.9796420243064317E-2</c:v>
                </c:pt>
                <c:pt idx="35">
                  <c:v>6.9818067439305298E-2</c:v>
                </c:pt>
                <c:pt idx="36">
                  <c:v>6.9839714131784247E-2</c:v>
                </c:pt>
                <c:pt idx="37">
                  <c:v>6.9861360320513155E-2</c:v>
                </c:pt>
                <c:pt idx="38">
                  <c:v>6.9883006005503567E-2</c:v>
                </c:pt>
                <c:pt idx="39">
                  <c:v>6.9904651186767364E-2</c:v>
                </c:pt>
                <c:pt idx="40">
                  <c:v>6.992629586431609E-2</c:v>
                </c:pt>
                <c:pt idx="41">
                  <c:v>6.9947940038161516E-2</c:v>
                </c:pt>
                <c:pt idx="42">
                  <c:v>6.9969583708315408E-2</c:v>
                </c:pt>
                <c:pt idx="43">
                  <c:v>6.9991226874789536E-2</c:v>
                </c:pt>
                <c:pt idx="44">
                  <c:v>7.0012869537595557E-2</c:v>
                </c:pt>
                <c:pt idx="45">
                  <c:v>7.0034511696745128E-2</c:v>
                </c:pt>
                <c:pt idx="46">
                  <c:v>7.0056153352250128E-2</c:v>
                </c:pt>
                <c:pt idx="47">
                  <c:v>7.0077794504122104E-2</c:v>
                </c:pt>
                <c:pt idx="48">
                  <c:v>7.0099435152372935E-2</c:v>
                </c:pt>
                <c:pt idx="49">
                  <c:v>7.0121075297014279E-2</c:v>
                </c:pt>
                <c:pt idx="50">
                  <c:v>7.0142714938057793E-2</c:v>
                </c:pt>
                <c:pt idx="51">
                  <c:v>7.0164354075515245E-2</c:v>
                </c:pt>
                <c:pt idx="52">
                  <c:v>7.0185992709398293E-2</c:v>
                </c:pt>
                <c:pt idx="53">
                  <c:v>7.0207630839718815E-2</c:v>
                </c:pt>
                <c:pt idx="54">
                  <c:v>7.0229268466488359E-2</c:v>
                </c:pt>
                <c:pt idx="55">
                  <c:v>7.0250905589718804E-2</c:v>
                </c:pt>
                <c:pt idx="56">
                  <c:v>7.0272542209421696E-2</c:v>
                </c:pt>
                <c:pt idx="57">
                  <c:v>7.0294178325608914E-2</c:v>
                </c:pt>
                <c:pt idx="58">
                  <c:v>7.0315813938292115E-2</c:v>
                </c:pt>
                <c:pt idx="59">
                  <c:v>7.0337449047482958E-2</c:v>
                </c:pt>
                <c:pt idx="60">
                  <c:v>7.03590836531931E-2</c:v>
                </c:pt>
                <c:pt idx="61">
                  <c:v>7.038071775543453E-2</c:v>
                </c:pt>
                <c:pt idx="62">
                  <c:v>7.0402351354218684E-2</c:v>
                </c:pt>
                <c:pt idx="63">
                  <c:v>7.0423984449557442E-2</c:v>
                </c:pt>
                <c:pt idx="64">
                  <c:v>7.0445617041462461E-2</c:v>
                </c:pt>
                <c:pt idx="65">
                  <c:v>7.0467249129945508E-2</c:v>
                </c:pt>
                <c:pt idx="66">
                  <c:v>7.0488880715018132E-2</c:v>
                </c:pt>
                <c:pt idx="67">
                  <c:v>7.0510511796692321E-2</c:v>
                </c:pt>
                <c:pt idx="68">
                  <c:v>7.0532142374979512E-2</c:v>
                </c:pt>
                <c:pt idx="69">
                  <c:v>7.0553772449891583E-2</c:v>
                </c:pt>
                <c:pt idx="70">
                  <c:v>7.0575402021440192E-2</c:v>
                </c:pt>
                <c:pt idx="71">
                  <c:v>7.0597031089637108E-2</c:v>
                </c:pt>
                <c:pt idx="72">
                  <c:v>7.0618659654493987E-2</c:v>
                </c:pt>
                <c:pt idx="73">
                  <c:v>7.0640287716022598E-2</c:v>
                </c:pt>
                <c:pt idx="74">
                  <c:v>7.0661915274234599E-2</c:v>
                </c:pt>
                <c:pt idx="75">
                  <c:v>7.0683542329141757E-2</c:v>
                </c:pt>
                <c:pt idx="76">
                  <c:v>7.0705168880755731E-2</c:v>
                </c:pt>
                <c:pt idx="77">
                  <c:v>7.0726794929088288E-2</c:v>
                </c:pt>
                <c:pt idx="78">
                  <c:v>7.0748420474150975E-2</c:v>
                </c:pt>
                <c:pt idx="79">
                  <c:v>7.0770045515955782E-2</c:v>
                </c:pt>
                <c:pt idx="80">
                  <c:v>7.0791670054514255E-2</c:v>
                </c:pt>
                <c:pt idx="81">
                  <c:v>7.0813294089838053E-2</c:v>
                </c:pt>
                <c:pt idx="82">
                  <c:v>7.0834917621938942E-2</c:v>
                </c:pt>
                <c:pt idx="83">
                  <c:v>7.0856540650828692E-2</c:v>
                </c:pt>
                <c:pt idx="84">
                  <c:v>7.0878163176519071E-2</c:v>
                </c:pt>
                <c:pt idx="85">
                  <c:v>7.0899785199021514E-2</c:v>
                </c:pt>
                <c:pt idx="86">
                  <c:v>7.0921406718348012E-2</c:v>
                </c:pt>
                <c:pt idx="87">
                  <c:v>7.0943027734510111E-2</c:v>
                </c:pt>
                <c:pt idx="88">
                  <c:v>7.096464824751969E-2</c:v>
                </c:pt>
                <c:pt idx="89">
                  <c:v>7.0986268257388185E-2</c:v>
                </c:pt>
                <c:pt idx="90">
                  <c:v>7.1007887764127586E-2</c:v>
                </c:pt>
                <c:pt idx="91">
                  <c:v>7.102950676774944E-2</c:v>
                </c:pt>
                <c:pt idx="92">
                  <c:v>7.1051125268265514E-2</c:v>
                </c:pt>
                <c:pt idx="93">
                  <c:v>7.1072743265687466E-2</c:v>
                </c:pt>
                <c:pt idx="94">
                  <c:v>7.1094360760027064E-2</c:v>
                </c:pt>
                <c:pt idx="95">
                  <c:v>7.1115977751295967E-2</c:v>
                </c:pt>
                <c:pt idx="96">
                  <c:v>7.1137594239505941E-2</c:v>
                </c:pt>
                <c:pt idx="97">
                  <c:v>7.1159210224668645E-2</c:v>
                </c:pt>
                <c:pt idx="98">
                  <c:v>7.1180825706795736E-2</c:v>
                </c:pt>
                <c:pt idx="99">
                  <c:v>7.1202440685898982E-2</c:v>
                </c:pt>
                <c:pt idx="100">
                  <c:v>7.1224055161990152E-2</c:v>
                </c:pt>
                <c:pt idx="101">
                  <c:v>7.1245669135080902E-2</c:v>
                </c:pt>
                <c:pt idx="102">
                  <c:v>7.1267282605182891E-2</c:v>
                </c:pt>
                <c:pt idx="103">
                  <c:v>7.1288895572307776E-2</c:v>
                </c:pt>
                <c:pt idx="104">
                  <c:v>7.1310508036467435E-2</c:v>
                </c:pt>
                <c:pt idx="105">
                  <c:v>7.1332119997673527E-2</c:v>
                </c:pt>
                <c:pt idx="106">
                  <c:v>7.1353731455937597E-2</c:v>
                </c:pt>
                <c:pt idx="107">
                  <c:v>7.1375342411271525E-2</c:v>
                </c:pt>
                <c:pt idx="108">
                  <c:v>7.1396952863686858E-2</c:v>
                </c:pt>
                <c:pt idx="109">
                  <c:v>7.1418562813195474E-2</c:v>
                </c:pt>
                <c:pt idx="110">
                  <c:v>7.1440172259809032E-2</c:v>
                </c:pt>
                <c:pt idx="111">
                  <c:v>7.1461781203539076E-2</c:v>
                </c:pt>
                <c:pt idx="112">
                  <c:v>7.1483389644397488E-2</c:v>
                </c:pt>
                <c:pt idx="113">
                  <c:v>7.1504997582396035E-2</c:v>
                </c:pt>
                <c:pt idx="114">
                  <c:v>7.1526605017546152E-2</c:v>
                </c:pt>
                <c:pt idx="115">
                  <c:v>7.1548211949859719E-2</c:v>
                </c:pt>
                <c:pt idx="116">
                  <c:v>7.1569818379348393E-2</c:v>
                </c:pt>
                <c:pt idx="117">
                  <c:v>7.1591424306023943E-2</c:v>
                </c:pt>
                <c:pt idx="118">
                  <c:v>7.1613029729897915E-2</c:v>
                </c:pt>
                <c:pt idx="119">
                  <c:v>7.1634634650982187E-2</c:v>
                </c:pt>
                <c:pt idx="120">
                  <c:v>7.1656239069288419E-2</c:v>
                </c:pt>
                <c:pt idx="121">
                  <c:v>7.1677842984828155E-2</c:v>
                </c:pt>
                <c:pt idx="122">
                  <c:v>7.1699446397613276E-2</c:v>
                </c:pt>
                <c:pt idx="123">
                  <c:v>7.1721049307655438E-2</c:v>
                </c:pt>
                <c:pt idx="124">
                  <c:v>7.1742651714966299E-2</c:v>
                </c:pt>
                <c:pt idx="125">
                  <c:v>7.1764253619557627E-2</c:v>
                </c:pt>
                <c:pt idx="126">
                  <c:v>7.1785855021441081E-2</c:v>
                </c:pt>
                <c:pt idx="127">
                  <c:v>7.1807455920628316E-2</c:v>
                </c:pt>
                <c:pt idx="128">
                  <c:v>7.1829056317131101E-2</c:v>
                </c:pt>
                <c:pt idx="129">
                  <c:v>7.1850656210961095E-2</c:v>
                </c:pt>
                <c:pt idx="130">
                  <c:v>7.1872255602129953E-2</c:v>
                </c:pt>
                <c:pt idx="131">
                  <c:v>7.1893854490649445E-2</c:v>
                </c:pt>
                <c:pt idx="132">
                  <c:v>7.1915452876531227E-2</c:v>
                </c:pt>
                <c:pt idx="133">
                  <c:v>7.1937050759787069E-2</c:v>
                </c:pt>
                <c:pt idx="134">
                  <c:v>7.1958648140428627E-2</c:v>
                </c:pt>
                <c:pt idx="135">
                  <c:v>7.1980245018467559E-2</c:v>
                </c:pt>
                <c:pt idx="136">
                  <c:v>7.2001841393915522E-2</c:v>
                </c:pt>
                <c:pt idx="137">
                  <c:v>7.2023437266784396E-2</c:v>
                </c:pt>
                <c:pt idx="138">
                  <c:v>7.2045032637085726E-2</c:v>
                </c:pt>
                <c:pt idx="139">
                  <c:v>7.2066627504831171E-2</c:v>
                </c:pt>
                <c:pt idx="140">
                  <c:v>7.2088221870032609E-2</c:v>
                </c:pt>
                <c:pt idx="141">
                  <c:v>7.2109815732701477E-2</c:v>
                </c:pt>
                <c:pt idx="142">
                  <c:v>7.2131409092849763E-2</c:v>
                </c:pt>
                <c:pt idx="143">
                  <c:v>7.2153001950488904E-2</c:v>
                </c:pt>
                <c:pt idx="144">
                  <c:v>7.2174594305630779E-2</c:v>
                </c:pt>
                <c:pt idx="145">
                  <c:v>7.2196186158286935E-2</c:v>
                </c:pt>
                <c:pt idx="146">
                  <c:v>7.2217777508469139E-2</c:v>
                </c:pt>
                <c:pt idx="147">
                  <c:v>7.223936835618916E-2</c:v>
                </c:pt>
                <c:pt idx="148">
                  <c:v>7.2260958701458544E-2</c:v>
                </c:pt>
                <c:pt idx="149">
                  <c:v>7.228254854428906E-2</c:v>
                </c:pt>
                <c:pt idx="150">
                  <c:v>7.2304137884692365E-2</c:v>
                </c:pt>
                <c:pt idx="151">
                  <c:v>7.2325726722680228E-2</c:v>
                </c:pt>
                <c:pt idx="152">
                  <c:v>7.2347315058264305E-2</c:v>
                </c:pt>
                <c:pt idx="153">
                  <c:v>7.2368902891456255E-2</c:v>
                </c:pt>
                <c:pt idx="154">
                  <c:v>7.2390490222267734E-2</c:v>
                </c:pt>
                <c:pt idx="155">
                  <c:v>7.2412077050710622E-2</c:v>
                </c:pt>
                <c:pt idx="156">
                  <c:v>7.2433663376796353E-2</c:v>
                </c:pt>
                <c:pt idx="157">
                  <c:v>7.2455249200536809E-2</c:v>
                </c:pt>
                <c:pt idx="158">
                  <c:v>7.2476834521943534E-2</c:v>
                </c:pt>
                <c:pt idx="159">
                  <c:v>7.2498419341028408E-2</c:v>
                </c:pt>
                <c:pt idx="160">
                  <c:v>7.2520003657802867E-2</c:v>
                </c:pt>
                <c:pt idx="161">
                  <c:v>7.254158747227879E-2</c:v>
                </c:pt>
                <c:pt idx="162">
                  <c:v>7.2563170784467945E-2</c:v>
                </c:pt>
                <c:pt idx="163">
                  <c:v>7.2584753594381768E-2</c:v>
                </c:pt>
                <c:pt idx="164">
                  <c:v>7.2606335902032137E-2</c:v>
                </c:pt>
                <c:pt idx="165">
                  <c:v>7.26279177074306E-2</c:v>
                </c:pt>
                <c:pt idx="166">
                  <c:v>7.2649499010588925E-2</c:v>
                </c:pt>
                <c:pt idx="167">
                  <c:v>7.2671079811518879E-2</c:v>
                </c:pt>
                <c:pt idx="168">
                  <c:v>7.269266011023201E-2</c:v>
                </c:pt>
                <c:pt idx="169">
                  <c:v>7.2714239906740086E-2</c:v>
                </c:pt>
                <c:pt idx="170">
                  <c:v>7.2735819201054763E-2</c:v>
                </c:pt>
                <c:pt idx="171">
                  <c:v>7.27573979931877E-2</c:v>
                </c:pt>
                <c:pt idx="172">
                  <c:v>7.2778976283150665E-2</c:v>
                </c:pt>
                <c:pt idx="173">
                  <c:v>7.2800554070955315E-2</c:v>
                </c:pt>
                <c:pt idx="174">
                  <c:v>7.2822131356613307E-2</c:v>
                </c:pt>
                <c:pt idx="175">
                  <c:v>7.2843708140136298E-2</c:v>
                </c:pt>
                <c:pt idx="176">
                  <c:v>7.2865284421536058E-2</c:v>
                </c:pt>
                <c:pt idx="177">
                  <c:v>7.2886860200824244E-2</c:v>
                </c:pt>
                <c:pt idx="178">
                  <c:v>7.2908435478012512E-2</c:v>
                </c:pt>
                <c:pt idx="179">
                  <c:v>7.2930010253112521E-2</c:v>
                </c:pt>
                <c:pt idx="180">
                  <c:v>7.2951584526136037E-2</c:v>
                </c:pt>
                <c:pt idx="181">
                  <c:v>7.2973158297094609E-2</c:v>
                </c:pt>
                <c:pt idx="182">
                  <c:v>7.2994731566000115E-2</c:v>
                </c:pt>
                <c:pt idx="183">
                  <c:v>7.3016304332864101E-2</c:v>
                </c:pt>
                <c:pt idx="184">
                  <c:v>7.3037876597698337E-2</c:v>
                </c:pt>
                <c:pt idx="185">
                  <c:v>7.3059448360514367E-2</c:v>
                </c:pt>
                <c:pt idx="186">
                  <c:v>7.3081019621324073E-2</c:v>
                </c:pt>
                <c:pt idx="187">
                  <c:v>7.3102590380138888E-2</c:v>
                </c:pt>
                <c:pt idx="188">
                  <c:v>7.3124160636970692E-2</c:v>
                </c:pt>
                <c:pt idx="189">
                  <c:v>7.3145730391831143E-2</c:v>
                </c:pt>
                <c:pt idx="190">
                  <c:v>7.3167299644731898E-2</c:v>
                </c:pt>
                <c:pt idx="191">
                  <c:v>7.3188868395684614E-2</c:v>
                </c:pt>
                <c:pt idx="192">
                  <c:v>7.3210436644700949E-2</c:v>
                </c:pt>
                <c:pt idx="193">
                  <c:v>7.3232004391792671E-2</c:v>
                </c:pt>
                <c:pt idx="194">
                  <c:v>7.3253571636971326E-2</c:v>
                </c:pt>
                <c:pt idx="195">
                  <c:v>7.3275138380248794E-2</c:v>
                </c:pt>
                <c:pt idx="196">
                  <c:v>7.329670462163651E-2</c:v>
                </c:pt>
                <c:pt idx="197">
                  <c:v>7.3318270361146354E-2</c:v>
                </c:pt>
                <c:pt idx="198">
                  <c:v>7.3339835598789982E-2</c:v>
                </c:pt>
                <c:pt idx="199">
                  <c:v>7.3361400334578941E-2</c:v>
                </c:pt>
                <c:pt idx="200">
                  <c:v>7.3382964568525E-2</c:v>
                </c:pt>
                <c:pt idx="201">
                  <c:v>7.3404528300639815E-2</c:v>
                </c:pt>
                <c:pt idx="202">
                  <c:v>7.3426091530935156E-2</c:v>
                </c:pt>
                <c:pt idx="203">
                  <c:v>7.3447654259422568E-2</c:v>
                </c:pt>
                <c:pt idx="204">
                  <c:v>7.346921648611382E-2</c:v>
                </c:pt>
                <c:pt idx="205">
                  <c:v>7.3490778211020569E-2</c:v>
                </c:pt>
                <c:pt idx="206">
                  <c:v>7.3512339434154472E-2</c:v>
                </c:pt>
                <c:pt idx="207">
                  <c:v>7.3533900155527188E-2</c:v>
                </c:pt>
                <c:pt idx="208">
                  <c:v>7.3555460375150372E-2</c:v>
                </c:pt>
                <c:pt idx="209">
                  <c:v>7.3577020093035905E-2</c:v>
                </c:pt>
                <c:pt idx="210">
                  <c:v>7.3598579309195111E-2</c:v>
                </c:pt>
                <c:pt idx="211">
                  <c:v>7.362013802363998E-2</c:v>
                </c:pt>
                <c:pt idx="212">
                  <c:v>7.3641696236382059E-2</c:v>
                </c:pt>
                <c:pt idx="213">
                  <c:v>7.3663253947433005E-2</c:v>
                </c:pt>
                <c:pt idx="214">
                  <c:v>7.3684811156804586E-2</c:v>
                </c:pt>
                <c:pt idx="215">
                  <c:v>7.3706367864508349E-2</c:v>
                </c:pt>
                <c:pt idx="216">
                  <c:v>7.3727924070556061E-2</c:v>
                </c:pt>
                <c:pt idx="217">
                  <c:v>7.374947977495927E-2</c:v>
                </c:pt>
                <c:pt idx="218">
                  <c:v>7.3771034977729855E-2</c:v>
                </c:pt>
                <c:pt idx="219">
                  <c:v>7.3792589678879361E-2</c:v>
                </c:pt>
                <c:pt idx="220">
                  <c:v>7.3814143878419447E-2</c:v>
                </c:pt>
                <c:pt idx="221">
                  <c:v>7.3835697576361881E-2</c:v>
                </c:pt>
                <c:pt idx="222">
                  <c:v>7.3857250772718208E-2</c:v>
                </c:pt>
                <c:pt idx="223">
                  <c:v>7.3878803467500198E-2</c:v>
                </c:pt>
                <c:pt idx="224">
                  <c:v>7.3900355660719508E-2</c:v>
                </c:pt>
                <c:pt idx="225">
                  <c:v>7.3921907352387795E-2</c:v>
                </c:pt>
                <c:pt idx="226">
                  <c:v>7.3943458542516716E-2</c:v>
                </c:pt>
                <c:pt idx="227">
                  <c:v>7.396500923111804E-2</c:v>
                </c:pt>
                <c:pt idx="228">
                  <c:v>7.3986559418203202E-2</c:v>
                </c:pt>
                <c:pt idx="229">
                  <c:v>7.4008109103784192E-2</c:v>
                </c:pt>
                <c:pt idx="230">
                  <c:v>7.4029658287872446E-2</c:v>
                </c:pt>
                <c:pt idx="231">
                  <c:v>7.4051206970479622E-2</c:v>
                </c:pt>
                <c:pt idx="232">
                  <c:v>7.4072755151617597E-2</c:v>
                </c:pt>
                <c:pt idx="233">
                  <c:v>7.4094302831297809E-2</c:v>
                </c:pt>
                <c:pt idx="234">
                  <c:v>7.4115850009532136E-2</c:v>
                </c:pt>
                <c:pt idx="235">
                  <c:v>7.4137396686332124E-2</c:v>
                </c:pt>
                <c:pt idx="236">
                  <c:v>7.4158942861709432E-2</c:v>
                </c:pt>
                <c:pt idx="237">
                  <c:v>7.4180488535675715E-2</c:v>
                </c:pt>
                <c:pt idx="238">
                  <c:v>7.4202033708242743E-2</c:v>
                </c:pt>
                <c:pt idx="239">
                  <c:v>7.4223578379422173E-2</c:v>
                </c:pt>
                <c:pt idx="240">
                  <c:v>7.4245122549225551E-2</c:v>
                </c:pt>
                <c:pt idx="241">
                  <c:v>7.4266666217664645E-2</c:v>
                </c:pt>
                <c:pt idx="242">
                  <c:v>7.4288209384751114E-2</c:v>
                </c:pt>
                <c:pt idx="243">
                  <c:v>7.4309752050496725E-2</c:v>
                </c:pt>
                <c:pt idx="244">
                  <c:v>7.4331294214912913E-2</c:v>
                </c:pt>
                <c:pt idx="245">
                  <c:v>7.4352835878011447E-2</c:v>
                </c:pt>
                <c:pt idx="246">
                  <c:v>7.4374377039803985E-2</c:v>
                </c:pt>
                <c:pt idx="247">
                  <c:v>7.4395917700302294E-2</c:v>
                </c:pt>
                <c:pt idx="248">
                  <c:v>7.4417457859517921E-2</c:v>
                </c:pt>
                <c:pt idx="249">
                  <c:v>7.4438997517462635E-2</c:v>
                </c:pt>
                <c:pt idx="250">
                  <c:v>7.4460536674147981E-2</c:v>
                </c:pt>
                <c:pt idx="251">
                  <c:v>7.4482075329585729E-2</c:v>
                </c:pt>
                <c:pt idx="252">
                  <c:v>7.4503613483787423E-2</c:v>
                </c:pt>
                <c:pt idx="253">
                  <c:v>7.4525151136764944E-2</c:v>
                </c:pt>
                <c:pt idx="254">
                  <c:v>7.4546688288529728E-2</c:v>
                </c:pt>
                <c:pt idx="255">
                  <c:v>7.4568224939093541E-2</c:v>
                </c:pt>
                <c:pt idx="256">
                  <c:v>7.4589761088467932E-2</c:v>
                </c:pt>
                <c:pt idx="257">
                  <c:v>7.4611296736664778E-2</c:v>
                </c:pt>
                <c:pt idx="258">
                  <c:v>7.4632831883695627E-2</c:v>
                </c:pt>
                <c:pt idx="259">
                  <c:v>7.4654366529572136E-2</c:v>
                </c:pt>
                <c:pt idx="260">
                  <c:v>7.4675900674305962E-2</c:v>
                </c:pt>
                <c:pt idx="261">
                  <c:v>7.4697434317908762E-2</c:v>
                </c:pt>
                <c:pt idx="262">
                  <c:v>7.4718967460392194E-2</c:v>
                </c:pt>
                <c:pt idx="263">
                  <c:v>7.4740500101768026E-2</c:v>
                </c:pt>
                <c:pt idx="264">
                  <c:v>7.4762032242047805E-2</c:v>
                </c:pt>
                <c:pt idx="265">
                  <c:v>7.4783563881243187E-2</c:v>
                </c:pt>
                <c:pt idx="266">
                  <c:v>7.480509501936583E-2</c:v>
                </c:pt>
                <c:pt idx="267">
                  <c:v>7.4826625656427503E-2</c:v>
                </c:pt>
                <c:pt idx="268">
                  <c:v>7.4848155792439863E-2</c:v>
                </c:pt>
                <c:pt idx="269">
                  <c:v>7.4869685427414345E-2</c:v>
                </c:pt>
                <c:pt idx="270">
                  <c:v>7.489121456136294E-2</c:v>
                </c:pt>
                <c:pt idx="271">
                  <c:v>7.4912743194296971E-2</c:v>
                </c:pt>
                <c:pt idx="272">
                  <c:v>7.493427132622843E-2</c:v>
                </c:pt>
                <c:pt idx="273">
                  <c:v>7.495579895716864E-2</c:v>
                </c:pt>
                <c:pt idx="274">
                  <c:v>7.4977326087129481E-2</c:v>
                </c:pt>
                <c:pt idx="275">
                  <c:v>7.499885271612261E-2</c:v>
                </c:pt>
                <c:pt idx="276">
                  <c:v>7.5020378844159685E-2</c:v>
                </c:pt>
                <c:pt idx="277">
                  <c:v>7.5041904471252141E-2</c:v>
                </c:pt>
                <c:pt idx="278">
                  <c:v>7.5063429597411968E-2</c:v>
                </c:pt>
                <c:pt idx="279">
                  <c:v>7.5084954222650602E-2</c:v>
                </c:pt>
                <c:pt idx="280">
                  <c:v>7.5106478346979699E-2</c:v>
                </c:pt>
                <c:pt idx="281">
                  <c:v>7.5128001970411029E-2</c:v>
                </c:pt>
                <c:pt idx="282">
                  <c:v>7.5149525092956249E-2</c:v>
                </c:pt>
                <c:pt idx="283">
                  <c:v>7.5171047714626904E-2</c:v>
                </c:pt>
                <c:pt idx="284">
                  <c:v>7.5192569835434764E-2</c:v>
                </c:pt>
                <c:pt idx="285">
                  <c:v>7.5214091455391374E-2</c:v>
                </c:pt>
                <c:pt idx="286">
                  <c:v>7.5235612574508504E-2</c:v>
                </c:pt>
                <c:pt idx="287">
                  <c:v>7.5257133192797698E-2</c:v>
                </c:pt>
                <c:pt idx="288">
                  <c:v>7.5278653310270616E-2</c:v>
                </c:pt>
                <c:pt idx="289">
                  <c:v>7.5300172926939024E-2</c:v>
                </c:pt>
                <c:pt idx="290">
                  <c:v>7.5321692042814581E-2</c:v>
                </c:pt>
                <c:pt idx="291">
                  <c:v>7.5343210657908832E-2</c:v>
                </c:pt>
                <c:pt idx="292">
                  <c:v>7.5364728772233436E-2</c:v>
                </c:pt>
                <c:pt idx="293">
                  <c:v>7.5386246385800049E-2</c:v>
                </c:pt>
                <c:pt idx="294">
                  <c:v>7.5407763498620439E-2</c:v>
                </c:pt>
                <c:pt idx="295">
                  <c:v>7.5429280110706154E-2</c:v>
                </c:pt>
                <c:pt idx="296">
                  <c:v>7.545079622206885E-2</c:v>
                </c:pt>
                <c:pt idx="297">
                  <c:v>7.5472311832720185E-2</c:v>
                </c:pt>
                <c:pt idx="298">
                  <c:v>7.5493826942671927E-2</c:v>
                </c:pt>
                <c:pt idx="299">
                  <c:v>7.5515341551935511E-2</c:v>
                </c:pt>
                <c:pt idx="300">
                  <c:v>7.5536855660522817E-2</c:v>
                </c:pt>
                <c:pt idx="301">
                  <c:v>7.555836926844528E-2</c:v>
                </c:pt>
                <c:pt idx="302">
                  <c:v>7.557988237571478E-2</c:v>
                </c:pt>
                <c:pt idx="303">
                  <c:v>7.5601394982342751E-2</c:v>
                </c:pt>
                <c:pt idx="304">
                  <c:v>7.5622907088340963E-2</c:v>
                </c:pt>
                <c:pt idx="305">
                  <c:v>7.5644418693720961E-2</c:v>
                </c:pt>
                <c:pt idx="306">
                  <c:v>7.5665929798494624E-2</c:v>
                </c:pt>
                <c:pt idx="307">
                  <c:v>7.5687440402673389E-2</c:v>
                </c:pt>
                <c:pt idx="308">
                  <c:v>7.5708950506268913E-2</c:v>
                </c:pt>
                <c:pt idx="309">
                  <c:v>7.5730460109292963E-2</c:v>
                </c:pt>
                <c:pt idx="310">
                  <c:v>7.5751969211757086E-2</c:v>
                </c:pt>
                <c:pt idx="311">
                  <c:v>7.5773477813673051E-2</c:v>
                </c:pt>
                <c:pt idx="312">
                  <c:v>7.5794985915052293E-2</c:v>
                </c:pt>
                <c:pt idx="313">
                  <c:v>7.5816493515906691E-2</c:v>
                </c:pt>
                <c:pt idx="314">
                  <c:v>7.5838000616247792E-2</c:v>
                </c:pt>
                <c:pt idx="315">
                  <c:v>7.5859507216087252E-2</c:v>
                </c:pt>
                <c:pt idx="316">
                  <c:v>7.5881013315436729E-2</c:v>
                </c:pt>
                <c:pt idx="317">
                  <c:v>7.5902518914307771E-2</c:v>
                </c:pt>
                <c:pt idx="318">
                  <c:v>7.5924024012712255E-2</c:v>
                </c:pt>
                <c:pt idx="319">
                  <c:v>7.5945528610661506E-2</c:v>
                </c:pt>
                <c:pt idx="320">
                  <c:v>7.5967032708167515E-2</c:v>
                </c:pt>
                <c:pt idx="321">
                  <c:v>7.5988536305241605E-2</c:v>
                </c:pt>
                <c:pt idx="322">
                  <c:v>7.6010039401895657E-2</c:v>
                </c:pt>
                <c:pt idx="323">
                  <c:v>7.6031541998141217E-2</c:v>
                </c:pt>
                <c:pt idx="324">
                  <c:v>7.6053044093990052E-2</c:v>
                </c:pt>
                <c:pt idx="325">
                  <c:v>7.6074545689453599E-2</c:v>
                </c:pt>
                <c:pt idx="326">
                  <c:v>7.6096046784543625E-2</c:v>
                </c:pt>
                <c:pt idx="327">
                  <c:v>7.6117547379271677E-2</c:v>
                </c:pt>
                <c:pt idx="328">
                  <c:v>7.6139047473649635E-2</c:v>
                </c:pt>
                <c:pt idx="329">
                  <c:v>7.6160547067688933E-2</c:v>
                </c:pt>
                <c:pt idx="330">
                  <c:v>7.6182046161401229E-2</c:v>
                </c:pt>
                <c:pt idx="331">
                  <c:v>7.620354475479818E-2</c:v>
                </c:pt>
                <c:pt idx="332">
                  <c:v>7.6225042847891444E-2</c:v>
                </c:pt>
                <c:pt idx="333">
                  <c:v>7.6246540440692789E-2</c:v>
                </c:pt>
                <c:pt idx="334">
                  <c:v>7.6268037533213651E-2</c:v>
                </c:pt>
                <c:pt idx="335">
                  <c:v>7.6289534125465797E-2</c:v>
                </c:pt>
                <c:pt idx="336">
                  <c:v>7.6311030217460885E-2</c:v>
                </c:pt>
                <c:pt idx="337">
                  <c:v>7.6332525809210461E-2</c:v>
                </c:pt>
                <c:pt idx="338">
                  <c:v>7.6354020900726183E-2</c:v>
                </c:pt>
                <c:pt idx="339">
                  <c:v>7.6375515492019708E-2</c:v>
                </c:pt>
                <c:pt idx="340">
                  <c:v>7.6397009583102804E-2</c:v>
                </c:pt>
                <c:pt idx="341">
                  <c:v>7.6418503173986907E-2</c:v>
                </c:pt>
                <c:pt idx="342">
                  <c:v>7.6439996264683785E-2</c:v>
                </c:pt>
                <c:pt idx="343">
                  <c:v>7.6461488855204984E-2</c:v>
                </c:pt>
                <c:pt idx="344">
                  <c:v>7.6482980945562273E-2</c:v>
                </c:pt>
                <c:pt idx="345">
                  <c:v>7.6504472535767198E-2</c:v>
                </c:pt>
                <c:pt idx="346">
                  <c:v>7.6525963625831417E-2</c:v>
                </c:pt>
                <c:pt idx="347">
                  <c:v>7.6547454215766586E-2</c:v>
                </c:pt>
                <c:pt idx="348">
                  <c:v>7.6568944305584363E-2</c:v>
                </c:pt>
                <c:pt idx="349">
                  <c:v>7.6590433895296295E-2</c:v>
                </c:pt>
                <c:pt idx="350">
                  <c:v>7.6611922984914149E-2</c:v>
                </c:pt>
                <c:pt idx="351">
                  <c:v>7.6633411574449473E-2</c:v>
                </c:pt>
                <c:pt idx="352">
                  <c:v>7.6654899663913811E-2</c:v>
                </c:pt>
                <c:pt idx="353">
                  <c:v>7.6676387253319045E-2</c:v>
                </c:pt>
                <c:pt idx="354">
                  <c:v>7.6697874342676609E-2</c:v>
                </c:pt>
                <c:pt idx="355">
                  <c:v>7.6719360931998271E-2</c:v>
                </c:pt>
                <c:pt idx="356">
                  <c:v>7.6740847021295577E-2</c:v>
                </c:pt>
                <c:pt idx="357">
                  <c:v>7.6762332610580186E-2</c:v>
                </c:pt>
                <c:pt idx="358">
                  <c:v>7.6783817699863866E-2</c:v>
                </c:pt>
                <c:pt idx="359">
                  <c:v>7.680530228915794E-2</c:v>
                </c:pt>
                <c:pt idx="360">
                  <c:v>7.6826786378474399E-2</c:v>
                </c:pt>
                <c:pt idx="361">
                  <c:v>7.6848269967824567E-2</c:v>
                </c:pt>
                <c:pt idx="362">
                  <c:v>7.6869753057220325E-2</c:v>
                </c:pt>
                <c:pt idx="363">
                  <c:v>7.6891235646673217E-2</c:v>
                </c:pt>
                <c:pt idx="364">
                  <c:v>7.6912717736194791E-2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9.7124687670071735E-2</c:v>
                </c:pt>
                <c:pt idx="1">
                  <c:v>9.7211686043555109E-2</c:v>
                </c:pt>
                <c:pt idx="2">
                  <c:v>9.7298796531424994E-2</c:v>
                </c:pt>
                <c:pt idx="3">
                  <c:v>9.7385997076353564E-2</c:v>
                </c:pt>
                <c:pt idx="4">
                  <c:v>9.74732684773362E-2</c:v>
                </c:pt>
                <c:pt idx="5">
                  <c:v>9.7560594308125942E-2</c:v>
                </c:pt>
                <c:pt idx="6">
                  <c:v>9.7647960813611157E-2</c:v>
                </c:pt>
                <c:pt idx="7">
                  <c:v>9.7735356785866756E-2</c:v>
                </c:pt>
                <c:pt idx="8">
                  <c:v>9.7822773421763431E-2</c:v>
                </c:pt>
                <c:pt idx="9">
                  <c:v>9.791020416415086E-2</c:v>
                </c:pt>
                <c:pt idx="10">
                  <c:v>9.7997644528743363E-2</c:v>
                </c:pt>
                <c:pt idx="11">
                  <c:v>9.8085091918923478E-2</c:v>
                </c:pt>
                <c:pt idx="12">
                  <c:v>9.8172545430746078E-2</c:v>
                </c:pt>
                <c:pt idx="13">
                  <c:v>9.8260005650468274E-2</c:v>
                </c:pt>
                <c:pt idx="14">
                  <c:v>9.8347474446948704E-2</c:v>
                </c:pt>
                <c:pt idx="15">
                  <c:v>9.8434954761258311E-2</c:v>
                </c:pt>
                <c:pt idx="16">
                  <c:v>9.8522450395815711E-2</c:v>
                </c:pt>
                <c:pt idx="17">
                  <c:v>9.8609965805313754E-2</c:v>
                </c:pt>
                <c:pt idx="18">
                  <c:v>9.8697505891633439E-2</c:v>
                </c:pt>
                <c:pt idx="19">
                  <c:v>9.8785075804850325E-2</c:v>
                </c:pt>
                <c:pt idx="20">
                  <c:v>9.8872680752330369E-2</c:v>
                </c:pt>
                <c:pt idx="21">
                  <c:v>9.8960325817784522E-2</c:v>
                </c:pt>
                <c:pt idx="22">
                  <c:v>9.904801579200774E-2</c:v>
                </c:pt>
                <c:pt idx="23">
                  <c:v>9.9135755016871246E-2</c:v>
                </c:pt>
                <c:pt idx="24">
                  <c:v>9.9223547243965246E-2</c:v>
                </c:pt>
                <c:pt idx="25">
                  <c:v>9.9311395509109349E-2</c:v>
                </c:pt>
                <c:pt idx="26">
                  <c:v>9.9399302023755909E-2</c:v>
                </c:pt>
                <c:pt idx="27">
                  <c:v>9.9487268084117675E-2</c:v>
                </c:pt>
                <c:pt idx="28">
                  <c:v>9.9575293998646411E-2</c:v>
                </c:pt>
                <c:pt idx="29">
                  <c:v>9.9663379034288055E-2</c:v>
                </c:pt>
                <c:pt idx="30">
                  <c:v>9.9751521381734612E-2</c:v>
                </c:pt>
                <c:pt idx="31">
                  <c:v>9.9839718139690128E-2</c:v>
                </c:pt>
                <c:pt idx="32">
                  <c:v>9.9927965317970505E-2</c:v>
                </c:pt>
                <c:pt idx="33">
                  <c:v>0.10001625785906344</c:v>
                </c:pt>
                <c:pt idx="34">
                  <c:v>0.10010458967758898</c:v>
                </c:pt>
                <c:pt idx="35">
                  <c:v>0.1001929537169267</c:v>
                </c:pt>
                <c:pt idx="36">
                  <c:v>0.10028134202210949</c:v>
                </c:pt>
                <c:pt idx="37">
                  <c:v>0.10036974582793251</c:v>
                </c:pt>
                <c:pt idx="38">
                  <c:v>0.10045815566108741</c:v>
                </c:pt>
                <c:pt idx="39">
                  <c:v>0.10054656145500919</c:v>
                </c:pt>
                <c:pt idx="40">
                  <c:v>0.10063495267601559</c:v>
                </c:pt>
                <c:pt idx="41">
                  <c:v>0.10072331845922984</c:v>
                </c:pt>
                <c:pt idx="42">
                  <c:v>0.10081164775270424</c:v>
                </c:pt>
                <c:pt idx="43">
                  <c:v>0.10089992946810925</c:v>
                </c:pt>
                <c:pt idx="44">
                  <c:v>0.10098815263631461</c:v>
                </c:pt>
                <c:pt idx="45">
                  <c:v>0.10107630656617383</c:v>
                </c:pt>
                <c:pt idx="46">
                  <c:v>0.10116438100482168</c:v>
                </c:pt>
                <c:pt idx="47">
                  <c:v>0.10125236629781317</c:v>
                </c:pt>
                <c:pt idx="48">
                  <c:v>0.10134025354746846</c:v>
                </c:pt>
                <c:pt idx="49">
                  <c:v>0.10142803476783881</c:v>
                </c:pt>
                <c:pt idx="50">
                  <c:v>0.10151570303477686</c:v>
                </c:pt>
                <c:pt idx="51">
                  <c:v>0.10160325262967557</c:v>
                </c:pt>
                <c:pt idx="52">
                  <c:v>0.10169067917553631</c:v>
                </c:pt>
                <c:pt idx="53">
                  <c:v>0.10177797976413269</c:v>
                </c:pt>
                <c:pt idx="54">
                  <c:v>0.1018651530731544</c:v>
                </c:pt>
                <c:pt idx="55">
                  <c:v>0.10195219947234302</c:v>
                </c:pt>
                <c:pt idx="56">
                  <c:v>0.10203912111776392</c:v>
                </c:pt>
                <c:pt idx="57">
                  <c:v>0.10212592203349945</c:v>
                </c:pt>
                <c:pt idx="58">
                  <c:v>0.102212608180192</c:v>
                </c:pt>
                <c:pt idx="59">
                  <c:v>0.10229918751001009</c:v>
                </c:pt>
                <c:pt idx="60">
                  <c:v>0.1023856700077601</c:v>
                </c:pt>
                <c:pt idx="61">
                  <c:v>0.10247206771800747</c:v>
                </c:pt>
                <c:pt idx="62">
                  <c:v>0.10255839475821817</c:v>
                </c:pt>
                <c:pt idx="63">
                  <c:v>0.10264466731806554</c:v>
                </c:pt>
                <c:pt idx="64">
                  <c:v>0.10273090364518292</c:v>
                </c:pt>
                <c:pt idx="65">
                  <c:v>0.10281712401776533</c:v>
                </c:pt>
                <c:pt idx="66">
                  <c:v>0.10290335070454083</c:v>
                </c:pt>
                <c:pt idx="67">
                  <c:v>0.10298960791273906</c:v>
                </c:pt>
                <c:pt idx="68">
                  <c:v>0.10307592172477882</c:v>
                </c:pt>
                <c:pt idx="69">
                  <c:v>0.10316232002448217</c:v>
                </c:pt>
                <c:pt idx="70">
                  <c:v>0.10324883241369245</c:v>
                </c:pt>
                <c:pt idx="71">
                  <c:v>0.10333549012023337</c:v>
                </c:pt>
                <c:pt idx="72">
                  <c:v>0.10342232589819009</c:v>
                </c:pt>
                <c:pt idx="73">
                  <c:v>0.10350937392152494</c:v>
                </c:pt>
                <c:pt idx="74">
                  <c:v>0.10359666967205822</c:v>
                </c:pt>
                <c:pt idx="75">
                  <c:v>0.10368424982284725</c:v>
                </c:pt>
                <c:pt idx="76">
                  <c:v>0.10377215211798833</c:v>
                </c:pt>
                <c:pt idx="77">
                  <c:v>0.10386041524984277</c:v>
                </c:pt>
                <c:pt idx="78">
                  <c:v>0.10394907873465378</c:v>
                </c:pt>
                <c:pt idx="79">
                  <c:v>0.10403818278747438</c:v>
                </c:pt>
                <c:pt idx="80">
                  <c:v>0.10412776819726936</c:v>
                </c:pt>
                <c:pt idx="81">
                  <c:v>0.10421787620298667</c:v>
                </c:pt>
                <c:pt idx="82">
                  <c:v>0.10430854837131986</c:v>
                </c:pt>
                <c:pt idx="83">
                  <c:v>0.10439982647679864</c:v>
                </c:pt>
                <c:pt idx="84">
                  <c:v>0.10449175238475691</c:v>
                </c:pt>
                <c:pt idx="85">
                  <c:v>0.10458436793763409</c:v>
                </c:pt>
                <c:pt idx="86">
                  <c:v>0.10467771484496871</c:v>
                </c:pt>
                <c:pt idx="87">
                  <c:v>0.10477183457734546</c:v>
                </c:pt>
                <c:pt idx="88">
                  <c:v>0.10486676826445754</c:v>
                </c:pt>
                <c:pt idx="89">
                  <c:v>0.10496255659734971</c:v>
                </c:pt>
                <c:pt idx="90">
                  <c:v>0.10505923973481182</c:v>
                </c:pt>
                <c:pt idx="91">
                  <c:v>0.10515685721380261</c:v>
                </c:pt>
                <c:pt idx="92">
                  <c:v>0.10525544786369803</c:v>
                </c:pt>
                <c:pt idx="93">
                  <c:v>0.10535504972407901</c:v>
                </c:pt>
                <c:pt idx="94">
                  <c:v>0.10545569996570425</c:v>
                </c:pt>
                <c:pt idx="95">
                  <c:v>0.10555743481424971</c:v>
                </c:pt>
                <c:pt idx="96">
                  <c:v>0.10566028947634573</c:v>
                </c:pt>
                <c:pt idx="97">
                  <c:v>0.10576429806740026</c:v>
                </c:pt>
                <c:pt idx="98">
                  <c:v>0.10586949354066662</c:v>
                </c:pt>
                <c:pt idx="99">
                  <c:v>0.1059759076169958</c:v>
                </c:pt>
                <c:pt idx="100">
                  <c:v>0.10608357071470609</c:v>
                </c:pt>
                <c:pt idx="101">
                  <c:v>0.10619251187900995</c:v>
                </c:pt>
                <c:pt idx="102">
                  <c:v>0.10630275871045479</c:v>
                </c:pt>
                <c:pt idx="103">
                  <c:v>0.10641433729186586</c:v>
                </c:pt>
                <c:pt idx="104">
                  <c:v>0.10652727211332107</c:v>
                </c:pt>
                <c:pt idx="105">
                  <c:v>0.10664158599474119</c:v>
                </c:pt>
                <c:pt idx="106">
                  <c:v>0.10675730000574378</c:v>
                </c:pt>
                <c:pt idx="107">
                  <c:v>0.10687443338248276</c:v>
                </c:pt>
                <c:pt idx="108">
                  <c:v>0.10699300344127964</c:v>
                </c:pt>
                <c:pt idx="109">
                  <c:v>0.1071130254889438</c:v>
                </c:pt>
                <c:pt idx="110">
                  <c:v>0.10723451272977612</c:v>
                </c:pt>
                <c:pt idx="111">
                  <c:v>0.10735747616935629</c:v>
                </c:pt>
                <c:pt idx="112">
                  <c:v>0.10748192451531927</c:v>
                </c:pt>
                <c:pt idx="113">
                  <c:v>0.10760786407543887</c:v>
                </c:pt>
                <c:pt idx="114">
                  <c:v>0.10773529865344704</c:v>
                </c:pt>
                <c:pt idx="115">
                  <c:v>0.10786422944312861</c:v>
                </c:pt>
                <c:pt idx="116">
                  <c:v>0.10799465492134118</c:v>
                </c:pt>
                <c:pt idx="117">
                  <c:v>0.10812657074071491</c:v>
                </c:pt>
                <c:pt idx="118">
                  <c:v>0.10825996962288754</c:v>
                </c:pt>
                <c:pt idx="119">
                  <c:v>1.8199148020337074E-2</c:v>
                </c:pt>
                <c:pt idx="120">
                  <c:v>1.8387988768971755E-2</c:v>
                </c:pt>
                <c:pt idx="121">
                  <c:v>1.8577064693754534E-2</c:v>
                </c:pt>
                <c:pt idx="122">
                  <c:v>1.8766378869406391E-2</c:v>
                </c:pt>
                <c:pt idx="123">
                  <c:v>1.8955933620367422E-2</c:v>
                </c:pt>
                <c:pt idx="124">
                  <c:v>1.9145730481686014E-2</c:v>
                </c:pt>
                <c:pt idx="125">
                  <c:v>1.9335770160891049E-2</c:v>
                </c:pt>
                <c:pt idx="126">
                  <c:v>1.9526052501176585E-2</c:v>
                </c:pt>
                <c:pt idx="127">
                  <c:v>1.9716576446242882E-2</c:v>
                </c:pt>
                <c:pt idx="128">
                  <c:v>1.9907340007148312E-2</c:v>
                </c:pt>
                <c:pt idx="129">
                  <c:v>2.0098340231534614E-2</c:v>
                </c:pt>
                <c:pt idx="130">
                  <c:v>2.028957317559172E-2</c:v>
                </c:pt>
                <c:pt idx="131">
                  <c:v>2.0481033879129102E-2</c:v>
                </c:pt>
                <c:pt idx="132">
                  <c:v>2.0672716344115792E-2</c:v>
                </c:pt>
                <c:pt idx="133">
                  <c:v>2.0864613517044599E-2</c:v>
                </c:pt>
                <c:pt idx="134">
                  <c:v>2.1056717275462364E-2</c:v>
                </c:pt>
                <c:pt idx="135">
                  <c:v>2.1249018418993154E-2</c:v>
                </c:pt>
                <c:pt idx="136">
                  <c:v>2.1441506665159329E-2</c:v>
                </c:pt>
                <c:pt idx="137">
                  <c:v>2.163417065028134E-2</c:v>
                </c:pt>
                <c:pt idx="138">
                  <c:v>2.1826997935708116E-2</c:v>
                </c:pt>
                <c:pt idx="139">
                  <c:v>2.2019975019596551E-2</c:v>
                </c:pt>
                <c:pt idx="140">
                  <c:v>2.2213087354422997E-2</c:v>
                </c:pt>
                <c:pt idx="141">
                  <c:v>2.2406319370368914E-2</c:v>
                </c:pt>
                <c:pt idx="142">
                  <c:v>2.2599654504680669E-2</c:v>
                </c:pt>
                <c:pt idx="143">
                  <c:v>2.2793075237057019E-2</c:v>
                </c:pt>
                <c:pt idx="144">
                  <c:v>2.2986563131070663E-2</c:v>
                </c:pt>
                <c:pt idx="145">
                  <c:v>2.3180098881579476E-2</c:v>
                </c:pt>
                <c:pt idx="146">
                  <c:v>2.3373662368032316E-2</c:v>
                </c:pt>
                <c:pt idx="147">
                  <c:v>2.3567232713522134E-2</c:v>
                </c:pt>
                <c:pt idx="148">
                  <c:v>2.3760788349385796E-2</c:v>
                </c:pt>
                <c:pt idx="149">
                  <c:v>2.3954307085098454E-2</c:v>
                </c:pt>
                <c:pt idx="150">
                  <c:v>2.4147766183157841E-2</c:v>
                </c:pt>
                <c:pt idx="151">
                  <c:v>2.4341142438603625E-2</c:v>
                </c:pt>
                <c:pt idx="152">
                  <c:v>2.4534412262768257E-2</c:v>
                </c:pt>
                <c:pt idx="153">
                  <c:v>2.4727551770809122E-2</c:v>
                </c:pt>
                <c:pt idx="154">
                  <c:v>2.4920536872528647E-2</c:v>
                </c:pt>
                <c:pt idx="155">
                  <c:v>2.5113343365948549E-2</c:v>
                </c:pt>
                <c:pt idx="156">
                  <c:v>2.5305947033068737E-2</c:v>
                </c:pt>
                <c:pt idx="157">
                  <c:v>2.5498323737208891E-2</c:v>
                </c:pt>
                <c:pt idx="158">
                  <c:v>2.5690449521304271E-2</c:v>
                </c:pt>
                <c:pt idx="159">
                  <c:v>2.5882300706504806E-2</c:v>
                </c:pt>
                <c:pt idx="160">
                  <c:v>2.6073853990410886E-2</c:v>
                </c:pt>
                <c:pt idx="161">
                  <c:v>2.6265086544267447E-2</c:v>
                </c:pt>
                <c:pt idx="162">
                  <c:v>2.6455976108434337E-2</c:v>
                </c:pt>
                <c:pt idx="163">
                  <c:v>2.66465010854516E-2</c:v>
                </c:pt>
                <c:pt idx="164">
                  <c:v>2.6836640630026481E-2</c:v>
                </c:pt>
                <c:pt idx="165">
                  <c:v>2.7026374735282254E-2</c:v>
                </c:pt>
                <c:pt idx="166">
                  <c:v>2.721568431463002E-2</c:v>
                </c:pt>
                <c:pt idx="167">
                  <c:v>2.7404551278649988E-2</c:v>
                </c:pt>
                <c:pt idx="168">
                  <c:v>2.7592958606401544E-2</c:v>
                </c:pt>
                <c:pt idx="169">
                  <c:v>2.7780890410619676E-2</c:v>
                </c:pt>
                <c:pt idx="170">
                  <c:v>2.7968331996297797E-2</c:v>
                </c:pt>
                <c:pt idx="171">
                  <c:v>2.8155269912206914E-2</c:v>
                </c:pt>
                <c:pt idx="172">
                  <c:v>2.8341691994953195E-2</c:v>
                </c:pt>
                <c:pt idx="173">
                  <c:v>2.8527587405233926E-2</c:v>
                </c:pt>
                <c:pt idx="174">
                  <c:v>2.8712946656013354E-2</c:v>
                </c:pt>
                <c:pt idx="175">
                  <c:v>2.8897761632403214E-2</c:v>
                </c:pt>
                <c:pt idx="176">
                  <c:v>2.9082025603100674E-2</c:v>
                </c:pt>
                <c:pt idx="177">
                  <c:v>2.9265733223304165E-2</c:v>
                </c:pt>
                <c:pt idx="178">
                  <c:v>2.9448880529098217E-2</c:v>
                </c:pt>
                <c:pt idx="179">
                  <c:v>2.9631464923368236E-2</c:v>
                </c:pt>
                <c:pt idx="180">
                  <c:v>2.9813485153376902E-2</c:v>
                </c:pt>
                <c:pt idx="181">
                  <c:v>2.9994941280202907E-2</c:v>
                </c:pt>
                <c:pt idx="182">
                  <c:v>3.0175834640311094E-2</c:v>
                </c:pt>
                <c:pt idx="183">
                  <c:v>3.0356167799587708E-2</c:v>
                </c:pt>
                <c:pt idx="184">
                  <c:v>3.0535944500238405E-2</c:v>
                </c:pt>
                <c:pt idx="185">
                  <c:v>3.0715169601004157E-2</c:v>
                </c:pt>
                <c:pt idx="186">
                  <c:v>3.0893849011206547E-2</c:v>
                </c:pt>
                <c:pt idx="187">
                  <c:v>3.1071989619182783E-2</c:v>
                </c:pt>
                <c:pt idx="188">
                  <c:v>3.1249599215716073E-2</c:v>
                </c:pt>
                <c:pt idx="189">
                  <c:v>3.1426686413105934E-2</c:v>
                </c:pt>
                <c:pt idx="190">
                  <c:v>3.1603260560555298E-2</c:v>
                </c:pt>
                <c:pt idx="191">
                  <c:v>3.1779331656577939E-2</c:v>
                </c:pt>
                <c:pt idx="192">
                  <c:v>3.1954910259148608E-2</c:v>
                </c:pt>
                <c:pt idx="193">
                  <c:v>3.2130007394330369E-2</c:v>
                </c:pt>
                <c:pt idx="194">
                  <c:v>3.2304634464119096E-2</c:v>
                </c:pt>
                <c:pt idx="195">
                  <c:v>3.2478803154241856E-2</c:v>
                </c:pt>
                <c:pt idx="196">
                  <c:v>3.2652525342637101E-2</c:v>
                </c:pt>
                <c:pt idx="197">
                  <c:v>3.2825813009327215E-2</c:v>
                </c:pt>
                <c:pt idx="198">
                  <c:v>3.2998678148369875E-2</c:v>
                </c:pt>
                <c:pt idx="199">
                  <c:v>3.3171132682544895E-2</c:v>
                </c:pt>
                <c:pt idx="200">
                  <c:v>3.3343188381394752E-2</c:v>
                </c:pt>
                <c:pt idx="201">
                  <c:v>3.3514856783194921E-2</c:v>
                </c:pt>
                <c:pt idx="202">
                  <c:v>3.3686149121380828E-2</c:v>
                </c:pt>
                <c:pt idx="203">
                  <c:v>3.3857076255903742E-2</c:v>
                </c:pt>
                <c:pt idx="204">
                  <c:v>3.4027648609930822E-2</c:v>
                </c:pt>
                <c:pt idx="205">
                  <c:v>3.419787611224074E-2</c:v>
                </c:pt>
                <c:pt idx="206">
                  <c:v>3.4367768145601836E-2</c:v>
                </c:pt>
                <c:pt idx="207">
                  <c:v>3.4537333501351276E-2</c:v>
                </c:pt>
                <c:pt idx="208">
                  <c:v>3.4706580340324283E-2</c:v>
                </c:pt>
                <c:pt idx="209">
                  <c:v>3.4875516160211721E-2</c:v>
                </c:pt>
                <c:pt idx="210">
                  <c:v>3.5044147769353405E-2</c:v>
                </c:pt>
                <c:pt idx="211">
                  <c:v>3.5212481266905044E-2</c:v>
                </c:pt>
                <c:pt idx="212">
                  <c:v>3.5380522029247297E-2</c:v>
                </c:pt>
                <c:pt idx="213">
                  <c:v>3.5548274702439063E-2</c:v>
                </c:pt>
                <c:pt idx="214">
                  <c:v>3.5715743200454467E-2</c:v>
                </c:pt>
                <c:pt idx="215">
                  <c:v>3.5882930708882148E-2</c:v>
                </c:pt>
                <c:pt idx="216">
                  <c:v>3.6049839693710645E-2</c:v>
                </c:pt>
                <c:pt idx="217">
                  <c:v>3.6216471914773757E-2</c:v>
                </c:pt>
                <c:pt idx="218">
                  <c:v>3.6382828443383808E-2</c:v>
                </c:pt>
                <c:pt idx="219">
                  <c:v>3.6548909683644076E-2</c:v>
                </c:pt>
                <c:pt idx="220">
                  <c:v>3.671471539689794E-2</c:v>
                </c:pt>
                <c:pt idx="221">
                  <c:v>3.6880244728748825E-2</c:v>
                </c:pt>
                <c:pt idx="222">
                  <c:v>3.7045496238066723E-2</c:v>
                </c:pt>
                <c:pt idx="223">
                  <c:v>3.7210467927387671E-2</c:v>
                </c:pt>
                <c:pt idx="224">
                  <c:v>3.7375157274109866E-2</c:v>
                </c:pt>
                <c:pt idx="225">
                  <c:v>3.753956126189608E-2</c:v>
                </c:pt>
                <c:pt idx="226">
                  <c:v>3.7703676411704856E-2</c:v>
                </c:pt>
                <c:pt idx="227">
                  <c:v>3.7867498811894544E-2</c:v>
                </c:pt>
                <c:pt idx="228">
                  <c:v>3.803102414687172E-2</c:v>
                </c:pt>
                <c:pt idx="229">
                  <c:v>3.8194247723791618E-2</c:v>
                </c:pt>
                <c:pt idx="230">
                  <c:v>3.8357164496859886E-2</c:v>
                </c:pt>
                <c:pt idx="231">
                  <c:v>3.8519769088833491E-2</c:v>
                </c:pt>
                <c:pt idx="232">
                  <c:v>3.8682055809372756E-2</c:v>
                </c:pt>
                <c:pt idx="233">
                  <c:v>3.8844018669955342E-2</c:v>
                </c:pt>
                <c:pt idx="234">
                  <c:v>3.9005651395127017E-2</c:v>
                </c:pt>
                <c:pt idx="235">
                  <c:v>3.9166947429930481E-2</c:v>
                </c:pt>
                <c:pt idx="236">
                  <c:v>3.9327899943424741E-2</c:v>
                </c:pt>
                <c:pt idx="237">
                  <c:v>3.9488501828278136E-2</c:v>
                </c:pt>
                <c:pt idx="238">
                  <c:v>3.9648745696492974E-2</c:v>
                </c:pt>
                <c:pt idx="239">
                  <c:v>3.9808623871391897E-2</c:v>
                </c:pt>
                <c:pt idx="240">
                  <c:v>3.9968128376069993E-2</c:v>
                </c:pt>
                <c:pt idx="241">
                  <c:v>4.0127250918587321E-2</c:v>
                </c:pt>
                <c:pt idx="242">
                  <c:v>4.0285982874246118E-2</c:v>
                </c:pt>
                <c:pt idx="243">
                  <c:v>4.0444315265361845E-2</c:v>
                </c:pt>
                <c:pt idx="244">
                  <c:v>4.0602238738999256E-2</c:v>
                </c:pt>
                <c:pt idx="245">
                  <c:v>4.0759743543200659E-2</c:v>
                </c:pt>
                <c:pt idx="246">
                  <c:v>4.0916819502284152E-2</c:v>
                </c:pt>
                <c:pt idx="247">
                  <c:v>4.1073455991834026E-2</c:v>
                </c:pt>
                <c:pt idx="248">
                  <c:v>4.1229641914042103E-2</c:v>
                </c:pt>
                <c:pt idx="249">
                  <c:v>4.1385365674087904E-2</c:v>
                </c:pt>
                <c:pt idx="250">
                  <c:v>4.1540615158266826E-2</c:v>
                </c:pt>
                <c:pt idx="251">
                  <c:v>4.1695377714587305E-2</c:v>
                </c:pt>
                <c:pt idx="252">
                  <c:v>4.1849640136561318E-2</c:v>
                </c:pt>
                <c:pt idx="253">
                  <c:v>4.2003388650906671E-2</c:v>
                </c:pt>
                <c:pt idx="254">
                  <c:v>4.215660890986403E-2</c:v>
                </c:pt>
                <c:pt idx="255">
                  <c:v>4.2309285988806802E-2</c:v>
                </c:pt>
                <c:pt idx="256">
                  <c:v>4.24614043897883E-2</c:v>
                </c:pt>
                <c:pt idx="257">
                  <c:v>4.2612948051627075E-2</c:v>
                </c:pt>
                <c:pt idx="258">
                  <c:v>4.2763900367079617E-2</c:v>
                </c:pt>
                <c:pt idx="259">
                  <c:v>4.2914244207589082E-2</c:v>
                </c:pt>
                <c:pt idx="260">
                  <c:v>4.306396195603051E-2</c:v>
                </c:pt>
                <c:pt idx="261">
                  <c:v>4.3213035547797506E-2</c:v>
                </c:pt>
                <c:pt idx="262">
                  <c:v>4.3361446520492911E-2</c:v>
                </c:pt>
                <c:pt idx="263">
                  <c:v>4.3509176072397945E-2</c:v>
                </c:pt>
                <c:pt idx="264">
                  <c:v>4.3656205129801402E-2</c:v>
                </c:pt>
                <c:pt idx="265">
                  <c:v>4.3802514423172852E-2</c:v>
                </c:pt>
                <c:pt idx="266">
                  <c:v>4.3948084572064186E-2</c:v>
                </c:pt>
                <c:pt idx="267">
                  <c:v>4.4092896178520607E-2</c:v>
                </c:pt>
                <c:pt idx="268">
                  <c:v>4.4236929928679232E-2</c:v>
                </c:pt>
                <c:pt idx="269">
                  <c:v>4.4380166702130547E-2</c:v>
                </c:pt>
                <c:pt idx="270">
                  <c:v>4.4522587688514602E-2</c:v>
                </c:pt>
                <c:pt idx="271">
                  <c:v>4.4664174510725664E-2</c:v>
                </c:pt>
                <c:pt idx="272">
                  <c:v>4.4804909354001235E-2</c:v>
                </c:pt>
                <c:pt idx="273">
                  <c:v>4.494477510008061E-2</c:v>
                </c:pt>
                <c:pt idx="274">
                  <c:v>4.5083755465531547E-2</c:v>
                </c:pt>
                <c:pt idx="275">
                  <c:v>4.5221835143264028E-2</c:v>
                </c:pt>
                <c:pt idx="276">
                  <c:v>4.5358999946178542E-2</c:v>
                </c:pt>
                <c:pt idx="277">
                  <c:v>4.549523695183285E-2</c:v>
                </c:pt>
                <c:pt idx="278">
                  <c:v>4.5630534646957252E-2</c:v>
                </c:pt>
                <c:pt idx="279">
                  <c:v>4.5764883070604487E-2</c:v>
                </c:pt>
                <c:pt idx="280">
                  <c:v>4.5898273954687908E-2</c:v>
                </c:pt>
                <c:pt idx="281">
                  <c:v>4.6030700860639165E-2</c:v>
                </c:pt>
                <c:pt idx="282">
                  <c:v>4.6162159310907724E-2</c:v>
                </c:pt>
                <c:pt idx="283">
                  <c:v>4.6292646914026236E-2</c:v>
                </c:pt>
                <c:pt idx="284">
                  <c:v>4.6422163481981027E-2</c:v>
                </c:pt>
                <c:pt idx="285">
                  <c:v>4.6550711138653812E-2</c:v>
                </c:pt>
                <c:pt idx="286">
                  <c:v>4.6678294418140864E-2</c:v>
                </c:pt>
                <c:pt idx="287">
                  <c:v>4.6804920351807541E-2</c:v>
                </c:pt>
                <c:pt idx="288">
                  <c:v>4.6930598543000024E-2</c:v>
                </c:pt>
                <c:pt idx="289">
                  <c:v>4.7055341228412144E-2</c:v>
                </c:pt>
                <c:pt idx="290">
                  <c:v>4.7179163325191453E-2</c:v>
                </c:pt>
                <c:pt idx="291">
                  <c:v>4.7302082462965904E-2</c:v>
                </c:pt>
                <c:pt idx="292">
                  <c:v>4.7424119000079111E-2</c:v>
                </c:pt>
                <c:pt idx="293">
                  <c:v>4.7545296023438537E-2</c:v>
                </c:pt>
                <c:pt idx="294">
                  <c:v>4.7665639331502779E-2</c:v>
                </c:pt>
                <c:pt idx="295">
                  <c:v>4.7785177400065916E-2</c:v>
                </c:pt>
                <c:pt idx="296">
                  <c:v>4.7903941330631736E-2</c:v>
                </c:pt>
                <c:pt idx="297">
                  <c:v>4.8021964781310697E-2</c:v>
                </c:pt>
                <c:pt idx="298">
                  <c:v>4.8139283880316741E-2</c:v>
                </c:pt>
                <c:pt idx="299">
                  <c:v>4.8255937122285132E-2</c:v>
                </c:pt>
                <c:pt idx="300">
                  <c:v>4.8371965247779147E-2</c:v>
                </c:pt>
                <c:pt idx="301">
                  <c:v>4.848741110649743E-2</c:v>
                </c:pt>
                <c:pt idx="302">
                  <c:v>4.8602319504837121E-2</c:v>
                </c:pt>
                <c:pt idx="303">
                  <c:v>4.8716737038605976E-2</c:v>
                </c:pt>
                <c:pt idx="304">
                  <c:v>4.8830711911811479E-2</c:v>
                </c:pt>
                <c:pt idx="305">
                  <c:v>4.8944293742581989E-2</c:v>
                </c:pt>
                <c:pt idx="306">
                  <c:v>4.9057533357395489E-2</c:v>
                </c:pt>
                <c:pt idx="307">
                  <c:v>4.9170482574902925E-2</c:v>
                </c:pt>
                <c:pt idx="308">
                  <c:v>4.9283193980734115E-2</c:v>
                </c:pt>
                <c:pt idx="309">
                  <c:v>4.9395720694765936E-2</c:v>
                </c:pt>
                <c:pt idx="310">
                  <c:v>4.9508116132409866E-2</c:v>
                </c:pt>
                <c:pt idx="311">
                  <c:v>4.9620433761543306E-2</c:v>
                </c:pt>
                <c:pt idx="312">
                  <c:v>4.9732726856760986E-2</c:v>
                </c:pt>
                <c:pt idx="313">
                  <c:v>4.9845048252661298E-2</c:v>
                </c:pt>
                <c:pt idx="314">
                  <c:v>4.9957450097907197E-2</c:v>
                </c:pt>
                <c:pt idx="315">
                  <c:v>5.0069983611809664E-2</c:v>
                </c:pt>
                <c:pt idx="316">
                  <c:v>5.018269884517642E-2</c:v>
                </c:pt>
                <c:pt idx="317">
                  <c:v>5.0295644447147847E-2</c:v>
                </c:pt>
                <c:pt idx="318">
                  <c:v>5.0408867439705282E-2</c:v>
                </c:pt>
                <c:pt idx="319">
                  <c:v>5.0522413001487271E-2</c:v>
                </c:pt>
                <c:pt idx="320">
                  <c:v>5.063632426248342E-2</c:v>
                </c:pt>
                <c:pt idx="321">
                  <c:v>5.0750642111096707E-2</c:v>
                </c:pt>
                <c:pt idx="322">
                  <c:v>5.0865405014973053E-2</c:v>
                </c:pt>
                <c:pt idx="323">
                  <c:v>5.0980648856891853E-2</c:v>
                </c:pt>
                <c:pt idx="324">
                  <c:v>5.1096406786895143E-2</c:v>
                </c:pt>
                <c:pt idx="325">
                  <c:v>5.1212709091706304E-2</c:v>
                </c:pt>
                <c:pt idx="326">
                  <c:v>5.1329583082352408E-2</c:v>
                </c:pt>
                <c:pt idx="327">
                  <c:v>5.1447053000760502E-2</c:v>
                </c:pt>
                <c:pt idx="328">
                  <c:v>5.1565139945946074E-2</c:v>
                </c:pt>
                <c:pt idx="329">
                  <c:v>5.1683861820255299E-2</c:v>
                </c:pt>
                <c:pt idx="330">
                  <c:v>5.180323329596126E-2</c:v>
                </c:pt>
                <c:pt idx="331">
                  <c:v>5.1923265802350974E-2</c:v>
                </c:pt>
                <c:pt idx="332">
                  <c:v>5.2043967533274109E-2</c:v>
                </c:pt>
                <c:pt idx="333">
                  <c:v>5.2165343474960678E-2</c:v>
                </c:pt>
                <c:pt idx="334">
                  <c:v>5.2287395453751329E-2</c:v>
                </c:pt>
                <c:pt idx="335">
                  <c:v>5.2410122203224309E-2</c:v>
                </c:pt>
                <c:pt idx="336">
                  <c:v>5.2533519450049276E-2</c:v>
                </c:pt>
                <c:pt idx="337">
                  <c:v>5.2657580017747847E-2</c:v>
                </c:pt>
                <c:pt idx="338">
                  <c:v>5.2782293947401401E-2</c:v>
                </c:pt>
                <c:pt idx="339">
                  <c:v>5.290764863421369E-2</c:v>
                </c:pt>
                <c:pt idx="340">
                  <c:v>5.3033628978712971E-2</c:v>
                </c:pt>
                <c:pt idx="341">
                  <c:v>5.3160217551268776E-2</c:v>
                </c:pt>
                <c:pt idx="342">
                  <c:v>5.3287394768498156E-2</c:v>
                </c:pt>
                <c:pt idx="343">
                  <c:v>5.3415139080050945E-2</c:v>
                </c:pt>
                <c:pt idx="344">
                  <c:v>5.3543427164191651E-2</c:v>
                </c:pt>
                <c:pt idx="345">
                  <c:v>5.3672234130537136E-2</c:v>
                </c:pt>
                <c:pt idx="346">
                  <c:v>5.3801533728267154E-2</c:v>
                </c:pt>
                <c:pt idx="347">
                  <c:v>5.393129855809671E-2</c:v>
                </c:pt>
                <c:pt idx="348">
                  <c:v>5.4061500286287298E-2</c:v>
                </c:pt>
                <c:pt idx="349">
                  <c:v>5.419210985897676E-2</c:v>
                </c:pt>
                <c:pt idx="350">
                  <c:v>5.4323097715127118E-2</c:v>
                </c:pt>
                <c:pt idx="351">
                  <c:v>5.4454433996422219E-2</c:v>
                </c:pt>
                <c:pt idx="352">
                  <c:v>5.4586088752496577E-2</c:v>
                </c:pt>
                <c:pt idx="353">
                  <c:v>5.4718032139938498E-2</c:v>
                </c:pt>
                <c:pt idx="354">
                  <c:v>5.4850234613587505E-2</c:v>
                </c:pt>
                <c:pt idx="355">
                  <c:v>5.4982667108734111E-2</c:v>
                </c:pt>
                <c:pt idx="356">
                  <c:v>5.5115301212931178E-2</c:v>
                </c:pt>
                <c:pt idx="357">
                  <c:v>5.5248109326237319E-2</c:v>
                </c:pt>
                <c:pt idx="358">
                  <c:v>5.5381064808833508E-2</c:v>
                </c:pt>
                <c:pt idx="359">
                  <c:v>5.5514142115083986E-2</c:v>
                </c:pt>
                <c:pt idx="360">
                  <c:v>5.5647316913248958E-2</c:v>
                </c:pt>
                <c:pt idx="361">
                  <c:v>5.5780566190198388E-2</c:v>
                </c:pt>
                <c:pt idx="362">
                  <c:v>5.5913868340623882E-2</c:v>
                </c:pt>
                <c:pt idx="363">
                  <c:v>5.6047203240394403E-2</c:v>
                </c:pt>
                <c:pt idx="364">
                  <c:v>5.618055230385325E-2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3.101005345572747E-4</c:v>
                </c:pt>
                <c:pt idx="1">
                  <c:v>3.1290363953247121E-4</c:v>
                </c:pt>
                <c:pt idx="2">
                  <c:v>3.1610429208177678E-4</c:v>
                </c:pt>
                <c:pt idx="3">
                  <c:v>3.1968250167228727E-4</c:v>
                </c:pt>
                <c:pt idx="4">
                  <c:v>3.2361739846699009E-4</c:v>
                </c:pt>
                <c:pt idx="5">
                  <c:v>3.2788722864416134E-4</c:v>
                </c:pt>
                <c:pt idx="6">
                  <c:v>3.3246936917156756E-4</c:v>
                </c:pt>
                <c:pt idx="7">
                  <c:v>3.3734036171530034E-4</c:v>
                </c:pt>
                <c:pt idx="8">
                  <c:v>3.4248448706048374E-4</c:v>
                </c:pt>
                <c:pt idx="9">
                  <c:v>3.48194274686239E-4</c:v>
                </c:pt>
                <c:pt idx="10">
                  <c:v>3.5415079289278253E-4</c:v>
                </c:pt>
                <c:pt idx="11">
                  <c:v>3.6034648450704001E-4</c:v>
                </c:pt>
                <c:pt idx="12">
                  <c:v>3.6677389200300584E-4</c:v>
                </c:pt>
                <c:pt idx="13">
                  <c:v>3.7342572363369478E-4</c:v>
                </c:pt>
                <c:pt idx="14">
                  <c:v>3.8029491141410845E-4</c:v>
                </c:pt>
                <c:pt idx="15">
                  <c:v>3.8883103460565598E-4</c:v>
                </c:pt>
                <c:pt idx="16">
                  <c:v>3.987831825487097E-4</c:v>
                </c:pt>
                <c:pt idx="17">
                  <c:v>4.1010559322450768E-4</c:v>
                </c:pt>
                <c:pt idx="18">
                  <c:v>4.2275255512677596E-4</c:v>
                </c:pt>
                <c:pt idx="19">
                  <c:v>4.3668120368412313E-4</c:v>
                </c:pt>
                <c:pt idx="20">
                  <c:v>4.5185087953839676E-4</c:v>
                </c:pt>
                <c:pt idx="21">
                  <c:v>4.6822047568422518E-4</c:v>
                </c:pt>
                <c:pt idx="22">
                  <c:v>4.8570756516865899E-4</c:v>
                </c:pt>
                <c:pt idx="23">
                  <c:v>5.054801126661326E-4</c:v>
                </c:pt>
                <c:pt idx="24">
                  <c:v>5.2719641950652713E-4</c:v>
                </c:pt>
                <c:pt idx="25">
                  <c:v>5.5077949379416381E-4</c:v>
                </c:pt>
                <c:pt idx="26">
                  <c:v>5.7615429560752224E-4</c:v>
                </c:pt>
                <c:pt idx="27">
                  <c:v>6.0324817051228313E-4</c:v>
                </c:pt>
                <c:pt idx="28">
                  <c:v>6.3199121578621077E-4</c:v>
                </c:pt>
                <c:pt idx="29">
                  <c:v>6.6192111503014534E-4</c:v>
                </c:pt>
                <c:pt idx="30">
                  <c:v>6.917626077901194E-4</c:v>
                </c:pt>
                <c:pt idx="31">
                  <c:v>7.2151501504959096E-4</c:v>
                </c:pt>
                <c:pt idx="32">
                  <c:v>7.51179840869381E-4</c:v>
                </c:pt>
                <c:pt idx="33">
                  <c:v>7.8076061962208164E-4</c:v>
                </c:pt>
                <c:pt idx="34">
                  <c:v>8.102627710644089E-4</c:v>
                </c:pt>
                <c:pt idx="35">
                  <c:v>8.3969346493883187E-4</c:v>
                </c:pt>
                <c:pt idx="36">
                  <c:v>8.6900658268949948E-4</c:v>
                </c:pt>
                <c:pt idx="37">
                  <c:v>8.9549516094521945E-4</c:v>
                </c:pt>
                <c:pt idx="38">
                  <c:v>9.1821302246077627E-4</c:v>
                </c:pt>
                <c:pt idx="39">
                  <c:v>9.3729627788141352E-4</c:v>
                </c:pt>
                <c:pt idx="40">
                  <c:v>9.5287897954573065E-4</c:v>
                </c:pt>
                <c:pt idx="41">
                  <c:v>9.6509263403814769E-4</c:v>
                </c:pt>
                <c:pt idx="42">
                  <c:v>9.7406578756806066E-4</c:v>
                </c:pt>
                <c:pt idx="43">
                  <c:v>9.7720680316883157E-4</c:v>
                </c:pt>
                <c:pt idx="44">
                  <c:v>9.7506325619608006E-4</c:v>
                </c:pt>
                <c:pt idx="45">
                  <c:v>9.6783525039956784E-4</c:v>
                </c:pt>
                <c:pt idx="46">
                  <c:v>9.5571569777895484E-4</c:v>
                </c:pt>
                <c:pt idx="47">
                  <c:v>9.38890048889036E-4</c:v>
                </c:pt>
                <c:pt idx="48">
                  <c:v>9.1753608444500312E-4</c:v>
                </c:pt>
                <c:pt idx="49">
                  <c:v>8.9182375946117811E-4</c:v>
                </c:pt>
                <c:pt idx="50">
                  <c:v>8.6188220018110293E-4</c:v>
                </c:pt>
                <c:pt idx="51">
                  <c:v>8.290997216664238E-4</c:v>
                </c:pt>
                <c:pt idx="52">
                  <c:v>7.9580204483118756E-4</c:v>
                </c:pt>
                <c:pt idx="53">
                  <c:v>7.6201546978147067E-4</c:v>
                </c:pt>
                <c:pt idx="54">
                  <c:v>7.2776862470397253E-4</c:v>
                </c:pt>
                <c:pt idx="55">
                  <c:v>6.9308823657839784E-4</c:v>
                </c:pt>
                <c:pt idx="56">
                  <c:v>6.5799917196729288E-4</c:v>
                </c:pt>
                <c:pt idx="57">
                  <c:v>6.2429099540109423E-4</c:v>
                </c:pt>
                <c:pt idx="58">
                  <c:v>5.9421216452944182E-4</c:v>
                </c:pt>
                <c:pt idx="59">
                  <c:v>5.6765176807627279E-4</c:v>
                </c:pt>
                <c:pt idx="60">
                  <c:v>5.4450232226434085E-4</c:v>
                </c:pt>
                <c:pt idx="61">
                  <c:v>5.2465984414838695E-4</c:v>
                </c:pt>
                <c:pt idx="62">
                  <c:v>5.0802391286477056E-4</c:v>
                </c:pt>
                <c:pt idx="63">
                  <c:v>4.9449772034603271E-4</c:v>
                </c:pt>
                <c:pt idx="64">
                  <c:v>4.8397571625818117E-4</c:v>
                </c:pt>
                <c:pt idx="65">
                  <c:v>4.7606661738038123E-4</c:v>
                </c:pt>
                <c:pt idx="66">
                  <c:v>4.6962558042787361E-4</c:v>
                </c:pt>
                <c:pt idx="67">
                  <c:v>4.6461324787916278E-4</c:v>
                </c:pt>
                <c:pt idx="68">
                  <c:v>4.6099168386931887E-4</c:v>
                </c:pt>
                <c:pt idx="69">
                  <c:v>4.5872442716541256E-4</c:v>
                </c:pt>
                <c:pt idx="70">
                  <c:v>4.5777653895162689E-4</c:v>
                </c:pt>
                <c:pt idx="71">
                  <c:v>4.5761771677259723E-4</c:v>
                </c:pt>
                <c:pt idx="72">
                  <c:v>4.5671743622480821E-4</c:v>
                </c:pt>
                <c:pt idx="73">
                  <c:v>4.5510185795188664E-4</c:v>
                </c:pt>
                <c:pt idx="74">
                  <c:v>4.5279610070974924E-4</c:v>
                </c:pt>
                <c:pt idx="75">
                  <c:v>4.49824229924267E-4</c:v>
                </c:pt>
                <c:pt idx="76">
                  <c:v>4.4620924823579242E-4</c:v>
                </c:pt>
                <c:pt idx="77">
                  <c:v>4.4197308776613433E-4</c:v>
                </c:pt>
                <c:pt idx="78">
                  <c:v>4.3709555088307199E-4</c:v>
                </c:pt>
                <c:pt idx="79">
                  <c:v>4.3110038452743476E-4</c:v>
                </c:pt>
                <c:pt idx="80">
                  <c:v>4.242866349258961E-4</c:v>
                </c:pt>
                <c:pt idx="81">
                  <c:v>4.1669332736485218E-4</c:v>
                </c:pt>
                <c:pt idx="82">
                  <c:v>4.0835672895717041E-4</c:v>
                </c:pt>
                <c:pt idx="83">
                  <c:v>3.9931013880109599E-4</c:v>
                </c:pt>
                <c:pt idx="84">
                  <c:v>3.8958371632084751E-4</c:v>
                </c:pt>
                <c:pt idx="85">
                  <c:v>3.7893968741271547E-4</c:v>
                </c:pt>
                <c:pt idx="86">
                  <c:v>3.6784387198391408E-4</c:v>
                </c:pt>
                <c:pt idx="87">
                  <c:v>3.5631205339392254E-4</c:v>
                </c:pt>
                <c:pt idx="88">
                  <c:v>3.4435684118134331E-4</c:v>
                </c:pt>
                <c:pt idx="89">
                  <c:v>3.3198764455030295E-4</c:v>
                </c:pt>
                <c:pt idx="90">
                  <c:v>3.1921064673187736E-4</c:v>
                </c:pt>
                <c:pt idx="91">
                  <c:v>3.0602877646491376E-4</c:v>
                </c:pt>
                <c:pt idx="92">
                  <c:v>2.9241604743823508E-4</c:v>
                </c:pt>
                <c:pt idx="93">
                  <c:v>2.7854932631515703E-4</c:v>
                </c:pt>
                <c:pt idx="94">
                  <c:v>2.6484833862912196E-4</c:v>
                </c:pt>
                <c:pt idx="95">
                  <c:v>2.5129982185297529E-4</c:v>
                </c:pt>
                <c:pt idx="96">
                  <c:v>2.3789060865277568E-4</c:v>
                </c:pt>
                <c:pt idx="97">
                  <c:v>2.2460760526611171E-4</c:v>
                </c:pt>
                <c:pt idx="98">
                  <c:v>2.1143777078602713E-4</c:v>
                </c:pt>
                <c:pt idx="99">
                  <c:v>1.9867602342122121E-4</c:v>
                </c:pt>
                <c:pt idx="100">
                  <c:v>1.8655478030914628E-4</c:v>
                </c:pt>
                <c:pt idx="101">
                  <c:v>1.7505831926627343E-4</c:v>
                </c:pt>
                <c:pt idx="102">
                  <c:v>1.6417205361307142E-4</c:v>
                </c:pt>
                <c:pt idx="103">
                  <c:v>1.5388251420934133E-4</c:v>
                </c:pt>
                <c:pt idx="104">
                  <c:v>1.4417733385501519E-4</c:v>
                </c:pt>
                <c:pt idx="105">
                  <c:v>1.3504523404075269E-4</c:v>
                </c:pt>
                <c:pt idx="106">
                  <c:v>1.2647593381575489E-4</c:v>
                </c:pt>
                <c:pt idx="107">
                  <c:v>1.186385044181345E-4</c:v>
                </c:pt>
                <c:pt idx="108">
                  <c:v>1.1132424042121827E-4</c:v>
                </c:pt>
                <c:pt idx="109">
                  <c:v>1.0452580232673694E-4</c:v>
                </c:pt>
                <c:pt idx="110">
                  <c:v>9.8237200221141697E-5</c:v>
                </c:pt>
                <c:pt idx="111">
                  <c:v>9.2453431617380404E-5</c:v>
                </c:pt>
                <c:pt idx="112">
                  <c:v>8.7170221843040961E-5</c:v>
                </c:pt>
                <c:pt idx="113">
                  <c:v>8.2527586569536545E-5</c:v>
                </c:pt>
                <c:pt idx="114">
                  <c:v>7.8216150839083057E-5</c:v>
                </c:pt>
                <c:pt idx="115">
                  <c:v>7.4233249265851333E-5</c:v>
                </c:pt>
                <c:pt idx="116">
                  <c:v>7.0576860455906799E-5</c:v>
                </c:pt>
                <c:pt idx="117">
                  <c:v>6.724559669466213E-5</c:v>
                </c:pt>
                <c:pt idx="118">
                  <c:v>6.4238694411354757E-5</c:v>
                </c:pt>
                <c:pt idx="119">
                  <c:v>6.1556005247194177E-5</c:v>
                </c:pt>
                <c:pt idx="120">
                  <c:v>5.9198711336869052E-5</c:v>
                </c:pt>
                <c:pt idx="121">
                  <c:v>5.7236374439175492E-5</c:v>
                </c:pt>
                <c:pt idx="122">
                  <c:v>5.548643977106811E-5</c:v>
                </c:pt>
                <c:pt idx="123">
                  <c:v>5.3949224706301615E-5</c:v>
                </c:pt>
                <c:pt idx="124">
                  <c:v>5.2625447938919672E-5</c:v>
                </c:pt>
                <c:pt idx="125">
                  <c:v>5.151621899693584E-5</c:v>
                </c:pt>
                <c:pt idx="126">
                  <c:v>5.0623027720831706E-5</c:v>
                </c:pt>
                <c:pt idx="127">
                  <c:v>4.9946702498042504E-5</c:v>
                </c:pt>
                <c:pt idx="128">
                  <c:v>4.933771725643606E-5</c:v>
                </c:pt>
                <c:pt idx="129">
                  <c:v>4.8795932839996223E-5</c:v>
                </c:pt>
                <c:pt idx="130">
                  <c:v>4.83213098444642E-5</c:v>
                </c:pt>
                <c:pt idx="131">
                  <c:v>4.7913905008948878E-5</c:v>
                </c:pt>
                <c:pt idx="132">
                  <c:v>4.757386755834799E-5</c:v>
                </c:pt>
                <c:pt idx="133">
                  <c:v>4.7301435490165881E-5</c:v>
                </c:pt>
                <c:pt idx="134">
                  <c:v>4.7097868535294161E-5</c:v>
                </c:pt>
                <c:pt idx="135">
                  <c:v>4.7007353349403027E-5</c:v>
                </c:pt>
                <c:pt idx="136">
                  <c:v>4.6958223873142077E-5</c:v>
                </c:pt>
                <c:pt idx="137">
                  <c:v>4.6950954031174925E-5</c:v>
                </c:pt>
                <c:pt idx="138">
                  <c:v>4.6986092134896176E-5</c:v>
                </c:pt>
                <c:pt idx="139">
                  <c:v>4.7064258098406961E-5</c:v>
                </c:pt>
                <c:pt idx="140">
                  <c:v>4.7186140393499606E-5</c:v>
                </c:pt>
                <c:pt idx="141">
                  <c:v>4.7386553298559425E-5</c:v>
                </c:pt>
                <c:pt idx="142">
                  <c:v>4.7667829234495051E-5</c:v>
                </c:pt>
                <c:pt idx="143">
                  <c:v>4.8031515287019896E-5</c:v>
                </c:pt>
                <c:pt idx="144">
                  <c:v>4.8479522936526277E-5</c:v>
                </c:pt>
                <c:pt idx="145">
                  <c:v>4.9013835946507484E-5</c:v>
                </c:pt>
                <c:pt idx="146">
                  <c:v>4.9636501773710029E-5</c:v>
                </c:pt>
                <c:pt idx="147">
                  <c:v>5.0349622398086834E-5</c:v>
                </c:pt>
                <c:pt idx="148">
                  <c:v>5.1156565375906237E-5</c:v>
                </c:pt>
                <c:pt idx="149">
                  <c:v>5.2047054227902217E-5</c:v>
                </c:pt>
                <c:pt idx="150">
                  <c:v>5.2971970294228988E-5</c:v>
                </c:pt>
                <c:pt idx="151">
                  <c:v>5.3931565143252456E-5</c:v>
                </c:pt>
                <c:pt idx="152">
                  <c:v>5.4926073589391229E-5</c:v>
                </c:pt>
                <c:pt idx="153">
                  <c:v>5.5955711307855202E-5</c:v>
                </c:pt>
                <c:pt idx="154">
                  <c:v>5.7020672500484112E-5</c:v>
                </c:pt>
                <c:pt idx="155">
                  <c:v>5.8124919957400996E-5</c:v>
                </c:pt>
                <c:pt idx="156">
                  <c:v>5.9229851100908959E-5</c:v>
                </c:pt>
                <c:pt idx="157">
                  <c:v>6.0334774185581035E-5</c:v>
                </c:pt>
                <c:pt idx="158">
                  <c:v>6.1438966179415205E-5</c:v>
                </c:pt>
                <c:pt idx="159">
                  <c:v>6.2541674957365968E-5</c:v>
                </c:pt>
                <c:pt idx="160">
                  <c:v>6.3642121641894364E-5</c:v>
                </c:pt>
                <c:pt idx="161">
                  <c:v>6.4739503076817134E-5</c:v>
                </c:pt>
                <c:pt idx="162">
                  <c:v>6.5834078424553818E-5</c:v>
                </c:pt>
                <c:pt idx="163">
                  <c:v>6.6887330539512114E-5</c:v>
                </c:pt>
                <c:pt idx="164">
                  <c:v>6.7912751305952696E-5</c:v>
                </c:pt>
                <c:pt idx="165">
                  <c:v>6.8909086419793766E-5</c:v>
                </c:pt>
                <c:pt idx="166">
                  <c:v>6.9875090635233928E-5</c:v>
                </c:pt>
                <c:pt idx="167">
                  <c:v>7.0809532392839347E-5</c:v>
                </c:pt>
                <c:pt idx="168">
                  <c:v>7.1711198290964898E-5</c:v>
                </c:pt>
                <c:pt idx="169">
                  <c:v>7.253795717184073E-5</c:v>
                </c:pt>
                <c:pt idx="170">
                  <c:v>7.3282614827233837E-5</c:v>
                </c:pt>
                <c:pt idx="171">
                  <c:v>7.3942839480943193E-5</c:v>
                </c:pt>
                <c:pt idx="172">
                  <c:v>7.451635341070355E-5</c:v>
                </c:pt>
                <c:pt idx="173">
                  <c:v>7.5000171647407219E-5</c:v>
                </c:pt>
                <c:pt idx="174">
                  <c:v>7.5391317043903904E-5</c:v>
                </c:pt>
                <c:pt idx="175">
                  <c:v>7.5687627908381955E-5</c:v>
                </c:pt>
                <c:pt idx="176">
                  <c:v>7.5886787697532294E-5</c:v>
                </c:pt>
                <c:pt idx="177">
                  <c:v>7.5992475863897603E-5</c:v>
                </c:pt>
                <c:pt idx="178">
                  <c:v>7.6047116196631417E-5</c:v>
                </c:pt>
                <c:pt idx="179">
                  <c:v>7.6050381852959062E-5</c:v>
                </c:pt>
                <c:pt idx="180">
                  <c:v>7.6002004536009164E-5</c:v>
                </c:pt>
                <c:pt idx="181">
                  <c:v>7.5901771446278945E-5</c:v>
                </c:pt>
                <c:pt idx="182">
                  <c:v>7.5749521808378403E-5</c:v>
                </c:pt>
                <c:pt idx="183">
                  <c:v>7.5528798804157734E-5</c:v>
                </c:pt>
                <c:pt idx="184">
                  <c:v>7.5284685087423104E-5</c:v>
                </c:pt>
                <c:pt idx="185">
                  <c:v>7.5017754586021668E-5</c:v>
                </c:pt>
                <c:pt idx="186">
                  <c:v>7.472859919658076E-5</c:v>
                </c:pt>
                <c:pt idx="187">
                  <c:v>7.4417825190075236E-5</c:v>
                </c:pt>
                <c:pt idx="188">
                  <c:v>7.4086049632757155E-5</c:v>
                </c:pt>
                <c:pt idx="189">
                  <c:v>7.373389682468596E-5</c:v>
                </c:pt>
                <c:pt idx="190">
                  <c:v>7.3361076602061057E-5</c:v>
                </c:pt>
                <c:pt idx="191">
                  <c:v>7.3017348310682389E-5</c:v>
                </c:pt>
                <c:pt idx="192">
                  <c:v>7.2697271018658306E-5</c:v>
                </c:pt>
                <c:pt idx="193">
                  <c:v>7.2401921194691356E-5</c:v>
                </c:pt>
                <c:pt idx="194">
                  <c:v>7.2132362533924667E-5</c:v>
                </c:pt>
                <c:pt idx="195">
                  <c:v>7.1889645772829161E-5</c:v>
                </c:pt>
                <c:pt idx="196">
                  <c:v>7.1674808742423391E-5</c:v>
                </c:pt>
                <c:pt idx="197">
                  <c:v>7.156827014312902E-5</c:v>
                </c:pt>
                <c:pt idx="198">
                  <c:v>7.1589625915825594E-5</c:v>
                </c:pt>
                <c:pt idx="199">
                  <c:v>7.1741414837111741E-5</c:v>
                </c:pt>
                <c:pt idx="200">
                  <c:v>7.2026153236115438E-5</c:v>
                </c:pt>
                <c:pt idx="201">
                  <c:v>7.2446342893463437E-5</c:v>
                </c:pt>
                <c:pt idx="202">
                  <c:v>7.3004479271677799E-5</c:v>
                </c:pt>
                <c:pt idx="203">
                  <c:v>7.3703060082251046E-5</c:v>
                </c:pt>
                <c:pt idx="204">
                  <c:v>7.4544429085657721E-5</c:v>
                </c:pt>
                <c:pt idx="205">
                  <c:v>7.5530703580381378E-5</c:v>
                </c:pt>
                <c:pt idx="206">
                  <c:v>7.6610293839756807E-5</c:v>
                </c:pt>
                <c:pt idx="207">
                  <c:v>7.7784676800182425E-5</c:v>
                </c:pt>
                <c:pt idx="208">
                  <c:v>7.905532845902267E-5</c:v>
                </c:pt>
                <c:pt idx="209">
                  <c:v>8.0423724784959262E-5</c:v>
                </c:pt>
                <c:pt idx="210">
                  <c:v>8.1891342514355141E-5</c:v>
                </c:pt>
                <c:pt idx="211">
                  <c:v>8.3575035997736054E-5</c:v>
                </c:pt>
                <c:pt idx="212">
                  <c:v>8.5391555015694586E-5</c:v>
                </c:pt>
                <c:pt idx="213">
                  <c:v>8.7342517688526573E-5</c:v>
                </c:pt>
                <c:pt idx="214">
                  <c:v>8.9429565696502215E-5</c:v>
                </c:pt>
                <c:pt idx="215">
                  <c:v>9.1654363977478E-5</c:v>
                </c:pt>
                <c:pt idx="216">
                  <c:v>9.4018600201234979E-5</c:v>
                </c:pt>
                <c:pt idx="217">
                  <c:v>9.6523984044547139E-5</c:v>
                </c:pt>
                <c:pt idx="218">
                  <c:v>9.917190526454295E-5</c:v>
                </c:pt>
                <c:pt idx="219">
                  <c:v>1.0223704031646814E-4</c:v>
                </c:pt>
                <c:pt idx="220">
                  <c:v>1.0572536836760088E-4</c:v>
                </c:pt>
                <c:pt idx="221">
                  <c:v>1.0964311906076036E-4</c:v>
                </c:pt>
                <c:pt idx="222">
                  <c:v>1.1399671098447633E-4</c:v>
                </c:pt>
                <c:pt idx="223">
                  <c:v>1.1879277675664361E-4</c:v>
                </c:pt>
                <c:pt idx="224">
                  <c:v>1.2403818886819358E-4</c:v>
                </c:pt>
                <c:pt idx="225">
                  <c:v>1.3009922011575551E-4</c:v>
                </c:pt>
                <c:pt idx="226">
                  <c:v>1.3686525504255016E-4</c:v>
                </c:pt>
                <c:pt idx="227">
                  <c:v>1.4434768497677064E-4</c:v>
                </c:pt>
                <c:pt idx="228">
                  <c:v>1.52558377446722E-4</c:v>
                </c:pt>
                <c:pt idx="229">
                  <c:v>1.6150972366355755E-4</c:v>
                </c:pt>
                <c:pt idx="230">
                  <c:v>1.7121468825375576E-4</c:v>
                </c:pt>
                <c:pt idx="231">
                  <c:v>1.8168686154681042E-4</c:v>
                </c:pt>
                <c:pt idx="232">
                  <c:v>1.9293693747848132E-4</c:v>
                </c:pt>
                <c:pt idx="233">
                  <c:v>2.0564227842096141E-4</c:v>
                </c:pt>
                <c:pt idx="234">
                  <c:v>2.1953419647009046E-4</c:v>
                </c:pt>
                <c:pt idx="235">
                  <c:v>2.3463411468030538E-4</c:v>
                </c:pt>
                <c:pt idx="236">
                  <c:v>2.50964505991563E-4</c:v>
                </c:pt>
                <c:pt idx="237">
                  <c:v>2.6854875610620382E-4</c:v>
                </c:pt>
                <c:pt idx="238">
                  <c:v>2.8741139183043393E-4</c:v>
                </c:pt>
                <c:pt idx="239">
                  <c:v>3.0803692369145099E-4</c:v>
                </c:pt>
                <c:pt idx="240">
                  <c:v>3.3007186197569441E-4</c:v>
                </c:pt>
                <c:pt idx="241">
                  <c:v>3.5354632574855594E-4</c:v>
                </c:pt>
                <c:pt idx="242">
                  <c:v>3.784920886478334E-4</c:v>
                </c:pt>
                <c:pt idx="243">
                  <c:v>4.0494271473391012E-4</c:v>
                </c:pt>
                <c:pt idx="244">
                  <c:v>4.3293370330672046E-4</c:v>
                </c:pt>
                <c:pt idx="245">
                  <c:v>4.6250264392180341E-4</c:v>
                </c:pt>
                <c:pt idx="246">
                  <c:v>4.9369327312224326E-4</c:v>
                </c:pt>
                <c:pt idx="247">
                  <c:v>5.2591362948118997E-4</c:v>
                </c:pt>
                <c:pt idx="248">
                  <c:v>5.584600162552402E-4</c:v>
                </c:pt>
                <c:pt idx="249">
                  <c:v>5.9134299366661906E-4</c:v>
                </c:pt>
                <c:pt idx="250">
                  <c:v>6.2457245161010922E-4</c:v>
                </c:pt>
                <c:pt idx="251">
                  <c:v>6.5815755443352213E-4</c:v>
                </c:pt>
                <c:pt idx="252">
                  <c:v>6.9210668039751562E-4</c:v>
                </c:pt>
                <c:pt idx="253">
                  <c:v>7.2520977887863031E-4</c:v>
                </c:pt>
                <c:pt idx="254">
                  <c:v>7.5693940730826794E-4</c:v>
                </c:pt>
                <c:pt idx="255">
                  <c:v>7.872611925945855E-4</c:v>
                </c:pt>
                <c:pt idx="256">
                  <c:v>8.1613828233808401E-4</c:v>
                </c:pt>
                <c:pt idx="257">
                  <c:v>8.4353136199397506E-4</c:v>
                </c:pt>
                <c:pt idx="258">
                  <c:v>8.6939868138620089E-4</c:v>
                </c:pt>
                <c:pt idx="259">
                  <c:v>8.9369609187098362E-4</c:v>
                </c:pt>
                <c:pt idx="260">
                  <c:v>9.1644667075992798E-4</c:v>
                </c:pt>
                <c:pt idx="261">
                  <c:v>9.365980949060333E-4</c:v>
                </c:pt>
                <c:pt idx="262">
                  <c:v>9.547810725251992E-4</c:v>
                </c:pt>
                <c:pt idx="263">
                  <c:v>9.7092777603224011E-4</c:v>
                </c:pt>
                <c:pt idx="264">
                  <c:v>9.8496550664910285E-4</c:v>
                </c:pt>
                <c:pt idx="265">
                  <c:v>9.9682224530162782E-4</c:v>
                </c:pt>
                <c:pt idx="266">
                  <c:v>1.0064191712185029E-3</c:v>
                </c:pt>
                <c:pt idx="267">
                  <c:v>1.0133724385787907E-3</c:v>
                </c:pt>
                <c:pt idx="268">
                  <c:v>1.018960095900482E-3</c:v>
                </c:pt>
                <c:pt idx="269">
                  <c:v>1.0231171388159503E-3</c:v>
                </c:pt>
                <c:pt idx="270">
                  <c:v>1.0257762976518495E-3</c:v>
                </c:pt>
                <c:pt idx="271">
                  <c:v>1.0268684010177945E-3</c:v>
                </c:pt>
                <c:pt idx="272">
                  <c:v>1.0263227989450476E-3</c:v>
                </c:pt>
                <c:pt idx="273">
                  <c:v>1.0240678504700106E-3</c:v>
                </c:pt>
                <c:pt idx="274">
                  <c:v>1.0201139001244721E-3</c:v>
                </c:pt>
                <c:pt idx="275">
                  <c:v>1.0180411834851014E-3</c:v>
                </c:pt>
                <c:pt idx="276">
                  <c:v>1.0191124417700712E-3</c:v>
                </c:pt>
                <c:pt idx="277">
                  <c:v>1.0234017991641567E-3</c:v>
                </c:pt>
                <c:pt idx="278">
                  <c:v>1.030984296065268E-3</c:v>
                </c:pt>
                <c:pt idx="279">
                  <c:v>1.0419356778277992E-3</c:v>
                </c:pt>
                <c:pt idx="280">
                  <c:v>1.0563321711568156E-3</c:v>
                </c:pt>
                <c:pt idx="281">
                  <c:v>1.0764071192212502E-3</c:v>
                </c:pt>
                <c:pt idx="282">
                  <c:v>1.1026260067666703E-3</c:v>
                </c:pt>
                <c:pt idx="283">
                  <c:v>1.1351262815457968E-3</c:v>
                </c:pt>
                <c:pt idx="284">
                  <c:v>1.1740448128477743E-3</c:v>
                </c:pt>
                <c:pt idx="285">
                  <c:v>1.2195174048311253E-3</c:v>
                </c:pt>
                <c:pt idx="286">
                  <c:v>1.2716782919828208E-3</c:v>
                </c:pt>
                <c:pt idx="287">
                  <c:v>1.3306596171336492E-3</c:v>
                </c:pt>
                <c:pt idx="288">
                  <c:v>1.3966132687685475E-3</c:v>
                </c:pt>
                <c:pt idx="289">
                  <c:v>1.4645685185561601E-3</c:v>
                </c:pt>
                <c:pt idx="290">
                  <c:v>1.5305403478009776E-3</c:v>
                </c:pt>
                <c:pt idx="291">
                  <c:v>1.5944639568239831E-3</c:v>
                </c:pt>
                <c:pt idx="292">
                  <c:v>1.6562753614901423E-3</c:v>
                </c:pt>
                <c:pt idx="293">
                  <c:v>1.7159115052111794E-3</c:v>
                </c:pt>
                <c:pt idx="294">
                  <c:v>1.7733103551427977E-3</c:v>
                </c:pt>
                <c:pt idx="295">
                  <c:v>1.823998197521507E-3</c:v>
                </c:pt>
                <c:pt idx="296">
                  <c:v>1.8654198910249913E-3</c:v>
                </c:pt>
                <c:pt idx="297">
                  <c:v>1.8973839214612039E-3</c:v>
                </c:pt>
                <c:pt idx="298">
                  <c:v>1.9196835158058077E-3</c:v>
                </c:pt>
                <c:pt idx="299">
                  <c:v>1.9321109653382346E-3</c:v>
                </c:pt>
                <c:pt idx="300">
                  <c:v>1.9344571981978584E-3</c:v>
                </c:pt>
                <c:pt idx="301">
                  <c:v>1.9265112745105385E-3</c:v>
                </c:pt>
                <c:pt idx="302">
                  <c:v>1.9081375881630396E-3</c:v>
                </c:pt>
                <c:pt idx="303">
                  <c:v>1.8788655109108956E-3</c:v>
                </c:pt>
                <c:pt idx="304">
                  <c:v>1.8441595177056027E-3</c:v>
                </c:pt>
                <c:pt idx="305">
                  <c:v>1.8038735705423431E-3</c:v>
                </c:pt>
                <c:pt idx="306">
                  <c:v>1.7578584709788852E-3</c:v>
                </c:pt>
                <c:pt idx="307">
                  <c:v>1.7059624576018205E-3</c:v>
                </c:pt>
                <c:pt idx="308">
                  <c:v>1.6480319156992299E-3</c:v>
                </c:pt>
                <c:pt idx="309">
                  <c:v>1.5859085022286801E-3</c:v>
                </c:pt>
                <c:pt idx="310">
                  <c:v>1.5244143645351776E-3</c:v>
                </c:pt>
                <c:pt idx="311">
                  <c:v>1.4635540667497582E-3</c:v>
                </c:pt>
                <c:pt idx="312">
                  <c:v>1.4033349815891485E-3</c:v>
                </c:pt>
                <c:pt idx="313">
                  <c:v>1.3437674209883087E-3</c:v>
                </c:pt>
                <c:pt idx="314">
                  <c:v>1.2848647770497511E-3</c:v>
                </c:pt>
                <c:pt idx="315">
                  <c:v>1.2266436691933127E-3</c:v>
                </c:pt>
                <c:pt idx="316">
                  <c:v>1.1692570862276504E-3</c:v>
                </c:pt>
                <c:pt idx="317">
                  <c:v>1.1149743173933153E-3</c:v>
                </c:pt>
                <c:pt idx="318">
                  <c:v>1.0641785510859198E-3</c:v>
                </c:pt>
                <c:pt idx="319">
                  <c:v>1.0169227806126771E-3</c:v>
                </c:pt>
                <c:pt idx="320">
                  <c:v>9.7326500000321549E-4</c:v>
                </c:pt>
                <c:pt idx="321">
                  <c:v>9.3326769266024643E-4</c:v>
                </c:pt>
                <c:pt idx="322">
                  <c:v>8.9699721918741894E-4</c:v>
                </c:pt>
                <c:pt idx="323">
                  <c:v>8.6495381816012104E-4</c:v>
                </c:pt>
                <c:pt idx="324">
                  <c:v>8.3498811795926643E-4</c:v>
                </c:pt>
                <c:pt idx="325">
                  <c:v>8.0713478401054891E-4</c:v>
                </c:pt>
                <c:pt idx="326">
                  <c:v>7.814250704295954E-4</c:v>
                </c:pt>
                <c:pt idx="327">
                  <c:v>7.5789485362080626E-4</c:v>
                </c:pt>
                <c:pt idx="328">
                  <c:v>7.3658413530901527E-4</c:v>
                </c:pt>
                <c:pt idx="329">
                  <c:v>7.1753210156536517E-4</c:v>
                </c:pt>
                <c:pt idx="330">
                  <c:v>7.0087062150376602E-4</c:v>
                </c:pt>
                <c:pt idx="331">
                  <c:v>6.8708827100401055E-4</c:v>
                </c:pt>
                <c:pt idx="332">
                  <c:v>6.738566020288246E-4</c:v>
                </c:pt>
                <c:pt idx="333">
                  <c:v>6.6117252794291391E-4</c:v>
                </c:pt>
                <c:pt idx="334">
                  <c:v>6.4903325327394211E-4</c:v>
                </c:pt>
                <c:pt idx="335">
                  <c:v>6.3743621673614749E-4</c:v>
                </c:pt>
                <c:pt idx="336">
                  <c:v>6.2637902500896239E-4</c:v>
                </c:pt>
                <c:pt idx="337">
                  <c:v>6.1640890616310574E-4</c:v>
                </c:pt>
                <c:pt idx="338">
                  <c:v>6.0706037459919311E-4</c:v>
                </c:pt>
                <c:pt idx="339">
                  <c:v>5.9833143323689993E-4</c:v>
                </c:pt>
                <c:pt idx="340">
                  <c:v>5.9021960577789888E-4</c:v>
                </c:pt>
                <c:pt idx="341">
                  <c:v>5.8272178886866952E-4</c:v>
                </c:pt>
                <c:pt idx="342">
                  <c:v>5.7583409920272015E-4</c:v>
                </c:pt>
                <c:pt idx="343">
                  <c:v>5.695517196755228E-4</c:v>
                </c:pt>
                <c:pt idx="344">
                  <c:v>5.6384376108133442E-4</c:v>
                </c:pt>
                <c:pt idx="345">
                  <c:v>5.5870937123929832E-4</c:v>
                </c:pt>
                <c:pt idx="346">
                  <c:v>5.5395469677246801E-4</c:v>
                </c:pt>
                <c:pt idx="347">
                  <c:v>5.4961471948746302E-4</c:v>
                </c:pt>
                <c:pt idx="348">
                  <c:v>5.4572251649782303E-4</c:v>
                </c:pt>
                <c:pt idx="349">
                  <c:v>5.423092733586063E-4</c:v>
                </c:pt>
                <c:pt idx="350">
                  <c:v>5.3940434634788771E-4</c:v>
                </c:pt>
                <c:pt idx="351">
                  <c:v>5.3718407513940177E-4</c:v>
                </c:pt>
                <c:pt idx="352">
                  <c:v>5.3511617987793175E-4</c:v>
                </c:pt>
                <c:pt idx="353">
                  <c:v>5.3322821277708313E-4</c:v>
                </c:pt>
                <c:pt idx="354">
                  <c:v>5.3154701569064762E-4</c:v>
                </c:pt>
                <c:pt idx="355">
                  <c:v>5.3009875300431722E-4</c:v>
                </c:pt>
                <c:pt idx="356">
                  <c:v>5.2890630747033695E-4</c:v>
                </c:pt>
                <c:pt idx="357">
                  <c:v>5.2799669642132217E-4</c:v>
                </c:pt>
                <c:pt idx="358">
                  <c:v>5.2735920225311988E-4</c:v>
                </c:pt>
                <c:pt idx="359">
                  <c:v>5.2695430597548914E-4</c:v>
                </c:pt>
                <c:pt idx="360">
                  <c:v>5.2730626968740225E-4</c:v>
                </c:pt>
                <c:pt idx="361">
                  <c:v>5.2824452165811621E-4</c:v>
                </c:pt>
                <c:pt idx="362">
                  <c:v>5.2974415614083969E-4</c:v>
                </c:pt>
                <c:pt idx="363">
                  <c:v>5.3177981714854622E-4</c:v>
                </c:pt>
                <c:pt idx="364">
                  <c:v>5.3432558501181502E-4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58088"/>
        <c:axId val="611458480"/>
      </c:lineChart>
      <c:dateAx>
        <c:axId val="6114580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8480"/>
        <c:crosses val="autoZero"/>
        <c:auto val="1"/>
        <c:lblOffset val="100"/>
        <c:baseTimeUnit val="days"/>
        <c:majorUnit val="1"/>
        <c:majorTimeUnit val="months"/>
      </c:dateAx>
      <c:valAx>
        <c:axId val="6114584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58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0.70343372457146036</c:v>
                </c:pt>
                <c:pt idx="1">
                  <c:v>0.70319368948827943</c:v>
                </c:pt>
                <c:pt idx="2">
                  <c:v>0.70296716093821521</c:v>
                </c:pt>
                <c:pt idx="3">
                  <c:v>0.70275273415124884</c:v>
                </c:pt>
                <c:pt idx="4">
                  <c:v>0.70254918556632862</c:v>
                </c:pt>
                <c:pt idx="5">
                  <c:v>0.70235546695845996</c:v>
                </c:pt>
                <c:pt idx="6">
                  <c:v>0.70217069824539979</c:v>
                </c:pt>
                <c:pt idx="7">
                  <c:v>0.70199415908865637</c:v>
                </c:pt>
                <c:pt idx="8">
                  <c:v>0.70182527941200956</c:v>
                </c:pt>
                <c:pt idx="9">
                  <c:v>0.70166362896794388</c:v>
                </c:pt>
                <c:pt idx="10">
                  <c:v>0.70150890608820415</c:v>
                </c:pt>
                <c:pt idx="11">
                  <c:v>0.70136092575908759</c:v>
                </c:pt>
                <c:pt idx="12">
                  <c:v>0.70121960716506115</c:v>
                </c:pt>
                <c:pt idx="13">
                  <c:v>0.70108496084584326</c:v>
                </c:pt>
                <c:pt idx="14">
                  <c:v>0.70095707561219811</c:v>
                </c:pt>
                <c:pt idx="15">
                  <c:v>0.70083610536440943</c:v>
                </c:pt>
                <c:pt idx="16">
                  <c:v>0.70072225595473725</c:v>
                </c:pt>
                <c:pt idx="17">
                  <c:v>0.70061577223118721</c:v>
                </c:pt>
                <c:pt idx="18">
                  <c:v>0.70051692539467914</c:v>
                </c:pt>
                <c:pt idx="19">
                  <c:v>0.70042600079527495</c:v>
                </c:pt>
                <c:pt idx="20">
                  <c:v>0.70034328628559817</c:v>
                </c:pt>
                <c:pt idx="21">
                  <c:v>0.70026906124103194</c:v>
                </c:pt>
                <c:pt idx="22">
                  <c:v>0.70020358634683444</c:v>
                </c:pt>
                <c:pt idx="23">
                  <c:v>0.70014709424206389</c:v>
                </c:pt>
                <c:pt idx="24">
                  <c:v>0.70009978109927085</c:v>
                </c:pt>
                <c:pt idx="25">
                  <c:v>0.70006179920743006</c:v>
                </c:pt>
                <c:pt idx="26">
                  <c:v>0.70003325061365584</c:v>
                </c:pt>
                <c:pt idx="27">
                  <c:v>0.70001418186701014</c:v>
                </c:pt>
                <c:pt idx="28">
                  <c:v>0.70000457989530818</c:v>
                </c:pt>
                <c:pt idx="29">
                  <c:v>0.70000436903336061</c:v>
                </c:pt>
                <c:pt idx="30">
                  <c:v>0.70001340920871391</c:v>
                </c:pt>
                <c:pt idx="31">
                  <c:v>0.7000314952787724</c:v>
                </c:pt>
                <c:pt idx="32">
                  <c:v>0.70005835750133028</c:v>
                </c:pt>
                <c:pt idx="33">
                  <c:v>0.70009366310912735</c:v>
                </c:pt>
                <c:pt idx="34">
                  <c:v>0.70013701894817582</c:v>
                </c:pt>
                <c:pt idx="35">
                  <c:v>0.70018797512938336</c:v>
                </c:pt>
                <c:pt idx="36">
                  <c:v>0.700246029633528</c:v>
                </c:pt>
                <c:pt idx="37">
                  <c:v>0.70031063380098102</c:v>
                </c:pt>
                <c:pt idx="38">
                  <c:v>0.70038119862983061</c:v>
                </c:pt>
                <c:pt idx="39">
                  <c:v>0.70045710179926202</c:v>
                </c:pt>
                <c:pt idx="40">
                  <c:v>0.70053769532927901</c:v>
                </c:pt>
                <c:pt idx="41">
                  <c:v>0.70062231378312334</c:v>
                </c:pt>
                <c:pt idx="42">
                  <c:v>0.70071028291511084</c:v>
                </c:pt>
                <c:pt idx="43">
                  <c:v>0.70080092866405574</c:v>
                </c:pt>
                <c:pt idx="44">
                  <c:v>0.7008935863910114</c:v>
                </c:pt>
                <c:pt idx="45">
                  <c:v>0.70098761025970657</c:v>
                </c:pt>
                <c:pt idx="46">
                  <c:v>0.70108238265877854</c:v>
                </c:pt>
                <c:pt idx="47">
                  <c:v>0.7011773235666714</c:v>
                </c:pt>
                <c:pt idx="48">
                  <c:v>0.70127189976283411</c:v>
                </c:pt>
                <c:pt idx="49">
                  <c:v>0.70136563379256989</c:v>
                </c:pt>
                <c:pt idx="50">
                  <c:v>0.70145811259749324</c:v>
                </c:pt>
                <c:pt idx="51">
                  <c:v>0.70154899572897167</c:v>
                </c:pt>
                <c:pt idx="52">
                  <c:v>0.7016380230680942</c:v>
                </c:pt>
                <c:pt idx="53">
                  <c:v>0.70172502198252351</c:v>
                </c:pt>
                <c:pt idx="54">
                  <c:v>0.70180991385797709</c:v>
                </c:pt>
                <c:pt idx="55">
                  <c:v>0.70189271994993208</c:v>
                </c:pt>
                <c:pt idx="56">
                  <c:v>0.70197356650938048</c:v>
                </c:pt>
                <c:pt idx="57">
                  <c:v>0.70205268914495511</c:v>
                </c:pt>
                <c:pt idx="58">
                  <c:v>0.70213043639241823</c:v>
                </c:pt>
                <c:pt idx="59">
                  <c:v>0.70220727247123682</c:v>
                </c:pt>
                <c:pt idx="60">
                  <c:v>0.70228377921667384</c:v>
                </c:pt>
                <c:pt idx="61">
                  <c:v>0.70236065718439034</c:v>
                </c:pt>
                <c:pt idx="62">
                  <c:v>0.70243872593289969</c:v>
                </c:pt>
                <c:pt idx="63">
                  <c:v>0.70251892349723699</c:v>
                </c:pt>
                <c:pt idx="64">
                  <c:v>0.7026023050748279</c:v>
                </c:pt>
                <c:pt idx="65">
                  <c:v>0.7026900409516792</c:v>
                </c:pt>
                <c:pt idx="66">
                  <c:v>0.7027834137035941</c:v>
                </c:pt>
                <c:pt idx="67">
                  <c:v>0.70288381471308325</c:v>
                </c:pt>
                <c:pt idx="68">
                  <c:v>0.70299274004792411</c:v>
                </c:pt>
                <c:pt idx="69">
                  <c:v>0.70311178575189692</c:v>
                </c:pt>
                <c:pt idx="70">
                  <c:v>0.7032426426020284</c:v>
                </c:pt>
                <c:pt idx="71">
                  <c:v>0.70338709038969971</c:v>
                </c:pt>
                <c:pt idx="72">
                  <c:v>0.70354699178519886</c:v>
                </c:pt>
                <c:pt idx="73">
                  <c:v>0.70372428584670388</c:v>
                </c:pt>
                <c:pt idx="74">
                  <c:v>0.70392098123529045</c:v>
                </c:pt>
                <c:pt idx="75">
                  <c:v>0.70413914919736842</c:v>
                </c:pt>
                <c:pt idx="76">
                  <c:v>0.70438091637498734</c:v>
                </c:pt>
                <c:pt idx="77">
                  <c:v>0.70464845750275462</c:v>
                </c:pt>
                <c:pt idx="78">
                  <c:v>0.70494398804770964</c:v>
                </c:pt>
                <c:pt idx="79">
                  <c:v>0.70526975684544657</c:v>
                </c:pt>
                <c:pt idx="80">
                  <c:v>0.70562803878214087</c:v>
                </c:pt>
                <c:pt idx="81">
                  <c:v>0.70602112756795998</c:v>
                </c:pt>
                <c:pt idx="82">
                  <c:v>0.70645132864270632</c:v>
                </c:pt>
                <c:pt idx="83">
                  <c:v>0.70692095224952445</c:v>
                </c:pt>
                <c:pt idx="84">
                  <c:v>0.70743230670717538</c:v>
                </c:pt>
                <c:pt idx="85">
                  <c:v>0.70798769190582989</c:v>
                </c:pt>
                <c:pt idx="86">
                  <c:v>0.70858939304563417</c:v>
                </c:pt>
                <c:pt idx="87">
                  <c:v>0.70923967463155169</c:v>
                </c:pt>
                <c:pt idx="88">
                  <c:v>0.70994077473225081</c:v>
                </c:pt>
                <c:pt idx="89">
                  <c:v>0.71069489950519638</c:v>
                </c:pt>
                <c:pt idx="90">
                  <c:v>0.7115042179846699</c:v>
                </c:pt>
                <c:pt idx="91">
                  <c:v>0.71237085712429049</c:v>
                </c:pt>
                <c:pt idx="92">
                  <c:v>0.71329689708078836</c:v>
                </c:pt>
                <c:pt idx="93">
                  <c:v>0.71428436672138496</c:v>
                </c:pt>
                <c:pt idx="94">
                  <c:v>0.7153352393332032</c:v>
                </c:pt>
                <c:pt idx="95">
                  <c:v>0.7164514285097372</c:v>
                </c:pt>
                <c:pt idx="96">
                  <c:v>0.71763478418659654</c:v>
                </c:pt>
                <c:pt idx="97">
                  <c:v>0.71888708879654772</c:v>
                </c:pt>
                <c:pt idx="98">
                  <c:v>0.72021005351233947</c:v>
                </c:pt>
                <c:pt idx="99">
                  <c:v>0.72160531454493793</c:v>
                </c:pt>
                <c:pt idx="100">
                  <c:v>0.72307442946463596</c:v>
                </c:pt>
                <c:pt idx="101">
                  <c:v>0.72461887351303156</c:v>
                </c:pt>
                <c:pt idx="102">
                  <c:v>0.72624003587510155</c:v>
                </c:pt>
                <c:pt idx="103">
                  <c:v>0.7279392158825031</c:v>
                </c:pt>
                <c:pt idx="104">
                  <c:v>0.72971761912180411</c:v>
                </c:pt>
                <c:pt idx="105">
                  <c:v>0.73157635342453586</c:v>
                </c:pt>
                <c:pt idx="106">
                  <c:v>0.73351642471973943</c:v>
                </c:pt>
                <c:pt idx="107">
                  <c:v>0.73553873273399106</c:v>
                </c:pt>
                <c:pt idx="108">
                  <c:v>0.73764406652868653</c:v>
                </c:pt>
                <c:pt idx="109">
                  <c:v>0.73983309986957568</c:v>
                </c:pt>
                <c:pt idx="110">
                  <c:v>0.7421063864290961</c:v>
                </c:pt>
                <c:pt idx="111">
                  <c:v>0.74446435482788187</c:v>
                </c:pt>
                <c:pt idx="112">
                  <c:v>0.7469073035278504</c:v>
                </c:pt>
                <c:pt idx="113">
                  <c:v>0.74943539559539774</c:v>
                </c:pt>
                <c:pt idx="114">
                  <c:v>0.75204865335938709</c:v>
                </c:pt>
                <c:pt idx="115">
                  <c:v>0.75474695299471306</c:v>
                </c:pt>
                <c:pt idx="116">
                  <c:v>0.75753001906815653</c:v>
                </c:pt>
                <c:pt idx="117">
                  <c:v>0.76039741908895597</c:v>
                </c:pt>
                <c:pt idx="118">
                  <c:v>0.76334855811189639</c:v>
                </c:pt>
                <c:pt idx="119">
                  <c:v>0.76638267344569233</c:v>
                </c:pt>
                <c:pt idx="120">
                  <c:v>0.76949882952393212</c:v>
                </c:pt>
                <c:pt idx="121">
                  <c:v>0.77269591299978224</c:v>
                </c:pt>
                <c:pt idx="122">
                  <c:v>0.77597262812895373</c:v>
                </c:pt>
                <c:pt idx="123">
                  <c:v>0.77932749250804934</c:v>
                </c:pt>
                <c:pt idx="124">
                  <c:v>0.78275883323728346</c:v>
                </c:pt>
                <c:pt idx="125">
                  <c:v>0.78626478357764973</c:v>
                </c:pt>
                <c:pt idx="126">
                  <c:v>0.78984328017286531</c:v>
                </c:pt>
                <c:pt idx="127">
                  <c:v>0.79349206090582647</c:v>
                </c:pt>
                <c:pt idx="128">
                  <c:v>0.79720866345783026</c:v>
                </c:pt>
                <c:pt idx="129">
                  <c:v>0.80099042463646797</c:v>
                </c:pt>
                <c:pt idx="130">
                  <c:v>0.80483448053485185</c:v>
                </c:pt>
                <c:pt idx="131">
                  <c:v>0.80873776758073679</c:v>
                </c:pt>
                <c:pt idx="132">
                  <c:v>0.81269702452914405</c:v>
                </c:pt>
                <c:pt idx="133">
                  <c:v>0.81670879544632669</c:v>
                </c:pt>
                <c:pt idx="134">
                  <c:v>0.82076943372638256</c:v>
                </c:pt>
                <c:pt idx="135">
                  <c:v>0.82487510717456147</c:v>
                </c:pt>
                <c:pt idx="136">
                  <c:v>0.82902180418340321</c:v>
                </c:pt>
                <c:pt idx="137">
                  <c:v>0.83320534101934118</c:v>
                </c:pt>
                <c:pt idx="138">
                  <c:v>0.83742137022839525</c:v>
                </c:pt>
                <c:pt idx="139">
                  <c:v>0.84166539016014374</c:v>
                </c:pt>
                <c:pt idx="140">
                  <c:v>0.84593275559939896</c:v>
                </c:pt>
                <c:pt idx="141">
                  <c:v>0.85021868948499946</c:v>
                </c:pt>
                <c:pt idx="142">
                  <c:v>0.85451829568499882</c:v>
                </c:pt>
                <c:pt idx="143">
                  <c:v>0.85882657278734897</c:v>
                </c:pt>
                <c:pt idx="144">
                  <c:v>0.86313842885508407</c:v>
                </c:pt>
                <c:pt idx="145">
                  <c:v>0.86744869708508432</c:v>
                </c:pt>
                <c:pt idx="146">
                  <c:v>0.87175215229987524</c:v>
                </c:pt>
                <c:pt idx="147">
                  <c:v>0.87604352819267073</c:v>
                </c:pt>
                <c:pt idx="148">
                  <c:v>0.88031753523713452</c:v>
                </c:pt>
                <c:pt idx="149">
                  <c:v>0.8845688791651769</c:v>
                </c:pt>
                <c:pt idx="150">
                  <c:v>0.88879227990865417</c:v>
                </c:pt>
                <c:pt idx="151">
                  <c:v>0.89298249089415127</c:v>
                </c:pt>
                <c:pt idx="152">
                  <c:v>0.89713431857421044</c:v>
                </c:pt>
                <c:pt idx="153">
                  <c:v>0.90124264207347859</c:v>
                </c:pt>
                <c:pt idx="154">
                  <c:v>0.90530243282435707</c:v>
                </c:pt>
                <c:pt idx="155">
                  <c:v>0.90930877406390342</c:v>
                </c:pt>
                <c:pt idx="156">
                  <c:v>0.91325688006199768</c:v>
                </c:pt>
                <c:pt idx="157">
                  <c:v>0.91714211495018017</c:v>
                </c:pt>
                <c:pt idx="158">
                  <c:v>0.92096001102112868</c:v>
                </c:pt>
                <c:pt idx="159">
                  <c:v>0.92470628637046082</c:v>
                </c:pt>
                <c:pt idx="160">
                  <c:v>0.92837686175544398</c:v>
                </c:pt>
                <c:pt idx="161">
                  <c:v>0.93196787654924418</c:v>
                </c:pt>
                <c:pt idx="162">
                  <c:v>0.93547570367452659</c:v>
                </c:pt>
                <c:pt idx="163">
                  <c:v>0.93889696340650386</c:v>
                </c:pt>
                <c:pt idx="164">
                  <c:v>0.94222853594285483</c:v>
                </c:pt>
                <c:pt idx="165">
                  <c:v>0.94546757264626402</c:v>
                </c:pt>
                <c:pt idx="166">
                  <c:v>0.94861150587457277</c:v>
                </c:pt>
                <c:pt idx="167">
                  <c:v>0.95165805732362552</c:v>
                </c:pt>
                <c:pt idx="168">
                  <c:v>0.95460524481874343</c:v>
                </c:pt>
                <c:pt idx="169">
                  <c:v>0.95745138750225678</c:v>
                </c:pt>
                <c:pt idx="170">
                  <c:v>0.96019510937659969</c:v>
                </c:pt>
                <c:pt idx="171">
                  <c:v>0.96283534117497305</c:v>
                </c:pt>
                <c:pt idx="172">
                  <c:v>0.96537132054442232</c:v>
                </c:pt>
                <c:pt idx="173">
                  <c:v>0.96780259053923101</c:v>
                </c:pt>
                <c:pt idx="174">
                  <c:v>0.97012899643566719</c:v>
                </c:pt>
                <c:pt idx="175">
                  <c:v>0.97235068089222654</c:v>
                </c:pt>
                <c:pt idx="176">
                  <c:v>0.97446807749246078</c:v>
                </c:pt>
                <c:pt idx="177">
                  <c:v>0.97648190272014168</c:v>
                </c:pt>
                <c:pt idx="178">
                  <c:v>0.97839314642876607</c:v>
                </c:pt>
                <c:pt idx="179">
                  <c:v>0.98020306087914655</c:v>
                </c:pt>
                <c:pt idx="180">
                  <c:v>0.98191314842992194</c:v>
                </c:pt>
                <c:pt idx="181">
                  <c:v>0.98352514797618928</c:v>
                </c:pt>
                <c:pt idx="182">
                  <c:v>0.98504102024095741</c:v>
                </c:pt>
                <c:pt idx="183">
                  <c:v>0.98646293203270541</c:v>
                </c:pt>
                <c:pt idx="184">
                  <c:v>0.98779323958988186</c:v>
                </c:pt>
                <c:pt idx="185">
                  <c:v>0.98903447113964404</c:v>
                </c:pt>
                <c:pt idx="186">
                  <c:v>0.99018930880344358</c:v>
                </c:pt>
                <c:pt idx="187">
                  <c:v>0.99126056998616618</c:v>
                </c:pt>
                <c:pt idx="188">
                  <c:v>0.99225118838838622</c:v>
                </c:pt>
                <c:pt idx="189">
                  <c:v>0.99316419478288387</c:v>
                </c:pt>
                <c:pt idx="190">
                  <c:v>0.99400269769686422</c:v>
                </c:pt>
                <c:pt idx="191">
                  <c:v>0.9947698641403302</c:v>
                </c:pt>
                <c:pt idx="192">
                  <c:v>0.99546890051879178</c:v>
                </c:pt>
                <c:pt idx="193">
                  <c:v>0.99610303386498111</c:v>
                </c:pt>
                <c:pt idx="194">
                  <c:v>0.99667549351950901</c:v>
                </c:pt>
                <c:pt idx="195">
                  <c:v>0.99718949338450957</c:v>
                </c:pt>
                <c:pt idx="196">
                  <c:v>0.99764821486732314</c:v>
                </c:pt>
                <c:pt idx="197">
                  <c:v>0.99805479062324698</c:v>
                </c:pt>
                <c:pt idx="198">
                  <c:v>0.99841228919741609</c:v>
                </c:pt>
                <c:pt idx="199">
                  <c:v>0.99872370065605742</c:v>
                </c:pt>
                <c:pt idx="200">
                  <c:v>0.99899192328679354</c:v>
                </c:pt>
                <c:pt idx="201">
                  <c:v>0.99921975143645969</c:v>
                </c:pt>
                <c:pt idx="202">
                  <c:v>0.9994098645431696</c:v>
                </c:pt>
                <c:pt idx="203">
                  <c:v>0.99956481740722358</c:v>
                </c:pt>
                <c:pt idx="204">
                  <c:v>0.9996870317330393</c:v>
                </c:pt>
                <c:pt idx="205">
                  <c:v>0.99977878896172245</c:v>
                </c:pt>
                <c:pt idx="206">
                  <c:v>0.99984222440130677</c:v>
                </c:pt>
                <c:pt idx="207">
                  <c:v>0.99987932264921642</c:v>
                </c:pt>
                <c:pt idx="208">
                  <c:v>0.99989191428926705</c:v>
                </c:pt>
                <c:pt idx="209">
                  <c:v>0.99988167383364468</c:v>
                </c:pt>
                <c:pt idx="210">
                  <c:v>0.99985011886890685</c:v>
                </c:pt>
                <c:pt idx="211">
                  <c:v>0.99979861035426443</c:v>
                </c:pt>
                <c:pt idx="212">
                  <c:v>0.99972835401031901</c:v>
                </c:pt>
                <c:pt idx="213">
                  <c:v>0.9996404027271617</c:v>
                </c:pt>
                <c:pt idx="214">
                  <c:v>0.99953565991238458</c:v>
                </c:pt>
                <c:pt idx="215">
                  <c:v>0.99941488369217324</c:v>
                </c:pt>
                <c:pt idx="216">
                  <c:v>0.99927869187235074</c:v>
                </c:pt>
                <c:pt idx="217">
                  <c:v>0.99912756756105314</c:v>
                </c:pt>
                <c:pt idx="218">
                  <c:v>0.99896186535070641</c:v>
                </c:pt>
                <c:pt idx="219">
                  <c:v>0.99878181795417498</c:v>
                </c:pt>
                <c:pt idx="220">
                  <c:v>0.99858754318838638</c:v>
                </c:pt>
                <c:pt idx="221">
                  <c:v>0.99837905119841519</c:v>
                </c:pt>
                <c:pt idx="222">
                  <c:v>0.9981562518159266</c:v>
                </c:pt>
                <c:pt idx="223">
                  <c:v>0.9979189619480302</c:v>
                </c:pt>
                <c:pt idx="224">
                  <c:v>0.99766691289593035</c:v>
                </c:pt>
                <c:pt idx="225">
                  <c:v>0.99739975750725041</c:v>
                </c:pt>
                <c:pt idx="226">
                  <c:v>0.99711707707150365</c:v>
                </c:pt>
                <c:pt idx="227">
                  <c:v>0.99681838787479471</c:v>
                </c:pt>
                <c:pt idx="228">
                  <c:v>0.99650314733740697</c:v>
                </c:pt>
                <c:pt idx="229">
                  <c:v>0.99617075966636248</c:v>
                </c:pt>
                <c:pt idx="230">
                  <c:v>0.99582058096423187</c:v>
                </c:pt>
                <c:pt idx="231">
                  <c:v>0.99545192374531943</c:v>
                </c:pt>
                <c:pt idx="232">
                  <c:v>0.9950640608207395</c:v>
                </c:pt>
                <c:pt idx="233">
                  <c:v>0.99465622852470448</c:v>
                </c:pt>
                <c:pt idx="234">
                  <c:v>0.99422762926545261</c:v>
                </c:pt>
                <c:pt idx="235">
                  <c:v>0.99377743339550839</c:v>
                </c:pt>
                <c:pt idx="236">
                  <c:v>0.99330478040726922</c:v>
                </c:pt>
                <c:pt idx="237">
                  <c:v>0.99280877947111956</c:v>
                </c:pt>
                <c:pt idx="238">
                  <c:v>0.99228850934424251</c:v>
                </c:pt>
                <c:pt idx="239">
                  <c:v>0.99174301768891882</c:v>
                </c:pt>
                <c:pt idx="240">
                  <c:v>0.99117131984922979</c:v>
                </c:pt>
                <c:pt idx="241">
                  <c:v>0.99057239714460921</c:v>
                </c:pt>
                <c:pt idx="242">
                  <c:v>0.9899451947474921</c:v>
                </c:pt>
                <c:pt idx="243">
                  <c:v>0.9892886192202891</c:v>
                </c:pt>
                <c:pt idx="244">
                  <c:v>0.98860153579396659</c:v>
                </c:pt>
                <c:pt idx="245">
                  <c:v>0.98788276547655218</c:v>
                </c:pt>
                <c:pt idx="246">
                  <c:v>0.98713108208483058</c:v>
                </c:pt>
                <c:pt idx="247">
                  <c:v>0.98634520929628633</c:v>
                </c:pt>
                <c:pt idx="248">
                  <c:v>0.98552381782092224</c:v>
                </c:pt>
                <c:pt idx="249">
                  <c:v>0.98466552279390618</c:v>
                </c:pt>
                <c:pt idx="250">
                  <c:v>0.9837688814900456</c:v>
                </c:pt>
                <c:pt idx="251">
                  <c:v>0.98283239145983137</c:v>
                </c:pt>
                <c:pt idx="252">
                  <c:v>0.98185448918425511</c:v>
                </c:pt>
                <c:pt idx="253">
                  <c:v>0.98083354934177946</c:v>
                </c:pt>
                <c:pt idx="254">
                  <c:v>0.97976788477577414</c:v>
                </c:pt>
                <c:pt idx="255">
                  <c:v>0.97865574724445248</c:v>
                </c:pt>
                <c:pt idx="256">
                  <c:v>0.97749532902792469</c:v>
                </c:pt>
                <c:pt idx="257">
                  <c:v>0.97628476545847698</c:v>
                </c:pt>
                <c:pt idx="258">
                  <c:v>0.97502213843069208</c:v>
                </c:pt>
                <c:pt idx="259">
                  <c:v>0.97370548093762199</c:v>
                </c:pt>
                <c:pt idx="260">
                  <c:v>0.97233278266802214</c:v>
                </c:pt>
                <c:pt idx="261">
                  <c:v>0.97090199668777588</c:v>
                </c:pt>
                <c:pt idx="262">
                  <c:v>0.96941104721618121</c:v>
                </c:pt>
                <c:pt idx="263">
                  <c:v>0.96785783849489715</c:v>
                </c:pt>
                <c:pt idx="264">
                  <c:v>0.9662402647341648</c:v>
                </c:pt>
                <c:pt idx="265">
                  <c:v>0.96455622110757722</c:v>
                </c:pt>
                <c:pt idx="266">
                  <c:v>0.96280361575332274</c:v>
                </c:pt>
                <c:pt idx="267">
                  <c:v>0.96098038272660347</c:v>
                </c:pt>
                <c:pt idx="268">
                  <c:v>0.95908449583497291</c:v>
                </c:pt>
                <c:pt idx="269">
                  <c:v>0.95711398327581643</c:v>
                </c:pt>
                <c:pt idx="270">
                  <c:v>0.9550669429832106</c:v>
                </c:pt>
                <c:pt idx="271">
                  <c:v>0.95294155858012253</c:v>
                </c:pt>
                <c:pt idx="272">
                  <c:v>0.95073611582145046</c:v>
                </c:pt>
                <c:pt idx="273">
                  <c:v>0.94844901940388671</c:v>
                </c:pt>
                <c:pt idx="274">
                  <c:v>0.94607881001014338</c:v>
                </c:pt>
                <c:pt idx="275">
                  <c:v>0.94362418144777405</c:v>
                </c:pt>
                <c:pt idx="276">
                  <c:v>0.94108399773681206</c:v>
                </c:pt>
                <c:pt idx="277">
                  <c:v>0.93845730999573307</c:v>
                </c:pt>
                <c:pt idx="278">
                  <c:v>0.93574337297197696</c:v>
                </c:pt>
                <c:pt idx="279">
                  <c:v>0.9329416610614365</c:v>
                </c:pt>
                <c:pt idx="280">
                  <c:v>0.93005188366098779</c:v>
                </c:pt>
                <c:pt idx="281">
                  <c:v>0.92707399969935889</c:v>
                </c:pt>
                <c:pt idx="282">
                  <c:v>0.92400823119435738</c:v>
                </c:pt>
                <c:pt idx="283">
                  <c:v>0.92085507568876568</c:v>
                </c:pt>
                <c:pt idx="284">
                  <c:v>0.91761531742299185</c:v>
                </c:pt>
                <c:pt idx="285">
                  <c:v>0.91429003710982559</c:v>
                </c:pt>
                <c:pt idx="286">
                  <c:v>0.91088062018533922</c:v>
                </c:pt>
                <c:pt idx="287">
                  <c:v>0.90738876342000907</c:v>
                </c:pt>
                <c:pt idx="288">
                  <c:v>0.9038164797854632</c:v>
                </c:pt>
                <c:pt idx="289">
                  <c:v>0.90016610148476384</c:v>
                </c:pt>
                <c:pt idx="290">
                  <c:v>0.89644028106771489</c:v>
                </c:pt>
                <c:pt idx="291">
                  <c:v>0.89264199056724092</c:v>
                </c:pt>
                <c:pt idx="292">
                  <c:v>0.88877451860825196</c:v>
                </c:pt>
                <c:pt idx="293">
                  <c:v>0.884841465456492</c:v>
                </c:pt>
                <c:pt idx="294">
                  <c:v>0.88084673599149277</c:v>
                </c:pt>
                <c:pt idx="295">
                  <c:v>0.87679453060477686</c:v>
                </c:pt>
                <c:pt idx="296">
                  <c:v>0.87268933404172566</c:v>
                </c:pt>
                <c:pt idx="297">
                  <c:v>0.8685359022228728</c:v>
                </c:pt>
                <c:pt idx="298">
                  <c:v>0.86433924709765542</c:v>
                </c:pt>
                <c:pt idx="299">
                  <c:v>0.86010461960068296</c:v>
                </c:pt>
                <c:pt idx="300">
                  <c:v>0.85583749079719995</c:v>
                </c:pt>
                <c:pt idx="301">
                  <c:v>0.85154353132048854</c:v>
                </c:pt>
                <c:pt idx="302">
                  <c:v>0.84722858921929034</c:v>
                </c:pt>
                <c:pt idx="303">
                  <c:v>0.84289866634781385</c:v>
                </c:pt>
                <c:pt idx="304">
                  <c:v>0.83855989344436455</c:v>
                </c:pt>
                <c:pt idx="305">
                  <c:v>0.8342185040569704</c:v>
                </c:pt>
                <c:pt idx="306">
                  <c:v>0.82988080748545856</c:v>
                </c:pt>
                <c:pt idx="307">
                  <c:v>0.82555316091914266</c:v>
                </c:pt>
                <c:pt idx="308">
                  <c:v>0.82124194095752723</c:v>
                </c:pt>
                <c:pt idx="309">
                  <c:v>0.81695351470812749</c:v>
                </c:pt>
                <c:pt idx="310">
                  <c:v>0.8126942106605668</c:v>
                </c:pt>
                <c:pt idx="311">
                  <c:v>0.80847028953952005</c:v>
                </c:pt>
                <c:pt idx="312">
                  <c:v>0.80428791534073807</c:v>
                </c:pt>
                <c:pt idx="313">
                  <c:v>0.80015312675433747</c:v>
                </c:pt>
                <c:pt idx="314">
                  <c:v>0.7960718091777319</c:v>
                </c:pt>
                <c:pt idx="315">
                  <c:v>0.79204966751704176</c:v>
                </c:pt>
                <c:pt idx="316">
                  <c:v>0.78809219997056168</c:v>
                </c:pt>
                <c:pt idx="317">
                  <c:v>0.78420467298096019</c:v>
                </c:pt>
                <c:pt idx="318">
                  <c:v>0.78039209753433614</c:v>
                </c:pt>
                <c:pt idx="319">
                  <c:v>0.77665920697420776</c:v>
                </c:pt>
                <c:pt idx="320">
                  <c:v>0.77301043648698131</c:v>
                </c:pt>
                <c:pt idx="321">
                  <c:v>0.76944990440257788</c:v>
                </c:pt>
                <c:pt idx="322">
                  <c:v>0.76598139543980737</c:v>
                </c:pt>
                <c:pt idx="323">
                  <c:v>0.76260834601084737</c:v>
                </c:pt>
                <c:pt idx="324">
                  <c:v>0.75933383168301638</c:v>
                </c:pt>
                <c:pt idx="325">
                  <c:v>0.75616055687900186</c:v>
                </c:pt>
                <c:pt idx="326">
                  <c:v>0.75309084687901806</c:v>
                </c:pt>
                <c:pt idx="327">
                  <c:v>0.75012664217015956</c:v>
                </c:pt>
                <c:pt idx="328">
                  <c:v>0.74726949516964603</c:v>
                </c:pt>
                <c:pt idx="329">
                  <c:v>0.74452056932991406</c:v>
                </c:pt>
                <c:pt idx="330">
                  <c:v>0.74188064061473069</c:v>
                </c:pt>
                <c:pt idx="331">
                  <c:v>0.73935010131689105</c:v>
                </c:pt>
                <c:pt idx="332">
                  <c:v>0.73692896616975734</c:v>
                </c:pt>
                <c:pt idx="333">
                  <c:v>0.73461688068706599</c:v>
                </c:pt>
                <c:pt idx="334">
                  <c:v>0.73241313164825039</c:v>
                </c:pt>
                <c:pt idx="335">
                  <c:v>0.73031665963011982</c:v>
                </c:pt>
                <c:pt idx="336">
                  <c:v>0.72832607347027767</c:v>
                </c:pt>
                <c:pt idx="337">
                  <c:v>0.72643966653326175</c:v>
                </c:pt>
                <c:pt idx="338">
                  <c:v>0.72465543463718785</c:v>
                </c:pt>
                <c:pt idx="339">
                  <c:v>0.72297109548678218</c:v>
                </c:pt>
                <c:pt idx="340">
                  <c:v>0.72138410944819553</c:v>
                </c:pt>
                <c:pt idx="341">
                  <c:v>0.71989170149199722</c:v>
                </c:pt>
                <c:pt idx="342">
                  <c:v>0.71849088412331374</c:v>
                </c:pt>
                <c:pt idx="343">
                  <c:v>0.71717848111226901</c:v>
                </c:pt>
                <c:pt idx="344">
                  <c:v>0.71595115183373725</c:v>
                </c:pt>
                <c:pt idx="345">
                  <c:v>0.71480541602296876</c:v>
                </c:pt>
                <c:pt idx="346">
                  <c:v>0.71373767875289273</c:v>
                </c:pt>
                <c:pt idx="347">
                  <c:v>0.71274425543984732</c:v>
                </c:pt>
                <c:pt idx="348">
                  <c:v>0.71182139668709687</c:v>
                </c:pt>
                <c:pt idx="349">
                  <c:v>0.71096531277975328</c:v>
                </c:pt>
                <c:pt idx="350">
                  <c:v>0.71017219765054429</c:v>
                </c:pt>
                <c:pt idx="351">
                  <c:v>0.70943825214322709</c:v>
                </c:pt>
                <c:pt idx="352">
                  <c:v>0.70875970640922514</c:v>
                </c:pt>
                <c:pt idx="353">
                  <c:v>0.70813284128319209</c:v>
                </c:pt>
                <c:pt idx="354">
                  <c:v>0.70755400849456518</c:v>
                </c:pt>
                <c:pt idx="355">
                  <c:v>0.70701964958464991</c:v>
                </c:pt>
                <c:pt idx="356">
                  <c:v>0.70652631341224448</c:v>
                </c:pt>
                <c:pt idx="357">
                  <c:v>0.70607067214514108</c:v>
                </c:pt>
                <c:pt idx="358">
                  <c:v>0.70564953564988098</c:v>
                </c:pt>
                <c:pt idx="359">
                  <c:v>0.70525986420775233</c:v>
                </c:pt>
                <c:pt idx="360">
                  <c:v>0.70489877950104252</c:v>
                </c:pt>
                <c:pt idx="361">
                  <c:v>0.70456357382984947</c:v>
                </c:pt>
                <c:pt idx="362">
                  <c:v>0.70425171753615101</c:v>
                </c:pt>
                <c:pt idx="363">
                  <c:v>0.70396086462818119</c:v>
                </c:pt>
                <c:pt idx="364">
                  <c:v>0.70368885661431446</c:v>
                </c:pt>
                <c:pt idx="365">
                  <c:v>0.70343372457146036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27512"/>
        <c:axId val="611427904"/>
      </c:lineChart>
      <c:dateAx>
        <c:axId val="611427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790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11427904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7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3.4840174365086281E-3</c:v>
                </c:pt>
                <c:pt idx="1">
                  <c:v>3.577897387929057E-3</c:v>
                </c:pt>
                <c:pt idx="2">
                  <c:v>3.6845532200801556E-3</c:v>
                </c:pt>
                <c:pt idx="3">
                  <c:v>3.8039952683396315E-3</c:v>
                </c:pt>
                <c:pt idx="4">
                  <c:v>3.9362329949399685E-3</c:v>
                </c:pt>
                <c:pt idx="5">
                  <c:v>4.0812746658128478E-3</c:v>
                </c:pt>
                <c:pt idx="6">
                  <c:v>4.2391270274854528E-3</c:v>
                </c:pt>
                <c:pt idx="7">
                  <c:v>4.4097949838876778E-3</c:v>
                </c:pt>
                <c:pt idx="8">
                  <c:v>4.5932812732118805E-3</c:v>
                </c:pt>
                <c:pt idx="9">
                  <c:v>4.7890634811854627E-3</c:v>
                </c:pt>
                <c:pt idx="10">
                  <c:v>4.9926246498321466E-3</c:v>
                </c:pt>
                <c:pt idx="11">
                  <c:v>5.2039528345433654E-3</c:v>
                </c:pt>
                <c:pt idx="12">
                  <c:v>5.423033225036171E-3</c:v>
                </c:pt>
                <c:pt idx="13">
                  <c:v>5.6498479502306298E-3</c:v>
                </c:pt>
                <c:pt idx="14">
                  <c:v>5.8843758830290334E-3</c:v>
                </c:pt>
                <c:pt idx="15">
                  <c:v>6.1206280670028724E-3</c:v>
                </c:pt>
                <c:pt idx="16">
                  <c:v>6.3503530855009383E-3</c:v>
                </c:pt>
                <c:pt idx="17">
                  <c:v>6.5735083882387108E-3</c:v>
                </c:pt>
                <c:pt idx="18">
                  <c:v>6.7900503943730704E-3</c:v>
                </c:pt>
                <c:pt idx="19">
                  <c:v>6.9999737021014764E-3</c:v>
                </c:pt>
                <c:pt idx="20">
                  <c:v>7.2032948934790328E-3</c:v>
                </c:pt>
                <c:pt idx="21">
                  <c:v>7.4000042069565083E-3</c:v>
                </c:pt>
                <c:pt idx="22">
                  <c:v>7.5900938397712959E-3</c:v>
                </c:pt>
                <c:pt idx="23">
                  <c:v>7.7650936968277672E-3</c:v>
                </c:pt>
                <c:pt idx="24">
                  <c:v>7.9255223998758676E-3</c:v>
                </c:pt>
                <c:pt idx="25">
                  <c:v>8.0713766902715377E-3</c:v>
                </c:pt>
                <c:pt idx="26">
                  <c:v>8.2026557801148352E-3</c:v>
                </c:pt>
                <c:pt idx="27">
                  <c:v>8.3193611716477541E-3</c:v>
                </c:pt>
                <c:pt idx="28">
                  <c:v>8.4214964768265493E-3</c:v>
                </c:pt>
                <c:pt idx="29">
                  <c:v>8.4859477130749521E-3</c:v>
                </c:pt>
                <c:pt idx="30">
                  <c:v>8.5186980796011346E-3</c:v>
                </c:pt>
                <c:pt idx="31">
                  <c:v>8.5197591091573811E-3</c:v>
                </c:pt>
                <c:pt idx="32">
                  <c:v>8.4891447335636999E-3</c:v>
                </c:pt>
                <c:pt idx="33">
                  <c:v>8.4268708888350675E-3</c:v>
                </c:pt>
                <c:pt idx="34">
                  <c:v>8.3329551203477625E-3</c:v>
                </c:pt>
                <c:pt idx="35">
                  <c:v>8.2074161879981972E-3</c:v>
                </c:pt>
                <c:pt idx="36">
                  <c:v>8.0502736713435382E-3</c:v>
                </c:pt>
                <c:pt idx="37">
                  <c:v>7.853710280738108E-3</c:v>
                </c:pt>
                <c:pt idx="38">
                  <c:v>7.6262092106336088E-3</c:v>
                </c:pt>
                <c:pt idx="39">
                  <c:v>7.3677900169458778E-3</c:v>
                </c:pt>
                <c:pt idx="40">
                  <c:v>7.0784714530009374E-3</c:v>
                </c:pt>
                <c:pt idx="41">
                  <c:v>6.7582710825372086E-3</c:v>
                </c:pt>
                <c:pt idx="42">
                  <c:v>6.4072048926524074E-3</c:v>
                </c:pt>
                <c:pt idx="43">
                  <c:v>6.0395526374064481E-3</c:v>
                </c:pt>
                <c:pt idx="44">
                  <c:v>5.6784174906406052E-3</c:v>
                </c:pt>
                <c:pt idx="45">
                  <c:v>5.3238001797383276E-3</c:v>
                </c:pt>
                <c:pt idx="46">
                  <c:v>4.9756998473906664E-3</c:v>
                </c:pt>
                <c:pt idx="47">
                  <c:v>4.6341141321307412E-3</c:v>
                </c:pt>
                <c:pt idx="48">
                  <c:v>4.2990392487968305E-3</c:v>
                </c:pt>
                <c:pt idx="49">
                  <c:v>3.9704700690430294E-3</c:v>
                </c:pt>
                <c:pt idx="50">
                  <c:v>3.648400201820902E-3</c:v>
                </c:pt>
                <c:pt idx="51">
                  <c:v>3.3417707706719642E-3</c:v>
                </c:pt>
                <c:pt idx="52">
                  <c:v>3.0583860297546009E-3</c:v>
                </c:pt>
                <c:pt idx="53">
                  <c:v>2.7982231911357421E-3</c:v>
                </c:pt>
                <c:pt idx="54">
                  <c:v>2.5612784032673758E-3</c:v>
                </c:pt>
                <c:pt idx="55">
                  <c:v>2.3475485824051433E-3</c:v>
                </c:pt>
                <c:pt idx="56">
                  <c:v>2.1570313267463533E-3</c:v>
                </c:pt>
                <c:pt idx="57">
                  <c:v>1.9924526159175913E-3</c:v>
                </c:pt>
                <c:pt idx="58">
                  <c:v>1.8395516154837645E-3</c:v>
                </c:pt>
                <c:pt idx="59">
                  <c:v>1.6983272439268183E-3</c:v>
                </c:pt>
                <c:pt idx="60">
                  <c:v>1.568778709024451E-3</c:v>
                </c:pt>
                <c:pt idx="61">
                  <c:v>1.4509054646524445E-3</c:v>
                </c:pt>
                <c:pt idx="62">
                  <c:v>1.3447071675847524E-3</c:v>
                </c:pt>
                <c:pt idx="63">
                  <c:v>1.2501836342980667E-3</c:v>
                </c:pt>
                <c:pt idx="64">
                  <c:v>1.1673347977706556E-3</c:v>
                </c:pt>
                <c:pt idx="65">
                  <c:v>1.096600831351622E-3</c:v>
                </c:pt>
                <c:pt idx="66">
                  <c:v>1.0290326935282702E-3</c:v>
                </c:pt>
                <c:pt idx="67">
                  <c:v>9.6463037476195743E-4</c:v>
                </c:pt>
                <c:pt idx="68">
                  <c:v>9.0339392634533004E-4</c:v>
                </c:pt>
                <c:pt idx="69">
                  <c:v>8.4532344867887783E-4</c:v>
                </c:pt>
                <c:pt idx="70">
                  <c:v>7.9041907955233021E-4</c:v>
                </c:pt>
                <c:pt idx="71">
                  <c:v>7.392883031244182E-4</c:v>
                </c:pt>
                <c:pt idx="72">
                  <c:v>6.8920343523848002E-4</c:v>
                </c:pt>
                <c:pt idx="73">
                  <c:v>6.4016476376598051E-4</c:v>
                </c:pt>
                <c:pt idx="74">
                  <c:v>5.9217262378034484E-4</c:v>
                </c:pt>
                <c:pt idx="75">
                  <c:v>5.4522739368279959E-4</c:v>
                </c:pt>
                <c:pt idx="76">
                  <c:v>4.9932949132623953E-4</c:v>
                </c:pt>
                <c:pt idx="77">
                  <c:v>4.5447937014101228E-4</c:v>
                </c:pt>
                <c:pt idx="78">
                  <c:v>4.1067752889380692E-4</c:v>
                </c:pt>
                <c:pt idx="79">
                  <c:v>3.6947113030128833E-4</c:v>
                </c:pt>
                <c:pt idx="80">
                  <c:v>3.3042085908001497E-4</c:v>
                </c:pt>
                <c:pt idx="81">
                  <c:v>2.9352632417075204E-4</c:v>
                </c:pt>
                <c:pt idx="82">
                  <c:v>2.5878717831341185E-4</c:v>
                </c:pt>
                <c:pt idx="83">
                  <c:v>2.2620311115193297E-4</c:v>
                </c:pt>
                <c:pt idx="84">
                  <c:v>1.9577384233997796E-4</c:v>
                </c:pt>
                <c:pt idx="85">
                  <c:v>1.6832377292310709E-4</c:v>
                </c:pt>
                <c:pt idx="86">
                  <c:v>1.4324556781080222E-4</c:v>
                </c:pt>
                <c:pt idx="87">
                  <c:v>1.2053895283390548E-4</c:v>
                </c:pt>
                <c:pt idx="88">
                  <c:v>1.0020365177713717E-4</c:v>
                </c:pt>
                <c:pt idx="89">
                  <c:v>8.2239378786836854E-5</c:v>
                </c:pt>
                <c:pt idx="90">
                  <c:v>6.664583077850931E-5</c:v>
                </c:pt>
                <c:pt idx="91">
                  <c:v>5.3422679844707789E-5</c:v>
                </c:pt>
                <c:pt idx="92">
                  <c:v>4.2569565662610772E-5</c:v>
                </c:pt>
                <c:pt idx="93">
                  <c:v>3.4326022761277749E-5</c:v>
                </c:pt>
                <c:pt idx="94">
                  <c:v>2.7147710798529711E-5</c:v>
                </c:pt>
                <c:pt idx="95">
                  <c:v>2.1034460805651719E-5</c:v>
                </c:pt>
                <c:pt idx="96">
                  <c:v>1.5986081281421666E-5</c:v>
                </c:pt>
                <c:pt idx="97">
                  <c:v>1.200235478058093E-5</c:v>
                </c:pt>
                <c:pt idx="98">
                  <c:v>9.0830345020736335E-6</c:v>
                </c:pt>
                <c:pt idx="99">
                  <c:v>7.2192828597712034E-6</c:v>
                </c:pt>
                <c:pt idx="100">
                  <c:v>5.5871166016668748E-6</c:v>
                </c:pt>
                <c:pt idx="101">
                  <c:v>4.1864859259326131E-6</c:v>
                </c:pt>
                <c:pt idx="102">
                  <c:v>3.0173335539890359E-6</c:v>
                </c:pt>
                <c:pt idx="103">
                  <c:v>2.0795939886989929E-6</c:v>
                </c:pt>
                <c:pt idx="104">
                  <c:v>1.3731927726467616E-6</c:v>
                </c:pt>
                <c:pt idx="105">
                  <c:v>8.9804574633587254E-7</c:v>
                </c:pt>
                <c:pt idx="106">
                  <c:v>6.54058306429032E-7</c:v>
                </c:pt>
                <c:pt idx="107">
                  <c:v>6.6102509298542031E-7</c:v>
                </c:pt>
                <c:pt idx="108">
                  <c:v>6.7933349751972625E-7</c:v>
                </c:pt>
                <c:pt idx="109">
                  <c:v>7.0897669556211718E-7</c:v>
                </c:pt>
                <c:pt idx="110">
                  <c:v>7.4994932950710318E-7</c:v>
                </c:pt>
                <c:pt idx="111">
                  <c:v>8.0224598886984183E-7</c:v>
                </c:pt>
                <c:pt idx="112">
                  <c:v>8.6585902214042763E-7</c:v>
                </c:pt>
                <c:pt idx="113">
                  <c:v>9.7594214155298517E-7</c:v>
                </c:pt>
                <c:pt idx="114">
                  <c:v>1.1410008724663405E-6</c:v>
                </c:pt>
                <c:pt idx="115">
                  <c:v>1.3609971842111085E-6</c:v>
                </c:pt>
                <c:pt idx="116">
                  <c:v>1.63589118401098E-6</c:v>
                </c:pt>
                <c:pt idx="117">
                  <c:v>1.9656409966527866E-6</c:v>
                </c:pt>
                <c:pt idx="118">
                  <c:v>2.3502026441457056E-6</c:v>
                </c:pt>
                <c:pt idx="119">
                  <c:v>2.7895299253830924E-6</c:v>
                </c:pt>
                <c:pt idx="120">
                  <c:v>3.2835742957989124E-6</c:v>
                </c:pt>
                <c:pt idx="121">
                  <c:v>3.7926048246438768E-6</c:v>
                </c:pt>
                <c:pt idx="122">
                  <c:v>4.2967642632276822E-6</c:v>
                </c:pt>
                <c:pt idx="123">
                  <c:v>4.7960450429394883E-6</c:v>
                </c:pt>
                <c:pt idx="124">
                  <c:v>5.2904393439235271E-6</c:v>
                </c:pt>
                <c:pt idx="125">
                  <c:v>5.7799391051567581E-6</c:v>
                </c:pt>
                <c:pt idx="126">
                  <c:v>6.2645360344632186E-6</c:v>
                </c:pt>
                <c:pt idx="127">
                  <c:v>6.6861319678206062E-6</c:v>
                </c:pt>
                <c:pt idx="128">
                  <c:v>7.0097450679925965E-6</c:v>
                </c:pt>
                <c:pt idx="129">
                  <c:v>7.2354557828773664E-6</c:v>
                </c:pt>
                <c:pt idx="130">
                  <c:v>7.3633491350373748E-6</c:v>
                </c:pt>
                <c:pt idx="131">
                  <c:v>7.3935149360069495E-6</c:v>
                </c:pt>
                <c:pt idx="132">
                  <c:v>7.3260480006628044E-6</c:v>
                </c:pt>
                <c:pt idx="133">
                  <c:v>7.1610483616436325E-6</c:v>
                </c:pt>
                <c:pt idx="134">
                  <c:v>6.8986214837301843E-6</c:v>
                </c:pt>
                <c:pt idx="135">
                  <c:v>6.8706875841865268E-6</c:v>
                </c:pt>
                <c:pt idx="136">
                  <c:v>7.1164775731488468E-6</c:v>
                </c:pt>
                <c:pt idx="137">
                  <c:v>7.6356706991623382E-6</c:v>
                </c:pt>
                <c:pt idx="138">
                  <c:v>8.4279294381678689E-6</c:v>
                </c:pt>
                <c:pt idx="139">
                  <c:v>9.4928988911372563E-6</c:v>
                </c:pt>
                <c:pt idx="140">
                  <c:v>1.0830206181263892E-5</c:v>
                </c:pt>
                <c:pt idx="141">
                  <c:v>1.2557193944591068E-5</c:v>
                </c:pt>
                <c:pt idx="142">
                  <c:v>1.4730980289885288E-5</c:v>
                </c:pt>
                <c:pt idx="143">
                  <c:v>1.7350770227553658E-5</c:v>
                </c:pt>
                <c:pt idx="144">
                  <c:v>2.0415789520880324E-5</c:v>
                </c:pt>
                <c:pt idx="145">
                  <c:v>2.3925225502145015E-5</c:v>
                </c:pt>
                <c:pt idx="146">
                  <c:v>2.7878233099367495E-5</c:v>
                </c:pt>
                <c:pt idx="147">
                  <c:v>3.2273940863743395E-5</c:v>
                </c:pt>
                <c:pt idx="148">
                  <c:v>3.7111456996614173E-5</c:v>
                </c:pt>
                <c:pt idx="149">
                  <c:v>4.1838350411240079E-5</c:v>
                </c:pt>
                <c:pt idx="150">
                  <c:v>4.612522682335604E-5</c:v>
                </c:pt>
                <c:pt idx="151">
                  <c:v>4.9972760630323479E-5</c:v>
                </c:pt>
                <c:pt idx="152">
                  <c:v>5.3381675975079103E-5</c:v>
                </c:pt>
                <c:pt idx="153">
                  <c:v>5.635274088896825E-5</c:v>
                </c:pt>
                <c:pt idx="154">
                  <c:v>5.8886761434829181E-5</c:v>
                </c:pt>
                <c:pt idx="155">
                  <c:v>6.0869667964700929E-5</c:v>
                </c:pt>
                <c:pt idx="156">
                  <c:v>6.2185793294236631E-5</c:v>
                </c:pt>
                <c:pt idx="157">
                  <c:v>6.2836463286368937E-5</c:v>
                </c:pt>
                <c:pt idx="158">
                  <c:v>6.2823019416756348E-5</c:v>
                </c:pt>
                <c:pt idx="159">
                  <c:v>6.2146809779764332E-5</c:v>
                </c:pt>
                <c:pt idx="160">
                  <c:v>6.0809180095219838E-5</c:v>
                </c:pt>
                <c:pt idx="161">
                  <c:v>5.8811464714451446E-5</c:v>
                </c:pt>
                <c:pt idx="162">
                  <c:v>5.6154977626668392E-5</c:v>
                </c:pt>
                <c:pt idx="163">
                  <c:v>5.3105336734983261E-5</c:v>
                </c:pt>
                <c:pt idx="164">
                  <c:v>5.020971239900042E-5</c:v>
                </c:pt>
                <c:pt idx="165">
                  <c:v>4.7467832151712458E-5</c:v>
                </c:pt>
                <c:pt idx="166">
                  <c:v>4.4879415855378475E-5</c:v>
                </c:pt>
                <c:pt idx="167">
                  <c:v>4.2444177741509589E-5</c:v>
                </c:pt>
                <c:pt idx="168">
                  <c:v>4.0161828452370179E-5</c:v>
                </c:pt>
                <c:pt idx="169">
                  <c:v>3.8295474011935916E-5</c:v>
                </c:pt>
                <c:pt idx="170">
                  <c:v>3.6958253255483066E-5</c:v>
                </c:pt>
                <c:pt idx="171">
                  <c:v>3.614929068726815E-5</c:v>
                </c:pt>
                <c:pt idx="172">
                  <c:v>3.5867757417605137E-5</c:v>
                </c:pt>
                <c:pt idx="173">
                  <c:v>3.6112509064099159E-5</c:v>
                </c:pt>
                <c:pt idx="174">
                  <c:v>3.6882410735223485E-5</c:v>
                </c:pt>
                <c:pt idx="175">
                  <c:v>3.817668779651736E-5</c:v>
                </c:pt>
                <c:pt idx="176">
                  <c:v>3.9994569077151251E-5</c:v>
                </c:pt>
                <c:pt idx="177">
                  <c:v>4.2221833675705328E-5</c:v>
                </c:pt>
                <c:pt idx="178">
                  <c:v>4.4595713168824969E-5</c:v>
                </c:pt>
                <c:pt idx="179">
                  <c:v>4.7116026358509011E-5</c:v>
                </c:pt>
                <c:pt idx="180">
                  <c:v>4.9782600229274255E-5</c:v>
                </c:pt>
                <c:pt idx="181">
                  <c:v>5.2595270821766035E-5</c:v>
                </c:pt>
                <c:pt idx="182">
                  <c:v>5.5553884106762079E-5</c:v>
                </c:pt>
                <c:pt idx="183">
                  <c:v>5.8117324985755483E-5</c:v>
                </c:pt>
                <c:pt idx="184">
                  <c:v>6.0024822126903312E-5</c:v>
                </c:pt>
                <c:pt idx="185">
                  <c:v>6.1277381885483308E-5</c:v>
                </c:pt>
                <c:pt idx="186">
                  <c:v>6.1875990049409412E-5</c:v>
                </c:pt>
                <c:pt idx="187">
                  <c:v>6.1821607988318548E-5</c:v>
                </c:pt>
                <c:pt idx="188">
                  <c:v>6.1115168803047007E-5</c:v>
                </c:pt>
                <c:pt idx="189">
                  <c:v>5.9757573473212511E-5</c:v>
                </c:pt>
                <c:pt idx="190">
                  <c:v>5.7749687007419329E-5</c:v>
                </c:pt>
                <c:pt idx="191">
                  <c:v>5.5206924721361909E-5</c:v>
                </c:pt>
                <c:pt idx="192">
                  <c:v>5.2242591448361965E-5</c:v>
                </c:pt>
                <c:pt idx="193">
                  <c:v>4.8857150664928738E-5</c:v>
                </c:pt>
                <c:pt idx="194">
                  <c:v>4.5051030489445285E-5</c:v>
                </c:pt>
                <c:pt idx="195">
                  <c:v>4.0824621175313627E-5</c:v>
                </c:pt>
                <c:pt idx="196">
                  <c:v>3.6178272602153705E-5</c:v>
                </c:pt>
                <c:pt idx="197">
                  <c:v>3.1433713206027502E-5</c:v>
                </c:pt>
                <c:pt idx="198">
                  <c:v>2.7128469395575955E-5</c:v>
                </c:pt>
                <c:pt idx="199">
                  <c:v>2.3261931638455539E-5</c:v>
                </c:pt>
                <c:pt idx="200">
                  <c:v>1.983351874258204E-5</c:v>
                </c:pt>
                <c:pt idx="201">
                  <c:v>1.6842680436687744E-5</c:v>
                </c:pt>
                <c:pt idx="202">
                  <c:v>1.4288899951152611E-5</c:v>
                </c:pt>
                <c:pt idx="203">
                  <c:v>1.2171696599138238E-5</c:v>
                </c:pt>
                <c:pt idx="204">
                  <c:v>1.0490611416541092E-5</c:v>
                </c:pt>
                <c:pt idx="205">
                  <c:v>9.1892377483183228E-6</c:v>
                </c:pt>
                <c:pt idx="206">
                  <c:v>8.1532140708945046E-6</c:v>
                </c:pt>
                <c:pt idx="207">
                  <c:v>7.3823222581302615E-6</c:v>
                </c:pt>
                <c:pt idx="208">
                  <c:v>6.8763670241591716E-6</c:v>
                </c:pt>
                <c:pt idx="209">
                  <c:v>6.6351751022830828E-6</c:v>
                </c:pt>
                <c:pt idx="210">
                  <c:v>6.6585944241081892E-6</c:v>
                </c:pt>
                <c:pt idx="211">
                  <c:v>6.9083529151256491E-6</c:v>
                </c:pt>
                <c:pt idx="212">
                  <c:v>7.0640652546052891E-6</c:v>
                </c:pt>
                <c:pt idx="213">
                  <c:v>7.1257744162974678E-6</c:v>
                </c:pt>
                <c:pt idx="214">
                  <c:v>7.0935165612716055E-6</c:v>
                </c:pt>
                <c:pt idx="215">
                  <c:v>6.9673213300378305E-6</c:v>
                </c:pt>
                <c:pt idx="216">
                  <c:v>6.7472121346449408E-6</c:v>
                </c:pt>
                <c:pt idx="217">
                  <c:v>6.4332064508041502E-6</c:v>
                </c:pt>
                <c:pt idx="218">
                  <c:v>6.0253161099715184E-6</c:v>
                </c:pt>
                <c:pt idx="219">
                  <c:v>5.5572548363409276E-6</c:v>
                </c:pt>
                <c:pt idx="220">
                  <c:v>5.0849001104416912E-6</c:v>
                </c:pt>
                <c:pt idx="221">
                  <c:v>4.6082375281293317E-6</c:v>
                </c:pt>
                <c:pt idx="222">
                  <c:v>4.1272530277192473E-6</c:v>
                </c:pt>
                <c:pt idx="223">
                  <c:v>3.6419329037601543E-6</c:v>
                </c:pt>
                <c:pt idx="224">
                  <c:v>3.1522638206792522E-6</c:v>
                </c:pt>
                <c:pt idx="225">
                  <c:v>2.6772840403065301E-6</c:v>
                </c:pt>
                <c:pt idx="226">
                  <c:v>2.2550831925013048E-6</c:v>
                </c:pt>
                <c:pt idx="227">
                  <c:v>1.885650408015227E-6</c:v>
                </c:pt>
                <c:pt idx="228">
                  <c:v>1.5689776801318757E-6</c:v>
                </c:pt>
                <c:pt idx="229">
                  <c:v>1.3050597006782518E-6</c:v>
                </c:pt>
                <c:pt idx="230">
                  <c:v>1.0938936960727504E-6</c:v>
                </c:pt>
                <c:pt idx="231">
                  <c:v>9.3547926336751101E-7</c:v>
                </c:pt>
                <c:pt idx="232">
                  <c:v>8.2981820626695234E-7</c:v>
                </c:pt>
                <c:pt idx="233">
                  <c:v>7.6872942039702005E-7</c:v>
                </c:pt>
                <c:pt idx="234">
                  <c:v>7.1850916197448183E-7</c:v>
                </c:pt>
                <c:pt idx="235">
                  <c:v>6.7915855350153085E-7</c:v>
                </c:pt>
                <c:pt idx="236">
                  <c:v>6.5067921868446845E-7</c:v>
                </c:pt>
                <c:pt idx="237">
                  <c:v>6.3307269410221207E-7</c:v>
                </c:pt>
                <c:pt idx="238">
                  <c:v>6.263409439268998E-7</c:v>
                </c:pt>
                <c:pt idx="239">
                  <c:v>8.5992070234573094E-7</c:v>
                </c:pt>
                <c:pt idx="240">
                  <c:v>1.3148127350418032E-6</c:v>
                </c:pt>
                <c:pt idx="241">
                  <c:v>1.9910866960822921E-6</c:v>
                </c:pt>
                <c:pt idx="242">
                  <c:v>2.8888226076688656E-6</c:v>
                </c:pt>
                <c:pt idx="243">
                  <c:v>4.0081112505938562E-6</c:v>
                </c:pt>
                <c:pt idx="244">
                  <c:v>5.3490545547157956E-6</c:v>
                </c:pt>
                <c:pt idx="245">
                  <c:v>6.9117659894015315E-6</c:v>
                </c:pt>
                <c:pt idx="246">
                  <c:v>8.6963709538982186E-6</c:v>
                </c:pt>
                <c:pt idx="247">
                  <c:v>1.1491905954340764E-5</c:v>
                </c:pt>
                <c:pt idx="248">
                  <c:v>1.5307083453214294E-5</c:v>
                </c:pt>
                <c:pt idx="249">
                  <c:v>2.0142478161657809E-5</c:v>
                </c:pt>
                <c:pt idx="250">
                  <c:v>2.5998722310128878E-5</c:v>
                </c:pt>
                <c:pt idx="251">
                  <c:v>3.2876507444698588E-5</c:v>
                </c:pt>
                <c:pt idx="252">
                  <c:v>4.077658622265806E-5</c:v>
                </c:pt>
                <c:pt idx="253">
                  <c:v>5.1179114101317871E-5</c:v>
                </c:pt>
                <c:pt idx="254">
                  <c:v>6.3855962720920932E-5</c:v>
                </c:pt>
                <c:pt idx="255">
                  <c:v>7.8808947971555795E-5</c:v>
                </c:pt>
                <c:pt idx="256">
                  <c:v>9.604003107182424E-5</c:v>
                </c:pt>
                <c:pt idx="257">
                  <c:v>1.1555132256465526E-4</c:v>
                </c:pt>
                <c:pt idx="258">
                  <c:v>1.3734508631345666E-4</c:v>
                </c:pt>
                <c:pt idx="259">
                  <c:v>1.6142374350049094E-4</c:v>
                </c:pt>
                <c:pt idx="260">
                  <c:v>1.877898766217492E-4</c:v>
                </c:pt>
                <c:pt idx="261">
                  <c:v>2.1702866764271463E-4</c:v>
                </c:pt>
                <c:pt idx="262">
                  <c:v>2.4835202235880428E-4</c:v>
                </c:pt>
                <c:pt idx="263">
                  <c:v>2.8176285959676477E-4</c:v>
                </c:pt>
                <c:pt idx="264">
                  <c:v>3.1726427668548831E-4</c:v>
                </c:pt>
                <c:pt idx="265">
                  <c:v>3.5486144659739442E-4</c:v>
                </c:pt>
                <c:pt idx="266">
                  <c:v>3.9455953401530789E-4</c:v>
                </c:pt>
                <c:pt idx="267">
                  <c:v>4.3678559591979455E-4</c:v>
                </c:pt>
                <c:pt idx="268">
                  <c:v>4.800585169456246E-4</c:v>
                </c:pt>
                <c:pt idx="269">
                  <c:v>5.2438120998292046E-4</c:v>
                </c:pt>
                <c:pt idx="270">
                  <c:v>5.697564971567043E-4</c:v>
                </c:pt>
                <c:pt idx="271">
                  <c:v>6.1618709872807902E-4</c:v>
                </c:pt>
                <c:pt idx="272">
                  <c:v>6.6367562200806774E-4</c:v>
                </c:pt>
                <c:pt idx="273">
                  <c:v>7.122245502643532E-4</c:v>
                </c:pt>
                <c:pt idx="274">
                  <c:v>7.6183623163628882E-4</c:v>
                </c:pt>
                <c:pt idx="275">
                  <c:v>8.1514339574520077E-4</c:v>
                </c:pt>
                <c:pt idx="276">
                  <c:v>8.7156603483115158E-4</c:v>
                </c:pt>
                <c:pt idx="277">
                  <c:v>9.311091555206408E-4</c:v>
                </c:pt>
                <c:pt idx="278">
                  <c:v>9.9377765729129924E-4</c:v>
                </c:pt>
                <c:pt idx="279">
                  <c:v>1.0595762989293945E-3</c:v>
                </c:pt>
                <c:pt idx="280">
                  <c:v>1.128509664996612E-3</c:v>
                </c:pt>
                <c:pt idx="281">
                  <c:v>1.209237998090277E-3</c:v>
                </c:pt>
                <c:pt idx="282">
                  <c:v>1.301353012387794E-3</c:v>
                </c:pt>
                <c:pt idx="283">
                  <c:v>1.4048715174228511E-3</c:v>
                </c:pt>
                <c:pt idx="284">
                  <c:v>1.5198099887633451E-3</c:v>
                </c:pt>
                <c:pt idx="285">
                  <c:v>1.6461844443864109E-3</c:v>
                </c:pt>
                <c:pt idx="286">
                  <c:v>1.7840103210678678E-3</c:v>
                </c:pt>
                <c:pt idx="287">
                  <c:v>1.9333023507576673E-3</c:v>
                </c:pt>
                <c:pt idx="288">
                  <c:v>2.0940744369604505E-3</c:v>
                </c:pt>
                <c:pt idx="289">
                  <c:v>2.2801898025307365E-3</c:v>
                </c:pt>
                <c:pt idx="290">
                  <c:v>2.4890302628910285E-3</c:v>
                </c:pt>
                <c:pt idx="291">
                  <c:v>2.7206227316708721E-3</c:v>
                </c:pt>
                <c:pt idx="292">
                  <c:v>2.9749921698510565E-3</c:v>
                </c:pt>
                <c:pt idx="293">
                  <c:v>3.2521613400641261E-3</c:v>
                </c:pt>
                <c:pt idx="294">
                  <c:v>3.5521505608867771E-3</c:v>
                </c:pt>
                <c:pt idx="295">
                  <c:v>3.8673510020194729E-3</c:v>
                </c:pt>
                <c:pt idx="296">
                  <c:v>4.1890976520899672E-3</c:v>
                </c:pt>
                <c:pt idx="297">
                  <c:v>4.5174315762442655E-3</c:v>
                </c:pt>
                <c:pt idx="298">
                  <c:v>4.8523635049111226E-3</c:v>
                </c:pt>
                <c:pt idx="299">
                  <c:v>5.193903171073073E-3</c:v>
                </c:pt>
                <c:pt idx="300">
                  <c:v>5.5420592523950764E-3</c:v>
                </c:pt>
                <c:pt idx="301">
                  <c:v>5.8968393133389174E-3</c:v>
                </c:pt>
                <c:pt idx="302">
                  <c:v>6.2582497472890184E-3</c:v>
                </c:pt>
                <c:pt idx="303">
                  <c:v>6.6037232051231994E-3</c:v>
                </c:pt>
                <c:pt idx="304">
                  <c:v>6.9192827414404556E-3</c:v>
                </c:pt>
                <c:pt idx="305">
                  <c:v>7.2048787853721775E-3</c:v>
                </c:pt>
                <c:pt idx="306">
                  <c:v>7.4604607843588161E-3</c:v>
                </c:pt>
                <c:pt idx="307">
                  <c:v>7.685977482471326E-3</c:v>
                </c:pt>
                <c:pt idx="308">
                  <c:v>7.8813771986684343E-3</c:v>
                </c:pt>
                <c:pt idx="309">
                  <c:v>8.0383192494706598E-3</c:v>
                </c:pt>
                <c:pt idx="310">
                  <c:v>8.164421122997893E-3</c:v>
                </c:pt>
                <c:pt idx="311">
                  <c:v>8.2596308561787742E-3</c:v>
                </c:pt>
                <c:pt idx="312">
                  <c:v>8.3238972303703012E-3</c:v>
                </c:pt>
                <c:pt idx="313">
                  <c:v>8.3571700553148106E-3</c:v>
                </c:pt>
                <c:pt idx="314">
                  <c:v>8.359400453021696E-3</c:v>
                </c:pt>
                <c:pt idx="315">
                  <c:v>8.3305411417538919E-3</c:v>
                </c:pt>
                <c:pt idx="316">
                  <c:v>8.270546719885136E-3</c:v>
                </c:pt>
                <c:pt idx="317">
                  <c:v>8.1735042350599869E-3</c:v>
                </c:pt>
                <c:pt idx="318">
                  <c:v>8.0620891485032528E-3</c:v>
                </c:pt>
                <c:pt idx="319">
                  <c:v>7.9362822529978044E-3</c:v>
                </c:pt>
                <c:pt idx="320">
                  <c:v>7.7960659291689991E-3</c:v>
                </c:pt>
                <c:pt idx="321">
                  <c:v>7.6414242753114524E-3</c:v>
                </c:pt>
                <c:pt idx="322">
                  <c:v>7.472343237245248E-3</c:v>
                </c:pt>
                <c:pt idx="323">
                  <c:v>7.2882941246723981E-3</c:v>
                </c:pt>
                <c:pt idx="324">
                  <c:v>7.0976035047028924E-3</c:v>
                </c:pt>
                <c:pt idx="325">
                  <c:v>6.9002695572081873E-3</c:v>
                </c:pt>
                <c:pt idx="326">
                  <c:v>6.6962503019402167E-3</c:v>
                </c:pt>
                <c:pt idx="327">
                  <c:v>6.4855374555126072E-3</c:v>
                </c:pt>
                <c:pt idx="328">
                  <c:v>6.2681585314759763E-3</c:v>
                </c:pt>
                <c:pt idx="329">
                  <c:v>6.0441402909025554E-3</c:v>
                </c:pt>
                <c:pt idx="330">
                  <c:v>5.8135086090279489E-3</c:v>
                </c:pt>
                <c:pt idx="331">
                  <c:v>5.5844033026887195E-3</c:v>
                </c:pt>
                <c:pt idx="332">
                  <c:v>5.3627423733755564E-3</c:v>
                </c:pt>
                <c:pt idx="333">
                  <c:v>5.1485512452510212E-3</c:v>
                </c:pt>
                <c:pt idx="334">
                  <c:v>4.9418527662747425E-3</c:v>
                </c:pt>
                <c:pt idx="335">
                  <c:v>4.7426673662834071E-3</c:v>
                </c:pt>
                <c:pt idx="336">
                  <c:v>4.5510132150006644E-3</c:v>
                </c:pt>
                <c:pt idx="337">
                  <c:v>4.3713747909378793E-3</c:v>
                </c:pt>
                <c:pt idx="338">
                  <c:v>4.2042842641351946E-3</c:v>
                </c:pt>
                <c:pt idx="339">
                  <c:v>4.0497542894633977E-3</c:v>
                </c:pt>
                <c:pt idx="340">
                  <c:v>3.9077958684143408E-3</c:v>
                </c:pt>
                <c:pt idx="341">
                  <c:v>3.7784186108275907E-3</c:v>
                </c:pt>
                <c:pt idx="342">
                  <c:v>3.6616309966108341E-3</c:v>
                </c:pt>
                <c:pt idx="343">
                  <c:v>3.5574406374155698E-3</c:v>
                </c:pt>
                <c:pt idx="344">
                  <c:v>3.4658545383728779E-3</c:v>
                </c:pt>
                <c:pt idx="345">
                  <c:v>3.3868793597893096E-3</c:v>
                </c:pt>
                <c:pt idx="346">
                  <c:v>3.3158888065587568E-3</c:v>
                </c:pt>
                <c:pt idx="347">
                  <c:v>3.2528887113827689E-3</c:v>
                </c:pt>
                <c:pt idx="348">
                  <c:v>3.1978849431490673E-3</c:v>
                </c:pt>
                <c:pt idx="349">
                  <c:v>3.1508835723099136E-3</c:v>
                </c:pt>
                <c:pt idx="350">
                  <c:v>3.1118910363357954E-3</c:v>
                </c:pt>
                <c:pt idx="351">
                  <c:v>3.0844035319137282E-3</c:v>
                </c:pt>
                <c:pt idx="352">
                  <c:v>3.0639577665036838E-3</c:v>
                </c:pt>
                <c:pt idx="353">
                  <c:v>3.0505619871499835E-3</c:v>
                </c:pt>
                <c:pt idx="354">
                  <c:v>3.0442253393933327E-3</c:v>
                </c:pt>
                <c:pt idx="355">
                  <c:v>3.0449580121068155E-3</c:v>
                </c:pt>
                <c:pt idx="356">
                  <c:v>3.0527734921283142E-3</c:v>
                </c:pt>
                <c:pt idx="357">
                  <c:v>3.0676776849724295E-3</c:v>
                </c:pt>
                <c:pt idx="358">
                  <c:v>3.0896703764821038E-3</c:v>
                </c:pt>
                <c:pt idx="359">
                  <c:v>3.1187523929557177E-3</c:v>
                </c:pt>
                <c:pt idx="360">
                  <c:v>3.1594083041294658E-3</c:v>
                </c:pt>
                <c:pt idx="361">
                  <c:v>3.2081467238651742E-3</c:v>
                </c:pt>
                <c:pt idx="362">
                  <c:v>3.2649720298967718E-3</c:v>
                </c:pt>
                <c:pt idx="363">
                  <c:v>3.3298889745270442E-3</c:v>
                </c:pt>
                <c:pt idx="364">
                  <c:v>3.4029024804453239E-3</c:v>
                </c:pt>
                <c:pt idx="365" formatCode="0.0000">
                  <c:v>3.4840174365086281E-3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4.2682006555653483E-3</c:v>
                </c:pt>
                <c:pt idx="1">
                  <c:v>4.3779270019144549E-3</c:v>
                </c:pt>
                <c:pt idx="2">
                  <c:v>4.50312132772382E-3</c:v>
                </c:pt>
                <c:pt idx="3">
                  <c:v>4.6437959824255724E-3</c:v>
                </c:pt>
                <c:pt idx="4">
                  <c:v>4.799962298761052E-3</c:v>
                </c:pt>
                <c:pt idx="5">
                  <c:v>4.9716302014418739E-3</c:v>
                </c:pt>
                <c:pt idx="6">
                  <c:v>5.1588078158742098E-3</c:v>
                </c:pt>
                <c:pt idx="7">
                  <c:v>5.361501076774443E-3</c:v>
                </c:pt>
                <c:pt idx="8">
                  <c:v>5.5797133368489802E-3</c:v>
                </c:pt>
                <c:pt idx="9">
                  <c:v>5.8192438065857287E-3</c:v>
                </c:pt>
                <c:pt idx="10">
                  <c:v>6.0745960901072088E-3</c:v>
                </c:pt>
                <c:pt idx="11">
                  <c:v>6.3457635263416369E-3</c:v>
                </c:pt>
                <c:pt idx="12">
                  <c:v>6.6327352129091788E-3</c:v>
                </c:pt>
                <c:pt idx="13">
                  <c:v>6.9354956071729056E-3</c:v>
                </c:pt>
                <c:pt idx="14">
                  <c:v>7.254024127169122E-3</c:v>
                </c:pt>
                <c:pt idx="15">
                  <c:v>7.5846546483101119E-3</c:v>
                </c:pt>
                <c:pt idx="16">
                  <c:v>7.917435159370512E-3</c:v>
                </c:pt>
                <c:pt idx="17">
                  <c:v>8.2523173466873476E-3</c:v>
                </c:pt>
                <c:pt idx="18">
                  <c:v>8.5892491138328149E-3</c:v>
                </c:pt>
                <c:pt idx="19">
                  <c:v>8.9282243270504061E-3</c:v>
                </c:pt>
                <c:pt idx="20">
                  <c:v>9.2692639227607981E-3</c:v>
                </c:pt>
                <c:pt idx="21">
                  <c:v>9.612354559565349E-3</c:v>
                </c:pt>
                <c:pt idx="22">
                  <c:v>9.957484277992E-3</c:v>
                </c:pt>
                <c:pt idx="23">
                  <c:v>1.028884127882617E-2</c:v>
                </c:pt>
                <c:pt idx="24">
                  <c:v>1.0600591577384215E-2</c:v>
                </c:pt>
                <c:pt idx="25">
                  <c:v>1.0892724794729932E-2</c:v>
                </c:pt>
                <c:pt idx="26">
                  <c:v>1.1165234358392692E-2</c:v>
                </c:pt>
                <c:pt idx="27">
                  <c:v>1.1418117259102309E-2</c:v>
                </c:pt>
                <c:pt idx="28">
                  <c:v>1.1651373807759789E-2</c:v>
                </c:pt>
                <c:pt idx="29">
                  <c:v>1.1832812697547872E-2</c:v>
                </c:pt>
                <c:pt idx="30">
                  <c:v>1.19660885584077E-2</c:v>
                </c:pt>
                <c:pt idx="31">
                  <c:v>1.20512144258929E-2</c:v>
                </c:pt>
                <c:pt idx="32">
                  <c:v>1.2088207398785534E-2</c:v>
                </c:pt>
                <c:pt idx="33">
                  <c:v>1.2077088039024972E-2</c:v>
                </c:pt>
                <c:pt idx="34">
                  <c:v>1.2017879771692205E-2</c:v>
                </c:pt>
                <c:pt idx="35">
                  <c:v>1.1910608284984497E-2</c:v>
                </c:pt>
                <c:pt idx="36">
                  <c:v>1.1755300930164152E-2</c:v>
                </c:pt>
                <c:pt idx="37">
                  <c:v>1.1538622359844647E-2</c:v>
                </c:pt>
                <c:pt idx="38">
                  <c:v>1.1276400488236131E-2</c:v>
                </c:pt>
                <c:pt idx="39">
                  <c:v>1.096866349984691E-2</c:v>
                </c:pt>
                <c:pt idx="40">
                  <c:v>1.0615438761197811E-2</c:v>
                </c:pt>
                <c:pt idx="41">
                  <c:v>1.0216752251276072E-2</c:v>
                </c:pt>
                <c:pt idx="42">
                  <c:v>9.7726279919079298E-3</c:v>
                </c:pt>
                <c:pt idx="43">
                  <c:v>9.3027693181947646E-3</c:v>
                </c:pt>
                <c:pt idx="44">
                  <c:v>8.839350345563832E-3</c:v>
                </c:pt>
                <c:pt idx="45">
                  <c:v>8.3823744159549334E-3</c:v>
                </c:pt>
                <c:pt idx="46">
                  <c:v>7.931842772218832E-3</c:v>
                </c:pt>
                <c:pt idx="47">
                  <c:v>7.4877546373299068E-3</c:v>
                </c:pt>
                <c:pt idx="48">
                  <c:v>7.0501072934869308E-3</c:v>
                </c:pt>
                <c:pt idx="49">
                  <c:v>6.6188961612889154E-3</c:v>
                </c:pt>
                <c:pt idx="50">
                  <c:v>6.1941148788642953E-3</c:v>
                </c:pt>
                <c:pt idx="51">
                  <c:v>5.7896553709242812E-3</c:v>
                </c:pt>
                <c:pt idx="52">
                  <c:v>5.4188290562598284E-3</c:v>
                </c:pt>
                <c:pt idx="53">
                  <c:v>5.0815984697493953E-3</c:v>
                </c:pt>
                <c:pt idx="54">
                  <c:v>4.7779580234404012E-3</c:v>
                </c:pt>
                <c:pt idx="55">
                  <c:v>4.5079031821880439E-3</c:v>
                </c:pt>
                <c:pt idx="56">
                  <c:v>4.2714303394460074E-3</c:v>
                </c:pt>
                <c:pt idx="57">
                  <c:v>4.0692689168571484E-3</c:v>
                </c:pt>
                <c:pt idx="58">
                  <c:v>3.8817434466498092E-3</c:v>
                </c:pt>
                <c:pt idx="59">
                  <c:v>3.7088520057860538E-3</c:v>
                </c:pt>
                <c:pt idx="60">
                  <c:v>3.5505930277288664E-3</c:v>
                </c:pt>
                <c:pt idx="61">
                  <c:v>3.4069652483102665E-3</c:v>
                </c:pt>
                <c:pt idx="62">
                  <c:v>3.2779676515942383E-3</c:v>
                </c:pt>
                <c:pt idx="63">
                  <c:v>3.1635994157500373E-3</c:v>
                </c:pt>
                <c:pt idx="64">
                  <c:v>3.0638598589119766E-3</c:v>
                </c:pt>
                <c:pt idx="65">
                  <c:v>2.9772487262598934E-3</c:v>
                </c:pt>
                <c:pt idx="66">
                  <c:v>2.8898648511403988E-3</c:v>
                </c:pt>
                <c:pt idx="67">
                  <c:v>2.8017076007062175E-3</c:v>
                </c:pt>
                <c:pt idx="68">
                  <c:v>2.7127764809233108E-3</c:v>
                </c:pt>
                <c:pt idx="69">
                  <c:v>2.6230711394005283E-3</c:v>
                </c:pt>
                <c:pt idx="70">
                  <c:v>2.5325913682328065E-3</c:v>
                </c:pt>
                <c:pt idx="71">
                  <c:v>2.4399902234101965E-3</c:v>
                </c:pt>
                <c:pt idx="72">
                  <c:v>2.3445356138931958E-3</c:v>
                </c:pt>
                <c:pt idx="73">
                  <c:v>2.2462279126087446E-3</c:v>
                </c:pt>
                <c:pt idx="74">
                  <c:v>2.145067706784006E-3</c:v>
                </c:pt>
                <c:pt idx="75">
                  <c:v>2.0410558084804692E-3</c:v>
                </c:pt>
                <c:pt idx="76">
                  <c:v>1.9341932651211072E-3</c:v>
                </c:pt>
                <c:pt idx="77">
                  <c:v>1.8244813700244876E-3</c:v>
                </c:pt>
                <c:pt idx="78">
                  <c:v>1.7119217297696552E-3</c:v>
                </c:pt>
                <c:pt idx="79">
                  <c:v>1.5985719814483269E-3</c:v>
                </c:pt>
                <c:pt idx="80">
                  <c:v>1.4859357590231029E-3</c:v>
                </c:pt>
                <c:pt idx="81">
                  <c:v>1.3740125415733001E-3</c:v>
                </c:pt>
                <c:pt idx="82">
                  <c:v>1.262801950384548E-3</c:v>
                </c:pt>
                <c:pt idx="83">
                  <c:v>1.1523037466956345E-3</c:v>
                </c:pt>
                <c:pt idx="84">
                  <c:v>1.0425178294493933E-3</c:v>
                </c:pt>
                <c:pt idx="85">
                  <c:v>9.3732299954071786E-4</c:v>
                </c:pt>
                <c:pt idx="86">
                  <c:v>8.3806487982271752E-4</c:v>
                </c:pt>
                <c:pt idx="87">
                  <c:v>7.4474285879554548E-4</c:v>
                </c:pt>
                <c:pt idx="88">
                  <c:v>6.5735636661332054E-4</c:v>
                </c:pt>
                <c:pt idx="89">
                  <c:v>5.7590485609027768E-4</c:v>
                </c:pt>
                <c:pt idx="90">
                  <c:v>5.003877837056281E-4</c:v>
                </c:pt>
                <c:pt idx="91">
                  <c:v>4.3080459061073953E-4</c:v>
                </c:pt>
                <c:pt idx="92">
                  <c:v>3.671546836343668E-4</c:v>
                </c:pt>
                <c:pt idx="93">
                  <c:v>3.1166430855264997E-4</c:v>
                </c:pt>
                <c:pt idx="94">
                  <c:v>2.6228446543474548E-4</c:v>
                </c:pt>
                <c:pt idx="95">
                  <c:v>2.1901426533938069E-4</c:v>
                </c:pt>
                <c:pt idx="96">
                  <c:v>1.8185270060155871E-4</c:v>
                </c:pt>
                <c:pt idx="97">
                  <c:v>1.5079862526593574E-4</c:v>
                </c:pt>
                <c:pt idx="98">
                  <c:v>1.2585073551793526E-4</c:v>
                </c:pt>
                <c:pt idx="99">
                  <c:v>1.0697654048482187E-4</c:v>
                </c:pt>
                <c:pt idx="100">
                  <c:v>9.0300252309779866E-5</c:v>
                </c:pt>
                <c:pt idx="101">
                  <c:v>7.5821409699788518E-5</c:v>
                </c:pt>
                <c:pt idx="102">
                  <c:v>6.3539481919142507E-5</c:v>
                </c:pt>
                <c:pt idx="103">
                  <c:v>5.3453861748886718E-5</c:v>
                </c:pt>
                <c:pt idx="104">
                  <c:v>4.5563858447894527E-5</c:v>
                </c:pt>
                <c:pt idx="105">
                  <c:v>3.9868690712402264E-5</c:v>
                </c:pt>
                <c:pt idx="106">
                  <c:v>3.6367479636363916E-5</c:v>
                </c:pt>
                <c:pt idx="107">
                  <c:v>3.5085497988895828E-5</c:v>
                </c:pt>
                <c:pt idx="108">
                  <c:v>3.3798926808234038E-5</c:v>
                </c:pt>
                <c:pt idx="109">
                  <c:v>3.2507792937376728E-5</c:v>
                </c:pt>
                <c:pt idx="110">
                  <c:v>3.1212214025990919E-5</c:v>
                </c:pt>
                <c:pt idx="111">
                  <c:v>2.9912296961931693E-5</c:v>
                </c:pt>
                <c:pt idx="112">
                  <c:v>2.860805481630274E-5</c:v>
                </c:pt>
                <c:pt idx="113">
                  <c:v>2.7649794075193775E-5</c:v>
                </c:pt>
                <c:pt idx="114">
                  <c:v>2.7068237209809896E-5</c:v>
                </c:pt>
                <c:pt idx="115">
                  <c:v>2.6863145350183011E-5</c:v>
                </c:pt>
                <c:pt idx="116">
                  <c:v>2.7034268380202264E-5</c:v>
                </c:pt>
                <c:pt idx="117">
                  <c:v>2.7581344114586597E-5</c:v>
                </c:pt>
                <c:pt idx="118">
                  <c:v>2.8504097475581982E-5</c:v>
                </c:pt>
                <c:pt idx="119">
                  <c:v>2.9802239669736382E-5</c:v>
                </c:pt>
                <c:pt idx="120">
                  <c:v>3.1475467364622778E-5</c:v>
                </c:pt>
                <c:pt idx="121">
                  <c:v>3.329495565992762E-5</c:v>
                </c:pt>
                <c:pt idx="122">
                  <c:v>3.5234379184992136E-5</c:v>
                </c:pt>
                <c:pt idx="123">
                  <c:v>3.7293595771303368E-5</c:v>
                </c:pt>
                <c:pt idx="124">
                  <c:v>3.9472456482041332E-5</c:v>
                </c:pt>
                <c:pt idx="125">
                  <c:v>4.1770805347032926E-5</c:v>
                </c:pt>
                <c:pt idx="126">
                  <c:v>4.4188479097199837E-5</c:v>
                </c:pt>
                <c:pt idx="127">
                  <c:v>4.6467455800292462E-5</c:v>
                </c:pt>
                <c:pt idx="128">
                  <c:v>4.8258848510996448E-5</c:v>
                </c:pt>
                <c:pt idx="129">
                  <c:v>4.9563049936526424E-5</c:v>
                </c:pt>
                <c:pt idx="130">
                  <c:v>5.0380475375434311E-5</c:v>
                </c:pt>
                <c:pt idx="131">
                  <c:v>5.0711563783434979E-5</c:v>
                </c:pt>
                <c:pt idx="132">
                  <c:v>5.0556778839669171E-5</c:v>
                </c:pt>
                <c:pt idx="133">
                  <c:v>4.9916610013299627E-5</c:v>
                </c:pt>
                <c:pt idx="134">
                  <c:v>4.8791573629841253E-5</c:v>
                </c:pt>
                <c:pt idx="135">
                  <c:v>4.7942980032053885E-5</c:v>
                </c:pt>
                <c:pt idx="136">
                  <c:v>4.7597958502088333E-5</c:v>
                </c:pt>
                <c:pt idx="137">
                  <c:v>4.7755934811210678E-5</c:v>
                </c:pt>
                <c:pt idx="138">
                  <c:v>4.8416304578406528E-5</c:v>
                </c:pt>
                <c:pt idx="139">
                  <c:v>4.9578432163558681E-5</c:v>
                </c:pt>
                <c:pt idx="140">
                  <c:v>5.124164955792613E-5</c:v>
                </c:pt>
                <c:pt idx="141">
                  <c:v>5.3796320526968524E-5</c:v>
                </c:pt>
                <c:pt idx="142">
                  <c:v>5.7497288933083258E-5</c:v>
                </c:pt>
                <c:pt idx="143">
                  <c:v>6.2342526534900865E-5</c:v>
                </c:pt>
                <c:pt idx="144">
                  <c:v>6.8330189697125756E-5</c:v>
                </c:pt>
                <c:pt idx="145">
                  <c:v>7.5458326299134015E-5</c:v>
                </c:pt>
                <c:pt idx="146">
                  <c:v>8.3724891179505747E-5</c:v>
                </c:pt>
                <c:pt idx="147">
                  <c:v>9.3127761582870001E-5</c:v>
                </c:pt>
                <c:pt idx="148">
                  <c:v>1.0366475260516058E-4</c:v>
                </c:pt>
                <c:pt idx="149">
                  <c:v>1.1447196176171647E-4</c:v>
                </c:pt>
                <c:pt idx="150">
                  <c:v>1.2479328674133594E-4</c:v>
                </c:pt>
                <c:pt idx="151">
                  <c:v>1.3462936465814302E-4</c:v>
                </c:pt>
                <c:pt idx="152">
                  <c:v>1.4398091748712811E-4</c:v>
                </c:pt>
                <c:pt idx="153">
                  <c:v>1.5284874569495955E-4</c:v>
                </c:pt>
                <c:pt idx="154">
                  <c:v>1.6123372187146692E-4</c:v>
                </c:pt>
                <c:pt idx="155">
                  <c:v>1.6873183159738956E-4</c:v>
                </c:pt>
                <c:pt idx="156">
                  <c:v>1.7495704510278674E-4</c:v>
                </c:pt>
                <c:pt idx="157">
                  <c:v>1.7991192182024933E-4</c:v>
                </c:pt>
                <c:pt idx="158">
                  <c:v>1.8359907122048001E-4</c:v>
                </c:pt>
                <c:pt idx="159">
                  <c:v>1.86021135708718E-4</c:v>
                </c:pt>
                <c:pt idx="160">
                  <c:v>1.8718077352339617E-4</c:v>
                </c:pt>
                <c:pt idx="161">
                  <c:v>1.8708064163274035E-4</c:v>
                </c:pt>
                <c:pt idx="162">
                  <c:v>1.8572337863234005E-4</c:v>
                </c:pt>
                <c:pt idx="163">
                  <c:v>1.8343916621765957E-4</c:v>
                </c:pt>
                <c:pt idx="164">
                  <c:v>1.8108363306293805E-4</c:v>
                </c:pt>
                <c:pt idx="165">
                  <c:v>1.786571146736435E-4</c:v>
                </c:pt>
                <c:pt idx="166">
                  <c:v>1.7615993036862142E-4</c:v>
                </c:pt>
                <c:pt idx="167">
                  <c:v>1.7359238225236567E-4</c:v>
                </c:pt>
                <c:pt idx="168">
                  <c:v>1.7095475419299394E-4</c:v>
                </c:pt>
                <c:pt idx="169">
                  <c:v>1.6857372900002678E-4</c:v>
                </c:pt>
                <c:pt idx="170">
                  <c:v>1.668502808603867E-4</c:v>
                </c:pt>
                <c:pt idx="171">
                  <c:v>1.6578349016221612E-4</c:v>
                </c:pt>
                <c:pt idx="172">
                  <c:v>1.6537249505112732E-4</c:v>
                </c:pt>
                <c:pt idx="173">
                  <c:v>1.6561480674556102E-4</c:v>
                </c:pt>
                <c:pt idx="174">
                  <c:v>1.6650788519252343E-4</c:v>
                </c:pt>
                <c:pt idx="175">
                  <c:v>1.6805084122272268E-4</c:v>
                </c:pt>
                <c:pt idx="176">
                  <c:v>1.7024278996031621E-4</c:v>
                </c:pt>
                <c:pt idx="177">
                  <c:v>1.7268301757347612E-4</c:v>
                </c:pt>
                <c:pt idx="178">
                  <c:v>1.7504634534180861E-4</c:v>
                </c:pt>
                <c:pt idx="179">
                  <c:v>1.7733300516431692E-4</c:v>
                </c:pt>
                <c:pt idx="180">
                  <c:v>1.7954323341267151E-4</c:v>
                </c:pt>
                <c:pt idx="181">
                  <c:v>1.8167727049136847E-4</c:v>
                </c:pt>
                <c:pt idx="182">
                  <c:v>1.8373536039942046E-4</c:v>
                </c:pt>
                <c:pt idx="183">
                  <c:v>1.8487256695788352E-4</c:v>
                </c:pt>
                <c:pt idx="184">
                  <c:v>1.8476638919854866E-4</c:v>
                </c:pt>
                <c:pt idx="185">
                  <c:v>1.8341871790345752E-4</c:v>
                </c:pt>
                <c:pt idx="186">
                  <c:v>1.8083139602948083E-4</c:v>
                </c:pt>
                <c:pt idx="187">
                  <c:v>1.7700621138569482E-4</c:v>
                </c:pt>
                <c:pt idx="188">
                  <c:v>1.7194488931172164E-4</c:v>
                </c:pt>
                <c:pt idx="189">
                  <c:v>1.6564908535065414E-4</c:v>
                </c:pt>
                <c:pt idx="190">
                  <c:v>1.5812037792948329E-4</c:v>
                </c:pt>
                <c:pt idx="191">
                  <c:v>1.4974088330436695E-4</c:v>
                </c:pt>
                <c:pt idx="192">
                  <c:v>1.4090858166671113E-4</c:v>
                </c:pt>
                <c:pt idx="193">
                  <c:v>1.3162385007473918E-4</c:v>
                </c:pt>
                <c:pt idx="194">
                  <c:v>1.2188701396293658E-4</c:v>
                </c:pt>
                <c:pt idx="195">
                  <c:v>1.1169834441803336E-4</c:v>
                </c:pt>
                <c:pt idx="196">
                  <c:v>1.0105805544973589E-4</c:v>
                </c:pt>
                <c:pt idx="197">
                  <c:v>9.0703250696100559E-5</c:v>
                </c:pt>
                <c:pt idx="198">
                  <c:v>8.1473174426634687E-5</c:v>
                </c:pt>
                <c:pt idx="199">
                  <c:v>7.3366348324088108E-5</c:v>
                </c:pt>
                <c:pt idx="200">
                  <c:v>6.6381370980341716E-5</c:v>
                </c:pt>
                <c:pt idx="201">
                  <c:v>6.0516924509529751E-5</c:v>
                </c:pt>
                <c:pt idx="202">
                  <c:v>5.5771781161872585E-5</c:v>
                </c:pt>
                <c:pt idx="203">
                  <c:v>5.2144809938712555E-5</c:v>
                </c:pt>
                <c:pt idx="204">
                  <c:v>4.9634903053345623E-5</c:v>
                </c:pt>
                <c:pt idx="205">
                  <c:v>4.7992505299425231E-5</c:v>
                </c:pt>
                <c:pt idx="206">
                  <c:v>4.6838134875888528E-5</c:v>
                </c:pt>
                <c:pt idx="207">
                  <c:v>4.6171412362412956E-5</c:v>
                </c:pt>
                <c:pt idx="208">
                  <c:v>4.5991999398128518E-5</c:v>
                </c:pt>
                <c:pt idx="209">
                  <c:v>4.6299597171336427E-5</c:v>
                </c:pt>
                <c:pt idx="210">
                  <c:v>4.7093944910781792E-5</c:v>
                </c:pt>
                <c:pt idx="211">
                  <c:v>4.8155177968860856E-5</c:v>
                </c:pt>
                <c:pt idx="212">
                  <c:v>4.8748845865295987E-5</c:v>
                </c:pt>
                <c:pt idx="213">
                  <c:v>4.8875151662789371E-5</c:v>
                </c:pt>
                <c:pt idx="214">
                  <c:v>4.8534264760021544E-5</c:v>
                </c:pt>
                <c:pt idx="215">
                  <c:v>4.7726322344708533E-5</c:v>
                </c:pt>
                <c:pt idx="216">
                  <c:v>4.6451430846490673E-5</c:v>
                </c:pt>
                <c:pt idx="217">
                  <c:v>4.4709667389998919E-5</c:v>
                </c:pt>
                <c:pt idx="218">
                  <c:v>4.2501081247641304E-5</c:v>
                </c:pt>
                <c:pt idx="219">
                  <c:v>4.0161497519160896E-5</c:v>
                </c:pt>
                <c:pt idx="220">
                  <c:v>3.7938909280846698E-5</c:v>
                </c:pt>
                <c:pt idx="221">
                  <c:v>3.5833222176511124E-5</c:v>
                </c:pt>
                <c:pt idx="222">
                  <c:v>3.3844351065661686E-5</c:v>
                </c:pt>
                <c:pt idx="223">
                  <c:v>3.1972219662646198E-5</c:v>
                </c:pt>
                <c:pt idx="224">
                  <c:v>3.0216760174854027E-5</c:v>
                </c:pt>
                <c:pt idx="225">
                  <c:v>2.8603048817344295E-5</c:v>
                </c:pt>
                <c:pt idx="226">
                  <c:v>2.7350454776621676E-5</c:v>
                </c:pt>
                <c:pt idx="227">
                  <c:v>2.645893775711959E-5</c:v>
                </c:pt>
                <c:pt idx="228">
                  <c:v>2.5928475012154343E-5</c:v>
                </c:pt>
                <c:pt idx="229">
                  <c:v>2.575906022194109E-5</c:v>
                </c:pt>
                <c:pt idx="230">
                  <c:v>2.5950702372040812E-5</c:v>
                </c:pt>
                <c:pt idx="231">
                  <c:v>2.6503424631880548E-5</c:v>
                </c:pt>
                <c:pt idx="232">
                  <c:v>2.7417263232721562E-5</c:v>
                </c:pt>
                <c:pt idx="233">
                  <c:v>2.8662608508248917E-5</c:v>
                </c:pt>
                <c:pt idx="234">
                  <c:v>2.9903702638046682E-5</c:v>
                </c:pt>
                <c:pt idx="235">
                  <c:v>3.1140580172908796E-5</c:v>
                </c:pt>
                <c:pt idx="236">
                  <c:v>3.2373288477971244E-5</c:v>
                </c:pt>
                <c:pt idx="237">
                  <c:v>3.3601857132884856E-5</c:v>
                </c:pt>
                <c:pt idx="238">
                  <c:v>3.4826316399903464E-5</c:v>
                </c:pt>
                <c:pt idx="239">
                  <c:v>3.8176131515455517E-5</c:v>
                </c:pt>
                <c:pt idx="240">
                  <c:v>4.362675258584719E-5</c:v>
                </c:pt>
                <c:pt idx="241">
                  <c:v>5.1178871241599695E-5</c:v>
                </c:pt>
                <c:pt idx="242">
                  <c:v>6.0833278311216194E-5</c:v>
                </c:pt>
                <c:pt idx="243">
                  <c:v>7.2590867527139543E-5</c:v>
                </c:pt>
                <c:pt idx="244">
                  <c:v>8.6452639231747523E-5</c:v>
                </c:pt>
                <c:pt idx="245">
                  <c:v>1.0241970408266573E-4</c:v>
                </c:pt>
                <c:pt idx="246">
                  <c:v>1.2049328675731006E-4</c:v>
                </c:pt>
                <c:pt idx="247">
                  <c:v>1.4438530199122567E-4</c:v>
                </c:pt>
                <c:pt idx="248">
                  <c:v>1.7412863198284074E-4</c:v>
                </c:pt>
                <c:pt idx="249">
                  <c:v>2.09726795350261E-4</c:v>
                </c:pt>
                <c:pt idx="250">
                  <c:v>2.5118364615361438E-4</c:v>
                </c:pt>
                <c:pt idx="251">
                  <c:v>2.9850338420030274E-4</c:v>
                </c:pt>
                <c:pt idx="252">
                  <c:v>3.5169056534252902E-4</c:v>
                </c:pt>
                <c:pt idx="253">
                  <c:v>4.1271230425597477E-4</c:v>
                </c:pt>
                <c:pt idx="254">
                  <c:v>4.7944099862004205E-4</c:v>
                </c:pt>
                <c:pt idx="255">
                  <c:v>5.5188227962939729E-4</c:v>
                </c:pt>
                <c:pt idx="256">
                  <c:v>6.3004216667889306E-4</c:v>
                </c:pt>
                <c:pt idx="257">
                  <c:v>7.1392707735720077E-4</c:v>
                </c:pt>
                <c:pt idx="258">
                  <c:v>8.0354383744393786E-4</c:v>
                </c:pt>
                <c:pt idx="259">
                  <c:v>8.988996909194203E-4</c:v>
                </c:pt>
                <c:pt idx="260">
                  <c:v>1.0000023099526062E-3</c:v>
                </c:pt>
                <c:pt idx="261">
                  <c:v>1.105568113504369E-3</c:v>
                </c:pt>
                <c:pt idx="262">
                  <c:v>1.2118815942141728E-3</c:v>
                </c:pt>
                <c:pt idx="263">
                  <c:v>1.3189471299695043E-3</c:v>
                </c:pt>
                <c:pt idx="264">
                  <c:v>1.4267692878112274E-3</c:v>
                </c:pt>
                <c:pt idx="265">
                  <c:v>1.5353610046994204E-3</c:v>
                </c:pt>
                <c:pt idx="266">
                  <c:v>1.6447333794668228E-3</c:v>
                </c:pt>
                <c:pt idx="267">
                  <c:v>1.7534507280351377E-3</c:v>
                </c:pt>
                <c:pt idx="268">
                  <c:v>1.8595455835665766E-3</c:v>
                </c:pt>
                <c:pt idx="269">
                  <c:v>1.9630182321989614E-3</c:v>
                </c:pt>
                <c:pt idx="270">
                  <c:v>2.063868226428785E-3</c:v>
                </c:pt>
                <c:pt idx="271">
                  <c:v>2.1620944152096187E-3</c:v>
                </c:pt>
                <c:pt idx="272">
                  <c:v>2.2576949741003804E-3</c:v>
                </c:pt>
                <c:pt idx="273">
                  <c:v>2.3506674353878957E-3</c:v>
                </c:pt>
                <c:pt idx="274">
                  <c:v>2.441008718238229E-3</c:v>
                </c:pt>
                <c:pt idx="275">
                  <c:v>2.5294212756003091E-3</c:v>
                </c:pt>
                <c:pt idx="276">
                  <c:v>2.6172013912319973E-3</c:v>
                </c:pt>
                <c:pt idx="277">
                  <c:v>2.7043473504067047E-3</c:v>
                </c:pt>
                <c:pt idx="278">
                  <c:v>2.7908570249676693E-3</c:v>
                </c:pt>
                <c:pt idx="279">
                  <c:v>2.8767278814429346E-3</c:v>
                </c:pt>
                <c:pt idx="280">
                  <c:v>2.9619569891864298E-3</c:v>
                </c:pt>
                <c:pt idx="281">
                  <c:v>3.0599861646797609E-3</c:v>
                </c:pt>
                <c:pt idx="282">
                  <c:v>3.172284033834486E-3</c:v>
                </c:pt>
                <c:pt idx="283">
                  <c:v>3.2988699503913622E-3</c:v>
                </c:pt>
                <c:pt idx="284">
                  <c:v>3.4397628668300048E-3</c:v>
                </c:pt>
                <c:pt idx="285">
                  <c:v>3.5949811794454309E-3</c:v>
                </c:pt>
                <c:pt idx="286">
                  <c:v>3.7645425734573182E-3</c:v>
                </c:pt>
                <c:pt idx="287">
                  <c:v>3.9484638680864978E-3</c:v>
                </c:pt>
                <c:pt idx="288">
                  <c:v>4.1467608616437106E-3</c:v>
                </c:pt>
                <c:pt idx="289">
                  <c:v>4.3785568247068918E-3</c:v>
                </c:pt>
                <c:pt idx="290">
                  <c:v>4.6431821312338173E-3</c:v>
                </c:pt>
                <c:pt idx="291">
                  <c:v>4.940675337771319E-3</c:v>
                </c:pt>
                <c:pt idx="292">
                  <c:v>5.271072341848192E-3</c:v>
                </c:pt>
                <c:pt idx="293">
                  <c:v>5.634406026547553E-3</c:v>
                </c:pt>
                <c:pt idx="294">
                  <c:v>6.0307059050631589E-3</c:v>
                </c:pt>
                <c:pt idx="295">
                  <c:v>6.4469934935923361E-3</c:v>
                </c:pt>
                <c:pt idx="296">
                  <c:v>6.869811183602012E-3</c:v>
                </c:pt>
                <c:pt idx="297">
                  <c:v>7.2992201463736523E-3</c:v>
                </c:pt>
                <c:pt idx="298">
                  <c:v>7.7352303344405942E-3</c:v>
                </c:pt>
                <c:pt idx="299">
                  <c:v>8.1778503306429561E-3</c:v>
                </c:pt>
                <c:pt idx="300">
                  <c:v>8.6270872912282328E-3</c:v>
                </c:pt>
                <c:pt idx="301">
                  <c:v>9.0829468889290239E-3</c:v>
                </c:pt>
                <c:pt idx="302">
                  <c:v>9.5454332560588641E-3</c:v>
                </c:pt>
                <c:pt idx="303">
                  <c:v>9.983115962465542E-3</c:v>
                </c:pt>
                <c:pt idx="304">
                  <c:v>1.0376706708626232E-2</c:v>
                </c:pt>
                <c:pt idx="305">
                  <c:v>1.0726132364273331E-2</c:v>
                </c:pt>
                <c:pt idx="306">
                  <c:v>1.1031318615532811E-2</c:v>
                </c:pt>
                <c:pt idx="307">
                  <c:v>1.1292190374531016E-2</c:v>
                </c:pt>
                <c:pt idx="308">
                  <c:v>1.1508672188906992E-2</c:v>
                </c:pt>
                <c:pt idx="309">
                  <c:v>1.1665214685968915E-2</c:v>
                </c:pt>
                <c:pt idx="310">
                  <c:v>1.1774818182095055E-2</c:v>
                </c:pt>
                <c:pt idx="311">
                  <c:v>1.1837405643900643E-2</c:v>
                </c:pt>
                <c:pt idx="312">
                  <c:v>1.1852901469457279E-2</c:v>
                </c:pt>
                <c:pt idx="313">
                  <c:v>1.1821231919808446E-2</c:v>
                </c:pt>
                <c:pt idx="314">
                  <c:v>1.1742325550377372E-2</c:v>
                </c:pt>
                <c:pt idx="315">
                  <c:v>1.1616113642523426E-2</c:v>
                </c:pt>
                <c:pt idx="316">
                  <c:v>1.1442530634915807E-2</c:v>
                </c:pt>
                <c:pt idx="317">
                  <c:v>1.1217932224380139E-2</c:v>
                </c:pt>
                <c:pt idx="318">
                  <c:v>1.0973898841337605E-2</c:v>
                </c:pt>
                <c:pt idx="319">
                  <c:v>1.0710408123982138E-2</c:v>
                </c:pt>
                <c:pt idx="320">
                  <c:v>1.0427440193314616E-2</c:v>
                </c:pt>
                <c:pt idx="321">
                  <c:v>1.0124977828016111E-2</c:v>
                </c:pt>
                <c:pt idx="322">
                  <c:v>9.8030066393581493E-3</c:v>
                </c:pt>
                <c:pt idx="323">
                  <c:v>9.4672469503313365E-3</c:v>
                </c:pt>
                <c:pt idx="324">
                  <c:v>9.1332593038445237E-3</c:v>
                </c:pt>
                <c:pt idx="325">
                  <c:v>8.8010551390180613E-3</c:v>
                </c:pt>
                <c:pt idx="326">
                  <c:v>8.4705942712304735E-3</c:v>
                </c:pt>
                <c:pt idx="327">
                  <c:v>8.1418795087378603E-3</c:v>
                </c:pt>
                <c:pt idx="328">
                  <c:v>7.8149573847989141E-3</c:v>
                </c:pt>
                <c:pt idx="329">
                  <c:v>7.4898713417299017E-3</c:v>
                </c:pt>
                <c:pt idx="330">
                  <c:v>7.1666617754687139E-3</c:v>
                </c:pt>
                <c:pt idx="331">
                  <c:v>6.8551587433248479E-3</c:v>
                </c:pt>
                <c:pt idx="332">
                  <c:v>6.5589954369883003E-3</c:v>
                </c:pt>
                <c:pt idx="333">
                  <c:v>6.2782061529736352E-3</c:v>
                </c:pt>
                <c:pt idx="334">
                  <c:v>6.0128212307943695E-3</c:v>
                </c:pt>
                <c:pt idx="335">
                  <c:v>5.7628673761303513E-3</c:v>
                </c:pt>
                <c:pt idx="336">
                  <c:v>5.5283679839093994E-3</c:v>
                </c:pt>
                <c:pt idx="337">
                  <c:v>5.3147891759666123E-3</c:v>
                </c:pt>
                <c:pt idx="338">
                  <c:v>5.1164058970988267E-3</c:v>
                </c:pt>
                <c:pt idx="339">
                  <c:v>4.9332334583036541E-3</c:v>
                </c:pt>
                <c:pt idx="340">
                  <c:v>4.7652852012966549E-3</c:v>
                </c:pt>
                <c:pt idx="341">
                  <c:v>4.6125728154603482E-3</c:v>
                </c:pt>
                <c:pt idx="342">
                  <c:v>4.4751066547857226E-3</c:v>
                </c:pt>
                <c:pt idx="343">
                  <c:v>4.3528960547591315E-3</c:v>
                </c:pt>
                <c:pt idx="344">
                  <c:v>4.2459496493224931E-3</c:v>
                </c:pt>
                <c:pt idx="345">
                  <c:v>4.1542756877848089E-3</c:v>
                </c:pt>
                <c:pt idx="346">
                  <c:v>4.0720285247300607E-3</c:v>
                </c:pt>
                <c:pt idx="347">
                  <c:v>3.9992154246300069E-3</c:v>
                </c:pt>
                <c:pt idx="348">
                  <c:v>3.9358437074875179E-3</c:v>
                </c:pt>
                <c:pt idx="349">
                  <c:v>3.881920944047294E-3</c:v>
                </c:pt>
                <c:pt idx="350">
                  <c:v>3.8374551510992677E-3</c:v>
                </c:pt>
                <c:pt idx="351">
                  <c:v>3.8064023058466856E-3</c:v>
                </c:pt>
                <c:pt idx="352">
                  <c:v>3.7833229351104552E-3</c:v>
                </c:pt>
                <c:pt idx="353">
                  <c:v>3.7682270274008614E-3</c:v>
                </c:pt>
                <c:pt idx="354">
                  <c:v>3.7611255876934518E-3</c:v>
                </c:pt>
                <c:pt idx="355">
                  <c:v>3.7620308012643478E-3</c:v>
                </c:pt>
                <c:pt idx="356">
                  <c:v>3.7709588036655885E-3</c:v>
                </c:pt>
                <c:pt idx="357">
                  <c:v>3.7879162271634344E-3</c:v>
                </c:pt>
                <c:pt idx="358">
                  <c:v>3.8129020161155169E-3</c:v>
                </c:pt>
                <c:pt idx="359">
                  <c:v>3.8459162919288175E-3</c:v>
                </c:pt>
                <c:pt idx="360">
                  <c:v>3.8924235012612529E-3</c:v>
                </c:pt>
                <c:pt idx="361">
                  <c:v>3.9484735443256541E-3</c:v>
                </c:pt>
                <c:pt idx="362">
                  <c:v>4.0140710800395567E-3</c:v>
                </c:pt>
                <c:pt idx="363">
                  <c:v>4.0892212252829612E-3</c:v>
                </c:pt>
                <c:pt idx="364">
                  <c:v>4.1739293138849907E-3</c:v>
                </c:pt>
                <c:pt idx="365">
                  <c:v>4.2682006555653483E-3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5.1932670308891711E-3</c:v>
                </c:pt>
                <c:pt idx="1">
                  <c:v>5.3225440000585628E-3</c:v>
                </c:pt>
                <c:pt idx="2">
                  <c:v>5.4701529447970347E-3</c:v>
                </c:pt>
                <c:pt idx="3">
                  <c:v>5.6361081483215121E-3</c:v>
                </c:pt>
                <c:pt idx="4">
                  <c:v>5.8204226973799953E-3</c:v>
                </c:pt>
                <c:pt idx="5">
                  <c:v>6.0231080184538618E-3</c:v>
                </c:pt>
                <c:pt idx="6">
                  <c:v>6.2441734140367428E-3</c:v>
                </c:pt>
                <c:pt idx="7">
                  <c:v>6.483625598781715E-3</c:v>
                </c:pt>
                <c:pt idx="8">
                  <c:v>6.7414682357263677E-3</c:v>
                </c:pt>
                <c:pt idx="9">
                  <c:v>7.0290241865130559E-3</c:v>
                </c:pt>
                <c:pt idx="10">
                  <c:v>7.3395342475421083E-3</c:v>
                </c:pt>
                <c:pt idx="11">
                  <c:v>7.6729952468764994E-3</c:v>
                </c:pt>
                <c:pt idx="12">
                  <c:v>8.0293984592397713E-3</c:v>
                </c:pt>
                <c:pt idx="13">
                  <c:v>8.4087290264122129E-3</c:v>
                </c:pt>
                <c:pt idx="14">
                  <c:v>8.8109653774807468E-3</c:v>
                </c:pt>
                <c:pt idx="15">
                  <c:v>9.2358401145458558E-3</c:v>
                </c:pt>
                <c:pt idx="16">
                  <c:v>9.6718142870119254E-3</c:v>
                </c:pt>
                <c:pt idx="17">
                  <c:v>1.0118833577941931E-2</c:v>
                </c:pt>
                <c:pt idx="18">
                  <c:v>1.0576837079679956E-2</c:v>
                </c:pt>
                <c:pt idx="19">
                  <c:v>1.1045818624211392E-2</c:v>
                </c:pt>
                <c:pt idx="20">
                  <c:v>1.1525804637720053E-2</c:v>
                </c:pt>
                <c:pt idx="21">
                  <c:v>1.2016778485803181E-2</c:v>
                </c:pt>
                <c:pt idx="22">
                  <c:v>1.2518724304549114E-2</c:v>
                </c:pt>
                <c:pt idx="23">
                  <c:v>1.3011192675932835E-2</c:v>
                </c:pt>
                <c:pt idx="24">
                  <c:v>1.3482798517004057E-2</c:v>
                </c:pt>
                <c:pt idx="25">
                  <c:v>1.3933524931601894E-2</c:v>
                </c:pt>
                <c:pt idx="26">
                  <c:v>1.4363359770443791E-2</c:v>
                </c:pt>
                <c:pt idx="27">
                  <c:v>1.4772295372493444E-2</c:v>
                </c:pt>
                <c:pt idx="28">
                  <c:v>1.5160328306630758E-2</c:v>
                </c:pt>
                <c:pt idx="29">
                  <c:v>1.548538030609877E-2</c:v>
                </c:pt>
                <c:pt idx="30">
                  <c:v>1.5747697501507445E-2</c:v>
                </c:pt>
                <c:pt idx="31">
                  <c:v>1.5947293602854008E-2</c:v>
                </c:pt>
                <c:pt idx="32">
                  <c:v>1.6084188056076906E-2</c:v>
                </c:pt>
                <c:pt idx="33">
                  <c:v>1.6158405261480643E-2</c:v>
                </c:pt>
                <c:pt idx="34">
                  <c:v>1.6169973792234046E-2</c:v>
                </c:pt>
                <c:pt idx="35">
                  <c:v>1.6118925612856785E-2</c:v>
                </c:pt>
                <c:pt idx="36">
                  <c:v>1.6005295297671709E-2</c:v>
                </c:pt>
                <c:pt idx="37">
                  <c:v>1.5806779559539502E-2</c:v>
                </c:pt>
                <c:pt idx="38">
                  <c:v>1.55438487562502E-2</c:v>
                </c:pt>
                <c:pt idx="39">
                  <c:v>1.5216541255860814E-2</c:v>
                </c:pt>
                <c:pt idx="40">
                  <c:v>1.4824894809182955E-2</c:v>
                </c:pt>
                <c:pt idx="41">
                  <c:v>1.4368945744436959E-2</c:v>
                </c:pt>
                <c:pt idx="42">
                  <c:v>1.3848728161794825E-2</c:v>
                </c:pt>
                <c:pt idx="43">
                  <c:v>1.3289303047845917E-2</c:v>
                </c:pt>
                <c:pt idx="44">
                  <c:v>1.2732725660598082E-2</c:v>
                </c:pt>
                <c:pt idx="45">
                  <c:v>1.2179003841371267E-2</c:v>
                </c:pt>
                <c:pt idx="46">
                  <c:v>1.1628142743362421E-2</c:v>
                </c:pt>
                <c:pt idx="47">
                  <c:v>1.1080144865548076E-2</c:v>
                </c:pt>
                <c:pt idx="48">
                  <c:v>1.0535010086425038E-2</c:v>
                </c:pt>
                <c:pt idx="49">
                  <c:v>9.9927356978602184E-3</c:v>
                </c:pt>
                <c:pt idx="50">
                  <c:v>9.4533164388717165E-3</c:v>
                </c:pt>
                <c:pt idx="51">
                  <c:v>8.9382146688688786E-3</c:v>
                </c:pt>
                <c:pt idx="52">
                  <c:v>8.469691763033086E-3</c:v>
                </c:pt>
                <c:pt idx="53">
                  <c:v>8.047691613264513E-3</c:v>
                </c:pt>
                <c:pt idx="54">
                  <c:v>7.6722065286073905E-3</c:v>
                </c:pt>
                <c:pt idx="55">
                  <c:v>7.3432302093866947E-3</c:v>
                </c:pt>
                <c:pt idx="56">
                  <c:v>7.0607575752142703E-3</c:v>
                </c:pt>
                <c:pt idx="57">
                  <c:v>6.822909742823317E-3</c:v>
                </c:pt>
                <c:pt idx="58">
                  <c:v>6.6046643922611174E-3</c:v>
                </c:pt>
                <c:pt idx="59">
                  <c:v>6.4060185531582235E-3</c:v>
                </c:pt>
                <c:pt idx="60">
                  <c:v>6.2269696839108348E-3</c:v>
                </c:pt>
                <c:pt idx="61">
                  <c:v>6.0675155991886448E-3</c:v>
                </c:pt>
                <c:pt idx="62">
                  <c:v>5.9276543974334977E-3</c:v>
                </c:pt>
                <c:pt idx="63">
                  <c:v>5.8073843883764261E-3</c:v>
                </c:pt>
                <c:pt idx="64">
                  <c:v>5.7067040205305555E-3</c:v>
                </c:pt>
                <c:pt idx="65">
                  <c:v>5.6203489363814514E-3</c:v>
                </c:pt>
                <c:pt idx="66">
                  <c:v>5.5268465315457139E-3</c:v>
                </c:pt>
                <c:pt idx="67">
                  <c:v>5.4261951713817872E-3</c:v>
                </c:pt>
                <c:pt idx="68">
                  <c:v>5.3183934478780344E-3</c:v>
                </c:pt>
                <c:pt idx="69">
                  <c:v>5.2034402060408746E-3</c:v>
                </c:pt>
                <c:pt idx="70">
                  <c:v>5.0813345703087801E-3</c:v>
                </c:pt>
                <c:pt idx="71">
                  <c:v>4.94866550642333E-3</c:v>
                </c:pt>
                <c:pt idx="72">
                  <c:v>4.807307805602728E-3</c:v>
                </c:pt>
                <c:pt idx="73">
                  <c:v>4.6572617154018179E-3</c:v>
                </c:pt>
                <c:pt idx="74">
                  <c:v>4.4985279151773709E-3</c:v>
                </c:pt>
                <c:pt idx="75">
                  <c:v>4.3311075481818036E-3</c:v>
                </c:pt>
                <c:pt idx="76">
                  <c:v>4.1550022536424695E-3</c:v>
                </c:pt>
                <c:pt idx="77">
                  <c:v>3.9702141988555532E-3</c:v>
                </c:pt>
                <c:pt idx="78">
                  <c:v>3.7767462366573748E-3</c:v>
                </c:pt>
                <c:pt idx="79">
                  <c:v>3.5768439900414509E-3</c:v>
                </c:pt>
                <c:pt idx="80">
                  <c:v>3.3757790170178339E-3</c:v>
                </c:pt>
                <c:pt idx="81">
                  <c:v>3.1735505001719904E-3</c:v>
                </c:pt>
                <c:pt idx="82">
                  <c:v>2.9701578829343152E-3</c:v>
                </c:pt>
                <c:pt idx="83">
                  <c:v>2.7656008733617466E-3</c:v>
                </c:pt>
                <c:pt idx="84">
                  <c:v>2.5598794479289597E-3</c:v>
                </c:pt>
                <c:pt idx="85">
                  <c:v>2.3596708669591767E-3</c:v>
                </c:pt>
                <c:pt idx="86">
                  <c:v>2.1683830132739512E-3</c:v>
                </c:pt>
                <c:pt idx="87">
                  <c:v>1.9860149402368154E-3</c:v>
                </c:pt>
                <c:pt idx="88">
                  <c:v>1.8125658177865084E-3</c:v>
                </c:pt>
                <c:pt idx="89">
                  <c:v>1.6480349039048221E-3</c:v>
                </c:pt>
                <c:pt idx="90">
                  <c:v>1.4924215160808524E-3</c:v>
                </c:pt>
                <c:pt idx="91">
                  <c:v>1.3457250027817801E-3</c:v>
                </c:pt>
                <c:pt idx="92">
                  <c:v>1.2079447149184195E-3</c:v>
                </c:pt>
                <c:pt idx="93">
                  <c:v>1.0833913633867662E-3</c:v>
                </c:pt>
                <c:pt idx="94">
                  <c:v>9.6983686521888478E-4</c:v>
                </c:pt>
                <c:pt idx="95">
                  <c:v>8.6727980470317182E-4</c:v>
                </c:pt>
                <c:pt idx="96">
                  <c:v>7.7571858405775626E-4</c:v>
                </c:pt>
                <c:pt idx="97">
                  <c:v>6.9515138821860806E-4</c:v>
                </c:pt>
                <c:pt idx="98">
                  <c:v>6.2557614961918724E-4</c:v>
                </c:pt>
                <c:pt idx="99">
                  <c:v>5.6732330998510942E-4</c:v>
                </c:pt>
                <c:pt idx="100">
                  <c:v>5.1372106210946945E-4</c:v>
                </c:pt>
                <c:pt idx="101">
                  <c:v>4.6476868774553002E-4</c:v>
                </c:pt>
                <c:pt idx="102">
                  <c:v>4.2046534524540807E-4</c:v>
                </c:pt>
                <c:pt idx="103">
                  <c:v>3.8081005466591967E-4</c:v>
                </c:pt>
                <c:pt idx="104">
                  <c:v>3.4580168288483491E-4</c:v>
                </c:pt>
                <c:pt idx="105">
                  <c:v>3.1543892870741102E-4</c:v>
                </c:pt>
                <c:pt idx="106">
                  <c:v>2.8972030797812649E-4</c:v>
                </c:pt>
                <c:pt idx="107">
                  <c:v>2.6923259380658843E-4</c:v>
                </c:pt>
                <c:pt idx="108">
                  <c:v>2.49670287156694E-4</c:v>
                </c:pt>
                <c:pt idx="109">
                  <c:v>2.3103334895733306E-4</c:v>
                </c:pt>
                <c:pt idx="110">
                  <c:v>2.1332232040895851E-4</c:v>
                </c:pt>
                <c:pt idx="111">
                  <c:v>1.9653753518285386E-4</c:v>
                </c:pt>
                <c:pt idx="112">
                  <c:v>1.8067861626939032E-4</c:v>
                </c:pt>
                <c:pt idx="113">
                  <c:v>1.6696037439725944E-4</c:v>
                </c:pt>
                <c:pt idx="114">
                  <c:v>1.5504967151471838E-4</c:v>
                </c:pt>
                <c:pt idx="115">
                  <c:v>1.4494549455016967E-4</c:v>
                </c:pt>
                <c:pt idx="116">
                  <c:v>1.3664678455598361E-4</c:v>
                </c:pt>
                <c:pt idx="117">
                  <c:v>1.3015243276761663E-4</c:v>
                </c:pt>
                <c:pt idx="118">
                  <c:v>1.2546127666112491E-4</c:v>
                </c:pt>
                <c:pt idx="119">
                  <c:v>1.2257209601114594E-4</c:v>
                </c:pt>
                <c:pt idx="120">
                  <c:v>1.2148360894867767E-4</c:v>
                </c:pt>
                <c:pt idx="121">
                  <c:v>1.2213373887113237E-4</c:v>
                </c:pt>
                <c:pt idx="122">
                  <c:v>1.2393460269942191E-4</c:v>
                </c:pt>
                <c:pt idx="123">
                  <c:v>1.2688523233332698E-4</c:v>
                </c:pt>
                <c:pt idx="124">
                  <c:v>1.3098460992831982E-4</c:v>
                </c:pt>
                <c:pt idx="125">
                  <c:v>1.362316653726813E-4</c:v>
                </c:pt>
                <c:pt idx="126">
                  <c:v>1.4262527376286458E-4</c:v>
                </c:pt>
                <c:pt idx="127">
                  <c:v>1.4971165739145742E-4</c:v>
                </c:pt>
                <c:pt idx="128">
                  <c:v>1.5627946421562191E-4</c:v>
                </c:pt>
                <c:pt idx="129">
                  <c:v>1.6232897183209141E-4</c:v>
                </c:pt>
                <c:pt idx="130">
                  <c:v>1.6786047756414303E-4</c:v>
                </c:pt>
                <c:pt idx="131">
                  <c:v>1.7287429958612267E-4</c:v>
                </c:pt>
                <c:pt idx="132">
                  <c:v>1.773707780493332E-4</c:v>
                </c:pt>
                <c:pt idx="133">
                  <c:v>1.8135027620905613E-4</c:v>
                </c:pt>
                <c:pt idx="134">
                  <c:v>1.8481318155075439E-4</c:v>
                </c:pt>
                <c:pt idx="135">
                  <c:v>1.886479804641141E-4</c:v>
                </c:pt>
                <c:pt idx="136">
                  <c:v>1.929145423226564E-4</c:v>
                </c:pt>
                <c:pt idx="137">
                  <c:v>1.9761219914588731E-4</c:v>
                </c:pt>
                <c:pt idx="138">
                  <c:v>2.0274025273724758E-4</c:v>
                </c:pt>
                <c:pt idx="139">
                  <c:v>2.0829797372823102E-4</c:v>
                </c:pt>
                <c:pt idx="140">
                  <c:v>2.1428460061127143E-4</c:v>
                </c:pt>
                <c:pt idx="141">
                  <c:v>2.2112414083983825E-4</c:v>
                </c:pt>
                <c:pt idx="142">
                  <c:v>2.2926401657929167E-4</c:v>
                </c:pt>
                <c:pt idx="143">
                  <c:v>2.387009313551469E-4</c:v>
                </c:pt>
                <c:pt idx="144">
                  <c:v>2.494327591597109E-4</c:v>
                </c:pt>
                <c:pt idx="145">
                  <c:v>2.6145727180226688E-4</c:v>
                </c:pt>
                <c:pt idx="146">
                  <c:v>2.7477215650942153E-4</c:v>
                </c:pt>
                <c:pt idx="147">
                  <c:v>2.8937503353389124E-4</c:v>
                </c:pt>
                <c:pt idx="148">
                  <c:v>3.0526347375737996E-4</c:v>
                </c:pt>
                <c:pt idx="149">
                  <c:v>3.2134896144826882E-4</c:v>
                </c:pt>
                <c:pt idx="150">
                  <c:v>3.3674917441956355E-4</c:v>
                </c:pt>
                <c:pt idx="151">
                  <c:v>3.5146519054108754E-4</c:v>
                </c:pt>
                <c:pt idx="152">
                  <c:v>3.6549821224225444E-4</c:v>
                </c:pt>
                <c:pt idx="153">
                  <c:v>3.7884955756892203E-4</c:v>
                </c:pt>
                <c:pt idx="154">
                  <c:v>3.9152065124207689E-4</c:v>
                </c:pt>
                <c:pt idx="155">
                  <c:v>4.0284484942350166E-4</c:v>
                </c:pt>
                <c:pt idx="156">
                  <c:v>4.1240377907733323E-4</c:v>
                </c:pt>
                <c:pt idx="157">
                  <c:v>4.2020120529077406E-4</c:v>
                </c:pt>
                <c:pt idx="158">
                  <c:v>4.2624096811259859E-4</c:v>
                </c:pt>
                <c:pt idx="159">
                  <c:v>4.3052695885919184E-4</c:v>
                </c:pt>
                <c:pt idx="160">
                  <c:v>4.3306309642579299E-4</c:v>
                </c:pt>
                <c:pt idx="161">
                  <c:v>4.3385330359294825E-4</c:v>
                </c:pt>
                <c:pt idx="162">
                  <c:v>4.3290148333523042E-4</c:v>
                </c:pt>
                <c:pt idx="163">
                  <c:v>4.3063878612166994E-4</c:v>
                </c:pt>
                <c:pt idx="164">
                  <c:v>4.2814420212257279E-4</c:v>
                </c:pt>
                <c:pt idx="165">
                  <c:v>4.2541870282769209E-4</c:v>
                </c:pt>
                <c:pt idx="166">
                  <c:v>4.2246323505294736E-4</c:v>
                </c:pt>
                <c:pt idx="167">
                  <c:v>4.1927871770245165E-4</c:v>
                </c:pt>
                <c:pt idx="168">
                  <c:v>4.158660385441249E-4</c:v>
                </c:pt>
                <c:pt idx="169">
                  <c:v>4.1265182838789278E-4</c:v>
                </c:pt>
                <c:pt idx="170">
                  <c:v>4.1029828680553925E-4</c:v>
                </c:pt>
                <c:pt idx="171">
                  <c:v>4.0880447744360724E-4</c:v>
                </c:pt>
                <c:pt idx="172">
                  <c:v>4.0816953928749308E-4</c:v>
                </c:pt>
                <c:pt idx="173">
                  <c:v>4.0838852205545836E-4</c:v>
                </c:pt>
                <c:pt idx="174">
                  <c:v>4.0945630826520047E-4</c:v>
                </c:pt>
                <c:pt idx="175">
                  <c:v>4.1137185078624538E-4</c:v>
                </c:pt>
                <c:pt idx="176">
                  <c:v>4.1413410809020755E-4</c:v>
                </c:pt>
                <c:pt idx="177">
                  <c:v>4.1708232376199393E-4</c:v>
                </c:pt>
                <c:pt idx="178">
                  <c:v>4.1979265762963981E-4</c:v>
                </c:pt>
                <c:pt idx="179">
                  <c:v>4.2226573043760001E-4</c:v>
                </c:pt>
                <c:pt idx="180">
                  <c:v>4.245021657438126E-4</c:v>
                </c:pt>
                <c:pt idx="181">
                  <c:v>4.265025885337314E-4</c:v>
                </c:pt>
                <c:pt idx="182">
                  <c:v>4.2826762383802602E-4</c:v>
                </c:pt>
                <c:pt idx="183">
                  <c:v>4.2873262149614868E-4</c:v>
                </c:pt>
                <c:pt idx="184">
                  <c:v>4.2747715545547401E-4</c:v>
                </c:pt>
                <c:pt idx="185">
                  <c:v>4.245039280938372E-4</c:v>
                </c:pt>
                <c:pt idx="186">
                  <c:v>4.1981557312018036E-4</c:v>
                </c:pt>
                <c:pt idx="187">
                  <c:v>4.1341464543152422E-4</c:v>
                </c:pt>
                <c:pt idx="188">
                  <c:v>4.053036109722128E-4</c:v>
                </c:pt>
                <c:pt idx="189">
                  <c:v>3.9548483658051768E-4</c:v>
                </c:pt>
                <c:pt idx="190">
                  <c:v>3.8396057985280686E-4</c:v>
                </c:pt>
                <c:pt idx="191">
                  <c:v>3.7114643716510223E-4</c:v>
                </c:pt>
                <c:pt idx="192">
                  <c:v>3.5769903114681083E-4</c:v>
                </c:pt>
                <c:pt idx="193">
                  <c:v>3.4361895462953619E-4</c:v>
                </c:pt>
                <c:pt idx="194">
                  <c:v>3.2890672564431342E-4</c:v>
                </c:pt>
                <c:pt idx="195">
                  <c:v>3.1356278360060696E-4</c:v>
                </c:pt>
                <c:pt idx="196">
                  <c:v>2.9758748545179642E-4</c:v>
                </c:pt>
                <c:pt idx="197">
                  <c:v>2.8184137324573024E-4</c:v>
                </c:pt>
                <c:pt idx="198">
                  <c:v>2.6738237003949041E-4</c:v>
                </c:pt>
                <c:pt idx="199">
                  <c:v>2.5420872971484179E-4</c:v>
                </c:pt>
                <c:pt idx="200">
                  <c:v>2.4231878462247977E-4</c:v>
                </c:pt>
                <c:pt idx="201">
                  <c:v>2.3171095311780404E-4</c:v>
                </c:pt>
                <c:pt idx="202">
                  <c:v>2.2238374709863937E-4</c:v>
                </c:pt>
                <c:pt idx="203">
                  <c:v>2.1433577954786245E-4</c:v>
                </c:pt>
                <c:pt idx="204">
                  <c:v>2.075654368843431E-4</c:v>
                </c:pt>
                <c:pt idx="205">
                  <c:v>2.0163488782849222E-4</c:v>
                </c:pt>
                <c:pt idx="206">
                  <c:v>1.9613176563487865E-4</c:v>
                </c:pt>
                <c:pt idx="207">
                  <c:v>1.9105550693703879E-4</c:v>
                </c:pt>
                <c:pt idx="208">
                  <c:v>1.864055895171339E-4</c:v>
                </c:pt>
                <c:pt idx="209">
                  <c:v>1.8218153099442306E-4</c:v>
                </c:pt>
                <c:pt idx="210">
                  <c:v>1.7838288752003637E-4</c:v>
                </c:pt>
                <c:pt idx="211">
                  <c:v>1.7495087954134684E-4</c:v>
                </c:pt>
                <c:pt idx="212">
                  <c:v>1.7102791986719755E-4</c:v>
                </c:pt>
                <c:pt idx="213">
                  <c:v>1.6661402213808671E-4</c:v>
                </c:pt>
                <c:pt idx="214">
                  <c:v>1.6170917007294201E-4</c:v>
                </c:pt>
                <c:pt idx="215">
                  <c:v>1.5631331900408209E-4</c:v>
                </c:pt>
                <c:pt idx="216">
                  <c:v>1.5042639741154245E-4</c:v>
                </c:pt>
                <c:pt idx="217">
                  <c:v>1.4404830845796829E-4</c:v>
                </c:pt>
                <c:pt idx="218">
                  <c:v>1.3717893152259938E-4</c:v>
                </c:pt>
                <c:pt idx="219">
                  <c:v>1.3098305492174894E-4</c:v>
                </c:pt>
                <c:pt idx="220">
                  <c:v>1.2589571757507762E-4</c:v>
                </c:pt>
                <c:pt idx="221">
                  <c:v>1.2191655502999077E-4</c:v>
                </c:pt>
                <c:pt idx="222">
                  <c:v>1.1904527055578583E-4</c:v>
                </c:pt>
                <c:pt idx="223">
                  <c:v>1.1728163170698764E-4</c:v>
                </c:pt>
                <c:pt idx="224">
                  <c:v>1.1662546688357766E-4</c:v>
                </c:pt>
                <c:pt idx="225">
                  <c:v>1.1764000574128767E-4</c:v>
                </c:pt>
                <c:pt idx="226">
                  <c:v>1.2038349842428248E-4</c:v>
                </c:pt>
                <c:pt idx="227">
                  <c:v>1.2485595710017767E-4</c:v>
                </c:pt>
                <c:pt idx="228">
                  <c:v>1.3105746710148449E-4</c:v>
                </c:pt>
                <c:pt idx="229">
                  <c:v>1.3898818155303697E-4</c:v>
                </c:pt>
                <c:pt idx="230">
                  <c:v>1.4864831600126978E-4</c:v>
                </c:pt>
                <c:pt idx="231">
                  <c:v>1.6003814304419242E-4</c:v>
                </c:pt>
                <c:pt idx="232">
                  <c:v>1.7315798695823295E-4</c:v>
                </c:pt>
                <c:pt idx="233">
                  <c:v>1.8832650783360462E-4</c:v>
                </c:pt>
                <c:pt idx="234">
                  <c:v>2.0437919688284881E-4</c:v>
                </c:pt>
                <c:pt idx="235">
                  <c:v>2.2131654830215663E-4</c:v>
                </c:pt>
                <c:pt idx="236">
                  <c:v>2.3913919741772665E-4</c:v>
                </c:pt>
                <c:pt idx="237">
                  <c:v>2.5784770549553527E-4</c:v>
                </c:pt>
                <c:pt idx="238">
                  <c:v>2.7744268269376603E-4</c:v>
                </c:pt>
                <c:pt idx="239">
                  <c:v>3.0204749170963997E-4</c:v>
                </c:pt>
                <c:pt idx="240">
                  <c:v>3.3110023990260632E-4</c:v>
                </c:pt>
                <c:pt idx="241">
                  <c:v>3.6460282040632068E-4</c:v>
                </c:pt>
                <c:pt idx="242">
                  <c:v>4.0255734851734053E-4</c:v>
                </c:pt>
                <c:pt idx="243">
                  <c:v>4.4496616953552059E-4</c:v>
                </c:pt>
                <c:pt idx="244">
                  <c:v>4.91831866603656E-4</c:v>
                </c:pt>
                <c:pt idx="245">
                  <c:v>5.4315726854260596E-4</c:v>
                </c:pt>
                <c:pt idx="246">
                  <c:v>5.9894545768352978E-4</c:v>
                </c:pt>
                <c:pt idx="247">
                  <c:v>6.6558725545780035E-4</c:v>
                </c:pt>
                <c:pt idx="248">
                  <c:v>7.4277046971985212E-4</c:v>
                </c:pt>
                <c:pt idx="249">
                  <c:v>8.3050213113077366E-4</c:v>
                </c:pt>
                <c:pt idx="250">
                  <c:v>9.2878989068637238E-4</c:v>
                </c:pt>
                <c:pt idx="251">
                  <c:v>1.0376420382756078E-3</c:v>
                </c:pt>
                <c:pt idx="252">
                  <c:v>1.1570675212065145E-3</c:v>
                </c:pt>
                <c:pt idx="253">
                  <c:v>1.2892092584379745E-3</c:v>
                </c:pt>
                <c:pt idx="254">
                  <c:v>1.4299471036902395E-3</c:v>
                </c:pt>
                <c:pt idx="255">
                  <c:v>1.5792908326045319E-3</c:v>
                </c:pt>
                <c:pt idx="256">
                  <c:v>1.7372508324059027E-3</c:v>
                </c:pt>
                <c:pt idx="257">
                  <c:v>1.903838116909361E-3</c:v>
                </c:pt>
                <c:pt idx="258">
                  <c:v>2.0790643415375927E-3</c:v>
                </c:pt>
                <c:pt idx="259">
                  <c:v>2.2629418183705017E-3</c:v>
                </c:pt>
                <c:pt idx="260">
                  <c:v>2.4554835311365059E-3</c:v>
                </c:pt>
                <c:pt idx="261">
                  <c:v>2.6534324383102052E-3</c:v>
                </c:pt>
                <c:pt idx="262">
                  <c:v>2.8503912819758618E-3</c:v>
                </c:pt>
                <c:pt idx="263">
                  <c:v>3.0463661701532092E-3</c:v>
                </c:pt>
                <c:pt idx="264">
                  <c:v>3.2413634268315204E-3</c:v>
                </c:pt>
                <c:pt idx="265">
                  <c:v>3.4354078802429234E-3</c:v>
                </c:pt>
                <c:pt idx="266">
                  <c:v>3.6285190456936964E-3</c:v>
                </c:pt>
                <c:pt idx="267">
                  <c:v>3.8156459648285013E-3</c:v>
                </c:pt>
                <c:pt idx="268">
                  <c:v>3.9946453282610579E-3</c:v>
                </c:pt>
                <c:pt idx="269">
                  <c:v>4.1655123036665256E-3</c:v>
                </c:pt>
                <c:pt idx="270">
                  <c:v>4.3282404562218178E-3</c:v>
                </c:pt>
                <c:pt idx="271">
                  <c:v>4.4828218403471353E-3</c:v>
                </c:pt>
                <c:pt idx="272">
                  <c:v>4.6292470915552629E-3</c:v>
                </c:pt>
                <c:pt idx="273">
                  <c:v>4.7675055182469298E-3</c:v>
                </c:pt>
                <c:pt idx="274">
                  <c:v>4.8975851935655996E-3</c:v>
                </c:pt>
                <c:pt idx="275">
                  <c:v>5.0176650437630879E-3</c:v>
                </c:pt>
                <c:pt idx="276">
                  <c:v>5.1310186551632182E-3</c:v>
                </c:pt>
                <c:pt idx="277">
                  <c:v>5.2376331244620546E-3</c:v>
                </c:pt>
                <c:pt idx="278">
                  <c:v>5.3374947490695563E-3</c:v>
                </c:pt>
                <c:pt idx="279">
                  <c:v>5.4305891026570846E-3</c:v>
                </c:pt>
                <c:pt idx="280">
                  <c:v>5.516901110754883E-3</c:v>
                </c:pt>
                <c:pt idx="281">
                  <c:v>5.6171826916322776E-3</c:v>
                </c:pt>
                <c:pt idx="282">
                  <c:v>5.7365433102799686E-3</c:v>
                </c:pt>
                <c:pt idx="283">
                  <c:v>5.8750070590304539E-3</c:v>
                </c:pt>
                <c:pt idx="284">
                  <c:v>6.0325976320900658E-3</c:v>
                </c:pt>
                <c:pt idx="285">
                  <c:v>6.209338118063081E-3</c:v>
                </c:pt>
                <c:pt idx="286">
                  <c:v>6.4052507925332867E-3</c:v>
                </c:pt>
                <c:pt idx="287">
                  <c:v>6.6203569105872714E-3</c:v>
                </c:pt>
                <c:pt idx="288">
                  <c:v>6.8546764993597728E-3</c:v>
                </c:pt>
                <c:pt idx="289">
                  <c:v>7.1325291270114737E-3</c:v>
                </c:pt>
                <c:pt idx="290">
                  <c:v>7.4557901274976785E-3</c:v>
                </c:pt>
                <c:pt idx="291">
                  <c:v>7.8245126442676068E-3</c:v>
                </c:pt>
                <c:pt idx="292">
                  <c:v>8.2387463292517057E-3</c:v>
                </c:pt>
                <c:pt idx="293">
                  <c:v>8.6985368507021613E-3</c:v>
                </c:pt>
                <c:pt idx="294">
                  <c:v>9.2039254010069724E-3</c:v>
                </c:pt>
                <c:pt idx="295">
                  <c:v>9.7332093535589508E-3</c:v>
                </c:pt>
                <c:pt idx="296">
                  <c:v>1.0265592720545291E-2</c:v>
                </c:pt>
                <c:pt idx="297">
                  <c:v>1.0801157428976225E-2</c:v>
                </c:pt>
                <c:pt idx="298">
                  <c:v>1.1339907391596078E-2</c:v>
                </c:pt>
                <c:pt idx="299">
                  <c:v>1.1881844647918116E-2</c:v>
                </c:pt>
                <c:pt idx="300">
                  <c:v>1.2426969339932249E-2</c:v>
                </c:pt>
                <c:pt idx="301">
                  <c:v>1.297527968777909E-2</c:v>
                </c:pt>
                <c:pt idx="302">
                  <c:v>1.3526771965450324E-2</c:v>
                </c:pt>
                <c:pt idx="303">
                  <c:v>1.4040357258068332E-2</c:v>
                </c:pt>
                <c:pt idx="304">
                  <c:v>1.4491495724456412E-2</c:v>
                </c:pt>
                <c:pt idx="305">
                  <c:v>1.4880084126846179E-2</c:v>
                </c:pt>
                <c:pt idx="306">
                  <c:v>1.5206017941694334E-2</c:v>
                </c:pt>
                <c:pt idx="307">
                  <c:v>1.5469191938869266E-2</c:v>
                </c:pt>
                <c:pt idx="308">
                  <c:v>1.5669500760707968E-2</c:v>
                </c:pt>
                <c:pt idx="309">
                  <c:v>1.57868282863592E-2</c:v>
                </c:pt>
                <c:pt idx="310">
                  <c:v>1.5842936111016566E-2</c:v>
                </c:pt>
                <c:pt idx="311">
                  <c:v>1.5837724873795575E-2</c:v>
                </c:pt>
                <c:pt idx="312">
                  <c:v>1.5771097397291069E-2</c:v>
                </c:pt>
                <c:pt idx="313">
                  <c:v>1.5642959249614983E-2</c:v>
                </c:pt>
                <c:pt idx="314">
                  <c:v>1.5453219306290258E-2</c:v>
                </c:pt>
                <c:pt idx="315">
                  <c:v>1.5201790312341732E-2</c:v>
                </c:pt>
                <c:pt idx="316">
                  <c:v>1.4888589444145327E-2</c:v>
                </c:pt>
                <c:pt idx="317">
                  <c:v>1.4513304122450769E-2</c:v>
                </c:pt>
                <c:pt idx="318">
                  <c:v>1.4117218867341269E-2</c:v>
                </c:pt>
                <c:pt idx="319">
                  <c:v>1.370031295524313E-2</c:v>
                </c:pt>
                <c:pt idx="320">
                  <c:v>1.3262568805548002E-2</c:v>
                </c:pt>
                <c:pt idx="321">
                  <c:v>1.280397216652323E-2</c:v>
                </c:pt>
                <c:pt idx="322">
                  <c:v>1.2324512301267404E-2</c:v>
                </c:pt>
                <c:pt idx="323">
                  <c:v>1.1835373816846769E-2</c:v>
                </c:pt>
                <c:pt idx="324">
                  <c:v>1.1356690597973338E-2</c:v>
                </c:pt>
                <c:pt idx="325">
                  <c:v>1.0888487475918258E-2</c:v>
                </c:pt>
                <c:pt idx="326">
                  <c:v>1.0430725013038544E-2</c:v>
                </c:pt>
                <c:pt idx="327">
                  <c:v>9.983416814871476E-3</c:v>
                </c:pt>
                <c:pt idx="328">
                  <c:v>9.5466290490842445E-3</c:v>
                </c:pt>
                <c:pt idx="329">
                  <c:v>9.1204224052770719E-3</c:v>
                </c:pt>
                <c:pt idx="330">
                  <c:v>8.7048523231769166E-3</c:v>
                </c:pt>
                <c:pt idx="331">
                  <c:v>8.3113270587386358E-3</c:v>
                </c:pt>
                <c:pt idx="332">
                  <c:v>7.9401312076221534E-3</c:v>
                </c:pt>
                <c:pt idx="333">
                  <c:v>7.5913080862074385E-3</c:v>
                </c:pt>
                <c:pt idx="334">
                  <c:v>7.2648957549019044E-3</c:v>
                </c:pt>
                <c:pt idx="335">
                  <c:v>6.9609274876306932E-3</c:v>
                </c:pt>
                <c:pt idx="336">
                  <c:v>6.6794322412231386E-3</c:v>
                </c:pt>
                <c:pt idx="337">
                  <c:v>6.4271372251884723E-3</c:v>
                </c:pt>
                <c:pt idx="338">
                  <c:v>6.1928505225138826E-3</c:v>
                </c:pt>
                <c:pt idx="339">
                  <c:v>5.9765905338245223E-3</c:v>
                </c:pt>
                <c:pt idx="340">
                  <c:v>5.7783733326978743E-3</c:v>
                </c:pt>
                <c:pt idx="341">
                  <c:v>5.5982130412980564E-3</c:v>
                </c:pt>
                <c:pt idx="342">
                  <c:v>5.4361222060011725E-3</c:v>
                </c:pt>
                <c:pt idx="343">
                  <c:v>5.2921121729542983E-3</c:v>
                </c:pt>
                <c:pt idx="344">
                  <c:v>5.1661934637234697E-3</c:v>
                </c:pt>
                <c:pt idx="345">
                  <c:v>5.0583761508825251E-3</c:v>
                </c:pt>
                <c:pt idx="346">
                  <c:v>4.9618264470769474E-3</c:v>
                </c:pt>
                <c:pt idx="347">
                  <c:v>4.8765532901218151E-3</c:v>
                </c:pt>
                <c:pt idx="348">
                  <c:v>4.8025656986953715E-3</c:v>
                </c:pt>
                <c:pt idx="349">
                  <c:v>4.7398730056449631E-3</c:v>
                </c:pt>
                <c:pt idx="350">
                  <c:v>4.688485091406033E-3</c:v>
                </c:pt>
                <c:pt idx="351">
                  <c:v>4.6529364804222852E-3</c:v>
                </c:pt>
                <c:pt idx="352">
                  <c:v>4.6265325839832012E-3</c:v>
                </c:pt>
                <c:pt idx="353">
                  <c:v>4.609285453227115E-3</c:v>
                </c:pt>
                <c:pt idx="354">
                  <c:v>4.6012083042289631E-3</c:v>
                </c:pt>
                <c:pt idx="355">
                  <c:v>4.602315705750766E-3</c:v>
                </c:pt>
                <c:pt idx="356">
                  <c:v>4.6126269548157723E-3</c:v>
                </c:pt>
                <c:pt idx="357">
                  <c:v>4.6321496078839753E-3</c:v>
                </c:pt>
                <c:pt idx="358">
                  <c:v>4.6608817096944442E-3</c:v>
                </c:pt>
                <c:pt idx="359">
                  <c:v>4.6988226539503844E-3</c:v>
                </c:pt>
                <c:pt idx="360">
                  <c:v>4.7526967566038835E-3</c:v>
                </c:pt>
                <c:pt idx="361">
                  <c:v>4.8179767835063768E-3</c:v>
                </c:pt>
                <c:pt idx="362">
                  <c:v>4.894667942015333E-3</c:v>
                </c:pt>
                <c:pt idx="363">
                  <c:v>4.9827760047192792E-3</c:v>
                </c:pt>
                <c:pt idx="364">
                  <c:v>5.0823070213916344E-3</c:v>
                </c:pt>
                <c:pt idx="365">
                  <c:v>5.1932670308891711E-3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6.3380239087371436E-3</c:v>
                </c:pt>
                <c:pt idx="1">
                  <c:v>6.4929472374258522E-3</c:v>
                </c:pt>
                <c:pt idx="2">
                  <c:v>6.6688619531434365E-3</c:v>
                </c:pt>
                <c:pt idx="3">
                  <c:v>6.8657834686525416E-3</c:v>
                </c:pt>
                <c:pt idx="4">
                  <c:v>7.0837257581486445E-3</c:v>
                </c:pt>
                <c:pt idx="5">
                  <c:v>7.322700826401924E-3</c:v>
                </c:pt>
                <c:pt idx="6">
                  <c:v>7.5827181779922603E-3</c:v>
                </c:pt>
                <c:pt idx="7">
                  <c:v>7.863784286384002E-3</c:v>
                </c:pt>
                <c:pt idx="8">
                  <c:v>8.1659020630956251E-3</c:v>
                </c:pt>
                <c:pt idx="9">
                  <c:v>8.5051834526268209E-3</c:v>
                </c:pt>
                <c:pt idx="10">
                  <c:v>8.8735775147086061E-3</c:v>
                </c:pt>
                <c:pt idx="11">
                  <c:v>9.2710825046975094E-3</c:v>
                </c:pt>
                <c:pt idx="12">
                  <c:v>9.6976898896085229E-3</c:v>
                </c:pt>
                <c:pt idx="13">
                  <c:v>1.0153383612588635E-2</c:v>
                </c:pt>
                <c:pt idx="14">
                  <c:v>1.063813935721371E-2</c:v>
                </c:pt>
                <c:pt idx="15">
                  <c:v>1.116159560806371E-2</c:v>
                </c:pt>
                <c:pt idx="16">
                  <c:v>1.1710870532479656E-2</c:v>
                </c:pt>
                <c:pt idx="17">
                  <c:v>1.2285907218118793E-2</c:v>
                </c:pt>
                <c:pt idx="18">
                  <c:v>1.288663811152015E-2</c:v>
                </c:pt>
                <c:pt idx="19">
                  <c:v>1.351305973720251E-2</c:v>
                </c:pt>
                <c:pt idx="20">
                  <c:v>1.4165206908207439E-2</c:v>
                </c:pt>
                <c:pt idx="21">
                  <c:v>1.4843060547145301E-2</c:v>
                </c:pt>
                <c:pt idx="22">
                  <c:v>1.5546601058677275E-2</c:v>
                </c:pt>
                <c:pt idx="23">
                  <c:v>1.6254891772469113E-2</c:v>
                </c:pt>
                <c:pt idx="24">
                  <c:v>1.6951732799654392E-2</c:v>
                </c:pt>
                <c:pt idx="25">
                  <c:v>1.76370998848705E-2</c:v>
                </c:pt>
                <c:pt idx="26">
                  <c:v>1.8310973551684373E-2</c:v>
                </c:pt>
                <c:pt idx="27">
                  <c:v>1.8973338961991406E-2</c:v>
                </c:pt>
                <c:pt idx="28">
                  <c:v>1.9624185775797272E-2</c:v>
                </c:pt>
                <c:pt idx="29">
                  <c:v>2.0200232433765168E-2</c:v>
                </c:pt>
                <c:pt idx="30">
                  <c:v>2.0691793731250359E-2</c:v>
                </c:pt>
                <c:pt idx="31">
                  <c:v>2.1098882077453855E-2</c:v>
                </c:pt>
                <c:pt idx="32">
                  <c:v>2.1421518297997617E-2</c:v>
                </c:pt>
                <c:pt idx="33">
                  <c:v>2.1659730582319767E-2</c:v>
                </c:pt>
                <c:pt idx="34">
                  <c:v>2.1813553431167157E-2</c:v>
                </c:pt>
                <c:pt idx="35">
                  <c:v>2.188302660407412E-2</c:v>
                </c:pt>
                <c:pt idx="36">
                  <c:v>2.1868194066795781E-2</c:v>
                </c:pt>
                <c:pt idx="37">
                  <c:v>2.1732534021621328E-2</c:v>
                </c:pt>
                <c:pt idx="38">
                  <c:v>2.1497014513605226E-2</c:v>
                </c:pt>
                <c:pt idx="39">
                  <c:v>2.1161690198370196E-2</c:v>
                </c:pt>
                <c:pt idx="40">
                  <c:v>2.072661563426156E-2</c:v>
                </c:pt>
                <c:pt idx="41">
                  <c:v>2.0191844034086581E-2</c:v>
                </c:pt>
                <c:pt idx="42">
                  <c:v>1.95574260167009E-2</c:v>
                </c:pt>
                <c:pt idx="43">
                  <c:v>1.8857990801748995E-2</c:v>
                </c:pt>
                <c:pt idx="44">
                  <c:v>1.8156780035444905E-2</c:v>
                </c:pt>
                <c:pt idx="45">
                  <c:v>1.7453807537503432E-2</c:v>
                </c:pt>
                <c:pt idx="46">
                  <c:v>1.6749083557553498E-2</c:v>
                </c:pt>
                <c:pt idx="47">
                  <c:v>1.6042614750651444E-2</c:v>
                </c:pt>
                <c:pt idx="48">
                  <c:v>1.5334404152562578E-2</c:v>
                </c:pt>
                <c:pt idx="49">
                  <c:v>1.4624451155199399E-2</c:v>
                </c:pt>
                <c:pt idx="50">
                  <c:v>1.3912751481960374E-2</c:v>
                </c:pt>
                <c:pt idx="51">
                  <c:v>1.3230969621213126E-2</c:v>
                </c:pt>
                <c:pt idx="52">
                  <c:v>1.2615558307097629E-2</c:v>
                </c:pt>
                <c:pt idx="53">
                  <c:v>1.2066435740876917E-2</c:v>
                </c:pt>
                <c:pt idx="54">
                  <c:v>1.1583591230395845E-2</c:v>
                </c:pt>
                <c:pt idx="55">
                  <c:v>1.1167015988661752E-2</c:v>
                </c:pt>
                <c:pt idx="56">
                  <c:v>1.0816702888779634E-2</c:v>
                </c:pt>
                <c:pt idx="57">
                  <c:v>1.0530163491682683E-2</c:v>
                </c:pt>
                <c:pt idx="58">
                  <c:v>1.0272825677438282E-2</c:v>
                </c:pt>
                <c:pt idx="59">
                  <c:v>1.004468511867037E-2</c:v>
                </c:pt>
                <c:pt idx="60">
                  <c:v>9.8457380264236893E-3</c:v>
                </c:pt>
                <c:pt idx="61">
                  <c:v>9.6759810421774943E-3</c:v>
                </c:pt>
                <c:pt idx="62">
                  <c:v>9.5354111298446755E-3</c:v>
                </c:pt>
                <c:pt idx="63">
                  <c:v>9.4240254678000998E-3</c:v>
                </c:pt>
                <c:pt idx="64">
                  <c:v>9.3418213408704154E-3</c:v>
                </c:pt>
                <c:pt idx="65">
                  <c:v>9.278910439524838E-3</c:v>
                </c:pt>
                <c:pt idx="66">
                  <c:v>9.2036160233798202E-3</c:v>
                </c:pt>
                <c:pt idx="67">
                  <c:v>9.1159349582583832E-3</c:v>
                </c:pt>
                <c:pt idx="68">
                  <c:v>9.015864374350294E-3</c:v>
                </c:pt>
                <c:pt idx="69">
                  <c:v>8.9034017119387892E-3</c:v>
                </c:pt>
                <c:pt idx="70">
                  <c:v>8.7785447671703213E-3</c:v>
                </c:pt>
                <c:pt idx="71">
                  <c:v>8.6332543096655327E-3</c:v>
                </c:pt>
                <c:pt idx="72">
                  <c:v>8.4700120965733438E-3</c:v>
                </c:pt>
                <c:pt idx="73">
                  <c:v>8.2888176697383607E-3</c:v>
                </c:pt>
                <c:pt idx="74">
                  <c:v>8.0896712726379917E-3</c:v>
                </c:pt>
                <c:pt idx="75">
                  <c:v>7.8725739167004993E-3</c:v>
                </c:pt>
                <c:pt idx="76">
                  <c:v>7.6375274475973635E-3</c:v>
                </c:pt>
                <c:pt idx="77">
                  <c:v>7.3845346115619182E-3</c:v>
                </c:pt>
                <c:pt idx="78">
                  <c:v>7.1135993578605216E-3</c:v>
                </c:pt>
                <c:pt idx="79">
                  <c:v>6.8255118509529932E-3</c:v>
                </c:pt>
                <c:pt idx="80">
                  <c:v>6.5301745240258224E-3</c:v>
                </c:pt>
                <c:pt idx="81">
                  <c:v>6.2275864557943886E-3</c:v>
                </c:pt>
                <c:pt idx="82">
                  <c:v>5.9177471240352006E-3</c:v>
                </c:pt>
                <c:pt idx="83">
                  <c:v>5.6006564288909946E-3</c:v>
                </c:pt>
                <c:pt idx="84">
                  <c:v>5.2763147161950259E-3</c:v>
                </c:pt>
                <c:pt idx="85">
                  <c:v>4.9539662369057587E-3</c:v>
                </c:pt>
                <c:pt idx="86">
                  <c:v>4.6416434583411697E-3</c:v>
                </c:pt>
                <c:pt idx="87">
                  <c:v>4.3393452188306512E-3</c:v>
                </c:pt>
                <c:pt idx="88">
                  <c:v>4.0470706124123889E-3</c:v>
                </c:pt>
                <c:pt idx="89">
                  <c:v>3.7648189567866214E-3</c:v>
                </c:pt>
                <c:pt idx="90">
                  <c:v>3.4925897612607709E-3</c:v>
                </c:pt>
                <c:pt idx="91">
                  <c:v>3.2303826947093833E-3</c:v>
                </c:pt>
                <c:pt idx="92">
                  <c:v>2.9781975535225556E-3</c:v>
                </c:pt>
                <c:pt idx="93">
                  <c:v>2.743164761707734E-3</c:v>
                </c:pt>
                <c:pt idx="94">
                  <c:v>2.5245245675111876E-3</c:v>
                </c:pt>
                <c:pt idx="95">
                  <c:v>2.3222752034892597E-3</c:v>
                </c:pt>
                <c:pt idx="96">
                  <c:v>2.1364146941552104E-3</c:v>
                </c:pt>
                <c:pt idx="97">
                  <c:v>1.9669408035143912E-3</c:v>
                </c:pt>
                <c:pt idx="98">
                  <c:v>1.813850982577295E-3</c:v>
                </c:pt>
                <c:pt idx="99">
                  <c:v>1.678873896059386E-3</c:v>
                </c:pt>
                <c:pt idx="100">
                  <c:v>1.5527732475539191E-3</c:v>
                </c:pt>
                <c:pt idx="101">
                  <c:v>1.4355479512149342E-3</c:v>
                </c:pt>
                <c:pt idx="102">
                  <c:v>1.3271967161698108E-3</c:v>
                </c:pt>
                <c:pt idx="103">
                  <c:v>1.2277180180905692E-3</c:v>
                </c:pt>
                <c:pt idx="104">
                  <c:v>1.1371100707976225E-3</c:v>
                </c:pt>
                <c:pt idx="105">
                  <c:v>1.0553707978332714E-3</c:v>
                </c:pt>
                <c:pt idx="106">
                  <c:v>9.8249780405147398E-4</c:v>
                </c:pt>
                <c:pt idx="107">
                  <c:v>9.2027085384123388E-4</c:v>
                </c:pt>
                <c:pt idx="108">
                  <c:v>8.6156873284293917E-4</c:v>
                </c:pt>
                <c:pt idx="109">
                  <c:v>8.0639088480249455E-4</c:v>
                </c:pt>
                <c:pt idx="110">
                  <c:v>7.5473877854094365E-4</c:v>
                </c:pt>
                <c:pt idx="111">
                  <c:v>7.0661324894946123E-4</c:v>
                </c:pt>
                <c:pt idx="112">
                  <c:v>6.6201266153920592E-4</c:v>
                </c:pt>
                <c:pt idx="113">
                  <c:v>6.2292371395157467E-4</c:v>
                </c:pt>
                <c:pt idx="114">
                  <c:v>5.8761616355498033E-4</c:v>
                </c:pt>
                <c:pt idx="115">
                  <c:v>5.560879898208579E-4</c:v>
                </c:pt>
                <c:pt idx="116">
                  <c:v>5.2833708537812713E-4</c:v>
                </c:pt>
                <c:pt idx="117">
                  <c:v>5.0436124777736833E-4</c:v>
                </c:pt>
                <c:pt idx="118">
                  <c:v>4.8415817124893424E-4</c:v>
                </c:pt>
                <c:pt idx="119">
                  <c:v>4.6772543846282356E-4</c:v>
                </c:pt>
                <c:pt idx="120">
                  <c:v>4.5506051228780459E-4</c:v>
                </c:pt>
                <c:pt idx="121">
                  <c:v>4.4654516921634961E-4</c:v>
                </c:pt>
                <c:pt idx="122">
                  <c:v>4.4039968039106717E-4</c:v>
                </c:pt>
                <c:pt idx="123">
                  <c:v>4.3662221285006739E-4</c:v>
                </c:pt>
                <c:pt idx="124">
                  <c:v>4.3521083993478367E-4</c:v>
                </c:pt>
                <c:pt idx="125">
                  <c:v>4.3616353610400515E-4</c:v>
                </c:pt>
                <c:pt idx="126">
                  <c:v>4.3947817174177779E-4</c:v>
                </c:pt>
                <c:pt idx="127">
                  <c:v>4.4482903709205501E-4</c:v>
                </c:pt>
                <c:pt idx="128">
                  <c:v>4.5023333502885429E-4</c:v>
                </c:pt>
                <c:pt idx="129">
                  <c:v>4.5569077702480444E-4</c:v>
                </c:pt>
                <c:pt idx="130">
                  <c:v>4.61201066690678E-4</c:v>
                </c:pt>
                <c:pt idx="131">
                  <c:v>4.667638996383518E-4</c:v>
                </c:pt>
                <c:pt idx="132">
                  <c:v>4.7237896334797368E-4</c:v>
                </c:pt>
                <c:pt idx="133">
                  <c:v>4.7804593703809021E-4</c:v>
                </c:pt>
                <c:pt idx="134">
                  <c:v>4.837644915334573E-4</c:v>
                </c:pt>
                <c:pt idx="135">
                  <c:v>4.9058955525056833E-4</c:v>
                </c:pt>
                <c:pt idx="136">
                  <c:v>4.9813696276905181E-4</c:v>
                </c:pt>
                <c:pt idx="137">
                  <c:v>5.0640554152412342E-4</c:v>
                </c:pt>
                <c:pt idx="138">
                  <c:v>5.1539406785399387E-4</c:v>
                </c:pt>
                <c:pt idx="139">
                  <c:v>5.2510126540044537E-4</c:v>
                </c:pt>
                <c:pt idx="140">
                  <c:v>5.3552580348071124E-4</c:v>
                </c:pt>
                <c:pt idx="141">
                  <c:v>5.4735466931274282E-4</c:v>
                </c:pt>
                <c:pt idx="142">
                  <c:v>5.6090408636740247E-4</c:v>
                </c:pt>
                <c:pt idx="143">
                  <c:v>5.7616831966186464E-4</c:v>
                </c:pt>
                <c:pt idx="144">
                  <c:v>5.9314471493795127E-4</c:v>
                </c:pt>
                <c:pt idx="145">
                  <c:v>6.1183049752888035E-4</c:v>
                </c:pt>
                <c:pt idx="146">
                  <c:v>6.3222279573406175E-4</c:v>
                </c:pt>
                <c:pt idx="147">
                  <c:v>6.543186642139579E-4</c:v>
                </c:pt>
                <c:pt idx="148">
                  <c:v>6.7811510737082563E-4</c:v>
                </c:pt>
                <c:pt idx="149">
                  <c:v>7.0218390138576886E-4</c:v>
                </c:pt>
                <c:pt idx="150">
                  <c:v>7.2547676554440886E-4</c:v>
                </c:pt>
                <c:pt idx="151">
                  <c:v>7.4799515628753586E-4</c:v>
                </c:pt>
                <c:pt idx="152">
                  <c:v>7.6974070309469551E-4</c:v>
                </c:pt>
                <c:pt idx="153">
                  <c:v>7.9071519850555736E-4</c:v>
                </c:pt>
                <c:pt idx="154">
                  <c:v>8.1092058814523577E-4</c:v>
                </c:pt>
                <c:pt idx="155">
                  <c:v>8.2930533522135655E-4</c:v>
                </c:pt>
                <c:pt idx="156">
                  <c:v>8.4519103972917299E-4</c:v>
                </c:pt>
                <c:pt idx="157">
                  <c:v>8.5858335202222116E-4</c:v>
                </c:pt>
                <c:pt idx="158">
                  <c:v>8.694880421585313E-4</c:v>
                </c:pt>
                <c:pt idx="159">
                  <c:v>8.7791096641270515E-4</c:v>
                </c:pt>
                <c:pt idx="160">
                  <c:v>8.8385803379862314E-4</c:v>
                </c:pt>
                <c:pt idx="161">
                  <c:v>8.8733517258237423E-4</c:v>
                </c:pt>
                <c:pt idx="162">
                  <c:v>8.88348296799817E-4</c:v>
                </c:pt>
                <c:pt idx="163">
                  <c:v>8.8738207603077199E-4</c:v>
                </c:pt>
                <c:pt idx="164">
                  <c:v>8.8585340076954226E-4</c:v>
                </c:pt>
                <c:pt idx="165">
                  <c:v>8.8376450629295568E-4</c:v>
                </c:pt>
                <c:pt idx="166">
                  <c:v>8.8111759247288125E-4</c:v>
                </c:pt>
                <c:pt idx="167">
                  <c:v>8.7791481601418801E-4</c:v>
                </c:pt>
                <c:pt idx="168">
                  <c:v>8.7415828272092988E-4</c:v>
                </c:pt>
                <c:pt idx="169">
                  <c:v>8.7032714694873427E-4</c:v>
                </c:pt>
                <c:pt idx="170">
                  <c:v>8.6746663866297516E-4</c:v>
                </c:pt>
                <c:pt idx="171">
                  <c:v>8.6557626556828813E-4</c:v>
                </c:pt>
                <c:pt idx="172">
                  <c:v>8.6465561979162772E-4</c:v>
                </c:pt>
                <c:pt idx="173">
                  <c:v>8.6469554842505056E-4</c:v>
                </c:pt>
                <c:pt idx="174">
                  <c:v>8.6568649890197177E-4</c:v>
                </c:pt>
                <c:pt idx="175">
                  <c:v>8.6762753633861745E-4</c:v>
                </c:pt>
                <c:pt idx="176">
                  <c:v>8.7051773213235898E-4</c:v>
                </c:pt>
                <c:pt idx="177">
                  <c:v>8.7331585427175126E-4</c:v>
                </c:pt>
                <c:pt idx="178">
                  <c:v>8.7554765749512558E-4</c:v>
                </c:pt>
                <c:pt idx="179">
                  <c:v>8.7721452372480871E-4</c:v>
                </c:pt>
                <c:pt idx="180">
                  <c:v>8.7831783145467983E-4</c:v>
                </c:pt>
                <c:pt idx="181">
                  <c:v>8.7885895242754552E-4</c:v>
                </c:pt>
                <c:pt idx="182">
                  <c:v>8.7883924832015759E-4</c:v>
                </c:pt>
                <c:pt idx="183">
                  <c:v>8.7686213643288762E-4</c:v>
                </c:pt>
                <c:pt idx="184">
                  <c:v>8.7245743457026723E-4</c:v>
                </c:pt>
                <c:pt idx="185">
                  <c:v>8.6562907639132971E-4</c:v>
                </c:pt>
                <c:pt idx="186">
                  <c:v>8.5638089261166482E-4</c:v>
                </c:pt>
                <c:pt idx="187">
                  <c:v>8.4471659666957499E-4</c:v>
                </c:pt>
                <c:pt idx="188">
                  <c:v>8.3063977039685849E-4</c:v>
                </c:pt>
                <c:pt idx="189">
                  <c:v>8.1415384966378017E-4</c:v>
                </c:pt>
                <c:pt idx="190">
                  <c:v>7.9526211005996042E-4</c:v>
                </c:pt>
                <c:pt idx="191">
                  <c:v>7.7463764408447185E-4</c:v>
                </c:pt>
                <c:pt idx="192">
                  <c:v>7.5331559638038264E-4</c:v>
                </c:pt>
                <c:pt idx="193">
                  <c:v>7.3129664213910945E-4</c:v>
                </c:pt>
                <c:pt idx="194">
                  <c:v>7.0858135850674394E-4</c:v>
                </c:pt>
                <c:pt idx="195">
                  <c:v>6.8517022032915599E-4</c:v>
                </c:pt>
                <c:pt idx="196">
                  <c:v>6.6106359586848643E-4</c:v>
                </c:pt>
                <c:pt idx="197">
                  <c:v>6.3728397232574454E-4</c:v>
                </c:pt>
                <c:pt idx="198">
                  <c:v>6.1521964839465E-4</c:v>
                </c:pt>
                <c:pt idx="199">
                  <c:v>5.9486834122265855E-4</c:v>
                </c:pt>
                <c:pt idx="200">
                  <c:v>5.7622786563083991E-4</c:v>
                </c:pt>
                <c:pt idx="201">
                  <c:v>5.5929614412145699E-4</c:v>
                </c:pt>
                <c:pt idx="202">
                  <c:v>5.4407121688972713E-4</c:v>
                </c:pt>
                <c:pt idx="203">
                  <c:v>5.3055125184763604E-4</c:v>
                </c:pt>
                <c:pt idx="204">
                  <c:v>5.1873371695971421E-4</c:v>
                </c:pt>
                <c:pt idx="205">
                  <c:v>5.0830419928020736E-4</c:v>
                </c:pt>
                <c:pt idx="206">
                  <c:v>4.98594369698025E-4</c:v>
                </c:pt>
                <c:pt idx="207">
                  <c:v>4.8960321209820718E-4</c:v>
                </c:pt>
                <c:pt idx="208">
                  <c:v>4.81329779949588E-4</c:v>
                </c:pt>
                <c:pt idx="209">
                  <c:v>4.7377319410224689E-4</c:v>
                </c:pt>
                <c:pt idx="210">
                  <c:v>4.6693264060118693E-4</c:v>
                </c:pt>
                <c:pt idx="211">
                  <c:v>4.6117689420869336E-4</c:v>
                </c:pt>
                <c:pt idx="212">
                  <c:v>4.5548648079987844E-4</c:v>
                </c:pt>
                <c:pt idx="213">
                  <c:v>4.4986103136088667E-4</c:v>
                </c:pt>
                <c:pt idx="214">
                  <c:v>4.4430018795107003E-4</c:v>
                </c:pt>
                <c:pt idx="215">
                  <c:v>4.3880360352417685E-4</c:v>
                </c:pt>
                <c:pt idx="216">
                  <c:v>4.3337094174785703E-4</c:v>
                </c:pt>
                <c:pt idx="217">
                  <c:v>4.2800187682481426E-4</c:v>
                </c:pt>
                <c:pt idx="218">
                  <c:v>4.2269609331147532E-4</c:v>
                </c:pt>
                <c:pt idx="219">
                  <c:v>4.193594216740118E-4</c:v>
                </c:pt>
                <c:pt idx="220">
                  <c:v>4.1830243278218575E-4</c:v>
                </c:pt>
                <c:pt idx="221">
                  <c:v>4.1952459763333784E-4</c:v>
                </c:pt>
                <c:pt idx="222">
                  <c:v>4.230255147707892E-4</c:v>
                </c:pt>
                <c:pt idx="223">
                  <c:v>4.2880490322027621E-4</c:v>
                </c:pt>
                <c:pt idx="224">
                  <c:v>4.3686259541619345E-4</c:v>
                </c:pt>
                <c:pt idx="225">
                  <c:v>4.4890497149619921E-4</c:v>
                </c:pt>
                <c:pt idx="226">
                  <c:v>4.6456289938032712E-4</c:v>
                </c:pt>
                <c:pt idx="227">
                  <c:v>4.8383656744948228E-4</c:v>
                </c:pt>
                <c:pt idx="228">
                  <c:v>5.0672630468717467E-4</c:v>
                </c:pt>
                <c:pt idx="229">
                  <c:v>5.3323256944652825E-4</c:v>
                </c:pt>
                <c:pt idx="230">
                  <c:v>5.6335593822449904E-4</c:v>
                </c:pt>
                <c:pt idx="231">
                  <c:v>5.9709709443870338E-4</c:v>
                </c:pt>
                <c:pt idx="232">
                  <c:v>6.3445681719232546E-4</c:v>
                </c:pt>
                <c:pt idx="233">
                  <c:v>6.7709206508467031E-4</c:v>
                </c:pt>
                <c:pt idx="234">
                  <c:v>7.2309782266957961E-4</c:v>
                </c:pt>
                <c:pt idx="235">
                  <c:v>7.7247569674354362E-4</c:v>
                </c:pt>
                <c:pt idx="236">
                  <c:v>8.2522777395197206E-4</c:v>
                </c:pt>
                <c:pt idx="237">
                  <c:v>8.8135587427369099E-4</c:v>
                </c:pt>
                <c:pt idx="238">
                  <c:v>9.4086199341385105E-4</c:v>
                </c:pt>
                <c:pt idx="239">
                  <c:v>1.0105667794884688E-3</c:v>
                </c:pt>
                <c:pt idx="240">
                  <c:v>1.0887668738215786E-3</c:v>
                </c:pt>
                <c:pt idx="241">
                  <c:v>1.175466473573499E-3</c:v>
                </c:pt>
                <c:pt idx="242">
                  <c:v>1.2706702159018778E-3</c:v>
                </c:pt>
                <c:pt idx="243">
                  <c:v>1.3743831929280328E-3</c:v>
                </c:pt>
                <c:pt idx="244">
                  <c:v>1.4866109666999139E-3</c:v>
                </c:pt>
                <c:pt idx="245">
                  <c:v>1.6073595841408907E-3</c:v>
                </c:pt>
                <c:pt idx="246">
                  <c:v>1.7366355919911775E-3</c:v>
                </c:pt>
                <c:pt idx="247">
                  <c:v>1.8832886666801879E-3</c:v>
                </c:pt>
                <c:pt idx="248">
                  <c:v>2.0456719466397477E-3</c:v>
                </c:pt>
                <c:pt idx="249">
                  <c:v>2.2237973202086339E-3</c:v>
                </c:pt>
                <c:pt idx="250">
                  <c:v>2.4176776334075369E-3</c:v>
                </c:pt>
                <c:pt idx="251">
                  <c:v>2.6273267176194701E-3</c:v>
                </c:pt>
                <c:pt idx="252">
                  <c:v>2.852759417181092E-3</c:v>
                </c:pt>
                <c:pt idx="253">
                  <c:v>3.0947179176342298E-3</c:v>
                </c:pt>
                <c:pt idx="254">
                  <c:v>3.3463860978150506E-3</c:v>
                </c:pt>
                <c:pt idx="255">
                  <c:v>3.607777997165679E-3</c:v>
                </c:pt>
                <c:pt idx="256">
                  <c:v>3.8789084077536112E-3</c:v>
                </c:pt>
                <c:pt idx="257">
                  <c:v>4.1597928911114241E-3</c:v>
                </c:pt>
                <c:pt idx="258">
                  <c:v>4.450447795105077E-3</c:v>
                </c:pt>
                <c:pt idx="259">
                  <c:v>4.7508902708690908E-3</c:v>
                </c:pt>
                <c:pt idx="260">
                  <c:v>5.0611382896143401E-3</c:v>
                </c:pt>
                <c:pt idx="261">
                  <c:v>5.3735025857818731E-3</c:v>
                </c:pt>
                <c:pt idx="262">
                  <c:v>5.6791239644888268E-3</c:v>
                </c:pt>
                <c:pt idx="263">
                  <c:v>5.9780075028294608E-3</c:v>
                </c:pt>
                <c:pt idx="264">
                  <c:v>6.2701583149547746E-3</c:v>
                </c:pt>
                <c:pt idx="265">
                  <c:v>6.5556164218343906E-3</c:v>
                </c:pt>
                <c:pt idx="266">
                  <c:v>6.8344096044631831E-3</c:v>
                </c:pt>
                <c:pt idx="267">
                  <c:v>7.0970401800650512E-3</c:v>
                </c:pt>
                <c:pt idx="268">
                  <c:v>7.3427669771453435E-3</c:v>
                </c:pt>
                <c:pt idx="269">
                  <c:v>7.5715745099210708E-3</c:v>
                </c:pt>
                <c:pt idx="270">
                  <c:v>7.7834445267383973E-3</c:v>
                </c:pt>
                <c:pt idx="271">
                  <c:v>7.9783561996692592E-3</c:v>
                </c:pt>
                <c:pt idx="272">
                  <c:v>8.1562863143072716E-3</c:v>
                </c:pt>
                <c:pt idx="273">
                  <c:v>8.3172094594664639E-3</c:v>
                </c:pt>
                <c:pt idx="274">
                  <c:v>8.4610982169854472E-3</c:v>
                </c:pt>
                <c:pt idx="275">
                  <c:v>8.5855291444901383E-3</c:v>
                </c:pt>
                <c:pt idx="276">
                  <c:v>8.6982222640316579E-3</c:v>
                </c:pt>
                <c:pt idx="277">
                  <c:v>8.799153253762744E-3</c:v>
                </c:pt>
                <c:pt idx="278">
                  <c:v>8.8882967740925231E-3</c:v>
                </c:pt>
                <c:pt idx="279">
                  <c:v>8.9656265985964198E-3</c:v>
                </c:pt>
                <c:pt idx="280">
                  <c:v>9.0311157450093486E-3</c:v>
                </c:pt>
                <c:pt idx="281">
                  <c:v>9.1153726364629328E-3</c:v>
                </c:pt>
                <c:pt idx="282">
                  <c:v>9.2279838297190976E-3</c:v>
                </c:pt>
                <c:pt idx="283">
                  <c:v>9.3689840588855201E-3</c:v>
                </c:pt>
                <c:pt idx="284">
                  <c:v>9.5384077519837136E-3</c:v>
                </c:pt>
                <c:pt idx="285">
                  <c:v>9.73628872188507E-3</c:v>
                </c:pt>
                <c:pt idx="286">
                  <c:v>9.9626598573377481E-3</c:v>
                </c:pt>
                <c:pt idx="287">
                  <c:v>1.021755281390075E-2</c:v>
                </c:pt>
                <c:pt idx="288">
                  <c:v>1.0500997704913369E-2</c:v>
                </c:pt>
                <c:pt idx="289">
                  <c:v>1.0846598095088873E-2</c:v>
                </c:pt>
                <c:pt idx="290">
                  <c:v>1.1256843101723753E-2</c:v>
                </c:pt>
                <c:pt idx="291">
                  <c:v>1.1731808767388309E-2</c:v>
                </c:pt>
                <c:pt idx="292">
                  <c:v>1.227156638069208E-2</c:v>
                </c:pt>
                <c:pt idx="293">
                  <c:v>1.2876181775035363E-2</c:v>
                </c:pt>
                <c:pt idx="294">
                  <c:v>1.3545714627320342E-2</c:v>
                </c:pt>
                <c:pt idx="295">
                  <c:v>1.4244632208668664E-2</c:v>
                </c:pt>
                <c:pt idx="296">
                  <c:v>1.494224935249814E-2</c:v>
                </c:pt>
                <c:pt idx="297">
                  <c:v>1.563867707479032E-2</c:v>
                </c:pt>
                <c:pt idx="298">
                  <c:v>1.633391166832544E-2</c:v>
                </c:pt>
                <c:pt idx="299">
                  <c:v>1.7027946815388155E-2</c:v>
                </c:pt>
                <c:pt idx="300">
                  <c:v>1.7720773605497554E-2</c:v>
                </c:pt>
                <c:pt idx="301">
                  <c:v>1.8412380553088557E-2</c:v>
                </c:pt>
                <c:pt idx="302">
                  <c:v>1.9102753615231078E-2</c:v>
                </c:pt>
                <c:pt idx="303">
                  <c:v>1.9730097738557512E-2</c:v>
                </c:pt>
                <c:pt idx="304">
                  <c:v>2.0260491943612416E-2</c:v>
                </c:pt>
                <c:pt idx="305">
                  <c:v>2.069377824587584E-2</c:v>
                </c:pt>
                <c:pt idx="306">
                  <c:v>2.1029797285907332E-2</c:v>
                </c:pt>
                <c:pt idx="307">
                  <c:v>2.1268389227050172E-2</c:v>
                </c:pt>
                <c:pt idx="308">
                  <c:v>2.1409394652956715E-2</c:v>
                </c:pt>
                <c:pt idx="309">
                  <c:v>2.1432171825943494E-2</c:v>
                </c:pt>
                <c:pt idx="310">
                  <c:v>2.1372374365269807E-2</c:v>
                </c:pt>
                <c:pt idx="311">
                  <c:v>2.1229870661870168E-2</c:v>
                </c:pt>
                <c:pt idx="312">
                  <c:v>2.1004532544490532E-2</c:v>
                </c:pt>
                <c:pt idx="313">
                  <c:v>2.0696236036626011E-2</c:v>
                </c:pt>
                <c:pt idx="314">
                  <c:v>2.0304862113266101E-2</c:v>
                </c:pt>
                <c:pt idx="315">
                  <c:v>1.983029745790112E-2</c:v>
                </c:pt>
                <c:pt idx="316">
                  <c:v>1.927243521920903E-2</c:v>
                </c:pt>
                <c:pt idx="317">
                  <c:v>1.8640694058045099E-2</c:v>
                </c:pt>
                <c:pt idx="318">
                  <c:v>1.7997183488723444E-2</c:v>
                </c:pt>
                <c:pt idx="319">
                  <c:v>1.7341899428304147E-2</c:v>
                </c:pt>
                <c:pt idx="320">
                  <c:v>1.6674841083261858E-2</c:v>
                </c:pt>
                <c:pt idx="321">
                  <c:v>1.599601105051043E-2</c:v>
                </c:pt>
                <c:pt idx="322">
                  <c:v>1.5305415418481481E-2</c:v>
                </c:pt>
                <c:pt idx="323">
                  <c:v>1.4618990469791711E-2</c:v>
                </c:pt>
                <c:pt idx="324">
                  <c:v>1.3957365855943264E-2</c:v>
                </c:pt>
                <c:pt idx="325">
                  <c:v>1.332058643325492E-2</c:v>
                </c:pt>
                <c:pt idx="326">
                  <c:v>1.2708617658680654E-2</c:v>
                </c:pt>
                <c:pt idx="327">
                  <c:v>1.2121489276658789E-2</c:v>
                </c:pt>
                <c:pt idx="328">
                  <c:v>1.1559293168559694E-2</c:v>
                </c:pt>
                <c:pt idx="329">
                  <c:v>1.1022112271313615E-2</c:v>
                </c:pt>
                <c:pt idx="330">
                  <c:v>1.0510021107857195E-2</c:v>
                </c:pt>
                <c:pt idx="331">
                  <c:v>1.0035772551594229E-2</c:v>
                </c:pt>
                <c:pt idx="332">
                  <c:v>9.5898753219444757E-3</c:v>
                </c:pt>
                <c:pt idx="333">
                  <c:v>9.1723820126770519E-3</c:v>
                </c:pt>
                <c:pt idx="334">
                  <c:v>8.7833387573588925E-3</c:v>
                </c:pt>
                <c:pt idx="335">
                  <c:v>8.4227858251404806E-3</c:v>
                </c:pt>
                <c:pt idx="336">
                  <c:v>8.0907582164161315E-3</c:v>
                </c:pt>
                <c:pt idx="337">
                  <c:v>7.7952713258716928E-3</c:v>
                </c:pt>
                <c:pt idx="338">
                  <c:v>7.5203933518395022E-3</c:v>
                </c:pt>
                <c:pt idx="339">
                  <c:v>7.2661463661309539E-3</c:v>
                </c:pt>
                <c:pt idx="340">
                  <c:v>7.0325497210806482E-3</c:v>
                </c:pt>
                <c:pt idx="341">
                  <c:v>6.8196204794945103E-3</c:v>
                </c:pt>
                <c:pt idx="342">
                  <c:v>6.6273738445871751E-3</c:v>
                </c:pt>
                <c:pt idx="343">
                  <c:v>6.4558235898384813E-3</c:v>
                </c:pt>
                <c:pt idx="344">
                  <c:v>6.3049824889583432E-3</c:v>
                </c:pt>
                <c:pt idx="345">
                  <c:v>6.1748627457795897E-3</c:v>
                </c:pt>
                <c:pt idx="346">
                  <c:v>6.0582802411830771E-3</c:v>
                </c:pt>
                <c:pt idx="347">
                  <c:v>5.9552458951863795E-3</c:v>
                </c:pt>
                <c:pt idx="348">
                  <c:v>5.8657707199768665E-3</c:v>
                </c:pt>
                <c:pt idx="349">
                  <c:v>5.7898661001916773E-3</c:v>
                </c:pt>
                <c:pt idx="350">
                  <c:v>5.7275440733357708E-3</c:v>
                </c:pt>
                <c:pt idx="351">
                  <c:v>5.6843188436132459E-3</c:v>
                </c:pt>
                <c:pt idx="352">
                  <c:v>5.6522146201915735E-3</c:v>
                </c:pt>
                <c:pt idx="353">
                  <c:v>5.6312461121110734E-3</c:v>
                </c:pt>
                <c:pt idx="354">
                  <c:v>5.6214294450312209E-3</c:v>
                </c:pt>
                <c:pt idx="355">
                  <c:v>5.6227823895428648E-3</c:v>
                </c:pt>
                <c:pt idx="356">
                  <c:v>5.6353284841014145E-3</c:v>
                </c:pt>
                <c:pt idx="357">
                  <c:v>5.6590769137208211E-3</c:v>
                </c:pt>
                <c:pt idx="358">
                  <c:v>5.6940252336872537E-3</c:v>
                </c:pt>
                <c:pt idx="359">
                  <c:v>5.7401726396912791E-3</c:v>
                </c:pt>
                <c:pt idx="360">
                  <c:v>5.8055306129045576E-3</c:v>
                </c:pt>
                <c:pt idx="361">
                  <c:v>5.8845935525457249E-3</c:v>
                </c:pt>
                <c:pt idx="362">
                  <c:v>5.9773675044283263E-3</c:v>
                </c:pt>
                <c:pt idx="363">
                  <c:v>6.083859187258637E-3</c:v>
                </c:pt>
                <c:pt idx="364">
                  <c:v>6.2040756465946067E-3</c:v>
                </c:pt>
                <c:pt idx="365">
                  <c:v>6.3380239087371436E-3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7.8896932971931101E-3</c:v>
                </c:pt>
                <c:pt idx="1">
                  <c:v>8.0704518424523572E-3</c:v>
                </c:pt>
                <c:pt idx="2">
                  <c:v>8.2751751236054671E-3</c:v>
                </c:pt>
                <c:pt idx="3">
                  <c:v>8.503879093294496E-3</c:v>
                </c:pt>
                <c:pt idx="4">
                  <c:v>8.7565780252133549E-3</c:v>
                </c:pt>
                <c:pt idx="5">
                  <c:v>9.033283908241695E-3</c:v>
                </c:pt>
                <c:pt idx="6">
                  <c:v>9.3340058406937414E-3</c:v>
                </c:pt>
                <c:pt idx="7">
                  <c:v>9.6587494243690897E-3</c:v>
                </c:pt>
                <c:pt idx="8">
                  <c:v>1.0007516158721176E-2</c:v>
                </c:pt>
                <c:pt idx="9">
                  <c:v>1.0398296286974244E-2</c:v>
                </c:pt>
                <c:pt idx="10">
                  <c:v>1.0821316285629747E-2</c:v>
                </c:pt>
                <c:pt idx="11">
                  <c:v>1.1276571029272396E-2</c:v>
                </c:pt>
                <c:pt idx="12">
                  <c:v>1.1764047726089398E-2</c:v>
                </c:pt>
                <c:pt idx="13">
                  <c:v>1.2283725103306961E-2</c:v>
                </c:pt>
                <c:pt idx="14">
                  <c:v>1.2835572592413275E-2</c:v>
                </c:pt>
                <c:pt idx="15">
                  <c:v>1.3438994974876809E-2</c:v>
                </c:pt>
                <c:pt idx="16">
                  <c:v>1.4079879077386889E-2</c:v>
                </c:pt>
                <c:pt idx="17">
                  <c:v>1.4758163874466783E-2</c:v>
                </c:pt>
                <c:pt idx="18">
                  <c:v>1.5473774473492756E-2</c:v>
                </c:pt>
                <c:pt idx="19">
                  <c:v>1.6226711674445032E-2</c:v>
                </c:pt>
                <c:pt idx="20">
                  <c:v>1.7017021016059192E-2</c:v>
                </c:pt>
                <c:pt idx="21">
                  <c:v>1.7844682312758871E-2</c:v>
                </c:pt>
                <c:pt idx="22">
                  <c:v>1.8709673848046143E-2</c:v>
                </c:pt>
                <c:pt idx="23">
                  <c:v>1.9599833315075973E-2</c:v>
                </c:pt>
                <c:pt idx="24">
                  <c:v>2.0497071522492076E-2</c:v>
                </c:pt>
                <c:pt idx="25">
                  <c:v>2.1401360578463521E-2</c:v>
                </c:pt>
                <c:pt idx="26">
                  <c:v>2.2312676221774172E-2</c:v>
                </c:pt>
                <c:pt idx="27">
                  <c:v>2.323099791332069E-2</c:v>
                </c:pt>
                <c:pt idx="28">
                  <c:v>2.4156308928075781E-2</c:v>
                </c:pt>
                <c:pt idx="29">
                  <c:v>2.5020922400765609E-2</c:v>
                </c:pt>
                <c:pt idx="30">
                  <c:v>2.5805356470663888E-2</c:v>
                </c:pt>
                <c:pt idx="31">
                  <c:v>2.6509618176682695E-2</c:v>
                </c:pt>
                <c:pt idx="32">
                  <c:v>2.7133724129388928E-2</c:v>
                </c:pt>
                <c:pt idx="33">
                  <c:v>2.7677699513148905E-2</c:v>
                </c:pt>
                <c:pt idx="34">
                  <c:v>2.8141577088395289E-2</c:v>
                </c:pt>
                <c:pt idx="35">
                  <c:v>2.8525396193879268E-2</c:v>
                </c:pt>
                <c:pt idx="36">
                  <c:v>2.8829201748866322E-2</c:v>
                </c:pt>
                <c:pt idx="37">
                  <c:v>2.8993968040944933E-2</c:v>
                </c:pt>
                <c:pt idx="38">
                  <c:v>2.9031898582606495E-2</c:v>
                </c:pt>
                <c:pt idx="39">
                  <c:v>2.8943061863562922E-2</c:v>
                </c:pt>
                <c:pt idx="40">
                  <c:v>2.8727527936355208E-2</c:v>
                </c:pt>
                <c:pt idx="41">
                  <c:v>2.8385366831665933E-2</c:v>
                </c:pt>
                <c:pt idx="42">
                  <c:v>2.7916646973428501E-2</c:v>
                </c:pt>
                <c:pt idx="43">
                  <c:v>2.7333527773143414E-2</c:v>
                </c:pt>
                <c:pt idx="44">
                  <c:v>2.6703668874772594E-2</c:v>
                </c:pt>
                <c:pt idx="45">
                  <c:v>2.6027106572877989E-2</c:v>
                </c:pt>
                <c:pt idx="46">
                  <c:v>2.5303872409349931E-2</c:v>
                </c:pt>
                <c:pt idx="47">
                  <c:v>2.4533992586089768E-2</c:v>
                </c:pt>
                <c:pt idx="48">
                  <c:v>2.3717487377349016E-2</c:v>
                </c:pt>
                <c:pt idx="49">
                  <c:v>2.285437054230232E-2</c:v>
                </c:pt>
                <c:pt idx="50">
                  <c:v>2.194464873746935E-2</c:v>
                </c:pt>
                <c:pt idx="51">
                  <c:v>2.1032994004795674E-2</c:v>
                </c:pt>
                <c:pt idx="52">
                  <c:v>2.0178304608381745E-2</c:v>
                </c:pt>
                <c:pt idx="53">
                  <c:v>1.9380453887006276E-2</c:v>
                </c:pt>
                <c:pt idx="54">
                  <c:v>1.8639426271476297E-2</c:v>
                </c:pt>
                <c:pt idx="55">
                  <c:v>1.7955208309440678E-2</c:v>
                </c:pt>
                <c:pt idx="56">
                  <c:v>1.7327788455387672E-2</c:v>
                </c:pt>
                <c:pt idx="57">
                  <c:v>1.6771585119168306E-2</c:v>
                </c:pt>
                <c:pt idx="58">
                  <c:v>1.6274501201535542E-2</c:v>
                </c:pt>
                <c:pt idx="59">
                  <c:v>1.5836529706182812E-2</c:v>
                </c:pt>
                <c:pt idx="60">
                  <c:v>1.545766469147522E-2</c:v>
                </c:pt>
                <c:pt idx="61">
                  <c:v>1.5137901051804141E-2</c:v>
                </c:pt>
                <c:pt idx="62">
                  <c:v>1.4877234298918981E-2</c:v>
                </c:pt>
                <c:pt idx="63">
                  <c:v>1.4675660343304709E-2</c:v>
                </c:pt>
                <c:pt idx="64">
                  <c:v>1.4533175275499081E-2</c:v>
                </c:pt>
                <c:pt idx="65">
                  <c:v>1.4435110743649535E-2</c:v>
                </c:pt>
                <c:pt idx="66">
                  <c:v>1.4336787406403028E-2</c:v>
                </c:pt>
                <c:pt idx="67">
                  <c:v>1.4238200456643653E-2</c:v>
                </c:pt>
                <c:pt idx="68">
                  <c:v>1.4139345235756572E-2</c:v>
                </c:pt>
                <c:pt idx="69">
                  <c:v>1.4040217234453043E-2</c:v>
                </c:pt>
                <c:pt idx="70">
                  <c:v>1.3940812093662424E-2</c:v>
                </c:pt>
                <c:pt idx="71">
                  <c:v>1.3827887106927058E-2</c:v>
                </c:pt>
                <c:pt idx="72">
                  <c:v>1.3687010249854286E-2</c:v>
                </c:pt>
                <c:pt idx="73">
                  <c:v>1.3518179295300702E-2</c:v>
                </c:pt>
                <c:pt idx="74">
                  <c:v>1.3321392940823271E-2</c:v>
                </c:pt>
                <c:pt idx="75">
                  <c:v>1.3096650911925418E-2</c:v>
                </c:pt>
                <c:pt idx="76">
                  <c:v>1.2843954065261275E-2</c:v>
                </c:pt>
                <c:pt idx="77">
                  <c:v>1.2563304491883072E-2</c:v>
                </c:pt>
                <c:pt idx="78">
                  <c:v>1.2254706027313747E-2</c:v>
                </c:pt>
                <c:pt idx="79">
                  <c:v>1.1915015527134865E-2</c:v>
                </c:pt>
                <c:pt idx="80">
                  <c:v>1.1558926956154911E-2</c:v>
                </c:pt>
                <c:pt idx="81">
                  <c:v>1.1186439104503808E-2</c:v>
                </c:pt>
                <c:pt idx="82">
                  <c:v>1.0797551265358002E-2</c:v>
                </c:pt>
                <c:pt idx="83">
                  <c:v>1.0392263287562554E-2</c:v>
                </c:pt>
                <c:pt idx="84">
                  <c:v>9.9705756282885763E-3</c:v>
                </c:pt>
                <c:pt idx="85">
                  <c:v>9.53900070787643E-3</c:v>
                </c:pt>
                <c:pt idx="86">
                  <c:v>9.1107699455237647E-3</c:v>
                </c:pt>
                <c:pt idx="87">
                  <c:v>8.685882556615435E-3</c:v>
                </c:pt>
                <c:pt idx="88">
                  <c:v>8.2643382569206562E-3</c:v>
                </c:pt>
                <c:pt idx="89">
                  <c:v>7.8461372519673788E-3</c:v>
                </c:pt>
                <c:pt idx="90">
                  <c:v>7.4312802263999094E-3</c:v>
                </c:pt>
                <c:pt idx="91">
                  <c:v>7.0197683333671724E-3</c:v>
                </c:pt>
                <c:pt idx="92">
                  <c:v>6.6116031838877772E-3</c:v>
                </c:pt>
                <c:pt idx="93">
                  <c:v>6.2164274727895853E-3</c:v>
                </c:pt>
                <c:pt idx="94">
                  <c:v>5.8374332906256403E-3</c:v>
                </c:pt>
                <c:pt idx="95">
                  <c:v>5.4746200947395941E-3</c:v>
                </c:pt>
                <c:pt idx="96">
                  <c:v>5.1279873462897708E-3</c:v>
                </c:pt>
                <c:pt idx="97">
                  <c:v>4.7975344585102896E-3</c:v>
                </c:pt>
                <c:pt idx="98">
                  <c:v>4.4832607449208665E-3</c:v>
                </c:pt>
                <c:pt idx="99">
                  <c:v>4.1908064340909403E-3</c:v>
                </c:pt>
                <c:pt idx="100">
                  <c:v>3.9136650273890357E-3</c:v>
                </c:pt>
                <c:pt idx="101">
                  <c:v>3.6518354303358238E-3</c:v>
                </c:pt>
                <c:pt idx="102">
                  <c:v>3.40531627126049E-3</c:v>
                </c:pt>
                <c:pt idx="103">
                  <c:v>3.1741058522622673E-3</c:v>
                </c:pt>
                <c:pt idx="104">
                  <c:v>2.9582021002548188E-3</c:v>
                </c:pt>
                <c:pt idx="105">
                  <c:v>2.7576025179334358E-3</c:v>
                </c:pt>
                <c:pt idx="106">
                  <c:v>2.5723041347837992E-3</c:v>
                </c:pt>
                <c:pt idx="107">
                  <c:v>2.4065334445628438E-3</c:v>
                </c:pt>
                <c:pt idx="108">
                  <c:v>2.2506615824952219E-3</c:v>
                </c:pt>
                <c:pt idx="109">
                  <c:v>2.1046867940549946E-3</c:v>
                </c:pt>
                <c:pt idx="110">
                  <c:v>1.9686125703208481E-3</c:v>
                </c:pt>
                <c:pt idx="111">
                  <c:v>1.8424407027507503E-3</c:v>
                </c:pt>
                <c:pt idx="112">
                  <c:v>1.7261665151927594E-3</c:v>
                </c:pt>
                <c:pt idx="113">
                  <c:v>1.6237918406891601E-3</c:v>
                </c:pt>
                <c:pt idx="114">
                  <c:v>1.5296822362272041E-3</c:v>
                </c:pt>
                <c:pt idx="115">
                  <c:v>1.4438334879808543E-3</c:v>
                </c:pt>
                <c:pt idx="116">
                  <c:v>1.3662412072589693E-3</c:v>
                </c:pt>
                <c:pt idx="117">
                  <c:v>1.2969008125187146E-3</c:v>
                </c:pt>
                <c:pt idx="118">
                  <c:v>1.2358075113631834E-3</c:v>
                </c:pt>
                <c:pt idx="119">
                  <c:v>1.1829562825436115E-3</c:v>
                </c:pt>
                <c:pt idx="120">
                  <c:v>1.1383418579597189E-3</c:v>
                </c:pt>
                <c:pt idx="121">
                  <c:v>1.1033702252551758E-3</c:v>
                </c:pt>
                <c:pt idx="122">
                  <c:v>1.0738184304724474E-3</c:v>
                </c:pt>
                <c:pt idx="123">
                  <c:v>1.0496825860679538E-3</c:v>
                </c:pt>
                <c:pt idx="124">
                  <c:v>1.0309586040884991E-3</c:v>
                </c:pt>
                <c:pt idx="125">
                  <c:v>1.0176421843278096E-3</c:v>
                </c:pt>
                <c:pt idx="126">
                  <c:v>1.0097288024682129E-3</c:v>
                </c:pt>
                <c:pt idx="127">
                  <c:v>1.0068478738521898E-3</c:v>
                </c:pt>
                <c:pt idx="128">
                  <c:v>1.0050034629852402E-3</c:v>
                </c:pt>
                <c:pt idx="129">
                  <c:v>1.0041944267406985E-3</c:v>
                </c:pt>
                <c:pt idx="130">
                  <c:v>1.0044195714449234E-3</c:v>
                </c:pt>
                <c:pt idx="131">
                  <c:v>1.0056776505774825E-3</c:v>
                </c:pt>
                <c:pt idx="132">
                  <c:v>1.0079673624810361E-3</c:v>
                </c:pt>
                <c:pt idx="133">
                  <c:v>1.0112873480774996E-3</c:v>
                </c:pt>
                <c:pt idx="134">
                  <c:v>1.015636188579044E-3</c:v>
                </c:pt>
                <c:pt idx="135">
                  <c:v>1.0223379881407484E-3</c:v>
                </c:pt>
                <c:pt idx="136">
                  <c:v>1.02998486876488E-3</c:v>
                </c:pt>
                <c:pt idx="137">
                  <c:v>1.0385752722264683E-3</c:v>
                </c:pt>
                <c:pt idx="138">
                  <c:v>1.0481075751483545E-3</c:v>
                </c:pt>
                <c:pt idx="139">
                  <c:v>1.058580086913047E-3</c:v>
                </c:pt>
                <c:pt idx="140">
                  <c:v>1.06999104751591E-3</c:v>
                </c:pt>
                <c:pt idx="141">
                  <c:v>1.0834101452217517E-3</c:v>
                </c:pt>
                <c:pt idx="142">
                  <c:v>1.099191787048392E-3</c:v>
                </c:pt>
                <c:pt idx="143">
                  <c:v>1.1173266992186455E-3</c:v>
                </c:pt>
                <c:pt idx="144">
                  <c:v>1.1378118383909746E-3</c:v>
                </c:pt>
                <c:pt idx="145">
                  <c:v>1.1606439811616804E-3</c:v>
                </c:pt>
                <c:pt idx="146">
                  <c:v>1.1858197561985344E-3</c:v>
                </c:pt>
                <c:pt idx="147">
                  <c:v>1.2133356764128999E-3</c:v>
                </c:pt>
                <c:pt idx="148">
                  <c:v>1.2431881711046887E-3</c:v>
                </c:pt>
                <c:pt idx="149">
                  <c:v>1.2737307916391701E-3</c:v>
                </c:pt>
                <c:pt idx="150">
                  <c:v>1.3036466288729905E-3</c:v>
                </c:pt>
                <c:pt idx="151">
                  <c:v>1.3329373918026274E-3</c:v>
                </c:pt>
                <c:pt idx="152">
                  <c:v>1.3616049900239202E-3</c:v>
                </c:pt>
                <c:pt idx="153">
                  <c:v>1.3896515259621436E-3</c:v>
                </c:pt>
                <c:pt idx="154">
                  <c:v>1.4170792871092039E-3</c:v>
                </c:pt>
                <c:pt idx="155">
                  <c:v>1.4427950031280471E-3</c:v>
                </c:pt>
                <c:pt idx="156">
                  <c:v>1.4657408258826447E-3</c:v>
                </c:pt>
                <c:pt idx="157">
                  <c:v>1.4859236589060505E-3</c:v>
                </c:pt>
                <c:pt idx="158">
                  <c:v>1.5033505690073836E-3</c:v>
                </c:pt>
                <c:pt idx="159">
                  <c:v>1.5180287492754291E-3</c:v>
                </c:pt>
                <c:pt idx="160">
                  <c:v>1.5299654821006358E-3</c:v>
                </c:pt>
                <c:pt idx="161">
                  <c:v>1.5391681021802051E-3</c:v>
                </c:pt>
                <c:pt idx="162">
                  <c:v>1.5456439595311925E-3</c:v>
                </c:pt>
                <c:pt idx="163">
                  <c:v>1.5495219095776546E-3</c:v>
                </c:pt>
                <c:pt idx="164">
                  <c:v>1.5524365951467207E-3</c:v>
                </c:pt>
                <c:pt idx="165">
                  <c:v>1.554392004089918E-3</c:v>
                </c:pt>
                <c:pt idx="166">
                  <c:v>1.5553920942025798E-3</c:v>
                </c:pt>
                <c:pt idx="167">
                  <c:v>1.5554407800205628E-3</c:v>
                </c:pt>
                <c:pt idx="168">
                  <c:v>1.5545419196666208E-3</c:v>
                </c:pt>
                <c:pt idx="169">
                  <c:v>1.5528203982518168E-3</c:v>
                </c:pt>
                <c:pt idx="170">
                  <c:v>1.5513654814116808E-3</c:v>
                </c:pt>
                <c:pt idx="171">
                  <c:v>1.5501788626528104E-3</c:v>
                </c:pt>
                <c:pt idx="172">
                  <c:v>1.5492622569125069E-3</c:v>
                </c:pt>
                <c:pt idx="173">
                  <c:v>1.5486015676717303E-3</c:v>
                </c:pt>
                <c:pt idx="174">
                  <c:v>1.5481819037912606E-3</c:v>
                </c:pt>
                <c:pt idx="175">
                  <c:v>1.548003806654711E-3</c:v>
                </c:pt>
                <c:pt idx="176">
                  <c:v>1.5480678192520084E-3</c:v>
                </c:pt>
                <c:pt idx="177">
                  <c:v>1.5472925946733583E-3</c:v>
                </c:pt>
                <c:pt idx="178">
                  <c:v>1.5455597711351112E-3</c:v>
                </c:pt>
                <c:pt idx="179">
                  <c:v>1.5428716947107123E-3</c:v>
                </c:pt>
                <c:pt idx="180">
                  <c:v>1.5392306927259651E-3</c:v>
                </c:pt>
                <c:pt idx="181">
                  <c:v>1.5346390681072576E-3</c:v>
                </c:pt>
                <c:pt idx="182">
                  <c:v>1.5290990937432782E-3</c:v>
                </c:pt>
                <c:pt idx="183">
                  <c:v>1.5210016148455967E-3</c:v>
                </c:pt>
                <c:pt idx="184">
                  <c:v>1.5102309516357329E-3</c:v>
                </c:pt>
                <c:pt idx="185">
                  <c:v>1.4967916730100866E-3</c:v>
                </c:pt>
                <c:pt idx="186">
                  <c:v>1.4806882208508417E-3</c:v>
                </c:pt>
                <c:pt idx="187">
                  <c:v>1.4619248941941236E-3</c:v>
                </c:pt>
                <c:pt idx="188">
                  <c:v>1.4405058334061248E-3</c:v>
                </c:pt>
                <c:pt idx="189">
                  <c:v>1.4164350043145786E-3</c:v>
                </c:pt>
                <c:pt idx="190">
                  <c:v>1.3897161824024298E-3</c:v>
                </c:pt>
                <c:pt idx="191">
                  <c:v>1.3613958429080839E-3</c:v>
                </c:pt>
                <c:pt idx="192">
                  <c:v>1.3325503912818132E-3</c:v>
                </c:pt>
                <c:pt idx="193">
                  <c:v>1.3031804158264001E-3</c:v>
                </c:pt>
                <c:pt idx="194">
                  <c:v>1.2732864002975644E-3</c:v>
                </c:pt>
                <c:pt idx="195">
                  <c:v>1.2428687206088198E-3</c:v>
                </c:pt>
                <c:pt idx="196">
                  <c:v>1.2119276414855316E-3</c:v>
                </c:pt>
                <c:pt idx="197">
                  <c:v>1.1817473991176154E-3</c:v>
                </c:pt>
                <c:pt idx="198">
                  <c:v>1.1539280430735454E-3</c:v>
                </c:pt>
                <c:pt idx="199">
                  <c:v>1.1284667283051235E-3</c:v>
                </c:pt>
                <c:pt idx="200">
                  <c:v>1.1053607502751158E-3</c:v>
                </c:pt>
                <c:pt idx="201">
                  <c:v>1.0846075587142439E-3</c:v>
                </c:pt>
                <c:pt idx="202">
                  <c:v>1.0662047713856132E-3</c:v>
                </c:pt>
                <c:pt idx="203">
                  <c:v>1.0501501878727969E-3</c:v>
                </c:pt>
                <c:pt idx="204">
                  <c:v>1.0364401296520118E-3</c:v>
                </c:pt>
                <c:pt idx="205">
                  <c:v>1.0247179713839861E-3</c:v>
                </c:pt>
                <c:pt idx="206">
                  <c:v>1.0139436373079503E-3</c:v>
                </c:pt>
                <c:pt idx="207">
                  <c:v>1.004115768080761E-3</c:v>
                </c:pt>
                <c:pt idx="208">
                  <c:v>9.952330930797686E-4</c:v>
                </c:pt>
                <c:pt idx="209">
                  <c:v>9.8729442751002445E-4</c:v>
                </c:pt>
                <c:pt idx="210">
                  <c:v>9.8029866954495084E-4</c:v>
                </c:pt>
                <c:pt idx="211">
                  <c:v>9.756015524963374E-4</c:v>
                </c:pt>
                <c:pt idx="212">
                  <c:v>9.719219997513294E-4</c:v>
                </c:pt>
                <c:pt idx="213">
                  <c:v>9.6925915962204983E-4</c:v>
                </c:pt>
                <c:pt idx="214">
                  <c:v>9.676122554894618E-4</c:v>
                </c:pt>
                <c:pt idx="215">
                  <c:v>9.6698058268738672E-4</c:v>
                </c:pt>
                <c:pt idx="216">
                  <c:v>9.6736350538295527E-4</c:v>
                </c:pt>
                <c:pt idx="217">
                  <c:v>9.6876045346075683E-4</c:v>
                </c:pt>
                <c:pt idx="218">
                  <c:v>9.711709194015803E-4</c:v>
                </c:pt>
                <c:pt idx="219">
                  <c:v>9.7843538619199455E-4</c:v>
                </c:pt>
                <c:pt idx="220">
                  <c:v>9.9090475837543181E-4</c:v>
                </c:pt>
                <c:pt idx="221">
                  <c:v>1.0085782436224759E-3</c:v>
                </c:pt>
                <c:pt idx="222">
                  <c:v>1.0314553223962368E-3</c:v>
                </c:pt>
                <c:pt idx="223">
                  <c:v>1.0595357318207818E-3</c:v>
                </c:pt>
                <c:pt idx="224">
                  <c:v>1.0928194495255529E-3</c:v>
                </c:pt>
                <c:pt idx="225">
                  <c:v>1.1353561568977996E-3</c:v>
                </c:pt>
                <c:pt idx="226">
                  <c:v>1.1857908316901728E-3</c:v>
                </c:pt>
                <c:pt idx="227">
                  <c:v>1.2441242070375734E-3</c:v>
                </c:pt>
                <c:pt idx="228">
                  <c:v>1.3103573029900036E-3</c:v>
                </c:pt>
                <c:pt idx="229">
                  <c:v>1.3844914019757824E-3</c:v>
                </c:pt>
                <c:pt idx="230">
                  <c:v>1.4665280242831442E-3</c:v>
                </c:pt>
                <c:pt idx="231">
                  <c:v>1.5564689035488279E-3</c:v>
                </c:pt>
                <c:pt idx="232">
                  <c:v>1.6543159622156365E-3</c:v>
                </c:pt>
                <c:pt idx="233">
                  <c:v>1.7654664444464467E-3</c:v>
                </c:pt>
                <c:pt idx="234">
                  <c:v>1.8860823158323343E-3</c:v>
                </c:pt>
                <c:pt idx="235">
                  <c:v>2.0161678762809568E-3</c:v>
                </c:pt>
                <c:pt idx="236">
                  <c:v>2.1557287037485087E-3</c:v>
                </c:pt>
                <c:pt idx="237">
                  <c:v>2.3047697089920898E-3</c:v>
                </c:pt>
                <c:pt idx="238">
                  <c:v>2.4632962902709768E-3</c:v>
                </c:pt>
                <c:pt idx="239">
                  <c:v>2.6405330727158676E-3</c:v>
                </c:pt>
                <c:pt idx="240">
                  <c:v>2.83243683750655E-3</c:v>
                </c:pt>
                <c:pt idx="241">
                  <c:v>3.0390162544901987E-3</c:v>
                </c:pt>
                <c:pt idx="242">
                  <c:v>3.2602807925144941E-3</c:v>
                </c:pt>
                <c:pt idx="243">
                  <c:v>3.4962407452464148E-3</c:v>
                </c:pt>
                <c:pt idx="244">
                  <c:v>3.7469072569814663E-3</c:v>
                </c:pt>
                <c:pt idx="245">
                  <c:v>4.0122923484165671E-3</c:v>
                </c:pt>
                <c:pt idx="246">
                  <c:v>4.2924089424058696E-3</c:v>
                </c:pt>
                <c:pt idx="247">
                  <c:v>4.5934998438065568E-3</c:v>
                </c:pt>
                <c:pt idx="248">
                  <c:v>4.9101796040476398E-3</c:v>
                </c:pt>
                <c:pt idx="249">
                  <c:v>5.2424645785090103E-3</c:v>
                </c:pt>
                <c:pt idx="250">
                  <c:v>5.5903721773512211E-3</c:v>
                </c:pt>
                <c:pt idx="251">
                  <c:v>5.9539208929018346E-3</c:v>
                </c:pt>
                <c:pt idx="252">
                  <c:v>6.3331303268285705E-3</c:v>
                </c:pt>
                <c:pt idx="253">
                  <c:v>6.724962610309906E-3</c:v>
                </c:pt>
                <c:pt idx="254">
                  <c:v>7.1201986315208117E-3</c:v>
                </c:pt>
                <c:pt idx="255">
                  <c:v>7.5188532743021485E-3</c:v>
                </c:pt>
                <c:pt idx="256">
                  <c:v>7.9209418909004323E-3</c:v>
                </c:pt>
                <c:pt idx="257">
                  <c:v>8.3264803074999776E-3</c:v>
                </c:pt>
                <c:pt idx="258">
                  <c:v>8.7354848298185576E-3</c:v>
                </c:pt>
                <c:pt idx="259">
                  <c:v>9.1479722488317823E-3</c:v>
                </c:pt>
                <c:pt idx="260">
                  <c:v>9.5639598462423543E-3</c:v>
                </c:pt>
                <c:pt idx="261">
                  <c:v>9.9707693833490617E-3</c:v>
                </c:pt>
                <c:pt idx="262">
                  <c:v>1.0362158244280956E-2</c:v>
                </c:pt>
                <c:pt idx="263">
                  <c:v>1.0738127422453968E-2</c:v>
                </c:pt>
                <c:pt idx="264">
                  <c:v>1.1098677638619723E-2</c:v>
                </c:pt>
                <c:pt idx="265">
                  <c:v>1.1443870168534117E-2</c:v>
                </c:pt>
                <c:pt idx="266">
                  <c:v>1.1773741584195091E-2</c:v>
                </c:pt>
                <c:pt idx="267">
                  <c:v>1.2074190380756709E-2</c:v>
                </c:pt>
                <c:pt idx="268">
                  <c:v>1.2348258309178389E-2</c:v>
                </c:pt>
                <c:pt idx="269">
                  <c:v>1.2595914533074244E-2</c:v>
                </c:pt>
                <c:pt idx="270">
                  <c:v>1.2817124389773987E-2</c:v>
                </c:pt>
                <c:pt idx="271">
                  <c:v>1.3011849685469966E-2</c:v>
                </c:pt>
                <c:pt idx="272">
                  <c:v>1.3180048990701366E-2</c:v>
                </c:pt>
                <c:pt idx="273">
                  <c:v>1.3321677935677977E-2</c:v>
                </c:pt>
                <c:pt idx="274">
                  <c:v>1.3436689505775319E-2</c:v>
                </c:pt>
                <c:pt idx="275">
                  <c:v>1.3538948164018107E-2</c:v>
                </c:pt>
                <c:pt idx="276">
                  <c:v>1.3641195388695116E-2</c:v>
                </c:pt>
                <c:pt idx="277">
                  <c:v>1.3743418360209309E-2</c:v>
                </c:pt>
                <c:pt idx="278">
                  <c:v>1.3845603829133531E-2</c:v>
                </c:pt>
                <c:pt idx="279">
                  <c:v>1.3947738118655304E-2</c:v>
                </c:pt>
                <c:pt idx="280">
                  <c:v>1.4049807127151839E-2</c:v>
                </c:pt>
                <c:pt idx="281">
                  <c:v>1.4195007555153769E-2</c:v>
                </c:pt>
                <c:pt idx="282">
                  <c:v>1.4397583457274904E-2</c:v>
                </c:pt>
                <c:pt idx="283">
                  <c:v>1.4657609706046145E-2</c:v>
                </c:pt>
                <c:pt idx="284">
                  <c:v>1.4975160655812003E-2</c:v>
                </c:pt>
                <c:pt idx="285">
                  <c:v>1.5350309516971281E-2</c:v>
                </c:pt>
                <c:pt idx="286">
                  <c:v>1.5783127730360263E-2</c:v>
                </c:pt>
                <c:pt idx="287">
                  <c:v>1.6273684341490756E-2</c:v>
                </c:pt>
                <c:pt idx="288">
                  <c:v>1.6822045374843369E-2</c:v>
                </c:pt>
                <c:pt idx="289">
                  <c:v>1.7440015170018777E-2</c:v>
                </c:pt>
                <c:pt idx="290">
                  <c:v>1.8113648252156618E-2</c:v>
                </c:pt>
                <c:pt idx="291">
                  <c:v>1.8842994212226363E-2</c:v>
                </c:pt>
                <c:pt idx="292">
                  <c:v>1.9628097181578447E-2</c:v>
                </c:pt>
                <c:pt idx="293">
                  <c:v>2.0468995231065053E-2</c:v>
                </c:pt>
                <c:pt idx="294">
                  <c:v>2.1365719770095444E-2</c:v>
                </c:pt>
                <c:pt idx="295">
                  <c:v>2.2260808236894764E-2</c:v>
                </c:pt>
                <c:pt idx="296">
                  <c:v>2.3110947571305045E-2</c:v>
                </c:pt>
                <c:pt idx="297">
                  <c:v>2.3916250148285686E-2</c:v>
                </c:pt>
                <c:pt idx="298">
                  <c:v>2.4676646658348303E-2</c:v>
                </c:pt>
                <c:pt idx="299">
                  <c:v>2.5392063337991808E-2</c:v>
                </c:pt>
                <c:pt idx="300">
                  <c:v>2.606242239219931E-2</c:v>
                </c:pt>
                <c:pt idx="301">
                  <c:v>2.6687642416861036E-2</c:v>
                </c:pt>
                <c:pt idx="302">
                  <c:v>2.7267638821253729E-2</c:v>
                </c:pt>
                <c:pt idx="303">
                  <c:v>2.7736251378930196E-2</c:v>
                </c:pt>
                <c:pt idx="304">
                  <c:v>2.8081470635867356E-2</c:v>
                </c:pt>
                <c:pt idx="305">
                  <c:v>2.8303093861914944E-2</c:v>
                </c:pt>
                <c:pt idx="306">
                  <c:v>2.8400917793995721E-2</c:v>
                </c:pt>
                <c:pt idx="307">
                  <c:v>2.837473977576525E-2</c:v>
                </c:pt>
                <c:pt idx="308">
                  <c:v>2.8224358897031961E-2</c:v>
                </c:pt>
                <c:pt idx="309">
                  <c:v>2.7937689045102816E-2</c:v>
                </c:pt>
                <c:pt idx="310">
                  <c:v>2.7572413759187439E-2</c:v>
                </c:pt>
                <c:pt idx="311">
                  <c:v>2.7128406729209034E-2</c:v>
                </c:pt>
                <c:pt idx="312">
                  <c:v>2.6605546049565134E-2</c:v>
                </c:pt>
                <c:pt idx="313">
                  <c:v>2.6003714936714099E-2</c:v>
                </c:pt>
                <c:pt idx="314">
                  <c:v>2.532280244651592E-2</c:v>
                </c:pt>
                <c:pt idx="315">
                  <c:v>2.4562704191902256E-2</c:v>
                </c:pt>
                <c:pt idx="316">
                  <c:v>2.3723323060145005E-2</c:v>
                </c:pt>
                <c:pt idx="317">
                  <c:v>2.2823706762040784E-2</c:v>
                </c:pt>
                <c:pt idx="318">
                  <c:v>2.1930310092704356E-2</c:v>
                </c:pt>
                <c:pt idx="319">
                  <c:v>2.1043155915840779E-2</c:v>
                </c:pt>
                <c:pt idx="320">
                  <c:v>2.0162269801514081E-2</c:v>
                </c:pt>
                <c:pt idx="321">
                  <c:v>1.9287679960264318E-2</c:v>
                </c:pt>
                <c:pt idx="322">
                  <c:v>1.841941717728808E-2</c:v>
                </c:pt>
                <c:pt idx="323">
                  <c:v>1.7575299907865351E-2</c:v>
                </c:pt>
                <c:pt idx="324">
                  <c:v>1.6767336307794881E-2</c:v>
                </c:pt>
                <c:pt idx="325">
                  <c:v>1.5995586461582476E-2</c:v>
                </c:pt>
                <c:pt idx="326">
                  <c:v>1.5260014428780635E-2</c:v>
                </c:pt>
                <c:pt idx="327">
                  <c:v>1.4560660598486423E-2</c:v>
                </c:pt>
                <c:pt idx="328">
                  <c:v>1.389763891437398E-2</c:v>
                </c:pt>
                <c:pt idx="329">
                  <c:v>1.3271051615568097E-2</c:v>
                </c:pt>
                <c:pt idx="330">
                  <c:v>1.268099000660485E-2</c:v>
                </c:pt>
                <c:pt idx="331">
                  <c:v>1.21414373697309E-2</c:v>
                </c:pt>
                <c:pt idx="332">
                  <c:v>1.1633260318572211E-2</c:v>
                </c:pt>
                <c:pt idx="333">
                  <c:v>1.1156519987948053E-2</c:v>
                </c:pt>
                <c:pt idx="334">
                  <c:v>1.0711270237924096E-2</c:v>
                </c:pt>
                <c:pt idx="335">
                  <c:v>1.0297558313629057E-2</c:v>
                </c:pt>
                <c:pt idx="336">
                  <c:v>9.9154255049191831E-3</c:v>
                </c:pt>
                <c:pt idx="337">
                  <c:v>9.5745978894578518E-3</c:v>
                </c:pt>
                <c:pt idx="338">
                  <c:v>9.2572866118269103E-3</c:v>
                </c:pt>
                <c:pt idx="339">
                  <c:v>8.9635183247478174E-3</c:v>
                </c:pt>
                <c:pt idx="340">
                  <c:v>8.693316547156894E-3</c:v>
                </c:pt>
                <c:pt idx="341">
                  <c:v>8.4467021549046815E-3</c:v>
                </c:pt>
                <c:pt idx="342">
                  <c:v>8.2236938714424345E-3</c:v>
                </c:pt>
                <c:pt idx="343">
                  <c:v>8.0243087584083179E-3</c:v>
                </c:pt>
                <c:pt idx="344">
                  <c:v>7.8485627063477215E-3</c:v>
                </c:pt>
                <c:pt idx="345">
                  <c:v>7.6964709253443953E-3</c:v>
                </c:pt>
                <c:pt idx="346">
                  <c:v>7.5604226996432034E-3</c:v>
                </c:pt>
                <c:pt idx="347">
                  <c:v>7.4404318309917571E-3</c:v>
                </c:pt>
                <c:pt idx="348">
                  <c:v>7.3365122474936557E-3</c:v>
                </c:pt>
                <c:pt idx="349">
                  <c:v>7.2486783356910346E-3</c:v>
                </c:pt>
                <c:pt idx="350">
                  <c:v>7.1769452728197769E-3</c:v>
                </c:pt>
                <c:pt idx="351">
                  <c:v>7.1276181490877444E-3</c:v>
                </c:pt>
                <c:pt idx="352">
                  <c:v>7.0910184949476186E-3</c:v>
                </c:pt>
                <c:pt idx="353">
                  <c:v>7.067164433138054E-3</c:v>
                </c:pt>
                <c:pt idx="354">
                  <c:v>7.0560757058348118E-3</c:v>
                </c:pt>
                <c:pt idx="355">
                  <c:v>7.0577739356166326E-3</c:v>
                </c:pt>
                <c:pt idx="356">
                  <c:v>7.0722877741461699E-3</c:v>
                </c:pt>
                <c:pt idx="357">
                  <c:v>7.0996276249264785E-3</c:v>
                </c:pt>
                <c:pt idx="358">
                  <c:v>7.139789078262725E-3</c:v>
                </c:pt>
                <c:pt idx="359">
                  <c:v>7.1927695996948171E-3</c:v>
                </c:pt>
                <c:pt idx="360">
                  <c:v>7.2682896724605055E-3</c:v>
                </c:pt>
                <c:pt idx="361">
                  <c:v>7.360054582894464E-3</c:v>
                </c:pt>
                <c:pt idx="362">
                  <c:v>7.4680703749668391E-3</c:v>
                </c:pt>
                <c:pt idx="363">
                  <c:v>7.5923439110833733E-3</c:v>
                </c:pt>
                <c:pt idx="364">
                  <c:v>7.7328824620901161E-3</c:v>
                </c:pt>
                <c:pt idx="365">
                  <c:v>7.8896932971931101E-3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1.0432815165375454E-2</c:v>
                </c:pt>
                <c:pt idx="1">
                  <c:v>1.0636995548990115E-2</c:v>
                </c:pt>
                <c:pt idx="2">
                  <c:v>1.0869068967426902E-2</c:v>
                </c:pt>
                <c:pt idx="3">
                  <c:v>1.1129050724839896E-2</c:v>
                </c:pt>
                <c:pt idx="4">
                  <c:v>1.1416954240618043E-2</c:v>
                </c:pt>
                <c:pt idx="5">
                  <c:v>1.1732790344228687E-2</c:v>
                </c:pt>
                <c:pt idx="6">
                  <c:v>1.207656657021044E-2</c:v>
                </c:pt>
                <c:pt idx="7">
                  <c:v>1.2448286452908049E-2</c:v>
                </c:pt>
                <c:pt idx="8">
                  <c:v>1.2847948821361397E-2</c:v>
                </c:pt>
                <c:pt idx="9">
                  <c:v>1.3295126862942213E-2</c:v>
                </c:pt>
                <c:pt idx="10">
                  <c:v>1.377767914212104E-2</c:v>
                </c:pt>
                <c:pt idx="11">
                  <c:v>1.4295594408077032E-2</c:v>
                </c:pt>
                <c:pt idx="12">
                  <c:v>1.4848852818186545E-2</c:v>
                </c:pt>
                <c:pt idx="13">
                  <c:v>1.543742504397538E-2</c:v>
                </c:pt>
                <c:pt idx="14">
                  <c:v>1.6061271376803077E-2</c:v>
                </c:pt>
                <c:pt idx="15">
                  <c:v>1.6748024791709629E-2</c:v>
                </c:pt>
                <c:pt idx="16">
                  <c:v>1.7482023970416163E-2</c:v>
                </c:pt>
                <c:pt idx="17">
                  <c:v>1.826319944573445E-2</c:v>
                </c:pt>
                <c:pt idx="18">
                  <c:v>1.9091465006596108E-2</c:v>
                </c:pt>
                <c:pt idx="19">
                  <c:v>1.9966827870373356E-2</c:v>
                </c:pt>
                <c:pt idx="20">
                  <c:v>2.0889349324016988E-2</c:v>
                </c:pt>
                <c:pt idx="21">
                  <c:v>2.1859008896321589E-2</c:v>
                </c:pt>
                <c:pt idx="22">
                  <c:v>2.2875783808724404E-2</c:v>
                </c:pt>
                <c:pt idx="23">
                  <c:v>2.3936658139569768E-2</c:v>
                </c:pt>
                <c:pt idx="24">
                  <c:v>2.5021950089650864E-2</c:v>
                </c:pt>
                <c:pt idx="25">
                  <c:v>2.6131629852661889E-2</c:v>
                </c:pt>
                <c:pt idx="26">
                  <c:v>2.7265670177558401E-2</c:v>
                </c:pt>
                <c:pt idx="27">
                  <c:v>2.8424046677556564E-2</c:v>
                </c:pt>
                <c:pt idx="28">
                  <c:v>2.9606738139700398E-2</c:v>
                </c:pt>
                <c:pt idx="29">
                  <c:v>3.074768225764055E-2</c:v>
                </c:pt>
                <c:pt idx="30">
                  <c:v>3.1819139751348133E-2</c:v>
                </c:pt>
                <c:pt idx="31">
                  <c:v>3.2821113202841423E-2</c:v>
                </c:pt>
                <c:pt idx="32">
                  <c:v>3.3753615439241658E-2</c:v>
                </c:pt>
                <c:pt idx="33">
                  <c:v>3.4616668669657631E-2</c:v>
                </c:pt>
                <c:pt idx="34">
                  <c:v>3.5410303622221535E-2</c:v>
                </c:pt>
                <c:pt idx="35">
                  <c:v>3.6134558681108681E-2</c:v>
                </c:pt>
                <c:pt idx="36">
                  <c:v>3.6789479023488024E-2</c:v>
                </c:pt>
                <c:pt idx="37">
                  <c:v>3.7294651795035341E-2</c:v>
                </c:pt>
                <c:pt idx="38">
                  <c:v>3.7653144291797072E-2</c:v>
                </c:pt>
                <c:pt idx="39">
                  <c:v>3.7865037931369812E-2</c:v>
                </c:pt>
                <c:pt idx="40">
                  <c:v>3.7930417513742903E-2</c:v>
                </c:pt>
                <c:pt idx="41">
                  <c:v>3.7849369389524615E-2</c:v>
                </c:pt>
                <c:pt idx="42">
                  <c:v>3.7621979627907504E-2</c:v>
                </c:pt>
                <c:pt idx="43">
                  <c:v>3.7229362454433396E-2</c:v>
                </c:pt>
                <c:pt idx="44">
                  <c:v>3.6737576836423695E-2</c:v>
                </c:pt>
                <c:pt idx="45">
                  <c:v>3.6146686092820166E-2</c:v>
                </c:pt>
                <c:pt idx="46">
                  <c:v>3.5456747685997485E-2</c:v>
                </c:pt>
                <c:pt idx="47">
                  <c:v>3.4667811978291954E-2</c:v>
                </c:pt>
                <c:pt idx="48">
                  <c:v>3.3779920988054893E-2</c:v>
                </c:pt>
                <c:pt idx="49">
                  <c:v>3.2793107146031217E-2</c:v>
                </c:pt>
                <c:pt idx="50">
                  <c:v>3.1707392051525222E-2</c:v>
                </c:pt>
                <c:pt idx="51">
                  <c:v>3.0578311683084527E-2</c:v>
                </c:pt>
                <c:pt idx="52">
                  <c:v>2.9486086917378813E-2</c:v>
                </c:pt>
                <c:pt idx="53">
                  <c:v>2.8430537305529992E-2</c:v>
                </c:pt>
                <c:pt idx="54">
                  <c:v>2.7411641851590042E-2</c:v>
                </c:pt>
                <c:pt idx="55">
                  <c:v>2.6429381724578455E-2</c:v>
                </c:pt>
                <c:pt idx="56">
                  <c:v>2.5483740123198248E-2</c:v>
                </c:pt>
                <c:pt idx="57">
                  <c:v>2.4613763224461047E-2</c:v>
                </c:pt>
                <c:pt idx="58">
                  <c:v>2.383840005604361E-2</c:v>
                </c:pt>
                <c:pt idx="59">
                  <c:v>2.3157640314557429E-2</c:v>
                </c:pt>
                <c:pt idx="60">
                  <c:v>2.2571475354655212E-2</c:v>
                </c:pt>
                <c:pt idx="61">
                  <c:v>2.2079897839102931E-2</c:v>
                </c:pt>
                <c:pt idx="62">
                  <c:v>2.1682901388818527E-2</c:v>
                </c:pt>
                <c:pt idx="63">
                  <c:v>2.1380480232977363E-2</c:v>
                </c:pt>
                <c:pt idx="64">
                  <c:v>2.1172628859029794E-2</c:v>
                </c:pt>
                <c:pt idx="65">
                  <c:v>2.1045885538461692E-2</c:v>
                </c:pt>
                <c:pt idx="66">
                  <c:v>2.0944715254724702E-2</c:v>
                </c:pt>
                <c:pt idx="67">
                  <c:v>2.0869111003247429E-2</c:v>
                </c:pt>
                <c:pt idx="68">
                  <c:v>2.0819065612777059E-2</c:v>
                </c:pt>
                <c:pt idx="69">
                  <c:v>2.0794571650581236E-2</c:v>
                </c:pt>
                <c:pt idx="70">
                  <c:v>2.0795621327747912E-2</c:v>
                </c:pt>
                <c:pt idx="71">
                  <c:v>2.0799997652105395E-2</c:v>
                </c:pt>
                <c:pt idx="72">
                  <c:v>2.0768630965326475E-2</c:v>
                </c:pt>
                <c:pt idx="73">
                  <c:v>2.0701515464663464E-2</c:v>
                </c:pt>
                <c:pt idx="74">
                  <c:v>2.0598646309187788E-2</c:v>
                </c:pt>
                <c:pt idx="75">
                  <c:v>2.0460019751762246E-2</c:v>
                </c:pt>
                <c:pt idx="76">
                  <c:v>2.0285633270949135E-2</c:v>
                </c:pt>
                <c:pt idx="77">
                  <c:v>2.0075485702985136E-2</c:v>
                </c:pt>
                <c:pt idx="78">
                  <c:v>1.9829578032050391E-2</c:v>
                </c:pt>
                <c:pt idx="79">
                  <c:v>1.95315274252949E-2</c:v>
                </c:pt>
                <c:pt idx="80">
                  <c:v>1.9194840641209729E-2</c:v>
                </c:pt>
                <c:pt idx="81">
                  <c:v>1.8819517155430333E-2</c:v>
                </c:pt>
                <c:pt idx="82">
                  <c:v>1.8405556985555693E-2</c:v>
                </c:pt>
                <c:pt idx="83">
                  <c:v>1.7952960814990274E-2</c:v>
                </c:pt>
                <c:pt idx="84">
                  <c:v>1.7461730116846531E-2</c:v>
                </c:pt>
                <c:pt idx="85">
                  <c:v>1.6931776952685714E-2</c:v>
                </c:pt>
                <c:pt idx="86">
                  <c:v>1.6385300335974462E-2</c:v>
                </c:pt>
                <c:pt idx="87">
                  <c:v>1.5822301115377989E-2</c:v>
                </c:pt>
                <c:pt idx="88">
                  <c:v>1.5242781077549054E-2</c:v>
                </c:pt>
                <c:pt idx="89">
                  <c:v>1.4646743000157817E-2</c:v>
                </c:pt>
                <c:pt idx="90">
                  <c:v>1.4034190704890648E-2</c:v>
                </c:pt>
                <c:pt idx="91">
                  <c:v>1.3405129110505882E-2</c:v>
                </c:pt>
                <c:pt idx="92">
                  <c:v>1.2759564285847222E-2</c:v>
                </c:pt>
                <c:pt idx="93">
                  <c:v>1.2111693685039178E-2</c:v>
                </c:pt>
                <c:pt idx="94">
                  <c:v>1.147796925543206E-2</c:v>
                </c:pt>
                <c:pt idx="95">
                  <c:v>1.0858392693930553E-2</c:v>
                </c:pt>
                <c:pt idx="96">
                  <c:v>1.0252966088402815E-2</c:v>
                </c:pt>
                <c:pt idx="97">
                  <c:v>9.6616918725413656E-3</c:v>
                </c:pt>
                <c:pt idx="98">
                  <c:v>9.084572780622897E-3</c:v>
                </c:pt>
                <c:pt idx="99">
                  <c:v>8.5339374936024403E-3</c:v>
                </c:pt>
                <c:pt idx="100">
                  <c:v>8.0098751572672908E-3</c:v>
                </c:pt>
                <c:pt idx="101">
                  <c:v>7.5123843301981869E-3</c:v>
                </c:pt>
                <c:pt idx="102">
                  <c:v>7.041463145182919E-3</c:v>
                </c:pt>
                <c:pt idx="103">
                  <c:v>6.5971092241115074E-3</c:v>
                </c:pt>
                <c:pt idx="104">
                  <c:v>6.1793195930422221E-3</c:v>
                </c:pt>
                <c:pt idx="105">
                  <c:v>5.7880905971085285E-3</c:v>
                </c:pt>
                <c:pt idx="106">
                  <c:v>5.423417815511822E-3</c:v>
                </c:pt>
                <c:pt idx="107">
                  <c:v>5.0929931131868658E-3</c:v>
                </c:pt>
                <c:pt idx="108">
                  <c:v>4.7826426190683618E-3</c:v>
                </c:pt>
                <c:pt idx="109">
                  <c:v>4.4923625438887489E-3</c:v>
                </c:pt>
                <c:pt idx="110">
                  <c:v>4.2221603833500565E-3</c:v>
                </c:pt>
                <c:pt idx="111">
                  <c:v>3.9720402609411919E-3</c:v>
                </c:pt>
                <c:pt idx="112">
                  <c:v>3.7419925646692029E-3</c:v>
                </c:pt>
                <c:pt idx="113">
                  <c:v>3.538603080614329E-3</c:v>
                </c:pt>
                <c:pt idx="114">
                  <c:v>3.3495626226153702E-3</c:v>
                </c:pt>
                <c:pt idx="115">
                  <c:v>3.1748641092061462E-3</c:v>
                </c:pt>
                <c:pt idx="116">
                  <c:v>3.0145001778676601E-3</c:v>
                </c:pt>
                <c:pt idx="117">
                  <c:v>2.8684631538224564E-3</c:v>
                </c:pt>
                <c:pt idx="118">
                  <c:v>2.7367450187944626E-3</c:v>
                </c:pt>
                <c:pt idx="119">
                  <c:v>2.6193373797788358E-3</c:v>
                </c:pt>
                <c:pt idx="120">
                  <c:v>2.5162314378077057E-3</c:v>
                </c:pt>
                <c:pt idx="121">
                  <c:v>2.429800417894382E-3</c:v>
                </c:pt>
                <c:pt idx="122">
                  <c:v>2.3523610042218332E-3</c:v>
                </c:pt>
                <c:pt idx="123">
                  <c:v>2.2839072023356343E-3</c:v>
                </c:pt>
                <c:pt idx="124">
                  <c:v>2.2244327105025059E-3</c:v>
                </c:pt>
                <c:pt idx="125">
                  <c:v>2.1739309000896124E-3</c:v>
                </c:pt>
                <c:pt idx="126">
                  <c:v>2.1323947959114198E-3</c:v>
                </c:pt>
                <c:pt idx="127">
                  <c:v>2.0994995002243276E-3</c:v>
                </c:pt>
                <c:pt idx="128">
                  <c:v>2.0686672107470367E-3</c:v>
                </c:pt>
                <c:pt idx="129">
                  <c:v>2.0398963088991313E-3</c:v>
                </c:pt>
                <c:pt idx="130">
                  <c:v>2.0131851000951611E-3</c:v>
                </c:pt>
                <c:pt idx="131">
                  <c:v>1.9885318092006466E-3</c:v>
                </c:pt>
                <c:pt idx="132">
                  <c:v>1.9659345760087029E-3</c:v>
                </c:pt>
                <c:pt idx="133">
                  <c:v>1.9453914507288786E-3</c:v>
                </c:pt>
                <c:pt idx="134">
                  <c:v>1.9269003894653311E-3</c:v>
                </c:pt>
                <c:pt idx="135">
                  <c:v>1.9130525632737208E-3</c:v>
                </c:pt>
                <c:pt idx="136">
                  <c:v>1.9014716162580071E-3</c:v>
                </c:pt>
                <c:pt idx="137">
                  <c:v>1.892154858740389E-3</c:v>
                </c:pt>
                <c:pt idx="138">
                  <c:v>1.8850994729796894E-3</c:v>
                </c:pt>
                <c:pt idx="139">
                  <c:v>1.8803025082089553E-3</c:v>
                </c:pt>
                <c:pt idx="140">
                  <c:v>1.877760875566704E-3</c:v>
                </c:pt>
                <c:pt idx="141">
                  <c:v>1.8791190637450148E-3</c:v>
                </c:pt>
                <c:pt idx="142">
                  <c:v>1.8846769138536666E-3</c:v>
                </c:pt>
                <c:pt idx="143">
                  <c:v>1.8944195223208901E-3</c:v>
                </c:pt>
                <c:pt idx="144">
                  <c:v>1.9083427963096763E-3</c:v>
                </c:pt>
                <c:pt idx="145">
                  <c:v>1.9264422041849081E-3</c:v>
                </c:pt>
                <c:pt idx="146">
                  <c:v>1.9487128323588839E-3</c:v>
                </c:pt>
                <c:pt idx="147">
                  <c:v>1.975149442201383E-3</c:v>
                </c:pt>
                <c:pt idx="148">
                  <c:v>2.0057465269040569E-3</c:v>
                </c:pt>
                <c:pt idx="149">
                  <c:v>2.038772653290733E-3</c:v>
                </c:pt>
                <c:pt idx="150">
                  <c:v>2.0716501219518865E-3</c:v>
                </c:pt>
                <c:pt idx="151">
                  <c:v>2.1043807001096884E-3</c:v>
                </c:pt>
                <c:pt idx="152">
                  <c:v>2.1369663440600727E-3</c:v>
                </c:pt>
                <c:pt idx="153">
                  <c:v>2.1694091980208889E-3</c:v>
                </c:pt>
                <c:pt idx="154">
                  <c:v>2.2017115929913842E-3</c:v>
                </c:pt>
                <c:pt idx="155">
                  <c:v>2.2329694651387522E-3</c:v>
                </c:pt>
                <c:pt idx="156">
                  <c:v>2.261553295495944E-3</c:v>
                </c:pt>
                <c:pt idx="157">
                  <c:v>2.2874708009412458E-3</c:v>
                </c:pt>
                <c:pt idx="158">
                  <c:v>2.3107298935478434E-3</c:v>
                </c:pt>
                <c:pt idx="159">
                  <c:v>2.3313386450255534E-3</c:v>
                </c:pt>
                <c:pt idx="160">
                  <c:v>2.3493052511908657E-3</c:v>
                </c:pt>
                <c:pt idx="161">
                  <c:v>2.3646379964109799E-3</c:v>
                </c:pt>
                <c:pt idx="162">
                  <c:v>2.3773452180601683E-3</c:v>
                </c:pt>
                <c:pt idx="163">
                  <c:v>2.3870247670144881E-3</c:v>
                </c:pt>
                <c:pt idx="164">
                  <c:v>2.3953954562117943E-3</c:v>
                </c:pt>
                <c:pt idx="165">
                  <c:v>2.4024631890321277E-3</c:v>
                </c:pt>
                <c:pt idx="166">
                  <c:v>2.4082338531726611E-3</c:v>
                </c:pt>
                <c:pt idx="167">
                  <c:v>2.4127133027532967E-3</c:v>
                </c:pt>
                <c:pt idx="168">
                  <c:v>2.4159073404990089E-3</c:v>
                </c:pt>
                <c:pt idx="169">
                  <c:v>2.4174126500170348E-3</c:v>
                </c:pt>
                <c:pt idx="170">
                  <c:v>2.4181338754439524E-3</c:v>
                </c:pt>
                <c:pt idx="171">
                  <c:v>2.4180757580766145E-3</c:v>
                </c:pt>
                <c:pt idx="172">
                  <c:v>2.417242966839454E-3</c:v>
                </c:pt>
                <c:pt idx="173">
                  <c:v>2.4156153847294001E-3</c:v>
                </c:pt>
                <c:pt idx="174">
                  <c:v>2.4131715909395685E-3</c:v>
                </c:pt>
                <c:pt idx="175">
                  <c:v>2.4099142365044878E-3</c:v>
                </c:pt>
                <c:pt idx="176">
                  <c:v>2.4058459671021798E-3</c:v>
                </c:pt>
                <c:pt idx="177">
                  <c:v>2.4000742904340742E-3</c:v>
                </c:pt>
                <c:pt idx="178">
                  <c:v>2.393010339208133E-3</c:v>
                </c:pt>
                <c:pt idx="179">
                  <c:v>2.3846574365983921E-3</c:v>
                </c:pt>
                <c:pt idx="180">
                  <c:v>2.3750188696557012E-3</c:v>
                </c:pt>
                <c:pt idx="181">
                  <c:v>2.3640978816482318E-3</c:v>
                </c:pt>
                <c:pt idx="182">
                  <c:v>2.3518976644228643E-3</c:v>
                </c:pt>
                <c:pt idx="183">
                  <c:v>2.3367286561953881E-3</c:v>
                </c:pt>
                <c:pt idx="184">
                  <c:v>2.3190023217500486E-3</c:v>
                </c:pt>
                <c:pt idx="185">
                  <c:v>2.2987234415069242E-3</c:v>
                </c:pt>
                <c:pt idx="186">
                  <c:v>2.2758966574265532E-3</c:v>
                </c:pt>
                <c:pt idx="187">
                  <c:v>2.2505264577994139E-3</c:v>
                </c:pt>
                <c:pt idx="188">
                  <c:v>2.2226171620477117E-3</c:v>
                </c:pt>
                <c:pt idx="189">
                  <c:v>2.1921729054584409E-3</c:v>
                </c:pt>
                <c:pt idx="190">
                  <c:v>2.1591976240122445E-3</c:v>
                </c:pt>
                <c:pt idx="191">
                  <c:v>2.1252987591312542E-3</c:v>
                </c:pt>
                <c:pt idx="192">
                  <c:v>2.0913667023820838E-3</c:v>
                </c:pt>
                <c:pt idx="193">
                  <c:v>2.0574017449666304E-3</c:v>
                </c:pt>
                <c:pt idx="194">
                  <c:v>2.0234040943568608E-3</c:v>
                </c:pt>
                <c:pt idx="195">
                  <c:v>1.9893738738519309E-3</c:v>
                </c:pt>
                <c:pt idx="196">
                  <c:v>1.9553111220553363E-3</c:v>
                </c:pt>
                <c:pt idx="197">
                  <c:v>1.9237279192932809E-3</c:v>
                </c:pt>
                <c:pt idx="198">
                  <c:v>1.8963036948928277E-3</c:v>
                </c:pt>
                <c:pt idx="199">
                  <c:v>1.8730342522860341E-3</c:v>
                </c:pt>
                <c:pt idx="200">
                  <c:v>1.853915694965851E-3</c:v>
                </c:pt>
                <c:pt idx="201">
                  <c:v>1.8389444508234991E-3</c:v>
                </c:pt>
                <c:pt idx="202">
                  <c:v>1.8281172964974353E-3</c:v>
                </c:pt>
                <c:pt idx="203">
                  <c:v>1.821431381762884E-3</c:v>
                </c:pt>
                <c:pt idx="204">
                  <c:v>1.8188813166671769E-3</c:v>
                </c:pt>
                <c:pt idx="205">
                  <c:v>1.8201549373735477E-3</c:v>
                </c:pt>
                <c:pt idx="206">
                  <c:v>1.8236530883290103E-3</c:v>
                </c:pt>
                <c:pt idx="207">
                  <c:v>1.8293739318853666E-3</c:v>
                </c:pt>
                <c:pt idx="208">
                  <c:v>1.8373158047662863E-3</c:v>
                </c:pt>
                <c:pt idx="209">
                  <c:v>1.8474772112193917E-3</c:v>
                </c:pt>
                <c:pt idx="210">
                  <c:v>1.8598568162299209E-3</c:v>
                </c:pt>
                <c:pt idx="211">
                  <c:v>1.8767434628270947E-3</c:v>
                </c:pt>
                <c:pt idx="212">
                  <c:v>1.8956318781905091E-3</c:v>
                </c:pt>
                <c:pt idx="213">
                  <c:v>1.9165213318211606E-3</c:v>
                </c:pt>
                <c:pt idx="214">
                  <c:v>1.9394112090215011E-3</c:v>
                </c:pt>
                <c:pt idx="215">
                  <c:v>1.9643010047400693E-3</c:v>
                </c:pt>
                <c:pt idx="216">
                  <c:v>1.9911903174093084E-3</c:v>
                </c:pt>
                <c:pt idx="217">
                  <c:v>2.0200788427910408E-3</c:v>
                </c:pt>
                <c:pt idx="218">
                  <c:v>2.0509663678110568E-3</c:v>
                </c:pt>
                <c:pt idx="219">
                  <c:v>2.0901756555904635E-3</c:v>
                </c:pt>
                <c:pt idx="220">
                  <c:v>2.1380111177904098E-3</c:v>
                </c:pt>
                <c:pt idx="221">
                  <c:v>2.1944720673676816E-3</c:v>
                </c:pt>
                <c:pt idx="222">
                  <c:v>2.2595582354965208E-3</c:v>
                </c:pt>
                <c:pt idx="223">
                  <c:v>2.3332697448463151E-3</c:v>
                </c:pt>
                <c:pt idx="224">
                  <c:v>2.4156070828076416E-3</c:v>
                </c:pt>
                <c:pt idx="225">
                  <c:v>2.5139397499373056E-3</c:v>
                </c:pt>
                <c:pt idx="226">
                  <c:v>2.6259810869578956E-3</c:v>
                </c:pt>
                <c:pt idx="227">
                  <c:v>2.7517327556723734E-3</c:v>
                </c:pt>
                <c:pt idx="228">
                  <c:v>2.8911968852545536E-3</c:v>
                </c:pt>
                <c:pt idx="229">
                  <c:v>3.0443760296656169E-3</c:v>
                </c:pt>
                <c:pt idx="230">
                  <c:v>3.2112731251114374E-3</c:v>
                </c:pt>
                <c:pt idx="231">
                  <c:v>3.3918914475150551E-3</c:v>
                </c:pt>
                <c:pt idx="232">
                  <c:v>3.5862345699210884E-3</c:v>
                </c:pt>
                <c:pt idx="233">
                  <c:v>3.8060947015620991E-3</c:v>
                </c:pt>
                <c:pt idx="234">
                  <c:v>4.0451545183146581E-3</c:v>
                </c:pt>
                <c:pt idx="235">
                  <c:v>4.3034227587592459E-3</c:v>
                </c:pt>
                <c:pt idx="236">
                  <c:v>4.5809108103521384E-3</c:v>
                </c:pt>
                <c:pt idx="237">
                  <c:v>4.8776285581647906E-3</c:v>
                </c:pt>
                <c:pt idx="238">
                  <c:v>5.1935868721303662E-3</c:v>
                </c:pt>
                <c:pt idx="239">
                  <c:v>5.5423668023752972E-3</c:v>
                </c:pt>
                <c:pt idx="240">
                  <c:v>5.916611459558868E-3</c:v>
                </c:pt>
                <c:pt idx="241">
                  <c:v>6.3163369773672961E-3</c:v>
                </c:pt>
                <c:pt idx="242">
                  <c:v>6.7415609049848689E-3</c:v>
                </c:pt>
                <c:pt idx="243">
                  <c:v>7.192302251904671E-3</c:v>
                </c:pt>
                <c:pt idx="244">
                  <c:v>7.6685815327181368E-3</c:v>
                </c:pt>
                <c:pt idx="245">
                  <c:v>8.1704208118296741E-3</c:v>
                </c:pt>
                <c:pt idx="246">
                  <c:v>8.6978437481380448E-3</c:v>
                </c:pt>
                <c:pt idx="247">
                  <c:v>9.2507892316852375E-3</c:v>
                </c:pt>
                <c:pt idx="248">
                  <c:v>9.8174783923156012E-3</c:v>
                </c:pt>
                <c:pt idx="249">
                  <c:v>1.0397934120062381E-2</c:v>
                </c:pt>
                <c:pt idx="250">
                  <c:v>1.0992180429899688E-2</c:v>
                </c:pt>
                <c:pt idx="251">
                  <c:v>1.1600242485805453E-2</c:v>
                </c:pt>
                <c:pt idx="252">
                  <c:v>1.222214662439871E-2</c:v>
                </c:pt>
                <c:pt idx="253">
                  <c:v>1.2842160563336879E-2</c:v>
                </c:pt>
                <c:pt idx="254">
                  <c:v>1.3446703987352367E-2</c:v>
                </c:pt>
                <c:pt idx="255">
                  <c:v>1.4035787041194693E-2</c:v>
                </c:pt>
                <c:pt idx="256">
                  <c:v>1.460941934097095E-2</c:v>
                </c:pt>
                <c:pt idx="257">
                  <c:v>1.5167609946117615E-2</c:v>
                </c:pt>
                <c:pt idx="258">
                  <c:v>1.5710367331495306E-2</c:v>
                </c:pt>
                <c:pt idx="259">
                  <c:v>1.6237699359712116E-2</c:v>
                </c:pt>
                <c:pt idx="260">
                  <c:v>1.6749613252981941E-2</c:v>
                </c:pt>
                <c:pt idx="261">
                  <c:v>1.7224816873991553E-2</c:v>
                </c:pt>
                <c:pt idx="262">
                  <c:v>1.7663383981361941E-2</c:v>
                </c:pt>
                <c:pt idx="263">
                  <c:v>1.8065299543150129E-2</c:v>
                </c:pt>
                <c:pt idx="264">
                  <c:v>1.8430547178778144E-2</c:v>
                </c:pt>
                <c:pt idx="265">
                  <c:v>1.8759208793241579E-2</c:v>
                </c:pt>
                <c:pt idx="266">
                  <c:v>1.9051320117563834E-2</c:v>
                </c:pt>
                <c:pt idx="267">
                  <c:v>1.929390762761575E-2</c:v>
                </c:pt>
                <c:pt idx="268">
                  <c:v>1.9502735553410568E-2</c:v>
                </c:pt>
                <c:pt idx="269">
                  <c:v>1.9677752875244064E-2</c:v>
                </c:pt>
                <c:pt idx="270">
                  <c:v>1.9818904312682368E-2</c:v>
                </c:pt>
                <c:pt idx="271">
                  <c:v>1.9926130701733758E-2</c:v>
                </c:pt>
                <c:pt idx="272">
                  <c:v>1.9999369372556326E-2</c:v>
                </c:pt>
                <c:pt idx="273">
                  <c:v>2.0038554526916687E-2</c:v>
                </c:pt>
                <c:pt idx="274">
                  <c:v>2.0043617615910322E-2</c:v>
                </c:pt>
                <c:pt idx="275">
                  <c:v>2.005215610049978E-2</c:v>
                </c:pt>
                <c:pt idx="276">
                  <c:v>2.0085579430917627E-2</c:v>
                </c:pt>
                <c:pt idx="277">
                  <c:v>2.0143902608805296E-2</c:v>
                </c:pt>
                <c:pt idx="278">
                  <c:v>2.0227141653883549E-2</c:v>
                </c:pt>
                <c:pt idx="279">
                  <c:v>2.0335313332791524E-2</c:v>
                </c:pt>
                <c:pt idx="280">
                  <c:v>2.0468434888116501E-2</c:v>
                </c:pt>
                <c:pt idx="281">
                  <c:v>2.0680233212019634E-2</c:v>
                </c:pt>
                <c:pt idx="282">
                  <c:v>2.0983831811001365E-2</c:v>
                </c:pt>
                <c:pt idx="283">
                  <c:v>2.1379352643897162E-2</c:v>
                </c:pt>
                <c:pt idx="284">
                  <c:v>2.1866916925754876E-2</c:v>
                </c:pt>
                <c:pt idx="285">
                  <c:v>2.2446644126355872E-2</c:v>
                </c:pt>
                <c:pt idx="286">
                  <c:v>2.3118650968944221E-2</c:v>
                </c:pt>
                <c:pt idx="287">
                  <c:v>2.3883050428744217E-2</c:v>
                </c:pt>
                <c:pt idx="288">
                  <c:v>2.473995073155839E-2</c:v>
                </c:pt>
                <c:pt idx="289">
                  <c:v>2.5671037075549449E-2</c:v>
                </c:pt>
                <c:pt idx="290">
                  <c:v>2.6638418547979846E-2</c:v>
                </c:pt>
                <c:pt idx="291">
                  <c:v>2.7642100284233341E-2</c:v>
                </c:pt>
                <c:pt idx="292">
                  <c:v>2.8682081609491331E-2</c:v>
                </c:pt>
                <c:pt idx="293">
                  <c:v>2.9758355651713999E-2</c:v>
                </c:pt>
                <c:pt idx="294">
                  <c:v>3.0870908954524601E-2</c:v>
                </c:pt>
                <c:pt idx="295">
                  <c:v>3.194142093384493E-2</c:v>
                </c:pt>
                <c:pt idx="296">
                  <c:v>3.2916049263436914E-2</c:v>
                </c:pt>
                <c:pt idx="297">
                  <c:v>3.3794909673065615E-2</c:v>
                </c:pt>
                <c:pt idx="298">
                  <c:v>3.4577855126169066E-2</c:v>
                </c:pt>
                <c:pt idx="299">
                  <c:v>3.526473218055854E-2</c:v>
                </c:pt>
                <c:pt idx="300">
                  <c:v>3.585538188279775E-2</c:v>
                </c:pt>
                <c:pt idx="301">
                  <c:v>3.6349640662478172E-2</c:v>
                </c:pt>
                <c:pt idx="302">
                  <c:v>3.6747341226572784E-2</c:v>
                </c:pt>
                <c:pt idx="303">
                  <c:v>3.698383149837306E-2</c:v>
                </c:pt>
                <c:pt idx="304">
                  <c:v>3.7077395172259282E-2</c:v>
                </c:pt>
                <c:pt idx="305">
                  <c:v>3.7027793662899017E-2</c:v>
                </c:pt>
                <c:pt idx="306">
                  <c:v>3.6834788902075949E-2</c:v>
                </c:pt>
                <c:pt idx="307">
                  <c:v>3.6498144656070874E-2</c:v>
                </c:pt>
                <c:pt idx="308">
                  <c:v>3.6017627842733706E-2</c:v>
                </c:pt>
                <c:pt idx="309">
                  <c:v>3.5390080381475938E-2</c:v>
                </c:pt>
                <c:pt idx="310">
                  <c:v>3.4694130316277168E-2</c:v>
                </c:pt>
                <c:pt idx="311">
                  <c:v>3.3929664813168503E-2</c:v>
                </c:pt>
                <c:pt idx="312">
                  <c:v>3.3096576261545455E-2</c:v>
                </c:pt>
                <c:pt idx="313">
                  <c:v>3.2194762894887978E-2</c:v>
                </c:pt>
                <c:pt idx="314">
                  <c:v>3.1224129411173404E-2</c:v>
                </c:pt>
                <c:pt idx="315">
                  <c:v>3.0184587593697847E-2</c:v>
                </c:pt>
                <c:pt idx="316">
                  <c:v>2.9076056931400474E-2</c:v>
                </c:pt>
                <c:pt idx="317">
                  <c:v>2.7925709811506674E-2</c:v>
                </c:pt>
                <c:pt idx="318">
                  <c:v>2.6798425968093596E-2</c:v>
                </c:pt>
                <c:pt idx="319">
                  <c:v>2.5694252442901563E-2</c:v>
                </c:pt>
                <c:pt idx="320">
                  <c:v>2.4613238438181639E-2</c:v>
                </c:pt>
                <c:pt idx="321">
                  <c:v>2.3555435094397281E-2</c:v>
                </c:pt>
                <c:pt idx="322">
                  <c:v>2.2520895268003265E-2</c:v>
                </c:pt>
                <c:pt idx="323">
                  <c:v>2.1529026424127636E-2</c:v>
                </c:pt>
                <c:pt idx="324">
                  <c:v>2.0582847317180644E-2</c:v>
                </c:pt>
                <c:pt idx="325">
                  <c:v>1.9682430302072576E-2</c:v>
                </c:pt>
                <c:pt idx="326">
                  <c:v>1.8827728940103688E-2</c:v>
                </c:pt>
                <c:pt idx="327">
                  <c:v>1.8018789521092274E-2</c:v>
                </c:pt>
                <c:pt idx="328">
                  <c:v>1.7255748809908503E-2</c:v>
                </c:pt>
                <c:pt idx="329">
                  <c:v>1.6538729412809386E-2</c:v>
                </c:pt>
                <c:pt idx="330">
                  <c:v>1.5867840749308939E-2</c:v>
                </c:pt>
                <c:pt idx="331">
                  <c:v>1.5258606631540685E-2</c:v>
                </c:pt>
                <c:pt idx="332">
                  <c:v>1.4683769930908894E-2</c:v>
                </c:pt>
                <c:pt idx="333">
                  <c:v>1.4143402665517609E-2</c:v>
                </c:pt>
                <c:pt idx="334">
                  <c:v>1.3637568725224675E-2</c:v>
                </c:pt>
                <c:pt idx="335">
                  <c:v>1.3166324595861428E-2</c:v>
                </c:pt>
                <c:pt idx="336">
                  <c:v>1.272972008326013E-2</c:v>
                </c:pt>
                <c:pt idx="337">
                  <c:v>1.2339831168895395E-2</c:v>
                </c:pt>
                <c:pt idx="338">
                  <c:v>1.1977305342990486E-2</c:v>
                </c:pt>
                <c:pt idx="339">
                  <c:v>1.1642176014745516E-2</c:v>
                </c:pt>
                <c:pt idx="340">
                  <c:v>1.1334473002161097E-2</c:v>
                </c:pt>
                <c:pt idx="341">
                  <c:v>1.1054223103156863E-2</c:v>
                </c:pt>
                <c:pt idx="342">
                  <c:v>1.080145066667417E-2</c:v>
                </c:pt>
                <c:pt idx="343">
                  <c:v>1.057617816364729E-2</c:v>
                </c:pt>
                <c:pt idx="344">
                  <c:v>1.0378426758149883E-2</c:v>
                </c:pt>
                <c:pt idx="345">
                  <c:v>1.0208216878424705E-2</c:v>
                </c:pt>
                <c:pt idx="346">
                  <c:v>1.0056695773251098E-2</c:v>
                </c:pt>
                <c:pt idx="347">
                  <c:v>9.92388234450922E-3</c:v>
                </c:pt>
                <c:pt idx="348">
                  <c:v>9.8097956975021858E-3</c:v>
                </c:pt>
                <c:pt idx="349">
                  <c:v>9.714455527498788E-3</c:v>
                </c:pt>
                <c:pt idx="350">
                  <c:v>9.6378825065068906E-3</c:v>
                </c:pt>
                <c:pt idx="351">
                  <c:v>9.5866657995885181E-3</c:v>
                </c:pt>
                <c:pt idx="352">
                  <c:v>9.5487888396846143E-3</c:v>
                </c:pt>
                <c:pt idx="353">
                  <c:v>9.5242750052677815E-3</c:v>
                </c:pt>
                <c:pt idx="354">
                  <c:v>9.5131493659736041E-3</c:v>
                </c:pt>
                <c:pt idx="355">
                  <c:v>9.5154389550094511E-3</c:v>
                </c:pt>
                <c:pt idx="356">
                  <c:v>9.5311796286381197E-3</c:v>
                </c:pt>
                <c:pt idx="357">
                  <c:v>9.5603819224441798E-3</c:v>
                </c:pt>
                <c:pt idx="358">
                  <c:v>9.603035732437112E-3</c:v>
                </c:pt>
                <c:pt idx="359">
                  <c:v>9.6591329128244349E-3</c:v>
                </c:pt>
                <c:pt idx="360">
                  <c:v>9.7407380372280146E-3</c:v>
                </c:pt>
                <c:pt idx="361">
                  <c:v>9.8412746200110292E-3</c:v>
                </c:pt>
                <c:pt idx="362">
                  <c:v>9.9607460192007585E-3</c:v>
                </c:pt>
                <c:pt idx="363">
                  <c:v>1.0099156615048019E-2</c:v>
                </c:pt>
                <c:pt idx="364">
                  <c:v>1.0256511332802889E-2</c:v>
                </c:pt>
                <c:pt idx="365">
                  <c:v>1.0432815165375454E-2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1.4676075258113874E-2</c:v>
                </c:pt>
                <c:pt idx="1">
                  <c:v>1.4898891407853538E-2</c:v>
                </c:pt>
                <c:pt idx="2">
                  <c:v>1.5154031647981285E-2</c:v>
                </c:pt>
                <c:pt idx="3">
                  <c:v>1.5441506953228169E-2</c:v>
                </c:pt>
                <c:pt idx="4">
                  <c:v>1.5761326267489481E-2</c:v>
                </c:pt>
                <c:pt idx="5">
                  <c:v>1.6113495686672624E-2</c:v>
                </c:pt>
                <c:pt idx="6">
                  <c:v>1.6498017641750261E-2</c:v>
                </c:pt>
                <c:pt idx="7">
                  <c:v>1.6914890081457499E-2</c:v>
                </c:pt>
                <c:pt idx="8">
                  <c:v>1.7364105655203448E-2</c:v>
                </c:pt>
                <c:pt idx="9">
                  <c:v>1.7866309797001014E-2</c:v>
                </c:pt>
                <c:pt idx="10">
                  <c:v>1.8405541555592604E-2</c:v>
                </c:pt>
                <c:pt idx="11">
                  <c:v>1.8981777587077371E-2</c:v>
                </c:pt>
                <c:pt idx="12">
                  <c:v>1.9594985221591966E-2</c:v>
                </c:pt>
                <c:pt idx="13">
                  <c:v>2.0245121526764387E-2</c:v>
                </c:pt>
                <c:pt idx="14">
                  <c:v>2.0932132370817095E-2</c:v>
                </c:pt>
                <c:pt idx="15">
                  <c:v>2.168567239060679E-2</c:v>
                </c:pt>
                <c:pt idx="16">
                  <c:v>2.2489471764728684E-2</c:v>
                </c:pt>
                <c:pt idx="17">
                  <c:v>2.3343444819691972E-2</c:v>
                </c:pt>
                <c:pt idx="18">
                  <c:v>2.4247487828423862E-2</c:v>
                </c:pt>
                <c:pt idx="19">
                  <c:v>2.5201618302502046E-2</c:v>
                </c:pt>
                <c:pt idx="20">
                  <c:v>2.6205921575019334E-2</c:v>
                </c:pt>
                <c:pt idx="21">
                  <c:v>2.7260379195588144E-2</c:v>
                </c:pt>
                <c:pt idx="22">
                  <c:v>2.8364970356085144E-2</c:v>
                </c:pt>
                <c:pt idx="23">
                  <c:v>2.9531895353677635E-2</c:v>
                </c:pt>
                <c:pt idx="24">
                  <c:v>3.0740394546100749E-2</c:v>
                </c:pt>
                <c:pt idx="25">
                  <c:v>3.1990441673923155E-2</c:v>
                </c:pt>
                <c:pt idx="26">
                  <c:v>3.3282011649596238E-2</c:v>
                </c:pt>
                <c:pt idx="27">
                  <c:v>3.461508108213375E-2</c:v>
                </c:pt>
                <c:pt idx="28">
                  <c:v>3.5989628802486684E-2</c:v>
                </c:pt>
                <c:pt idx="29">
                  <c:v>3.735852746265312E-2</c:v>
                </c:pt>
                <c:pt idx="30">
                  <c:v>3.8691994912210169E-2</c:v>
                </c:pt>
                <c:pt idx="31">
                  <c:v>3.9990029720668813E-2</c:v>
                </c:pt>
                <c:pt idx="32">
                  <c:v>4.1252639597697933E-2</c:v>
                </c:pt>
                <c:pt idx="33">
                  <c:v>4.2479840956944744E-2</c:v>
                </c:pt>
                <c:pt idx="34">
                  <c:v>4.3671658480039094E-2</c:v>
                </c:pt>
                <c:pt idx="35">
                  <c:v>4.4828124680579763E-2</c:v>
                </c:pt>
                <c:pt idx="36">
                  <c:v>4.5949279468037799E-2</c:v>
                </c:pt>
                <c:pt idx="37">
                  <c:v>4.6924127169707987E-2</c:v>
                </c:pt>
                <c:pt idx="38">
                  <c:v>4.7740531382659504E-2</c:v>
                </c:pt>
                <c:pt idx="39">
                  <c:v>4.8398584949823235E-2</c:v>
                </c:pt>
                <c:pt idx="40">
                  <c:v>4.8898386516777553E-2</c:v>
                </c:pt>
                <c:pt idx="41">
                  <c:v>4.9240038554308488E-2</c:v>
                </c:pt>
                <c:pt idx="42">
                  <c:v>4.9423645380643082E-2</c:v>
                </c:pt>
                <c:pt idx="43">
                  <c:v>4.9385351485567698E-2</c:v>
                </c:pt>
                <c:pt idx="44">
                  <c:v>4.9172333254767969E-2</c:v>
                </c:pt>
                <c:pt idx="45">
                  <c:v>4.87846914795598E-2</c:v>
                </c:pt>
                <c:pt idx="46">
                  <c:v>4.8222519903156354E-2</c:v>
                </c:pt>
                <c:pt idx="47">
                  <c:v>4.7485903031859435E-2</c:v>
                </c:pt>
                <c:pt idx="48">
                  <c:v>4.6574913945611786E-2</c:v>
                </c:pt>
                <c:pt idx="49">
                  <c:v>4.5489612108988296E-2</c:v>
                </c:pt>
                <c:pt idx="50">
                  <c:v>4.4230041181896919E-2</c:v>
                </c:pt>
                <c:pt idx="51">
                  <c:v>4.2863154759321669E-2</c:v>
                </c:pt>
                <c:pt idx="52">
                  <c:v>4.149966628801792E-2</c:v>
                </c:pt>
                <c:pt idx="53">
                  <c:v>4.0139326848726647E-2</c:v>
                </c:pt>
                <c:pt idx="54">
                  <c:v>3.8782108814680312E-2</c:v>
                </c:pt>
                <c:pt idx="55">
                  <c:v>3.7427986621297371E-2</c:v>
                </c:pt>
                <c:pt idx="56">
                  <c:v>3.607693675508658E-2</c:v>
                </c:pt>
                <c:pt idx="57">
                  <c:v>3.4801974040306577E-2</c:v>
                </c:pt>
                <c:pt idx="58">
                  <c:v>3.3667012325761844E-2</c:v>
                </c:pt>
                <c:pt idx="59">
                  <c:v>3.2672037007017457E-2</c:v>
                </c:pt>
                <c:pt idx="60">
                  <c:v>3.1817035914780793E-2</c:v>
                </c:pt>
                <c:pt idx="61">
                  <c:v>3.1101998797100676E-2</c:v>
                </c:pt>
                <c:pt idx="62">
                  <c:v>3.0526916801519685E-2</c:v>
                </c:pt>
                <c:pt idx="63">
                  <c:v>3.0091781957320436E-2</c:v>
                </c:pt>
                <c:pt idx="64">
                  <c:v>2.9796586657647998E-2</c:v>
                </c:pt>
                <c:pt idx="65">
                  <c:v>2.9634786739564475E-2</c:v>
                </c:pt>
                <c:pt idx="66">
                  <c:v>2.9539442899339026E-2</c:v>
                </c:pt>
                <c:pt idx="67">
                  <c:v>2.9510545291469927E-2</c:v>
                </c:pt>
                <c:pt idx="68">
                  <c:v>2.9548083389682716E-2</c:v>
                </c:pt>
                <c:pt idx="69">
                  <c:v>2.9652045740810349E-2</c:v>
                </c:pt>
                <c:pt idx="70">
                  <c:v>2.9822419718811319E-2</c:v>
                </c:pt>
                <c:pt idx="71">
                  <c:v>3.0019778296360791E-2</c:v>
                </c:pt>
                <c:pt idx="72">
                  <c:v>3.0171069771399273E-2</c:v>
                </c:pt>
                <c:pt idx="73">
                  <c:v>3.0276283155821055E-2</c:v>
                </c:pt>
                <c:pt idx="74">
                  <c:v>3.0335408416943981E-2</c:v>
                </c:pt>
                <c:pt idx="75">
                  <c:v>3.034843664754399E-2</c:v>
                </c:pt>
                <c:pt idx="76">
                  <c:v>3.0315360235795626E-2</c:v>
                </c:pt>
                <c:pt idx="77">
                  <c:v>3.0236173035311027E-2</c:v>
                </c:pt>
                <c:pt idx="78">
                  <c:v>3.0110871534789592E-2</c:v>
                </c:pt>
                <c:pt idx="79">
                  <c:v>2.9907696947583225E-2</c:v>
                </c:pt>
                <c:pt idx="80">
                  <c:v>2.9633266059106395E-2</c:v>
                </c:pt>
                <c:pt idx="81">
                  <c:v>2.9287579577996412E-2</c:v>
                </c:pt>
                <c:pt idx="82">
                  <c:v>2.8870638768671637E-2</c:v>
                </c:pt>
                <c:pt idx="83">
                  <c:v>2.8382445679633397E-2</c:v>
                </c:pt>
                <c:pt idx="84">
                  <c:v>2.7823003371863202E-2</c:v>
                </c:pt>
                <c:pt idx="85">
                  <c:v>2.7185665035133685E-2</c:v>
                </c:pt>
                <c:pt idx="86">
                  <c:v>2.6509827115528004E-2</c:v>
                </c:pt>
                <c:pt idx="87">
                  <c:v>2.5795491592091834E-2</c:v>
                </c:pt>
                <c:pt idx="88">
                  <c:v>2.5042661863859884E-2</c:v>
                </c:pt>
                <c:pt idx="89">
                  <c:v>2.4251342873284253E-2</c:v>
                </c:pt>
                <c:pt idx="90">
                  <c:v>2.3421541229611625E-2</c:v>
                </c:pt>
                <c:pt idx="91">
                  <c:v>2.255326533235439E-2</c:v>
                </c:pt>
                <c:pt idx="92">
                  <c:v>2.1646525494692606E-2</c:v>
                </c:pt>
                <c:pt idx="93">
                  <c:v>2.0715722251757943E-2</c:v>
                </c:pt>
                <c:pt idx="94">
                  <c:v>1.9792711899505638E-2</c:v>
                </c:pt>
                <c:pt idx="95">
                  <c:v>1.8877499050647763E-2</c:v>
                </c:pt>
                <c:pt idx="96">
                  <c:v>1.7970089268585843E-2</c:v>
                </c:pt>
                <c:pt idx="97">
                  <c:v>1.7070489042706635E-2</c:v>
                </c:pt>
                <c:pt idx="98">
                  <c:v>1.617870576350337E-2</c:v>
                </c:pt>
                <c:pt idx="99">
                  <c:v>1.5314139254384011E-2</c:v>
                </c:pt>
                <c:pt idx="100">
                  <c:v>1.4483435059307556E-2</c:v>
                </c:pt>
                <c:pt idx="101">
                  <c:v>1.3686593176300617E-2</c:v>
                </c:pt>
                <c:pt idx="102">
                  <c:v>1.2923613269492712E-2</c:v>
                </c:pt>
                <c:pt idx="103">
                  <c:v>1.219449456065007E-2</c:v>
                </c:pt>
                <c:pt idx="104">
                  <c:v>1.1499235721021638E-2</c:v>
                </c:pt>
                <c:pt idx="105">
                  <c:v>1.0837834762894558E-2</c:v>
                </c:pt>
                <c:pt idx="106">
                  <c:v>1.0210288931306665E-2</c:v>
                </c:pt>
                <c:pt idx="107">
                  <c:v>9.6289235354687815E-3</c:v>
                </c:pt>
                <c:pt idx="108">
                  <c:v>9.0793661793489872E-3</c:v>
                </c:pt>
                <c:pt idx="109">
                  <c:v>8.5616119596437813E-3</c:v>
                </c:pt>
                <c:pt idx="110">
                  <c:v>8.0756778747335459E-3</c:v>
                </c:pt>
                <c:pt idx="111">
                  <c:v>7.6215750897031436E-3</c:v>
                </c:pt>
                <c:pt idx="112">
                  <c:v>7.1992888335764525E-3</c:v>
                </c:pt>
                <c:pt idx="113">
                  <c:v>6.8192908966322541E-3</c:v>
                </c:pt>
                <c:pt idx="114">
                  <c:v>6.4622160627215049E-3</c:v>
                </c:pt>
                <c:pt idx="115">
                  <c:v>6.1280536068012122E-3</c:v>
                </c:pt>
                <c:pt idx="116">
                  <c:v>5.8167924033348424E-3</c:v>
                </c:pt>
                <c:pt idx="117">
                  <c:v>5.5284208764865171E-3</c:v>
                </c:pt>
                <c:pt idx="118">
                  <c:v>5.2629269502486231E-3</c:v>
                </c:pt>
                <c:pt idx="119">
                  <c:v>5.0202979985887308E-3</c:v>
                </c:pt>
                <c:pt idx="120">
                  <c:v>4.8005207955886791E-3</c:v>
                </c:pt>
                <c:pt idx="121">
                  <c:v>4.6087737231298147E-3</c:v>
                </c:pt>
                <c:pt idx="122">
                  <c:v>4.4327498690520523E-3</c:v>
                </c:pt>
                <c:pt idx="123">
                  <c:v>4.2724395156070747E-3</c:v>
                </c:pt>
                <c:pt idx="124">
                  <c:v>4.1278324440025401E-3</c:v>
                </c:pt>
                <c:pt idx="125">
                  <c:v>3.9989179001353146E-3</c:v>
                </c:pt>
                <c:pt idx="126">
                  <c:v>3.8856845602637585E-3</c:v>
                </c:pt>
                <c:pt idx="127">
                  <c:v>3.7888052879762124E-3</c:v>
                </c:pt>
                <c:pt idx="128">
                  <c:v>3.697820177110215E-3</c:v>
                </c:pt>
                <c:pt idx="129">
                  <c:v>3.6127251936645005E-3</c:v>
                </c:pt>
                <c:pt idx="130">
                  <c:v>3.5335160905906235E-3</c:v>
                </c:pt>
                <c:pt idx="131">
                  <c:v>3.4601883948771179E-3</c:v>
                </c:pt>
                <c:pt idx="132">
                  <c:v>3.3927373946713211E-3</c:v>
                </c:pt>
                <c:pt idx="133">
                  <c:v>3.3311581264221591E-3</c:v>
                </c:pt>
                <c:pt idx="134">
                  <c:v>3.2754453620039052E-3</c:v>
                </c:pt>
                <c:pt idx="135">
                  <c:v>3.2296490600505099E-3</c:v>
                </c:pt>
                <c:pt idx="136">
                  <c:v>3.1885911841533889E-3</c:v>
                </c:pt>
                <c:pt idx="137">
                  <c:v>3.1522668152432734E-3</c:v>
                </c:pt>
                <c:pt idx="138">
                  <c:v>3.1206707828906428E-3</c:v>
                </c:pt>
                <c:pt idx="139">
                  <c:v>3.0937976549577956E-3</c:v>
                </c:pt>
                <c:pt idx="140">
                  <c:v>3.0716417270741665E-3</c:v>
                </c:pt>
                <c:pt idx="141">
                  <c:v>3.055843262024249E-3</c:v>
                </c:pt>
                <c:pt idx="142">
                  <c:v>3.0456960378507278E-3</c:v>
                </c:pt>
                <c:pt idx="143">
                  <c:v>3.0411785716124083E-3</c:v>
                </c:pt>
                <c:pt idx="144">
                  <c:v>3.0422871157567682E-3</c:v>
                </c:pt>
                <c:pt idx="145">
                  <c:v>3.0490172395386669E-3</c:v>
                </c:pt>
                <c:pt idx="146">
                  <c:v>3.0613639054177712E-3</c:v>
                </c:pt>
                <c:pt idx="147">
                  <c:v>3.0793215455588619E-3</c:v>
                </c:pt>
                <c:pt idx="148">
                  <c:v>3.1028841382591864E-3</c:v>
                </c:pt>
                <c:pt idx="149">
                  <c:v>3.1305568509854501E-3</c:v>
                </c:pt>
                <c:pt idx="150">
                  <c:v>3.158308997974946E-3</c:v>
                </c:pt>
                <c:pt idx="151">
                  <c:v>3.1861435545839974E-3</c:v>
                </c:pt>
                <c:pt idx="152">
                  <c:v>3.214063646648945E-3</c:v>
                </c:pt>
                <c:pt idx="153">
                  <c:v>3.2420725525103156E-3</c:v>
                </c:pt>
                <c:pt idx="154">
                  <c:v>3.2701737050543174E-3</c:v>
                </c:pt>
                <c:pt idx="155">
                  <c:v>3.2980063314202459E-3</c:v>
                </c:pt>
                <c:pt idx="156">
                  <c:v>3.3239423927894285E-3</c:v>
                </c:pt>
                <c:pt idx="157">
                  <c:v>3.3479895939396102E-3</c:v>
                </c:pt>
                <c:pt idx="158">
                  <c:v>3.3701558144412437E-3</c:v>
                </c:pt>
                <c:pt idx="159">
                  <c:v>3.3904490836330825E-3</c:v>
                </c:pt>
                <c:pt idx="160">
                  <c:v>3.4088775556391634E-3</c:v>
                </c:pt>
                <c:pt idx="161">
                  <c:v>3.4254494843477742E-3</c:v>
                </c:pt>
                <c:pt idx="162">
                  <c:v>3.4401731984084667E-3</c:v>
                </c:pt>
                <c:pt idx="163">
                  <c:v>3.4522004245670927E-3</c:v>
                </c:pt>
                <c:pt idx="164">
                  <c:v>3.463015784260171E-3</c:v>
                </c:pt>
                <c:pt idx="165">
                  <c:v>3.472626531133114E-3</c:v>
                </c:pt>
                <c:pt idx="166">
                  <c:v>3.4810399249656262E-3</c:v>
                </c:pt>
                <c:pt idx="167">
                  <c:v>3.4882632150301262E-3</c:v>
                </c:pt>
                <c:pt idx="168">
                  <c:v>3.4943036235611088E-3</c:v>
                </c:pt>
                <c:pt idx="169">
                  <c:v>3.4983147119674735E-3</c:v>
                </c:pt>
                <c:pt idx="170">
                  <c:v>3.5006660449036766E-3</c:v>
                </c:pt>
                <c:pt idx="171">
                  <c:v>3.5013654053419369E-3</c:v>
                </c:pt>
                <c:pt idx="172">
                  <c:v>3.5004204252219711E-3</c:v>
                </c:pt>
                <c:pt idx="173">
                  <c:v>3.4978027931725757E-3</c:v>
                </c:pt>
                <c:pt idx="174">
                  <c:v>3.4934822818184111E-3</c:v>
                </c:pt>
                <c:pt idx="175">
                  <c:v>3.487463519347474E-3</c:v>
                </c:pt>
                <c:pt idx="176">
                  <c:v>3.4797511227556421E-3</c:v>
                </c:pt>
                <c:pt idx="177">
                  <c:v>3.4699899283958859E-3</c:v>
                </c:pt>
                <c:pt idx="178">
                  <c:v>3.459034728153457E-3</c:v>
                </c:pt>
                <c:pt idx="179">
                  <c:v>3.4468893091892097E-3</c:v>
                </c:pt>
                <c:pt idx="180">
                  <c:v>3.4335574162524555E-3</c:v>
                </c:pt>
                <c:pt idx="181">
                  <c:v>3.4190427445592803E-3</c:v>
                </c:pt>
                <c:pt idx="182">
                  <c:v>3.4033489327010454E-3</c:v>
                </c:pt>
                <c:pt idx="183">
                  <c:v>3.3850196023975185E-3</c:v>
                </c:pt>
                <c:pt idx="184">
                  <c:v>3.364907545361207E-3</c:v>
                </c:pt>
                <c:pt idx="185">
                  <c:v>3.3430170268968417E-3</c:v>
                </c:pt>
                <c:pt idx="186">
                  <c:v>3.3193521988487138E-3</c:v>
                </c:pt>
                <c:pt idx="187">
                  <c:v>3.2939170889078988E-3</c:v>
                </c:pt>
                <c:pt idx="188">
                  <c:v>3.2667155899377609E-3</c:v>
                </c:pt>
                <c:pt idx="189">
                  <c:v>3.2377514491988856E-3</c:v>
                </c:pt>
                <c:pt idx="190">
                  <c:v>3.207028257714331E-3</c:v>
                </c:pt>
                <c:pt idx="191">
                  <c:v>3.1761517279218828E-3</c:v>
                </c:pt>
                <c:pt idx="192">
                  <c:v>3.1454803715661051E-3</c:v>
                </c:pt>
                <c:pt idx="193">
                  <c:v>3.1150149345950643E-3</c:v>
                </c:pt>
                <c:pt idx="194">
                  <c:v>3.0847561033740221E-3</c:v>
                </c:pt>
                <c:pt idx="195">
                  <c:v>3.0547045056281332E-3</c:v>
                </c:pt>
                <c:pt idx="196">
                  <c:v>3.0248607112644838E-3</c:v>
                </c:pt>
                <c:pt idx="197">
                  <c:v>2.9991537364740524E-3</c:v>
                </c:pt>
                <c:pt idx="198">
                  <c:v>2.9790308704582551E-3</c:v>
                </c:pt>
                <c:pt idx="199">
                  <c:v>2.9644874437761101E-3</c:v>
                </c:pt>
                <c:pt idx="200">
                  <c:v>2.9555192302979762E-3</c:v>
                </c:pt>
                <c:pt idx="201">
                  <c:v>2.9521224799132248E-3</c:v>
                </c:pt>
                <c:pt idx="202">
                  <c:v>2.9542939512554219E-3</c:v>
                </c:pt>
                <c:pt idx="203">
                  <c:v>2.9620309444930945E-3</c:v>
                </c:pt>
                <c:pt idx="204">
                  <c:v>2.9753265293613975E-3</c:v>
                </c:pt>
                <c:pt idx="205">
                  <c:v>2.9948325082382694E-3</c:v>
                </c:pt>
                <c:pt idx="206">
                  <c:v>3.0189499241019355E-3</c:v>
                </c:pt>
                <c:pt idx="207">
                  <c:v>3.0476758873701471E-3</c:v>
                </c:pt>
                <c:pt idx="208">
                  <c:v>3.0810078507049077E-3</c:v>
                </c:pt>
                <c:pt idx="209">
                  <c:v>3.1189435947692394E-3</c:v>
                </c:pt>
                <c:pt idx="210">
                  <c:v>3.1614812140870387E-3</c:v>
                </c:pt>
                <c:pt idx="211">
                  <c:v>3.2136099061522072E-3</c:v>
                </c:pt>
                <c:pt idx="212">
                  <c:v>3.271411591287614E-3</c:v>
                </c:pt>
                <c:pt idx="213">
                  <c:v>3.3348849840967696E-3</c:v>
                </c:pt>
                <c:pt idx="214">
                  <c:v>3.4040291243092138E-3</c:v>
                </c:pt>
                <c:pt idx="215">
                  <c:v>3.478843359246378E-3</c:v>
                </c:pt>
                <c:pt idx="216">
                  <c:v>3.5593273262757843E-3</c:v>
                </c:pt>
                <c:pt idx="217">
                  <c:v>3.6454809352789957E-3</c:v>
                </c:pt>
                <c:pt idx="218">
                  <c:v>3.7373043511004312E-3</c:v>
                </c:pt>
                <c:pt idx="219">
                  <c:v>3.8448512062748737E-3</c:v>
                </c:pt>
                <c:pt idx="220">
                  <c:v>3.9674617334950609E-3</c:v>
                </c:pt>
                <c:pt idx="221">
                  <c:v>4.1051357808800353E-3</c:v>
                </c:pt>
                <c:pt idx="222">
                  <c:v>4.2578738784296525E-3</c:v>
                </c:pt>
                <c:pt idx="223">
                  <c:v>4.4256771913556139E-3</c:v>
                </c:pt>
                <c:pt idx="224">
                  <c:v>4.6085474733169544E-3</c:v>
                </c:pt>
                <c:pt idx="225">
                  <c:v>4.818289844070618E-3</c:v>
                </c:pt>
                <c:pt idx="226">
                  <c:v>5.0499211795338355E-3</c:v>
                </c:pt>
                <c:pt idx="227">
                  <c:v>5.3034450844169729E-3</c:v>
                </c:pt>
                <c:pt idx="228">
                  <c:v>5.5788658438859599E-3</c:v>
                </c:pt>
                <c:pt idx="229">
                  <c:v>5.8761883555754346E-3</c:v>
                </c:pt>
                <c:pt idx="230">
                  <c:v>6.1954180616804553E-3</c:v>
                </c:pt>
                <c:pt idx="231">
                  <c:v>6.5365608810775732E-3</c:v>
                </c:pt>
                <c:pt idx="232">
                  <c:v>6.8996231413145873E-3</c:v>
                </c:pt>
                <c:pt idx="233">
                  <c:v>7.3031577377826312E-3</c:v>
                </c:pt>
                <c:pt idx="234">
                  <c:v>7.7371207811656679E-3</c:v>
                </c:pt>
                <c:pt idx="235">
                  <c:v>8.2015276814463665E-3</c:v>
                </c:pt>
                <c:pt idx="236">
                  <c:v>8.6963986220294394E-3</c:v>
                </c:pt>
                <c:pt idx="237">
                  <c:v>9.2217506242805655E-3</c:v>
                </c:pt>
                <c:pt idx="238">
                  <c:v>9.7776023087551619E-3</c:v>
                </c:pt>
                <c:pt idx="239">
                  <c:v>1.0377732447640444E-2</c:v>
                </c:pt>
                <c:pt idx="240">
                  <c:v>1.1010356208112771E-2</c:v>
                </c:pt>
                <c:pt idx="241">
                  <c:v>1.1675498206430256E-2</c:v>
                </c:pt>
                <c:pt idx="242">
                  <c:v>1.2373184971983895E-2</c:v>
                </c:pt>
                <c:pt idx="243">
                  <c:v>1.3103445004418868E-2</c:v>
                </c:pt>
                <c:pt idx="244">
                  <c:v>1.3866308830713527E-2</c:v>
                </c:pt>
                <c:pt idx="245">
                  <c:v>1.4661809062121287E-2</c:v>
                </c:pt>
                <c:pt idx="246">
                  <c:v>1.5489980451056949E-2</c:v>
                </c:pt>
                <c:pt idx="247">
                  <c:v>1.6344497247388828E-2</c:v>
                </c:pt>
                <c:pt idx="248">
                  <c:v>1.7206822063117383E-2</c:v>
                </c:pt>
                <c:pt idx="249">
                  <c:v>1.8076984044783435E-2</c:v>
                </c:pt>
                <c:pt idx="250">
                  <c:v>1.8955013343795447E-2</c:v>
                </c:pt>
                <c:pt idx="251">
                  <c:v>1.9840941129961424E-2</c:v>
                </c:pt>
                <c:pt idx="252">
                  <c:v>2.0734799604275891E-2</c:v>
                </c:pt>
                <c:pt idx="253">
                  <c:v>2.1606107053354903E-2</c:v>
                </c:pt>
                <c:pt idx="254">
                  <c:v>2.244108965488157E-2</c:v>
                </c:pt>
                <c:pt idx="255">
                  <c:v>2.3239752621367411E-2</c:v>
                </c:pt>
                <c:pt idx="256">
                  <c:v>2.4002099533013688E-2</c:v>
                </c:pt>
                <c:pt idx="257">
                  <c:v>2.4728132272551464E-2</c:v>
                </c:pt>
                <c:pt idx="258">
                  <c:v>2.5417850960289461E-2</c:v>
                </c:pt>
                <c:pt idx="259">
                  <c:v>2.6071253889528603E-2</c:v>
                </c:pt>
                <c:pt idx="260">
                  <c:v>2.6688337461218417E-2</c:v>
                </c:pt>
                <c:pt idx="261">
                  <c:v>2.7231298185617012E-2</c:v>
                </c:pt>
                <c:pt idx="262">
                  <c:v>2.7706479013834925E-2</c:v>
                </c:pt>
                <c:pt idx="263">
                  <c:v>2.8113840201138433E-2</c:v>
                </c:pt>
                <c:pt idx="264">
                  <c:v>2.8453339018146943E-2</c:v>
                </c:pt>
                <c:pt idx="265">
                  <c:v>2.8725082240015156E-2</c:v>
                </c:pt>
                <c:pt idx="266">
                  <c:v>2.8929100341970375E-2</c:v>
                </c:pt>
                <c:pt idx="267">
                  <c:v>2.905901945222435E-2</c:v>
                </c:pt>
                <c:pt idx="268">
                  <c:v>2.9145378208714767E-2</c:v>
                </c:pt>
                <c:pt idx="269">
                  <c:v>2.9188096773412671E-2</c:v>
                </c:pt>
                <c:pt idx="270">
                  <c:v>2.9187090630969637E-2</c:v>
                </c:pt>
                <c:pt idx="271">
                  <c:v>2.9142271074568307E-2</c:v>
                </c:pt>
                <c:pt idx="272">
                  <c:v>2.905354569257701E-2</c:v>
                </c:pt>
                <c:pt idx="273">
                  <c:v>2.8920818854837042E-2</c:v>
                </c:pt>
                <c:pt idx="274">
                  <c:v>2.8743992199331506E-2</c:v>
                </c:pt>
                <c:pt idx="275">
                  <c:v>2.8593397348354102E-2</c:v>
                </c:pt>
                <c:pt idx="276">
                  <c:v>2.8507061123368274E-2</c:v>
                </c:pt>
                <c:pt idx="277">
                  <c:v>2.8485044245133619E-2</c:v>
                </c:pt>
                <c:pt idx="278">
                  <c:v>2.8527410787642555E-2</c:v>
                </c:pt>
                <c:pt idx="279">
                  <c:v>2.8634227473972436E-2</c:v>
                </c:pt>
                <c:pt idx="280">
                  <c:v>2.880556297240721E-2</c:v>
                </c:pt>
                <c:pt idx="281">
                  <c:v>2.9106225017471059E-2</c:v>
                </c:pt>
                <c:pt idx="282">
                  <c:v>2.9542710930828282E-2</c:v>
                </c:pt>
                <c:pt idx="283">
                  <c:v>3.0115202754049337E-2</c:v>
                </c:pt>
                <c:pt idx="284">
                  <c:v>3.0823881480515587E-2</c:v>
                </c:pt>
                <c:pt idx="285">
                  <c:v>3.1668925573502066E-2</c:v>
                </c:pt>
                <c:pt idx="286">
                  <c:v>3.2650509484553433E-2</c:v>
                </c:pt>
                <c:pt idx="287">
                  <c:v>3.3768802171561835E-2</c:v>
                </c:pt>
                <c:pt idx="288">
                  <c:v>3.5023965616958072E-2</c:v>
                </c:pt>
                <c:pt idx="289">
                  <c:v>3.6354056338933079E-2</c:v>
                </c:pt>
                <c:pt idx="290">
                  <c:v>3.7688149158377662E-2</c:v>
                </c:pt>
                <c:pt idx="291">
                  <c:v>3.9026181115413089E-2</c:v>
                </c:pt>
                <c:pt idx="292">
                  <c:v>4.0368083380302212E-2</c:v>
                </c:pt>
                <c:pt idx="293">
                  <c:v>4.1713781221870389E-2</c:v>
                </c:pt>
                <c:pt idx="294">
                  <c:v>4.3063193975788762E-2</c:v>
                </c:pt>
                <c:pt idx="295">
                  <c:v>4.4308178606563477E-2</c:v>
                </c:pt>
                <c:pt idx="296">
                  <c:v>4.5383829121927427E-2</c:v>
                </c:pt>
                <c:pt idx="297">
                  <c:v>4.6290253469429041E-2</c:v>
                </c:pt>
                <c:pt idx="298">
                  <c:v>4.7027192730613676E-2</c:v>
                </c:pt>
                <c:pt idx="299">
                  <c:v>4.7594379056495932E-2</c:v>
                </c:pt>
                <c:pt idx="300">
                  <c:v>4.7991537241777793E-2</c:v>
                </c:pt>
                <c:pt idx="301">
                  <c:v>4.8218386298925116E-2</c:v>
                </c:pt>
                <c:pt idx="302">
                  <c:v>4.8274641032349991E-2</c:v>
                </c:pt>
                <c:pt idx="303">
                  <c:v>4.8114019288520854E-2</c:v>
                </c:pt>
                <c:pt idx="304">
                  <c:v>4.7798704021951334E-2</c:v>
                </c:pt>
                <c:pt idx="305">
                  <c:v>4.7328430525977648E-2</c:v>
                </c:pt>
                <c:pt idx="306">
                  <c:v>4.6702936199043948E-2</c:v>
                </c:pt>
                <c:pt idx="307">
                  <c:v>4.5921961966885957E-2</c:v>
                </c:pt>
                <c:pt idx="308">
                  <c:v>4.4985253704324962E-2</c:v>
                </c:pt>
                <c:pt idx="309">
                  <c:v>4.3904533324934672E-2</c:v>
                </c:pt>
                <c:pt idx="310">
                  <c:v>4.2788399291883022E-2</c:v>
                </c:pt>
                <c:pt idx="311">
                  <c:v>4.1636784253858639E-2</c:v>
                </c:pt>
                <c:pt idx="312">
                  <c:v>4.0449626348706601E-2</c:v>
                </c:pt>
                <c:pt idx="313">
                  <c:v>3.9226869517180046E-2</c:v>
                </c:pt>
                <c:pt idx="314">
                  <c:v>3.796846381631442E-2</c:v>
                </c:pt>
                <c:pt idx="315">
                  <c:v>3.6674365733300344E-2</c:v>
                </c:pt>
                <c:pt idx="316">
                  <c:v>3.5344538498750758E-2</c:v>
                </c:pt>
                <c:pt idx="317">
                  <c:v>3.4008201589561214E-2</c:v>
                </c:pt>
                <c:pt idx="318">
                  <c:v>3.2711667068980953E-2</c:v>
                </c:pt>
                <c:pt idx="319">
                  <c:v>3.14550025683136E-2</c:v>
                </c:pt>
                <c:pt idx="320">
                  <c:v>3.0238277110140037E-2</c:v>
                </c:pt>
                <c:pt idx="321">
                  <c:v>2.9061560730907827E-2</c:v>
                </c:pt>
                <c:pt idx="322">
                  <c:v>2.7924924103618368E-2</c:v>
                </c:pt>
                <c:pt idx="323">
                  <c:v>2.6848857915617461E-2</c:v>
                </c:pt>
                <c:pt idx="324">
                  <c:v>2.5821411390946507E-2</c:v>
                </c:pt>
                <c:pt idx="325">
                  <c:v>2.4842658982122932E-2</c:v>
                </c:pt>
                <c:pt idx="326">
                  <c:v>2.3912524688613376E-2</c:v>
                </c:pt>
                <c:pt idx="327">
                  <c:v>2.3031047771944556E-2</c:v>
                </c:pt>
                <c:pt idx="328">
                  <c:v>2.2198383682370027E-2</c:v>
                </c:pt>
                <c:pt idx="329">
                  <c:v>2.1414672611459979E-2</c:v>
                </c:pt>
                <c:pt idx="330">
                  <c:v>2.0680040528005376E-2</c:v>
                </c:pt>
                <c:pt idx="331">
                  <c:v>2.0010613473727634E-2</c:v>
                </c:pt>
                <c:pt idx="332">
                  <c:v>1.9377136962460371E-2</c:v>
                </c:pt>
                <c:pt idx="333">
                  <c:v>1.8779696461564986E-2</c:v>
                </c:pt>
                <c:pt idx="334">
                  <c:v>1.8218368659928805E-2</c:v>
                </c:pt>
                <c:pt idx="335">
                  <c:v>1.7693222226649531E-2</c:v>
                </c:pt>
                <c:pt idx="336">
                  <c:v>1.7204318569465797E-2</c:v>
                </c:pt>
                <c:pt idx="337">
                  <c:v>1.676751966105729E-2</c:v>
                </c:pt>
                <c:pt idx="338">
                  <c:v>1.636241507058105E-2</c:v>
                </c:pt>
                <c:pt idx="339">
                  <c:v>1.598904842694672E-2</c:v>
                </c:pt>
                <c:pt idx="340">
                  <c:v>1.5647459321641393E-2</c:v>
                </c:pt>
                <c:pt idx="341">
                  <c:v>1.5337683970560552E-2</c:v>
                </c:pt>
                <c:pt idx="342">
                  <c:v>1.5059755875818972E-2</c:v>
                </c:pt>
                <c:pt idx="343">
                  <c:v>1.4813706487378666E-2</c:v>
                </c:pt>
                <c:pt idx="344">
                  <c:v>1.4599565864919549E-2</c:v>
                </c:pt>
                <c:pt idx="345">
                  <c:v>1.4417363339548092E-2</c:v>
                </c:pt>
                <c:pt idx="346">
                  <c:v>1.4256969528060123E-2</c:v>
                </c:pt>
                <c:pt idx="347">
                  <c:v>1.4118412265648127E-2</c:v>
                </c:pt>
                <c:pt idx="348">
                  <c:v>1.4001719758145566E-2</c:v>
                </c:pt>
                <c:pt idx="349">
                  <c:v>1.3906921032504852E-2</c:v>
                </c:pt>
                <c:pt idx="350">
                  <c:v>1.3834046387604271E-2</c:v>
                </c:pt>
                <c:pt idx="351">
                  <c:v>1.3788996036176837E-2</c:v>
                </c:pt>
                <c:pt idx="352">
                  <c:v>1.3755984981901996E-2</c:v>
                </c:pt>
                <c:pt idx="353">
                  <c:v>1.3735044965935439E-2</c:v>
                </c:pt>
                <c:pt idx="354">
                  <c:v>1.3726209240727979E-2</c:v>
                </c:pt>
                <c:pt idx="355">
                  <c:v>1.3729512813180415E-2</c:v>
                </c:pt>
                <c:pt idx="356">
                  <c:v>1.3745002187079513E-2</c:v>
                </c:pt>
                <c:pt idx="357">
                  <c:v>1.3772685976657659E-2</c:v>
                </c:pt>
                <c:pt idx="358">
                  <c:v>1.3812541755187032E-2</c:v>
                </c:pt>
                <c:pt idx="359">
                  <c:v>1.3864548845644599E-2</c:v>
                </c:pt>
                <c:pt idx="360">
                  <c:v>1.3944546279365653E-2</c:v>
                </c:pt>
                <c:pt idx="361">
                  <c:v>1.4046650260762397E-2</c:v>
                </c:pt>
                <c:pt idx="362">
                  <c:v>1.4170857119270346E-2</c:v>
                </c:pt>
                <c:pt idx="363">
                  <c:v>1.4317164540545706E-2</c:v>
                </c:pt>
                <c:pt idx="364">
                  <c:v>1.4485571010324281E-2</c:v>
                </c:pt>
                <c:pt idx="365">
                  <c:v>1.4676075258113874E-2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2.2105543943224011E-2</c:v>
                </c:pt>
                <c:pt idx="1">
                  <c:v>2.2303824641089261E-2</c:v>
                </c:pt>
                <c:pt idx="2">
                  <c:v>2.2534324160616369E-2</c:v>
                </c:pt>
                <c:pt idx="3">
                  <c:v>2.2797034036812627E-2</c:v>
                </c:pt>
                <c:pt idx="4">
                  <c:v>2.3091944059465137E-2</c:v>
                </c:pt>
                <c:pt idx="5">
                  <c:v>2.341904145911337E-2</c:v>
                </c:pt>
                <c:pt idx="6">
                  <c:v>2.3778310093320352E-2</c:v>
                </c:pt>
                <c:pt idx="7">
                  <c:v>2.4169729632422962E-2</c:v>
                </c:pt>
                <c:pt idx="8">
                  <c:v>2.4593274745599629E-2</c:v>
                </c:pt>
                <c:pt idx="9">
                  <c:v>2.5074147654822257E-2</c:v>
                </c:pt>
                <c:pt idx="10">
                  <c:v>2.5597387097735243E-2</c:v>
                </c:pt>
                <c:pt idx="11">
                  <c:v>2.6162959391207139E-2</c:v>
                </c:pt>
                <c:pt idx="12">
                  <c:v>2.6770821138812097E-2</c:v>
                </c:pt>
                <c:pt idx="13">
                  <c:v>2.7420918155421012E-2</c:v>
                </c:pt>
                <c:pt idx="14">
                  <c:v>2.8113184391319171E-2</c:v>
                </c:pt>
                <c:pt idx="15">
                  <c:v>2.8879744808559839E-2</c:v>
                </c:pt>
                <c:pt idx="16">
                  <c:v>2.9703428641991159E-2</c:v>
                </c:pt>
                <c:pt idx="17">
                  <c:v>3.0584136475809667E-2</c:v>
                </c:pt>
                <c:pt idx="18">
                  <c:v>3.1521749263653746E-2</c:v>
                </c:pt>
                <c:pt idx="19">
                  <c:v>3.2516308241986341E-2</c:v>
                </c:pt>
                <c:pt idx="20">
                  <c:v>3.356794013790193E-2</c:v>
                </c:pt>
                <c:pt idx="21">
                  <c:v>3.4676635741033024E-2</c:v>
                </c:pt>
                <c:pt idx="22">
                  <c:v>3.5842382682237953E-2</c:v>
                </c:pt>
                <c:pt idx="23">
                  <c:v>3.708758696146322E-2</c:v>
                </c:pt>
                <c:pt idx="24">
                  <c:v>3.838690620894878E-2</c:v>
                </c:pt>
                <c:pt idx="25">
                  <c:v>3.9740321078061705E-2</c:v>
                </c:pt>
                <c:pt idx="26">
                  <c:v>4.1147812376954439E-2</c:v>
                </c:pt>
                <c:pt idx="27">
                  <c:v>4.2609361751770242E-2</c:v>
                </c:pt>
                <c:pt idx="28">
                  <c:v>4.4124952370711693E-2</c:v>
                </c:pt>
                <c:pt idx="29">
                  <c:v>4.5660840261700107E-2</c:v>
                </c:pt>
                <c:pt idx="30">
                  <c:v>4.7184758577068164E-2</c:v>
                </c:pt>
                <c:pt idx="31">
                  <c:v>4.8696707423949943E-2</c:v>
                </c:pt>
                <c:pt idx="32">
                  <c:v>5.0196695334992304E-2</c:v>
                </c:pt>
                <c:pt idx="33">
                  <c:v>5.1684739126929197E-2</c:v>
                </c:pt>
                <c:pt idx="34">
                  <c:v>5.3160863759379333E-2</c:v>
                </c:pt>
                <c:pt idx="35">
                  <c:v>5.4625102193621683E-2</c:v>
                </c:pt>
                <c:pt idx="36">
                  <c:v>5.6077495251270607E-2</c:v>
                </c:pt>
                <c:pt idx="37">
                  <c:v>5.7406829756663363E-2</c:v>
                </c:pt>
                <c:pt idx="38">
                  <c:v>5.8590777765476512E-2</c:v>
                </c:pt>
                <c:pt idx="39">
                  <c:v>5.9629438952895852E-2</c:v>
                </c:pt>
                <c:pt idx="40">
                  <c:v>6.0522920498881611E-2</c:v>
                </c:pt>
                <c:pt idx="41">
                  <c:v>6.1271335275313997E-2</c:v>
                </c:pt>
                <c:pt idx="42">
                  <c:v>6.1874800032739964E-2</c:v>
                </c:pt>
                <c:pt idx="43">
                  <c:v>6.2241021339892906E-2</c:v>
                </c:pt>
                <c:pt idx="44">
                  <c:v>6.2403834088130411E-2</c:v>
                </c:pt>
                <c:pt idx="45">
                  <c:v>6.2363367569754496E-2</c:v>
                </c:pt>
                <c:pt idx="46">
                  <c:v>6.2119744931852933E-2</c:v>
                </c:pt>
                <c:pt idx="47">
                  <c:v>6.1673080628805971E-2</c:v>
                </c:pt>
                <c:pt idx="48">
                  <c:v>6.1023477873978056E-2</c:v>
                </c:pt>
                <c:pt idx="49">
                  <c:v>6.0171026091972037E-2</c:v>
                </c:pt>
                <c:pt idx="50">
                  <c:v>5.9115798370506734E-2</c:v>
                </c:pt>
                <c:pt idx="51">
                  <c:v>5.789007296328598E-2</c:v>
                </c:pt>
                <c:pt idx="52">
                  <c:v>5.6604726859231319E-2</c:v>
                </c:pt>
                <c:pt idx="53">
                  <c:v>5.5259434244665832E-2</c:v>
                </c:pt>
                <c:pt idx="54">
                  <c:v>5.3854163079744083E-2</c:v>
                </c:pt>
                <c:pt idx="55">
                  <c:v>5.2388882322846338E-2</c:v>
                </c:pt>
                <c:pt idx="56">
                  <c:v>5.0863562153084775E-2</c:v>
                </c:pt>
                <c:pt idx="57">
                  <c:v>4.9371415290303734E-2</c:v>
                </c:pt>
                <c:pt idx="58">
                  <c:v>4.8004788923627056E-2</c:v>
                </c:pt>
                <c:pt idx="59">
                  <c:v>4.6763662036545903E-2</c:v>
                </c:pt>
                <c:pt idx="60">
                  <c:v>4.5648016312392549E-2</c:v>
                </c:pt>
                <c:pt idx="61">
                  <c:v>4.4657835670183998E-2</c:v>
                </c:pt>
                <c:pt idx="62">
                  <c:v>4.3793105800397955E-2</c:v>
                </c:pt>
                <c:pt idx="63">
                  <c:v>4.3053813700884173E-2</c:v>
                </c:pt>
                <c:pt idx="64">
                  <c:v>4.243994721259773E-2</c:v>
                </c:pt>
                <c:pt idx="65">
                  <c:v>4.1975616879918215E-2</c:v>
                </c:pt>
                <c:pt idx="66">
                  <c:v>4.1628585625752196E-2</c:v>
                </c:pt>
                <c:pt idx="67">
                  <c:v>4.1398840866468986E-2</c:v>
                </c:pt>
                <c:pt idx="68">
                  <c:v>4.1286369081444986E-2</c:v>
                </c:pt>
                <c:pt idx="69">
                  <c:v>4.1291155378735213E-2</c:v>
                </c:pt>
                <c:pt idx="70">
                  <c:v>4.1413183060939447E-2</c:v>
                </c:pt>
                <c:pt idx="71">
                  <c:v>4.1601264302045741E-2</c:v>
                </c:pt>
                <c:pt idx="72">
                  <c:v>4.1762136819694734E-2</c:v>
                </c:pt>
                <c:pt idx="73">
                  <c:v>4.1895784419734544E-2</c:v>
                </c:pt>
                <c:pt idx="74">
                  <c:v>4.2002191363608915E-2</c:v>
                </c:pt>
                <c:pt idx="75">
                  <c:v>4.2081342468480457E-2</c:v>
                </c:pt>
                <c:pt idx="76">
                  <c:v>4.2133223207223347E-2</c:v>
                </c:pt>
                <c:pt idx="77">
                  <c:v>4.2157819808552807E-2</c:v>
                </c:pt>
                <c:pt idx="78">
                  <c:v>4.2155120756607233E-2</c:v>
                </c:pt>
                <c:pt idx="79">
                  <c:v>4.2078484435990299E-2</c:v>
                </c:pt>
                <c:pt idx="80">
                  <c:v>4.1903905994043589E-2</c:v>
                </c:pt>
                <c:pt idx="81">
                  <c:v>4.1631385928385806E-2</c:v>
                </c:pt>
                <c:pt idx="82">
                  <c:v>4.12609252407969E-2</c:v>
                </c:pt>
                <c:pt idx="83">
                  <c:v>4.0792525750957695E-2</c:v>
                </c:pt>
                <c:pt idx="84">
                  <c:v>4.0226190410326296E-2</c:v>
                </c:pt>
                <c:pt idx="85">
                  <c:v>3.9548048599413348E-2</c:v>
                </c:pt>
                <c:pt idx="86">
                  <c:v>3.8809247252323736E-2</c:v>
                </c:pt>
                <c:pt idx="87">
                  <c:v>3.8009788393774419E-2</c:v>
                </c:pt>
                <c:pt idx="88">
                  <c:v>3.7149675867707579E-2</c:v>
                </c:pt>
                <c:pt idx="89">
                  <c:v>3.6228915531671534E-2</c:v>
                </c:pt>
                <c:pt idx="90">
                  <c:v>3.5247515451125526E-2</c:v>
                </c:pt>
                <c:pt idx="91">
                  <c:v>3.4205486093884456E-2</c:v>
                </c:pt>
                <c:pt idx="92">
                  <c:v>3.3102840524461496E-2</c:v>
                </c:pt>
                <c:pt idx="93">
                  <c:v>3.1947611155300287E-2</c:v>
                </c:pt>
                <c:pt idx="94">
                  <c:v>3.0786568344720829E-2</c:v>
                </c:pt>
                <c:pt idx="95">
                  <c:v>2.9619719813797876E-2</c:v>
                </c:pt>
                <c:pt idx="96">
                  <c:v>2.8447074943686621E-2</c:v>
                </c:pt>
                <c:pt idx="97">
                  <c:v>2.7268644794555378E-2</c:v>
                </c:pt>
                <c:pt idx="98">
                  <c:v>2.6084442124246397E-2</c:v>
                </c:pt>
                <c:pt idx="99">
                  <c:v>2.4916690001813846E-2</c:v>
                </c:pt>
                <c:pt idx="100">
                  <c:v>2.377925533769841E-2</c:v>
                </c:pt>
                <c:pt idx="101">
                  <c:v>2.2672142410108769E-2</c:v>
                </c:pt>
                <c:pt idx="102">
                  <c:v>2.1595355702537969E-2</c:v>
                </c:pt>
                <c:pt idx="103">
                  <c:v>2.054889980659895E-2</c:v>
                </c:pt>
                <c:pt idx="104">
                  <c:v>1.9532779325379109E-2</c:v>
                </c:pt>
                <c:pt idx="105">
                  <c:v>1.8546998776312298E-2</c:v>
                </c:pt>
                <c:pt idx="106">
                  <c:v>1.7591562494312304E-2</c:v>
                </c:pt>
                <c:pt idx="107">
                  <c:v>1.66841869272146E-2</c:v>
                </c:pt>
                <c:pt idx="108">
                  <c:v>1.5816864741919713E-2</c:v>
                </c:pt>
                <c:pt idx="109">
                  <c:v>1.4989593159019682E-2</c:v>
                </c:pt>
                <c:pt idx="110">
                  <c:v>1.4202408690585736E-2</c:v>
                </c:pt>
                <c:pt idx="111">
                  <c:v>1.3455339005404209E-2</c:v>
                </c:pt>
                <c:pt idx="112">
                  <c:v>1.274836693537028E-2</c:v>
                </c:pt>
                <c:pt idx="113">
                  <c:v>1.2096522608470127E-2</c:v>
                </c:pt>
                <c:pt idx="114">
                  <c:v>1.1477625589290654E-2</c:v>
                </c:pt>
                <c:pt idx="115">
                  <c:v>1.0891661577758264E-2</c:v>
                </c:pt>
                <c:pt idx="116">
                  <c:v>1.033861579120649E-2</c:v>
                </c:pt>
                <c:pt idx="117">
                  <c:v>9.8184728928790068E-3</c:v>
                </c:pt>
                <c:pt idx="118">
                  <c:v>9.3312169203144044E-3</c:v>
                </c:pt>
                <c:pt idx="119">
                  <c:v>8.8768312137652936E-3</c:v>
                </c:pt>
                <c:pt idx="120">
                  <c:v>8.4552983446035644E-3</c:v>
                </c:pt>
                <c:pt idx="121">
                  <c:v>8.0768384890483689E-3</c:v>
                </c:pt>
                <c:pt idx="122">
                  <c:v>7.7237704797244967E-3</c:v>
                </c:pt>
                <c:pt idx="123">
                  <c:v>7.3960799128464693E-3</c:v>
                </c:pt>
                <c:pt idx="124">
                  <c:v>7.0937516369359455E-3</c:v>
                </c:pt>
                <c:pt idx="125">
                  <c:v>6.8167696975561833E-3</c:v>
                </c:pt>
                <c:pt idx="126">
                  <c:v>6.5651172819406614E-3</c:v>
                </c:pt>
                <c:pt idx="127">
                  <c:v>6.3434788055167961E-3</c:v>
                </c:pt>
                <c:pt idx="128">
                  <c:v>6.1368413691645857E-3</c:v>
                </c:pt>
                <c:pt idx="129">
                  <c:v>5.9451948564463028E-3</c:v>
                </c:pt>
                <c:pt idx="130">
                  <c:v>5.7685285882749463E-3</c:v>
                </c:pt>
                <c:pt idx="131">
                  <c:v>5.6068312901032726E-3</c:v>
                </c:pt>
                <c:pt idx="132">
                  <c:v>5.4600910591764929E-3</c:v>
                </c:pt>
                <c:pt idx="133">
                  <c:v>5.3282953318185122E-3</c:v>
                </c:pt>
                <c:pt idx="134">
                  <c:v>5.2114308506866856E-3</c:v>
                </c:pt>
                <c:pt idx="135">
                  <c:v>5.1151708437675789E-3</c:v>
                </c:pt>
                <c:pt idx="136">
                  <c:v>5.0293042230601902E-3</c:v>
                </c:pt>
                <c:pt idx="137">
                  <c:v>4.9538205484959442E-3</c:v>
                </c:pt>
                <c:pt idx="138">
                  <c:v>4.8887088266573488E-3</c:v>
                </c:pt>
                <c:pt idx="139">
                  <c:v>4.8339574880691301E-3</c:v>
                </c:pt>
                <c:pt idx="140">
                  <c:v>4.7895543642119441E-3</c:v>
                </c:pt>
                <c:pt idx="141">
                  <c:v>4.756321398270689E-3</c:v>
                </c:pt>
                <c:pt idx="142">
                  <c:v>4.7295420143189026E-3</c:v>
                </c:pt>
                <c:pt idx="143">
                  <c:v>4.7091866064231215E-3</c:v>
                </c:pt>
                <c:pt idx="144">
                  <c:v>4.6952534605109054E-3</c:v>
                </c:pt>
                <c:pt idx="145">
                  <c:v>4.6877400028230067E-3</c:v>
                </c:pt>
                <c:pt idx="146">
                  <c:v>4.6866428872463957E-3</c:v>
                </c:pt>
                <c:pt idx="147">
                  <c:v>4.6919580828060541E-3</c:v>
                </c:pt>
                <c:pt idx="148">
                  <c:v>4.7036809610440621E-3</c:v>
                </c:pt>
                <c:pt idx="149">
                  <c:v>4.7208060528757603E-3</c:v>
                </c:pt>
                <c:pt idx="150">
                  <c:v>4.7376828230708832E-3</c:v>
                </c:pt>
                <c:pt idx="151">
                  <c:v>4.7543172828267517E-3</c:v>
                </c:pt>
                <c:pt idx="152">
                  <c:v>4.7707155596500546E-3</c:v>
                </c:pt>
                <c:pt idx="153">
                  <c:v>4.7868838950579024E-3</c:v>
                </c:pt>
                <c:pt idx="154">
                  <c:v>4.802828642304937E-3</c:v>
                </c:pt>
                <c:pt idx="155">
                  <c:v>4.8186726215377227E-3</c:v>
                </c:pt>
                <c:pt idx="156">
                  <c:v>4.8335944331678142E-3</c:v>
                </c:pt>
                <c:pt idx="157">
                  <c:v>4.847602102795303E-3</c:v>
                </c:pt>
                <c:pt idx="158">
                  <c:v>4.8607037642933171E-3</c:v>
                </c:pt>
                <c:pt idx="159">
                  <c:v>4.8729076478654047E-3</c:v>
                </c:pt>
                <c:pt idx="160">
                  <c:v>4.8842220681627677E-3</c:v>
                </c:pt>
                <c:pt idx="161">
                  <c:v>4.8946554123465531E-3</c:v>
                </c:pt>
                <c:pt idx="162">
                  <c:v>4.9042161281762451E-3</c:v>
                </c:pt>
                <c:pt idx="163">
                  <c:v>4.9120831491603406E-3</c:v>
                </c:pt>
                <c:pt idx="164">
                  <c:v>4.9192575985529292E-3</c:v>
                </c:pt>
                <c:pt idx="165">
                  <c:v>4.9257477182332171E-3</c:v>
                </c:pt>
                <c:pt idx="166">
                  <c:v>4.9315617679709985E-3</c:v>
                </c:pt>
                <c:pt idx="167">
                  <c:v>4.9367080156375353E-3</c:v>
                </c:pt>
                <c:pt idx="168">
                  <c:v>4.9411947275738071E-3</c:v>
                </c:pt>
                <c:pt idx="169">
                  <c:v>4.9442035344354051E-3</c:v>
                </c:pt>
                <c:pt idx="170">
                  <c:v>4.9456287293846348E-3</c:v>
                </c:pt>
                <c:pt idx="171">
                  <c:v>4.9454799743755577E-3</c:v>
                </c:pt>
                <c:pt idx="172">
                  <c:v>4.9437667851092732E-3</c:v>
                </c:pt>
                <c:pt idx="173">
                  <c:v>4.9404479868220257E-3</c:v>
                </c:pt>
                <c:pt idx="174">
                  <c:v>4.9354797392656517E-3</c:v>
                </c:pt>
                <c:pt idx="175">
                  <c:v>4.9288674342494775E-3</c:v>
                </c:pt>
                <c:pt idx="176">
                  <c:v>4.9206164527587238E-3</c:v>
                </c:pt>
                <c:pt idx="177">
                  <c:v>4.9108470427010314E-3</c:v>
                </c:pt>
                <c:pt idx="178">
                  <c:v>4.9003871794472435E-3</c:v>
                </c:pt>
                <c:pt idx="179">
                  <c:v>4.8892407512077483E-3</c:v>
                </c:pt>
                <c:pt idx="180">
                  <c:v>4.877411615256645E-3</c:v>
                </c:pt>
                <c:pt idx="181">
                  <c:v>4.864903593746187E-3</c:v>
                </c:pt>
                <c:pt idx="182">
                  <c:v>4.8517204695640182E-3</c:v>
                </c:pt>
                <c:pt idx="183">
                  <c:v>4.8368847923410362E-3</c:v>
                </c:pt>
                <c:pt idx="184">
                  <c:v>4.821222065659987E-3</c:v>
                </c:pt>
                <c:pt idx="185">
                  <c:v>4.8047361383330026E-3</c:v>
                </c:pt>
                <c:pt idx="186">
                  <c:v>4.7874307943931819E-3</c:v>
                </c:pt>
                <c:pt idx="187">
                  <c:v>4.769309748013313E-3</c:v>
                </c:pt>
                <c:pt idx="188">
                  <c:v>4.7503766384515578E-3</c:v>
                </c:pt>
                <c:pt idx="189">
                  <c:v>4.7306350248515396E-3</c:v>
                </c:pt>
                <c:pt idx="190">
                  <c:v>4.7100883812457427E-3</c:v>
                </c:pt>
                <c:pt idx="191">
                  <c:v>4.6895525341890728E-3</c:v>
                </c:pt>
                <c:pt idx="192">
                  <c:v>4.6689156783967373E-3</c:v>
                </c:pt>
                <c:pt idx="193">
                  <c:v>4.6481801858869508E-3</c:v>
                </c:pt>
                <c:pt idx="194">
                  <c:v>4.6273483733506766E-3</c:v>
                </c:pt>
                <c:pt idx="195">
                  <c:v>4.6064225012801647E-3</c:v>
                </c:pt>
                <c:pt idx="196">
                  <c:v>4.5854047729179115E-3</c:v>
                </c:pt>
                <c:pt idx="197">
                  <c:v>4.5698065003060657E-3</c:v>
                </c:pt>
                <c:pt idx="198">
                  <c:v>4.5605992202404737E-3</c:v>
                </c:pt>
                <c:pt idx="199">
                  <c:v>4.5577788796492495E-3</c:v>
                </c:pt>
                <c:pt idx="200">
                  <c:v>4.5613419659804935E-3</c:v>
                </c:pt>
                <c:pt idx="201">
                  <c:v>4.5712855445897722E-3</c:v>
                </c:pt>
                <c:pt idx="202">
                  <c:v>4.5876072961537999E-3</c:v>
                </c:pt>
                <c:pt idx="203">
                  <c:v>4.6103055541860611E-3</c:v>
                </c:pt>
                <c:pt idx="204">
                  <c:v>4.6393718505811843E-3</c:v>
                </c:pt>
                <c:pt idx="205">
                  <c:v>4.6793276882578566E-3</c:v>
                </c:pt>
                <c:pt idx="206">
                  <c:v>4.7293572978315841E-3</c:v>
                </c:pt>
                <c:pt idx="207">
                  <c:v>4.7894548021769215E-3</c:v>
                </c:pt>
                <c:pt idx="208">
                  <c:v>4.8596150776055022E-3</c:v>
                </c:pt>
                <c:pt idx="209">
                  <c:v>4.9398337226985714E-3</c:v>
                </c:pt>
                <c:pt idx="210">
                  <c:v>5.0301070273020025E-3</c:v>
                </c:pt>
                <c:pt idx="211">
                  <c:v>5.1402731456724991E-3</c:v>
                </c:pt>
                <c:pt idx="212">
                  <c:v>5.264835766107469E-3</c:v>
                </c:pt>
                <c:pt idx="213">
                  <c:v>5.403791743077431E-3</c:v>
                </c:pt>
                <c:pt idx="214">
                  <c:v>5.5571387862609267E-3</c:v>
                </c:pt>
                <c:pt idx="215">
                  <c:v>5.7248754159446953E-3</c:v>
                </c:pt>
                <c:pt idx="216">
                  <c:v>5.9070009184051695E-3</c:v>
                </c:pt>
                <c:pt idx="217">
                  <c:v>6.1035153013128517E-3</c:v>
                </c:pt>
                <c:pt idx="218">
                  <c:v>6.3144192491054862E-3</c:v>
                </c:pt>
                <c:pt idx="219">
                  <c:v>6.5541393569645513E-3</c:v>
                </c:pt>
                <c:pt idx="220">
                  <c:v>6.8181517898946954E-3</c:v>
                </c:pt>
                <c:pt idx="221">
                  <c:v>7.1064580733239445E-3</c:v>
                </c:pt>
                <c:pt idx="222">
                  <c:v>7.4190607501248181E-3</c:v>
                </c:pt>
                <c:pt idx="223">
                  <c:v>7.7559633053474741E-3</c:v>
                </c:pt>
                <c:pt idx="224">
                  <c:v>8.1171700907891539E-3</c:v>
                </c:pt>
                <c:pt idx="225">
                  <c:v>8.5196427974669805E-3</c:v>
                </c:pt>
                <c:pt idx="226">
                  <c:v>8.9535557689042495E-3</c:v>
                </c:pt>
                <c:pt idx="227">
                  <c:v>9.4189159913081119E-3</c:v>
                </c:pt>
                <c:pt idx="228">
                  <c:v>9.9157313019379092E-3</c:v>
                </c:pt>
                <c:pt idx="229">
                  <c:v>1.04440102914667E-2</c:v>
                </c:pt>
                <c:pt idx="230">
                  <c:v>1.10037622064822E-2</c:v>
                </c:pt>
                <c:pt idx="231">
                  <c:v>1.1594996852040039E-2</c:v>
                </c:pt>
                <c:pt idx="232">
                  <c:v>1.2217724493983718E-2</c:v>
                </c:pt>
                <c:pt idx="233">
                  <c:v>1.2893196224565921E-2</c:v>
                </c:pt>
                <c:pt idx="234">
                  <c:v>1.3607000319606532E-2</c:v>
                </c:pt>
                <c:pt idx="235">
                  <c:v>1.4359160845737981E-2</c:v>
                </c:pt>
                <c:pt idx="236">
                  <c:v>1.5149709575467222E-2</c:v>
                </c:pt>
                <c:pt idx="237">
                  <c:v>1.5978672033785592E-2</c:v>
                </c:pt>
                <c:pt idx="238">
                  <c:v>1.6846075876619345E-2</c:v>
                </c:pt>
                <c:pt idx="239">
                  <c:v>1.7759616677886822E-2</c:v>
                </c:pt>
                <c:pt idx="240">
                  <c:v>1.8702361037240971E-2</c:v>
                </c:pt>
                <c:pt idx="241">
                  <c:v>1.9674340879223071E-2</c:v>
                </c:pt>
                <c:pt idx="242">
                  <c:v>2.0675590105597306E-2</c:v>
                </c:pt>
                <c:pt idx="243">
                  <c:v>2.1706144646546171E-2</c:v>
                </c:pt>
                <c:pt idx="244">
                  <c:v>2.2766042511788185E-2</c:v>
                </c:pt>
                <c:pt idx="245">
                  <c:v>2.385532384146756E-2</c:v>
                </c:pt>
                <c:pt idx="246">
                  <c:v>2.4974030956961418E-2</c:v>
                </c:pt>
                <c:pt idx="247">
                  <c:v>2.6108935055674694E-2</c:v>
                </c:pt>
                <c:pt idx="248">
                  <c:v>2.7238804963972255E-2</c:v>
                </c:pt>
                <c:pt idx="249">
                  <c:v>2.8363672594999126E-2</c:v>
                </c:pt>
                <c:pt idx="250">
                  <c:v>2.9483570353915443E-2</c:v>
                </c:pt>
                <c:pt idx="251">
                  <c:v>3.0598531128762436E-2</c:v>
                </c:pt>
                <c:pt idx="252">
                  <c:v>3.1708588280151578E-2</c:v>
                </c:pt>
                <c:pt idx="253">
                  <c:v>3.2768975288748559E-2</c:v>
                </c:pt>
                <c:pt idx="254">
                  <c:v>3.3772015538861597E-2</c:v>
                </c:pt>
                <c:pt idx="255">
                  <c:v>3.4717707761411074E-2</c:v>
                </c:pt>
                <c:pt idx="256">
                  <c:v>3.5606047897117556E-2</c:v>
                </c:pt>
                <c:pt idx="257">
                  <c:v>3.6437028993899674E-2</c:v>
                </c:pt>
                <c:pt idx="258">
                  <c:v>3.7210641104588008E-2</c:v>
                </c:pt>
                <c:pt idx="259">
                  <c:v>3.792687118517097E-2</c:v>
                </c:pt>
                <c:pt idx="260">
                  <c:v>3.8585702991924112E-2</c:v>
                </c:pt>
                <c:pt idx="261">
                  <c:v>3.9138044867849379E-2</c:v>
                </c:pt>
                <c:pt idx="262">
                  <c:v>3.9597148107303567E-2</c:v>
                </c:pt>
                <c:pt idx="263">
                  <c:v>3.996295181121387E-2</c:v>
                </c:pt>
                <c:pt idx="264">
                  <c:v>4.0235390896667035E-2</c:v>
                </c:pt>
                <c:pt idx="265">
                  <c:v>4.0414610595975432E-2</c:v>
                </c:pt>
                <c:pt idx="266">
                  <c:v>4.0500644987534411E-2</c:v>
                </c:pt>
                <c:pt idx="267">
                  <c:v>4.0516533109181005E-2</c:v>
                </c:pt>
                <c:pt idx="268">
                  <c:v>4.0507146079588524E-2</c:v>
                </c:pt>
                <c:pt idx="269">
                  <c:v>4.0472407544081136E-2</c:v>
                </c:pt>
                <c:pt idx="270">
                  <c:v>4.0412238700707231E-2</c:v>
                </c:pt>
                <c:pt idx="271">
                  <c:v>4.0326558585736971E-2</c:v>
                </c:pt>
                <c:pt idx="272">
                  <c:v>4.021528436027947E-2</c:v>
                </c:pt>
                <c:pt idx="273">
                  <c:v>4.0078331596390133E-2</c:v>
                </c:pt>
                <c:pt idx="274">
                  <c:v>3.9915614563705765E-2</c:v>
                </c:pt>
                <c:pt idx="275">
                  <c:v>3.9816963154480113E-2</c:v>
                </c:pt>
                <c:pt idx="276">
                  <c:v>3.9831789813401235E-2</c:v>
                </c:pt>
                <c:pt idx="277">
                  <c:v>3.99602176825746E-2</c:v>
                </c:pt>
                <c:pt idx="278">
                  <c:v>4.0202375065135632E-2</c:v>
                </c:pt>
                <c:pt idx="279">
                  <c:v>4.0558394182578124E-2</c:v>
                </c:pt>
                <c:pt idx="280">
                  <c:v>4.1028409932462408E-2</c:v>
                </c:pt>
                <c:pt idx="281">
                  <c:v>4.1643728218406929E-2</c:v>
                </c:pt>
                <c:pt idx="282">
                  <c:v>4.2381190142331368E-2</c:v>
                </c:pt>
                <c:pt idx="283">
                  <c:v>4.3240943597810728E-2</c:v>
                </c:pt>
                <c:pt idx="284">
                  <c:v>4.4223134059454536E-2</c:v>
                </c:pt>
                <c:pt idx="285">
                  <c:v>4.5327903254446279E-2</c:v>
                </c:pt>
                <c:pt idx="286">
                  <c:v>4.6555387834504067E-2</c:v>
                </c:pt>
                <c:pt idx="287">
                  <c:v>4.7905718047412324E-2</c:v>
                </c:pt>
                <c:pt idx="288">
                  <c:v>4.9379016408716586E-2</c:v>
                </c:pt>
                <c:pt idx="289">
                  <c:v>5.0885675437715369E-2</c:v>
                </c:pt>
                <c:pt idx="290">
                  <c:v>5.2335053275408654E-2</c:v>
                </c:pt>
                <c:pt idx="291">
                  <c:v>5.3726976969370947E-2</c:v>
                </c:pt>
                <c:pt idx="292">
                  <c:v>5.5061270076584456E-2</c:v>
                </c:pt>
                <c:pt idx="293">
                  <c:v>5.6337753300425564E-2</c:v>
                </c:pt>
                <c:pt idx="294">
                  <c:v>5.7556245127456371E-2</c:v>
                </c:pt>
                <c:pt idx="295">
                  <c:v>5.8608294232882691E-2</c:v>
                </c:pt>
                <c:pt idx="296">
                  <c:v>5.9462892309203617E-2</c:v>
                </c:pt>
                <c:pt idx="297">
                  <c:v>6.0120211521144849E-2</c:v>
                </c:pt>
                <c:pt idx="298">
                  <c:v>6.0579936991131796E-2</c:v>
                </c:pt>
                <c:pt idx="299">
                  <c:v>6.0841744927260591E-2</c:v>
                </c:pt>
                <c:pt idx="300">
                  <c:v>6.0905304455526083E-2</c:v>
                </c:pt>
                <c:pt idx="301">
                  <c:v>6.0770279451866464E-2</c:v>
                </c:pt>
                <c:pt idx="302">
                  <c:v>6.0436330374343851E-2</c:v>
                </c:pt>
                <c:pt idx="303">
                  <c:v>5.9870184789120887E-2</c:v>
                </c:pt>
                <c:pt idx="304">
                  <c:v>5.9161812271199245E-2</c:v>
                </c:pt>
                <c:pt idx="305">
                  <c:v>5.8310956027144423E-2</c:v>
                </c:pt>
                <c:pt idx="306">
                  <c:v>5.7317362764573748E-2</c:v>
                </c:pt>
                <c:pt idx="307">
                  <c:v>5.6180783996059497E-2</c:v>
                </c:pt>
                <c:pt idx="308">
                  <c:v>5.4900977342555349E-2</c:v>
                </c:pt>
                <c:pt idx="309">
                  <c:v>5.3499664256015607E-2</c:v>
                </c:pt>
                <c:pt idx="310">
                  <c:v>5.208568541717723E-2</c:v>
                </c:pt>
                <c:pt idx="311">
                  <c:v>5.0659001629174014E-2</c:v>
                </c:pt>
                <c:pt idx="312">
                  <c:v>4.9219579402468322E-2</c:v>
                </c:pt>
                <c:pt idx="313">
                  <c:v>4.7767391056683366E-2</c:v>
                </c:pt>
                <c:pt idx="314">
                  <c:v>4.6302414821976105E-2</c:v>
                </c:pt>
                <c:pt idx="315">
                  <c:v>4.482463494101728E-2</c:v>
                </c:pt>
                <c:pt idx="316">
                  <c:v>4.3334041770233672E-2</c:v>
                </c:pt>
                <c:pt idx="317">
                  <c:v>4.1862324708078318E-2</c:v>
                </c:pt>
                <c:pt idx="318">
                  <c:v>4.0442673756114635E-2</c:v>
                </c:pt>
                <c:pt idx="319">
                  <c:v>3.907516858684059E-2</c:v>
                </c:pt>
                <c:pt idx="320">
                  <c:v>3.7759889698435363E-2</c:v>
                </c:pt>
                <c:pt idx="321">
                  <c:v>3.6496917923324775E-2</c:v>
                </c:pt>
                <c:pt idx="322">
                  <c:v>3.5286333936873568E-2</c:v>
                </c:pt>
                <c:pt idx="323">
                  <c:v>3.4153159034313672E-2</c:v>
                </c:pt>
                <c:pt idx="324">
                  <c:v>3.3075409668999287E-2</c:v>
                </c:pt>
                <c:pt idx="325">
                  <c:v>3.2053162115111528E-2</c:v>
                </c:pt>
                <c:pt idx="326">
                  <c:v>3.108629697348721E-2</c:v>
                </c:pt>
                <c:pt idx="327">
                  <c:v>3.0174839818150681E-2</c:v>
                </c:pt>
                <c:pt idx="328">
                  <c:v>2.9318968118714889E-2</c:v>
                </c:pt>
                <c:pt idx="329">
                  <c:v>2.8518842719661468E-2</c:v>
                </c:pt>
                <c:pt idx="330">
                  <c:v>2.7774609021406351E-2</c:v>
                </c:pt>
                <c:pt idx="331">
                  <c:v>2.7103289727228728E-2</c:v>
                </c:pt>
                <c:pt idx="332">
                  <c:v>2.6473195153660183E-2</c:v>
                </c:pt>
                <c:pt idx="333">
                  <c:v>2.5884426979990327E-2</c:v>
                </c:pt>
                <c:pt idx="334">
                  <c:v>2.5337077611592776E-2</c:v>
                </c:pt>
                <c:pt idx="335">
                  <c:v>2.483123105114084E-2</c:v>
                </c:pt>
                <c:pt idx="336">
                  <c:v>2.4366963769475898E-2</c:v>
                </c:pt>
                <c:pt idx="337">
                  <c:v>2.3959151662377855E-2</c:v>
                </c:pt>
                <c:pt idx="338">
                  <c:v>2.3582868431374665E-2</c:v>
                </c:pt>
                <c:pt idx="339">
                  <c:v>2.3238172230507406E-2</c:v>
                </c:pt>
                <c:pt idx="340">
                  <c:v>2.2925117416889386E-2</c:v>
                </c:pt>
                <c:pt idx="341">
                  <c:v>2.2643755210021554E-2</c:v>
                </c:pt>
                <c:pt idx="342">
                  <c:v>2.239413435108268E-2</c:v>
                </c:pt>
                <c:pt idx="343">
                  <c:v>2.2176301761948378E-2</c:v>
                </c:pt>
                <c:pt idx="344">
                  <c:v>2.1990303204567296E-2</c:v>
                </c:pt>
                <c:pt idx="345">
                  <c:v>2.1836183940098196E-2</c:v>
                </c:pt>
                <c:pt idx="346">
                  <c:v>2.1701501512524757E-2</c:v>
                </c:pt>
                <c:pt idx="347">
                  <c:v>2.1586299670948144E-2</c:v>
                </c:pt>
                <c:pt idx="348">
                  <c:v>2.1490622552120996E-2</c:v>
                </c:pt>
                <c:pt idx="349">
                  <c:v>2.1414515079901296E-2</c:v>
                </c:pt>
                <c:pt idx="350">
                  <c:v>2.135802336521038E-2</c:v>
                </c:pt>
                <c:pt idx="351">
                  <c:v>2.1325612236482865E-2</c:v>
                </c:pt>
                <c:pt idx="352">
                  <c:v>2.1302513418756094E-2</c:v>
                </c:pt>
                <c:pt idx="353">
                  <c:v>2.1288773547027427E-2</c:v>
                </c:pt>
                <c:pt idx="354">
                  <c:v>2.1284440394139213E-2</c:v>
                </c:pt>
                <c:pt idx="355">
                  <c:v>2.1289563053259328E-2</c:v>
                </c:pt>
                <c:pt idx="356">
                  <c:v>2.1304206843869158E-2</c:v>
                </c:pt>
                <c:pt idx="357">
                  <c:v>2.1328376573256279E-2</c:v>
                </c:pt>
                <c:pt idx="358">
                  <c:v>2.1362027278747229E-2</c:v>
                </c:pt>
                <c:pt idx="359">
                  <c:v>2.1405115314540941E-2</c:v>
                </c:pt>
                <c:pt idx="360">
                  <c:v>2.1472452161330202E-2</c:v>
                </c:pt>
                <c:pt idx="361">
                  <c:v>2.1559584400343508E-2</c:v>
                </c:pt>
                <c:pt idx="362">
                  <c:v>2.1666485056187443E-2</c:v>
                </c:pt>
                <c:pt idx="363">
                  <c:v>2.1793128428885294E-2</c:v>
                </c:pt>
                <c:pt idx="364">
                  <c:v>2.1939489600787829E-2</c:v>
                </c:pt>
                <c:pt idx="365">
                  <c:v>2.2105543943224011E-2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3.4473361564523852E-2</c:v>
                </c:pt>
                <c:pt idx="1">
                  <c:v>3.455841333417696E-2</c:v>
                </c:pt>
                <c:pt idx="2">
                  <c:v>3.4676471704466007E-2</c:v>
                </c:pt>
                <c:pt idx="3">
                  <c:v>3.4827496588261758E-2</c:v>
                </c:pt>
                <c:pt idx="4">
                  <c:v>3.5011447373265024E-2</c:v>
                </c:pt>
                <c:pt idx="5">
                  <c:v>3.5228282086849666E-2</c:v>
                </c:pt>
                <c:pt idx="6">
                  <c:v>3.5477956561355467E-2</c:v>
                </c:pt>
                <c:pt idx="7">
                  <c:v>3.576042359859196E-2</c:v>
                </c:pt>
                <c:pt idx="8">
                  <c:v>3.6075632134828547E-2</c:v>
                </c:pt>
                <c:pt idx="9">
                  <c:v>3.6450380358042905E-2</c:v>
                </c:pt>
                <c:pt idx="10">
                  <c:v>3.6869676219136588E-2</c:v>
                </c:pt>
                <c:pt idx="11">
                  <c:v>3.7333465507958206E-2</c:v>
                </c:pt>
                <c:pt idx="12">
                  <c:v>3.7841685147858961E-2</c:v>
                </c:pt>
                <c:pt idx="13">
                  <c:v>3.8394262058229836E-2</c:v>
                </c:pt>
                <c:pt idx="14">
                  <c:v>3.899111201637806E-2</c:v>
                </c:pt>
                <c:pt idx="15">
                  <c:v>3.9668576823212537E-2</c:v>
                </c:pt>
                <c:pt idx="16">
                  <c:v>4.0408649809844634E-2</c:v>
                </c:pt>
                <c:pt idx="17">
                  <c:v>4.121121743647934E-2</c:v>
                </c:pt>
                <c:pt idx="18">
                  <c:v>4.2076146255255062E-2</c:v>
                </c:pt>
                <c:pt idx="19">
                  <c:v>4.3003521171417786E-2</c:v>
                </c:pt>
                <c:pt idx="20">
                  <c:v>4.399353689882584E-2</c:v>
                </c:pt>
                <c:pt idx="21">
                  <c:v>4.5046205081920317E-2</c:v>
                </c:pt>
                <c:pt idx="22">
                  <c:v>4.6161533034219368E-2</c:v>
                </c:pt>
                <c:pt idx="23">
                  <c:v>4.7373991410525979E-2</c:v>
                </c:pt>
                <c:pt idx="24">
                  <c:v>4.8656631299143799E-2</c:v>
                </c:pt>
                <c:pt idx="25">
                  <c:v>5.0009451011391579E-2</c:v>
                </c:pt>
                <c:pt idx="26">
                  <c:v>5.1432447040649157E-2</c:v>
                </c:pt>
                <c:pt idx="27">
                  <c:v>5.2925614949101162E-2</c:v>
                </c:pt>
                <c:pt idx="28">
                  <c:v>5.448895025556541E-2</c:v>
                </c:pt>
                <c:pt idx="29">
                  <c:v>5.61027335695755E-2</c:v>
                </c:pt>
                <c:pt idx="30">
                  <c:v>5.7730465504521128E-2</c:v>
                </c:pt>
                <c:pt idx="31">
                  <c:v>5.9372153488305032E-2</c:v>
                </c:pt>
                <c:pt idx="32">
                  <c:v>6.1027812051101131E-2</c:v>
                </c:pt>
                <c:pt idx="33">
                  <c:v>6.269746300971285E-2</c:v>
                </c:pt>
                <c:pt idx="34">
                  <c:v>6.4381135652203103E-2</c:v>
                </c:pt>
                <c:pt idx="35">
                  <c:v>6.6078866922495358E-2</c:v>
                </c:pt>
                <c:pt idx="36">
                  <c:v>6.7790701604853162E-2</c:v>
                </c:pt>
                <c:pt idx="37">
                  <c:v>6.9412757009316289E-2</c:v>
                </c:pt>
                <c:pt idx="38">
                  <c:v>7.0910666444823287E-2</c:v>
                </c:pt>
                <c:pt idx="39">
                  <c:v>7.2284536643976549E-2</c:v>
                </c:pt>
                <c:pt idx="40">
                  <c:v>7.3534483191019878E-2</c:v>
                </c:pt>
                <c:pt idx="41">
                  <c:v>7.4660628975873944E-2</c:v>
                </c:pt>
                <c:pt idx="42">
                  <c:v>7.5663102647691133E-2</c:v>
                </c:pt>
                <c:pt idx="43">
                  <c:v>7.6425198218049731E-2</c:v>
                </c:pt>
                <c:pt idx="44">
                  <c:v>7.6966774244051031E-2</c:v>
                </c:pt>
                <c:pt idx="45">
                  <c:v>7.7287987445226775E-2</c:v>
                </c:pt>
                <c:pt idx="46">
                  <c:v>7.7388989710814482E-2</c:v>
                </c:pt>
                <c:pt idx="47">
                  <c:v>7.7269925338338152E-2</c:v>
                </c:pt>
                <c:pt idx="48">
                  <c:v>7.6930928271180699E-2</c:v>
                </c:pt>
                <c:pt idx="49">
                  <c:v>7.6372119336854616E-2</c:v>
                </c:pt>
                <c:pt idx="50">
                  <c:v>7.5593603484801E-2</c:v>
                </c:pt>
                <c:pt idx="51">
                  <c:v>7.4584222769702058E-2</c:v>
                </c:pt>
                <c:pt idx="52">
                  <c:v>7.3447474901736962E-2</c:v>
                </c:pt>
                <c:pt idx="53">
                  <c:v>7.2182949500965279E-2</c:v>
                </c:pt>
                <c:pt idx="54">
                  <c:v>7.0790610140355537E-2</c:v>
                </c:pt>
                <c:pt idx="55">
                  <c:v>6.9270420151681292E-2</c:v>
                </c:pt>
                <c:pt idx="56">
                  <c:v>6.762234309916533E-2</c:v>
                </c:pt>
                <c:pt idx="57">
                  <c:v>6.5954348672076779E-2</c:v>
                </c:pt>
                <c:pt idx="58">
                  <c:v>6.4383192531774519E-2</c:v>
                </c:pt>
                <c:pt idx="59">
                  <c:v>6.290884637740457E-2</c:v>
                </c:pt>
                <c:pt idx="60">
                  <c:v>6.153128475585766E-2</c:v>
                </c:pt>
                <c:pt idx="61">
                  <c:v>6.025048470381026E-2</c:v>
                </c:pt>
                <c:pt idx="62">
                  <c:v>5.9066425389674465E-2</c:v>
                </c:pt>
                <c:pt idx="63">
                  <c:v>5.797908775573013E-2</c:v>
                </c:pt>
                <c:pt idx="64">
                  <c:v>5.6988454160017486E-2</c:v>
                </c:pt>
                <c:pt idx="65">
                  <c:v>5.6153237814637325E-2</c:v>
                </c:pt>
                <c:pt idx="66">
                  <c:v>5.54846681246371E-2</c:v>
                </c:pt>
                <c:pt idx="67">
                  <c:v>5.4982729455385439E-2</c:v>
                </c:pt>
                <c:pt idx="68">
                  <c:v>5.4647405100856007E-2</c:v>
                </c:pt>
                <c:pt idx="69">
                  <c:v>5.447867666660431E-2</c:v>
                </c:pt>
                <c:pt idx="70">
                  <c:v>5.4476523453003994E-2</c:v>
                </c:pt>
                <c:pt idx="71">
                  <c:v>5.4591635391101616E-2</c:v>
                </c:pt>
                <c:pt idx="72">
                  <c:v>5.4715979974129872E-2</c:v>
                </c:pt>
                <c:pt idx="73">
                  <c:v>5.4849535090684763E-2</c:v>
                </c:pt>
                <c:pt idx="74">
                  <c:v>5.4992278201707226E-2</c:v>
                </c:pt>
                <c:pt idx="75">
                  <c:v>5.514418630563362E-2</c:v>
                </c:pt>
                <c:pt idx="76">
                  <c:v>5.5305235903375778E-2</c:v>
                </c:pt>
                <c:pt idx="77">
                  <c:v>5.5475402963479699E-2</c:v>
                </c:pt>
                <c:pt idx="78">
                  <c:v>5.5654664734892209E-2</c:v>
                </c:pt>
                <c:pt idx="79">
                  <c:v>5.5789780296393796E-2</c:v>
                </c:pt>
                <c:pt idx="80">
                  <c:v>5.5822175278756214E-2</c:v>
                </c:pt>
                <c:pt idx="81">
                  <c:v>5.575184629266107E-2</c:v>
                </c:pt>
                <c:pt idx="82">
                  <c:v>5.5578790200658257E-2</c:v>
                </c:pt>
                <c:pt idx="83">
                  <c:v>5.5303004446135492E-2</c:v>
                </c:pt>
                <c:pt idx="84">
                  <c:v>5.4924487382472367E-2</c:v>
                </c:pt>
                <c:pt idx="85">
                  <c:v>5.4406939756022128E-2</c:v>
                </c:pt>
                <c:pt idx="86">
                  <c:v>5.3799625816462318E-2</c:v>
                </c:pt>
                <c:pt idx="87">
                  <c:v>5.3102546679907547E-2</c:v>
                </c:pt>
                <c:pt idx="88">
                  <c:v>5.2315705531350273E-2</c:v>
                </c:pt>
                <c:pt idx="89">
                  <c:v>5.1439107912172148E-2</c:v>
                </c:pt>
                <c:pt idx="90">
                  <c:v>5.0472762007547939E-2</c:v>
                </c:pt>
                <c:pt idx="91">
                  <c:v>4.9416678934047158E-2</c:v>
                </c:pt>
                <c:pt idx="92">
                  <c:v>4.8270873027093125E-2</c:v>
                </c:pt>
                <c:pt idx="93">
                  <c:v>4.7024413836572042E-2</c:v>
                </c:pt>
                <c:pt idx="94">
                  <c:v>4.5730713209597262E-2</c:v>
                </c:pt>
                <c:pt idx="95">
                  <c:v>4.4389786032770218E-2</c:v>
                </c:pt>
                <c:pt idx="96">
                  <c:v>4.3001650255203118E-2</c:v>
                </c:pt>
                <c:pt idx="97">
                  <c:v>4.1566327040189567E-2</c:v>
                </c:pt>
                <c:pt idx="98">
                  <c:v>4.0083840916470707E-2</c:v>
                </c:pt>
                <c:pt idx="99">
                  <c:v>3.8579346322604832E-2</c:v>
                </c:pt>
                <c:pt idx="100">
                  <c:v>3.7089121631786848E-2</c:v>
                </c:pt>
                <c:pt idx="101">
                  <c:v>3.5613179344531495E-2</c:v>
                </c:pt>
                <c:pt idx="102">
                  <c:v>3.415153328105696E-2</c:v>
                </c:pt>
                <c:pt idx="103">
                  <c:v>3.2704198535432757E-2</c:v>
                </c:pt>
                <c:pt idx="104">
                  <c:v>3.1271191430545284E-2</c:v>
                </c:pt>
                <c:pt idx="105">
                  <c:v>2.9852529472303657E-2</c:v>
                </c:pt>
                <c:pt idx="106">
                  <c:v>2.8448231304258071E-2</c:v>
                </c:pt>
                <c:pt idx="107">
                  <c:v>2.7082434300229479E-2</c:v>
                </c:pt>
                <c:pt idx="108">
                  <c:v>2.576607401875914E-2</c:v>
                </c:pt>
                <c:pt idx="109">
                  <c:v>2.4499151758630246E-2</c:v>
                </c:pt>
                <c:pt idx="110">
                  <c:v>2.3281734013080535E-2</c:v>
                </c:pt>
                <c:pt idx="111">
                  <c:v>2.2113874266455072E-2</c:v>
                </c:pt>
                <c:pt idx="112">
                  <c:v>2.0995553314936726E-2</c:v>
                </c:pt>
                <c:pt idx="113">
                  <c:v>1.9947790356188353E-2</c:v>
                </c:pt>
                <c:pt idx="114">
                  <c:v>1.894548883226525E-2</c:v>
                </c:pt>
                <c:pt idx="115">
                  <c:v>1.798863056882518E-2</c:v>
                </c:pt>
                <c:pt idx="116">
                  <c:v>1.7077196856213409E-2</c:v>
                </c:pt>
                <c:pt idx="117">
                  <c:v>1.6211168350934051E-2</c:v>
                </c:pt>
                <c:pt idx="118">
                  <c:v>1.5390524976926211E-2</c:v>
                </c:pt>
                <c:pt idx="119">
                  <c:v>1.4615245826896803E-2</c:v>
                </c:pt>
                <c:pt idx="120">
                  <c:v>1.3885309063630721E-2</c:v>
                </c:pt>
                <c:pt idx="121">
                  <c:v>1.3218597847951079E-2</c:v>
                </c:pt>
                <c:pt idx="122">
                  <c:v>1.2591036073325077E-2</c:v>
                </c:pt>
                <c:pt idx="123">
                  <c:v>1.2002603091559653E-2</c:v>
                </c:pt>
                <c:pt idx="124">
                  <c:v>1.1453277175975479E-2</c:v>
                </c:pt>
                <c:pt idx="125">
                  <c:v>1.0943035436285976E-2</c:v>
                </c:pt>
                <c:pt idx="126">
                  <c:v>1.0471853733304108E-2</c:v>
                </c:pt>
                <c:pt idx="127">
                  <c:v>1.0051500813510479E-2</c:v>
                </c:pt>
                <c:pt idx="128">
                  <c:v>9.6609810984026739E-3</c:v>
                </c:pt>
                <c:pt idx="129">
                  <c:v>9.3002745594073684E-3</c:v>
                </c:pt>
                <c:pt idx="130">
                  <c:v>8.969360032149239E-3</c:v>
                </c:pt>
                <c:pt idx="131">
                  <c:v>8.6682151512441526E-3</c:v>
                </c:pt>
                <c:pt idx="132">
                  <c:v>8.3968162851940174E-3</c:v>
                </c:pt>
                <c:pt idx="133">
                  <c:v>8.1551384713328835E-3</c:v>
                </c:pt>
                <c:pt idx="134">
                  <c:v>7.9431553507236501E-3</c:v>
                </c:pt>
                <c:pt idx="135">
                  <c:v>7.7687625644005821E-3</c:v>
                </c:pt>
                <c:pt idx="136">
                  <c:v>7.6141006709367015E-3</c:v>
                </c:pt>
                <c:pt idx="137">
                  <c:v>7.4791500664288706E-3</c:v>
                </c:pt>
                <c:pt idx="138">
                  <c:v>7.3638900906089731E-3</c:v>
                </c:pt>
                <c:pt idx="139">
                  <c:v>7.2682989837152146E-3</c:v>
                </c:pt>
                <c:pt idx="140">
                  <c:v>7.1923538429449797E-3</c:v>
                </c:pt>
                <c:pt idx="141">
                  <c:v>7.135853358825322E-3</c:v>
                </c:pt>
                <c:pt idx="142">
                  <c:v>7.08700480266845E-3</c:v>
                </c:pt>
                <c:pt idx="143">
                  <c:v>7.0457670267039928E-3</c:v>
                </c:pt>
                <c:pt idx="144">
                  <c:v>7.0121409773738191E-3</c:v>
                </c:pt>
                <c:pt idx="145">
                  <c:v>6.9861264923707055E-3</c:v>
                </c:pt>
                <c:pt idx="146">
                  <c:v>6.967722404303104E-3</c:v>
                </c:pt>
                <c:pt idx="147">
                  <c:v>6.9569266445970541E-3</c:v>
                </c:pt>
                <c:pt idx="148">
                  <c:v>6.9537363472296498E-3</c:v>
                </c:pt>
                <c:pt idx="149">
                  <c:v>6.9577562810758447E-3</c:v>
                </c:pt>
                <c:pt idx="150">
                  <c:v>6.961115923648154E-3</c:v>
                </c:pt>
                <c:pt idx="151">
                  <c:v>6.9638254078720242E-3</c:v>
                </c:pt>
                <c:pt idx="152">
                  <c:v>6.9658949414131517E-3</c:v>
                </c:pt>
                <c:pt idx="153">
                  <c:v>6.9673347989865951E-3</c:v>
                </c:pt>
                <c:pt idx="154">
                  <c:v>6.968155314704262E-3</c:v>
                </c:pt>
                <c:pt idx="155">
                  <c:v>6.9688110255029957E-3</c:v>
                </c:pt>
                <c:pt idx="156">
                  <c:v>6.96948725910635E-3</c:v>
                </c:pt>
                <c:pt idx="157">
                  <c:v>6.970193301329709E-3</c:v>
                </c:pt>
                <c:pt idx="158">
                  <c:v>6.9709384647946328E-3</c:v>
                </c:pt>
                <c:pt idx="159">
                  <c:v>6.9717320896205371E-3</c:v>
                </c:pt>
                <c:pt idx="160">
                  <c:v>6.972583544202382E-3</c:v>
                </c:pt>
                <c:pt idx="161">
                  <c:v>6.9735022259093888E-3</c:v>
                </c:pt>
                <c:pt idx="162">
                  <c:v>6.9744975618213296E-3</c:v>
                </c:pt>
                <c:pt idx="163">
                  <c:v>6.975040766746275E-3</c:v>
                </c:pt>
                <c:pt idx="164">
                  <c:v>6.9755303643430815E-3</c:v>
                </c:pt>
                <c:pt idx="165">
                  <c:v>6.975976134989223E-3</c:v>
                </c:pt>
                <c:pt idx="166">
                  <c:v>6.9763878800762546E-3</c:v>
                </c:pt>
                <c:pt idx="167">
                  <c:v>6.9767754205884332E-3</c:v>
                </c:pt>
                <c:pt idx="168">
                  <c:v>6.9771485959041514E-3</c:v>
                </c:pt>
                <c:pt idx="169">
                  <c:v>6.9769809263097345E-3</c:v>
                </c:pt>
                <c:pt idx="170">
                  <c:v>6.975843057298755E-3</c:v>
                </c:pt>
                <c:pt idx="171">
                  <c:v>6.9737464036582824E-3</c:v>
                </c:pt>
                <c:pt idx="172">
                  <c:v>6.9707022852913596E-3</c:v>
                </c:pt>
                <c:pt idx="173">
                  <c:v>6.9666506707291203E-3</c:v>
                </c:pt>
                <c:pt idx="174">
                  <c:v>6.9615278375089124E-3</c:v>
                </c:pt>
                <c:pt idx="175">
                  <c:v>6.9553394874539189E-3</c:v>
                </c:pt>
                <c:pt idx="176">
                  <c:v>6.9480913153984946E-3</c:v>
                </c:pt>
                <c:pt idx="177">
                  <c:v>6.9402275429816572E-3</c:v>
                </c:pt>
                <c:pt idx="178">
                  <c:v>6.9322870390493823E-3</c:v>
                </c:pt>
                <c:pt idx="179">
                  <c:v>6.9242739883713968E-3</c:v>
                </c:pt>
                <c:pt idx="180">
                  <c:v>6.9161925636158162E-3</c:v>
                </c:pt>
                <c:pt idx="181">
                  <c:v>6.9080469247493346E-3</c:v>
                </c:pt>
                <c:pt idx="182">
                  <c:v>6.8998412184979492E-3</c:v>
                </c:pt>
                <c:pt idx="183">
                  <c:v>6.8911954007579313E-3</c:v>
                </c:pt>
                <c:pt idx="184">
                  <c:v>6.8826464417108815E-3</c:v>
                </c:pt>
                <c:pt idx="185">
                  <c:v>6.8741982279203031E-3</c:v>
                </c:pt>
                <c:pt idx="186">
                  <c:v>6.8658546355642256E-3</c:v>
                </c:pt>
                <c:pt idx="187">
                  <c:v>6.8576195307778545E-3</c:v>
                </c:pt>
                <c:pt idx="188">
                  <c:v>6.8494967700355137E-3</c:v>
                </c:pt>
                <c:pt idx="189">
                  <c:v>6.8414902003232038E-3</c:v>
                </c:pt>
                <c:pt idx="190">
                  <c:v>6.8336036596036657E-3</c:v>
                </c:pt>
                <c:pt idx="191">
                  <c:v>6.8256684890277844E-3</c:v>
                </c:pt>
                <c:pt idx="192">
                  <c:v>6.8172532399760283E-3</c:v>
                </c:pt>
                <c:pt idx="193">
                  <c:v>6.8083624531683172E-3</c:v>
                </c:pt>
                <c:pt idx="194">
                  <c:v>6.7990006188552417E-3</c:v>
                </c:pt>
                <c:pt idx="195">
                  <c:v>6.7891721736899431E-3</c:v>
                </c:pt>
                <c:pt idx="196">
                  <c:v>6.7788814973373567E-3</c:v>
                </c:pt>
                <c:pt idx="197">
                  <c:v>6.7758083174559803E-3</c:v>
                </c:pt>
                <c:pt idx="198">
                  <c:v>6.7803308526857165E-3</c:v>
                </c:pt>
                <c:pt idx="199">
                  <c:v>6.7924457752158128E-3</c:v>
                </c:pt>
                <c:pt idx="200">
                  <c:v>6.8121504367064161E-3</c:v>
                </c:pt>
                <c:pt idx="201">
                  <c:v>6.8394429126653515E-3</c:v>
                </c:pt>
                <c:pt idx="202">
                  <c:v>6.8743220468633244E-3</c:v>
                </c:pt>
                <c:pt idx="203">
                  <c:v>6.9167874959019616E-3</c:v>
                </c:pt>
                <c:pt idx="204">
                  <c:v>6.9668285232771538E-3</c:v>
                </c:pt>
                <c:pt idx="205">
                  <c:v>7.0357988801056388E-3</c:v>
                </c:pt>
                <c:pt idx="206">
                  <c:v>7.1238579705438926E-3</c:v>
                </c:pt>
                <c:pt idx="207">
                  <c:v>7.230994916183512E-3</c:v>
                </c:pt>
                <c:pt idx="208">
                  <c:v>7.3572002769750379E-3</c:v>
                </c:pt>
                <c:pt idx="209">
                  <c:v>7.502465992122777E-3</c:v>
                </c:pt>
                <c:pt idx="210">
                  <c:v>7.6667853212255277E-3</c:v>
                </c:pt>
                <c:pt idx="211">
                  <c:v>7.8673640766691883E-3</c:v>
                </c:pt>
                <c:pt idx="212">
                  <c:v>8.096542387406756E-3</c:v>
                </c:pt>
                <c:pt idx="213">
                  <c:v>8.3543140568884608E-3</c:v>
                </c:pt>
                <c:pt idx="214">
                  <c:v>8.6406746122238975E-3</c:v>
                </c:pt>
                <c:pt idx="215">
                  <c:v>8.9556212155025502E-3</c:v>
                </c:pt>
                <c:pt idx="216">
                  <c:v>9.2991525750857427E-3</c:v>
                </c:pt>
                <c:pt idx="217">
                  <c:v>9.671268856934678E-3</c:v>
                </c:pt>
                <c:pt idx="218">
                  <c:v>1.0071971595889956E-2</c:v>
                </c:pt>
                <c:pt idx="219">
                  <c:v>1.0521432059430156E-2</c:v>
                </c:pt>
                <c:pt idx="220">
                  <c:v>1.1008305093588999E-2</c:v>
                </c:pt>
                <c:pt idx="221">
                  <c:v>1.153259519178043E-2</c:v>
                </c:pt>
                <c:pt idx="222">
                  <c:v>1.2094308314861241E-2</c:v>
                </c:pt>
                <c:pt idx="223">
                  <c:v>1.2693451775204827E-2</c:v>
                </c:pt>
                <c:pt idx="224">
                  <c:v>1.3330034120511137E-2</c:v>
                </c:pt>
                <c:pt idx="225">
                  <c:v>1.4027153478962495E-2</c:v>
                </c:pt>
                <c:pt idx="226">
                  <c:v>1.4767626223930887E-2</c:v>
                </c:pt>
                <c:pt idx="227">
                  <c:v>1.5551464518391919E-2</c:v>
                </c:pt>
                <c:pt idx="228">
                  <c:v>1.6378681521421568E-2</c:v>
                </c:pt>
                <c:pt idx="229">
                  <c:v>1.7249291253582169E-2</c:v>
                </c:pt>
                <c:pt idx="230">
                  <c:v>1.8163308462538455E-2</c:v>
                </c:pt>
                <c:pt idx="231">
                  <c:v>1.9120748488760185E-2</c:v>
                </c:pt>
                <c:pt idx="232">
                  <c:v>2.0121627130839471E-2</c:v>
                </c:pt>
                <c:pt idx="233">
                  <c:v>2.1189991577935625E-2</c:v>
                </c:pt>
                <c:pt idx="234">
                  <c:v>2.2305692580651675E-2</c:v>
                </c:pt>
                <c:pt idx="235">
                  <c:v>2.3468766427101814E-2</c:v>
                </c:pt>
                <c:pt idx="236">
                  <c:v>2.4679261323493844E-2</c:v>
                </c:pt>
                <c:pt idx="237">
                  <c:v>2.5937214528209431E-2</c:v>
                </c:pt>
                <c:pt idx="238">
                  <c:v>2.7242666094162874E-2</c:v>
                </c:pt>
                <c:pt idx="239">
                  <c:v>2.8585189802813247E-2</c:v>
                </c:pt>
                <c:pt idx="240">
                  <c:v>2.9941725263789756E-2</c:v>
                </c:pt>
                <c:pt idx="241">
                  <c:v>3.1312311424150488E-2</c:v>
                </c:pt>
                <c:pt idx="242">
                  <c:v>3.269698880272736E-2</c:v>
                </c:pt>
                <c:pt idx="243">
                  <c:v>3.4095799514346915E-2</c:v>
                </c:pt>
                <c:pt idx="244">
                  <c:v>3.5508787293919895E-2</c:v>
                </c:pt>
                <c:pt idx="245">
                  <c:v>3.6935997520171134E-2</c:v>
                </c:pt>
                <c:pt idx="246">
                  <c:v>3.8377477239252139E-2</c:v>
                </c:pt>
                <c:pt idx="247">
                  <c:v>3.9798550363307116E-2</c:v>
                </c:pt>
                <c:pt idx="248">
                  <c:v>4.1175184680644301E-2</c:v>
                </c:pt>
                <c:pt idx="249">
                  <c:v>4.2507402686808929E-2</c:v>
                </c:pt>
                <c:pt idx="250">
                  <c:v>4.3795225409755473E-2</c:v>
                </c:pt>
                <c:pt idx="251">
                  <c:v>4.5038672331262512E-2</c:v>
                </c:pt>
                <c:pt idx="252">
                  <c:v>4.623776130657202E-2</c:v>
                </c:pt>
                <c:pt idx="253">
                  <c:v>4.7341351220596475E-2</c:v>
                </c:pt>
                <c:pt idx="254">
                  <c:v>4.835991646479984E-2</c:v>
                </c:pt>
                <c:pt idx="255">
                  <c:v>4.9293441158659086E-2</c:v>
                </c:pt>
                <c:pt idx="256">
                  <c:v>5.0141904967196754E-2</c:v>
                </c:pt>
                <c:pt idx="257">
                  <c:v>5.0905282949236762E-2</c:v>
                </c:pt>
                <c:pt idx="258">
                  <c:v>5.158354540611812E-2</c:v>
                </c:pt>
                <c:pt idx="259">
                  <c:v>5.2176657731138179E-2</c:v>
                </c:pt>
                <c:pt idx="260">
                  <c:v>5.2684580257436588E-2</c:v>
                </c:pt>
                <c:pt idx="261">
                  <c:v>5.3060001299108324E-2</c:v>
                </c:pt>
                <c:pt idx="262">
                  <c:v>5.3337669341069593E-2</c:v>
                </c:pt>
                <c:pt idx="263">
                  <c:v>5.3517515621805865E-2</c:v>
                </c:pt>
                <c:pt idx="264">
                  <c:v>5.359946739481232E-2</c:v>
                </c:pt>
                <c:pt idx="265">
                  <c:v>5.3583732307271113E-2</c:v>
                </c:pt>
                <c:pt idx="266">
                  <c:v>5.3470367961757741E-2</c:v>
                </c:pt>
                <c:pt idx="267">
                  <c:v>5.3315636603650574E-2</c:v>
                </c:pt>
                <c:pt idx="268">
                  <c:v>5.3170802022098215E-2</c:v>
                </c:pt>
                <c:pt idx="269">
                  <c:v>5.3035807579570611E-2</c:v>
                </c:pt>
                <c:pt idx="270">
                  <c:v>5.2910598262465081E-2</c:v>
                </c:pt>
                <c:pt idx="271">
                  <c:v>5.2795120580032578E-2</c:v>
                </c:pt>
                <c:pt idx="272">
                  <c:v>5.2689322464775985E-2</c:v>
                </c:pt>
                <c:pt idx="273">
                  <c:v>5.2593153172179101E-2</c:v>
                </c:pt>
                <c:pt idx="274">
                  <c:v>5.2506563181126752E-2</c:v>
                </c:pt>
                <c:pt idx="275">
                  <c:v>5.2533658640516907E-2</c:v>
                </c:pt>
                <c:pt idx="276">
                  <c:v>5.2722096959680248E-2</c:v>
                </c:pt>
                <c:pt idx="277">
                  <c:v>5.3072061725256379E-2</c:v>
                </c:pt>
                <c:pt idx="278">
                  <c:v>5.3583743112601383E-2</c:v>
                </c:pt>
                <c:pt idx="279">
                  <c:v>5.4257336120382228E-2</c:v>
                </c:pt>
                <c:pt idx="280">
                  <c:v>5.5093038805677223E-2</c:v>
                </c:pt>
                <c:pt idx="281">
                  <c:v>5.6080174212330122E-2</c:v>
                </c:pt>
                <c:pt idx="282">
                  <c:v>5.7162088865706208E-2</c:v>
                </c:pt>
                <c:pt idx="283">
                  <c:v>5.8338873161236732E-2</c:v>
                </c:pt>
                <c:pt idx="284">
                  <c:v>5.9610613437982761E-2</c:v>
                </c:pt>
                <c:pt idx="285">
                  <c:v>6.0977390954013472E-2</c:v>
                </c:pt>
                <c:pt idx="286">
                  <c:v>6.2439280862352696E-2</c:v>
                </c:pt>
                <c:pt idx="287">
                  <c:v>6.3996351186346501E-2</c:v>
                </c:pt>
                <c:pt idx="288">
                  <c:v>6.5648661795250154E-2</c:v>
                </c:pt>
                <c:pt idx="289">
                  <c:v>6.7282827214190571E-2</c:v>
                </c:pt>
                <c:pt idx="290">
                  <c:v>6.879375968777561E-2</c:v>
                </c:pt>
                <c:pt idx="291">
                  <c:v>7.0181168490591014E-2</c:v>
                </c:pt>
                <c:pt idx="292">
                  <c:v>7.1444762238052698E-2</c:v>
                </c:pt>
                <c:pt idx="293">
                  <c:v>7.2584250242149775E-2</c:v>
                </c:pt>
                <c:pt idx="294">
                  <c:v>7.3599343866928679E-2</c:v>
                </c:pt>
                <c:pt idx="295">
                  <c:v>7.4388620769762701E-2</c:v>
                </c:pt>
                <c:pt idx="296">
                  <c:v>7.4963533092678461E-2</c:v>
                </c:pt>
                <c:pt idx="297">
                  <c:v>7.5324342617549847E-2</c:v>
                </c:pt>
                <c:pt idx="298">
                  <c:v>7.5470691736284401E-2</c:v>
                </c:pt>
                <c:pt idx="299">
                  <c:v>7.5402214494336955E-2</c:v>
                </c:pt>
                <c:pt idx="300">
                  <c:v>7.5118538576867622E-2</c:v>
                </c:pt>
                <c:pt idx="301">
                  <c:v>7.4619287294670239E-2</c:v>
                </c:pt>
                <c:pt idx="302">
                  <c:v>7.3904081570269897E-2</c:v>
                </c:pt>
                <c:pt idx="303">
                  <c:v>7.2953292647736562E-2</c:v>
                </c:pt>
                <c:pt idx="304">
                  <c:v>7.1880756152326863E-2</c:v>
                </c:pt>
                <c:pt idx="305">
                  <c:v>7.0686233372395837E-2</c:v>
                </c:pt>
                <c:pt idx="306">
                  <c:v>6.9369490344784249E-2</c:v>
                </c:pt>
                <c:pt idx="307">
                  <c:v>6.7930298966887639E-2</c:v>
                </c:pt>
                <c:pt idx="308">
                  <c:v>6.6368438108149005E-2</c:v>
                </c:pt>
                <c:pt idx="309">
                  <c:v>6.4717447708211792E-2</c:v>
                </c:pt>
                <c:pt idx="310">
                  <c:v>6.3079027337843541E-2</c:v>
                </c:pt>
                <c:pt idx="311">
                  <c:v>6.1453166532463674E-2</c:v>
                </c:pt>
                <c:pt idx="312">
                  <c:v>5.9839860392446008E-2</c:v>
                </c:pt>
                <c:pt idx="313">
                  <c:v>5.8239109450723775E-2</c:v>
                </c:pt>
                <c:pt idx="314">
                  <c:v>5.6650919539836933E-2</c:v>
                </c:pt>
                <c:pt idx="315">
                  <c:v>5.5075301659719043E-2</c:v>
                </c:pt>
                <c:pt idx="316">
                  <c:v>5.3512271844584257E-2</c:v>
                </c:pt>
                <c:pt idx="317">
                  <c:v>5.1997711002604911E-2</c:v>
                </c:pt>
                <c:pt idx="318">
                  <c:v>5.0551063494899059E-2</c:v>
                </c:pt>
                <c:pt idx="319">
                  <c:v>4.9172419250639379E-2</c:v>
                </c:pt>
                <c:pt idx="320">
                  <c:v>4.7861867819001321E-2</c:v>
                </c:pt>
                <c:pt idx="321">
                  <c:v>4.6619497731325156E-2</c:v>
                </c:pt>
                <c:pt idx="322">
                  <c:v>4.5445395863447674E-2</c:v>
                </c:pt>
                <c:pt idx="323">
                  <c:v>4.4366189890637356E-2</c:v>
                </c:pt>
                <c:pt idx="324">
                  <c:v>4.334803534977491E-2</c:v>
                </c:pt>
                <c:pt idx="325">
                  <c:v>4.2391000398016958E-2</c:v>
                </c:pt>
                <c:pt idx="326">
                  <c:v>4.1494891893544911E-2</c:v>
                </c:pt>
                <c:pt idx="327">
                  <c:v>4.065970232117929E-2</c:v>
                </c:pt>
                <c:pt idx="328">
                  <c:v>3.9885628348651496E-2</c:v>
                </c:pt>
                <c:pt idx="329">
                  <c:v>3.9172849719873309E-2</c:v>
                </c:pt>
                <c:pt idx="330">
                  <c:v>3.8521530556287979E-2</c:v>
                </c:pt>
                <c:pt idx="331">
                  <c:v>3.7949524612166337E-2</c:v>
                </c:pt>
                <c:pt idx="332">
                  <c:v>3.7420978260926323E-2</c:v>
                </c:pt>
                <c:pt idx="333">
                  <c:v>3.6936011228741378E-2</c:v>
                </c:pt>
                <c:pt idx="334">
                  <c:v>3.6494734572389692E-2</c:v>
                </c:pt>
                <c:pt idx="335">
                  <c:v>3.609725160083193E-2</c:v>
                </c:pt>
                <c:pt idx="336">
                  <c:v>3.5743658796297262E-2</c:v>
                </c:pt>
                <c:pt idx="337">
                  <c:v>3.5448862090711332E-2</c:v>
                </c:pt>
                <c:pt idx="338">
                  <c:v>3.5186351701061547E-2</c:v>
                </c:pt>
                <c:pt idx="339">
                  <c:v>3.4956208090256506E-2</c:v>
                </c:pt>
                <c:pt idx="340">
                  <c:v>3.4758508850550839E-2</c:v>
                </c:pt>
                <c:pt idx="341">
                  <c:v>3.4593329379996915E-2</c:v>
                </c:pt>
                <c:pt idx="342">
                  <c:v>3.4460743558864658E-2</c:v>
                </c:pt>
                <c:pt idx="343">
                  <c:v>3.4360824425645281E-2</c:v>
                </c:pt>
                <c:pt idx="344">
                  <c:v>3.4293644853599245E-2</c:v>
                </c:pt>
                <c:pt idx="345">
                  <c:v>3.4259278226938618E-2</c:v>
                </c:pt>
                <c:pt idx="346">
                  <c:v>3.4236546410641389E-2</c:v>
                </c:pt>
                <c:pt idx="347">
                  <c:v>3.4225521605267491E-2</c:v>
                </c:pt>
                <c:pt idx="348">
                  <c:v>3.4226276697535481E-2</c:v>
                </c:pt>
                <c:pt idx="349">
                  <c:v>3.4238885494567231E-2</c:v>
                </c:pt>
                <c:pt idx="350">
                  <c:v>3.4263422958934413E-2</c:v>
                </c:pt>
                <c:pt idx="351">
                  <c:v>3.4296426709179539E-2</c:v>
                </c:pt>
                <c:pt idx="352">
                  <c:v>3.4323143670510176E-2</c:v>
                </c:pt>
                <c:pt idx="353">
                  <c:v>3.4343643234341442E-2</c:v>
                </c:pt>
                <c:pt idx="354">
                  <c:v>3.4357993881719909E-2</c:v>
                </c:pt>
                <c:pt idx="355">
                  <c:v>3.436626303455869E-2</c:v>
                </c:pt>
                <c:pt idx="356">
                  <c:v>3.4368540659244357E-2</c:v>
                </c:pt>
                <c:pt idx="357">
                  <c:v>3.436481503342554E-2</c:v>
                </c:pt>
                <c:pt idx="358">
                  <c:v>3.4354990365607421E-2</c:v>
                </c:pt>
                <c:pt idx="359">
                  <c:v>3.4338969808485192E-2</c:v>
                </c:pt>
                <c:pt idx="360">
                  <c:v>3.4331518976555134E-2</c:v>
                </c:pt>
                <c:pt idx="361">
                  <c:v>3.4336106335700355E-2</c:v>
                </c:pt>
                <c:pt idx="362">
                  <c:v>3.4352657180922813E-2</c:v>
                </c:pt>
                <c:pt idx="363">
                  <c:v>3.4381098121620053E-2</c:v>
                </c:pt>
                <c:pt idx="364">
                  <c:v>3.442135679257502E-2</c:v>
                </c:pt>
                <c:pt idx="365">
                  <c:v>3.4473361564523852E-2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5.4322551396947333E-2</c:v>
                </c:pt>
                <c:pt idx="1">
                  <c:v>5.4223151509696317E-2</c:v>
                </c:pt>
                <c:pt idx="2">
                  <c:v>5.4143633842840828E-2</c:v>
                </c:pt>
                <c:pt idx="3">
                  <c:v>5.4083886773668162E-2</c:v>
                </c:pt>
                <c:pt idx="4">
                  <c:v>5.4043800062405695E-2</c:v>
                </c:pt>
                <c:pt idx="5">
                  <c:v>5.4023264350159972E-2</c:v>
                </c:pt>
                <c:pt idx="6">
                  <c:v>5.4022170657546151E-2</c:v>
                </c:pt>
                <c:pt idx="7">
                  <c:v>5.4040409882101098E-2</c:v>
                </c:pt>
                <c:pt idx="8">
                  <c:v>5.4077872296452958E-2</c:v>
                </c:pt>
                <c:pt idx="9">
                  <c:v>5.4164070033935689E-2</c:v>
                </c:pt>
                <c:pt idx="10">
                  <c:v>5.4295106341409077E-2</c:v>
                </c:pt>
                <c:pt idx="11">
                  <c:v>5.4470897254841527E-2</c:v>
                </c:pt>
                <c:pt idx="12">
                  <c:v>5.4691352866387967E-2</c:v>
                </c:pt>
                <c:pt idx="13">
                  <c:v>5.4956376166470325E-2</c:v>
                </c:pt>
                <c:pt idx="14">
                  <c:v>5.5265861884915918E-2</c:v>
                </c:pt>
                <c:pt idx="15">
                  <c:v>5.5661821868633138E-2</c:v>
                </c:pt>
                <c:pt idx="16">
                  <c:v>5.6128207610029707E-2</c:v>
                </c:pt>
                <c:pt idx="17">
                  <c:v>5.6664898467728028E-2</c:v>
                </c:pt>
                <c:pt idx="18">
                  <c:v>5.7271755043724344E-2</c:v>
                </c:pt>
                <c:pt idx="19">
                  <c:v>5.794894059362321E-2</c:v>
                </c:pt>
                <c:pt idx="20">
                  <c:v>5.8696760544983739E-2</c:v>
                </c:pt>
                <c:pt idx="21">
                  <c:v>5.951526796329544E-2</c:v>
                </c:pt>
                <c:pt idx="22">
                  <c:v>6.0404509123553711E-2</c:v>
                </c:pt>
                <c:pt idx="23">
                  <c:v>6.1407198040693056E-2</c:v>
                </c:pt>
                <c:pt idx="24">
                  <c:v>6.2493642292676066E-2</c:v>
                </c:pt>
                <c:pt idx="25">
                  <c:v>6.3663872842224717E-2</c:v>
                </c:pt>
                <c:pt idx="26">
                  <c:v>6.4917916238113771E-2</c:v>
                </c:pt>
                <c:pt idx="27">
                  <c:v>6.6255795675618734E-2</c:v>
                </c:pt>
                <c:pt idx="28">
                  <c:v>6.7677532058342579E-2</c:v>
                </c:pt>
                <c:pt idx="29">
                  <c:v>6.9179263893884319E-2</c:v>
                </c:pt>
                <c:pt idx="30">
                  <c:v>7.0718814410999087E-2</c:v>
                </c:pt>
                <c:pt idx="31">
                  <c:v>7.229620905946417E-2</c:v>
                </c:pt>
                <c:pt idx="32">
                  <c:v>7.3911478251123847E-2</c:v>
                </c:pt>
                <c:pt idx="33">
                  <c:v>7.5564657844787622E-2</c:v>
                </c:pt>
                <c:pt idx="34">
                  <c:v>7.7255789631458321E-2</c:v>
                </c:pt>
                <c:pt idx="35">
                  <c:v>7.8984921819520645E-2</c:v>
                </c:pt>
                <c:pt idx="36">
                  <c:v>8.075210951978197E-2</c:v>
                </c:pt>
                <c:pt idx="37">
                  <c:v>8.2481265856256536E-2</c:v>
                </c:pt>
                <c:pt idx="38">
                  <c:v>8.4129822506375879E-2</c:v>
                </c:pt>
                <c:pt idx="39">
                  <c:v>8.5697890151644057E-2</c:v>
                </c:pt>
                <c:pt idx="40">
                  <c:v>8.7185588616190815E-2</c:v>
                </c:pt>
                <c:pt idx="41">
                  <c:v>8.8593045866358716E-2</c:v>
                </c:pt>
                <c:pt idx="42">
                  <c:v>8.9920397009720501E-2</c:v>
                </c:pt>
                <c:pt idx="43">
                  <c:v>9.1031350544415301E-2</c:v>
                </c:pt>
                <c:pt idx="44">
                  <c:v>9.1929962864799722E-2</c:v>
                </c:pt>
                <c:pt idx="45">
                  <c:v>9.2616412250256255E-2</c:v>
                </c:pt>
                <c:pt idx="46">
                  <c:v>9.3090874223502609E-2</c:v>
                </c:pt>
                <c:pt idx="47">
                  <c:v>9.3353518891614973E-2</c:v>
                </c:pt>
                <c:pt idx="48">
                  <c:v>9.3404508285844942E-2</c:v>
                </c:pt>
                <c:pt idx="49">
                  <c:v>9.3243993702273958E-2</c:v>
                </c:pt>
                <c:pt idx="50">
                  <c:v>9.2872113041898158E-2</c:v>
                </c:pt>
                <c:pt idx="51">
                  <c:v>9.2222131086542286E-2</c:v>
                </c:pt>
                <c:pt idx="52">
                  <c:v>9.1369726125331771E-2</c:v>
                </c:pt>
                <c:pt idx="53">
                  <c:v>9.0314400456621452E-2</c:v>
                </c:pt>
                <c:pt idx="54">
                  <c:v>8.9056114141546849E-2</c:v>
                </c:pt>
                <c:pt idx="55">
                  <c:v>8.7594825449915051E-2</c:v>
                </c:pt>
                <c:pt idx="56">
                  <c:v>8.5930491612044635E-2</c:v>
                </c:pt>
                <c:pt idx="57">
                  <c:v>8.4175898085665474E-2</c:v>
                </c:pt>
                <c:pt idx="58">
                  <c:v>8.246737802017598E-2</c:v>
                </c:pt>
                <c:pt idx="59">
                  <c:v>8.0804895112039254E-2</c:v>
                </c:pt>
                <c:pt idx="60">
                  <c:v>7.9188415834800505E-2</c:v>
                </c:pt>
                <c:pt idx="61">
                  <c:v>7.7617909269034516E-2</c:v>
                </c:pt>
                <c:pt idx="62">
                  <c:v>7.6093346932175773E-2</c:v>
                </c:pt>
                <c:pt idx="63">
                  <c:v>7.4614702608582884E-2</c:v>
                </c:pt>
                <c:pt idx="64">
                  <c:v>7.3181952179294921E-2</c:v>
                </c:pt>
                <c:pt idx="65">
                  <c:v>7.1897958668910661E-2</c:v>
                </c:pt>
                <c:pt idx="66">
                  <c:v>7.0829562548679156E-2</c:v>
                </c:pt>
                <c:pt idx="67">
                  <c:v>6.9976744975648236E-2</c:v>
                </c:pt>
                <c:pt idx="68">
                  <c:v>6.9339486021794544E-2</c:v>
                </c:pt>
                <c:pt idx="69">
                  <c:v>6.8917763875757432E-2</c:v>
                </c:pt>
                <c:pt idx="70">
                  <c:v>6.8711554044904533E-2</c:v>
                </c:pt>
                <c:pt idx="71">
                  <c:v>6.8689582203533953E-2</c:v>
                </c:pt>
                <c:pt idx="72">
                  <c:v>6.8738986810254393E-2</c:v>
                </c:pt>
                <c:pt idx="73">
                  <c:v>6.885973879845686E-2</c:v>
                </c:pt>
                <c:pt idx="74">
                  <c:v>6.9051807187343647E-2</c:v>
                </c:pt>
                <c:pt idx="75">
                  <c:v>6.931515881701053E-2</c:v>
                </c:pt>
                <c:pt idx="76">
                  <c:v>6.9649758083315222E-2</c:v>
                </c:pt>
                <c:pt idx="77">
                  <c:v>7.0055566672970068E-2</c:v>
                </c:pt>
                <c:pt idx="78">
                  <c:v>7.0532545640156138E-2</c:v>
                </c:pt>
                <c:pt idx="79">
                  <c:v>7.1011189266458954E-2</c:v>
                </c:pt>
                <c:pt idx="80">
                  <c:v>7.1388809381836685E-2</c:v>
                </c:pt>
                <c:pt idx="81">
                  <c:v>7.1665397198461184E-2</c:v>
                </c:pt>
                <c:pt idx="82">
                  <c:v>7.184094373208838E-2</c:v>
                </c:pt>
                <c:pt idx="83">
                  <c:v>7.1915440125471408E-2</c:v>
                </c:pt>
                <c:pt idx="84">
                  <c:v>7.1888877972013432E-2</c:v>
                </c:pt>
                <c:pt idx="85">
                  <c:v>7.1696842427879853E-2</c:v>
                </c:pt>
                <c:pt idx="86">
                  <c:v>7.1370565215983353E-2</c:v>
                </c:pt>
                <c:pt idx="87">
                  <c:v>7.0910047274792928E-2</c:v>
                </c:pt>
                <c:pt idx="88">
                  <c:v>7.0315291890833687E-2</c:v>
                </c:pt>
                <c:pt idx="89">
                  <c:v>6.958630512850715E-2</c:v>
                </c:pt>
                <c:pt idx="90">
                  <c:v>6.872309625976615E-2</c:v>
                </c:pt>
                <c:pt idx="91">
                  <c:v>6.7725678194056643E-2</c:v>
                </c:pt>
                <c:pt idx="92">
                  <c:v>6.6594067908068919E-2</c:v>
                </c:pt>
                <c:pt idx="93">
                  <c:v>6.5301520507295888E-2</c:v>
                </c:pt>
                <c:pt idx="94">
                  <c:v>6.3917747319041776E-2</c:v>
                </c:pt>
                <c:pt idx="95">
                  <c:v>6.2442769378180017E-2</c:v>
                </c:pt>
                <c:pt idx="96">
                  <c:v>6.0876612205157582E-2</c:v>
                </c:pt>
                <c:pt idx="97">
                  <c:v>5.9219306098548613E-2</c:v>
                </c:pt>
                <c:pt idx="98">
                  <c:v>5.7470886427042026E-2</c:v>
                </c:pt>
                <c:pt idx="99">
                  <c:v>5.5653200456833564E-2</c:v>
                </c:pt>
                <c:pt idx="100">
                  <c:v>5.383061707911338E-2</c:v>
                </c:pt>
                <c:pt idx="101">
                  <c:v>5.2003156577456584E-2</c:v>
                </c:pt>
                <c:pt idx="102">
                  <c:v>5.0170841770841502E-2</c:v>
                </c:pt>
                <c:pt idx="103">
                  <c:v>4.8333698028995703E-2</c:v>
                </c:pt>
                <c:pt idx="104">
                  <c:v>4.649175328893914E-2</c:v>
                </c:pt>
                <c:pt idx="105">
                  <c:v>4.4645038070415664E-2</c:v>
                </c:pt>
                <c:pt idx="106">
                  <c:v>4.2793585491929735E-2</c:v>
                </c:pt>
                <c:pt idx="107">
                  <c:v>4.0965025859511138E-2</c:v>
                </c:pt>
                <c:pt idx="108">
                  <c:v>3.9186098811938588E-2</c:v>
                </c:pt>
                <c:pt idx="109">
                  <c:v>3.7456813887435783E-2</c:v>
                </c:pt>
                <c:pt idx="110">
                  <c:v>3.5777281988429999E-2</c:v>
                </c:pt>
                <c:pt idx="111">
                  <c:v>3.4147597181101517E-2</c:v>
                </c:pt>
                <c:pt idx="112">
                  <c:v>3.2567743494614616E-2</c:v>
                </c:pt>
                <c:pt idx="113">
                  <c:v>3.1063680558967736E-2</c:v>
                </c:pt>
                <c:pt idx="114">
                  <c:v>2.9613624172920142E-2</c:v>
                </c:pt>
                <c:pt idx="115">
                  <c:v>2.8217555092407802E-2</c:v>
                </c:pt>
                <c:pt idx="116">
                  <c:v>2.6875453665169777E-2</c:v>
                </c:pt>
                <c:pt idx="117">
                  <c:v>2.558729971391123E-2</c:v>
                </c:pt>
                <c:pt idx="118">
                  <c:v>2.4353072419161802E-2</c:v>
                </c:pt>
                <c:pt idx="119">
                  <c:v>2.3172750202222172E-2</c:v>
                </c:pt>
                <c:pt idx="120">
                  <c:v>2.2046310608074809E-2</c:v>
                </c:pt>
                <c:pt idx="121">
                  <c:v>2.0998758429914569E-2</c:v>
                </c:pt>
                <c:pt idx="122">
                  <c:v>2.0002545945990092E-2</c:v>
                </c:pt>
                <c:pt idx="123">
                  <c:v>1.9057648851023685E-2</c:v>
                </c:pt>
                <c:pt idx="124">
                  <c:v>1.8164041579110012E-2</c:v>
                </c:pt>
                <c:pt idx="125">
                  <c:v>1.7321697192259827E-2</c:v>
                </c:pt>
                <c:pt idx="126">
                  <c:v>1.6530587268670276E-2</c:v>
                </c:pt>
                <c:pt idx="127">
                  <c:v>1.5812581811901941E-2</c:v>
                </c:pt>
                <c:pt idx="128">
                  <c:v>1.5141753295959228E-2</c:v>
                </c:pt>
                <c:pt idx="129">
                  <c:v>1.4518071399743485E-2</c:v>
                </c:pt>
                <c:pt idx="130">
                  <c:v>1.3941504054481225E-2</c:v>
                </c:pt>
                <c:pt idx="131">
                  <c:v>1.3412017340682029E-2</c:v>
                </c:pt>
                <c:pt idx="132">
                  <c:v>1.2929575385257231E-2</c:v>
                </c:pt>
                <c:pt idx="133">
                  <c:v>1.2494140258717359E-2</c:v>
                </c:pt>
                <c:pt idx="134">
                  <c:v>1.2105671872292148E-2</c:v>
                </c:pt>
                <c:pt idx="135">
                  <c:v>1.1776157963181103E-2</c:v>
                </c:pt>
                <c:pt idx="136">
                  <c:v>1.1480630620965179E-2</c:v>
                </c:pt>
                <c:pt idx="137">
                  <c:v>1.1219057360053339E-2</c:v>
                </c:pt>
                <c:pt idx="138">
                  <c:v>1.0991403903742833E-2</c:v>
                </c:pt>
                <c:pt idx="139">
                  <c:v>1.0797634109972157E-2</c:v>
                </c:pt>
                <c:pt idx="140">
                  <c:v>1.0637709896447547E-2</c:v>
                </c:pt>
                <c:pt idx="141">
                  <c:v>1.0512266663172025E-2</c:v>
                </c:pt>
                <c:pt idx="142">
                  <c:v>1.0399425841338031E-2</c:v>
                </c:pt>
                <c:pt idx="143">
                  <c:v>1.0299127487455434E-2</c:v>
                </c:pt>
                <c:pt idx="144">
                  <c:v>1.0211373542160611E-2</c:v>
                </c:pt>
                <c:pt idx="145">
                  <c:v>1.0136163948483322E-2</c:v>
                </c:pt>
                <c:pt idx="146">
                  <c:v>1.0073496821933661E-2</c:v>
                </c:pt>
                <c:pt idx="147">
                  <c:v>1.0023368620934303E-2</c:v>
                </c:pt>
                <c:pt idx="148">
                  <c:v>9.9857743170072809E-3</c:v>
                </c:pt>
                <c:pt idx="149">
                  <c:v>9.9618515481909916E-3</c:v>
                </c:pt>
                <c:pt idx="150">
                  <c:v>9.9396463620356271E-3</c:v>
                </c:pt>
                <c:pt idx="151">
                  <c:v>9.9191695537701498E-3</c:v>
                </c:pt>
                <c:pt idx="152">
                  <c:v>9.9004317194726875E-3</c:v>
                </c:pt>
                <c:pt idx="153">
                  <c:v>9.8834432805317094E-3</c:v>
                </c:pt>
                <c:pt idx="154">
                  <c:v>9.868214508161971E-3</c:v>
                </c:pt>
                <c:pt idx="155">
                  <c:v>9.8547453372056157E-3</c:v>
                </c:pt>
                <c:pt idx="156">
                  <c:v>9.842375986278502E-3</c:v>
                </c:pt>
                <c:pt idx="157">
                  <c:v>9.8311177151818394E-3</c:v>
                </c:pt>
                <c:pt idx="158">
                  <c:v>9.8209817363101703E-3</c:v>
                </c:pt>
                <c:pt idx="159">
                  <c:v>9.811979229888218E-3</c:v>
                </c:pt>
                <c:pt idx="160">
                  <c:v>9.804121359328977E-3</c:v>
                </c:pt>
                <c:pt idx="161">
                  <c:v>9.7974192864805007E-3</c:v>
                </c:pt>
                <c:pt idx="162">
                  <c:v>9.7918841869256493E-3</c:v>
                </c:pt>
                <c:pt idx="163">
                  <c:v>9.7874155126753074E-3</c:v>
                </c:pt>
                <c:pt idx="164">
                  <c:v>9.7828913405224351E-3</c:v>
                </c:pt>
                <c:pt idx="165">
                  <c:v>9.7783252464383984E-3</c:v>
                </c:pt>
                <c:pt idx="166">
                  <c:v>9.7737308082056201E-3</c:v>
                </c:pt>
                <c:pt idx="167">
                  <c:v>9.7691216036035738E-3</c:v>
                </c:pt>
                <c:pt idx="168">
                  <c:v>9.7645112089071867E-3</c:v>
                </c:pt>
                <c:pt idx="169">
                  <c:v>9.7598018403999409E-3</c:v>
                </c:pt>
                <c:pt idx="170">
                  <c:v>9.7550173668316999E-3</c:v>
                </c:pt>
                <c:pt idx="171">
                  <c:v>9.7501715054196247E-3</c:v>
                </c:pt>
                <c:pt idx="172">
                  <c:v>9.7452779537000565E-3</c:v>
                </c:pt>
                <c:pt idx="173">
                  <c:v>9.7402507814627459E-3</c:v>
                </c:pt>
                <c:pt idx="174">
                  <c:v>9.7349989666881062E-3</c:v>
                </c:pt>
                <c:pt idx="175">
                  <c:v>9.7295285521389104E-3</c:v>
                </c:pt>
                <c:pt idx="176">
                  <c:v>9.7238455792021793E-3</c:v>
                </c:pt>
                <c:pt idx="177">
                  <c:v>9.7179460046813888E-3</c:v>
                </c:pt>
                <c:pt idx="178">
                  <c:v>9.711946722225669E-3</c:v>
                </c:pt>
                <c:pt idx="179">
                  <c:v>9.7058536100988763E-3</c:v>
                </c:pt>
                <c:pt idx="180">
                  <c:v>9.6996725418676769E-3</c:v>
                </c:pt>
                <c:pt idx="181">
                  <c:v>9.6934093856372236E-3</c:v>
                </c:pt>
                <c:pt idx="182">
                  <c:v>9.6870700033716162E-3</c:v>
                </c:pt>
                <c:pt idx="183">
                  <c:v>9.6817823439479846E-3</c:v>
                </c:pt>
                <c:pt idx="184">
                  <c:v>9.6776611653501977E-3</c:v>
                </c:pt>
                <c:pt idx="185">
                  <c:v>9.6747105837452808E-3</c:v>
                </c:pt>
                <c:pt idx="186">
                  <c:v>9.6729347591541677E-3</c:v>
                </c:pt>
                <c:pt idx="187">
                  <c:v>9.6723379020415071E-3</c:v>
                </c:pt>
                <c:pt idx="188">
                  <c:v>9.6729242799611492E-3</c:v>
                </c:pt>
                <c:pt idx="189">
                  <c:v>9.6746982239063733E-3</c:v>
                </c:pt>
                <c:pt idx="190">
                  <c:v>9.6776641350726986E-3</c:v>
                </c:pt>
                <c:pt idx="191">
                  <c:v>9.6824839496490039E-3</c:v>
                </c:pt>
                <c:pt idx="192">
                  <c:v>9.6891714251212003E-3</c:v>
                </c:pt>
                <c:pt idx="193">
                  <c:v>9.6977304284737303E-3</c:v>
                </c:pt>
                <c:pt idx="194">
                  <c:v>9.7081649706625764E-3</c:v>
                </c:pt>
                <c:pt idx="195">
                  <c:v>9.7204792173247317E-3</c:v>
                </c:pt>
                <c:pt idx="196">
                  <c:v>9.7346774991139418E-3</c:v>
                </c:pt>
                <c:pt idx="197">
                  <c:v>9.7624177945587198E-3</c:v>
                </c:pt>
                <c:pt idx="198">
                  <c:v>9.8025778486822077E-3</c:v>
                </c:pt>
                <c:pt idx="199">
                  <c:v>9.8551527894546742E-3</c:v>
                </c:pt>
                <c:pt idx="200">
                  <c:v>9.920138936033461E-3</c:v>
                </c:pt>
                <c:pt idx="201">
                  <c:v>9.9975338715770599E-3</c:v>
                </c:pt>
                <c:pt idx="202">
                  <c:v>1.0087336516113637E-2</c:v>
                </c:pt>
                <c:pt idx="203">
                  <c:v>1.0189547199633702E-2</c:v>
                </c:pt>
                <c:pt idx="204">
                  <c:v>1.0304151095348907E-2</c:v>
                </c:pt>
                <c:pt idx="205">
                  <c:v>1.0452236781803414E-2</c:v>
                </c:pt>
                <c:pt idx="206">
                  <c:v>1.0633129954913592E-2</c:v>
                </c:pt>
                <c:pt idx="207">
                  <c:v>1.0846813610420345E-2</c:v>
                </c:pt>
                <c:pt idx="208">
                  <c:v>1.1093273182848799E-2</c:v>
                </c:pt>
                <c:pt idx="209">
                  <c:v>1.1372496443833448E-2</c:v>
                </c:pt>
                <c:pt idx="210">
                  <c:v>1.1684473400813782E-2</c:v>
                </c:pt>
                <c:pt idx="211">
                  <c:v>1.205325336728876E-2</c:v>
                </c:pt>
                <c:pt idx="212">
                  <c:v>1.2467207999119316E-2</c:v>
                </c:pt>
                <c:pt idx="213">
                  <c:v>1.2926329474460423E-2</c:v>
                </c:pt>
                <c:pt idx="214">
                  <c:v>1.3430612631000259E-2</c:v>
                </c:pt>
                <c:pt idx="215">
                  <c:v>1.3980054825823179E-2</c:v>
                </c:pt>
                <c:pt idx="216">
                  <c:v>1.4574655795228993E-2</c:v>
                </c:pt>
                <c:pt idx="217">
                  <c:v>1.5214417514608848E-2</c:v>
                </c:pt>
                <c:pt idx="218">
                  <c:v>1.5899344058245741E-2</c:v>
                </c:pt>
                <c:pt idx="219">
                  <c:v>1.665434250153891E-2</c:v>
                </c:pt>
                <c:pt idx="220">
                  <c:v>1.7458349113815878E-2</c:v>
                </c:pt>
                <c:pt idx="221">
                  <c:v>1.8311373610322083E-2</c:v>
                </c:pt>
                <c:pt idx="222">
                  <c:v>1.9213427421234913E-2</c:v>
                </c:pt>
                <c:pt idx="223">
                  <c:v>2.0164523539886035E-2</c:v>
                </c:pt>
                <c:pt idx="224">
                  <c:v>2.1164676370565481E-2</c:v>
                </c:pt>
                <c:pt idx="225">
                  <c:v>2.2240318600596928E-2</c:v>
                </c:pt>
                <c:pt idx="226">
                  <c:v>2.3367433627486854E-2</c:v>
                </c:pt>
                <c:pt idx="227">
                  <c:v>2.4546039804677181E-2</c:v>
                </c:pt>
                <c:pt idx="228">
                  <c:v>2.5776156358201133E-2</c:v>
                </c:pt>
                <c:pt idx="229">
                  <c:v>2.7057803226915176E-2</c:v>
                </c:pt>
                <c:pt idx="230">
                  <c:v>2.8391000903095778E-2</c:v>
                </c:pt>
                <c:pt idx="231">
                  <c:v>2.9775770273169553E-2</c:v>
                </c:pt>
                <c:pt idx="232">
                  <c:v>3.1212132457840547E-2</c:v>
                </c:pt>
                <c:pt idx="233">
                  <c:v>3.2720964583392881E-2</c:v>
                </c:pt>
                <c:pt idx="234">
                  <c:v>3.4277389001903351E-2</c:v>
                </c:pt>
                <c:pt idx="235">
                  <c:v>3.5881455198463676E-2</c:v>
                </c:pt>
                <c:pt idx="236">
                  <c:v>3.7533229630714898E-2</c:v>
                </c:pt>
                <c:pt idx="237">
                  <c:v>3.9232760692519582E-2</c:v>
                </c:pt>
                <c:pt idx="238">
                  <c:v>4.0980099889519624E-2</c:v>
                </c:pt>
                <c:pt idx="239">
                  <c:v>4.2749706961370398E-2</c:v>
                </c:pt>
                <c:pt idx="240">
                  <c:v>4.4515198824486735E-2</c:v>
                </c:pt>
                <c:pt idx="241">
                  <c:v>4.6276621129395769E-2</c:v>
                </c:pt>
                <c:pt idx="242">
                  <c:v>4.8034020554928378E-2</c:v>
                </c:pt>
                <c:pt idx="243">
                  <c:v>4.9787444800274874E-2</c:v>
                </c:pt>
                <c:pt idx="244">
                  <c:v>5.1536942576836081E-2</c:v>
                </c:pt>
                <c:pt idx="245">
                  <c:v>5.3282563599548284E-2</c:v>
                </c:pt>
                <c:pt idx="246">
                  <c:v>5.5024358578051338E-2</c:v>
                </c:pt>
                <c:pt idx="247">
                  <c:v>5.6700764875482194E-2</c:v>
                </c:pt>
                <c:pt idx="248">
                  <c:v>5.8290919892685596E-2</c:v>
                </c:pt>
                <c:pt idx="249">
                  <c:v>5.9794835255082085E-2</c:v>
                </c:pt>
                <c:pt idx="250">
                  <c:v>6.1212519006455288E-2</c:v>
                </c:pt>
                <c:pt idx="251">
                  <c:v>6.2543975456722384E-2</c:v>
                </c:pt>
                <c:pt idx="252">
                  <c:v>6.3789205027194956E-2</c:v>
                </c:pt>
                <c:pt idx="253">
                  <c:v>6.48814365351634E-2</c:v>
                </c:pt>
                <c:pt idx="254">
                  <c:v>6.5846271575700291E-2</c:v>
                </c:pt>
                <c:pt idx="255">
                  <c:v>6.6683668837283258E-2</c:v>
                </c:pt>
                <c:pt idx="256">
                  <c:v>6.739357995694191E-2</c:v>
                </c:pt>
                <c:pt idx="257">
                  <c:v>6.7975949293461901E-2</c:v>
                </c:pt>
                <c:pt idx="258">
                  <c:v>6.843071370121806E-2</c:v>
                </c:pt>
                <c:pt idx="259">
                  <c:v>6.8757802304967239E-2</c:v>
                </c:pt>
                <c:pt idx="260">
                  <c:v>6.8957136272559227E-2</c:v>
                </c:pt>
                <c:pt idx="261">
                  <c:v>6.8998662635047933E-2</c:v>
                </c:pt>
                <c:pt idx="262">
                  <c:v>6.8944078993053229E-2</c:v>
                </c:pt>
                <c:pt idx="263">
                  <c:v>6.8793309444470166E-2</c:v>
                </c:pt>
                <c:pt idx="264">
                  <c:v>6.8546274696543563E-2</c:v>
                </c:pt>
                <c:pt idx="265">
                  <c:v>6.8203254005659797E-2</c:v>
                </c:pt>
                <c:pt idx="266">
                  <c:v>6.7764331824178126E-2</c:v>
                </c:pt>
                <c:pt idx="267">
                  <c:v>6.7328165912697024E-2</c:v>
                </c:pt>
                <c:pt idx="268">
                  <c:v>6.6961715964924423E-2</c:v>
                </c:pt>
                <c:pt idx="269">
                  <c:v>6.6664968179805772E-2</c:v>
                </c:pt>
                <c:pt idx="270">
                  <c:v>6.6437917265142754E-2</c:v>
                </c:pt>
                <c:pt idx="271">
                  <c:v>6.6280565677784536E-2</c:v>
                </c:pt>
                <c:pt idx="272">
                  <c:v>6.6192922865676448E-2</c:v>
                </c:pt>
                <c:pt idx="273">
                  <c:v>6.6175004509066229E-2</c:v>
                </c:pt>
                <c:pt idx="274">
                  <c:v>6.6226831762577154E-2</c:v>
                </c:pt>
                <c:pt idx="275">
                  <c:v>6.6457236174684367E-2</c:v>
                </c:pt>
                <c:pt idx="276">
                  <c:v>6.6896554345600212E-2</c:v>
                </c:pt>
                <c:pt idx="277">
                  <c:v>6.7545030329816902E-2</c:v>
                </c:pt>
                <c:pt idx="278">
                  <c:v>6.8402915844442191E-2</c:v>
                </c:pt>
                <c:pt idx="279">
                  <c:v>6.9470467985224063E-2</c:v>
                </c:pt>
                <c:pt idx="280">
                  <c:v>7.0747946943221188E-2</c:v>
                </c:pt>
                <c:pt idx="281">
                  <c:v>7.2170944439824913E-2</c:v>
                </c:pt>
                <c:pt idx="282">
                  <c:v>7.3640052377139775E-2</c:v>
                </c:pt>
                <c:pt idx="283">
                  <c:v>7.5155268644672424E-2</c:v>
                </c:pt>
                <c:pt idx="284">
                  <c:v>7.6716585129406809E-2</c:v>
                </c:pt>
                <c:pt idx="285">
                  <c:v>7.8323987228839653E-2</c:v>
                </c:pt>
                <c:pt idx="286">
                  <c:v>7.9977453364747875E-2</c:v>
                </c:pt>
                <c:pt idx="287">
                  <c:v>8.1676954496209625E-2</c:v>
                </c:pt>
                <c:pt idx="288">
                  <c:v>8.3422453632907748E-2</c:v>
                </c:pt>
                <c:pt idx="289">
                  <c:v>8.5081445914411288E-2</c:v>
                </c:pt>
                <c:pt idx="290">
                  <c:v>8.6544033210531113E-2</c:v>
                </c:pt>
                <c:pt idx="291">
                  <c:v>8.7809797180539148E-2</c:v>
                </c:pt>
                <c:pt idx="292">
                  <c:v>8.8878322468046375E-2</c:v>
                </c:pt>
                <c:pt idx="293">
                  <c:v>8.9749198852939457E-2</c:v>
                </c:pt>
                <c:pt idx="294">
                  <c:v>9.0422023402988813E-2</c:v>
                </c:pt>
                <c:pt idx="295">
                  <c:v>9.0822307234694977E-2</c:v>
                </c:pt>
                <c:pt idx="296">
                  <c:v>9.1015825562504094E-2</c:v>
                </c:pt>
                <c:pt idx="297">
                  <c:v>9.100296668795968E-2</c:v>
                </c:pt>
                <c:pt idx="298">
                  <c:v>9.0783362054943792E-2</c:v>
                </c:pt>
                <c:pt idx="299">
                  <c:v>9.0356636432523049E-2</c:v>
                </c:pt>
                <c:pt idx="300">
                  <c:v>8.9722409827552585E-2</c:v>
                </c:pt>
                <c:pt idx="301">
                  <c:v>8.8880299397003024E-2</c:v>
                </c:pt>
                <c:pt idx="302">
                  <c:v>8.7829921360490559E-2</c:v>
                </c:pt>
                <c:pt idx="303">
                  <c:v>8.6567103576522739E-2</c:v>
                </c:pt>
                <c:pt idx="304">
                  <c:v>8.5224860002590261E-2</c:v>
                </c:pt>
                <c:pt idx="305">
                  <c:v>8.3803000531315411E-2</c:v>
                </c:pt>
                <c:pt idx="306">
                  <c:v>8.2301340583303795E-2</c:v>
                </c:pt>
                <c:pt idx="307">
                  <c:v>8.0719701827012005E-2</c:v>
                </c:pt>
                <c:pt idx="308">
                  <c:v>7.9057912897931112E-2</c:v>
                </c:pt>
                <c:pt idx="309">
                  <c:v>7.7357599875124958E-2</c:v>
                </c:pt>
                <c:pt idx="310">
                  <c:v>7.5693291471205792E-2</c:v>
                </c:pt>
                <c:pt idx="311">
                  <c:v>7.4064998479842631E-2</c:v>
                </c:pt>
                <c:pt idx="312">
                  <c:v>7.2472736467155699E-2</c:v>
                </c:pt>
                <c:pt idx="313">
                  <c:v>7.0916525423250956E-2</c:v>
                </c:pt>
                <c:pt idx="314">
                  <c:v>6.9396389413080684E-2</c:v>
                </c:pt>
                <c:pt idx="315">
                  <c:v>6.7912356228203241E-2</c:v>
                </c:pt>
                <c:pt idx="316">
                  <c:v>6.6464457037446634E-2</c:v>
                </c:pt>
                <c:pt idx="317">
                  <c:v>6.5094183961805288E-2</c:v>
                </c:pt>
                <c:pt idx="318">
                  <c:v>6.3805435955940251E-2</c:v>
                </c:pt>
                <c:pt idx="319">
                  <c:v>6.2598300585306868E-2</c:v>
                </c:pt>
                <c:pt idx="320">
                  <c:v>6.1472863350337331E-2</c:v>
                </c:pt>
                <c:pt idx="321">
                  <c:v>6.0429206923633787E-2</c:v>
                </c:pt>
                <c:pt idx="322">
                  <c:v>5.9467410387393303E-2</c:v>
                </c:pt>
                <c:pt idx="323">
                  <c:v>5.8616828544154211E-2</c:v>
                </c:pt>
                <c:pt idx="324">
                  <c:v>5.7835523815070587E-2</c:v>
                </c:pt>
                <c:pt idx="325">
                  <c:v>5.7123544697117966E-2</c:v>
                </c:pt>
                <c:pt idx="326">
                  <c:v>5.648058331378477E-2</c:v>
                </c:pt>
                <c:pt idx="327">
                  <c:v>5.5906572216870148E-2</c:v>
                </c:pt>
                <c:pt idx="328">
                  <c:v>5.5401723124740176E-2</c:v>
                </c:pt>
                <c:pt idx="329">
                  <c:v>5.4966231657658522E-2</c:v>
                </c:pt>
                <c:pt idx="330">
                  <c:v>5.460027881290315E-2</c:v>
                </c:pt>
                <c:pt idx="331">
                  <c:v>5.4319792545091887E-2</c:v>
                </c:pt>
                <c:pt idx="332">
                  <c:v>5.4083318929298491E-2</c:v>
                </c:pt>
                <c:pt idx="333">
                  <c:v>5.3890996864879012E-2</c:v>
                </c:pt>
                <c:pt idx="334">
                  <c:v>5.3742958921915877E-2</c:v>
                </c:pt>
                <c:pt idx="335">
                  <c:v>5.3639332279522903E-2</c:v>
                </c:pt>
                <c:pt idx="336">
                  <c:v>5.3580239663438334E-2</c:v>
                </c:pt>
                <c:pt idx="337">
                  <c:v>5.3569584598308392E-2</c:v>
                </c:pt>
                <c:pt idx="338">
                  <c:v>5.3578144872122896E-2</c:v>
                </c:pt>
                <c:pt idx="339">
                  <c:v>5.3606033518281179E-2</c:v>
                </c:pt>
                <c:pt idx="340">
                  <c:v>5.3653363220309197E-2</c:v>
                </c:pt>
                <c:pt idx="341">
                  <c:v>5.3720246718581041E-2</c:v>
                </c:pt>
                <c:pt idx="342">
                  <c:v>5.3806797216998908E-2</c:v>
                </c:pt>
                <c:pt idx="343">
                  <c:v>5.3913128789024906E-2</c:v>
                </c:pt>
                <c:pt idx="344">
                  <c:v>5.4039356784555959E-2</c:v>
                </c:pt>
                <c:pt idx="345">
                  <c:v>5.4185598236231203E-2</c:v>
                </c:pt>
                <c:pt idx="346">
                  <c:v>5.4325094564400836E-2</c:v>
                </c:pt>
                <c:pt idx="347">
                  <c:v>5.4457962031498983E-2</c:v>
                </c:pt>
                <c:pt idx="348">
                  <c:v>5.4584317457936488E-2</c:v>
                </c:pt>
                <c:pt idx="349">
                  <c:v>5.4704278069447852E-2</c:v>
                </c:pt>
                <c:pt idx="350">
                  <c:v>5.4817961345715795E-2</c:v>
                </c:pt>
                <c:pt idx="351">
                  <c:v>5.491437222384421E-2</c:v>
                </c:pt>
                <c:pt idx="352">
                  <c:v>5.4989835015139626E-2</c:v>
                </c:pt>
                <c:pt idx="353">
                  <c:v>5.50444579568291E-2</c:v>
                </c:pt>
                <c:pt idx="354">
                  <c:v>5.5078346426084168E-2</c:v>
                </c:pt>
                <c:pt idx="355">
                  <c:v>5.5091602475499407E-2</c:v>
                </c:pt>
                <c:pt idx="356">
                  <c:v>5.5084362437811223E-2</c:v>
                </c:pt>
                <c:pt idx="357">
                  <c:v>5.5056597587751555E-2</c:v>
                </c:pt>
                <c:pt idx="358">
                  <c:v>5.5008142529862969E-2</c:v>
                </c:pt>
                <c:pt idx="359">
                  <c:v>5.493882855397543E-2</c:v>
                </c:pt>
                <c:pt idx="360">
                  <c:v>5.485228077701295E-2</c:v>
                </c:pt>
                <c:pt idx="361">
                  <c:v>5.4759474571544259E-2</c:v>
                </c:pt>
                <c:pt idx="362">
                  <c:v>5.4660253889362881E-2</c:v>
                </c:pt>
                <c:pt idx="363">
                  <c:v>5.4554463066532249E-2</c:v>
                </c:pt>
                <c:pt idx="364">
                  <c:v>5.4441947012235856E-2</c:v>
                </c:pt>
                <c:pt idx="365">
                  <c:v>5.4322551396947333E-2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7.9914330762636668E-2</c:v>
                </c:pt>
                <c:pt idx="1">
                  <c:v>7.9601294289101135E-2</c:v>
                </c:pt>
                <c:pt idx="2">
                  <c:v>7.928536824498239E-2</c:v>
                </c:pt>
                <c:pt idx="3">
                  <c:v>7.8966340552062933E-2</c:v>
                </c:pt>
                <c:pt idx="4">
                  <c:v>7.8644002696586265E-2</c:v>
                </c:pt>
                <c:pt idx="5">
                  <c:v>7.831814980649994E-2</c:v>
                </c:pt>
                <c:pt idx="6">
                  <c:v>7.7988580729700233E-2</c:v>
                </c:pt>
                <c:pt idx="7">
                  <c:v>7.7655098110507331E-2</c:v>
                </c:pt>
                <c:pt idx="8">
                  <c:v>7.7317508467247012E-2</c:v>
                </c:pt>
                <c:pt idx="9">
                  <c:v>7.7005338956159311E-2</c:v>
                </c:pt>
                <c:pt idx="10">
                  <c:v>7.6731287683375296E-2</c:v>
                </c:pt>
                <c:pt idx="11">
                  <c:v>7.6495224775934331E-2</c:v>
                </c:pt>
                <c:pt idx="12">
                  <c:v>7.6297019277991443E-2</c:v>
                </c:pt>
                <c:pt idx="13">
                  <c:v>7.6136538146273289E-2</c:v>
                </c:pt>
                <c:pt idx="14">
                  <c:v>7.6013645244232222E-2</c:v>
                </c:pt>
                <c:pt idx="15">
                  <c:v>7.5977223919460393E-2</c:v>
                </c:pt>
                <c:pt idx="16">
                  <c:v>7.6017351682092074E-2</c:v>
                </c:pt>
                <c:pt idx="17">
                  <c:v>7.6133902949702806E-2</c:v>
                </c:pt>
                <c:pt idx="18">
                  <c:v>7.6326736386176403E-2</c:v>
                </c:pt>
                <c:pt idx="19">
                  <c:v>7.6596120146346008E-2</c:v>
                </c:pt>
                <c:pt idx="20">
                  <c:v>7.6942504219137967E-2</c:v>
                </c:pt>
                <c:pt idx="21">
                  <c:v>7.7365999034793756E-2</c:v>
                </c:pt>
                <c:pt idx="22">
                  <c:v>7.7866705188748886E-2</c:v>
                </c:pt>
                <c:pt idx="23">
                  <c:v>7.8500807930496019E-2</c:v>
                </c:pt>
                <c:pt idx="24">
                  <c:v>7.9238572336699287E-2</c:v>
                </c:pt>
                <c:pt idx="25">
                  <c:v>8.0080076544795445E-2</c:v>
                </c:pt>
                <c:pt idx="26">
                  <c:v>8.1025390174886983E-2</c:v>
                </c:pt>
                <c:pt idx="27">
                  <c:v>8.2074575644185646E-2</c:v>
                </c:pt>
                <c:pt idx="28">
                  <c:v>8.3227689483187983E-2</c:v>
                </c:pt>
                <c:pt idx="29">
                  <c:v>8.4493460849019278E-2</c:v>
                </c:pt>
                <c:pt idx="30">
                  <c:v>8.5822832781993583E-2</c:v>
                </c:pt>
                <c:pt idx="31">
                  <c:v>8.7215856035991732E-2</c:v>
                </c:pt>
                <c:pt idx="32">
                  <c:v>8.86725834398744E-2</c:v>
                </c:pt>
                <c:pt idx="33">
                  <c:v>9.0193070707142234E-2</c:v>
                </c:pt>
                <c:pt idx="34">
                  <c:v>9.1777377245993372E-2</c:v>
                </c:pt>
                <c:pt idx="35">
                  <c:v>9.3425566969327425E-2</c:v>
                </c:pt>
                <c:pt idx="36">
                  <c:v>9.5137709104571977E-2</c:v>
                </c:pt>
                <c:pt idx="37">
                  <c:v>9.6849558219878465E-2</c:v>
                </c:pt>
                <c:pt idx="38">
                  <c:v>9.850513979106211E-2</c:v>
                </c:pt>
                <c:pt idx="39">
                  <c:v>0.10010457614317415</c:v>
                </c:pt>
                <c:pt idx="40">
                  <c:v>0.10164799852336981</c:v>
                </c:pt>
                <c:pt idx="41">
                  <c:v>0.10313554640551682</c:v>
                </c:pt>
                <c:pt idx="42">
                  <c:v>0.10456736679413509</c:v>
                </c:pt>
                <c:pt idx="43">
                  <c:v>0.10579819472871148</c:v>
                </c:pt>
                <c:pt idx="44">
                  <c:v>0.10681955735098482</c:v>
                </c:pt>
                <c:pt idx="45">
                  <c:v>0.10763165255292757</c:v>
                </c:pt>
                <c:pt idx="46">
                  <c:v>0.10823467618751324</c:v>
                </c:pt>
                <c:pt idx="47">
                  <c:v>0.10862881944534247</c:v>
                </c:pt>
                <c:pt idx="48">
                  <c:v>0.10881426622986701</c:v>
                </c:pt>
                <c:pt idx="49">
                  <c:v>0.1087911905335872</c:v>
                </c:pt>
                <c:pt idx="50">
                  <c:v>0.10855975381358662</c:v>
                </c:pt>
                <c:pt idx="51">
                  <c:v>0.10803121226910452</c:v>
                </c:pt>
                <c:pt idx="52">
                  <c:v>0.10726936505714234</c:v>
                </c:pt>
                <c:pt idx="53">
                  <c:v>0.10627363260197224</c:v>
                </c:pt>
                <c:pt idx="54">
                  <c:v>0.10504397012930565</c:v>
                </c:pt>
                <c:pt idx="55">
                  <c:v>0.10358033047361044</c:v>
                </c:pt>
                <c:pt idx="56">
                  <c:v>0.10188266494468849</c:v>
                </c:pt>
                <c:pt idx="57">
                  <c:v>0.10006625015089383</c:v>
                </c:pt>
                <c:pt idx="58">
                  <c:v>9.8276394911703077E-2</c:v>
                </c:pt>
                <c:pt idx="59">
                  <c:v>9.6513056461425051E-2</c:v>
                </c:pt>
                <c:pt idx="60">
                  <c:v>9.4776194826516405E-2</c:v>
                </c:pt>
                <c:pt idx="61">
                  <c:v>9.3065772727807736E-2</c:v>
                </c:pt>
                <c:pt idx="62">
                  <c:v>9.1381755482589047E-2</c:v>
                </c:pt>
                <c:pt idx="63">
                  <c:v>8.9724110906976226E-2</c:v>
                </c:pt>
                <c:pt idx="64">
                  <c:v>8.80928092179077E-2</c:v>
                </c:pt>
                <c:pt idx="65">
                  <c:v>8.6625400382085341E-2</c:v>
                </c:pt>
                <c:pt idx="66">
                  <c:v>8.5410754339248565E-2</c:v>
                </c:pt>
                <c:pt idx="67">
                  <c:v>8.4448847928735624E-2</c:v>
                </c:pt>
                <c:pt idx="68">
                  <c:v>8.3739656661620865E-2</c:v>
                </c:pt>
                <c:pt idx="69">
                  <c:v>8.3283153784820985E-2</c:v>
                </c:pt>
                <c:pt idx="70">
                  <c:v>8.3079309345600913E-2</c:v>
                </c:pt>
                <c:pt idx="71">
                  <c:v>8.3116393153849707E-2</c:v>
                </c:pt>
                <c:pt idx="72">
                  <c:v>8.3279038446754106E-2</c:v>
                </c:pt>
                <c:pt idx="73">
                  <c:v>8.3567207141890087E-2</c:v>
                </c:pt>
                <c:pt idx="74">
                  <c:v>8.398085768185598E-2</c:v>
                </c:pt>
                <c:pt idx="75">
                  <c:v>8.4519944568709149E-2</c:v>
                </c:pt>
                <c:pt idx="76">
                  <c:v>8.5184417898142975E-2</c:v>
                </c:pt>
                <c:pt idx="77">
                  <c:v>8.5974222893936705E-2</c:v>
                </c:pt>
                <c:pt idx="78">
                  <c:v>8.6889302326937146E-2</c:v>
                </c:pt>
                <c:pt idx="79">
                  <c:v>8.7833019321549036E-2</c:v>
                </c:pt>
                <c:pt idx="80">
                  <c:v>8.8668037954720558E-2</c:v>
                </c:pt>
                <c:pt idx="81">
                  <c:v>8.9394344759673824E-2</c:v>
                </c:pt>
                <c:pt idx="82">
                  <c:v>9.0011925508137872E-2</c:v>
                </c:pt>
                <c:pt idx="83">
                  <c:v>9.0520765558190289E-2</c:v>
                </c:pt>
                <c:pt idx="84">
                  <c:v>9.0920850202399817E-2</c:v>
                </c:pt>
                <c:pt idx="85">
                  <c:v>9.1119068214400981E-2</c:v>
                </c:pt>
                <c:pt idx="86">
                  <c:v>9.1127110057983615E-2</c:v>
                </c:pt>
                <c:pt idx="87">
                  <c:v>9.0944977319993514E-2</c:v>
                </c:pt>
                <c:pt idx="88">
                  <c:v>9.0572674311216253E-2</c:v>
                </c:pt>
                <c:pt idx="89">
                  <c:v>9.0010208675192147E-2</c:v>
                </c:pt>
                <c:pt idx="90">
                  <c:v>8.9257591996843855E-2</c:v>
                </c:pt>
                <c:pt idx="91">
                  <c:v>8.8314840411448312E-2</c:v>
                </c:pt>
                <c:pt idx="92">
                  <c:v>8.7181975213364404E-2</c:v>
                </c:pt>
                <c:pt idx="93">
                  <c:v>8.5822261535165312E-2</c:v>
                </c:pt>
                <c:pt idx="94">
                  <c:v>8.433257199888422E-2</c:v>
                </c:pt>
                <c:pt idx="95">
                  <c:v>8.2712932009438508E-2</c:v>
                </c:pt>
                <c:pt idx="96">
                  <c:v>8.0963372744148637E-2</c:v>
                </c:pt>
                <c:pt idx="97">
                  <c:v>7.9083931569383134E-2</c:v>
                </c:pt>
                <c:pt idx="98">
                  <c:v>7.707465245645613E-2</c:v>
                </c:pt>
                <c:pt idx="99">
                  <c:v>7.4950882708081257E-2</c:v>
                </c:pt>
                <c:pt idx="100">
                  <c:v>7.2805660739960476E-2</c:v>
                </c:pt>
                <c:pt idx="101">
                  <c:v>7.0639012793540804E-2</c:v>
                </c:pt>
                <c:pt idx="102">
                  <c:v>6.8450968739778142E-2</c:v>
                </c:pt>
                <c:pt idx="103">
                  <c:v>6.6241562147226207E-2</c:v>
                </c:pt>
                <c:pt idx="104">
                  <c:v>6.401083035175438E-2</c:v>
                </c:pt>
                <c:pt idx="105">
                  <c:v>6.1758814524753597E-2</c:v>
                </c:pt>
                <c:pt idx="106">
                  <c:v>5.9485559742166898E-2</c:v>
                </c:pt>
                <c:pt idx="107">
                  <c:v>5.721911811348427E-2</c:v>
                </c:pt>
                <c:pt idx="108">
                  <c:v>5.4996220573250425E-2</c:v>
                </c:pt>
                <c:pt idx="109">
                  <c:v>5.2816886970314385E-2</c:v>
                </c:pt>
                <c:pt idx="110">
                  <c:v>5.0681281877995421E-2</c:v>
                </c:pt>
                <c:pt idx="111">
                  <c:v>4.8589549725304937E-2</c:v>
                </c:pt>
                <c:pt idx="112">
                  <c:v>4.6541680989275074E-2</c:v>
                </c:pt>
                <c:pt idx="113">
                  <c:v>4.4566673782225237E-2</c:v>
                </c:pt>
                <c:pt idx="114">
                  <c:v>4.2649243381909029E-2</c:v>
                </c:pt>
                <c:pt idx="115">
                  <c:v>4.0789372431125397E-2</c:v>
                </c:pt>
                <c:pt idx="116">
                  <c:v>3.8987043463395078E-2</c:v>
                </c:pt>
                <c:pt idx="117">
                  <c:v>3.724223877869947E-2</c:v>
                </c:pt>
                <c:pt idx="118">
                  <c:v>3.5554940318781432E-2</c:v>
                </c:pt>
                <c:pt idx="119">
                  <c:v>3.3925129542572603E-2</c:v>
                </c:pt>
                <c:pt idx="120">
                  <c:v>3.2352787301568271E-2</c:v>
                </c:pt>
                <c:pt idx="121">
                  <c:v>3.0868836452814089E-2</c:v>
                </c:pt>
                <c:pt idx="122">
                  <c:v>2.9445321318193319E-2</c:v>
                </c:pt>
                <c:pt idx="123">
                  <c:v>2.8082217105463474E-2</c:v>
                </c:pt>
                <c:pt idx="124">
                  <c:v>2.6779497760440665E-2</c:v>
                </c:pt>
                <c:pt idx="125">
                  <c:v>2.553713583603601E-2</c:v>
                </c:pt>
                <c:pt idx="126">
                  <c:v>2.435510236088935E-2</c:v>
                </c:pt>
                <c:pt idx="127">
                  <c:v>2.3266814469445913E-2</c:v>
                </c:pt>
                <c:pt idx="128">
                  <c:v>2.2243313514340449E-2</c:v>
                </c:pt>
                <c:pt idx="129">
                  <c:v>2.1284560049183467E-2</c:v>
                </c:pt>
                <c:pt idx="130">
                  <c:v>2.0390512319374176E-2</c:v>
                </c:pt>
                <c:pt idx="131">
                  <c:v>1.9561126120687129E-2</c:v>
                </c:pt>
                <c:pt idx="132">
                  <c:v>1.8796354658096006E-2</c:v>
                </c:pt>
                <c:pt idx="133">
                  <c:v>1.8096148404712072E-2</c:v>
                </c:pt>
                <c:pt idx="134">
                  <c:v>1.7460454960608537E-2</c:v>
                </c:pt>
                <c:pt idx="135">
                  <c:v>1.6907039319442423E-2</c:v>
                </c:pt>
                <c:pt idx="136">
                  <c:v>1.640502668988857E-2</c:v>
                </c:pt>
                <c:pt idx="137">
                  <c:v>1.5954369845313347E-2</c:v>
                </c:pt>
                <c:pt idx="138">
                  <c:v>1.5555018901924789E-2</c:v>
                </c:pt>
                <c:pt idx="139">
                  <c:v>1.5206921206562848E-2</c:v>
                </c:pt>
                <c:pt idx="140">
                  <c:v>1.4910021223600448E-2</c:v>
                </c:pt>
                <c:pt idx="141">
                  <c:v>1.4668070985833529E-2</c:v>
                </c:pt>
                <c:pt idx="142">
                  <c:v>1.4447662489284077E-2</c:v>
                </c:pt>
                <c:pt idx="143">
                  <c:v>1.4248710549522736E-2</c:v>
                </c:pt>
                <c:pt idx="144">
                  <c:v>1.4071215907161002E-2</c:v>
                </c:pt>
                <c:pt idx="145">
                  <c:v>1.3915175741279415E-2</c:v>
                </c:pt>
                <c:pt idx="146">
                  <c:v>1.378058395913947E-2</c:v>
                </c:pt>
                <c:pt idx="147">
                  <c:v>1.36674314863713E-2</c:v>
                </c:pt>
                <c:pt idx="148">
                  <c:v>1.357570655682285E-2</c:v>
                </c:pt>
                <c:pt idx="149">
                  <c:v>1.3508935357003579E-2</c:v>
                </c:pt>
                <c:pt idx="150">
                  <c:v>1.3449401840577394E-2</c:v>
                </c:pt>
                <c:pt idx="151">
                  <c:v>1.3397113085419078E-2</c:v>
                </c:pt>
                <c:pt idx="152">
                  <c:v>1.3352075443549253E-2</c:v>
                </c:pt>
                <c:pt idx="153">
                  <c:v>1.331429464000855E-2</c:v>
                </c:pt>
                <c:pt idx="154">
                  <c:v>1.3283775871805894E-2</c:v>
                </c:pt>
                <c:pt idx="155">
                  <c:v>1.3259228143158525E-2</c:v>
                </c:pt>
                <c:pt idx="156">
                  <c:v>1.3236879661166759E-2</c:v>
                </c:pt>
                <c:pt idx="157">
                  <c:v>1.3216744281317E-2</c:v>
                </c:pt>
                <c:pt idx="158">
                  <c:v>1.3198835755532975E-2</c:v>
                </c:pt>
                <c:pt idx="159">
                  <c:v>1.3183167762312145E-2</c:v>
                </c:pt>
                <c:pt idx="160">
                  <c:v>1.3169753937025052E-2</c:v>
                </c:pt>
                <c:pt idx="161">
                  <c:v>1.3158607902065111E-2</c:v>
                </c:pt>
                <c:pt idx="162">
                  <c:v>1.314974329706955E-2</c:v>
                </c:pt>
                <c:pt idx="163">
                  <c:v>1.314358186974556E-2</c:v>
                </c:pt>
                <c:pt idx="164">
                  <c:v>1.3136629095229993E-2</c:v>
                </c:pt>
                <c:pt idx="165">
                  <c:v>1.312890450840134E-2</c:v>
                </c:pt>
                <c:pt idx="166">
                  <c:v>1.3120427603921852E-2</c:v>
                </c:pt>
                <c:pt idx="167">
                  <c:v>1.311121782404083E-2</c:v>
                </c:pt>
                <c:pt idx="168">
                  <c:v>1.310129454681736E-2</c:v>
                </c:pt>
                <c:pt idx="169">
                  <c:v>1.3091083689171194E-2</c:v>
                </c:pt>
                <c:pt idx="170">
                  <c:v>1.3081887763183656E-2</c:v>
                </c:pt>
                <c:pt idx="171">
                  <c:v>1.3073723209757604E-2</c:v>
                </c:pt>
                <c:pt idx="172">
                  <c:v>1.3066606541773837E-2</c:v>
                </c:pt>
                <c:pt idx="173">
                  <c:v>1.3060420797694336E-2</c:v>
                </c:pt>
                <c:pt idx="174">
                  <c:v>1.3055042248303545E-2</c:v>
                </c:pt>
                <c:pt idx="175">
                  <c:v>1.3050477316557041E-2</c:v>
                </c:pt>
                <c:pt idx="176">
                  <c:v>1.3046732430875388E-2</c:v>
                </c:pt>
                <c:pt idx="177">
                  <c:v>1.3042534635114511E-2</c:v>
                </c:pt>
                <c:pt idx="178">
                  <c:v>1.3037487563615663E-2</c:v>
                </c:pt>
                <c:pt idx="179">
                  <c:v>1.3031600198195895E-2</c:v>
                </c:pt>
                <c:pt idx="180">
                  <c:v>1.3024881509201933E-2</c:v>
                </c:pt>
                <c:pt idx="181">
                  <c:v>1.3017340450304171E-2</c:v>
                </c:pt>
                <c:pt idx="182">
                  <c:v>1.3008985953404502E-2</c:v>
                </c:pt>
                <c:pt idx="183">
                  <c:v>1.3003299535516105E-2</c:v>
                </c:pt>
                <c:pt idx="184">
                  <c:v>1.2999881535767572E-2</c:v>
                </c:pt>
                <c:pt idx="185">
                  <c:v>1.2998736512692755E-2</c:v>
                </c:pt>
                <c:pt idx="186">
                  <c:v>1.299986911573558E-2</c:v>
                </c:pt>
                <c:pt idx="187">
                  <c:v>1.3003284098242354E-2</c:v>
                </c:pt>
                <c:pt idx="188">
                  <c:v>1.3008986330528995E-2</c:v>
                </c:pt>
                <c:pt idx="189">
                  <c:v>1.3016980812551331E-2</c:v>
                </c:pt>
                <c:pt idx="190">
                  <c:v>1.3027272687130149E-2</c:v>
                </c:pt>
                <c:pt idx="191">
                  <c:v>1.3043576058833328E-2</c:v>
                </c:pt>
                <c:pt idx="192">
                  <c:v>1.3067162273261995E-2</c:v>
                </c:pt>
                <c:pt idx="193">
                  <c:v>1.3098031092007157E-2</c:v>
                </c:pt>
                <c:pt idx="194">
                  <c:v>1.3136182824749701E-2</c:v>
                </c:pt>
                <c:pt idx="195">
                  <c:v>1.3181618371916233E-2</c:v>
                </c:pt>
                <c:pt idx="196">
                  <c:v>1.3234339266830505E-2</c:v>
                </c:pt>
                <c:pt idx="197">
                  <c:v>1.3311610237479843E-2</c:v>
                </c:pt>
                <c:pt idx="198">
                  <c:v>1.340996571971277E-2</c:v>
                </c:pt>
                <c:pt idx="199">
                  <c:v>1.3529396694786255E-2</c:v>
                </c:pt>
                <c:pt idx="200">
                  <c:v>1.3669896240856337E-2</c:v>
                </c:pt>
                <c:pt idx="201">
                  <c:v>1.3831459657010811E-2</c:v>
                </c:pt>
                <c:pt idx="202">
                  <c:v>1.401408458737461E-2</c:v>
                </c:pt>
                <c:pt idx="203">
                  <c:v>1.42177711455266E-2</c:v>
                </c:pt>
                <c:pt idx="204">
                  <c:v>1.444249871620811E-2</c:v>
                </c:pt>
                <c:pt idx="205">
                  <c:v>1.4720478537648135E-2</c:v>
                </c:pt>
                <c:pt idx="206">
                  <c:v>1.5047990127901817E-2</c:v>
                </c:pt>
                <c:pt idx="207">
                  <c:v>1.5425010357822261E-2</c:v>
                </c:pt>
                <c:pt idx="208">
                  <c:v>1.5851519716219221E-2</c:v>
                </c:pt>
                <c:pt idx="209">
                  <c:v>1.6327502156244157E-2</c:v>
                </c:pt>
                <c:pt idx="210">
                  <c:v>1.685294494230398E-2</c:v>
                </c:pt>
                <c:pt idx="211">
                  <c:v>1.7457580688024443E-2</c:v>
                </c:pt>
                <c:pt idx="212">
                  <c:v>1.8124188626866964E-2</c:v>
                </c:pt>
                <c:pt idx="213">
                  <c:v>1.8852761274063306E-2</c:v>
                </c:pt>
                <c:pt idx="214">
                  <c:v>1.9643294671719953E-2</c:v>
                </c:pt>
                <c:pt idx="215">
                  <c:v>2.0495788196520922E-2</c:v>
                </c:pt>
                <c:pt idx="216">
                  <c:v>2.1410244367367371E-2</c:v>
                </c:pt>
                <c:pt idx="217">
                  <c:v>2.2386668653100517E-2</c:v>
                </c:pt>
                <c:pt idx="218">
                  <c:v>2.3425069280114074E-2</c:v>
                </c:pt>
                <c:pt idx="219">
                  <c:v>2.4553264151951203E-2</c:v>
                </c:pt>
                <c:pt idx="220">
                  <c:v>2.573908559712354E-2</c:v>
                </c:pt>
                <c:pt idx="221">
                  <c:v>2.6982550326332497E-2</c:v>
                </c:pt>
                <c:pt idx="222">
                  <c:v>2.8283676766429993E-2</c:v>
                </c:pt>
                <c:pt idx="223">
                  <c:v>2.9642484882102346E-2</c:v>
                </c:pt>
                <c:pt idx="224">
                  <c:v>3.1058995996937355E-2</c:v>
                </c:pt>
                <c:pt idx="225">
                  <c:v>3.2560040694737377E-2</c:v>
                </c:pt>
                <c:pt idx="226">
                  <c:v>3.4115929757374625E-2</c:v>
                </c:pt>
                <c:pt idx="227">
                  <c:v>3.5726688071748613E-2</c:v>
                </c:pt>
                <c:pt idx="228">
                  <c:v>3.7392341010371054E-2</c:v>
                </c:pt>
                <c:pt idx="229">
                  <c:v>3.911291426122538E-2</c:v>
                </c:pt>
                <c:pt idx="230">
                  <c:v>4.0888433658160091E-2</c:v>
                </c:pt>
                <c:pt idx="231">
                  <c:v>4.2718925011470843E-2</c:v>
                </c:pt>
                <c:pt idx="232">
                  <c:v>4.460441393761358E-2</c:v>
                </c:pt>
                <c:pt idx="233">
                  <c:v>4.6559555193670103E-2</c:v>
                </c:pt>
                <c:pt idx="234">
                  <c:v>4.855656767355785E-2</c:v>
                </c:pt>
                <c:pt idx="235">
                  <c:v>5.0595514323319123E-2</c:v>
                </c:pt>
                <c:pt idx="236">
                  <c:v>5.2676480644415991E-2</c:v>
                </c:pt>
                <c:pt idx="237">
                  <c:v>5.4799525226276291E-2</c:v>
                </c:pt>
                <c:pt idx="238">
                  <c:v>5.6964709831984185E-2</c:v>
                </c:pt>
                <c:pt idx="239">
                  <c:v>5.913694639593934E-2</c:v>
                </c:pt>
                <c:pt idx="240">
                  <c:v>6.1289468313227735E-2</c:v>
                </c:pt>
                <c:pt idx="241">
                  <c:v>6.3422328510173931E-2</c:v>
                </c:pt>
                <c:pt idx="242">
                  <c:v>6.5535580496522236E-2</c:v>
                </c:pt>
                <c:pt idx="243">
                  <c:v>6.7629278329787365E-2</c:v>
                </c:pt>
                <c:pt idx="244">
                  <c:v>6.9703476579313126E-2</c:v>
                </c:pt>
                <c:pt idx="245">
                  <c:v>7.1758230289615935E-2</c:v>
                </c:pt>
                <c:pt idx="246">
                  <c:v>7.3793594943529536E-2</c:v>
                </c:pt>
                <c:pt idx="247">
                  <c:v>7.5720566564595665E-2</c:v>
                </c:pt>
                <c:pt idx="248">
                  <c:v>7.7524509067062916E-2</c:v>
                </c:pt>
                <c:pt idx="249">
                  <c:v>7.9205425899919205E-2</c:v>
                </c:pt>
                <c:pt idx="250">
                  <c:v>8.0763315086467127E-2</c:v>
                </c:pt>
                <c:pt idx="251">
                  <c:v>8.2198169007352301E-2</c:v>
                </c:pt>
                <c:pt idx="252">
                  <c:v>8.3509974180257227E-2</c:v>
                </c:pt>
                <c:pt idx="253">
                  <c:v>8.4605925936247162E-2</c:v>
                </c:pt>
                <c:pt idx="254">
                  <c:v>8.5521170649845657E-2</c:v>
                </c:pt>
                <c:pt idx="255">
                  <c:v>8.6255635159631014E-2</c:v>
                </c:pt>
                <c:pt idx="256">
                  <c:v>8.6809235999242604E-2</c:v>
                </c:pt>
                <c:pt idx="257">
                  <c:v>8.7181879076204186E-2</c:v>
                </c:pt>
                <c:pt idx="258">
                  <c:v>8.7373459351569552E-2</c:v>
                </c:pt>
                <c:pt idx="259">
                  <c:v>8.7383860520785742E-2</c:v>
                </c:pt>
                <c:pt idx="260">
                  <c:v>8.721295469188739E-2</c:v>
                </c:pt>
                <c:pt idx="261">
                  <c:v>8.6849385240759483E-2</c:v>
                </c:pt>
                <c:pt idx="262">
                  <c:v>8.6382346614107888E-2</c:v>
                </c:pt>
                <c:pt idx="263">
                  <c:v>8.5811745445400781E-2</c:v>
                </c:pt>
                <c:pt idx="264">
                  <c:v>8.5137484979462427E-2</c:v>
                </c:pt>
                <c:pt idx="265">
                  <c:v>8.4359912694789277E-2</c:v>
                </c:pt>
                <c:pt idx="266">
                  <c:v>8.3479129548128819E-2</c:v>
                </c:pt>
                <c:pt idx="267">
                  <c:v>8.262707759170225E-2</c:v>
                </c:pt>
                <c:pt idx="268">
                  <c:v>8.1896835723530001E-2</c:v>
                </c:pt>
                <c:pt idx="269">
                  <c:v>8.1288415281668303E-2</c:v>
                </c:pt>
                <c:pt idx="270">
                  <c:v>8.0801842874078059E-2</c:v>
                </c:pt>
                <c:pt idx="271">
                  <c:v>8.0437159044251194E-2</c:v>
                </c:pt>
                <c:pt idx="272">
                  <c:v>8.0194416939112556E-2</c:v>
                </c:pt>
                <c:pt idx="273">
                  <c:v>8.007368097589547E-2</c:v>
                </c:pt>
                <c:pt idx="274">
                  <c:v>8.0075025510068995E-2</c:v>
                </c:pt>
                <c:pt idx="275">
                  <c:v>8.0309747577247195E-2</c:v>
                </c:pt>
                <c:pt idx="276">
                  <c:v>8.0789385877265599E-2</c:v>
                </c:pt>
                <c:pt idx="277">
                  <c:v>8.1514222998648453E-2</c:v>
                </c:pt>
                <c:pt idx="278">
                  <c:v>8.2484550674200005E-2</c:v>
                </c:pt>
                <c:pt idx="279">
                  <c:v>8.3700667103266083E-2</c:v>
                </c:pt>
                <c:pt idx="280">
                  <c:v>8.5162874274774328E-2</c:v>
                </c:pt>
                <c:pt idx="281">
                  <c:v>8.6785493968251748E-2</c:v>
                </c:pt>
                <c:pt idx="282">
                  <c:v>8.8435553584611137E-2</c:v>
                </c:pt>
                <c:pt idx="283">
                  <c:v>9.0113006351909178E-2</c:v>
                </c:pt>
                <c:pt idx="284">
                  <c:v>9.1817798626227673E-2</c:v>
                </c:pt>
                <c:pt idx="285">
                  <c:v>9.354986961148426E-2</c:v>
                </c:pt>
                <c:pt idx="286">
                  <c:v>9.5309151080119489E-2</c:v>
                </c:pt>
                <c:pt idx="287">
                  <c:v>9.7095567092888579E-2</c:v>
                </c:pt>
                <c:pt idx="288">
                  <c:v>9.8909033718992775E-2</c:v>
                </c:pt>
                <c:pt idx="289">
                  <c:v>0.10060827497197644</c:v>
                </c:pt>
                <c:pt idx="290">
                  <c:v>0.10208090625858023</c:v>
                </c:pt>
                <c:pt idx="291">
                  <c:v>0.10332644713619581</c:v>
                </c:pt>
                <c:pt idx="292">
                  <c:v>0.10434442153644646</c:v>
                </c:pt>
                <c:pt idx="293">
                  <c:v>0.10513436024554028</c:v>
                </c:pt>
                <c:pt idx="294">
                  <c:v>0.10569580338423412</c:v>
                </c:pt>
                <c:pt idx="295">
                  <c:v>0.10596572002930772</c:v>
                </c:pt>
                <c:pt idx="296">
                  <c:v>0.10603150164423421</c:v>
                </c:pt>
                <c:pt idx="297">
                  <c:v>0.10589364980246944</c:v>
                </c:pt>
                <c:pt idx="298">
                  <c:v>0.10555178342873349</c:v>
                </c:pt>
                <c:pt idx="299">
                  <c:v>0.10500551535162289</c:v>
                </c:pt>
                <c:pt idx="300">
                  <c:v>0.1042544541907196</c:v>
                </c:pt>
                <c:pt idx="301">
                  <c:v>0.10329820624337853</c:v>
                </c:pt>
                <c:pt idx="302">
                  <c:v>0.1021363773717507</c:v>
                </c:pt>
                <c:pt idx="303">
                  <c:v>0.10077704678508985</c:v>
                </c:pt>
                <c:pt idx="304">
                  <c:v>9.936202279752622E-2</c:v>
                </c:pt>
                <c:pt idx="305">
                  <c:v>9.7891136326330994E-2</c:v>
                </c:pt>
                <c:pt idx="306">
                  <c:v>9.6364223977005878E-2</c:v>
                </c:pt>
                <c:pt idx="307">
                  <c:v>9.4781128543911977E-2</c:v>
                </c:pt>
                <c:pt idx="308">
                  <c:v>9.3141699510096806E-2</c:v>
                </c:pt>
                <c:pt idx="309">
                  <c:v>9.1500725217325843E-2</c:v>
                </c:pt>
                <c:pt idx="310">
                  <c:v>8.992118001101912E-2</c:v>
                </c:pt>
                <c:pt idx="311">
                  <c:v>8.8403095247755692E-2</c:v>
                </c:pt>
                <c:pt idx="312">
                  <c:v>8.6946505787173556E-2</c:v>
                </c:pt>
                <c:pt idx="313">
                  <c:v>8.5551449410020353E-2</c:v>
                </c:pt>
                <c:pt idx="314">
                  <c:v>8.421796623539847E-2</c:v>
                </c:pt>
                <c:pt idx="315">
                  <c:v>8.2946098139093011E-2</c:v>
                </c:pt>
                <c:pt idx="316">
                  <c:v>8.1735888170576518E-2</c:v>
                </c:pt>
                <c:pt idx="317">
                  <c:v>8.0635625473828909E-2</c:v>
                </c:pt>
                <c:pt idx="318">
                  <c:v>7.9636880590039025E-2</c:v>
                </c:pt>
                <c:pt idx="319">
                  <c:v>7.8739738546360086E-2</c:v>
                </c:pt>
                <c:pt idx="320">
                  <c:v>7.7944279619954135E-2</c:v>
                </c:pt>
                <c:pt idx="321">
                  <c:v>7.7250578392468169E-2</c:v>
                </c:pt>
                <c:pt idx="322">
                  <c:v>7.6658702804819248E-2</c:v>
                </c:pt>
                <c:pt idx="323">
                  <c:v>7.6198085899008686E-2</c:v>
                </c:pt>
                <c:pt idx="324">
                  <c:v>7.581355416959927E-2</c:v>
                </c:pt>
                <c:pt idx="325">
                  <c:v>7.5505123096022461E-2</c:v>
                </c:pt>
                <c:pt idx="326">
                  <c:v>7.5272332587633994E-2</c:v>
                </c:pt>
                <c:pt idx="327">
                  <c:v>7.5115029912810161E-2</c:v>
                </c:pt>
                <c:pt idx="328">
                  <c:v>7.5033435947715957E-2</c:v>
                </c:pt>
                <c:pt idx="329">
                  <c:v>7.5027757814306095E-2</c:v>
                </c:pt>
                <c:pt idx="330">
                  <c:v>7.5098190498915834E-2</c:v>
                </c:pt>
                <c:pt idx="331">
                  <c:v>7.5254615491374091E-2</c:v>
                </c:pt>
                <c:pt idx="332">
                  <c:v>7.5448783229906766E-2</c:v>
                </c:pt>
                <c:pt idx="333">
                  <c:v>7.5680852094127782E-2</c:v>
                </c:pt>
                <c:pt idx="334">
                  <c:v>7.5950978271651176E-2</c:v>
                </c:pt>
                <c:pt idx="335">
                  <c:v>7.6259316572384717E-2</c:v>
                </c:pt>
                <c:pt idx="336">
                  <c:v>7.6606021241829483E-2</c:v>
                </c:pt>
                <c:pt idx="337">
                  <c:v>7.6978530636544848E-2</c:v>
                </c:pt>
                <c:pt idx="338">
                  <c:v>7.7347567227446345E-2</c:v>
                </c:pt>
                <c:pt idx="339">
                  <c:v>7.7713285454298356E-2</c:v>
                </c:pt>
                <c:pt idx="340">
                  <c:v>7.8075842870163489E-2</c:v>
                </c:pt>
                <c:pt idx="341">
                  <c:v>7.8435400079005804E-2</c:v>
                </c:pt>
                <c:pt idx="342">
                  <c:v>7.8792120673240318E-2</c:v>
                </c:pt>
                <c:pt idx="343">
                  <c:v>7.914617117033404E-2</c:v>
                </c:pt>
                <c:pt idx="344">
                  <c:v>7.9497720950636702E-2</c:v>
                </c:pt>
                <c:pt idx="345">
                  <c:v>7.9846942194382806E-2</c:v>
                </c:pt>
                <c:pt idx="346">
                  <c:v>8.0166342561301326E-2</c:v>
                </c:pt>
                <c:pt idx="347">
                  <c:v>8.0456094130810882E-2</c:v>
                </c:pt>
                <c:pt idx="348">
                  <c:v>8.0716369181092637E-2</c:v>
                </c:pt>
                <c:pt idx="349">
                  <c:v>8.0947339550596756E-2</c:v>
                </c:pt>
                <c:pt idx="350">
                  <c:v>8.1149176001437173E-2</c:v>
                </c:pt>
                <c:pt idx="351">
                  <c:v>8.1304074843548096E-2</c:v>
                </c:pt>
                <c:pt idx="352">
                  <c:v>8.14249223074789E-2</c:v>
                </c:pt>
                <c:pt idx="353">
                  <c:v>8.1511877844159461E-2</c:v>
                </c:pt>
                <c:pt idx="354">
                  <c:v>8.156509627870949E-2</c:v>
                </c:pt>
                <c:pt idx="355">
                  <c:v>8.1584727059533305E-2</c:v>
                </c:pt>
                <c:pt idx="356">
                  <c:v>8.1570969881759325E-2</c:v>
                </c:pt>
                <c:pt idx="357">
                  <c:v>8.1523779437828098E-2</c:v>
                </c:pt>
                <c:pt idx="358">
                  <c:v>8.1442907496456787E-2</c:v>
                </c:pt>
                <c:pt idx="359">
                  <c:v>8.1328100465519429E-2</c:v>
                </c:pt>
                <c:pt idx="360">
                  <c:v>8.1166342996880622E-2</c:v>
                </c:pt>
                <c:pt idx="361">
                  <c:v>8.0975382152310135E-2</c:v>
                </c:pt>
                <c:pt idx="362">
                  <c:v>8.0754959753964031E-2</c:v>
                </c:pt>
                <c:pt idx="363">
                  <c:v>8.0504816595485348E-2</c:v>
                </c:pt>
                <c:pt idx="364">
                  <c:v>8.0224693230922239E-2</c:v>
                </c:pt>
                <c:pt idx="365">
                  <c:v>7.9914330762636668E-2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28688"/>
        <c:axId val="611429080"/>
      </c:lineChart>
      <c:dateAx>
        <c:axId val="611428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9080"/>
        <c:crosses val="autoZero"/>
        <c:auto val="1"/>
        <c:lblOffset val="100"/>
        <c:baseTimeUnit val="days"/>
      </c:dateAx>
      <c:valAx>
        <c:axId val="61142908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86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429864"/>
        <c:axId val="611430256"/>
      </c:scatterChart>
      <c:valAx>
        <c:axId val="61142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0256"/>
        <c:crosses val="autoZero"/>
        <c:crossBetween val="midCat"/>
      </c:valAx>
      <c:valAx>
        <c:axId val="61143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298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19.8203225071831</c:v>
                </c:pt>
                <c:pt idx="1">
                  <c:v>19.935972437005617</c:v>
                </c:pt>
                <c:pt idx="2">
                  <c:v>20.059128575309597</c:v>
                </c:pt>
                <c:pt idx="3">
                  <c:v>20.189668657104001</c:v>
                </c:pt>
                <c:pt idx="4">
                  <c:v>20.327470431733751</c:v>
                </c:pt>
                <c:pt idx="5">
                  <c:v>20.472411633321435</c:v>
                </c:pt>
                <c:pt idx="6">
                  <c:v>20.62437000660033</c:v>
                </c:pt>
                <c:pt idx="7">
                  <c:v>20.783223294068513</c:v>
                </c:pt>
                <c:pt idx="8">
                  <c:v>20.949862684883417</c:v>
                </c:pt>
                <c:pt idx="9">
                  <c:v>21.125120146411099</c:v>
                </c:pt>
                <c:pt idx="10">
                  <c:v>21.308784566637534</c:v>
                </c:pt>
                <c:pt idx="11">
                  <c:v>21.500644844931919</c:v>
                </c:pt>
                <c:pt idx="12">
                  <c:v>21.700489872062274</c:v>
                </c:pt>
                <c:pt idx="13">
                  <c:v>21.908108544423989</c:v>
                </c:pt>
                <c:pt idx="14">
                  <c:v>22.123289755834591</c:v>
                </c:pt>
                <c:pt idx="15">
                  <c:v>22.345822400267565</c:v>
                </c:pt>
                <c:pt idx="16">
                  <c:v>22.575495373554013</c:v>
                </c:pt>
                <c:pt idx="17">
                  <c:v>22.812097567696068</c:v>
                </c:pt>
                <c:pt idx="18">
                  <c:v>23.055417879201066</c:v>
                </c:pt>
                <c:pt idx="19">
                  <c:v>23.30524520012068</c:v>
                </c:pt>
                <c:pt idx="20">
                  <c:v>23.561368425792828</c:v>
                </c:pt>
                <c:pt idx="21">
                  <c:v>23.823576452210546</c:v>
                </c:pt>
                <c:pt idx="22">
                  <c:v>24.092795541543246</c:v>
                </c:pt>
                <c:pt idx="23">
                  <c:v>24.369864619363632</c:v>
                </c:pt>
                <c:pt idx="24">
                  <c:v>24.654441567111228</c:v>
                </c:pt>
                <c:pt idx="25">
                  <c:v>24.946184266598095</c:v>
                </c:pt>
                <c:pt idx="26">
                  <c:v>25.244750602230695</c:v>
                </c:pt>
                <c:pt idx="27">
                  <c:v>25.549798454251142</c:v>
                </c:pt>
                <c:pt idx="28">
                  <c:v>25.860985707771032</c:v>
                </c:pt>
                <c:pt idx="29">
                  <c:v>26.177970243697722</c:v>
                </c:pt>
                <c:pt idx="30">
                  <c:v>26.500409944382099</c:v>
                </c:pt>
                <c:pt idx="31">
                  <c:v>26.827962691922274</c:v>
                </c:pt>
                <c:pt idx="32">
                  <c:v>27.160286371290152</c:v>
                </c:pt>
                <c:pt idx="33">
                  <c:v>27.497038862055966</c:v>
                </c:pt>
                <c:pt idx="34">
                  <c:v>27.837878047481979</c:v>
                </c:pt>
                <c:pt idx="35">
                  <c:v>28.182461812067778</c:v>
                </c:pt>
                <c:pt idx="36">
                  <c:v>28.531835392935733</c:v>
                </c:pt>
                <c:pt idx="37">
                  <c:v>28.887050661018918</c:v>
                </c:pt>
                <c:pt idx="38">
                  <c:v>29.247775445532582</c:v>
                </c:pt>
                <c:pt idx="39">
                  <c:v>29.613677573789445</c:v>
                </c:pt>
                <c:pt idx="40">
                  <c:v>29.984424874299606</c:v>
                </c:pt>
                <c:pt idx="41">
                  <c:v>30.3596851747483</c:v>
                </c:pt>
                <c:pt idx="42">
                  <c:v>30.739126304443925</c:v>
                </c:pt>
                <c:pt idx="43">
                  <c:v>31.122416091896593</c:v>
                </c:pt>
                <c:pt idx="44">
                  <c:v>31.50922236385356</c:v>
                </c:pt>
                <c:pt idx="45">
                  <c:v>31.899212950374931</c:v>
                </c:pt>
                <c:pt idx="46">
                  <c:v>32.292055678946369</c:v>
                </c:pt>
                <c:pt idx="47">
                  <c:v>32.68741837794493</c:v>
                </c:pt>
                <c:pt idx="48">
                  <c:v>33.084968875461655</c:v>
                </c:pt>
                <c:pt idx="49">
                  <c:v>33.484375</c:v>
                </c:pt>
                <c:pt idx="50">
                  <c:v>33.887169734722875</c:v>
                </c:pt>
                <c:pt idx="51">
                  <c:v>34.294870627032864</c:v>
                </c:pt>
                <c:pt idx="52">
                  <c:v>34.707122358393718</c:v>
                </c:pt>
                <c:pt idx="53">
                  <c:v>35.123569606956359</c:v>
                </c:pt>
                <c:pt idx="54">
                  <c:v>35.543857052262005</c:v>
                </c:pt>
                <c:pt idx="55">
                  <c:v>35.967629373309734</c:v>
                </c:pt>
                <c:pt idx="56">
                  <c:v>36.394531250151338</c:v>
                </c:pt>
                <c:pt idx="57">
                  <c:v>36.824207361947217</c:v>
                </c:pt>
                <c:pt idx="58">
                  <c:v>37.25630238727733</c:v>
                </c:pt>
                <c:pt idx="59">
                  <c:v>37.690461006208459</c:v>
                </c:pt>
                <c:pt idx="60">
                  <c:v>38.126327897252381</c:v>
                </c:pt>
                <c:pt idx="61">
                  <c:v>38.563547740564019</c:v>
                </c:pt>
                <c:pt idx="62">
                  <c:v>39.001765215265493</c:v>
                </c:pt>
                <c:pt idx="63">
                  <c:v>39.440625000372528</c:v>
                </c:pt>
                <c:pt idx="64">
                  <c:v>39.882218021477044</c:v>
                </c:pt>
                <c:pt idx="65">
                  <c:v>40.328471209933717</c:v>
                </c:pt>
                <c:pt idx="66">
                  <c:v>40.778783254631392</c:v>
                </c:pt>
                <c:pt idx="67">
                  <c:v>41.232552842759262</c:v>
                </c:pt>
                <c:pt idx="68">
                  <c:v>41.689178662830301</c:v>
                </c:pt>
                <c:pt idx="69">
                  <c:v>42.148059402559213</c:v>
                </c:pt>
                <c:pt idx="70">
                  <c:v>42.608593749999997</c:v>
                </c:pt>
                <c:pt idx="71">
                  <c:v>43.070180393678939</c:v>
                </c:pt>
                <c:pt idx="72">
                  <c:v>43.532218021235892</c:v>
                </c:pt>
                <c:pt idx="73">
                  <c:v>43.994105320969325</c:v>
                </c:pt>
                <c:pt idx="74">
                  <c:v>44.455240980735311</c:v>
                </c:pt>
                <c:pt idx="75">
                  <c:v>44.915023688296785</c:v>
                </c:pt>
                <c:pt idx="76">
                  <c:v>45.37285213234469</c:v>
                </c:pt>
                <c:pt idx="77">
                  <c:v>45.828125000186262</c:v>
                </c:pt>
                <c:pt idx="78">
                  <c:v>46.282863748673947</c:v>
                </c:pt>
                <c:pt idx="79">
                  <c:v>46.738994169597774</c:v>
                </c:pt>
                <c:pt idx="80">
                  <c:v>47.195771456370132</c:v>
                </c:pt>
                <c:pt idx="81">
                  <c:v>47.652450802097363</c:v>
                </c:pt>
                <c:pt idx="82">
                  <c:v>48.108287399973989</c:v>
                </c:pt>
                <c:pt idx="83">
                  <c:v>48.562536443480553</c:v>
                </c:pt>
                <c:pt idx="84">
                  <c:v>49.014453125174626</c:v>
                </c:pt>
                <c:pt idx="85">
                  <c:v>49.463292638744626</c:v>
                </c:pt>
                <c:pt idx="86">
                  <c:v>49.908310176651668</c:v>
                </c:pt>
                <c:pt idx="87">
                  <c:v>50.348760933552072</c:v>
                </c:pt>
                <c:pt idx="88">
                  <c:v>50.783900100139107</c:v>
                </c:pt>
                <c:pt idx="89">
                  <c:v>51.212982872128485</c:v>
                </c:pt>
                <c:pt idx="90">
                  <c:v>51.635264441369301</c:v>
                </c:pt>
                <c:pt idx="91">
                  <c:v>52.050000000419089</c:v>
                </c:pt>
                <c:pt idx="92">
                  <c:v>52.458757744747814</c:v>
                </c:pt>
                <c:pt idx="93">
                  <c:v>52.863301749234751</c:v>
                </c:pt>
                <c:pt idx="94">
                  <c:v>53.263181031763089</c:v>
                </c:pt>
                <c:pt idx="95">
                  <c:v>53.657944606876541</c:v>
                </c:pt>
                <c:pt idx="96">
                  <c:v>54.047141490951518</c:v>
                </c:pt>
                <c:pt idx="97">
                  <c:v>54.430320699938704</c:v>
                </c:pt>
                <c:pt idx="98">
                  <c:v>54.807031250279394</c:v>
                </c:pt>
                <c:pt idx="99">
                  <c:v>55.176822157217458</c:v>
                </c:pt>
                <c:pt idx="100">
                  <c:v>55.539242438720876</c:v>
                </c:pt>
                <c:pt idx="101">
                  <c:v>55.89384110771519</c:v>
                </c:pt>
                <c:pt idx="102">
                  <c:v>56.240167183167905</c:v>
                </c:pt>
                <c:pt idx="103">
                  <c:v>56.577769679486352</c:v>
                </c:pt>
                <c:pt idx="104">
                  <c:v>56.906197613537572</c:v>
                </c:pt>
                <c:pt idx="105">
                  <c:v>57.224999999813733</c:v>
                </c:pt>
                <c:pt idx="106">
                  <c:v>57.535105001859904</c:v>
                </c:pt>
                <c:pt idx="107">
                  <c:v>57.837727769118331</c:v>
                </c:pt>
                <c:pt idx="108">
                  <c:v>58.13284780458946</c:v>
                </c:pt>
                <c:pt idx="109">
                  <c:v>58.420444606058304</c:v>
                </c:pt>
                <c:pt idx="110">
                  <c:v>58.70049767715058</c:v>
                </c:pt>
                <c:pt idx="111">
                  <c:v>58.972986515451751</c:v>
                </c:pt>
                <c:pt idx="112">
                  <c:v>59.23789062546566</c:v>
                </c:pt>
                <c:pt idx="113">
                  <c:v>59.49518950403268</c:v>
                </c:pt>
                <c:pt idx="114">
                  <c:v>59.744862655457112</c:v>
                </c:pt>
                <c:pt idx="115">
                  <c:v>59.986889576778879</c:v>
                </c:pt>
                <c:pt idx="116">
                  <c:v>60.221249772368793</c:v>
                </c:pt>
                <c:pt idx="117">
                  <c:v>60.44792274055736</c:v>
                </c:pt>
                <c:pt idx="118">
                  <c:v>60.666887983772902</c:v>
                </c:pt>
                <c:pt idx="119">
                  <c:v>60.878124999999997</c:v>
                </c:pt>
                <c:pt idx="120">
                  <c:v>61.081491435838075</c:v>
                </c:pt>
                <c:pt idx="121">
                  <c:v>61.276995262051273</c:v>
                </c:pt>
                <c:pt idx="122">
                  <c:v>61.464841471931763</c:v>
                </c:pt>
                <c:pt idx="123">
                  <c:v>61.645235059224063</c:v>
                </c:pt>
                <c:pt idx="124">
                  <c:v>61.818381013016086</c:v>
                </c:pt>
                <c:pt idx="125">
                  <c:v>61.984484330032551</c:v>
                </c:pt>
                <c:pt idx="126">
                  <c:v>62.143749999999997</c:v>
                </c:pt>
                <c:pt idx="127">
                  <c:v>62.296383018073229</c:v>
                </c:pt>
                <c:pt idx="128">
                  <c:v>62.442588374630674</c:v>
                </c:pt>
                <c:pt idx="129">
                  <c:v>62.582571064361503</c:v>
                </c:pt>
                <c:pt idx="130">
                  <c:v>62.716536078535555</c:v>
                </c:pt>
                <c:pt idx="131">
                  <c:v>62.84468841188189</c:v>
                </c:pt>
                <c:pt idx="132">
                  <c:v>62.967233054712409</c:v>
                </c:pt>
                <c:pt idx="133">
                  <c:v>63.084375001117586</c:v>
                </c:pt>
                <c:pt idx="134">
                  <c:v>63.195310222616953</c:v>
                </c:pt>
                <c:pt idx="135">
                  <c:v>63.299280248063482</c:v>
                </c:pt>
                <c:pt idx="136">
                  <c:v>63.396558400190301</c:v>
                </c:pt>
                <c:pt idx="137">
                  <c:v>63.487418002981158</c:v>
                </c:pt>
                <c:pt idx="138">
                  <c:v>63.57213238057281</c:v>
                </c:pt>
                <c:pt idx="139">
                  <c:v>63.650974854653967</c:v>
                </c:pt>
                <c:pt idx="140">
                  <c:v>63.72421875032596</c:v>
                </c:pt>
                <c:pt idx="141">
                  <c:v>63.792137390774272</c:v>
                </c:pt>
                <c:pt idx="142">
                  <c:v>63.855004100002617</c:v>
                </c:pt>
                <c:pt idx="143">
                  <c:v>63.913092201149894</c:v>
                </c:pt>
                <c:pt idx="144">
                  <c:v>63.966675018931603</c:v>
                </c:pt>
                <c:pt idx="145">
                  <c:v>64.016025875349129</c:v>
                </c:pt>
                <c:pt idx="146">
                  <c:v>64.061418094632344</c:v>
                </c:pt>
                <c:pt idx="147">
                  <c:v>64.10312500083819</c:v>
                </c:pt>
                <c:pt idx="148">
                  <c:v>64.140392675303985</c:v>
                </c:pt>
                <c:pt idx="149">
                  <c:v>64.172439869346903</c:v>
                </c:pt>
                <c:pt idx="150">
                  <c:v>64.199498906764859</c:v>
                </c:pt>
                <c:pt idx="151">
                  <c:v>64.221802113830506</c:v>
                </c:pt>
                <c:pt idx="152">
                  <c:v>64.239581815033617</c:v>
                </c:pt>
                <c:pt idx="153">
                  <c:v>64.253070335515901</c:v>
                </c:pt>
                <c:pt idx="154">
                  <c:v>64.262500000325957</c:v>
                </c:pt>
                <c:pt idx="155">
                  <c:v>64.268103133953574</c:v>
                </c:pt>
                <c:pt idx="156">
                  <c:v>64.270112063037232</c:v>
                </c:pt>
                <c:pt idx="157">
                  <c:v>64.268759111354939</c:v>
                </c:pt>
                <c:pt idx="158">
                  <c:v>64.264276603908684</c:v>
                </c:pt>
                <c:pt idx="159">
                  <c:v>64.256896866152857</c:v>
                </c:pt>
                <c:pt idx="160">
                  <c:v>64.246852223182628</c:v>
                </c:pt>
                <c:pt idx="161">
                  <c:v>64.234374999906862</c:v>
                </c:pt>
                <c:pt idx="162">
                  <c:v>64.21903471235585</c:v>
                </c:pt>
                <c:pt idx="163">
                  <c:v>64.200300656112717</c:v>
                </c:pt>
                <c:pt idx="164">
                  <c:v>64.17825482867525</c:v>
                </c:pt>
                <c:pt idx="165">
                  <c:v>64.152979227275196</c:v>
                </c:pt>
                <c:pt idx="166">
                  <c:v>64.124555848798309</c:v>
                </c:pt>
                <c:pt idx="167">
                  <c:v>64.093066690915393</c:v>
                </c:pt>
                <c:pt idx="168">
                  <c:v>64.058593750046555</c:v>
                </c:pt>
                <c:pt idx="169">
                  <c:v>64.021219023184045</c:v>
                </c:pt>
                <c:pt idx="170">
                  <c:v>63.981024507725877</c:v>
                </c:pt>
                <c:pt idx="171">
                  <c:v>63.938092201389367</c:v>
                </c:pt>
                <c:pt idx="172">
                  <c:v>63.892504099556916</c:v>
                </c:pt>
                <c:pt idx="173">
                  <c:v>63.844342201269626</c:v>
                </c:pt>
                <c:pt idx="174">
                  <c:v>63.793688501843377</c:v>
                </c:pt>
                <c:pt idx="175">
                  <c:v>63.740624999906871</c:v>
                </c:pt>
                <c:pt idx="176">
                  <c:v>63.685019588171102</c:v>
                </c:pt>
                <c:pt idx="177">
                  <c:v>63.626649052277202</c:v>
                </c:pt>
                <c:pt idx="178">
                  <c:v>63.565458727880781</c:v>
                </c:pt>
                <c:pt idx="179">
                  <c:v>63.50139395045116</c:v>
                </c:pt>
                <c:pt idx="180">
                  <c:v>63.434400054493118</c:v>
                </c:pt>
                <c:pt idx="181">
                  <c:v>63.36442237630753</c:v>
                </c:pt>
                <c:pt idx="182">
                  <c:v>63.29140624953434</c:v>
                </c:pt>
                <c:pt idx="183">
                  <c:v>63.215297011592028</c:v>
                </c:pt>
                <c:pt idx="184">
                  <c:v>63.136039996466465</c:v>
                </c:pt>
                <c:pt idx="185">
                  <c:v>63.053580539128077</c:v>
                </c:pt>
                <c:pt idx="186">
                  <c:v>62.96786397581122</c:v>
                </c:pt>
                <c:pt idx="187">
                  <c:v>62.878835641127075</c:v>
                </c:pt>
                <c:pt idx="188">
                  <c:v>62.786440870651447</c:v>
                </c:pt>
                <c:pt idx="189">
                  <c:v>62.690624999441212</c:v>
                </c:pt>
                <c:pt idx="190">
                  <c:v>62.591489385693734</c:v>
                </c:pt>
                <c:pt idx="191">
                  <c:v>62.48912171994202</c:v>
                </c:pt>
                <c:pt idx="192">
                  <c:v>62.38344683814794</c:v>
                </c:pt>
                <c:pt idx="193">
                  <c:v>62.274389577191322</c:v>
                </c:pt>
                <c:pt idx="194">
                  <c:v>62.161874771929746</c:v>
                </c:pt>
                <c:pt idx="195">
                  <c:v>62.045827259389412</c:v>
                </c:pt>
                <c:pt idx="196">
                  <c:v>61.926171875093132</c:v>
                </c:pt>
                <c:pt idx="197">
                  <c:v>61.802833454843075</c:v>
                </c:pt>
                <c:pt idx="198">
                  <c:v>61.675736834514616</c:v>
                </c:pt>
                <c:pt idx="199">
                  <c:v>61.54480685139341</c:v>
                </c:pt>
                <c:pt idx="200">
                  <c:v>61.409968340150741</c:v>
                </c:pt>
                <c:pt idx="201">
                  <c:v>61.271146136668641</c:v>
                </c:pt>
                <c:pt idx="202">
                  <c:v>61.128265078665166</c:v>
                </c:pt>
                <c:pt idx="203">
                  <c:v>60.981249999906865</c:v>
                </c:pt>
                <c:pt idx="204">
                  <c:v>60.830441417152599</c:v>
                </c:pt>
                <c:pt idx="205">
                  <c:v>60.676184402406221</c:v>
                </c:pt>
                <c:pt idx="206">
                  <c:v>60.518410623246538</c:v>
                </c:pt>
                <c:pt idx="207">
                  <c:v>60.357051749221455</c:v>
                </c:pt>
                <c:pt idx="208">
                  <c:v>60.192039450085062</c:v>
                </c:pt>
                <c:pt idx="209">
                  <c:v>60.023305394048137</c:v>
                </c:pt>
                <c:pt idx="210">
                  <c:v>59.850781249860304</c:v>
                </c:pt>
                <c:pt idx="211">
                  <c:v>59.674398687734666</c:v>
                </c:pt>
                <c:pt idx="212">
                  <c:v>59.494089376613765</c:v>
                </c:pt>
                <c:pt idx="213">
                  <c:v>59.309784985360295</c:v>
                </c:pt>
                <c:pt idx="214">
                  <c:v>59.121417182963341</c:v>
                </c:pt>
                <c:pt idx="215">
                  <c:v>58.928917638491839</c:v>
                </c:pt>
                <c:pt idx="216">
                  <c:v>58.732218021067922</c:v>
                </c:pt>
                <c:pt idx="217">
                  <c:v>58.53124999962747</c:v>
                </c:pt>
                <c:pt idx="218">
                  <c:v>58.326292593205082</c:v>
                </c:pt>
                <c:pt idx="219">
                  <c:v>58.117611151960276</c:v>
                </c:pt>
                <c:pt idx="220">
                  <c:v>57.905116846492248</c:v>
                </c:pt>
                <c:pt idx="221">
                  <c:v>57.688720845590744</c:v>
                </c:pt>
                <c:pt idx="222">
                  <c:v>57.468334320121045</c:v>
                </c:pt>
                <c:pt idx="223">
                  <c:v>57.243868439990493</c:v>
                </c:pt>
                <c:pt idx="224">
                  <c:v>57.015234375186267</c:v>
                </c:pt>
                <c:pt idx="225">
                  <c:v>56.782343294710984</c:v>
                </c:pt>
                <c:pt idx="226">
                  <c:v>56.545106369123928</c:v>
                </c:pt>
                <c:pt idx="227">
                  <c:v>56.303434767494238</c:v>
                </c:pt>
                <c:pt idx="228">
                  <c:v>56.057239659263615</c:v>
                </c:pt>
                <c:pt idx="229">
                  <c:v>55.806432215842818</c:v>
                </c:pt>
                <c:pt idx="230">
                  <c:v>55.550923606088119</c:v>
                </c:pt>
                <c:pt idx="231">
                  <c:v>55.290625000186267</c:v>
                </c:pt>
                <c:pt idx="232">
                  <c:v>55.025215243135719</c:v>
                </c:pt>
                <c:pt idx="233">
                  <c:v>54.754464285554633</c:v>
                </c:pt>
                <c:pt idx="234">
                  <c:v>54.47841996145435</c:v>
                </c:pt>
                <c:pt idx="235">
                  <c:v>54.197130102238475</c:v>
                </c:pt>
                <c:pt idx="236">
                  <c:v>53.910642538073333</c:v>
                </c:pt>
                <c:pt idx="237">
                  <c:v>53.619005102770672</c:v>
                </c:pt>
                <c:pt idx="238">
                  <c:v>53.322265625605361</c:v>
                </c:pt>
                <c:pt idx="239">
                  <c:v>53.020471938646267</c:v>
                </c:pt>
                <c:pt idx="240">
                  <c:v>52.713671875405794</c:v>
                </c:pt>
                <c:pt idx="241">
                  <c:v>52.401913265205387</c:v>
                </c:pt>
                <c:pt idx="242">
                  <c:v>52.085243941810248</c:v>
                </c:pt>
                <c:pt idx="243">
                  <c:v>51.763711735499761</c:v>
                </c:pt>
                <c:pt idx="244">
                  <c:v>51.437364477085481</c:v>
                </c:pt>
                <c:pt idx="245">
                  <c:v>51.106250000372526</c:v>
                </c:pt>
                <c:pt idx="246">
                  <c:v>50.769355867192743</c:v>
                </c:pt>
                <c:pt idx="247">
                  <c:v>50.425892857013139</c:v>
                </c:pt>
                <c:pt idx="248">
                  <c:v>50.07624362314985</c:v>
                </c:pt>
                <c:pt idx="249">
                  <c:v>49.720790816677201</c:v>
                </c:pt>
                <c:pt idx="250">
                  <c:v>49.359917092105448</c:v>
                </c:pt>
                <c:pt idx="251">
                  <c:v>48.994005102178612</c:v>
                </c:pt>
                <c:pt idx="252">
                  <c:v>48.62343749987194</c:v>
                </c:pt>
                <c:pt idx="253">
                  <c:v>48.24859693883252</c:v>
                </c:pt>
                <c:pt idx="254">
                  <c:v>47.869866071784472</c:v>
                </c:pt>
                <c:pt idx="255">
                  <c:v>47.487627550873114</c:v>
                </c:pt>
                <c:pt idx="256">
                  <c:v>47.10226403078164</c:v>
                </c:pt>
                <c:pt idx="257">
                  <c:v>46.714158163312817</c:v>
                </c:pt>
                <c:pt idx="258">
                  <c:v>46.323692601967409</c:v>
                </c:pt>
                <c:pt idx="259">
                  <c:v>45.931249999627468</c:v>
                </c:pt>
                <c:pt idx="260">
                  <c:v>45.535520681610791</c:v>
                </c:pt>
                <c:pt idx="261">
                  <c:v>45.13531341121665</c:v>
                </c:pt>
                <c:pt idx="262">
                  <c:v>44.73118850179516</c:v>
                </c:pt>
                <c:pt idx="263">
                  <c:v>44.323706268276354</c:v>
                </c:pt>
                <c:pt idx="264">
                  <c:v>43.913427022568484</c:v>
                </c:pt>
                <c:pt idx="265">
                  <c:v>43.500911078568819</c:v>
                </c:pt>
                <c:pt idx="266">
                  <c:v>43.086718750267757</c:v>
                </c:pt>
                <c:pt idx="267">
                  <c:v>42.671410349826331</c:v>
                </c:pt>
                <c:pt idx="268">
                  <c:v>42.255546191654034</c:v>
                </c:pt>
                <c:pt idx="269">
                  <c:v>41.839686588969613</c:v>
                </c:pt>
                <c:pt idx="270">
                  <c:v>41.424391854873733</c:v>
                </c:pt>
                <c:pt idx="271">
                  <c:v>41.010222303271959</c:v>
                </c:pt>
                <c:pt idx="272">
                  <c:v>40.59773824720677</c:v>
                </c:pt>
                <c:pt idx="273">
                  <c:v>40.187499999953431</c:v>
                </c:pt>
                <c:pt idx="274">
                  <c:v>39.778035031042862</c:v>
                </c:pt>
                <c:pt idx="275">
                  <c:v>39.367775145741845</c:v>
                </c:pt>
                <c:pt idx="276">
                  <c:v>38.957137162765555</c:v>
                </c:pt>
                <c:pt idx="277">
                  <c:v>38.54653790087572</c:v>
                </c:pt>
                <c:pt idx="278">
                  <c:v>38.136394178143902</c:v>
                </c:pt>
                <c:pt idx="279">
                  <c:v>37.727122813406666</c:v>
                </c:pt>
                <c:pt idx="280">
                  <c:v>37.319140625081488</c:v>
                </c:pt>
                <c:pt idx="281">
                  <c:v>36.912864431605811</c:v>
                </c:pt>
                <c:pt idx="282">
                  <c:v>36.508711051566721</c:v>
                </c:pt>
                <c:pt idx="283">
                  <c:v>36.107097303564657</c:v>
                </c:pt>
                <c:pt idx="284">
                  <c:v>35.708440005729372</c:v>
                </c:pt>
                <c:pt idx="285">
                  <c:v>35.313155977002211</c:v>
                </c:pt>
                <c:pt idx="286">
                  <c:v>34.921662035198622</c:v>
                </c:pt>
                <c:pt idx="287">
                  <c:v>34.534374999999997</c:v>
                </c:pt>
                <c:pt idx="288">
                  <c:v>34.14968340018698</c:v>
                </c:pt>
                <c:pt idx="289">
                  <c:v>33.765898323910577</c:v>
                </c:pt>
                <c:pt idx="290">
                  <c:v>33.383320426498543</c:v>
                </c:pt>
                <c:pt idx="291">
                  <c:v>33.002250364675589</c:v>
                </c:pt>
                <c:pt idx="292">
                  <c:v>32.622988793791073</c:v>
                </c:pt>
                <c:pt idx="293">
                  <c:v>32.245836370518163</c:v>
                </c:pt>
                <c:pt idx="294">
                  <c:v>31.871093750058208</c:v>
                </c:pt>
                <c:pt idx="295">
                  <c:v>31.499061589555016</c:v>
                </c:pt>
                <c:pt idx="296">
                  <c:v>31.130040543122284</c:v>
                </c:pt>
                <c:pt idx="297">
                  <c:v>30.764331268359509</c:v>
                </c:pt>
                <c:pt idx="298">
                  <c:v>30.402234420577795</c:v>
                </c:pt>
                <c:pt idx="299">
                  <c:v>30.044050656288995</c:v>
                </c:pt>
                <c:pt idx="300">
                  <c:v>29.690080630583026</c:v>
                </c:pt>
                <c:pt idx="301">
                  <c:v>29.340625000093134</c:v>
                </c:pt>
                <c:pt idx="302">
                  <c:v>28.994122403440997</c:v>
                </c:pt>
                <c:pt idx="303">
                  <c:v>28.649088921677322</c:v>
                </c:pt>
                <c:pt idx="304">
                  <c:v>28.305941372331496</c:v>
                </c:pt>
                <c:pt idx="305">
                  <c:v>27.9650965743166</c:v>
                </c:pt>
                <c:pt idx="306">
                  <c:v>27.626971346678747</c:v>
                </c:pt>
                <c:pt idx="307">
                  <c:v>27.291982507772211</c:v>
                </c:pt>
                <c:pt idx="308">
                  <c:v>26.960546875139698</c:v>
                </c:pt>
                <c:pt idx="309">
                  <c:v>26.633081268572383</c:v>
                </c:pt>
                <c:pt idx="310">
                  <c:v>26.310002505273694</c:v>
                </c:pt>
                <c:pt idx="311">
                  <c:v>25.991727405892952</c:v>
                </c:pt>
                <c:pt idx="312">
                  <c:v>25.678672786309782</c:v>
                </c:pt>
                <c:pt idx="313">
                  <c:v>25.371255466714501</c:v>
                </c:pt>
                <c:pt idx="314">
                  <c:v>25.069892265102162</c:v>
                </c:pt>
                <c:pt idx="315">
                  <c:v>24.774999999813737</c:v>
                </c:pt>
                <c:pt idx="316">
                  <c:v>24.485367338499053</c:v>
                </c:pt>
                <c:pt idx="317">
                  <c:v>24.199806843298887</c:v>
                </c:pt>
                <c:pt idx="318">
                  <c:v>23.918771183144834</c:v>
                </c:pt>
                <c:pt idx="319">
                  <c:v>23.642713023762084</c:v>
                </c:pt>
                <c:pt idx="320">
                  <c:v>23.37208503118184</c:v>
                </c:pt>
                <c:pt idx="321">
                  <c:v>23.107339872127135</c:v>
                </c:pt>
                <c:pt idx="322">
                  <c:v>22.848930211644621</c:v>
                </c:pt>
                <c:pt idx="323">
                  <c:v>22.59730871914487</c:v>
                </c:pt>
                <c:pt idx="324">
                  <c:v>22.352928057672191</c:v>
                </c:pt>
                <c:pt idx="325">
                  <c:v>22.116240896045099</c:v>
                </c:pt>
                <c:pt idx="326">
                  <c:v>21.887699898119486</c:v>
                </c:pt>
                <c:pt idx="327">
                  <c:v>21.667757734137453</c:v>
                </c:pt>
                <c:pt idx="328">
                  <c:v>21.456867068487089</c:v>
                </c:pt>
                <c:pt idx="329">
                  <c:v>21.255480565130711</c:v>
                </c:pt>
                <c:pt idx="330">
                  <c:v>21.062846537107337</c:v>
                </c:pt>
                <c:pt idx="331">
                  <c:v>20.878032678525365</c:v>
                </c:pt>
                <c:pt idx="332">
                  <c:v>20.701220747535785</c:v>
                </c:pt>
                <c:pt idx="333">
                  <c:v>20.532592493535152</c:v>
                </c:pt>
                <c:pt idx="334">
                  <c:v>20.372329669538885</c:v>
                </c:pt>
                <c:pt idx="335">
                  <c:v>20.220614029201016</c:v>
                </c:pt>
                <c:pt idx="336">
                  <c:v>20.077627324033529</c:v>
                </c:pt>
                <c:pt idx="337">
                  <c:v>19.943551310630781</c:v>
                </c:pt>
                <c:pt idx="338">
                  <c:v>19.818567734837004</c:v>
                </c:pt>
                <c:pt idx="339">
                  <c:v>19.70285835580102</c:v>
                </c:pt>
                <c:pt idx="340">
                  <c:v>19.59660492442282</c:v>
                </c:pt>
                <c:pt idx="341">
                  <c:v>19.499989190804108</c:v>
                </c:pt>
                <c:pt idx="342">
                  <c:v>19.41319291074095</c:v>
                </c:pt>
                <c:pt idx="343">
                  <c:v>19.336397836729883</c:v>
                </c:pt>
                <c:pt idx="344">
                  <c:v>19.269154281160915</c:v>
                </c:pt>
                <c:pt idx="345">
                  <c:v>19.21084082100559</c:v>
                </c:pt>
                <c:pt idx="346">
                  <c:v>19.161381611039886</c:v>
                </c:pt>
                <c:pt idx="347">
                  <c:v>19.120700796871571</c:v>
                </c:pt>
                <c:pt idx="348">
                  <c:v>19.088722529372411</c:v>
                </c:pt>
                <c:pt idx="349">
                  <c:v>19.065370959975741</c:v>
                </c:pt>
                <c:pt idx="350">
                  <c:v>19.050570237893481</c:v>
                </c:pt>
                <c:pt idx="351">
                  <c:v>19.044244513218406</c:v>
                </c:pt>
                <c:pt idx="352">
                  <c:v>19.046317936467197</c:v>
                </c:pt>
                <c:pt idx="353">
                  <c:v>19.056714658351076</c:v>
                </c:pt>
                <c:pt idx="354">
                  <c:v>19.075358827382765</c:v>
                </c:pt>
                <c:pt idx="355">
                  <c:v>19.102174593794523</c:v>
                </c:pt>
                <c:pt idx="356">
                  <c:v>19.137086110196897</c:v>
                </c:pt>
                <c:pt idx="357">
                  <c:v>19.180017521874657</c:v>
                </c:pt>
                <c:pt idx="358">
                  <c:v>19.231216492388267</c:v>
                </c:pt>
                <c:pt idx="359">
                  <c:v>19.290899736691138</c:v>
                </c:pt>
                <c:pt idx="360">
                  <c:v>19.35894499877147</c:v>
                </c:pt>
                <c:pt idx="361">
                  <c:v>19.435230019149081</c:v>
                </c:pt>
                <c:pt idx="362">
                  <c:v>19.519632538459426</c:v>
                </c:pt>
                <c:pt idx="363">
                  <c:v>19.612030298673901</c:v>
                </c:pt>
                <c:pt idx="364">
                  <c:v>19.712301040222421</c:v>
                </c:pt>
                <c:pt idx="365">
                  <c:v>19.820322506463732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19.837072797218958</c:v>
                </c:pt>
                <c:pt idx="1">
                  <c:v>19.932689654529092</c:v>
                </c:pt>
                <c:pt idx="2">
                  <c:v>20.036562670270602</c:v>
                </c:pt>
                <c:pt idx="3">
                  <c:v>20.149269841015339</c:v>
                </c:pt>
                <c:pt idx="4">
                  <c:v>20.271389162093403</c:v>
                </c:pt>
                <c:pt idx="5">
                  <c:v>20.403498631020387</c:v>
                </c:pt>
                <c:pt idx="6">
                  <c:v>20.546176245361568</c:v>
                </c:pt>
                <c:pt idx="7">
                  <c:v>20.7</c:v>
                </c:pt>
                <c:pt idx="8">
                  <c:v>20.865028695442849</c:v>
                </c:pt>
                <c:pt idx="9">
                  <c:v>21.040621293974773</c:v>
                </c:pt>
                <c:pt idx="10">
                  <c:v>21.226306046971253</c:v>
                </c:pt>
                <c:pt idx="11">
                  <c:v>21.421611205382003</c:v>
                </c:pt>
                <c:pt idx="12">
                  <c:v>21.626065019731008</c:v>
                </c:pt>
                <c:pt idx="13">
                  <c:v>21.839195737242697</c:v>
                </c:pt>
                <c:pt idx="14">
                  <c:v>22.060531609505414</c:v>
                </c:pt>
                <c:pt idx="15">
                  <c:v>22.2896008849144</c:v>
                </c:pt>
                <c:pt idx="16">
                  <c:v>22.525931814419369</c:v>
                </c:pt>
                <c:pt idx="17">
                  <c:v>22.769052645989824</c:v>
                </c:pt>
                <c:pt idx="18">
                  <c:v>23.018491631001233</c:v>
                </c:pt>
                <c:pt idx="19">
                  <c:v>23.273777017635958</c:v>
                </c:pt>
                <c:pt idx="20">
                  <c:v>23.534437058972465</c:v>
                </c:pt>
                <c:pt idx="21">
                  <c:v>23.8</c:v>
                </c:pt>
                <c:pt idx="22">
                  <c:v>24.072120992200716</c:v>
                </c:pt>
                <c:pt idx="23">
                  <c:v>24.352478133780615</c:v>
                </c:pt>
                <c:pt idx="24">
                  <c:v>24.640634110410296</c:v>
                </c:pt>
                <c:pt idx="25">
                  <c:v>24.936151603290011</c:v>
                </c:pt>
                <c:pt idx="26">
                  <c:v>25.238593293726446</c:v>
                </c:pt>
                <c:pt idx="27">
                  <c:v>25.54752186621938</c:v>
                </c:pt>
                <c:pt idx="28">
                  <c:v>25.862499999254943</c:v>
                </c:pt>
                <c:pt idx="29">
                  <c:v>26.183090379301991</c:v>
                </c:pt>
                <c:pt idx="30">
                  <c:v>26.508855684633765</c:v>
                </c:pt>
                <c:pt idx="31">
                  <c:v>26.83935859980328</c:v>
                </c:pt>
                <c:pt idx="32">
                  <c:v>27.174161807607327</c:v>
                </c:pt>
                <c:pt idx="33">
                  <c:v>27.512827988181794</c:v>
                </c:pt>
                <c:pt idx="34">
                  <c:v>27.854919824589576</c:v>
                </c:pt>
                <c:pt idx="35">
                  <c:v>28.199999998509885</c:v>
                </c:pt>
                <c:pt idx="36">
                  <c:v>28.549435130347103</c:v>
                </c:pt>
                <c:pt idx="37">
                  <c:v>28.904664722138214</c:v>
                </c:pt>
                <c:pt idx="38">
                  <c:v>29.265360786207019</c:v>
                </c:pt>
                <c:pt idx="39">
                  <c:v>29.631195334877287</c:v>
                </c:pt>
                <c:pt idx="40">
                  <c:v>30.001840378423886</c:v>
                </c:pt>
                <c:pt idx="41">
                  <c:v>30.376967929303646</c:v>
                </c:pt>
                <c:pt idx="42">
                  <c:v>30.756249999441206</c:v>
                </c:pt>
                <c:pt idx="43">
                  <c:v>31.139358600016152</c:v>
                </c:pt>
                <c:pt idx="44">
                  <c:v>31.525965742580592</c:v>
                </c:pt>
                <c:pt idx="45">
                  <c:v>31.915743439857447</c:v>
                </c:pt>
                <c:pt idx="46">
                  <c:v>32.308363702334461</c:v>
                </c:pt>
                <c:pt idx="47">
                  <c:v>32.703498541563746</c:v>
                </c:pt>
                <c:pt idx="48">
                  <c:v>33.100819970188397</c:v>
                </c:pt>
                <c:pt idx="49">
                  <c:v>33.49999999962747</c:v>
                </c:pt>
                <c:pt idx="50">
                  <c:v>33.902004372807482</c:v>
                </c:pt>
                <c:pt idx="51">
                  <c:v>34.307871719875507</c:v>
                </c:pt>
                <c:pt idx="52">
                  <c:v>34.71738338135183</c:v>
                </c:pt>
                <c:pt idx="53">
                  <c:v>35.130320699406518</c:v>
                </c:pt>
                <c:pt idx="54">
                  <c:v>35.546465014054306</c:v>
                </c:pt>
                <c:pt idx="55">
                  <c:v>35.965597667385417</c:v>
                </c:pt>
                <c:pt idx="56">
                  <c:v>36.387499999813734</c:v>
                </c:pt>
                <c:pt idx="57">
                  <c:v>36.811953352391718</c:v>
                </c:pt>
                <c:pt idx="58">
                  <c:v>37.238739066677432</c:v>
                </c:pt>
                <c:pt idx="59">
                  <c:v>37.667638483749968</c:v>
                </c:pt>
                <c:pt idx="60">
                  <c:v>38.09843294412962</c:v>
                </c:pt>
                <c:pt idx="61">
                  <c:v>38.530903790092893</c:v>
                </c:pt>
                <c:pt idx="62">
                  <c:v>38.964832361281978</c:v>
                </c:pt>
                <c:pt idx="63">
                  <c:v>39.4</c:v>
                </c:pt>
                <c:pt idx="64">
                  <c:v>39.83720845445724</c:v>
                </c:pt>
                <c:pt idx="65">
                  <c:v>40.277259474726662</c:v>
                </c:pt>
                <c:pt idx="66">
                  <c:v>40.719934402366299</c:v>
                </c:pt>
                <c:pt idx="67">
                  <c:v>41.165014577018361</c:v>
                </c:pt>
                <c:pt idx="68">
                  <c:v>41.6122813411057</c:v>
                </c:pt>
                <c:pt idx="69">
                  <c:v>42.061516034895817</c:v>
                </c:pt>
                <c:pt idx="70">
                  <c:v>42.512500000093134</c:v>
                </c:pt>
                <c:pt idx="71">
                  <c:v>42.965014577284457</c:v>
                </c:pt>
                <c:pt idx="72">
                  <c:v>43.418841107681928</c:v>
                </c:pt>
                <c:pt idx="73">
                  <c:v>43.873760933003254</c:v>
                </c:pt>
                <c:pt idx="74">
                  <c:v>44.329555393529255</c:v>
                </c:pt>
                <c:pt idx="75">
                  <c:v>44.786005831137302</c:v>
                </c:pt>
                <c:pt idx="76">
                  <c:v>45.242893586001756</c:v>
                </c:pt>
                <c:pt idx="77">
                  <c:v>45.699999999813734</c:v>
                </c:pt>
                <c:pt idx="78">
                  <c:v>46.161443148819458</c:v>
                </c:pt>
                <c:pt idx="79">
                  <c:v>46.630320699832268</c:v>
                </c:pt>
                <c:pt idx="80">
                  <c:v>47.104883382629069</c:v>
                </c:pt>
                <c:pt idx="81">
                  <c:v>47.583381924618571</c:v>
                </c:pt>
                <c:pt idx="82">
                  <c:v>48.064067055644202</c:v>
                </c:pt>
                <c:pt idx="83">
                  <c:v>48.545189504857568</c:v>
                </c:pt>
                <c:pt idx="84">
                  <c:v>49.025000000372529</c:v>
                </c:pt>
                <c:pt idx="85">
                  <c:v>49.501749271287451</c:v>
                </c:pt>
                <c:pt idx="86">
                  <c:v>49.973688047033335</c:v>
                </c:pt>
                <c:pt idx="87">
                  <c:v>50.439067055976821</c:v>
                </c:pt>
                <c:pt idx="88">
                  <c:v>50.896137027442457</c:v>
                </c:pt>
                <c:pt idx="89">
                  <c:v>51.343148688945391</c:v>
                </c:pt>
                <c:pt idx="90">
                  <c:v>51.778352770674971</c:v>
                </c:pt>
                <c:pt idx="91">
                  <c:v>52.2</c:v>
                </c:pt>
                <c:pt idx="92">
                  <c:v>52.610951166121026</c:v>
                </c:pt>
                <c:pt idx="93">
                  <c:v>53.015160351353032</c:v>
                </c:pt>
                <c:pt idx="94">
                  <c:v>53.412518221884966</c:v>
                </c:pt>
                <c:pt idx="95">
                  <c:v>53.802915452420713</c:v>
                </c:pt>
                <c:pt idx="96">
                  <c:v>54.186242711011843</c:v>
                </c:pt>
                <c:pt idx="97">
                  <c:v>54.562390670393185</c:v>
                </c:pt>
                <c:pt idx="98">
                  <c:v>54.931249999254945</c:v>
                </c:pt>
                <c:pt idx="99">
                  <c:v>55.29271136916109</c:v>
                </c:pt>
                <c:pt idx="100">
                  <c:v>55.646665451462773</c:v>
                </c:pt>
                <c:pt idx="101">
                  <c:v>55.993002913892269</c:v>
                </c:pt>
                <c:pt idx="102">
                  <c:v>56.33161442966334</c:v>
                </c:pt>
                <c:pt idx="103">
                  <c:v>56.662390667838714</c:v>
                </c:pt>
                <c:pt idx="104">
                  <c:v>56.985222301419299</c:v>
                </c:pt>
                <c:pt idx="105">
                  <c:v>57.299999997019768</c:v>
                </c:pt>
                <c:pt idx="106">
                  <c:v>57.606650872954312</c:v>
                </c:pt>
                <c:pt idx="107">
                  <c:v>57.905247810802294</c:v>
                </c:pt>
                <c:pt idx="108">
                  <c:v>58.195900143097546</c:v>
                </c:pt>
                <c:pt idx="109">
                  <c:v>58.478717198967935</c:v>
                </c:pt>
                <c:pt idx="110">
                  <c:v>58.753808309829651</c:v>
                </c:pt>
                <c:pt idx="111">
                  <c:v>59.02128279954195</c:v>
                </c:pt>
                <c:pt idx="112">
                  <c:v>59.28124999962747</c:v>
                </c:pt>
                <c:pt idx="113">
                  <c:v>59.533819241821767</c:v>
                </c:pt>
                <c:pt idx="114">
                  <c:v>59.779099853922219</c:v>
                </c:pt>
                <c:pt idx="115">
                  <c:v>60.017201166174246</c:v>
                </c:pt>
                <c:pt idx="116">
                  <c:v>60.248232507279944</c:v>
                </c:pt>
                <c:pt idx="117">
                  <c:v>60.472303206580023</c:v>
                </c:pt>
                <c:pt idx="118">
                  <c:v>60.689522594692448</c:v>
                </c:pt>
                <c:pt idx="119">
                  <c:v>60.900000000745059</c:v>
                </c:pt>
                <c:pt idx="120">
                  <c:v>61.103097667332214</c:v>
                </c:pt>
                <c:pt idx="121">
                  <c:v>61.298250728100541</c:v>
                </c:pt>
                <c:pt idx="122">
                  <c:v>61.485677842263669</c:v>
                </c:pt>
                <c:pt idx="123">
                  <c:v>61.665597667651511</c:v>
                </c:pt>
                <c:pt idx="124">
                  <c:v>61.838228862360118</c:v>
                </c:pt>
                <c:pt idx="125">
                  <c:v>62.003790087252852</c:v>
                </c:pt>
                <c:pt idx="126">
                  <c:v>62.162500000000001</c:v>
                </c:pt>
                <c:pt idx="127">
                  <c:v>62.314577258697582</c:v>
                </c:pt>
                <c:pt idx="128">
                  <c:v>62.460240524900804</c:v>
                </c:pt>
                <c:pt idx="129">
                  <c:v>62.599708454417325</c:v>
                </c:pt>
                <c:pt idx="130">
                  <c:v>62.733199708216958</c:v>
                </c:pt>
                <c:pt idx="131">
                  <c:v>62.860932943331342</c:v>
                </c:pt>
                <c:pt idx="132">
                  <c:v>62.983126820836752</c:v>
                </c:pt>
                <c:pt idx="133">
                  <c:v>63.099999998509887</c:v>
                </c:pt>
                <c:pt idx="134">
                  <c:v>63.210513847534152</c:v>
                </c:pt>
                <c:pt idx="135">
                  <c:v>63.313702622907513</c:v>
                </c:pt>
                <c:pt idx="136">
                  <c:v>63.409894314461518</c:v>
                </c:pt>
                <c:pt idx="137">
                  <c:v>63.499416908834654</c:v>
                </c:pt>
                <c:pt idx="138">
                  <c:v>63.58259839670999</c:v>
                </c:pt>
                <c:pt idx="139">
                  <c:v>63.659766763129404</c:v>
                </c:pt>
                <c:pt idx="140">
                  <c:v>63.731250000000003</c:v>
                </c:pt>
                <c:pt idx="141">
                  <c:v>63.79737609369414</c:v>
                </c:pt>
                <c:pt idx="142">
                  <c:v>63.858473031382481</c:v>
                </c:pt>
                <c:pt idx="143">
                  <c:v>63.914868804386685</c:v>
                </c:pt>
                <c:pt idx="144">
                  <c:v>63.96689139971776</c:v>
                </c:pt>
                <c:pt idx="145">
                  <c:v>64.014868803960937</c:v>
                </c:pt>
                <c:pt idx="146">
                  <c:v>64.059129008384701</c:v>
                </c:pt>
                <c:pt idx="147">
                  <c:v>64.099999999254948</c:v>
                </c:pt>
                <c:pt idx="148">
                  <c:v>64.136279154728555</c:v>
                </c:pt>
                <c:pt idx="149">
                  <c:v>64.166763848758166</c:v>
                </c:pt>
                <c:pt idx="150">
                  <c:v>64.191782069179638</c:v>
                </c:pt>
                <c:pt idx="151">
                  <c:v>64.211661807447669</c:v>
                </c:pt>
                <c:pt idx="152">
                  <c:v>64.226731049934671</c:v>
                </c:pt>
                <c:pt idx="153">
                  <c:v>64.237317783704825</c:v>
                </c:pt>
                <c:pt idx="154">
                  <c:v>64.243749999627468</c:v>
                </c:pt>
                <c:pt idx="155">
                  <c:v>64.246355684314452</c:v>
                </c:pt>
                <c:pt idx="156">
                  <c:v>64.245462827570734</c:v>
                </c:pt>
                <c:pt idx="157">
                  <c:v>64.241399416806445</c:v>
                </c:pt>
                <c:pt idx="158">
                  <c:v>64.234493440043707</c:v>
                </c:pt>
                <c:pt idx="159">
                  <c:v>64.225072886049745</c:v>
                </c:pt>
                <c:pt idx="160">
                  <c:v>64.213465743352259</c:v>
                </c:pt>
                <c:pt idx="161">
                  <c:v>64.199999999627465</c:v>
                </c:pt>
                <c:pt idx="162">
                  <c:v>64.183946792781356</c:v>
                </c:pt>
                <c:pt idx="163">
                  <c:v>64.164431486385212</c:v>
                </c:pt>
                <c:pt idx="164">
                  <c:v>64.141563410444988</c:v>
                </c:pt>
                <c:pt idx="165">
                  <c:v>64.115451894594088</c:v>
                </c:pt>
                <c:pt idx="166">
                  <c:v>64.086206267747485</c:v>
                </c:pt>
                <c:pt idx="167">
                  <c:v>64.05393586025707</c:v>
                </c:pt>
                <c:pt idx="168">
                  <c:v>64.018749999813735</c:v>
                </c:pt>
                <c:pt idx="169">
                  <c:v>63.980758017514439</c:v>
                </c:pt>
                <c:pt idx="170">
                  <c:v>63.94006924187498</c:v>
                </c:pt>
                <c:pt idx="171">
                  <c:v>63.896793003273864</c:v>
                </c:pt>
                <c:pt idx="172">
                  <c:v>63.851038629960797</c:v>
                </c:pt>
                <c:pt idx="173">
                  <c:v>63.802915451622439</c:v>
                </c:pt>
                <c:pt idx="174">
                  <c:v>63.752532798823509</c:v>
                </c:pt>
                <c:pt idx="175">
                  <c:v>63.699999999627472</c:v>
                </c:pt>
                <c:pt idx="176">
                  <c:v>63.645626822566342</c:v>
                </c:pt>
                <c:pt idx="177">
                  <c:v>63.589504373392892</c:v>
                </c:pt>
                <c:pt idx="178">
                  <c:v>63.531413993984458</c:v>
                </c:pt>
                <c:pt idx="179">
                  <c:v>63.471137026378088</c:v>
                </c:pt>
                <c:pt idx="180">
                  <c:v>63.408454810827969</c:v>
                </c:pt>
                <c:pt idx="181">
                  <c:v>63.343148688280152</c:v>
                </c:pt>
                <c:pt idx="182">
                  <c:v>63.274999999813737</c:v>
                </c:pt>
                <c:pt idx="183">
                  <c:v>63.203790087572159</c:v>
                </c:pt>
                <c:pt idx="184">
                  <c:v>63.129300291703217</c:v>
                </c:pt>
                <c:pt idx="185">
                  <c:v>63.051311953578683</c:v>
                </c:pt>
                <c:pt idx="186">
                  <c:v>62.969606413559191</c:v>
                </c:pt>
                <c:pt idx="187">
                  <c:v>62.883965014347005</c:v>
                </c:pt>
                <c:pt idx="188">
                  <c:v>62.794169096169718</c:v>
                </c:pt>
                <c:pt idx="189">
                  <c:v>62.700000000372526</c:v>
                </c:pt>
                <c:pt idx="190">
                  <c:v>62.602022594639244</c:v>
                </c:pt>
                <c:pt idx="191">
                  <c:v>62.500874635364333</c:v>
                </c:pt>
                <c:pt idx="192">
                  <c:v>62.396446792967616</c:v>
                </c:pt>
                <c:pt idx="193">
                  <c:v>62.288629737602811</c:v>
                </c:pt>
                <c:pt idx="194">
                  <c:v>62.177314139982421</c:v>
                </c:pt>
                <c:pt idx="195">
                  <c:v>62.062390670925382</c:v>
                </c:pt>
                <c:pt idx="196">
                  <c:v>61.943749999441209</c:v>
                </c:pt>
                <c:pt idx="197">
                  <c:v>61.821282798796894</c:v>
                </c:pt>
                <c:pt idx="198">
                  <c:v>61.69487973731011</c:v>
                </c:pt>
                <c:pt idx="199">
                  <c:v>61.564431486278771</c:v>
                </c:pt>
                <c:pt idx="200">
                  <c:v>61.429828717666012</c:v>
                </c:pt>
                <c:pt idx="201">
                  <c:v>61.29096209859209</c:v>
                </c:pt>
                <c:pt idx="202">
                  <c:v>61.147722302696536</c:v>
                </c:pt>
                <c:pt idx="203">
                  <c:v>61</c:v>
                </c:pt>
                <c:pt idx="204">
                  <c:v>60.847722302776354</c:v>
                </c:pt>
                <c:pt idx="205">
                  <c:v>60.690962098645308</c:v>
                </c:pt>
                <c:pt idx="206">
                  <c:v>60.529828717666007</c:v>
                </c:pt>
                <c:pt idx="207">
                  <c:v>60.36443148681095</c:v>
                </c:pt>
                <c:pt idx="208">
                  <c:v>60.194879737709257</c:v>
                </c:pt>
                <c:pt idx="209">
                  <c:v>60.021282799382291</c:v>
                </c:pt>
                <c:pt idx="210">
                  <c:v>59.84375</c:v>
                </c:pt>
                <c:pt idx="211">
                  <c:v>59.662390670393187</c:v>
                </c:pt>
                <c:pt idx="212">
                  <c:v>59.477314140700869</c:v>
                </c:pt>
                <c:pt idx="213">
                  <c:v>59.28862973781569</c:v>
                </c:pt>
                <c:pt idx="214">
                  <c:v>59.096446793100668</c:v>
                </c:pt>
                <c:pt idx="215">
                  <c:v>58.900874635683635</c:v>
                </c:pt>
                <c:pt idx="216">
                  <c:v>58.702022595384292</c:v>
                </c:pt>
                <c:pt idx="217">
                  <c:v>58.50000000037253</c:v>
                </c:pt>
                <c:pt idx="218">
                  <c:v>58.295116618435294</c:v>
                </c:pt>
                <c:pt idx="219">
                  <c:v>58.087463556975123</c:v>
                </c:pt>
                <c:pt idx="220">
                  <c:v>57.876822157576683</c:v>
                </c:pt>
                <c:pt idx="221">
                  <c:v>57.662973761239222</c:v>
                </c:pt>
                <c:pt idx="222">
                  <c:v>57.445699708775749</c:v>
                </c:pt>
                <c:pt idx="223">
                  <c:v>57.224781341318568</c:v>
                </c:pt>
                <c:pt idx="224">
                  <c:v>56.99999999962747</c:v>
                </c:pt>
                <c:pt idx="225">
                  <c:v>56.771137026697396</c:v>
                </c:pt>
                <c:pt idx="226">
                  <c:v>56.537973761186002</c:v>
                </c:pt>
                <c:pt idx="227">
                  <c:v>56.300291545263363</c:v>
                </c:pt>
                <c:pt idx="228">
                  <c:v>56.057871720567348</c:v>
                </c:pt>
                <c:pt idx="229">
                  <c:v>55.810495626979638</c:v>
                </c:pt>
                <c:pt idx="230">
                  <c:v>55.557944606856573</c:v>
                </c:pt>
                <c:pt idx="231">
                  <c:v>55.3</c:v>
                </c:pt>
                <c:pt idx="232">
                  <c:v>55.037463556336505</c:v>
                </c:pt>
                <c:pt idx="233">
                  <c:v>54.771137025845903</c:v>
                </c:pt>
                <c:pt idx="234">
                  <c:v>54.500801749899985</c:v>
                </c:pt>
                <c:pt idx="235">
                  <c:v>54.226239067316058</c:v>
                </c:pt>
                <c:pt idx="236">
                  <c:v>53.947230321009251</c:v>
                </c:pt>
                <c:pt idx="237">
                  <c:v>53.663556851127318</c:v>
                </c:pt>
                <c:pt idx="238">
                  <c:v>53.37499999962747</c:v>
                </c:pt>
                <c:pt idx="239">
                  <c:v>53.081341107508969</c:v>
                </c:pt>
                <c:pt idx="240">
                  <c:v>52.782361515026004</c:v>
                </c:pt>
                <c:pt idx="241">
                  <c:v>52.477842565200163</c:v>
                </c:pt>
                <c:pt idx="242">
                  <c:v>52.167565598125975</c:v>
                </c:pt>
                <c:pt idx="243">
                  <c:v>51.851311952194997</c:v>
                </c:pt>
                <c:pt idx="244">
                  <c:v>51.52886297394123</c:v>
                </c:pt>
                <c:pt idx="245">
                  <c:v>51.2</c:v>
                </c:pt>
                <c:pt idx="246">
                  <c:v>50.86410349737853</c:v>
                </c:pt>
                <c:pt idx="247">
                  <c:v>50.520991253799629</c:v>
                </c:pt>
                <c:pt idx="248">
                  <c:v>50.171100582421886</c:v>
                </c:pt>
                <c:pt idx="249">
                  <c:v>49.814868804067373</c:v>
                </c:pt>
                <c:pt idx="250">
                  <c:v>49.45273323641824</c:v>
                </c:pt>
                <c:pt idx="251">
                  <c:v>49.085131194602162</c:v>
                </c:pt>
                <c:pt idx="252">
                  <c:v>48.712499999068676</c:v>
                </c:pt>
                <c:pt idx="253">
                  <c:v>48.33527696781924</c:v>
                </c:pt>
                <c:pt idx="254">
                  <c:v>47.953899416300871</c:v>
                </c:pt>
                <c:pt idx="255">
                  <c:v>47.568804664537311</c:v>
                </c:pt>
                <c:pt idx="256">
                  <c:v>47.180430028880281</c:v>
                </c:pt>
                <c:pt idx="257">
                  <c:v>46.789212827703786</c:v>
                </c:pt>
                <c:pt idx="258">
                  <c:v>46.395590378956072</c:v>
                </c:pt>
                <c:pt idx="259">
                  <c:v>45.99999999962747</c:v>
                </c:pt>
                <c:pt idx="260">
                  <c:v>45.599416909167282</c:v>
                </c:pt>
                <c:pt idx="261">
                  <c:v>45.191253643908674</c:v>
                </c:pt>
                <c:pt idx="262">
                  <c:v>44.776603497844192</c:v>
                </c:pt>
                <c:pt idx="263">
                  <c:v>44.356559766456485</c:v>
                </c:pt>
                <c:pt idx="264">
                  <c:v>43.932215743232518</c:v>
                </c:pt>
                <c:pt idx="265">
                  <c:v>43.504664722351087</c:v>
                </c:pt>
                <c:pt idx="266">
                  <c:v>43.074999999720603</c:v>
                </c:pt>
                <c:pt idx="267">
                  <c:v>42.644314868801402</c:v>
                </c:pt>
                <c:pt idx="268">
                  <c:v>42.213702623519509</c:v>
                </c:pt>
                <c:pt idx="269">
                  <c:v>41.784256559264449</c:v>
                </c:pt>
                <c:pt idx="270">
                  <c:v>41.357069970654052</c:v>
                </c:pt>
                <c:pt idx="271">
                  <c:v>40.933236151135397</c:v>
                </c:pt>
                <c:pt idx="272">
                  <c:v>40.513848396204416</c:v>
                </c:pt>
                <c:pt idx="273">
                  <c:v>40.099999999627471</c:v>
                </c:pt>
                <c:pt idx="274">
                  <c:v>39.689577259016893</c:v>
                </c:pt>
                <c:pt idx="275">
                  <c:v>39.279883381617921</c:v>
                </c:pt>
                <c:pt idx="276">
                  <c:v>38.871137026111988</c:v>
                </c:pt>
                <c:pt idx="277">
                  <c:v>38.463556850994266</c:v>
                </c:pt>
                <c:pt idx="278">
                  <c:v>38.057361515877503</c:v>
                </c:pt>
                <c:pt idx="279">
                  <c:v>37.652769679310062</c:v>
                </c:pt>
                <c:pt idx="280">
                  <c:v>37.249999999906869</c:v>
                </c:pt>
                <c:pt idx="281">
                  <c:v>36.849271136868211</c:v>
                </c:pt>
                <c:pt idx="282">
                  <c:v>36.450801749088399</c:v>
                </c:pt>
                <c:pt idx="283">
                  <c:v>36.054810495621396</c:v>
                </c:pt>
                <c:pt idx="284">
                  <c:v>35.661516035148608</c:v>
                </c:pt>
                <c:pt idx="285">
                  <c:v>35.271137026564347</c:v>
                </c:pt>
                <c:pt idx="286">
                  <c:v>34.883892128004561</c:v>
                </c:pt>
                <c:pt idx="287">
                  <c:v>34.49999999962747</c:v>
                </c:pt>
                <c:pt idx="288">
                  <c:v>34.119132652825542</c:v>
                </c:pt>
                <c:pt idx="289">
                  <c:v>33.740816326332947</c:v>
                </c:pt>
                <c:pt idx="290">
                  <c:v>33.365051020522202</c:v>
                </c:pt>
                <c:pt idx="291">
                  <c:v>32.991836734807919</c:v>
                </c:pt>
                <c:pt idx="292">
                  <c:v>32.621173469323132</c:v>
                </c:pt>
                <c:pt idx="293">
                  <c:v>32.253061223988027</c:v>
                </c:pt>
                <c:pt idx="294">
                  <c:v>31.887499999813734</c:v>
                </c:pt>
                <c:pt idx="295">
                  <c:v>31.524489795735906</c:v>
                </c:pt>
                <c:pt idx="296">
                  <c:v>31.164030612153663</c:v>
                </c:pt>
                <c:pt idx="297">
                  <c:v>30.806122448774317</c:v>
                </c:pt>
                <c:pt idx="298">
                  <c:v>30.450765305624476</c:v>
                </c:pt>
                <c:pt idx="299">
                  <c:v>30.097959183209706</c:v>
                </c:pt>
                <c:pt idx="300">
                  <c:v>29.747704080918005</c:v>
                </c:pt>
                <c:pt idx="301">
                  <c:v>29.399999999254941</c:v>
                </c:pt>
                <c:pt idx="302">
                  <c:v>29.053662535947346</c:v>
                </c:pt>
                <c:pt idx="303">
                  <c:v>28.70787171976907</c:v>
                </c:pt>
                <c:pt idx="304">
                  <c:v>28.363174197636546</c:v>
                </c:pt>
                <c:pt idx="305">
                  <c:v>28.020116617158056</c:v>
                </c:pt>
                <c:pt idx="306">
                  <c:v>27.679245626101533</c:v>
                </c:pt>
                <c:pt idx="307">
                  <c:v>27.341107871064118</c:v>
                </c:pt>
                <c:pt idx="308">
                  <c:v>27.006249999068679</c:v>
                </c:pt>
                <c:pt idx="309">
                  <c:v>26.675218657563839</c:v>
                </c:pt>
                <c:pt idx="310">
                  <c:v>26.348560494370759</c:v>
                </c:pt>
                <c:pt idx="311">
                  <c:v>26.026822156352655</c:v>
                </c:pt>
                <c:pt idx="312">
                  <c:v>25.710550290239713</c:v>
                </c:pt>
                <c:pt idx="313">
                  <c:v>25.400291544198989</c:v>
                </c:pt>
                <c:pt idx="314">
                  <c:v>25.09659256413579</c:v>
                </c:pt>
                <c:pt idx="315">
                  <c:v>24.799999998509882</c:v>
                </c:pt>
                <c:pt idx="316">
                  <c:v>24.508272593255555</c:v>
                </c:pt>
                <c:pt idx="317">
                  <c:v>24.219241981421199</c:v>
                </c:pt>
                <c:pt idx="318">
                  <c:v>23.933564139104316</c:v>
                </c:pt>
                <c:pt idx="319">
                  <c:v>23.651895043253898</c:v>
                </c:pt>
                <c:pt idx="320">
                  <c:v>23.37489066980779</c:v>
                </c:pt>
                <c:pt idx="321">
                  <c:v>23.103206997258322</c:v>
                </c:pt>
                <c:pt idx="322">
                  <c:v>22.837500000745059</c:v>
                </c:pt>
                <c:pt idx="323">
                  <c:v>22.578425655620439</c:v>
                </c:pt>
                <c:pt idx="324">
                  <c:v>22.326639941920128</c:v>
                </c:pt>
                <c:pt idx="325">
                  <c:v>22.082798833932195</c:v>
                </c:pt>
                <c:pt idx="326">
                  <c:v>21.847558308179892</c:v>
                </c:pt>
                <c:pt idx="327">
                  <c:v>21.621574343740939</c:v>
                </c:pt>
                <c:pt idx="328">
                  <c:v>21.405502913626179</c:v>
                </c:pt>
                <c:pt idx="329">
                  <c:v>21.200000001490118</c:v>
                </c:pt>
                <c:pt idx="330">
                  <c:v>21.002897231174366</c:v>
                </c:pt>
                <c:pt idx="331">
                  <c:v>20.811953353668962</c:v>
                </c:pt>
                <c:pt idx="332">
                  <c:v>20.627715014134132</c:v>
                </c:pt>
                <c:pt idx="333">
                  <c:v>20.450728862413339</c:v>
                </c:pt>
                <c:pt idx="334">
                  <c:v>20.281541543879676</c:v>
                </c:pt>
                <c:pt idx="335">
                  <c:v>20.120699706673623</c:v>
                </c:pt>
                <c:pt idx="336">
                  <c:v>19.968749997764824</c:v>
                </c:pt>
                <c:pt idx="337">
                  <c:v>19.826239066464559</c:v>
                </c:pt>
                <c:pt idx="338">
                  <c:v>19.693713555591447</c:v>
                </c:pt>
                <c:pt idx="339">
                  <c:v>19.571720115414688</c:v>
                </c:pt>
                <c:pt idx="340">
                  <c:v>19.460805392903939</c:v>
                </c:pt>
                <c:pt idx="341">
                  <c:v>19.361516032048634</c:v>
                </c:pt>
                <c:pt idx="342">
                  <c:v>19.274398685991763</c:v>
                </c:pt>
                <c:pt idx="343">
                  <c:v>19.199999998509885</c:v>
                </c:pt>
                <c:pt idx="344">
                  <c:v>19.139714694874627</c:v>
                </c:pt>
                <c:pt idx="345">
                  <c:v>19.093891622445412</c:v>
                </c:pt>
                <c:pt idx="346">
                  <c:v>19.061508619199905</c:v>
                </c:pt>
                <c:pt idx="347">
                  <c:v>19.041543512472082</c:v>
                </c:pt>
                <c:pt idx="348">
                  <c:v>19.032974136354667</c:v>
                </c:pt>
                <c:pt idx="349">
                  <c:v>19.034778322918076</c:v>
                </c:pt>
                <c:pt idx="350">
                  <c:v>19.045933907106519</c:v>
                </c:pt>
                <c:pt idx="351">
                  <c:v>19.065418718329497</c:v>
                </c:pt>
                <c:pt idx="352">
                  <c:v>19.092210590626514</c:v>
                </c:pt>
                <c:pt idx="353">
                  <c:v>19.125287356014763</c:v>
                </c:pt>
                <c:pt idx="354">
                  <c:v>19.163626846192138</c:v>
                </c:pt>
                <c:pt idx="355">
                  <c:v>19.206206896688258</c:v>
                </c:pt>
                <c:pt idx="356">
                  <c:v>19.252005337125489</c:v>
                </c:pt>
                <c:pt idx="357">
                  <c:v>19.3</c:v>
                </c:pt>
                <c:pt idx="358">
                  <c:v>19.350375478367013</c:v>
                </c:pt>
                <c:pt idx="359">
                  <c:v>19.404383141398434</c:v>
                </c:pt>
                <c:pt idx="360">
                  <c:v>19.462600984573363</c:v>
                </c:pt>
                <c:pt idx="361">
                  <c:v>19.525607005556424</c:v>
                </c:pt>
                <c:pt idx="362">
                  <c:v>19.593979201217493</c:v>
                </c:pt>
                <c:pt idx="363">
                  <c:v>19.668295565843586</c:v>
                </c:pt>
                <c:pt idx="364">
                  <c:v>19.749134100178878</c:v>
                </c:pt>
                <c:pt idx="365">
                  <c:v>19.837072797119617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19.423010960329702</c:v>
                </c:pt>
                <c:pt idx="1">
                  <c:v>17.983399088358674</c:v>
                </c:pt>
                <c:pt idx="2">
                  <c:v>19.915594108485788</c:v>
                </c:pt>
                <c:pt idx="3">
                  <c:v>20.019430838359703</c:v>
                </c:pt>
                <c:pt idx="4">
                  <c:v>19.724952113879578</c:v>
                </c:pt>
                <c:pt idx="5">
                  <c:v>19.527156693189088</c:v>
                </c:pt>
                <c:pt idx="6">
                  <c:v>12.454416389518343</c:v>
                </c:pt>
                <c:pt idx="7">
                  <c:v>15.458337172992977</c:v>
                </c:pt>
                <c:pt idx="8">
                  <c:v>19.717901161584987</c:v>
                </c:pt>
                <c:pt idx="9">
                  <c:v>10.382626561505731</c:v>
                </c:pt>
                <c:pt idx="10">
                  <c:v>21.933429825000896</c:v>
                </c:pt>
                <c:pt idx="11">
                  <c:v>20.947040284507079</c:v>
                </c:pt>
                <c:pt idx="12">
                  <c:v>14.546314827403963</c:v>
                </c:pt>
                <c:pt idx="13">
                  <c:v>22.426517813211682</c:v>
                </c:pt>
                <c:pt idx="14">
                  <c:v>22.376869053911303</c:v>
                </c:pt>
                <c:pt idx="15">
                  <c:v>22.073480721344577</c:v>
                </c:pt>
                <c:pt idx="16">
                  <c:v>13.006645214490723</c:v>
                </c:pt>
                <c:pt idx="17">
                  <c:v>22.54898457519629</c:v>
                </c:pt>
                <c:pt idx="18">
                  <c:v>23.630965099383026</c:v>
                </c:pt>
                <c:pt idx="19">
                  <c:v>11.506630779358042</c:v>
                </c:pt>
                <c:pt idx="20">
                  <c:v>19.738178741287463</c:v>
                </c:pt>
                <c:pt idx="21">
                  <c:v>23.719809070516359</c:v>
                </c:pt>
                <c:pt idx="22">
                  <c:v>23.972086810605997</c:v>
                </c:pt>
                <c:pt idx="23">
                  <c:v>24.366089837944376</c:v>
                </c:pt>
                <c:pt idx="24">
                  <c:v>24.325688614436949</c:v>
                </c:pt>
                <c:pt idx="25">
                  <c:v>24.474490380311327</c:v>
                </c:pt>
                <c:pt idx="26">
                  <c:v>25.499505349293724</c:v>
                </c:pt>
                <c:pt idx="27">
                  <c:v>17.271645259588524</c:v>
                </c:pt>
                <c:pt idx="28">
                  <c:v>16.235625620989971</c:v>
                </c:pt>
                <c:pt idx="29">
                  <c:v>11.307083616802787</c:v>
                </c:pt>
                <c:pt idx="30">
                  <c:v>20.821047723853216</c:v>
                </c:pt>
                <c:pt idx="31">
                  <c:v>21.147132908302876</c:v>
                </c:pt>
                <c:pt idx="32">
                  <c:v>24.623005802832068</c:v>
                </c:pt>
                <c:pt idx="33">
                  <c:v>23.131615520800864</c:v>
                </c:pt>
                <c:pt idx="34">
                  <c:v>21.711002332701614</c:v>
                </c:pt>
                <c:pt idx="35">
                  <c:v>28.631560461107572</c:v>
                </c:pt>
                <c:pt idx="36">
                  <c:v>29.492309215343429</c:v>
                </c:pt>
                <c:pt idx="37">
                  <c:v>20.449279964874634</c:v>
                </c:pt>
                <c:pt idx="38">
                  <c:v>29.983116479380318</c:v>
                </c:pt>
                <c:pt idx="39">
                  <c:v>30.076215660223145</c:v>
                </c:pt>
                <c:pt idx="40">
                  <c:v>28.226702999052218</c:v>
                </c:pt>
                <c:pt idx="41">
                  <c:v>25.264298487786281</c:v>
                </c:pt>
                <c:pt idx="42">
                  <c:v>31.080312640486358</c:v>
                </c:pt>
                <c:pt idx="43">
                  <c:v>32.091869543727995</c:v>
                </c:pt>
                <c:pt idx="44">
                  <c:v>32.218134869509122</c:v>
                </c:pt>
                <c:pt idx="45">
                  <c:v>32.495097407012501</c:v>
                </c:pt>
                <c:pt idx="46">
                  <c:v>33.091277518761402</c:v>
                </c:pt>
                <c:pt idx="47">
                  <c:v>33.499351483700778</c:v>
                </c:pt>
                <c:pt idx="48">
                  <c:v>33.359346298317604</c:v>
                </c:pt>
                <c:pt idx="49">
                  <c:v>33.466194315132412</c:v>
                </c:pt>
                <c:pt idx="50">
                  <c:v>34.378402325425711</c:v>
                </c:pt>
                <c:pt idx="51">
                  <c:v>33.562567282376634</c:v>
                </c:pt>
                <c:pt idx="52">
                  <c:v>34.11239789666849</c:v>
                </c:pt>
                <c:pt idx="53">
                  <c:v>35.162786198923072</c:v>
                </c:pt>
                <c:pt idx="54">
                  <c:v>36.637666820783267</c:v>
                </c:pt>
                <c:pt idx="55">
                  <c:v>35.339882745455832</c:v>
                </c:pt>
                <c:pt idx="56">
                  <c:v>37.413360442633895</c:v>
                </c:pt>
                <c:pt idx="57">
                  <c:v>37.047346489228502</c:v>
                </c:pt>
                <c:pt idx="58">
                  <c:v>31.801666100904498</c:v>
                </c:pt>
                <c:pt idx="59">
                  <c:v>37.730811639617201</c:v>
                </c:pt>
                <c:pt idx="60">
                  <c:v>27.571693836230367</c:v>
                </c:pt>
                <c:pt idx="61">
                  <c:v>36.162203215099751</c:v>
                </c:pt>
                <c:pt idx="62">
                  <c:v>30.44612113653443</c:v>
                </c:pt>
                <c:pt idx="63">
                  <c:v>38.571800708819332</c:v>
                </c:pt>
                <c:pt idx="64">
                  <c:v>22.950602771895554</c:v>
                </c:pt>
                <c:pt idx="65">
                  <c:v>38.686228765533436</c:v>
                </c:pt>
                <c:pt idx="66">
                  <c:v>30.587494288179425</c:v>
                </c:pt>
                <c:pt idx="67">
                  <c:v>40.500150797480835</c:v>
                </c:pt>
                <c:pt idx="68">
                  <c:v>40.033914552307429</c:v>
                </c:pt>
                <c:pt idx="69">
                  <c:v>32.943027804132434</c:v>
                </c:pt>
                <c:pt idx="70">
                  <c:v>41.337289787164842</c:v>
                </c:pt>
                <c:pt idx="71">
                  <c:v>39.947876857948046</c:v>
                </c:pt>
                <c:pt idx="72">
                  <c:v>39.828022010256511</c:v>
                </c:pt>
                <c:pt idx="73">
                  <c:v>32.760869095233581</c:v>
                </c:pt>
                <c:pt idx="74">
                  <c:v>45.209296903916872</c:v>
                </c:pt>
                <c:pt idx="75">
                  <c:v>26.308361762464799</c:v>
                </c:pt>
                <c:pt idx="76">
                  <c:v>32.389497861269035</c:v>
                </c:pt>
                <c:pt idx="77">
                  <c:v>42.780968964285989</c:v>
                </c:pt>
                <c:pt idx="78">
                  <c:v>45.417095514762579</c:v>
                </c:pt>
                <c:pt idx="79">
                  <c:v>48.198985258159908</c:v>
                </c:pt>
                <c:pt idx="80">
                  <c:v>46.410432138632295</c:v>
                </c:pt>
                <c:pt idx="81">
                  <c:v>49.043918463336865</c:v>
                </c:pt>
                <c:pt idx="82">
                  <c:v>48.279322574126304</c:v>
                </c:pt>
                <c:pt idx="83">
                  <c:v>45.226476614605296</c:v>
                </c:pt>
                <c:pt idx="84">
                  <c:v>50.66707986781163</c:v>
                </c:pt>
                <c:pt idx="85">
                  <c:v>49.81019451356466</c:v>
                </c:pt>
                <c:pt idx="86">
                  <c:v>49.482894626918331</c:v>
                </c:pt>
                <c:pt idx="87">
                  <c:v>51.787106415664866</c:v>
                </c:pt>
                <c:pt idx="88">
                  <c:v>50.64313114829168</c:v>
                </c:pt>
                <c:pt idx="89">
                  <c:v>46.771911898558628</c:v>
                </c:pt>
                <c:pt idx="90">
                  <c:v>47.56351472577898</c:v>
                </c:pt>
                <c:pt idx="91">
                  <c:v>43.51711445287431</c:v>
                </c:pt>
                <c:pt idx="92">
                  <c:v>53.130196848122523</c:v>
                </c:pt>
                <c:pt idx="93">
                  <c:v>54.788293499905031</c:v>
                </c:pt>
                <c:pt idx="94">
                  <c:v>55.766032914356472</c:v>
                </c:pt>
                <c:pt idx="95">
                  <c:v>56.273634835365598</c:v>
                </c:pt>
                <c:pt idx="96">
                  <c:v>55.325751817582876</c:v>
                </c:pt>
                <c:pt idx="97">
                  <c:v>53.843386079314278</c:v>
                </c:pt>
                <c:pt idx="98">
                  <c:v>46.323967550802834</c:v>
                </c:pt>
                <c:pt idx="99">
                  <c:v>55.540517907478055</c:v>
                </c:pt>
                <c:pt idx="100">
                  <c:v>56.677954021859833</c:v>
                </c:pt>
                <c:pt idx="101">
                  <c:v>57.166150894542305</c:v>
                </c:pt>
                <c:pt idx="102">
                  <c:v>56.753271585996224</c:v>
                </c:pt>
                <c:pt idx="103">
                  <c:v>57.09243105824325</c:v>
                </c:pt>
                <c:pt idx="104">
                  <c:v>57.996745654334866</c:v>
                </c:pt>
                <c:pt idx="105">
                  <c:v>52.327517429818045</c:v>
                </c:pt>
                <c:pt idx="106">
                  <c:v>57.284777251716619</c:v>
                </c:pt>
                <c:pt idx="107">
                  <c:v>45.175246196580972</c:v>
                </c:pt>
                <c:pt idx="108">
                  <c:v>58.078197981437626</c:v>
                </c:pt>
                <c:pt idx="109">
                  <c:v>49.816269691728465</c:v>
                </c:pt>
                <c:pt idx="110">
                  <c:v>54.888327904191918</c:v>
                </c:pt>
                <c:pt idx="111">
                  <c:v>59.567608044722562</c:v>
                </c:pt>
                <c:pt idx="112">
                  <c:v>59.226386677752629</c:v>
                </c:pt>
                <c:pt idx="113">
                  <c:v>54.494579426141378</c:v>
                </c:pt>
                <c:pt idx="114">
                  <c:v>58.750852702335024</c:v>
                </c:pt>
                <c:pt idx="115">
                  <c:v>58.42375193086324</c:v>
                </c:pt>
                <c:pt idx="116">
                  <c:v>42.622666963582361</c:v>
                </c:pt>
                <c:pt idx="117">
                  <c:v>46.447787354157064</c:v>
                </c:pt>
                <c:pt idx="118">
                  <c:v>53.503420570987252</c:v>
                </c:pt>
                <c:pt idx="119">
                  <c:v>61.024126150933135</c:v>
                </c:pt>
                <c:pt idx="120">
                  <c:v>55.440910682526471</c:v>
                </c:pt>
                <c:pt idx="121">
                  <c:v>48.436895497277384</c:v>
                </c:pt>
                <c:pt idx="122">
                  <c:v>59.778288949958807</c:v>
                </c:pt>
                <c:pt idx="123">
                  <c:v>54.701655711301164</c:v>
                </c:pt>
                <c:pt idx="124">
                  <c:v>58.762376134897934</c:v>
                </c:pt>
                <c:pt idx="125">
                  <c:v>63.468441538808548</c:v>
                </c:pt>
                <c:pt idx="126">
                  <c:v>60.14956112877281</c:v>
                </c:pt>
                <c:pt idx="127">
                  <c:v>57.498688083785559</c:v>
                </c:pt>
                <c:pt idx="128">
                  <c:v>59.561802075724238</c:v>
                </c:pt>
                <c:pt idx="129">
                  <c:v>55.251134206932889</c:v>
                </c:pt>
                <c:pt idx="130">
                  <c:v>60.05837368883941</c:v>
                </c:pt>
                <c:pt idx="131">
                  <c:v>59.107632705662361</c:v>
                </c:pt>
                <c:pt idx="132">
                  <c:v>65.445503800800012</c:v>
                </c:pt>
                <c:pt idx="133">
                  <c:v>63.25386320981476</c:v>
                </c:pt>
                <c:pt idx="134">
                  <c:v>64.201306106001624</c:v>
                </c:pt>
                <c:pt idx="135">
                  <c:v>54.349545015132634</c:v>
                </c:pt>
                <c:pt idx="136">
                  <c:v>59.772823260261717</c:v>
                </c:pt>
                <c:pt idx="137">
                  <c:v>66.086546918529152</c:v>
                </c:pt>
                <c:pt idx="138">
                  <c:v>64.867381436850934</c:v>
                </c:pt>
                <c:pt idx="139">
                  <c:v>62.875000616079284</c:v>
                </c:pt>
                <c:pt idx="140">
                  <c:v>62.49902622803689</c:v>
                </c:pt>
                <c:pt idx="141">
                  <c:v>62.066231268120049</c:v>
                </c:pt>
                <c:pt idx="142">
                  <c:v>58.102638040850181</c:v>
                </c:pt>
                <c:pt idx="143">
                  <c:v>29.473911948934084</c:v>
                </c:pt>
                <c:pt idx="144">
                  <c:v>60.701429062818967</c:v>
                </c:pt>
                <c:pt idx="145">
                  <c:v>63.484208413127426</c:v>
                </c:pt>
                <c:pt idx="146">
                  <c:v>63.520031293079448</c:v>
                </c:pt>
                <c:pt idx="147">
                  <c:v>62.361941334367771</c:v>
                </c:pt>
                <c:pt idx="148">
                  <c:v>65.39386312317626</c:v>
                </c:pt>
                <c:pt idx="149">
                  <c:v>59.86002152871599</c:v>
                </c:pt>
                <c:pt idx="150">
                  <c:v>63.940669699990565</c:v>
                </c:pt>
                <c:pt idx="151">
                  <c:v>65.184195459638048</c:v>
                </c:pt>
                <c:pt idx="152">
                  <c:v>63.527913970143331</c:v>
                </c:pt>
                <c:pt idx="153">
                  <c:v>59.023162907368395</c:v>
                </c:pt>
                <c:pt idx="154">
                  <c:v>55.953130597510338</c:v>
                </c:pt>
                <c:pt idx="155">
                  <c:v>47.290496424932876</c:v>
                </c:pt>
                <c:pt idx="156">
                  <c:v>63.423622728283476</c:v>
                </c:pt>
                <c:pt idx="157">
                  <c:v>52.756129092485281</c:v>
                </c:pt>
                <c:pt idx="158">
                  <c:v>64.288784503922017</c:v>
                </c:pt>
                <c:pt idx="159">
                  <c:v>60.786891370501721</c:v>
                </c:pt>
                <c:pt idx="160">
                  <c:v>62.838268627331253</c:v>
                </c:pt>
                <c:pt idx="161">
                  <c:v>60.46388788681103</c:v>
                </c:pt>
                <c:pt idx="162">
                  <c:v>55.539743241792053</c:v>
                </c:pt>
                <c:pt idx="163">
                  <c:v>65.896682461422955</c:v>
                </c:pt>
                <c:pt idx="164">
                  <c:v>55.28412997128946</c:v>
                </c:pt>
                <c:pt idx="165">
                  <c:v>59.764706232208013</c:v>
                </c:pt>
                <c:pt idx="166">
                  <c:v>65.565674070131692</c:v>
                </c:pt>
                <c:pt idx="167">
                  <c:v>63.498775239752014</c:v>
                </c:pt>
                <c:pt idx="168">
                  <c:v>60.833252001548445</c:v>
                </c:pt>
                <c:pt idx="169">
                  <c:v>61.659826867162181</c:v>
                </c:pt>
                <c:pt idx="170">
                  <c:v>56.819376844927362</c:v>
                </c:pt>
                <c:pt idx="171">
                  <c:v>51.722405668054598</c:v>
                </c:pt>
                <c:pt idx="172">
                  <c:v>65.775267938024328</c:v>
                </c:pt>
                <c:pt idx="173">
                  <c:v>56.866605968442144</c:v>
                </c:pt>
                <c:pt idx="174">
                  <c:v>64.123502417734827</c:v>
                </c:pt>
                <c:pt idx="175">
                  <c:v>60.228576007833119</c:v>
                </c:pt>
                <c:pt idx="176">
                  <c:v>61.391181124623479</c:v>
                </c:pt>
                <c:pt idx="177">
                  <c:v>61.300290769717577</c:v>
                </c:pt>
                <c:pt idx="178">
                  <c:v>64.862126876574465</c:v>
                </c:pt>
                <c:pt idx="179">
                  <c:v>62.211845559281812</c:v>
                </c:pt>
                <c:pt idx="180">
                  <c:v>56.806125451843101</c:v>
                </c:pt>
                <c:pt idx="181">
                  <c:v>61.555241119105759</c:v>
                </c:pt>
                <c:pt idx="182">
                  <c:v>61.53947491631434</c:v>
                </c:pt>
                <c:pt idx="183">
                  <c:v>50.673839895815256</c:v>
                </c:pt>
                <c:pt idx="184">
                  <c:v>59.251249385209874</c:v>
                </c:pt>
                <c:pt idx="185">
                  <c:v>63.499188646110007</c:v>
                </c:pt>
                <c:pt idx="186">
                  <c:v>62.806622289088963</c:v>
                </c:pt>
                <c:pt idx="187">
                  <c:v>61.475793870617331</c:v>
                </c:pt>
                <c:pt idx="188">
                  <c:v>64.296413487200894</c:v>
                </c:pt>
                <c:pt idx="189">
                  <c:v>63.090588335933631</c:v>
                </c:pt>
                <c:pt idx="190">
                  <c:v>63.53664171225423</c:v>
                </c:pt>
                <c:pt idx="191">
                  <c:v>62.742397262991474</c:v>
                </c:pt>
                <c:pt idx="192">
                  <c:v>63.292549815565977</c:v>
                </c:pt>
                <c:pt idx="193">
                  <c:v>59.464663470930297</c:v>
                </c:pt>
                <c:pt idx="194">
                  <c:v>63.373727610861152</c:v>
                </c:pt>
                <c:pt idx="195">
                  <c:v>64.452290266215414</c:v>
                </c:pt>
                <c:pt idx="196">
                  <c:v>62.090421221534129</c:v>
                </c:pt>
                <c:pt idx="197">
                  <c:v>61.577914063437071</c:v>
                </c:pt>
                <c:pt idx="198">
                  <c:v>58.939073040406903</c:v>
                </c:pt>
                <c:pt idx="199">
                  <c:v>61.968501061499985</c:v>
                </c:pt>
                <c:pt idx="200">
                  <c:v>60.24378453040314</c:v>
                </c:pt>
                <c:pt idx="201">
                  <c:v>56.281812291305535</c:v>
                </c:pt>
                <c:pt idx="202">
                  <c:v>55.15109317310074</c:v>
                </c:pt>
                <c:pt idx="203">
                  <c:v>57.142071976400118</c:v>
                </c:pt>
                <c:pt idx="204">
                  <c:v>57.379495039905848</c:v>
                </c:pt>
                <c:pt idx="205">
                  <c:v>60.574640900410465</c:v>
                </c:pt>
                <c:pt idx="206">
                  <c:v>63.373229232524743</c:v>
                </c:pt>
                <c:pt idx="207">
                  <c:v>61.517482793724284</c:v>
                </c:pt>
                <c:pt idx="208">
                  <c:v>57.712856761591276</c:v>
                </c:pt>
                <c:pt idx="209">
                  <c:v>59.638650832887429</c:v>
                </c:pt>
                <c:pt idx="210">
                  <c:v>55.521981770565908</c:v>
                </c:pt>
                <c:pt idx="211">
                  <c:v>59.170431840667312</c:v>
                </c:pt>
                <c:pt idx="212">
                  <c:v>58.826618975995636</c:v>
                </c:pt>
                <c:pt idx="213">
                  <c:v>58.57051952904542</c:v>
                </c:pt>
                <c:pt idx="214">
                  <c:v>56.763758259198227</c:v>
                </c:pt>
                <c:pt idx="215">
                  <c:v>53.564425607951186</c:v>
                </c:pt>
                <c:pt idx="216">
                  <c:v>59.003544823424903</c:v>
                </c:pt>
                <c:pt idx="217">
                  <c:v>58.033046610049119</c:v>
                </c:pt>
                <c:pt idx="218">
                  <c:v>56.928210437267175</c:v>
                </c:pt>
                <c:pt idx="219">
                  <c:v>57.269796399460986</c:v>
                </c:pt>
                <c:pt idx="220">
                  <c:v>54.742421949273385</c:v>
                </c:pt>
                <c:pt idx="221">
                  <c:v>51.246080606802998</c:v>
                </c:pt>
                <c:pt idx="222">
                  <c:v>49.662737318224281</c:v>
                </c:pt>
                <c:pt idx="223">
                  <c:v>50.958333427693667</c:v>
                </c:pt>
                <c:pt idx="224">
                  <c:v>49.519418885775274</c:v>
                </c:pt>
                <c:pt idx="225">
                  <c:v>56.438545472421865</c:v>
                </c:pt>
                <c:pt idx="226">
                  <c:v>49.907980603306648</c:v>
                </c:pt>
                <c:pt idx="227">
                  <c:v>54.750781223498663</c:v>
                </c:pt>
                <c:pt idx="228">
                  <c:v>54.337378968983657</c:v>
                </c:pt>
                <c:pt idx="229">
                  <c:v>54.641783425949193</c:v>
                </c:pt>
                <c:pt idx="230">
                  <c:v>47.020901429543109</c:v>
                </c:pt>
                <c:pt idx="231">
                  <c:v>52.793741266565121</c:v>
                </c:pt>
                <c:pt idx="232">
                  <c:v>52.989538136778435</c:v>
                </c:pt>
                <c:pt idx="233">
                  <c:v>55.477484592844142</c:v>
                </c:pt>
                <c:pt idx="234">
                  <c:v>53.090277151118499</c:v>
                </c:pt>
                <c:pt idx="235">
                  <c:v>52.284492274475099</c:v>
                </c:pt>
                <c:pt idx="236">
                  <c:v>49.886993974579291</c:v>
                </c:pt>
                <c:pt idx="237">
                  <c:v>51.84257425367344</c:v>
                </c:pt>
                <c:pt idx="238">
                  <c:v>52.392884111456645</c:v>
                </c:pt>
                <c:pt idx="239">
                  <c:v>52.208096554658312</c:v>
                </c:pt>
                <c:pt idx="240">
                  <c:v>51.532555468070449</c:v>
                </c:pt>
                <c:pt idx="241">
                  <c:v>50.059646058487751</c:v>
                </c:pt>
                <c:pt idx="242">
                  <c:v>49.645877215409939</c:v>
                </c:pt>
                <c:pt idx="243">
                  <c:v>49.265411804235086</c:v>
                </c:pt>
                <c:pt idx="244">
                  <c:v>50.515118630968004</c:v>
                </c:pt>
                <c:pt idx="245">
                  <c:v>52.304535343399913</c:v>
                </c:pt>
                <c:pt idx="246">
                  <c:v>50.854678643962053</c:v>
                </c:pt>
                <c:pt idx="247">
                  <c:v>50.429886494595955</c:v>
                </c:pt>
                <c:pt idx="248">
                  <c:v>52.380979169463878</c:v>
                </c:pt>
                <c:pt idx="249">
                  <c:v>46.142327737727975</c:v>
                </c:pt>
                <c:pt idx="250">
                  <c:v>44.813483820108679</c:v>
                </c:pt>
                <c:pt idx="251">
                  <c:v>47.032768626922746</c:v>
                </c:pt>
                <c:pt idx="252">
                  <c:v>47.337511417487256</c:v>
                </c:pt>
                <c:pt idx="253">
                  <c:v>47.199084138700862</c:v>
                </c:pt>
                <c:pt idx="254">
                  <c:v>47.524500971153024</c:v>
                </c:pt>
                <c:pt idx="255">
                  <c:v>45.574582062693615</c:v>
                </c:pt>
                <c:pt idx="256">
                  <c:v>44.733439415558536</c:v>
                </c:pt>
                <c:pt idx="257">
                  <c:v>45.524121434792207</c:v>
                </c:pt>
                <c:pt idx="258">
                  <c:v>41.220294819613947</c:v>
                </c:pt>
                <c:pt idx="259">
                  <c:v>46.687439753460573</c:v>
                </c:pt>
                <c:pt idx="260">
                  <c:v>46.156800921335282</c:v>
                </c:pt>
                <c:pt idx="261">
                  <c:v>44.370974570384895</c:v>
                </c:pt>
                <c:pt idx="262">
                  <c:v>46.243426743251511</c:v>
                </c:pt>
                <c:pt idx="263">
                  <c:v>44.716228492902502</c:v>
                </c:pt>
                <c:pt idx="264">
                  <c:v>42.751746792119995</c:v>
                </c:pt>
                <c:pt idx="265">
                  <c:v>39.201858465251448</c:v>
                </c:pt>
                <c:pt idx="266">
                  <c:v>36.19529357264706</c:v>
                </c:pt>
                <c:pt idx="267">
                  <c:v>35.644929578113675</c:v>
                </c:pt>
                <c:pt idx="268">
                  <c:v>36.254189031669213</c:v>
                </c:pt>
                <c:pt idx="269">
                  <c:v>33.919915372274694</c:v>
                </c:pt>
                <c:pt idx="270">
                  <c:v>35.820962356484351</c:v>
                </c:pt>
                <c:pt idx="271">
                  <c:v>39.441971628235159</c:v>
                </c:pt>
                <c:pt idx="272">
                  <c:v>33.387052918801814</c:v>
                </c:pt>
                <c:pt idx="273">
                  <c:v>39.381811318036526</c:v>
                </c:pt>
                <c:pt idx="274">
                  <c:v>38.398593862798243</c:v>
                </c:pt>
                <c:pt idx="275">
                  <c:v>37.682771188791072</c:v>
                </c:pt>
                <c:pt idx="276">
                  <c:v>38.894030832928983</c:v>
                </c:pt>
                <c:pt idx="277">
                  <c:v>40.03814569684679</c:v>
                </c:pt>
                <c:pt idx="278">
                  <c:v>33.540700247739295</c:v>
                </c:pt>
                <c:pt idx="279">
                  <c:v>37.78874890553454</c:v>
                </c:pt>
                <c:pt idx="280">
                  <c:v>35.15889638578107</c:v>
                </c:pt>
                <c:pt idx="281">
                  <c:v>36.30535687657288</c:v>
                </c:pt>
                <c:pt idx="282">
                  <c:v>30.260941693493162</c:v>
                </c:pt>
                <c:pt idx="283">
                  <c:v>36.235632696328913</c:v>
                </c:pt>
                <c:pt idx="284">
                  <c:v>34.453612542643434</c:v>
                </c:pt>
                <c:pt idx="285">
                  <c:v>34.605373713118908</c:v>
                </c:pt>
                <c:pt idx="286">
                  <c:v>35.94304448551074</c:v>
                </c:pt>
                <c:pt idx="287">
                  <c:v>34.66771812955794</c:v>
                </c:pt>
                <c:pt idx="288">
                  <c:v>32.78605431375631</c:v>
                </c:pt>
                <c:pt idx="289">
                  <c:v>30.316240270106746</c:v>
                </c:pt>
                <c:pt idx="290">
                  <c:v>34.363592336640075</c:v>
                </c:pt>
                <c:pt idx="291">
                  <c:v>32.663950512475992</c:v>
                </c:pt>
                <c:pt idx="292">
                  <c:v>26.876972034227109</c:v>
                </c:pt>
                <c:pt idx="293">
                  <c:v>23.519569000870998</c:v>
                </c:pt>
                <c:pt idx="294">
                  <c:v>31.176364576102721</c:v>
                </c:pt>
                <c:pt idx="295">
                  <c:v>32.867779364445255</c:v>
                </c:pt>
                <c:pt idx="296">
                  <c:v>32.024891553571138</c:v>
                </c:pt>
                <c:pt idx="297">
                  <c:v>30.314275892312452</c:v>
                </c:pt>
                <c:pt idx="298">
                  <c:v>30.638103345226707</c:v>
                </c:pt>
                <c:pt idx="299">
                  <c:v>28.51542722480329</c:v>
                </c:pt>
                <c:pt idx="300">
                  <c:v>29.596972349647235</c:v>
                </c:pt>
                <c:pt idx="301">
                  <c:v>26.808132600527212</c:v>
                </c:pt>
                <c:pt idx="302">
                  <c:v>25.646872317786048</c:v>
                </c:pt>
                <c:pt idx="303">
                  <c:v>29.156794138449072</c:v>
                </c:pt>
                <c:pt idx="304">
                  <c:v>28.781907422136918</c:v>
                </c:pt>
                <c:pt idx="305">
                  <c:v>26.969006906693245</c:v>
                </c:pt>
                <c:pt idx="306">
                  <c:v>25.62517790632015</c:v>
                </c:pt>
                <c:pt idx="307">
                  <c:v>21.931273937161258</c:v>
                </c:pt>
                <c:pt idx="308">
                  <c:v>27.537455067889493</c:v>
                </c:pt>
                <c:pt idx="309">
                  <c:v>26.845351396055356</c:v>
                </c:pt>
                <c:pt idx="310">
                  <c:v>24.589985163206897</c:v>
                </c:pt>
                <c:pt idx="311">
                  <c:v>19.495056583324676</c:v>
                </c:pt>
                <c:pt idx="312">
                  <c:v>19.997041581744018</c:v>
                </c:pt>
                <c:pt idx="313">
                  <c:v>20.599757890321698</c:v>
                </c:pt>
                <c:pt idx="314">
                  <c:v>24.283857705255858</c:v>
                </c:pt>
                <c:pt idx="315">
                  <c:v>24.059269183157991</c:v>
                </c:pt>
                <c:pt idx="316">
                  <c:v>24.534938344101679</c:v>
                </c:pt>
                <c:pt idx="317">
                  <c:v>18.564263652887913</c:v>
                </c:pt>
                <c:pt idx="318">
                  <c:v>23.679818202153843</c:v>
                </c:pt>
                <c:pt idx="319">
                  <c:v>23.604229885509767</c:v>
                </c:pt>
                <c:pt idx="320">
                  <c:v>21.890995839338444</c:v>
                </c:pt>
                <c:pt idx="321">
                  <c:v>21.900036147132251</c:v>
                </c:pt>
                <c:pt idx="322">
                  <c:v>22.404148660513918</c:v>
                </c:pt>
                <c:pt idx="323">
                  <c:v>23.081621560560357</c:v>
                </c:pt>
                <c:pt idx="324">
                  <c:v>22.83442232679824</c:v>
                </c:pt>
                <c:pt idx="325">
                  <c:v>22.832707218785405</c:v>
                </c:pt>
                <c:pt idx="326">
                  <c:v>22.481417216990419</c:v>
                </c:pt>
                <c:pt idx="327">
                  <c:v>21.083338860152271</c:v>
                </c:pt>
                <c:pt idx="328">
                  <c:v>19.914924416032331</c:v>
                </c:pt>
                <c:pt idx="329">
                  <c:v>21.504267084607424</c:v>
                </c:pt>
                <c:pt idx="330">
                  <c:v>18.227231813309963</c:v>
                </c:pt>
                <c:pt idx="331">
                  <c:v>13.863925920515646</c:v>
                </c:pt>
                <c:pt idx="332">
                  <c:v>20.020068183984399</c:v>
                </c:pt>
                <c:pt idx="333">
                  <c:v>19.556605009076051</c:v>
                </c:pt>
                <c:pt idx="334">
                  <c:v>20.229052187489842</c:v>
                </c:pt>
                <c:pt idx="335">
                  <c:v>9.3592865081560959</c:v>
                </c:pt>
                <c:pt idx="336">
                  <c:v>13.44927584857693</c:v>
                </c:pt>
                <c:pt idx="337">
                  <c:v>16.021146633315308</c:v>
                </c:pt>
                <c:pt idx="338">
                  <c:v>20.008159739519449</c:v>
                </c:pt>
                <c:pt idx="339">
                  <c:v>14.0527233412349</c:v>
                </c:pt>
                <c:pt idx="340">
                  <c:v>17.855995616436367</c:v>
                </c:pt>
                <c:pt idx="341">
                  <c:v>14.230610193408706</c:v>
                </c:pt>
                <c:pt idx="342">
                  <c:v>10.283678349894517</c:v>
                </c:pt>
                <c:pt idx="343">
                  <c:v>16.477677553533571</c:v>
                </c:pt>
                <c:pt idx="344">
                  <c:v>16.479573454056037</c:v>
                </c:pt>
                <c:pt idx="345">
                  <c:v>18.530251867552792</c:v>
                </c:pt>
                <c:pt idx="346">
                  <c:v>19.130983394548689</c:v>
                </c:pt>
                <c:pt idx="347">
                  <c:v>19.357739032195155</c:v>
                </c:pt>
                <c:pt idx="348">
                  <c:v>18.722199127908961</c:v>
                </c:pt>
                <c:pt idx="349">
                  <c:v>18.52551005734108</c:v>
                </c:pt>
                <c:pt idx="350">
                  <c:v>18.608834058846831</c:v>
                </c:pt>
                <c:pt idx="351">
                  <c:v>18.946814090960533</c:v>
                </c:pt>
                <c:pt idx="352">
                  <c:v>18.60656481230383</c:v>
                </c:pt>
                <c:pt idx="353">
                  <c:v>19.171871090766793</c:v>
                </c:pt>
                <c:pt idx="354">
                  <c:v>18.393584426720921</c:v>
                </c:pt>
                <c:pt idx="355">
                  <c:v>18.146352200038717</c:v>
                </c:pt>
                <c:pt idx="356">
                  <c:v>16.298095724245826</c:v>
                </c:pt>
                <c:pt idx="357">
                  <c:v>19.0816996155081</c:v>
                </c:pt>
                <c:pt idx="358">
                  <c:v>15.376095224212161</c:v>
                </c:pt>
                <c:pt idx="359">
                  <c:v>18.590882091539495</c:v>
                </c:pt>
                <c:pt idx="360">
                  <c:v>18.041116002865003</c:v>
                </c:pt>
                <c:pt idx="361">
                  <c:v>17.981774315909167</c:v>
                </c:pt>
                <c:pt idx="362">
                  <c:v>20.470863800267029</c:v>
                </c:pt>
                <c:pt idx="363">
                  <c:v>18.88344038484756</c:v>
                </c:pt>
                <c:pt idx="364">
                  <c:v>18.889316634056641</c:v>
                </c:pt>
                <c:pt idx="365">
                  <c:v>11.874887310297245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'2021'!$F$14</c:f>
              <c:strCache>
                <c:ptCount val="1"/>
                <c:pt idx="0">
                  <c:v>Hors pertes 2021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'2021'!Wh_hp</c:f>
              <c:numCache>
                <c:formatCode>0.00</c:formatCode>
                <c:ptCount val="366"/>
                <c:pt idx="0">
                  <c:v>7.9812392067761815</c:v>
                </c:pt>
                <c:pt idx="1">
                  <c:v>4.3850206770772857</c:v>
                </c:pt>
                <c:pt idx="2">
                  <c:v>19.915594108485788</c:v>
                </c:pt>
                <c:pt idx="3">
                  <c:v>16.553865595215505</c:v>
                </c:pt>
                <c:pt idx="4">
                  <c:v>3.4067533953190727</c:v>
                </c:pt>
                <c:pt idx="5">
                  <c:v>7.7246776289728158</c:v>
                </c:pt>
                <c:pt idx="6">
                  <c:v>12.454416389518343</c:v>
                </c:pt>
                <c:pt idx="7">
                  <c:v>15.458337172992977</c:v>
                </c:pt>
                <c:pt idx="8">
                  <c:v>6.5261592116219207</c:v>
                </c:pt>
                <c:pt idx="9">
                  <c:v>5.8299666579328377</c:v>
                </c:pt>
                <c:pt idx="10">
                  <c:v>5.3598939368703356</c:v>
                </c:pt>
                <c:pt idx="11">
                  <c:v>10.803922750372831</c:v>
                </c:pt>
                <c:pt idx="12">
                  <c:v>9.834355107607772</c:v>
                </c:pt>
                <c:pt idx="13">
                  <c:v>11.175347800522363</c:v>
                </c:pt>
                <c:pt idx="14">
                  <c:v>15.584523343540283</c:v>
                </c:pt>
                <c:pt idx="15">
                  <c:v>14.278433493198877</c:v>
                </c:pt>
                <c:pt idx="16">
                  <c:v>7.9238422508946789</c:v>
                </c:pt>
                <c:pt idx="17">
                  <c:v>22.54898457519629</c:v>
                </c:pt>
                <c:pt idx="18">
                  <c:v>23.11702137632702</c:v>
                </c:pt>
                <c:pt idx="19">
                  <c:v>6.5057381893610708</c:v>
                </c:pt>
                <c:pt idx="20">
                  <c:v>12.247271454207658</c:v>
                </c:pt>
                <c:pt idx="21">
                  <c:v>6.7185928357433591</c:v>
                </c:pt>
                <c:pt idx="22">
                  <c:v>8.5028182252571849</c:v>
                </c:pt>
                <c:pt idx="23">
                  <c:v>14.529343428330815</c:v>
                </c:pt>
                <c:pt idx="24">
                  <c:v>8.6360810518936066</c:v>
                </c:pt>
                <c:pt idx="25">
                  <c:v>16.952760460263395</c:v>
                </c:pt>
                <c:pt idx="26">
                  <c:v>5.9679354953222781</c:v>
                </c:pt>
                <c:pt idx="27">
                  <c:v>17.043567014086992</c:v>
                </c:pt>
                <c:pt idx="28">
                  <c:v>15.608368551900888</c:v>
                </c:pt>
                <c:pt idx="29">
                  <c:v>9.0937331945528381</c:v>
                </c:pt>
                <c:pt idx="30">
                  <c:v>9.3202421370821824</c:v>
                </c:pt>
                <c:pt idx="31">
                  <c:v>8.4643680343385679</c:v>
                </c:pt>
                <c:pt idx="32">
                  <c:v>24.538885185791113</c:v>
                </c:pt>
                <c:pt idx="33">
                  <c:v>18.752360616916317</c:v>
                </c:pt>
                <c:pt idx="34">
                  <c:v>16.875390750766375</c:v>
                </c:pt>
                <c:pt idx="35">
                  <c:v>13.530533296943007</c:v>
                </c:pt>
                <c:pt idx="36">
                  <c:v>10.052264449592363</c:v>
                </c:pt>
                <c:pt idx="37">
                  <c:v>17.484315975108089</c:v>
                </c:pt>
                <c:pt idx="38">
                  <c:v>4.9166506277242714</c:v>
                </c:pt>
                <c:pt idx="39">
                  <c:v>13.044900608004674</c:v>
                </c:pt>
                <c:pt idx="40">
                  <c:v>15.421227015802694</c:v>
                </c:pt>
                <c:pt idx="41">
                  <c:v>25.264298487786281</c:v>
                </c:pt>
                <c:pt idx="42">
                  <c:v>5.600504446414031</c:v>
                </c:pt>
                <c:pt idx="43">
                  <c:v>8.6153543126271579</c:v>
                </c:pt>
                <c:pt idx="44">
                  <c:v>31.908306457001551</c:v>
                </c:pt>
                <c:pt idx="45">
                  <c:v>29.454910721615065</c:v>
                </c:pt>
                <c:pt idx="46">
                  <c:v>28.975886231853067</c:v>
                </c:pt>
                <c:pt idx="47">
                  <c:v>30.961928427298869</c:v>
                </c:pt>
                <c:pt idx="48">
                  <c:v>17.457650870027873</c:v>
                </c:pt>
                <c:pt idx="49">
                  <c:v>33.466194315132412</c:v>
                </c:pt>
                <c:pt idx="50">
                  <c:v>26.970199903683085</c:v>
                </c:pt>
                <c:pt idx="51">
                  <c:v>12.169071975607139</c:v>
                </c:pt>
                <c:pt idx="52">
                  <c:v>9.0441552528642859</c:v>
                </c:pt>
                <c:pt idx="53">
                  <c:v>30.077745264090815</c:v>
                </c:pt>
                <c:pt idx="54">
                  <c:v>34.962226475955411</c:v>
                </c:pt>
                <c:pt idx="55">
                  <c:v>32.046914465330389</c:v>
                </c:pt>
                <c:pt idx="56">
                  <c:v>9.3289321487302832</c:v>
                </c:pt>
                <c:pt idx="57">
                  <c:v>37.047346489228502</c:v>
                </c:pt>
                <c:pt idx="58">
                  <c:v>31.645992345157772</c:v>
                </c:pt>
                <c:pt idx="59">
                  <c:v>34.681847181674577</c:v>
                </c:pt>
                <c:pt idx="60">
                  <c:v>17.258827102318278</c:v>
                </c:pt>
                <c:pt idx="61">
                  <c:v>16.723726677484859</c:v>
                </c:pt>
                <c:pt idx="62">
                  <c:v>30.44612113653443</c:v>
                </c:pt>
                <c:pt idx="63">
                  <c:v>34.221021101489342</c:v>
                </c:pt>
                <c:pt idx="64">
                  <c:v>12.424893707662559</c:v>
                </c:pt>
                <c:pt idx="65">
                  <c:v>11.944675589887968</c:v>
                </c:pt>
                <c:pt idx="66">
                  <c:v>25.854146541355799</c:v>
                </c:pt>
                <c:pt idx="67">
                  <c:v>40.500150797480835</c:v>
                </c:pt>
                <c:pt idx="68">
                  <c:v>40.033914552307429</c:v>
                </c:pt>
                <c:pt idx="69">
                  <c:v>29.58828917621565</c:v>
                </c:pt>
                <c:pt idx="70">
                  <c:v>33.786426175671522</c:v>
                </c:pt>
                <c:pt idx="71">
                  <c:v>39.947876857948046</c:v>
                </c:pt>
                <c:pt idx="72">
                  <c:v>29.551624566373643</c:v>
                </c:pt>
                <c:pt idx="73">
                  <c:v>20.297800809091964</c:v>
                </c:pt>
                <c:pt idx="74">
                  <c:v>32.182600234745557</c:v>
                </c:pt>
                <c:pt idx="75">
                  <c:v>26.308361762464799</c:v>
                </c:pt>
                <c:pt idx="76">
                  <c:v>20.927279691599349</c:v>
                </c:pt>
                <c:pt idx="77">
                  <c:v>10.775680092639568</c:v>
                </c:pt>
                <c:pt idx="78">
                  <c:v>42.033709633652428</c:v>
                </c:pt>
                <c:pt idx="79">
                  <c:v>38.321091198824099</c:v>
                </c:pt>
                <c:pt idx="80">
                  <c:v>41.785240268285172</c:v>
                </c:pt>
                <c:pt idx="81">
                  <c:v>49.043918463336865</c:v>
                </c:pt>
                <c:pt idx="82">
                  <c:v>48.279322574126304</c:v>
                </c:pt>
                <c:pt idx="83">
                  <c:v>38.364593161682464</c:v>
                </c:pt>
                <c:pt idx="84">
                  <c:v>39.407361926788226</c:v>
                </c:pt>
                <c:pt idx="85">
                  <c:v>45.592952999401035</c:v>
                </c:pt>
                <c:pt idx="86">
                  <c:v>49.482894626918331</c:v>
                </c:pt>
                <c:pt idx="87">
                  <c:v>51.787106415664866</c:v>
                </c:pt>
                <c:pt idx="88">
                  <c:v>48.140990594642467</c:v>
                </c:pt>
                <c:pt idx="89">
                  <c:v>46.771911898558628</c:v>
                </c:pt>
                <c:pt idx="90">
                  <c:v>47.56351472577898</c:v>
                </c:pt>
                <c:pt idx="91">
                  <c:v>43.51711445287431</c:v>
                </c:pt>
                <c:pt idx="92">
                  <c:v>53.130196848122523</c:v>
                </c:pt>
                <c:pt idx="93">
                  <c:v>52.388924514700129</c:v>
                </c:pt>
                <c:pt idx="94">
                  <c:v>51.247098269080034</c:v>
                </c:pt>
                <c:pt idx="95">
                  <c:v>38.600292094124519</c:v>
                </c:pt>
                <c:pt idx="96">
                  <c:v>55.325751817582876</c:v>
                </c:pt>
                <c:pt idx="97">
                  <c:v>53.843386079314278</c:v>
                </c:pt>
                <c:pt idx="98">
                  <c:v>32.349954905545452</c:v>
                </c:pt>
                <c:pt idx="99">
                  <c:v>35.835697410580437</c:v>
                </c:pt>
                <c:pt idx="100">
                  <c:v>9.2447300752032611</c:v>
                </c:pt>
                <c:pt idx="101">
                  <c:v>48.155600871716516</c:v>
                </c:pt>
                <c:pt idx="102">
                  <c:v>50.044275010926199</c:v>
                </c:pt>
                <c:pt idx="103">
                  <c:v>57.09243105824325</c:v>
                </c:pt>
                <c:pt idx="104">
                  <c:v>57.996745654334866</c:v>
                </c:pt>
                <c:pt idx="105">
                  <c:v>47.985168899839536</c:v>
                </c:pt>
                <c:pt idx="106">
                  <c:v>52.052367067329726</c:v>
                </c:pt>
                <c:pt idx="107">
                  <c:v>40.213549422725471</c:v>
                </c:pt>
                <c:pt idx="108">
                  <c:v>58.078197981437626</c:v>
                </c:pt>
                <c:pt idx="109">
                  <c:v>39.136622395721673</c:v>
                </c:pt>
                <c:pt idx="110">
                  <c:v>54.888327904191918</c:v>
                </c:pt>
                <c:pt idx="111">
                  <c:v>59.567608044722562</c:v>
                </c:pt>
                <c:pt idx="112">
                  <c:v>59.226386677752629</c:v>
                </c:pt>
                <c:pt idx="113">
                  <c:v>54.494579426141378</c:v>
                </c:pt>
                <c:pt idx="114">
                  <c:v>28.989202404467626</c:v>
                </c:pt>
                <c:pt idx="115">
                  <c:v>7.9344795046910841</c:v>
                </c:pt>
                <c:pt idx="116">
                  <c:v>21.685835720776762</c:v>
                </c:pt>
                <c:pt idx="117">
                  <c:v>17.994160892300954</c:v>
                </c:pt>
                <c:pt idx="118">
                  <c:v>27.403569376686381</c:v>
                </c:pt>
                <c:pt idx="119">
                  <c:v>16.20158699150123</c:v>
                </c:pt>
                <c:pt idx="120">
                  <c:v>20.384382854864779</c:v>
                </c:pt>
                <c:pt idx="121">
                  <c:v>48.436895497277384</c:v>
                </c:pt>
                <c:pt idx="122">
                  <c:v>59.778288949958807</c:v>
                </c:pt>
                <c:pt idx="123">
                  <c:v>52.307638759858655</c:v>
                </c:pt>
                <c:pt idx="124">
                  <c:v>35.741024906196465</c:v>
                </c:pt>
                <c:pt idx="125">
                  <c:v>34.826665786957271</c:v>
                </c:pt>
                <c:pt idx="126">
                  <c:v>31.382335973034188</c:v>
                </c:pt>
                <c:pt idx="127">
                  <c:v>57.498688083785559</c:v>
                </c:pt>
                <c:pt idx="128">
                  <c:v>22.911063957009276</c:v>
                </c:pt>
                <c:pt idx="129">
                  <c:v>42.999928384372588</c:v>
                </c:pt>
                <c:pt idx="130">
                  <c:v>40.082192537102976</c:v>
                </c:pt>
                <c:pt idx="131">
                  <c:v>42.522837211801694</c:v>
                </c:pt>
                <c:pt idx="132">
                  <c:v>45.605083850736719</c:v>
                </c:pt>
                <c:pt idx="133">
                  <c:v>48.894337844114496</c:v>
                </c:pt>
                <c:pt idx="134">
                  <c:v>22.484944629984088</c:v>
                </c:pt>
                <c:pt idx="135">
                  <c:v>14.111857273379419</c:v>
                </c:pt>
                <c:pt idx="136">
                  <c:v>59.772823260261717</c:v>
                </c:pt>
                <c:pt idx="137">
                  <c:v>37.067990814614589</c:v>
                </c:pt>
                <c:pt idx="138">
                  <c:v>46.294745789742059</c:v>
                </c:pt>
                <c:pt idx="139">
                  <c:v>62.595493059251645</c:v>
                </c:pt>
                <c:pt idx="140">
                  <c:v>39.60478594196524</c:v>
                </c:pt>
                <c:pt idx="141">
                  <c:v>29.146550462067857</c:v>
                </c:pt>
                <c:pt idx="142">
                  <c:v>40.15779621089046</c:v>
                </c:pt>
                <c:pt idx="143">
                  <c:v>29.473911948934084</c:v>
                </c:pt>
                <c:pt idx="144">
                  <c:v>50.147695563898488</c:v>
                </c:pt>
                <c:pt idx="145">
                  <c:v>55.285765080061715</c:v>
                </c:pt>
                <c:pt idx="146">
                  <c:v>61.159512237298877</c:v>
                </c:pt>
                <c:pt idx="147">
                  <c:v>51.671955291475484</c:v>
                </c:pt>
                <c:pt idx="148">
                  <c:v>40.14723820237834</c:v>
                </c:pt>
                <c:pt idx="149">
                  <c:v>55.133634785137517</c:v>
                </c:pt>
                <c:pt idx="150">
                  <c:v>60.703628392095069</c:v>
                </c:pt>
                <c:pt idx="151">
                  <c:v>37.086312622875774</c:v>
                </c:pt>
                <c:pt idx="152">
                  <c:v>53.980825085637768</c:v>
                </c:pt>
                <c:pt idx="153">
                  <c:v>56.620503338379876</c:v>
                </c:pt>
                <c:pt idx="154">
                  <c:v>8.4573021447484109</c:v>
                </c:pt>
                <c:pt idx="155">
                  <c:v>47.290496424932876</c:v>
                </c:pt>
                <c:pt idx="156">
                  <c:v>46.512401618556751</c:v>
                </c:pt>
                <c:pt idx="157">
                  <c:v>52.756129092485281</c:v>
                </c:pt>
                <c:pt idx="158">
                  <c:v>62.756241359069833</c:v>
                </c:pt>
                <c:pt idx="159">
                  <c:v>60.786891370501721</c:v>
                </c:pt>
                <c:pt idx="160">
                  <c:v>60.505156009708934</c:v>
                </c:pt>
                <c:pt idx="161">
                  <c:v>49.605981809306158</c:v>
                </c:pt>
                <c:pt idx="162">
                  <c:v>52.715882040137473</c:v>
                </c:pt>
                <c:pt idx="163">
                  <c:v>60.373988590070987</c:v>
                </c:pt>
                <c:pt idx="164">
                  <c:v>55.28412997128946</c:v>
                </c:pt>
                <c:pt idx="165">
                  <c:v>54.424714463330815</c:v>
                </c:pt>
                <c:pt idx="166">
                  <c:v>48.566897201533152</c:v>
                </c:pt>
                <c:pt idx="167">
                  <c:v>17.059841274521794</c:v>
                </c:pt>
                <c:pt idx="168">
                  <c:v>45.717383997531094</c:v>
                </c:pt>
                <c:pt idx="169">
                  <c:v>35.666439844832851</c:v>
                </c:pt>
                <c:pt idx="170">
                  <c:v>38.176701628274323</c:v>
                </c:pt>
                <c:pt idx="171">
                  <c:v>38.603735434897615</c:v>
                </c:pt>
                <c:pt idx="172">
                  <c:v>40.141147966726855</c:v>
                </c:pt>
                <c:pt idx="173">
                  <c:v>23.233957530028597</c:v>
                </c:pt>
                <c:pt idx="174">
                  <c:v>43.109054939597243</c:v>
                </c:pt>
                <c:pt idx="175">
                  <c:v>57.036415308446337</c:v>
                </c:pt>
                <c:pt idx="176">
                  <c:v>60.912557940110702</c:v>
                </c:pt>
                <c:pt idx="177">
                  <c:v>9.6535415504996376</c:v>
                </c:pt>
                <c:pt idx="178">
                  <c:v>34.423935884881935</c:v>
                </c:pt>
                <c:pt idx="179">
                  <c:v>45.418696970326593</c:v>
                </c:pt>
                <c:pt idx="180">
                  <c:v>55.355547487894782</c:v>
                </c:pt>
                <c:pt idx="181">
                  <c:v>56.248728938944268</c:v>
                </c:pt>
                <c:pt idx="182">
                  <c:v>56.08774187350329</c:v>
                </c:pt>
                <c:pt idx="183">
                  <c:v>37.776455261493624</c:v>
                </c:pt>
                <c:pt idx="184">
                  <c:v>39.968250133305837</c:v>
                </c:pt>
                <c:pt idx="185">
                  <c:v>61.365686297959137</c:v>
                </c:pt>
                <c:pt idx="186">
                  <c:v>22.440053825703554</c:v>
                </c:pt>
                <c:pt idx="187">
                  <c:v>47.238927045486058</c:v>
                </c:pt>
                <c:pt idx="188">
                  <c:v>52.328684037315618</c:v>
                </c:pt>
                <c:pt idx="189">
                  <c:v>61.741466146421928</c:v>
                </c:pt>
                <c:pt idx="190">
                  <c:v>54.074196714488686</c:v>
                </c:pt>
                <c:pt idx="191">
                  <c:v>53.044603459291601</c:v>
                </c:pt>
                <c:pt idx="192">
                  <c:v>14.574895210651407</c:v>
                </c:pt>
                <c:pt idx="193">
                  <c:v>26.700583530427657</c:v>
                </c:pt>
                <c:pt idx="194">
                  <c:v>30.056045342497832</c:v>
                </c:pt>
                <c:pt idx="195">
                  <c:v>41.638405290004755</c:v>
                </c:pt>
                <c:pt idx="196">
                  <c:v>43.130158098627639</c:v>
                </c:pt>
                <c:pt idx="197">
                  <c:v>61.577914063437071</c:v>
                </c:pt>
                <c:pt idx="198">
                  <c:v>55.14770239344648</c:v>
                </c:pt>
                <c:pt idx="199">
                  <c:v>59.674513107650093</c:v>
                </c:pt>
                <c:pt idx="200">
                  <c:v>46.624026639996934</c:v>
                </c:pt>
                <c:pt idx="201">
                  <c:v>48.848335023237837</c:v>
                </c:pt>
                <c:pt idx="202">
                  <c:v>54.665016697682169</c:v>
                </c:pt>
                <c:pt idx="203">
                  <c:v>45.409053577622018</c:v>
                </c:pt>
                <c:pt idx="204">
                  <c:v>30.210367249975093</c:v>
                </c:pt>
                <c:pt idx="205">
                  <c:v>36.220272815567043</c:v>
                </c:pt>
                <c:pt idx="206">
                  <c:v>38.218453445122584</c:v>
                </c:pt>
                <c:pt idx="207">
                  <c:v>46.673973078258371</c:v>
                </c:pt>
                <c:pt idx="208">
                  <c:v>26.853593804523456</c:v>
                </c:pt>
                <c:pt idx="209">
                  <c:v>56.14489688939927</c:v>
                </c:pt>
                <c:pt idx="210">
                  <c:v>19.586649178138472</c:v>
                </c:pt>
                <c:pt idx="211">
                  <c:v>13.806776047900842</c:v>
                </c:pt>
                <c:pt idx="212">
                  <c:v>49.430796305822689</c:v>
                </c:pt>
                <c:pt idx="213">
                  <c:v>53.583523161835743</c:v>
                </c:pt>
                <c:pt idx="214">
                  <c:v>37.844417682978133</c:v>
                </c:pt>
                <c:pt idx="215">
                  <c:v>40.313926685512627</c:v>
                </c:pt>
                <c:pt idx="216">
                  <c:v>53.501372008075776</c:v>
                </c:pt>
                <c:pt idx="217">
                  <c:v>22.200357100792253</c:v>
                </c:pt>
                <c:pt idx="218">
                  <c:v>26.176557709573352</c:v>
                </c:pt>
                <c:pt idx="219">
                  <c:v>42.509978171738041</c:v>
                </c:pt>
                <c:pt idx="220">
                  <c:v>54.439900122936557</c:v>
                </c:pt>
                <c:pt idx="221">
                  <c:v>51.140572071405487</c:v>
                </c:pt>
                <c:pt idx="222">
                  <c:v>45.645409755710403</c:v>
                </c:pt>
                <c:pt idx="223">
                  <c:v>48.159827161050018</c:v>
                </c:pt>
                <c:pt idx="224">
                  <c:v>35.481462570790825</c:v>
                </c:pt>
                <c:pt idx="225">
                  <c:v>49.050985583469917</c:v>
                </c:pt>
                <c:pt idx="226">
                  <c:v>23.065142091895837</c:v>
                </c:pt>
                <c:pt idx="227">
                  <c:v>33.880302049174155</c:v>
                </c:pt>
                <c:pt idx="228">
                  <c:v>42.881601649992632</c:v>
                </c:pt>
                <c:pt idx="229">
                  <c:v>54.641783425949193</c:v>
                </c:pt>
                <c:pt idx="230">
                  <c:v>45.73623530144777</c:v>
                </c:pt>
                <c:pt idx="231">
                  <c:v>51.486864961056781</c:v>
                </c:pt>
                <c:pt idx="232">
                  <c:v>48.282692312628569</c:v>
                </c:pt>
                <c:pt idx="233">
                  <c:v>22.07751071137865</c:v>
                </c:pt>
                <c:pt idx="234">
                  <c:v>51.677001907831759</c:v>
                </c:pt>
                <c:pt idx="235">
                  <c:v>45.318954974041638</c:v>
                </c:pt>
                <c:pt idx="236">
                  <c:v>47.586088434200292</c:v>
                </c:pt>
                <c:pt idx="237">
                  <c:v>50.767899148156239</c:v>
                </c:pt>
                <c:pt idx="238">
                  <c:v>45.457991940150755</c:v>
                </c:pt>
                <c:pt idx="239">
                  <c:v>52.208096554658312</c:v>
                </c:pt>
                <c:pt idx="240">
                  <c:v>51.532555468070449</c:v>
                </c:pt>
                <c:pt idx="241">
                  <c:v>50.059646058487751</c:v>
                </c:pt>
                <c:pt idx="242">
                  <c:v>49.645877215409939</c:v>
                </c:pt>
                <c:pt idx="243">
                  <c:v>33.473406445128433</c:v>
                </c:pt>
                <c:pt idx="244">
                  <c:v>20.443415177272097</c:v>
                </c:pt>
                <c:pt idx="245">
                  <c:v>33.843029411273108</c:v>
                </c:pt>
                <c:pt idx="246">
                  <c:v>43.287596665835977</c:v>
                </c:pt>
                <c:pt idx="247">
                  <c:v>43.491230799621448</c:v>
                </c:pt>
                <c:pt idx="248">
                  <c:v>46.635396195724937</c:v>
                </c:pt>
                <c:pt idx="249">
                  <c:v>36.031274242322937</c:v>
                </c:pt>
                <c:pt idx="250">
                  <c:v>32.350197971197623</c:v>
                </c:pt>
                <c:pt idx="251">
                  <c:v>18.625536057805906</c:v>
                </c:pt>
                <c:pt idx="252">
                  <c:v>39.933460511873712</c:v>
                </c:pt>
                <c:pt idx="253">
                  <c:v>41.890458454482101</c:v>
                </c:pt>
                <c:pt idx="254">
                  <c:v>44.34779591049822</c:v>
                </c:pt>
                <c:pt idx="255">
                  <c:v>30.840469285593478</c:v>
                </c:pt>
                <c:pt idx="256">
                  <c:v>19.383110968691152</c:v>
                </c:pt>
                <c:pt idx="257">
                  <c:v>29.460632649451604</c:v>
                </c:pt>
                <c:pt idx="258">
                  <c:v>21.310266425415271</c:v>
                </c:pt>
                <c:pt idx="259">
                  <c:v>43.104148133097077</c:v>
                </c:pt>
                <c:pt idx="260">
                  <c:v>10.379108746100604</c:v>
                </c:pt>
                <c:pt idx="261">
                  <c:v>35.525356622610445</c:v>
                </c:pt>
                <c:pt idx="262">
                  <c:v>29.865526593861368</c:v>
                </c:pt>
                <c:pt idx="263">
                  <c:v>12.255498938751836</c:v>
                </c:pt>
                <c:pt idx="264">
                  <c:v>40.931932372174046</c:v>
                </c:pt>
                <c:pt idx="265">
                  <c:v>34.220401854089431</c:v>
                </c:pt>
                <c:pt idx="266">
                  <c:v>36.19529357264706</c:v>
                </c:pt>
                <c:pt idx="267">
                  <c:v>32.794940380354227</c:v>
                </c:pt>
                <c:pt idx="268">
                  <c:v>36.254189031669213</c:v>
                </c:pt>
                <c:pt idx="269">
                  <c:v>22.683800475592825</c:v>
                </c:pt>
                <c:pt idx="270">
                  <c:v>24.827548953906661</c:v>
                </c:pt>
                <c:pt idx="271">
                  <c:v>31.211939838949014</c:v>
                </c:pt>
                <c:pt idx="272">
                  <c:v>19.094181718641867</c:v>
                </c:pt>
                <c:pt idx="273">
                  <c:v>31.132358347734176</c:v>
                </c:pt>
                <c:pt idx="274">
                  <c:v>37.866741146097688</c:v>
                </c:pt>
                <c:pt idx="275">
                  <c:v>7.1271483065454957</c:v>
                </c:pt>
                <c:pt idx="276">
                  <c:v>33.761248483815251</c:v>
                </c:pt>
                <c:pt idx="277">
                  <c:v>14.977532864994954</c:v>
                </c:pt>
                <c:pt idx="278">
                  <c:v>25.239024494100619</c:v>
                </c:pt>
                <c:pt idx="279">
                  <c:v>37.78874890553454</c:v>
                </c:pt>
                <c:pt idx="280">
                  <c:v>34.781493039505428</c:v>
                </c:pt>
                <c:pt idx="281">
                  <c:v>16.649947236992983</c:v>
                </c:pt>
                <c:pt idx="282">
                  <c:v>30.260941693493162</c:v>
                </c:pt>
                <c:pt idx="283">
                  <c:v>36.221280372561871</c:v>
                </c:pt>
                <c:pt idx="284">
                  <c:v>34.453612542643434</c:v>
                </c:pt>
                <c:pt idx="285">
                  <c:v>33.123399390489972</c:v>
                </c:pt>
                <c:pt idx="286">
                  <c:v>35.94304448551074</c:v>
                </c:pt>
                <c:pt idx="287">
                  <c:v>31.387766659751389</c:v>
                </c:pt>
                <c:pt idx="288">
                  <c:v>32.78605431375631</c:v>
                </c:pt>
                <c:pt idx="289">
                  <c:v>30.316240270106746</c:v>
                </c:pt>
                <c:pt idx="290">
                  <c:v>32.67212274747336</c:v>
                </c:pt>
                <c:pt idx="291">
                  <c:v>32.197390274967091</c:v>
                </c:pt>
                <c:pt idx="292">
                  <c:v>25.886613810078575</c:v>
                </c:pt>
                <c:pt idx="293">
                  <c:v>16.022205374768905</c:v>
                </c:pt>
                <c:pt idx="294">
                  <c:v>12.654094032131832</c:v>
                </c:pt>
                <c:pt idx="295">
                  <c:v>32.867779364445255</c:v>
                </c:pt>
                <c:pt idx="296">
                  <c:v>32.024891553571138</c:v>
                </c:pt>
                <c:pt idx="297">
                  <c:v>29.354681300290181</c:v>
                </c:pt>
                <c:pt idx="298">
                  <c:v>25.314999980941199</c:v>
                </c:pt>
                <c:pt idx="299">
                  <c:v>28.51542722480329</c:v>
                </c:pt>
                <c:pt idx="300">
                  <c:v>29.596972349647235</c:v>
                </c:pt>
                <c:pt idx="301">
                  <c:v>16.576848005550485</c:v>
                </c:pt>
                <c:pt idx="302">
                  <c:v>10.88700798745055</c:v>
                </c:pt>
                <c:pt idx="303">
                  <c:v>18.409155317114855</c:v>
                </c:pt>
                <c:pt idx="304">
                  <c:v>17.468567511158227</c:v>
                </c:pt>
                <c:pt idx="305">
                  <c:v>26.165116097049484</c:v>
                </c:pt>
                <c:pt idx="306">
                  <c:v>16.001465771375372</c:v>
                </c:pt>
                <c:pt idx="307">
                  <c:v>16.388927583633766</c:v>
                </c:pt>
                <c:pt idx="308">
                  <c:v>11.427349936067609</c:v>
                </c:pt>
                <c:pt idx="309">
                  <c:v>13.084788142032799</c:v>
                </c:pt>
                <c:pt idx="310">
                  <c:v>8.4598450277022437</c:v>
                </c:pt>
                <c:pt idx="311">
                  <c:v>19.495056583324676</c:v>
                </c:pt>
                <c:pt idx="312">
                  <c:v>17.171024203290639</c:v>
                </c:pt>
                <c:pt idx="313">
                  <c:v>6.8086870064444804</c:v>
                </c:pt>
                <c:pt idx="314">
                  <c:v>11.867585441174766</c:v>
                </c:pt>
                <c:pt idx="315">
                  <c:v>7.5273486146699504</c:v>
                </c:pt>
                <c:pt idx="316">
                  <c:v>5.757689455413221</c:v>
                </c:pt>
                <c:pt idx="317">
                  <c:v>6.5362761793452595</c:v>
                </c:pt>
                <c:pt idx="318">
                  <c:v>5.2344149733404812</c:v>
                </c:pt>
                <c:pt idx="319">
                  <c:v>9.2780851786555836</c:v>
                </c:pt>
                <c:pt idx="320">
                  <c:v>2.9716415043555973</c:v>
                </c:pt>
                <c:pt idx="321">
                  <c:v>16.346548507360659</c:v>
                </c:pt>
                <c:pt idx="322">
                  <c:v>22.404148660513918</c:v>
                </c:pt>
                <c:pt idx="323">
                  <c:v>17.381569904392581</c:v>
                </c:pt>
                <c:pt idx="324">
                  <c:v>8.855519219388853</c:v>
                </c:pt>
                <c:pt idx="325">
                  <c:v>18.177994625308646</c:v>
                </c:pt>
                <c:pt idx="326">
                  <c:v>12.145007444074862</c:v>
                </c:pt>
                <c:pt idx="327">
                  <c:v>1.9036725947225628</c:v>
                </c:pt>
                <c:pt idx="328">
                  <c:v>15.13086640085683</c:v>
                </c:pt>
                <c:pt idx="329">
                  <c:v>7.961807256009461</c:v>
                </c:pt>
                <c:pt idx="330">
                  <c:v>15.065725404499943</c:v>
                </c:pt>
                <c:pt idx="331">
                  <c:v>6.7520528273867191</c:v>
                </c:pt>
                <c:pt idx="332">
                  <c:v>7.6828488970931144</c:v>
                </c:pt>
                <c:pt idx="333">
                  <c:v>19.556605009076051</c:v>
                </c:pt>
                <c:pt idx="334">
                  <c:v>4.4146293523483342</c:v>
                </c:pt>
                <c:pt idx="335">
                  <c:v>9.3592865081560959</c:v>
                </c:pt>
                <c:pt idx="336">
                  <c:v>13.44927584857693</c:v>
                </c:pt>
                <c:pt idx="337">
                  <c:v>6.5906044184871648</c:v>
                </c:pt>
                <c:pt idx="338">
                  <c:v>9.8005263791746255</c:v>
                </c:pt>
                <c:pt idx="339">
                  <c:v>10.808809640659002</c:v>
                </c:pt>
                <c:pt idx="340">
                  <c:v>5.5146274043127725</c:v>
                </c:pt>
                <c:pt idx="341">
                  <c:v>9.7716707562839975</c:v>
                </c:pt>
                <c:pt idx="342">
                  <c:v>7.8558362308209722</c:v>
                </c:pt>
                <c:pt idx="343">
                  <c:v>2.2490039460707494</c:v>
                </c:pt>
                <c:pt idx="344">
                  <c:v>11.087576031885433</c:v>
                </c:pt>
                <c:pt idx="345">
                  <c:v>18.530251867552792</c:v>
                </c:pt>
                <c:pt idx="346">
                  <c:v>19.130983394548689</c:v>
                </c:pt>
                <c:pt idx="347">
                  <c:v>19.357739032195155</c:v>
                </c:pt>
                <c:pt idx="348">
                  <c:v>17.775357999333465</c:v>
                </c:pt>
                <c:pt idx="349">
                  <c:v>18.52551005734108</c:v>
                </c:pt>
                <c:pt idx="350">
                  <c:v>18.608834058846831</c:v>
                </c:pt>
                <c:pt idx="351">
                  <c:v>18.946814090960533</c:v>
                </c:pt>
                <c:pt idx="352">
                  <c:v>18.60656481230383</c:v>
                </c:pt>
                <c:pt idx="353">
                  <c:v>19.171871090766793</c:v>
                </c:pt>
                <c:pt idx="354">
                  <c:v>15.162766332679068</c:v>
                </c:pt>
                <c:pt idx="355">
                  <c:v>18.146352200038717</c:v>
                </c:pt>
                <c:pt idx="356">
                  <c:v>6.5282864076526392</c:v>
                </c:pt>
                <c:pt idx="357">
                  <c:v>11.947294766008682</c:v>
                </c:pt>
                <c:pt idx="358">
                  <c:v>9.5771302641110072</c:v>
                </c:pt>
                <c:pt idx="359">
                  <c:v>10.951233863233503</c:v>
                </c:pt>
                <c:pt idx="360">
                  <c:v>10.031864135809425</c:v>
                </c:pt>
                <c:pt idx="361">
                  <c:v>5.3289662735825001</c:v>
                </c:pt>
                <c:pt idx="362">
                  <c:v>4.3289233181099149</c:v>
                </c:pt>
                <c:pt idx="363">
                  <c:v>15.69280197852588</c:v>
                </c:pt>
                <c:pt idx="364">
                  <c:v>18.889316634056641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20.7</c:v>
                </c:pt>
                <c:pt idx="21">
                  <c:v>23.8</c:v>
                </c:pt>
                <c:pt idx="35">
                  <c:v>28.2</c:v>
                </c:pt>
                <c:pt idx="49">
                  <c:v>33.5</c:v>
                </c:pt>
                <c:pt idx="63">
                  <c:v>39.4</c:v>
                </c:pt>
                <c:pt idx="77">
                  <c:v>45.7</c:v>
                </c:pt>
                <c:pt idx="91">
                  <c:v>52.2</c:v>
                </c:pt>
                <c:pt idx="105">
                  <c:v>57.3</c:v>
                </c:pt>
                <c:pt idx="119">
                  <c:v>60.9</c:v>
                </c:pt>
                <c:pt idx="133">
                  <c:v>63.1</c:v>
                </c:pt>
                <c:pt idx="147">
                  <c:v>64.099999999999994</c:v>
                </c:pt>
                <c:pt idx="161">
                  <c:v>64.2</c:v>
                </c:pt>
                <c:pt idx="175">
                  <c:v>63.7</c:v>
                </c:pt>
                <c:pt idx="189">
                  <c:v>62.7</c:v>
                </c:pt>
                <c:pt idx="203">
                  <c:v>61</c:v>
                </c:pt>
                <c:pt idx="217">
                  <c:v>58.5</c:v>
                </c:pt>
                <c:pt idx="231">
                  <c:v>55.3</c:v>
                </c:pt>
                <c:pt idx="245">
                  <c:v>51.2</c:v>
                </c:pt>
                <c:pt idx="259">
                  <c:v>46</c:v>
                </c:pt>
                <c:pt idx="273">
                  <c:v>40.1</c:v>
                </c:pt>
                <c:pt idx="287">
                  <c:v>34.5</c:v>
                </c:pt>
                <c:pt idx="301">
                  <c:v>29.4</c:v>
                </c:pt>
                <c:pt idx="315">
                  <c:v>24.8</c:v>
                </c:pt>
                <c:pt idx="329">
                  <c:v>21.2</c:v>
                </c:pt>
                <c:pt idx="343">
                  <c:v>19.2</c:v>
                </c:pt>
                <c:pt idx="357">
                  <c:v>19.3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431040"/>
        <c:axId val="611431432"/>
      </c:lineChart>
      <c:dateAx>
        <c:axId val="611431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1432"/>
        <c:crosses val="autoZero"/>
        <c:auto val="1"/>
        <c:lblOffset val="100"/>
        <c:baseTimeUnit val="days"/>
        <c:majorUnit val="1"/>
        <c:majorTimeUnit val="months"/>
      </c:dateAx>
      <c:valAx>
        <c:axId val="6114314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10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3.7177668672508712E-2</c:v>
                </c:pt>
                <c:pt idx="1">
                  <c:v>3.7872021013054979E-2</c:v>
                </c:pt>
                <c:pt idx="2">
                  <c:v>3.8498747557724422E-2</c:v>
                </c:pt>
                <c:pt idx="3">
                  <c:v>3.9192147184373027E-2</c:v>
                </c:pt>
                <c:pt idx="4">
                  <c:v>3.9862702958934459E-2</c:v>
                </c:pt>
                <c:pt idx="5">
                  <c:v>4.0555118950706293E-2</c:v>
                </c:pt>
                <c:pt idx="6">
                  <c:v>4.122472349596018E-2</c:v>
                </c:pt>
                <c:pt idx="7">
                  <c:v>4.1916157248208741E-2</c:v>
                </c:pt>
                <c:pt idx="8">
                  <c:v>4.2607092363659338E-2</c:v>
                </c:pt>
                <c:pt idx="9">
                  <c:v>4.3275264819638282E-2</c:v>
                </c:pt>
                <c:pt idx="10">
                  <c:v>4.39652197962902E-2</c:v>
                </c:pt>
                <c:pt idx="11">
                  <c:v>4.463244440386227E-2</c:v>
                </c:pt>
                <c:pt idx="12">
                  <c:v>4.5321420632109422E-2</c:v>
                </c:pt>
                <c:pt idx="13">
                  <c:v>4.6009899995835268E-2</c:v>
                </c:pt>
                <c:pt idx="14">
                  <c:v>4.6631325556761194E-2</c:v>
                </c:pt>
                <c:pt idx="15">
                  <c:v>4.7318860264842222E-2</c:v>
                </c:pt>
                <c:pt idx="16">
                  <c:v>4.7983744338898293E-2</c:v>
                </c:pt>
                <c:pt idx="17">
                  <c:v>4.8670303731891407E-2</c:v>
                </c:pt>
                <c:pt idx="18">
                  <c:v>4.933424462233571E-2</c:v>
                </c:pt>
                <c:pt idx="19">
                  <c:v>5.0019830083792072E-2</c:v>
                </c:pt>
                <c:pt idx="20">
                  <c:v>5.0704921126024427E-2</c:v>
                </c:pt>
                <c:pt idx="21">
                  <c:v>5.1367442040103461E-2</c:v>
                </c:pt>
                <c:pt idx="22">
                  <c:v>5.2051561233755317E-2</c:v>
                </c:pt>
                <c:pt idx="23">
                  <c:v>5.2713142316526906E-2</c:v>
                </c:pt>
                <c:pt idx="24">
                  <c:v>5.3418319891438526E-2</c:v>
                </c:pt>
                <c:pt idx="25">
                  <c:v>5.4100960066802317E-2</c:v>
                </c:pt>
                <c:pt idx="26">
                  <c:v>5.4717115141647676E-2</c:v>
                </c:pt>
                <c:pt idx="27">
                  <c:v>5.5398818673258465E-2</c:v>
                </c:pt>
                <c:pt idx="28">
                  <c:v>5.6058063677282943E-2</c:v>
                </c:pt>
                <c:pt idx="29">
                  <c:v>5.6738800165729075E-2</c:v>
                </c:pt>
                <c:pt idx="30">
                  <c:v>5.7397109985548922E-2</c:v>
                </c:pt>
                <c:pt idx="31">
                  <c:v>5.807688080264739E-2</c:v>
                </c:pt>
                <c:pt idx="32">
                  <c:v>5.8756161393831441E-2</c:v>
                </c:pt>
                <c:pt idx="33">
                  <c:v>5.9413063280507439E-2</c:v>
                </c:pt>
                <c:pt idx="34">
                  <c:v>6.0091380265633765E-2</c:v>
                </c:pt>
                <c:pt idx="35">
                  <c:v>6.0747350291977642E-2</c:v>
                </c:pt>
                <c:pt idx="36">
                  <c:v>6.1424705037987581E-2</c:v>
                </c:pt>
                <c:pt idx="37">
                  <c:v>6.2101571300465341E-2</c:v>
                </c:pt>
                <c:pt idx="38">
                  <c:v>6.2712514807262365E-2</c:v>
                </c:pt>
                <c:pt idx="39">
                  <c:v>6.3388452348315139E-2</c:v>
                </c:pt>
                <c:pt idx="40">
                  <c:v>6.4042121320688983E-2</c:v>
                </c:pt>
                <c:pt idx="41">
                  <c:v>6.4717099998029881E-2</c:v>
                </c:pt>
                <c:pt idx="42">
                  <c:v>6.5369841696182096E-2</c:v>
                </c:pt>
                <c:pt idx="43">
                  <c:v>6.6043862870024839E-2</c:v>
                </c:pt>
                <c:pt idx="44">
                  <c:v>6.6717397964386027E-2</c:v>
                </c:pt>
                <c:pt idx="45">
                  <c:v>6.7368743637986284E-2</c:v>
                </c:pt>
                <c:pt idx="46">
                  <c:v>6.8041323276670673E-2</c:v>
                </c:pt>
                <c:pt idx="47">
                  <c:v>6.8691744971807855E-2</c:v>
                </c:pt>
                <c:pt idx="48">
                  <c:v>6.9363370510194811E-2</c:v>
                </c:pt>
                <c:pt idx="49">
                  <c:v>7.0034511696745128E-2</c:v>
                </c:pt>
                <c:pt idx="50">
                  <c:v>7.0640287716022598E-2</c:v>
                </c:pt>
                <c:pt idx="51">
                  <c:v>7.1310508036467435E-2</c:v>
                </c:pt>
                <c:pt idx="52">
                  <c:v>7.1958648140428627E-2</c:v>
                </c:pt>
                <c:pt idx="53">
                  <c:v>7.26279177074306E-2</c:v>
                </c:pt>
                <c:pt idx="54">
                  <c:v>7.3275138380248794E-2</c:v>
                </c:pt>
                <c:pt idx="55">
                  <c:v>7.3943458542516716E-2</c:v>
                </c:pt>
                <c:pt idx="56">
                  <c:v>7.4611296736664778E-2</c:v>
                </c:pt>
                <c:pt idx="57">
                  <c:v>7.5257133192797698E-2</c:v>
                </c:pt>
                <c:pt idx="58">
                  <c:v>7.5924024012712255E-2</c:v>
                </c:pt>
                <c:pt idx="59">
                  <c:v>7.6568944305584363E-2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0.10334988669557546</c:v>
                </c:pt>
                <c:pt idx="1">
                  <c:v>0.10591165277644486</c:v>
                </c:pt>
                <c:pt idx="2">
                  <c:v>0.10820073961840625</c:v>
                </c:pt>
                <c:pt idx="3">
                  <c:v>0.11108156973783197</c:v>
                </c:pt>
                <c:pt idx="4">
                  <c:v>2.1056717275462364E-2</c:v>
                </c:pt>
                <c:pt idx="5">
                  <c:v>2.7026374735282254E-2</c:v>
                </c:pt>
                <c:pt idx="6">
                  <c:v>3.2478803154241856E-2</c:v>
                </c:pt>
                <c:pt idx="7">
                  <c:v>3.7703676411704856E-2</c:v>
                </c:pt>
                <c:pt idx="8">
                  <c:v>4.2612948051627075E-2</c:v>
                </c:pt>
                <c:pt idx="9">
                  <c:v>4.6804920351807541E-2</c:v>
                </c:pt>
                <c:pt idx="10">
                  <c:v>5.0408867439705282E-2</c:v>
                </c:pt>
                <c:pt idx="11">
                  <c:v>5.4061500286287298E-2</c:v>
                </c:pt>
                <c:pt idx="12">
                  <c:v>5.8174624352465454E-2</c:v>
                </c:pt>
                <c:pt idx="13">
                  <c:v>6.2245112972828934E-2</c:v>
                </c:pt>
                <c:pt idx="14">
                  <c:v>6.5834444005272927E-2</c:v>
                </c:pt>
                <c:pt idx="15">
                  <c:v>6.9953094164399862E-2</c:v>
                </c:pt>
                <c:pt idx="16">
                  <c:v>7.4651589247568775E-2</c:v>
                </c:pt>
                <c:pt idx="17">
                  <c:v>7.9886484611808681E-2</c:v>
                </c:pt>
                <c:pt idx="18">
                  <c:v>8.4052907094049709E-2</c:v>
                </c:pt>
                <c:pt idx="19">
                  <c:v>8.7554528150320554E-2</c:v>
                </c:pt>
                <c:pt idx="20">
                  <c:v>9.0639271475988048E-2</c:v>
                </c:pt>
                <c:pt idx="21">
                  <c:v>9.276782561781402E-2</c:v>
                </c:pt>
                <c:pt idx="22">
                  <c:v>9.3927575946799138E-2</c:v>
                </c:pt>
                <c:pt idx="23">
                  <c:v>9.5697817399712656E-2</c:v>
                </c:pt>
                <c:pt idx="24">
                  <c:v>9.8436939101550158E-2</c:v>
                </c:pt>
                <c:pt idx="25">
                  <c:v>0.10116278336118389</c:v>
                </c:pt>
                <c:pt idx="26">
                  <c:v>0.10359327572545879</c:v>
                </c:pt>
                <c:pt idx="27">
                  <c:v>0.10660872255036589</c:v>
                </c:pt>
                <c:pt idx="28">
                  <c:v>2.1056717275462364E-2</c:v>
                </c:pt>
                <c:pt idx="29">
                  <c:v>2.7026374735282254E-2</c:v>
                </c:pt>
                <c:pt idx="30">
                  <c:v>3.2478803154241856E-2</c:v>
                </c:pt>
                <c:pt idx="31">
                  <c:v>3.7703676411704856E-2</c:v>
                </c:pt>
                <c:pt idx="32">
                  <c:v>4.2612948051627075E-2</c:v>
                </c:pt>
                <c:pt idx="33">
                  <c:v>4.6804920351807541E-2</c:v>
                </c:pt>
                <c:pt idx="34">
                  <c:v>5.0408867439705282E-2</c:v>
                </c:pt>
                <c:pt idx="35">
                  <c:v>5.4061500286287298E-2</c:v>
                </c:pt>
                <c:pt idx="36">
                  <c:v>5.8174624352465454E-2</c:v>
                </c:pt>
                <c:pt idx="37">
                  <c:v>6.2245112972828934E-2</c:v>
                </c:pt>
                <c:pt idx="38">
                  <c:v>6.5834444005272927E-2</c:v>
                </c:pt>
                <c:pt idx="39">
                  <c:v>6.9953094164399862E-2</c:v>
                </c:pt>
                <c:pt idx="40">
                  <c:v>7.4651589247568775E-2</c:v>
                </c:pt>
                <c:pt idx="41">
                  <c:v>7.9886484611808681E-2</c:v>
                </c:pt>
                <c:pt idx="42">
                  <c:v>8.4052907094049709E-2</c:v>
                </c:pt>
                <c:pt idx="43">
                  <c:v>8.7554528150320554E-2</c:v>
                </c:pt>
                <c:pt idx="44">
                  <c:v>9.0639271475988048E-2</c:v>
                </c:pt>
                <c:pt idx="45">
                  <c:v>9.276782561781402E-2</c:v>
                </c:pt>
                <c:pt idx="46">
                  <c:v>9.3927575946799138E-2</c:v>
                </c:pt>
                <c:pt idx="47">
                  <c:v>9.5697817399712656E-2</c:v>
                </c:pt>
                <c:pt idx="48">
                  <c:v>9.8347474446948704E-2</c:v>
                </c:pt>
                <c:pt idx="49">
                  <c:v>0.10107630656617383</c:v>
                </c:pt>
                <c:pt idx="50">
                  <c:v>0.10350937392152494</c:v>
                </c:pt>
                <c:pt idx="51">
                  <c:v>0.10652727211332107</c:v>
                </c:pt>
                <c:pt idx="52">
                  <c:v>2.1056717275462364E-2</c:v>
                </c:pt>
                <c:pt idx="53">
                  <c:v>2.7026374735282254E-2</c:v>
                </c:pt>
                <c:pt idx="54">
                  <c:v>3.2478803154241856E-2</c:v>
                </c:pt>
                <c:pt idx="55">
                  <c:v>3.7703676411704856E-2</c:v>
                </c:pt>
                <c:pt idx="56">
                  <c:v>4.2612948051627075E-2</c:v>
                </c:pt>
                <c:pt idx="57">
                  <c:v>4.6804920351807541E-2</c:v>
                </c:pt>
                <c:pt idx="58">
                  <c:v>5.0408867439705282E-2</c:v>
                </c:pt>
                <c:pt idx="59">
                  <c:v>5.4061500286287298E-2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1.2996979711001064E-3</c:v>
                </c:pt>
                <c:pt idx="1">
                  <c:v>2.8163137308584965E-3</c:v>
                </c:pt>
                <c:pt idx="2">
                  <c:v>1.4396613143961721E-3</c:v>
                </c:pt>
                <c:pt idx="3">
                  <c:v>5.3489142202633414E-4</c:v>
                </c:pt>
                <c:pt idx="4">
                  <c:v>1.5596962417404507E-4</c:v>
                </c:pt>
                <c:pt idx="5">
                  <c:v>1.7781279090477455E-4</c:v>
                </c:pt>
                <c:pt idx="6">
                  <c:v>1.8739829300437206E-4</c:v>
                </c:pt>
                <c:pt idx="7">
                  <c:v>4.1673727152425624E-4</c:v>
                </c:pt>
                <c:pt idx="8">
                  <c:v>2.2238155738518541E-3</c:v>
                </c:pt>
                <c:pt idx="9">
                  <c:v>3.1696049687198668E-3</c:v>
                </c:pt>
                <c:pt idx="10">
                  <c:v>2.4556872881674775E-3</c:v>
                </c:pt>
                <c:pt idx="11">
                  <c:v>1.5803121662648714E-3</c:v>
                </c:pt>
                <c:pt idx="12">
                  <c:v>1.6897132845472068E-3</c:v>
                </c:pt>
                <c:pt idx="13">
                  <c:v>3.515808363347831E-3</c:v>
                </c:pt>
                <c:pt idx="14">
                  <c:v>1.8266750630672932E-3</c:v>
                </c:pt>
                <c:pt idx="15">
                  <c:v>7.0656278076734139E-4</c:v>
                </c:pt>
                <c:pt idx="16">
                  <c:v>2.0009594938814724E-4</c:v>
                </c:pt>
                <c:pt idx="17">
                  <c:v>2.1827777293905058E-4</c:v>
                </c:pt>
                <c:pt idx="18">
                  <c:v>2.3656841996316073E-4</c:v>
                </c:pt>
                <c:pt idx="19">
                  <c:v>5.5315069312767903E-4</c:v>
                </c:pt>
                <c:pt idx="20">
                  <c:v>2.7807762846912506E-3</c:v>
                </c:pt>
                <c:pt idx="21">
                  <c:v>3.9637757477216035E-3</c:v>
                </c:pt>
                <c:pt idx="22">
                  <c:v>3.0158098339217129E-3</c:v>
                </c:pt>
                <c:pt idx="23">
                  <c:v>2.1301640759658668E-3</c:v>
                </c:pt>
                <c:pt idx="24">
                  <c:v>2.1720904908852576E-3</c:v>
                </c:pt>
                <c:pt idx="25">
                  <c:v>4.2416285062020333E-3</c:v>
                </c:pt>
                <c:pt idx="26">
                  <c:v>2.2570066579639227E-3</c:v>
                </c:pt>
                <c:pt idx="27">
                  <c:v>2.3387528903456127E-6</c:v>
                </c:pt>
                <c:pt idx="28">
                  <c:v>3.563594714433003E-6</c:v>
                </c:pt>
                <c:pt idx="29">
                  <c:v>1.2479731891007618E-5</c:v>
                </c:pt>
                <c:pt idx="30">
                  <c:v>1.712170248802706E-5</c:v>
                </c:pt>
                <c:pt idx="31">
                  <c:v>2.8463673035811709E-5</c:v>
                </c:pt>
                <c:pt idx="32">
                  <c:v>2.0421227929098804E-4</c:v>
                </c:pt>
                <c:pt idx="33">
                  <c:v>3.7930186154278706E-4</c:v>
                </c:pt>
                <c:pt idx="34">
                  <c:v>3.0664603074426682E-4</c:v>
                </c:pt>
                <c:pt idx="35">
                  <c:v>1.3166950775458241E-4</c:v>
                </c:pt>
                <c:pt idx="36">
                  <c:v>1.6734840107361729E-4</c:v>
                </c:pt>
                <c:pt idx="37">
                  <c:v>4.5431908743612432E-4</c:v>
                </c:pt>
                <c:pt idx="38">
                  <c:v>2.0628211762461267E-4</c:v>
                </c:pt>
                <c:pt idx="39">
                  <c:v>6.1104593472888091E-5</c:v>
                </c:pt>
                <c:pt idx="40">
                  <c:v>2.0967199306002255E-5</c:v>
                </c:pt>
                <c:pt idx="41">
                  <c:v>3.7400748857756168E-5</c:v>
                </c:pt>
                <c:pt idx="42">
                  <c:v>4.166352058408359E-5</c:v>
                </c:pt>
                <c:pt idx="43">
                  <c:v>7.2858434344513087E-5</c:v>
                </c:pt>
                <c:pt idx="44">
                  <c:v>4.8381593193123684E-4</c:v>
                </c:pt>
                <c:pt idx="45">
                  <c:v>8.2631980326686335E-4</c:v>
                </c:pt>
                <c:pt idx="46">
                  <c:v>6.641722193713892E-4</c:v>
                </c:pt>
                <c:pt idx="47">
                  <c:v>3.1262440995493145E-4</c:v>
                </c:pt>
                <c:pt idx="48">
                  <c:v>3.8029491141410845E-4</c:v>
                </c:pt>
                <c:pt idx="49">
                  <c:v>9.6783525039956784E-4</c:v>
                </c:pt>
                <c:pt idx="50">
                  <c:v>4.5510185795188664E-4</c:v>
                </c:pt>
                <c:pt idx="51">
                  <c:v>1.4417733385501519E-4</c:v>
                </c:pt>
                <c:pt idx="52">
                  <c:v>4.7097868535294161E-5</c:v>
                </c:pt>
                <c:pt idx="53">
                  <c:v>6.8909086419793766E-5</c:v>
                </c:pt>
                <c:pt idx="54">
                  <c:v>7.1889645772829161E-5</c:v>
                </c:pt>
                <c:pt idx="55">
                  <c:v>1.3686525504255016E-4</c:v>
                </c:pt>
                <c:pt idx="56">
                  <c:v>8.4353136199397506E-4</c:v>
                </c:pt>
                <c:pt idx="57">
                  <c:v>1.3306596171336492E-3</c:v>
                </c:pt>
                <c:pt idx="58">
                  <c:v>1.0641785510859198E-3</c:v>
                </c:pt>
                <c:pt idx="59">
                  <c:v>5.4572251649782303E-4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31824"/>
        <c:axId val="611432608"/>
      </c:lineChart>
      <c:dateAx>
        <c:axId val="61143182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260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114326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182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1.7165139507729354E-2</c:v>
                </c:pt>
                <c:pt idx="32">
                  <c:v>1.7873924154230392E-2</c:v>
                </c:pt>
                <c:pt idx="33">
                  <c:v>1.8559358093571898E-2</c:v>
                </c:pt>
                <c:pt idx="34">
                  <c:v>1.9267137280491453E-2</c:v>
                </c:pt>
                <c:pt idx="35">
                  <c:v>1.9951598884829336E-2</c:v>
                </c:pt>
                <c:pt idx="36">
                  <c:v>2.0681164748842851E-2</c:v>
                </c:pt>
                <c:pt idx="37">
                  <c:v>2.1387413766208341E-2</c:v>
                </c:pt>
                <c:pt idx="38">
                  <c:v>2.202487832200084E-2</c:v>
                </c:pt>
                <c:pt idx="39">
                  <c:v>2.2730158302157522E-2</c:v>
                </c:pt>
                <c:pt idx="40">
                  <c:v>2.3412203035383605E-2</c:v>
                </c:pt>
                <c:pt idx="41">
                  <c:v>2.411648252756815E-2</c:v>
                </c:pt>
                <c:pt idx="42">
                  <c:v>2.4797559733611751E-2</c:v>
                </c:pt>
                <c:pt idx="43">
                  <c:v>2.550084015708487E-2</c:v>
                </c:pt>
                <c:pt idx="44">
                  <c:v>2.6203613400373027E-2</c:v>
                </c:pt>
                <c:pt idx="45">
                  <c:v>2.6883233980458665E-2</c:v>
                </c:pt>
                <c:pt idx="46">
                  <c:v>2.7585010291752643E-2</c:v>
                </c:pt>
                <c:pt idx="47">
                  <c:v>2.8263666783483021E-2</c:v>
                </c:pt>
                <c:pt idx="48">
                  <c:v>2.8964447576999119E-2</c:v>
                </c:pt>
                <c:pt idx="49">
                  <c:v>2.9664722992972181E-2</c:v>
                </c:pt>
                <c:pt idx="50">
                  <c:v>3.029679574068489E-2</c:v>
                </c:pt>
                <c:pt idx="51">
                  <c:v>3.0996110315767766E-2</c:v>
                </c:pt>
                <c:pt idx="52">
                  <c:v>3.1672386172481581E-2</c:v>
                </c:pt>
                <c:pt idx="53">
                  <c:v>3.2370708721928154E-2</c:v>
                </c:pt>
                <c:pt idx="54">
                  <c:v>3.3046025235005994E-2</c:v>
                </c:pt>
                <c:pt idx="55">
                  <c:v>3.3743357166072463E-2</c:v>
                </c:pt>
                <c:pt idx="56">
                  <c:v>3.444018620678968E-2</c:v>
                </c:pt>
                <c:pt idx="57">
                  <c:v>3.5114058414355553E-2</c:v>
                </c:pt>
                <c:pt idx="58">
                  <c:v>3.5809898955337149E-2</c:v>
                </c:pt>
                <c:pt idx="59">
                  <c:v>3.6482815229008092E-2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2.7164848471170188E-3</c:v>
                </c:pt>
                <c:pt idx="8">
                  <c:v>8.5568777580736968E-3</c:v>
                </c:pt>
                <c:pt idx="9">
                  <c:v>1.3877445368534467E-2</c:v>
                </c:pt>
                <c:pt idx="10">
                  <c:v>1.8893900818007445E-2</c:v>
                </c:pt>
                <c:pt idx="11">
                  <c:v>2.3585647365447857E-2</c:v>
                </c:pt>
                <c:pt idx="12">
                  <c:v>2.8435887993583913E-2</c:v>
                </c:pt>
                <c:pt idx="13">
                  <c:v>3.3165488908618673E-2</c:v>
                </c:pt>
                <c:pt idx="14">
                  <c:v>3.7318337491193565E-2</c:v>
                </c:pt>
                <c:pt idx="15">
                  <c:v>4.1934470897323377E-2</c:v>
                </c:pt>
                <c:pt idx="16">
                  <c:v>4.6799805347852094E-2</c:v>
                </c:pt>
                <c:pt idx="17">
                  <c:v>5.206885108430772E-2</c:v>
                </c:pt>
                <c:pt idx="18">
                  <c:v>5.6572593155706861E-2</c:v>
                </c:pt>
                <c:pt idx="19">
                  <c:v>6.0641856843293082E-2</c:v>
                </c:pt>
                <c:pt idx="20">
                  <c:v>6.4362196081447762E-2</c:v>
                </c:pt>
                <c:pt idx="21">
                  <c:v>6.7285126334917067E-2</c:v>
                </c:pt>
                <c:pt idx="22">
                  <c:v>6.9461489758797068E-2</c:v>
                </c:pt>
                <c:pt idx="23">
                  <c:v>7.1965947264670566E-2</c:v>
                </c:pt>
                <c:pt idx="24">
                  <c:v>7.5115677901104919E-2</c:v>
                </c:pt>
                <c:pt idx="25">
                  <c:v>7.8286309426268116E-2</c:v>
                </c:pt>
                <c:pt idx="26">
                  <c:v>8.1095610179962321E-2</c:v>
                </c:pt>
                <c:pt idx="27">
                  <c:v>8.4432698896595507E-2</c:v>
                </c:pt>
                <c:pt idx="28">
                  <c:v>8.8544538920790283E-2</c:v>
                </c:pt>
                <c:pt idx="29">
                  <c:v>9.3241282741207271E-2</c:v>
                </c:pt>
                <c:pt idx="30">
                  <c:v>9.6743362279864992E-2</c:v>
                </c:pt>
                <c:pt idx="31">
                  <c:v>9.9470394866401343E-2</c:v>
                </c:pt>
                <c:pt idx="32">
                  <c:v>0.10176961962900535</c:v>
                </c:pt>
                <c:pt idx="33">
                  <c:v>0.10308536549895937</c:v>
                </c:pt>
                <c:pt idx="34">
                  <c:v>0.10335795830549845</c:v>
                </c:pt>
                <c:pt idx="35">
                  <c:v>0.10439623212033562</c:v>
                </c:pt>
                <c:pt idx="36">
                  <c:v>0.10647576031915912</c:v>
                </c:pt>
                <c:pt idx="37">
                  <c:v>0.10859905618470489</c:v>
                </c:pt>
                <c:pt idx="38">
                  <c:v>0.11050574425034351</c:v>
                </c:pt>
                <c:pt idx="39">
                  <c:v>0.11298355431644178</c:v>
                </c:pt>
                <c:pt idx="40">
                  <c:v>2.33799267845048E-2</c:v>
                </c:pt>
                <c:pt idx="41">
                  <c:v>3.0013104707352644E-2</c:v>
                </c:pt>
                <c:pt idx="42">
                  <c:v>3.6071752640994409E-2</c:v>
                </c:pt>
                <c:pt idx="43">
                  <c:v>4.1877695513439138E-2</c:v>
                </c:pt>
                <c:pt idx="44">
                  <c:v>4.733300096102902E-2</c:v>
                </c:pt>
                <c:pt idx="45">
                  <c:v>5.1991380357142576E-2</c:v>
                </c:pt>
                <c:pt idx="46">
                  <c:v>5.5996515107211445E-2</c:v>
                </c:pt>
                <c:pt idx="47">
                  <c:v>6.0055572962730785E-2</c:v>
                </c:pt>
                <c:pt idx="48">
                  <c:v>6.4626159337068445E-2</c:v>
                </c:pt>
                <c:pt idx="49">
                  <c:v>6.9149335661375322E-2</c:v>
                </c:pt>
                <c:pt idx="50">
                  <c:v>7.2833139217547527E-2</c:v>
                </c:pt>
                <c:pt idx="51">
                  <c:v>7.6747307841054227E-2</c:v>
                </c:pt>
                <c:pt idx="52">
                  <c:v>8.1325341380820232E-2</c:v>
                </c:pt>
                <c:pt idx="53">
                  <c:v>8.6468742541932611E-2</c:v>
                </c:pt>
                <c:pt idx="54">
                  <c:v>9.0475028717326669E-2</c:v>
                </c:pt>
                <c:pt idx="55">
                  <c:v>9.376206659370255E-2</c:v>
                </c:pt>
                <c:pt idx="56">
                  <c:v>9.6619615613620577E-2</c:v>
                </c:pt>
                <c:pt idx="57">
                  <c:v>9.84912283573353E-2</c:v>
                </c:pt>
                <c:pt idx="58">
                  <c:v>9.9346621893708451E-2</c:v>
                </c:pt>
                <c:pt idx="59">
                  <c:v>0.10088246380209748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1.9081692699179546E-7</c:v>
                </c:pt>
                <c:pt idx="1">
                  <c:v>3.514532233333373E-6</c:v>
                </c:pt>
                <c:pt idx="2">
                  <c:v>5.4739852311182135E-6</c:v>
                </c:pt>
                <c:pt idx="3">
                  <c:v>5.275647822097546E-6</c:v>
                </c:pt>
                <c:pt idx="4">
                  <c:v>4.4333611912249407E-6</c:v>
                </c:pt>
                <c:pt idx="5">
                  <c:v>1.3725190267816596E-5</c:v>
                </c:pt>
                <c:pt idx="6">
                  <c:v>1.8250231167740382E-5</c:v>
                </c:pt>
                <c:pt idx="7">
                  <c:v>3.006559878762557E-5</c:v>
                </c:pt>
                <c:pt idx="8">
                  <c:v>2.1516156088751542E-4</c:v>
                </c:pt>
                <c:pt idx="9">
                  <c:v>3.9936198174631818E-4</c:v>
                </c:pt>
                <c:pt idx="10">
                  <c:v>3.2279732546633123E-4</c:v>
                </c:pt>
                <c:pt idx="11">
                  <c:v>1.3859681845292826E-4</c:v>
                </c:pt>
                <c:pt idx="12">
                  <c:v>1.761417654469096E-4</c:v>
                </c:pt>
                <c:pt idx="13">
                  <c:v>4.7803376801897431E-4</c:v>
                </c:pt>
                <c:pt idx="14">
                  <c:v>2.1684567707224987E-4</c:v>
                </c:pt>
                <c:pt idx="15">
                  <c:v>6.404148840464006E-5</c:v>
                </c:pt>
                <c:pt idx="16">
                  <c:v>2.1836965782794198E-5</c:v>
                </c:pt>
                <c:pt idx="17">
                  <c:v>3.8969128554216201E-5</c:v>
                </c:pt>
                <c:pt idx="18">
                  <c:v>4.3174108248504734E-5</c:v>
                </c:pt>
                <c:pt idx="19">
                  <c:v>7.6057253683131827E-5</c:v>
                </c:pt>
                <c:pt idx="20">
                  <c:v>5.0179315157026117E-4</c:v>
                </c:pt>
                <c:pt idx="21">
                  <c:v>8.5152480380021973E-4</c:v>
                </c:pt>
                <c:pt idx="22">
                  <c:v>6.8416302621828503E-4</c:v>
                </c:pt>
                <c:pt idx="23">
                  <c:v>3.2427377361450902E-4</c:v>
                </c:pt>
                <c:pt idx="24">
                  <c:v>3.9320303727443729E-4</c:v>
                </c:pt>
                <c:pt idx="25">
                  <c:v>9.9582711152070426E-4</c:v>
                </c:pt>
                <c:pt idx="26">
                  <c:v>4.6961253900452222E-4</c:v>
                </c:pt>
                <c:pt idx="27">
                  <c:v>1.4937206508557511E-4</c:v>
                </c:pt>
                <c:pt idx="28">
                  <c:v>4.8588053212978867E-5</c:v>
                </c:pt>
                <c:pt idx="29">
                  <c:v>7.0484085006768509E-5</c:v>
                </c:pt>
                <c:pt idx="30">
                  <c:v>7.3400233437250333E-5</c:v>
                </c:pt>
                <c:pt idx="31">
                  <c:v>1.4006407438116894E-4</c:v>
                </c:pt>
                <c:pt idx="32">
                  <c:v>8.6150858163299945E-4</c:v>
                </c:pt>
                <c:pt idx="33">
                  <c:v>1.3558646176670055E-3</c:v>
                </c:pt>
                <c:pt idx="34">
                  <c:v>1.0841693579328165E-3</c:v>
                </c:pt>
                <c:pt idx="35">
                  <c:v>5.5737188015740017E-4</c:v>
                </c:pt>
                <c:pt idx="36">
                  <c:v>6.5148836383699176E-4</c:v>
                </c:pt>
                <c:pt idx="37">
                  <c:v>1.5559306516470398E-3</c:v>
                </c:pt>
                <c:pt idx="38">
                  <c:v>7.5996421630290074E-4</c:v>
                </c:pt>
                <c:pt idx="39">
                  <c:v>2.5331611295184608E-4</c:v>
                </c:pt>
                <c:pt idx="40">
                  <c:v>7.8405924550693565E-5</c:v>
                </c:pt>
                <c:pt idx="41">
                  <c:v>1.0199904145932076E-4</c:v>
                </c:pt>
                <c:pt idx="42">
                  <c:v>1.0362635862599588E-4</c:v>
                </c:pt>
                <c:pt idx="43">
                  <c:v>2.0407089507920603E-4</c:v>
                </c:pt>
                <c:pt idx="44">
                  <c:v>1.2212240116957374E-3</c:v>
                </c:pt>
                <c:pt idx="45">
                  <c:v>1.8602044315337905E-3</c:v>
                </c:pt>
                <c:pt idx="46">
                  <c:v>1.4841756896473469E-3</c:v>
                </c:pt>
                <c:pt idx="47">
                  <c:v>7.9046998670029159E-4</c:v>
                </c:pt>
                <c:pt idx="48">
                  <c:v>9.0977369039954624E-4</c:v>
                </c:pt>
                <c:pt idx="49">
                  <c:v>2.1168190983691594E-3</c:v>
                </c:pt>
                <c:pt idx="50">
                  <c:v>1.0526475657250515E-3</c:v>
                </c:pt>
                <c:pt idx="51">
                  <c:v>3.6322006328532732E-4</c:v>
                </c:pt>
                <c:pt idx="52">
                  <c:v>1.1184329895994289E-4</c:v>
                </c:pt>
                <c:pt idx="53">
                  <c:v>1.3804472458882187E-4</c:v>
                </c:pt>
                <c:pt idx="54">
                  <c:v>1.4426286801289025E-4</c:v>
                </c:pt>
                <c:pt idx="55">
                  <c:v>3.090093527157441E-4</c:v>
                </c:pt>
                <c:pt idx="56">
                  <c:v>1.7211109648258395E-3</c:v>
                </c:pt>
                <c:pt idx="57">
                  <c:v>2.5143889971479881E-3</c:v>
                </c:pt>
                <c:pt idx="58">
                  <c:v>1.9698044657664154E-3</c:v>
                </c:pt>
                <c:pt idx="59">
                  <c:v>1.1852383378671636E-3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433392"/>
        <c:axId val="611433784"/>
      </c:lineChart>
      <c:dateAx>
        <c:axId val="611433392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37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114337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1143339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76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770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771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33930" y="1095374"/>
            <a:ext cx="574579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6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6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83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83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62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62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4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7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7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925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926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927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11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11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50</xdr:row>
      <xdr:rowOff>0</xdr:rowOff>
    </xdr:to>
    <xdr:graphicFrame macro="">
      <xdr:nvGraphicFramePr>
        <xdr:cNvPr id="4350511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568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572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573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49374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49374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8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3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5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5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02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3">
        <f>Tmaj</f>
        <v>44926</v>
      </c>
      <c r="D2" s="1213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4" t="str">
        <f>Station</f>
        <v>Crêche d'Escalquens</v>
      </c>
      <c r="D3" s="1215"/>
      <c r="E3" s="1215"/>
      <c r="F3" s="1215"/>
      <c r="G3" s="1215"/>
      <c r="H3" s="1216"/>
      <c r="K3" s="21"/>
      <c r="L3" s="30"/>
      <c r="M3" s="30"/>
      <c r="N3" s="209" t="s">
        <v>166</v>
      </c>
      <c r="O3" s="715">
        <f>Salim_i</f>
        <v>0.17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7">
        <f>T0</f>
        <v>43313</v>
      </c>
      <c r="D4" s="1218"/>
      <c r="H4" s="33" t="s">
        <v>305</v>
      </c>
      <c r="I4" s="657">
        <f>Azi_pvG</f>
        <v>76</v>
      </c>
      <c r="J4" s="657"/>
      <c r="K4" s="21"/>
      <c r="L4" s="30"/>
      <c r="M4" s="30"/>
      <c r="N4" s="82" t="s">
        <v>22</v>
      </c>
      <c r="O4" s="160">
        <f>Persistant</f>
        <v>0.7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1">
        <f>Tservice</f>
        <v>43354</v>
      </c>
      <c r="D5" s="1212"/>
      <c r="E5" s="95"/>
      <c r="H5" s="33" t="s">
        <v>15</v>
      </c>
      <c r="I5" s="658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5"/>
      <c r="B7" s="534"/>
      <c r="C7" s="52"/>
      <c r="D7" s="826"/>
      <c r="E7" s="29"/>
      <c r="F7" s="534"/>
      <c r="G7" s="534"/>
      <c r="H7" s="693"/>
      <c r="I7" s="534"/>
      <c r="J7" s="22" t="s">
        <v>380</v>
      </c>
      <c r="K7" s="1219" t="s">
        <v>381</v>
      </c>
      <c r="L7" s="1220"/>
      <c r="M7" s="1202" t="b">
        <f>IF(K7="début",TRUE,FALSE)</f>
        <v>0</v>
      </c>
      <c r="N7" s="800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Crêche d'Escalquens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[3]!Inter_net</f>
        <v>2</v>
      </c>
      <c r="L8" s="558">
        <f>[3]!Inter_tai</f>
        <v>7</v>
      </c>
      <c r="N8" s="15"/>
    </row>
    <row r="9" spans="1:29" ht="15.75" x14ac:dyDescent="0.25">
      <c r="A9" s="29" t="s">
        <v>280</v>
      </c>
      <c r="B9" s="149">
        <f>AVERAGE(B11:B30)</f>
        <v>9521.9000899660114</v>
      </c>
      <c r="C9" s="879">
        <f t="shared" ref="C9:J9" si="0">AVERAGE(C11:C30)</f>
        <v>680.67781173160608</v>
      </c>
      <c r="D9" s="880">
        <f t="shared" si="0"/>
        <v>3.9757005276602562</v>
      </c>
      <c r="E9" s="149">
        <f t="shared" si="0"/>
        <v>684.65351225926634</v>
      </c>
      <c r="F9" s="149">
        <f t="shared" si="0"/>
        <v>10206.553602225275</v>
      </c>
      <c r="G9" s="149">
        <f t="shared" si="0"/>
        <v>10634.751760841182</v>
      </c>
      <c r="H9" s="886">
        <f t="shared" si="0"/>
        <v>520.43408389481579</v>
      </c>
      <c r="I9" s="887">
        <f t="shared" si="0"/>
        <v>2.959303105028007</v>
      </c>
      <c r="J9" s="149">
        <f t="shared" si="0"/>
        <v>8997.4412946855973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274</v>
      </c>
      <c r="N10" s="333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1379.7850000000001</v>
      </c>
      <c r="C11" s="143">
        <f>'2018'!Wh_Psa</f>
        <v>24.420032290291541</v>
      </c>
      <c r="D11" s="329">
        <f>'2018'!Wh_Pvg</f>
        <v>0.29159888076333462</v>
      </c>
      <c r="E11" s="139">
        <f t="shared" ref="E11:E16" si="1">C11+D11</f>
        <v>24.711631171054876</v>
      </c>
      <c r="F11" s="139">
        <f t="shared" ref="F11:F16" si="2">B11+E11</f>
        <v>1404.496631171055</v>
      </c>
      <c r="G11" s="139">
        <f>'2018'!F$9</f>
        <v>1407.6723389112456</v>
      </c>
      <c r="H11" s="145">
        <f>'2018'!Wh_gain_sa</f>
        <v>0</v>
      </c>
      <c r="I11" s="329">
        <f>'2018'!Wh_gain_vg</f>
        <v>0</v>
      </c>
      <c r="J11" s="139">
        <f>'2018'!Prod_an_s</f>
        <v>1379.7850000000001</v>
      </c>
      <c r="K11" s="857" t="str">
        <f>IF('2018'!Acti_net,'2018'!Tnet,"")</f>
        <v/>
      </c>
      <c r="L11" s="858" t="str">
        <f>IF('2018'!Acti_tai,'2018'!Ttai,"")</f>
        <v/>
      </c>
      <c r="M11" s="869">
        <v>0</v>
      </c>
      <c r="N11" s="870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3"/>
      <c r="T11" s="863"/>
    </row>
    <row r="12" spans="1:29" s="19" customFormat="1" ht="12.75" x14ac:dyDescent="0.2">
      <c r="A12" s="144">
        <f>'2019'!An</f>
        <v>2019</v>
      </c>
      <c r="B12" s="137">
        <f>'2019'!Prod_an</f>
        <v>10874.365999999996</v>
      </c>
      <c r="C12" s="145">
        <f>'2019'!Wh_Psa</f>
        <v>601.13820574501779</v>
      </c>
      <c r="D12" s="330">
        <f>'2019'!Wh_Pvg</f>
        <v>1.617449027860302</v>
      </c>
      <c r="E12" s="137">
        <f t="shared" si="1"/>
        <v>602.75565477287807</v>
      </c>
      <c r="F12" s="137">
        <f t="shared" si="2"/>
        <v>11477.121654772875</v>
      </c>
      <c r="G12" s="137">
        <f>'2019'!F$9</f>
        <v>11564.828676756535</v>
      </c>
      <c r="H12" s="145">
        <f>'2019'!Wh_gain_sa</f>
        <v>0</v>
      </c>
      <c r="I12" s="330">
        <f>'2019'!Wh_gain_vg</f>
        <v>0</v>
      </c>
      <c r="J12" s="137">
        <f>'2019'!Prod_an_s</f>
        <v>10874.365999999996</v>
      </c>
      <c r="K12" s="859" t="str">
        <f>IF('2019'!Acti_net,'2019'!Tnet,"")</f>
        <v/>
      </c>
      <c r="L12" s="860" t="str">
        <f>IF('2019'!Acti_tai,'2019'!Ttai,"")</f>
        <v/>
      </c>
      <c r="M12" s="871">
        <f>O12+P11+(K11="")*M11</f>
        <v>0</v>
      </c>
      <c r="N12" s="872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3"/>
      <c r="T12" s="863"/>
    </row>
    <row r="13" spans="1:29" s="19" customFormat="1" ht="12.75" x14ac:dyDescent="0.2">
      <c r="A13" s="144">
        <f>'2020'!An</f>
        <v>2020</v>
      </c>
      <c r="B13" s="137">
        <f>'2020'!Prod_an</f>
        <v>10305.741000000004</v>
      </c>
      <c r="C13" s="145">
        <f>'2020'!Wh_Psa</f>
        <v>1052.335449772987</v>
      </c>
      <c r="D13" s="330">
        <f>'2020'!Wh_Pvg</f>
        <v>2.7814559108141137</v>
      </c>
      <c r="E13" s="137">
        <f t="shared" si="1"/>
        <v>1055.1169056838012</v>
      </c>
      <c r="F13" s="137">
        <f t="shared" si="2"/>
        <v>11360.857905683804</v>
      </c>
      <c r="G13" s="137">
        <f>'2020'!F$9</f>
        <v>11545.444530299657</v>
      </c>
      <c r="H13" s="145">
        <f>'2020'!Wh_gain_sa</f>
        <v>0</v>
      </c>
      <c r="I13" s="330">
        <f>'2020'!Wh_gain_vg</f>
        <v>0</v>
      </c>
      <c r="J13" s="137">
        <f>'2020'!Prod_an_s</f>
        <v>10305.741000000004</v>
      </c>
      <c r="K13" s="859" t="str">
        <f>IF('2020'!Acti_net,'2020'!Tnet,"")</f>
        <v/>
      </c>
      <c r="L13" s="860" t="str">
        <f>IF('2020'!Acti_tai,'2020'!Ttai,"")</f>
        <v/>
      </c>
      <c r="M13" s="871">
        <f t="shared" ref="M13:M20" si="3">O13+P12+(K12="")*M12</f>
        <v>0</v>
      </c>
      <c r="N13" s="872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3"/>
      <c r="T13" s="863"/>
    </row>
    <row r="14" spans="1:29" s="19" customFormat="1" ht="12.75" x14ac:dyDescent="0.2">
      <c r="A14" s="144">
        <f>'2021'!An</f>
        <v>2021</v>
      </c>
      <c r="B14" s="137">
        <f>'2021'!Prod_an</f>
        <v>10305.598000000004</v>
      </c>
      <c r="C14" s="145">
        <f>'2021'!Wh_Psa</f>
        <v>618.6689035315336</v>
      </c>
      <c r="D14" s="330">
        <f>'2021'!Wh_Pvg</f>
        <v>4.2146380529732044</v>
      </c>
      <c r="E14" s="137">
        <f t="shared" si="1"/>
        <v>622.88354158450682</v>
      </c>
      <c r="F14" s="137">
        <f t="shared" si="2"/>
        <v>10928.48154158451</v>
      </c>
      <c r="G14" s="137">
        <f>'2021'!F$9</f>
        <v>11201.784157174681</v>
      </c>
      <c r="H14" s="145">
        <f>'2021'!Wh_gain_sa</f>
        <v>715.47833690747836</v>
      </c>
      <c r="I14" s="330">
        <f>'2021'!Wh_gain_vg</f>
        <v>-0.29237109502494407</v>
      </c>
      <c r="J14" s="137">
        <f>'2021'!Prod_an_s</f>
        <v>9590.6946241285405</v>
      </c>
      <c r="K14" s="859">
        <f>IF('2021'!Acti_net,'2021'!Tnet,"")</f>
        <v>44306</v>
      </c>
      <c r="L14" s="860" t="str">
        <f>IF('2021'!Acti_tai,'2021'!Ttai,"")</f>
        <v/>
      </c>
      <c r="M14" s="871">
        <f t="shared" si="3"/>
        <v>0</v>
      </c>
      <c r="N14" s="872">
        <f>Q14+R13+(L13="")*N13</f>
        <v>0</v>
      </c>
      <c r="O14" s="370">
        <f>+'2021'!$AJ$3</f>
        <v>0</v>
      </c>
      <c r="P14" s="370">
        <f>+'2021'!$AJ$4</f>
        <v>714.83507724617448</v>
      </c>
      <c r="Q14" s="370">
        <f>+'2021'!$AK$3</f>
        <v>0</v>
      </c>
      <c r="R14" s="370">
        <f>+'2021'!$AK$4</f>
        <v>-0.29237109502494407</v>
      </c>
      <c r="S14" s="863"/>
      <c r="T14" s="863"/>
    </row>
    <row r="15" spans="1:29" s="19" customFormat="1" ht="12.75" x14ac:dyDescent="0.2">
      <c r="A15" s="364">
        <f>'2022'!An</f>
        <v>2022</v>
      </c>
      <c r="B15" s="365">
        <f>'2022'!Prod_an</f>
        <v>10399.449999999988</v>
      </c>
      <c r="C15" s="366">
        <f>'2022'!Wh_Psa</f>
        <v>983.35663543557212</v>
      </c>
      <c r="D15" s="367">
        <f>'2022'!Wh_Pvg</f>
        <v>5.7501134260136242</v>
      </c>
      <c r="E15" s="365">
        <f t="shared" si="1"/>
        <v>989.10674886158574</v>
      </c>
      <c r="F15" s="365">
        <f t="shared" si="2"/>
        <v>11388.556748861574</v>
      </c>
      <c r="G15" s="365">
        <f>'2022'!F$9</f>
        <v>11768.722834205053</v>
      </c>
      <c r="H15" s="366">
        <f>'2022'!Wh_gain_sa</f>
        <v>691.52360911592677</v>
      </c>
      <c r="I15" s="367">
        <f>'2022'!Wh_gain_vg</f>
        <v>-0.38478662776655437</v>
      </c>
      <c r="J15" s="365">
        <f>'2022'!Prod_an_s</f>
        <v>9703.538632752221</v>
      </c>
      <c r="K15" s="861" t="str">
        <f>IF('2022'!Acti_net,'2022'!Tnet,"")</f>
        <v/>
      </c>
      <c r="L15" s="862" t="str">
        <f>IF('2022'!Acti_tai,'2022'!Ttai,"")</f>
        <v/>
      </c>
      <c r="M15" s="873">
        <f t="shared" si="3"/>
        <v>786.3622097791341</v>
      </c>
      <c r="N15" s="874">
        <f t="shared" ref="N15:N20" si="4">Q15+R14+(L14="")*N14</f>
        <v>-0.29237109502494407</v>
      </c>
      <c r="O15" s="370">
        <f>+'2022'!$AJ$3</f>
        <v>71.527132532959669</v>
      </c>
      <c r="P15" s="370">
        <f>+'2022'!$AJ$4</f>
        <v>620.11460496384598</v>
      </c>
      <c r="Q15" s="370">
        <f>+'2022'!$AK$3</f>
        <v>0</v>
      </c>
      <c r="R15" s="370">
        <f>+'2022'!$AK$4</f>
        <v>-0.38262386255629277</v>
      </c>
      <c r="S15" s="863"/>
      <c r="T15" s="863"/>
    </row>
    <row r="16" spans="1:29" s="19" customFormat="1" ht="12.75" x14ac:dyDescent="0.2">
      <c r="A16" s="362">
        <f>'2023'!An</f>
        <v>2023</v>
      </c>
      <c r="B16" s="363">
        <f>'2023'!Prod_an</f>
        <v>10676.763517900101</v>
      </c>
      <c r="C16" s="145">
        <f>'2023'!Wh_Psa</f>
        <v>602.09598150062595</v>
      </c>
      <c r="D16" s="330">
        <f>'2023'!Wh_Pvg</f>
        <v>7.7405210745535484</v>
      </c>
      <c r="E16" s="363">
        <f t="shared" si="1"/>
        <v>609.83650257517945</v>
      </c>
      <c r="F16" s="363">
        <f t="shared" si="2"/>
        <v>11286.60002047528</v>
      </c>
      <c r="G16" s="363">
        <f>'2023'!F$9</f>
        <v>11767.857733482053</v>
      </c>
      <c r="H16" s="145">
        <f>'2023'!Wh_gain_sa</f>
        <v>867.02250302333698</v>
      </c>
      <c r="I16" s="330">
        <f>'2023'!Wh_gain_vg</f>
        <v>-0.62841110070755413</v>
      </c>
      <c r="J16" s="363">
        <f>'2023'!Prod_an_s</f>
        <v>9809.9747514003157</v>
      </c>
      <c r="K16" s="859">
        <f>IF('2023'!Acti_net,'2023'!Tnet,"")</f>
        <v>45046</v>
      </c>
      <c r="L16" s="860" t="str">
        <f>IF('2023'!Acti_tai,'2023'!Ttai,"")</f>
        <v/>
      </c>
      <c r="M16" s="871">
        <f t="shared" si="3"/>
        <v>1533.9628183737505</v>
      </c>
      <c r="N16" s="872">
        <f t="shared" si="4"/>
        <v>-0.67499495758123684</v>
      </c>
      <c r="O16" s="370">
        <f>+'2023'!$AJ$3</f>
        <v>127.48600363077031</v>
      </c>
      <c r="P16" s="370">
        <f>+'2023'!$AJ$4</f>
        <v>739.23339377309946</v>
      </c>
      <c r="Q16" s="370">
        <f>+'2023'!$AK$3</f>
        <v>0</v>
      </c>
      <c r="R16" s="370">
        <f>+'2023'!$AK$4</f>
        <v>-0.62841110070755413</v>
      </c>
      <c r="S16" s="863"/>
      <c r="T16" s="863"/>
    </row>
    <row r="17" spans="1:30" s="19" customFormat="1" ht="12.75" x14ac:dyDescent="0.2">
      <c r="A17" s="362">
        <f>'2024'!An</f>
        <v>2024</v>
      </c>
      <c r="B17" s="363">
        <f>'2024'!Prod_an</f>
        <v>10298.345723181492</v>
      </c>
      <c r="C17" s="145">
        <f>'2024'!Wh_Psa</f>
        <v>895.79588528929253</v>
      </c>
      <c r="D17" s="330">
        <f>'2024'!Wh_Pvg</f>
        <v>9.4093565511440236</v>
      </c>
      <c r="E17" s="363">
        <f>C17+D17</f>
        <v>905.20524184043654</v>
      </c>
      <c r="F17" s="363">
        <f>B17+E17</f>
        <v>11203.550965021928</v>
      </c>
      <c r="G17" s="363">
        <f>'2024'!F$9</f>
        <v>11780.682484959205</v>
      </c>
      <c r="H17" s="145">
        <f>'2024'!Wh_gain_sa</f>
        <v>680.2174657834687</v>
      </c>
      <c r="I17" s="330">
        <f>'2024'!Wh_gain_vg</f>
        <v>-0.62159364105042414</v>
      </c>
      <c r="J17" s="363">
        <f>'2024'!Prod_an_s</f>
        <v>9618.0243664474729</v>
      </c>
      <c r="K17" s="859" t="str">
        <f>IF('2024'!Acti_net,'2024'!Tnet,"")</f>
        <v/>
      </c>
      <c r="L17" s="860" t="str">
        <f>IF('2024'!Acti_tai,'2024'!Ttai,"")</f>
        <v/>
      </c>
      <c r="M17" s="871">
        <f t="shared" si="3"/>
        <v>739.23339377309946</v>
      </c>
      <c r="N17" s="872">
        <f t="shared" si="4"/>
        <v>-1.303406058288791</v>
      </c>
      <c r="O17" s="370">
        <f>+'2024'!$AJ$3</f>
        <v>0</v>
      </c>
      <c r="P17" s="370">
        <f>+'2024'!$AJ$4</f>
        <v>680.2174657834687</v>
      </c>
      <c r="Q17" s="370">
        <f>+'2024'!$AK$3</f>
        <v>0</v>
      </c>
      <c r="R17" s="370">
        <f>+'2024'!$AK$4</f>
        <v>-0.62159364105042414</v>
      </c>
      <c r="S17" s="863"/>
      <c r="T17" s="863"/>
    </row>
    <row r="18" spans="1:30" s="19" customFormat="1" ht="12.75" x14ac:dyDescent="0.2">
      <c r="A18" s="362">
        <f>'2025'!An</f>
        <v>2025</v>
      </c>
      <c r="B18" s="363">
        <f>'2025'!Prod_an</f>
        <v>10515.29610509484</v>
      </c>
      <c r="C18" s="145">
        <f>'2025'!Wh_Psa</f>
        <v>579.13263267529294</v>
      </c>
      <c r="D18" s="330">
        <f>'2025'!Wh_Pvg</f>
        <v>3.6846280548703958</v>
      </c>
      <c r="E18" s="363">
        <f>C18+D18</f>
        <v>582.8172607301633</v>
      </c>
      <c r="F18" s="363">
        <f>B18+E18</f>
        <v>11098.113365825004</v>
      </c>
      <c r="G18" s="363">
        <f>'2025'!F$9</f>
        <v>11769.608155289809</v>
      </c>
      <c r="H18" s="145">
        <f>'2025'!Wh_gain_sa</f>
        <v>817.61801872755075</v>
      </c>
      <c r="I18" s="330">
        <f>'2025'!Wh_gain_vg</f>
        <v>7.2979267739821658</v>
      </c>
      <c r="J18" s="363">
        <f>'2025'!Prod_an_s</f>
        <v>9689.2196795766467</v>
      </c>
      <c r="K18" s="859">
        <f>IF('2025'!Acti_net,'2025'!Tnet,"")</f>
        <v>45777</v>
      </c>
      <c r="L18" s="860">
        <f>IF('2025'!Acti_tai,'2025'!Ttai,"")</f>
        <v>45747</v>
      </c>
      <c r="M18" s="871">
        <f t="shared" si="3"/>
        <v>1544.4376885751394</v>
      </c>
      <c r="N18" s="872">
        <f t="shared" si="4"/>
        <v>-2.076146718435953</v>
      </c>
      <c r="O18" s="370">
        <f>+'2025'!$AJ$3</f>
        <v>124.98682901857126</v>
      </c>
      <c r="P18" s="370">
        <f>+'2025'!$AJ$4</f>
        <v>692.36174135513909</v>
      </c>
      <c r="Q18" s="370">
        <f>+'2025'!$AK$3</f>
        <v>-0.15114701909673789</v>
      </c>
      <c r="R18" s="370">
        <f>+'2025'!$AK$4</f>
        <v>7.5712383958325145</v>
      </c>
      <c r="S18" s="863"/>
      <c r="T18" s="863"/>
    </row>
    <row r="19" spans="1:30" s="19" customFormat="1" ht="12.75" x14ac:dyDescent="0.2">
      <c r="A19" s="362">
        <f>'2026'!An</f>
        <v>2026</v>
      </c>
      <c r="B19" s="363">
        <f>'2026'!Prod_an</f>
        <v>10124.09385818509</v>
      </c>
      <c r="C19" s="145">
        <f>'2026'!Wh_Psa</f>
        <v>880.41823354571852</v>
      </c>
      <c r="D19" s="330">
        <f>'2026'!Wh_Pvg</f>
        <v>1.5038038159316161</v>
      </c>
      <c r="E19" s="363">
        <f>C19+D19</f>
        <v>881.92203736165015</v>
      </c>
      <c r="F19" s="363">
        <f>B19+E19</f>
        <v>11006.01589554674</v>
      </c>
      <c r="G19" s="363">
        <f>'2026'!F$9</f>
        <v>11770.757362719432</v>
      </c>
      <c r="H19" s="145">
        <f>'2026'!Wh_gain_sa</f>
        <v>635.73541333866069</v>
      </c>
      <c r="I19" s="330">
        <f>'2026'!Wh_gain_vg</f>
        <v>11.412654080871214</v>
      </c>
      <c r="J19" s="363">
        <f>'2026'!Prod_an_s</f>
        <v>9474.9188733138362</v>
      </c>
      <c r="K19" s="859" t="str">
        <f>IF('2026'!Acti_net,'2026'!Tnet,"")</f>
        <v/>
      </c>
      <c r="L19" s="860" t="str">
        <f>IF('2026'!Acti_tai,'2026'!Ttai,"")</f>
        <v/>
      </c>
      <c r="M19" s="871">
        <f t="shared" si="3"/>
        <v>692.36174135513909</v>
      </c>
      <c r="N19" s="872">
        <f t="shared" si="4"/>
        <v>7.5712383958325145</v>
      </c>
      <c r="O19" s="370">
        <f>+'2026'!$AJ$3</f>
        <v>0</v>
      </c>
      <c r="P19" s="370">
        <f>+'2026'!$AJ$4</f>
        <v>635.73541333866069</v>
      </c>
      <c r="Q19" s="370">
        <f>+'2026'!$AK$3</f>
        <v>0</v>
      </c>
      <c r="R19" s="370">
        <f>+'2026'!$AK$4</f>
        <v>11.412654080871214</v>
      </c>
      <c r="S19" s="863"/>
      <c r="T19" s="863"/>
    </row>
    <row r="20" spans="1:30" s="19" customFormat="1" ht="12.75" x14ac:dyDescent="0.2">
      <c r="A20" s="362">
        <f>'2027'!An</f>
        <v>2027</v>
      </c>
      <c r="B20" s="363">
        <f>'2027'!Prod_an</f>
        <v>10339.561695298582</v>
      </c>
      <c r="C20" s="145">
        <f>'2027'!Wh_Psa</f>
        <v>569.41615752972882</v>
      </c>
      <c r="D20" s="330">
        <f>'2027'!Wh_Pvg</f>
        <v>2.7634404816783995</v>
      </c>
      <c r="E20" s="363">
        <f>C20+D20</f>
        <v>572.17959801140717</v>
      </c>
      <c r="F20" s="363">
        <f>B20+E20</f>
        <v>10911.741293309989</v>
      </c>
      <c r="G20" s="363">
        <f>'2027'!F$9</f>
        <v>11770.15933461414</v>
      </c>
      <c r="H20" s="145">
        <f>'2027'!Wh_gain_sa</f>
        <v>796.74549205173673</v>
      </c>
      <c r="I20" s="330">
        <f>'2027'!Wh_gain_vg</f>
        <v>12.809612659976167</v>
      </c>
      <c r="J20" s="363">
        <f>'2027'!Prod_an_s</f>
        <v>9528.150019236924</v>
      </c>
      <c r="K20" s="859">
        <f>IF('2027'!Acti_net,'2027'!Tnet,"")</f>
        <v>46507</v>
      </c>
      <c r="L20" s="860" t="str">
        <f>IF('2027'!Acti_tai,'2027'!Ttai,"")</f>
        <v/>
      </c>
      <c r="M20" s="871">
        <f t="shared" si="3"/>
        <v>1444.8977035043995</v>
      </c>
      <c r="N20" s="872">
        <f t="shared" si="4"/>
        <v>18.98389247670373</v>
      </c>
      <c r="O20" s="370">
        <f>+'2027'!$AJ$3</f>
        <v>116.80054881059982</v>
      </c>
      <c r="P20" s="370">
        <f>+'2027'!$AJ$4</f>
        <v>679.66392593404657</v>
      </c>
      <c r="Q20" s="370">
        <f>+'2027'!$AK$3</f>
        <v>0</v>
      </c>
      <c r="R20" s="370">
        <f>+'2027'!$AK$4</f>
        <v>12.809612659976167</v>
      </c>
      <c r="S20" s="863"/>
      <c r="T20" s="863"/>
    </row>
    <row r="21" spans="1:30" s="19" customFormat="1" ht="12.75" x14ac:dyDescent="0.2">
      <c r="A21" s="708"/>
      <c r="B21" s="709"/>
      <c r="C21" s="710"/>
      <c r="D21" s="707"/>
      <c r="E21" s="709"/>
      <c r="F21" s="709"/>
      <c r="G21" s="709"/>
      <c r="H21" s="710"/>
      <c r="I21" s="707"/>
      <c r="J21" s="709"/>
      <c r="K21" s="875"/>
      <c r="L21" s="876"/>
      <c r="M21" s="865"/>
      <c r="N21" s="866"/>
      <c r="O21" s="10"/>
      <c r="P21" s="10"/>
      <c r="Q21" s="10"/>
      <c r="R21" s="10"/>
      <c r="S21" s="863"/>
      <c r="T21" s="863"/>
    </row>
    <row r="22" spans="1:30" s="19" customFormat="1" ht="12.75" x14ac:dyDescent="0.2">
      <c r="A22" s="708"/>
      <c r="B22" s="709"/>
      <c r="C22" s="710"/>
      <c r="D22" s="707"/>
      <c r="E22" s="709"/>
      <c r="F22" s="709"/>
      <c r="G22" s="709"/>
      <c r="H22" s="710"/>
      <c r="I22" s="707"/>
      <c r="J22" s="709"/>
      <c r="K22" s="875"/>
      <c r="L22" s="876"/>
      <c r="M22" s="865"/>
      <c r="N22" s="866"/>
      <c r="O22" s="10"/>
      <c r="P22" s="864"/>
      <c r="Q22" s="10"/>
      <c r="R22" s="864"/>
      <c r="S22" s="863"/>
      <c r="T22" s="863"/>
    </row>
    <row r="23" spans="1:30" s="19" customFormat="1" ht="12.75" x14ac:dyDescent="0.2">
      <c r="A23" s="708"/>
      <c r="B23" s="709"/>
      <c r="C23" s="710"/>
      <c r="D23" s="707"/>
      <c r="E23" s="709"/>
      <c r="F23" s="709"/>
      <c r="G23" s="709"/>
      <c r="H23" s="710"/>
      <c r="I23" s="707"/>
      <c r="J23" s="709"/>
      <c r="K23" s="875"/>
      <c r="L23" s="876"/>
      <c r="M23" s="865"/>
      <c r="N23" s="866"/>
      <c r="O23" s="10"/>
      <c r="P23" s="864"/>
      <c r="Q23" s="10"/>
      <c r="S23" s="863"/>
      <c r="T23" s="863"/>
    </row>
    <row r="24" spans="1:30" s="19" customFormat="1" ht="12.75" x14ac:dyDescent="0.2">
      <c r="A24" s="708"/>
      <c r="B24" s="709"/>
      <c r="C24" s="710"/>
      <c r="D24" s="707"/>
      <c r="E24" s="709"/>
      <c r="F24" s="709"/>
      <c r="G24" s="709"/>
      <c r="H24" s="710"/>
      <c r="I24" s="707"/>
      <c r="J24" s="709"/>
      <c r="K24" s="875"/>
      <c r="L24" s="876"/>
      <c r="M24" s="865"/>
      <c r="N24" s="866"/>
      <c r="O24" s="10"/>
      <c r="P24" s="864"/>
      <c r="Q24" s="10"/>
      <c r="R24" s="864"/>
      <c r="S24" s="863"/>
      <c r="T24" s="863"/>
    </row>
    <row r="25" spans="1:30" s="19" customFormat="1" ht="12.75" x14ac:dyDescent="0.2">
      <c r="A25" s="708"/>
      <c r="B25" s="709"/>
      <c r="C25" s="710"/>
      <c r="D25" s="707"/>
      <c r="E25" s="709"/>
      <c r="F25" s="709"/>
      <c r="G25" s="709"/>
      <c r="H25" s="710"/>
      <c r="I25" s="707"/>
      <c r="J25" s="709"/>
      <c r="K25" s="875"/>
      <c r="L25" s="876"/>
      <c r="M25" s="865"/>
      <c r="N25" s="866"/>
      <c r="O25" s="10"/>
      <c r="P25" s="864"/>
      <c r="Q25" s="10"/>
      <c r="R25" s="864"/>
      <c r="S25" s="863"/>
      <c r="T25" s="863"/>
    </row>
    <row r="26" spans="1:30" s="19" customFormat="1" ht="12.75" x14ac:dyDescent="0.2">
      <c r="A26" s="708"/>
      <c r="B26" s="709"/>
      <c r="C26" s="710"/>
      <c r="D26" s="707"/>
      <c r="E26" s="709"/>
      <c r="F26" s="709"/>
      <c r="G26" s="709"/>
      <c r="H26" s="710"/>
      <c r="I26" s="707"/>
      <c r="J26" s="709"/>
      <c r="K26" s="875"/>
      <c r="L26" s="876"/>
      <c r="M26" s="865"/>
      <c r="N26" s="866"/>
      <c r="O26" s="10"/>
      <c r="P26" s="864"/>
      <c r="Q26" s="10"/>
      <c r="R26" s="864"/>
      <c r="S26" s="863"/>
      <c r="T26" s="863"/>
    </row>
    <row r="27" spans="1:30" s="19" customFormat="1" ht="12.75" x14ac:dyDescent="0.2">
      <c r="A27" s="708"/>
      <c r="B27" s="709"/>
      <c r="C27" s="710"/>
      <c r="D27" s="707"/>
      <c r="E27" s="709"/>
      <c r="F27" s="709"/>
      <c r="G27" s="709"/>
      <c r="H27" s="710"/>
      <c r="I27" s="707"/>
      <c r="J27" s="709"/>
      <c r="K27" s="875"/>
      <c r="L27" s="876"/>
      <c r="M27" s="865"/>
      <c r="N27" s="866"/>
      <c r="O27" s="10"/>
      <c r="P27" s="864"/>
      <c r="Q27" s="10"/>
      <c r="R27" s="864"/>
      <c r="S27" s="863"/>
      <c r="T27" s="863"/>
    </row>
    <row r="28" spans="1:30" s="19" customFormat="1" ht="12.75" x14ac:dyDescent="0.2">
      <c r="A28" s="708"/>
      <c r="B28" s="709"/>
      <c r="C28" s="710"/>
      <c r="D28" s="707"/>
      <c r="E28" s="709"/>
      <c r="F28" s="709"/>
      <c r="G28" s="709"/>
      <c r="H28" s="710"/>
      <c r="I28" s="707"/>
      <c r="J28" s="709"/>
      <c r="K28" s="875"/>
      <c r="L28" s="876"/>
      <c r="M28" s="865"/>
      <c r="N28" s="866"/>
      <c r="O28" s="10"/>
      <c r="P28" s="10"/>
      <c r="Q28" s="10"/>
      <c r="R28" s="10"/>
      <c r="S28" s="863"/>
      <c r="T28" s="863"/>
    </row>
    <row r="29" spans="1:30" s="19" customFormat="1" ht="12.75" x14ac:dyDescent="0.2">
      <c r="A29" s="708"/>
      <c r="B29" s="709"/>
      <c r="C29" s="710"/>
      <c r="D29" s="707"/>
      <c r="E29" s="709"/>
      <c r="F29" s="709"/>
      <c r="G29" s="709"/>
      <c r="H29" s="710"/>
      <c r="I29" s="707"/>
      <c r="J29" s="709"/>
      <c r="K29" s="875"/>
      <c r="L29" s="876"/>
      <c r="M29" s="865"/>
      <c r="N29" s="866"/>
      <c r="O29" s="10"/>
      <c r="P29" s="10"/>
      <c r="Q29" s="10"/>
      <c r="R29" s="10"/>
      <c r="S29" s="863"/>
      <c r="T29" s="863"/>
    </row>
    <row r="30" spans="1:30" s="19" customFormat="1" ht="12.75" x14ac:dyDescent="0.2">
      <c r="A30" s="711"/>
      <c r="B30" s="712"/>
      <c r="C30" s="713"/>
      <c r="D30" s="714"/>
      <c r="E30" s="712"/>
      <c r="F30" s="712"/>
      <c r="G30" s="712"/>
      <c r="H30" s="713"/>
      <c r="I30" s="714"/>
      <c r="J30" s="712"/>
      <c r="K30" s="877"/>
      <c r="L30" s="878"/>
      <c r="M30" s="867"/>
      <c r="N30" s="868"/>
      <c r="O30" s="10"/>
      <c r="P30" s="10"/>
      <c r="Q30" s="10"/>
      <c r="R30" s="10"/>
      <c r="S30" s="863"/>
      <c r="T30" s="863"/>
      <c r="AD30" s="30"/>
    </row>
    <row r="31" spans="1:30" s="4" customFormat="1" x14ac:dyDescent="0.25">
      <c r="A31" s="881" t="s">
        <v>376</v>
      </c>
      <c r="B31" s="882">
        <f>SUM(B11:B15)/1000</f>
        <v>43.264939999999996</v>
      </c>
      <c r="C31" s="883">
        <f t="shared" ref="C31:J31" si="5">SUM(C11:C15)/1000</f>
        <v>3.279919226775402</v>
      </c>
      <c r="D31" s="884">
        <f t="shared" si="5"/>
        <v>1.4655255298424577E-2</v>
      </c>
      <c r="E31" s="882">
        <f t="shared" si="5"/>
        <v>3.294574482073827</v>
      </c>
      <c r="F31" s="882">
        <f t="shared" si="5"/>
        <v>46.559514482073823</v>
      </c>
      <c r="G31" s="882">
        <f t="shared" si="5"/>
        <v>47.488452537347172</v>
      </c>
      <c r="H31" s="883">
        <f t="shared" si="5"/>
        <v>1.4070019460234053</v>
      </c>
      <c r="I31" s="884">
        <f t="shared" si="5"/>
        <v>-6.7715772279149848E-4</v>
      </c>
      <c r="J31" s="882">
        <f t="shared" si="5"/>
        <v>41.854125256880764</v>
      </c>
      <c r="K31" s="1197" t="s">
        <v>10</v>
      </c>
      <c r="L31" s="3"/>
      <c r="M31" s="1198" t="s">
        <v>377</v>
      </c>
      <c r="N31" s="1198" t="s">
        <v>378</v>
      </c>
      <c r="O31" s="1198" t="s">
        <v>378</v>
      </c>
      <c r="P31" s="3"/>
      <c r="Q31" s="3"/>
      <c r="R31" s="77"/>
      <c r="S31" s="134"/>
      <c r="T31" s="77"/>
      <c r="U31" s="77"/>
      <c r="V31" s="77"/>
      <c r="W31" s="77"/>
      <c r="X31" s="885"/>
      <c r="Y31" s="3"/>
      <c r="Z31" s="3"/>
      <c r="AA31" s="3"/>
      <c r="AB31" s="3"/>
    </row>
    <row r="32" spans="1:30" ht="15.75" x14ac:dyDescent="0.25">
      <c r="A32" s="1138" t="s">
        <v>382</v>
      </c>
      <c r="B32" s="1203">
        <f>IF(K16&lt;&gt;"",B15-H16-C16+C15-D16+D15,B16)</f>
        <v>9911.6977432630556</v>
      </c>
      <c r="J32" s="356" t="s">
        <v>254</v>
      </c>
      <c r="K32" s="68">
        <f>[1]!Inter_net</f>
        <v>2</v>
      </c>
      <c r="L32" s="68">
        <f>[1]!Inter_tai</f>
        <v>7</v>
      </c>
      <c r="M32" s="1199">
        <f>Inter_net</f>
        <v>2</v>
      </c>
      <c r="N32" s="1199">
        <f>CHOOSE(Inter_net,N33,N34,N35,N36)</f>
        <v>693.83095899541468</v>
      </c>
      <c r="O32" s="1204">
        <f>CHOOSE(Inter_net,O33,O34,O35,O36)</f>
        <v>7.0001222491576587E-2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44">
        <f t="shared" ref="B33:J33" si="6">AVERAGE(B35:B54)</f>
        <v>4.0637592177166768E-2</v>
      </c>
      <c r="C33" s="1145">
        <f t="shared" si="6"/>
        <v>7.3222973118471965E-2</v>
      </c>
      <c r="D33" s="1146">
        <f t="shared" si="6"/>
        <v>7.4852790034916493E-4</v>
      </c>
      <c r="E33" s="1144">
        <f t="shared" si="6"/>
        <v>3.8707749260381716E-2</v>
      </c>
      <c r="F33" s="1145">
        <f t="shared" si="6"/>
        <v>6.4420059157285423E-2</v>
      </c>
      <c r="G33" s="1146">
        <f t="shared" si="6"/>
        <v>3.5867971246990218E-4</v>
      </c>
      <c r="H33" s="1147">
        <f t="shared" si="6"/>
        <v>5.135963516057214E-2</v>
      </c>
      <c r="I33" s="1148">
        <f t="shared" si="6"/>
        <v>2.5166819931656101E-4</v>
      </c>
      <c r="J33" s="1149">
        <f t="shared" si="6"/>
        <v>9.6979988833672093E-2</v>
      </c>
      <c r="K33" s="342"/>
      <c r="L33" s="21"/>
      <c r="M33" s="370">
        <v>1</v>
      </c>
      <c r="N33" s="1205">
        <f>O33*$B$32</f>
        <v>693.83095899541468</v>
      </c>
      <c r="O33" s="1206">
        <f>AVERAGE(H19:H20)/AVERAGE(B19:B20)</f>
        <v>7.0001222491576587E-2</v>
      </c>
      <c r="P33" s="15"/>
    </row>
    <row r="34" spans="1:28" s="240" customFormat="1" ht="41.25" customHeight="1" x14ac:dyDescent="0.2">
      <c r="A34" s="174" t="s">
        <v>52</v>
      </c>
      <c r="B34" s="1150" t="s">
        <v>363</v>
      </c>
      <c r="C34" s="1151" t="s">
        <v>364</v>
      </c>
      <c r="D34" s="1152" t="s">
        <v>365</v>
      </c>
      <c r="E34" s="1150" t="s">
        <v>366</v>
      </c>
      <c r="F34" s="332" t="s">
        <v>367</v>
      </c>
      <c r="G34" s="333" t="s">
        <v>368</v>
      </c>
      <c r="H34" s="332" t="s">
        <v>369</v>
      </c>
      <c r="I34" s="333" t="s">
        <v>370</v>
      </c>
      <c r="J34" s="174" t="s">
        <v>371</v>
      </c>
      <c r="K34" s="332" t="s">
        <v>372</v>
      </c>
      <c r="L34" s="332" t="s">
        <v>373</v>
      </c>
      <c r="M34" s="370">
        <v>2</v>
      </c>
      <c r="N34" s="1207">
        <f>O34*$B$32</f>
        <v>693.83095899541468</v>
      </c>
      <c r="O34" s="1208">
        <f>AVERAGE(H19:H20)/AVERAGE(B19:B20)</f>
        <v>7.0001222491576587E-2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3">
        <f>'2018'!L$379</f>
        <v>3.5310543301907416E-3</v>
      </c>
      <c r="C35" s="1154">
        <f>'2018'!O$379</f>
        <v>2.6101001725359299E-2</v>
      </c>
      <c r="D35" s="1155">
        <f>'2018'!P$379</f>
        <v>1.3727318130422116E-4</v>
      </c>
      <c r="E35" s="1153">
        <f>'2018'!Wh_Ppv/Recap!B11</f>
        <v>2.2574174806909626E-3</v>
      </c>
      <c r="F35" s="1154">
        <f>'2018'!Wh_Psa/'2018'!D$9</f>
        <v>1.7658570172236029E-2</v>
      </c>
      <c r="G35" s="1155">
        <f>'2018'!Wh_Pvg/'2018'!E$9</f>
        <v>2.0719346269517224E-4</v>
      </c>
      <c r="H35" s="1156">
        <f>H11/'2018'!Z$9</f>
        <v>0</v>
      </c>
      <c r="I35" s="1157">
        <f>I11/'2018'!AA$9</f>
        <v>0</v>
      </c>
      <c r="J35" s="1158">
        <f>1-B11/G11</f>
        <v>1.9810958942913293E-2</v>
      </c>
      <c r="K35" s="857" t="str">
        <f>K11</f>
        <v/>
      </c>
      <c r="L35" s="1159">
        <f>(K35&lt;&gt;"")*('2018'!O$383-'2018'!O$381)</f>
        <v>0</v>
      </c>
      <c r="M35" s="370">
        <v>3</v>
      </c>
      <c r="N35" s="1207">
        <f>O35*$B$32</f>
        <v>719.91785500342041</v>
      </c>
      <c r="O35" s="1208">
        <f>AVERAGE(H18:H20)/AVERAGE(B18:B20)</f>
        <v>7.2633152629451997E-2</v>
      </c>
      <c r="P35" s="370"/>
      <c r="Q35" s="370"/>
      <c r="R35" s="370"/>
      <c r="S35" s="863"/>
      <c r="T35" s="863"/>
    </row>
    <row r="36" spans="1:28" s="19" customFormat="1" ht="12.75" x14ac:dyDescent="0.2">
      <c r="A36" s="144">
        <f t="shared" ref="A36:A44" si="7">A12</f>
        <v>2019</v>
      </c>
      <c r="B36" s="1144">
        <f>'2019'!L$379</f>
        <v>1.1959396366868713E-2</v>
      </c>
      <c r="C36" s="1145">
        <f>'2019'!O$379</f>
        <v>7.3576074210959477E-2</v>
      </c>
      <c r="D36" s="1146">
        <f>'2019'!P$379</f>
        <v>3.1905085707534736E-4</v>
      </c>
      <c r="E36" s="1144">
        <f>'2019'!Wh_Ppv/Recap!B12</f>
        <v>7.6340505023062251E-3</v>
      </c>
      <c r="F36" s="1145">
        <f>'2019'!Wh_Psa/'2019'!D$9</f>
        <v>5.4861483830057303E-2</v>
      </c>
      <c r="G36" s="1146">
        <f>'2019'!Wh_Pvg/'2019'!E$9</f>
        <v>1.3988011857535033E-4</v>
      </c>
      <c r="H36" s="1160">
        <f>H12/'2019'!Z$9</f>
        <v>0</v>
      </c>
      <c r="I36" s="1161">
        <f>I12/'2019'!AA$9</f>
        <v>0</v>
      </c>
      <c r="J36" s="1162">
        <f t="shared" ref="J36:J44" si="8">1-B12/G12</f>
        <v>5.970366669972893E-2</v>
      </c>
      <c r="K36" s="859" t="str">
        <f t="shared" ref="K36:K44" si="9">K12</f>
        <v/>
      </c>
      <c r="L36" s="1163">
        <f>(K36&lt;&gt;"")*('2019'!O$383-'2019'!O$381)</f>
        <v>0</v>
      </c>
      <c r="M36" s="370">
        <v>4</v>
      </c>
      <c r="N36" s="1207">
        <f>O36*$B$32</f>
        <v>703.64127961698932</v>
      </c>
      <c r="O36" s="1208">
        <f>AVERAGE(H17:H20)/AVERAGE(B17:B20)</f>
        <v>7.0990994463612622E-2</v>
      </c>
      <c r="P36" s="370"/>
      <c r="Q36" s="370"/>
      <c r="R36" s="370"/>
      <c r="S36" s="863"/>
      <c r="T36" s="863"/>
    </row>
    <row r="37" spans="1:28" s="19" customFormat="1" ht="12.75" x14ac:dyDescent="0.2">
      <c r="A37" s="144">
        <f t="shared" si="7"/>
        <v>2020</v>
      </c>
      <c r="B37" s="1144">
        <f>'2020'!L$379</f>
        <v>2.0316449729879449E-2</v>
      </c>
      <c r="C37" s="1145">
        <f>'2020'!O$379</f>
        <v>0.10539956698505228</v>
      </c>
      <c r="D37" s="1146">
        <f>'2020'!P$379</f>
        <v>5.4565016315028751E-4</v>
      </c>
      <c r="E37" s="1144">
        <f>'2020'!Wh_Ppv/Recap!B13</f>
        <v>1.6222190251212267E-2</v>
      </c>
      <c r="F37" s="1145">
        <f>'2020'!Wh_Psa/'2020'!D$9</f>
        <v>0.10048154472285574</v>
      </c>
      <c r="G37" s="1146">
        <f>'2020'!Wh_Pvg/'2020'!E$9</f>
        <v>2.4097873419266335E-4</v>
      </c>
      <c r="H37" s="1160">
        <f>H13/'2020'!Z$9</f>
        <v>0</v>
      </c>
      <c r="I37" s="1161">
        <f>I13/'2020'!AA$9</f>
        <v>0</v>
      </c>
      <c r="J37" s="1162">
        <f t="shared" si="8"/>
        <v>0.10737598946893712</v>
      </c>
      <c r="K37" s="859" t="str">
        <f t="shared" si="9"/>
        <v/>
      </c>
      <c r="L37" s="1163">
        <f>(K37&lt;&gt;"")*('2020'!O$383-'2020'!O$381)</f>
        <v>0</v>
      </c>
      <c r="M37" s="370"/>
      <c r="N37" s="1209" t="s">
        <v>379</v>
      </c>
      <c r="O37" s="1210"/>
      <c r="P37" s="370"/>
      <c r="Q37" s="370"/>
      <c r="R37" s="370"/>
      <c r="S37" s="863"/>
      <c r="T37" s="863"/>
    </row>
    <row r="38" spans="1:28" s="19" customFormat="1" ht="12.75" x14ac:dyDescent="0.2">
      <c r="A38" s="144">
        <f t="shared" si="7"/>
        <v>2021</v>
      </c>
      <c r="B38" s="1144">
        <f>'2021'!L$379</f>
        <v>2.8625423225242974E-2</v>
      </c>
      <c r="C38" s="1145">
        <f>'2021'!O$379</f>
        <v>6.2410313965397222E-2</v>
      </c>
      <c r="D38" s="1146">
        <f>'2021'!P$379</f>
        <v>7.722494692252276E-4</v>
      </c>
      <c r="E38" s="1144">
        <f>'2021'!Wh_Ppv/Recap!B14</f>
        <v>2.4984557883716511E-2</v>
      </c>
      <c r="F38" s="1145">
        <f>'2021'!Wh_Psa/'2021'!D$9</f>
        <v>5.8568994388270339E-2</v>
      </c>
      <c r="G38" s="1146">
        <f>'2021'!Wh_Pvg/'2021'!E$9</f>
        <v>3.7640090516053489E-4</v>
      </c>
      <c r="H38" s="1160">
        <f>H14/'2021'!Z$9</f>
        <v>7.2786688371141925E-2</v>
      </c>
      <c r="I38" s="1161">
        <f>I14/'2021'!AA$9</f>
        <v>-2.6111078443030745E-5</v>
      </c>
      <c r="J38" s="1162">
        <f t="shared" si="8"/>
        <v>8.0003876578953248E-2</v>
      </c>
      <c r="K38" s="859">
        <f t="shared" si="9"/>
        <v>44306</v>
      </c>
      <c r="L38" s="1163">
        <f>(K38&lt;&gt;"")*('2021'!O$383-'2021'!O$381)</f>
        <v>9.5265982743073477E-2</v>
      </c>
      <c r="M38" s="370"/>
      <c r="N38" s="370"/>
      <c r="O38" s="370"/>
      <c r="P38" s="370"/>
      <c r="Q38" s="370"/>
      <c r="R38" s="370"/>
      <c r="S38" s="863"/>
      <c r="T38" s="863"/>
    </row>
    <row r="39" spans="1:28" s="19" customFormat="1" ht="12.75" x14ac:dyDescent="0.2">
      <c r="A39" s="364">
        <f t="shared" si="7"/>
        <v>2022</v>
      </c>
      <c r="B39" s="1164">
        <f>'2022'!L$379</f>
        <v>3.684151185938267E-2</v>
      </c>
      <c r="C39" s="1165">
        <f>'2022'!O$379</f>
        <v>0.10212546462124136</v>
      </c>
      <c r="D39" s="1166">
        <f>'2022'!P$379</f>
        <v>1.1517093181135502E-3</v>
      </c>
      <c r="E39" s="1164">
        <f>'2022'!Wh_Ppv/Recap!B15</f>
        <v>3.3332076055731241E-2</v>
      </c>
      <c r="F39" s="1165">
        <f>'2022'!Wh_Psa/'2022'!D$9</f>
        <v>9.150835972314636E-2</v>
      </c>
      <c r="G39" s="1166">
        <f>'2022'!Wh_Pvg/'2022'!E$9</f>
        <v>4.8886297070358637E-4</v>
      </c>
      <c r="H39" s="1167">
        <f>H15/'2022'!Z$9</f>
        <v>6.8939720930957307E-2</v>
      </c>
      <c r="I39" s="1168">
        <f>I15/'2022'!AA$9</f>
        <v>-3.2713777972790752E-5</v>
      </c>
      <c r="J39" s="1169">
        <f t="shared" si="8"/>
        <v>0.11634846478203731</v>
      </c>
      <c r="K39" s="861" t="str">
        <f t="shared" si="9"/>
        <v/>
      </c>
      <c r="L39" s="1170">
        <f>(K39&lt;&gt;"")*('2022'!O$383-'2022'!O$381)</f>
        <v>0</v>
      </c>
      <c r="M39" s="370"/>
      <c r="N39" s="370"/>
      <c r="O39" s="370"/>
      <c r="P39" s="370"/>
      <c r="Q39" s="370"/>
      <c r="R39" s="370"/>
      <c r="S39" s="863"/>
      <c r="T39" s="863"/>
    </row>
    <row r="40" spans="1:28" s="19" customFormat="1" ht="12.75" x14ac:dyDescent="0.2">
      <c r="A40" s="1171">
        <f t="shared" si="7"/>
        <v>2023</v>
      </c>
      <c r="B40" s="1172">
        <f>'2023'!L$379</f>
        <v>4.4988107103373975E-2</v>
      </c>
      <c r="C40" s="1173">
        <f>'2023'!O$379</f>
        <v>5.618055230385325E-2</v>
      </c>
      <c r="D40" s="1174">
        <f>'2023'!P$379</f>
        <v>1.5314410605251016E-3</v>
      </c>
      <c r="E40" s="1172">
        <f>'2023'!Wh_Ppv/Recap!B16</f>
        <v>4.2599419210042545E-2</v>
      </c>
      <c r="F40" s="1173">
        <f>'2023'!Wh_Psa/'2023'!D$9</f>
        <v>5.4088959422383433E-2</v>
      </c>
      <c r="G40" s="1174">
        <f>'2023'!Wh_Pvg/'2023'!E$9</f>
        <v>6.582449441285993E-4</v>
      </c>
      <c r="H40" s="1172">
        <f>H16/'2023'!Z$9</f>
        <v>8.4772306789761345E-2</v>
      </c>
      <c r="I40" s="1175">
        <f>I16/'2023'!AA$9</f>
        <v>-5.343935193650947E-5</v>
      </c>
      <c r="J40" s="1174">
        <f t="shared" si="8"/>
        <v>9.2718168446033977E-2</v>
      </c>
      <c r="K40" s="859">
        <f t="shared" si="9"/>
        <v>45046</v>
      </c>
      <c r="L40" s="1163">
        <f>(K40&lt;&gt;"")*('2023'!O$383-'2023'!O$381)</f>
        <v>9.4570793348714266E-2</v>
      </c>
      <c r="M40" s="370"/>
      <c r="N40" s="370"/>
      <c r="O40" s="370"/>
      <c r="P40" s="370"/>
      <c r="Q40" s="370"/>
      <c r="R40" s="370"/>
      <c r="S40" s="863"/>
      <c r="T40" s="863"/>
    </row>
    <row r="41" spans="1:28" s="19" customFormat="1" ht="12.75" x14ac:dyDescent="0.2">
      <c r="A41" s="1171">
        <f t="shared" si="7"/>
        <v>2024</v>
      </c>
      <c r="B41" s="1172">
        <f>'2024'!L$379</f>
        <v>5.3065796746795235E-2</v>
      </c>
      <c r="C41" s="1173">
        <f>'2024'!O$379</f>
        <v>9.7037826382575132E-2</v>
      </c>
      <c r="D41" s="1174">
        <f>'2024'!P$379</f>
        <v>2.0554403043816158E-3</v>
      </c>
      <c r="E41" s="1172">
        <f>'2024'!Wh_Ppv/Recap!B17</f>
        <v>5.1436455727775755E-2</v>
      </c>
      <c r="F41" s="1173">
        <f>'2024'!Wh_Psa/'2024'!D$9</f>
        <v>8.2729150530739606E-2</v>
      </c>
      <c r="G41" s="1174">
        <f>'2024'!Wh_Pvg/'2024'!E$9</f>
        <v>7.9944041197932869E-4</v>
      </c>
      <c r="H41" s="1172">
        <f>H17/'2024'!Z$9</f>
        <v>6.7262784883582213E-2</v>
      </c>
      <c r="I41" s="1175">
        <f>I17/'2024'!AA$9</f>
        <v>-5.2812014698780213E-5</v>
      </c>
      <c r="J41" s="1174">
        <f t="shared" si="8"/>
        <v>0.12582774925563633</v>
      </c>
      <c r="K41" s="859" t="str">
        <f t="shared" si="9"/>
        <v/>
      </c>
      <c r="L41" s="1163">
        <f>(K41&lt;&gt;"")*('2024'!O$383-'2024'!O$381)</f>
        <v>0</v>
      </c>
      <c r="M41" s="370"/>
      <c r="N41" s="370"/>
      <c r="O41" s="370"/>
      <c r="P41" s="370"/>
      <c r="Q41" s="370"/>
      <c r="R41" s="370"/>
      <c r="S41" s="863"/>
      <c r="T41" s="863"/>
    </row>
    <row r="42" spans="1:28" s="19" customFormat="1" ht="12.75" x14ac:dyDescent="0.2">
      <c r="A42" s="1171">
        <f t="shared" si="7"/>
        <v>2025</v>
      </c>
      <c r="B42" s="1172">
        <f>'2025'!L$379</f>
        <v>6.1097013760201824E-2</v>
      </c>
      <c r="C42" s="1173">
        <f>'2025'!O$379</f>
        <v>5.618055230385325E-2</v>
      </c>
      <c r="D42" s="1174">
        <f>'2025'!P$379</f>
        <v>1.3041278576760731E-4</v>
      </c>
      <c r="E42" s="1172">
        <f>'2025'!Wh_Ppv/Recap!B18</f>
        <v>6.0485918730768674E-2</v>
      </c>
      <c r="F42" s="1173">
        <f>'2025'!Wh_Psa/'2025'!D$9</f>
        <v>5.1933982117341217E-2</v>
      </c>
      <c r="G42" s="1174">
        <f>'2025'!Wh_Pvg/'2025'!E$9</f>
        <v>3.131726327538643E-4</v>
      </c>
      <c r="H42" s="1172">
        <f>H18/'2025'!Z$9</f>
        <v>7.9572929179953317E-2</v>
      </c>
      <c r="I42" s="1175">
        <f>I18/'2025'!AA$9</f>
        <v>6.2076823164040353E-4</v>
      </c>
      <c r="J42" s="1174">
        <f t="shared" si="8"/>
        <v>0.10657211639040187</v>
      </c>
      <c r="K42" s="859">
        <f t="shared" si="9"/>
        <v>45777</v>
      </c>
      <c r="L42" s="1163">
        <f>(K42&lt;&gt;"")*('2025'!O$383-'2025'!O$381)</f>
        <v>9.014147930217202E-2</v>
      </c>
      <c r="M42" s="370"/>
      <c r="N42" s="370"/>
      <c r="O42" s="370"/>
      <c r="P42" s="370"/>
      <c r="Q42" s="370"/>
      <c r="R42" s="370"/>
      <c r="S42" s="863"/>
      <c r="T42" s="863"/>
    </row>
    <row r="43" spans="1:28" s="19" customFormat="1" ht="12.75" x14ac:dyDescent="0.2">
      <c r="A43" s="1171">
        <f t="shared" si="7"/>
        <v>2026</v>
      </c>
      <c r="B43" s="1172">
        <f>'2026'!L$379</f>
        <v>6.903845091353733E-2</v>
      </c>
      <c r="C43" s="1173">
        <f>'2026'!O$379</f>
        <v>9.7037826382575132E-2</v>
      </c>
      <c r="D43" s="1174">
        <f>'2026'!P$379</f>
        <v>3.0772627893687487E-4</v>
      </c>
      <c r="E43" s="1172">
        <f>'2026'!Wh_Ppv/Recap!B19</f>
        <v>6.9471243231570876E-2</v>
      </c>
      <c r="F43" s="1173">
        <f>'2026'!Wh_Psa/'2026'!D$9</f>
        <v>8.131370579688188E-2</v>
      </c>
      <c r="G43" s="1174">
        <f>'2026'!Wh_Pvg/'2026'!E$9</f>
        <v>1.2777658567610122E-4</v>
      </c>
      <c r="H43" s="1172">
        <f>H19/'2026'!Z$9</f>
        <v>6.2737644440508861E-2</v>
      </c>
      <c r="I43" s="1175">
        <f>I19/'2026'!AA$9</f>
        <v>9.7089862258290601E-4</v>
      </c>
      <c r="J43" s="1174">
        <f t="shared" si="8"/>
        <v>0.13989443956679348</v>
      </c>
      <c r="K43" s="859" t="str">
        <f t="shared" si="9"/>
        <v/>
      </c>
      <c r="L43" s="1163">
        <f>(K43&lt;&gt;"")*('2026'!O$383-'2026'!O$381)</f>
        <v>0</v>
      </c>
      <c r="M43" s="370"/>
      <c r="N43" s="370"/>
      <c r="O43" s="370"/>
      <c r="P43" s="370"/>
      <c r="Q43" s="370"/>
      <c r="R43" s="370"/>
      <c r="S43" s="863"/>
      <c r="T43" s="863"/>
    </row>
    <row r="44" spans="1:28" s="19" customFormat="1" ht="12.75" x14ac:dyDescent="0.2">
      <c r="A44" s="1171">
        <f t="shared" si="7"/>
        <v>2027</v>
      </c>
      <c r="B44" s="1172">
        <f>'2027'!L$379</f>
        <v>7.6912717736194791E-2</v>
      </c>
      <c r="C44" s="1173">
        <f>'2027'!O$379</f>
        <v>5.618055230385325E-2</v>
      </c>
      <c r="D44" s="1174">
        <f>'2027'!P$379</f>
        <v>5.3432558501181502E-4</v>
      </c>
      <c r="E44" s="1172">
        <f>'2027'!Wh_Ppv/Recap!B20</f>
        <v>7.8654163530002125E-2</v>
      </c>
      <c r="F44" s="1173">
        <f>'2027'!Wh_Psa/'2027'!D$9</f>
        <v>5.1055840868942375E-2</v>
      </c>
      <c r="G44" s="1174">
        <f>'2027'!Wh_Pvg/'2027'!E$9</f>
        <v>2.3484635883382098E-4</v>
      </c>
      <c r="H44" s="1172">
        <f>H20/'2027'!Z$9</f>
        <v>7.75242770098164E-2</v>
      </c>
      <c r="I44" s="1175">
        <f>I20/'2027'!AA$9</f>
        <v>1.0900913619934114E-3</v>
      </c>
      <c r="J44" s="1174">
        <f t="shared" si="8"/>
        <v>0.12154445820528537</v>
      </c>
      <c r="K44" s="859">
        <f t="shared" si="9"/>
        <v>46507</v>
      </c>
      <c r="L44" s="1163">
        <f>(K44&lt;&gt;"")*('2027'!O$383-'2027'!O$381)</f>
        <v>9.0060821602550467E-2</v>
      </c>
      <c r="M44" s="370"/>
      <c r="N44" s="370"/>
      <c r="O44" s="370"/>
      <c r="P44" s="370"/>
      <c r="Q44" s="370"/>
      <c r="R44" s="370"/>
      <c r="S44" s="863"/>
      <c r="T44" s="863"/>
    </row>
    <row r="45" spans="1:28" s="19" customFormat="1" ht="12.75" x14ac:dyDescent="0.2">
      <c r="A45" s="708"/>
      <c r="B45" s="865"/>
      <c r="C45" s="1176"/>
      <c r="D45" s="1177"/>
      <c r="E45" s="865"/>
      <c r="F45" s="1176"/>
      <c r="G45" s="1177"/>
      <c r="H45" s="1178"/>
      <c r="I45" s="709"/>
      <c r="J45" s="1177"/>
      <c r="K45" s="875"/>
      <c r="L45" s="1177"/>
      <c r="M45" s="10"/>
      <c r="N45" s="10"/>
      <c r="O45" s="10"/>
      <c r="P45" s="10"/>
      <c r="Q45" s="10"/>
      <c r="R45" s="10"/>
      <c r="S45" s="863"/>
      <c r="T45" s="863"/>
    </row>
    <row r="46" spans="1:28" s="19" customFormat="1" ht="12.75" x14ac:dyDescent="0.2">
      <c r="A46" s="708"/>
      <c r="B46" s="865"/>
      <c r="C46" s="1176"/>
      <c r="D46" s="1177"/>
      <c r="E46" s="865"/>
      <c r="F46" s="1176"/>
      <c r="G46" s="1177"/>
      <c r="H46" s="1178"/>
      <c r="I46" s="709"/>
      <c r="J46" s="1177"/>
      <c r="K46" s="875"/>
      <c r="L46" s="1177"/>
      <c r="M46" s="10"/>
      <c r="N46" s="10"/>
      <c r="O46" s="10"/>
      <c r="P46" s="864"/>
      <c r="Q46" s="10"/>
      <c r="R46" s="864"/>
      <c r="S46" s="863"/>
      <c r="T46" s="863"/>
    </row>
    <row r="47" spans="1:28" s="19" customFormat="1" ht="12.75" x14ac:dyDescent="0.2">
      <c r="A47" s="708"/>
      <c r="B47" s="865"/>
      <c r="C47" s="1176"/>
      <c r="D47" s="1177"/>
      <c r="E47" s="865"/>
      <c r="F47" s="1176"/>
      <c r="G47" s="1177"/>
      <c r="H47" s="1178"/>
      <c r="I47" s="709"/>
      <c r="J47" s="1177"/>
      <c r="K47" s="875"/>
      <c r="L47" s="1177"/>
      <c r="M47" s="10"/>
      <c r="N47" s="10"/>
      <c r="O47" s="10"/>
      <c r="P47" s="864"/>
      <c r="Q47" s="10"/>
      <c r="S47" s="863"/>
      <c r="T47" s="863"/>
    </row>
    <row r="48" spans="1:28" s="19" customFormat="1" ht="12.75" x14ac:dyDescent="0.2">
      <c r="A48" s="708"/>
      <c r="B48" s="865"/>
      <c r="C48" s="1176"/>
      <c r="D48" s="1177"/>
      <c r="E48" s="865"/>
      <c r="F48" s="1176"/>
      <c r="G48" s="1177"/>
      <c r="H48" s="1178"/>
      <c r="I48" s="709"/>
      <c r="J48" s="1177"/>
      <c r="K48" s="875"/>
      <c r="L48" s="1177"/>
      <c r="M48" s="10"/>
      <c r="N48" s="10"/>
      <c r="O48" s="10"/>
      <c r="P48" s="864"/>
      <c r="Q48" s="10"/>
      <c r="R48" s="864"/>
      <c r="S48" s="863"/>
      <c r="T48" s="863"/>
    </row>
    <row r="49" spans="1:30" s="19" customFormat="1" ht="12.75" x14ac:dyDescent="0.2">
      <c r="A49" s="708"/>
      <c r="B49" s="865"/>
      <c r="C49" s="1176"/>
      <c r="D49" s="1177"/>
      <c r="E49" s="865"/>
      <c r="F49" s="1176"/>
      <c r="G49" s="1177"/>
      <c r="H49" s="1178"/>
      <c r="I49" s="709"/>
      <c r="J49" s="1177"/>
      <c r="K49" s="875"/>
      <c r="L49" s="1177"/>
      <c r="M49" s="10"/>
      <c r="N49" s="10"/>
      <c r="O49" s="10"/>
      <c r="P49" s="864"/>
      <c r="Q49" s="10"/>
      <c r="R49" s="864"/>
      <c r="S49" s="863"/>
      <c r="T49" s="863"/>
    </row>
    <row r="50" spans="1:30" s="19" customFormat="1" ht="12.75" x14ac:dyDescent="0.2">
      <c r="A50" s="708"/>
      <c r="B50" s="865"/>
      <c r="C50" s="1176"/>
      <c r="D50" s="1177"/>
      <c r="E50" s="865"/>
      <c r="F50" s="1176"/>
      <c r="G50" s="1177"/>
      <c r="H50" s="1178"/>
      <c r="I50" s="709"/>
      <c r="J50" s="1177"/>
      <c r="K50" s="875"/>
      <c r="L50" s="1177"/>
      <c r="M50" s="10"/>
      <c r="N50" s="10"/>
      <c r="O50" s="10"/>
      <c r="P50" s="864"/>
      <c r="Q50" s="10"/>
      <c r="R50" s="864"/>
      <c r="S50" s="863"/>
      <c r="T50" s="863"/>
    </row>
    <row r="51" spans="1:30" s="19" customFormat="1" ht="12.75" x14ac:dyDescent="0.2">
      <c r="A51" s="708"/>
      <c r="B51" s="865"/>
      <c r="C51" s="1176"/>
      <c r="D51" s="1177"/>
      <c r="E51" s="865"/>
      <c r="F51" s="1176"/>
      <c r="G51" s="1177"/>
      <c r="H51" s="1178"/>
      <c r="I51" s="709"/>
      <c r="J51" s="1177"/>
      <c r="K51" s="875"/>
      <c r="L51" s="1177"/>
      <c r="M51" s="10"/>
      <c r="N51" s="10"/>
      <c r="O51" s="10"/>
      <c r="P51" s="864"/>
      <c r="Q51" s="10"/>
      <c r="R51" s="864"/>
      <c r="S51" s="863"/>
      <c r="T51" s="863"/>
    </row>
    <row r="52" spans="1:30" s="19" customFormat="1" ht="12.75" x14ac:dyDescent="0.2">
      <c r="A52" s="708"/>
      <c r="B52" s="865"/>
      <c r="C52" s="1176"/>
      <c r="D52" s="1177"/>
      <c r="E52" s="865"/>
      <c r="F52" s="1176"/>
      <c r="G52" s="1177"/>
      <c r="H52" s="1178"/>
      <c r="I52" s="709"/>
      <c r="J52" s="1177"/>
      <c r="K52" s="875"/>
      <c r="L52" s="1177"/>
      <c r="M52" s="10"/>
      <c r="N52" s="10"/>
      <c r="O52" s="10"/>
      <c r="P52" s="10"/>
      <c r="Q52" s="10"/>
      <c r="R52" s="10"/>
      <c r="S52" s="863"/>
      <c r="T52" s="863"/>
    </row>
    <row r="53" spans="1:30" s="19" customFormat="1" ht="12.75" x14ac:dyDescent="0.2">
      <c r="A53" s="708"/>
      <c r="B53" s="865"/>
      <c r="C53" s="1176"/>
      <c r="D53" s="1177"/>
      <c r="E53" s="865"/>
      <c r="F53" s="1176"/>
      <c r="G53" s="1177"/>
      <c r="H53" s="1178"/>
      <c r="I53" s="709"/>
      <c r="J53" s="1177"/>
      <c r="K53" s="875"/>
      <c r="L53" s="1177"/>
      <c r="M53" s="10"/>
      <c r="N53" s="10"/>
      <c r="O53" s="10"/>
      <c r="P53" s="10"/>
      <c r="Q53" s="10"/>
      <c r="R53" s="10"/>
      <c r="S53" s="863"/>
      <c r="T53" s="863"/>
    </row>
    <row r="54" spans="1:30" s="19" customFormat="1" ht="12.75" x14ac:dyDescent="0.2">
      <c r="A54" s="711"/>
      <c r="B54" s="867"/>
      <c r="C54" s="712"/>
      <c r="D54" s="1179"/>
      <c r="E54" s="867"/>
      <c r="F54" s="712"/>
      <c r="G54" s="1179"/>
      <c r="H54" s="1180"/>
      <c r="I54" s="712"/>
      <c r="J54" s="1179"/>
      <c r="K54" s="877"/>
      <c r="L54" s="1179"/>
      <c r="M54" s="10"/>
      <c r="N54" s="10"/>
      <c r="O54" s="10"/>
      <c r="P54" s="10"/>
      <c r="Q54" s="10"/>
      <c r="R54" s="10"/>
      <c r="S54" s="863"/>
      <c r="T54" s="863"/>
      <c r="AD54" s="30"/>
    </row>
    <row r="55" spans="1:30" s="19" customFormat="1" ht="12.75" x14ac:dyDescent="0.2">
      <c r="A55" s="1181"/>
      <c r="B55" s="709"/>
      <c r="C55" s="710"/>
      <c r="D55" s="707"/>
      <c r="E55" s="709"/>
      <c r="F55" s="709"/>
      <c r="G55" s="709"/>
      <c r="H55" s="710"/>
      <c r="I55" s="707"/>
      <c r="J55" s="709"/>
      <c r="K55" s="1182"/>
      <c r="L55" s="1182"/>
      <c r="M55" s="709"/>
      <c r="N55" s="1183"/>
      <c r="O55" s="10"/>
      <c r="P55" s="10"/>
      <c r="Q55" s="10"/>
      <c r="R55" s="10"/>
      <c r="S55" s="863"/>
      <c r="T55" s="863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2.1054451033372628</v>
      </c>
      <c r="C57" s="369">
        <f t="shared" ref="C57:N57" si="10">MIN(C$61:C$80)</f>
        <v>2.9540621637155136</v>
      </c>
      <c r="D57" s="369">
        <f t="shared" si="10"/>
        <v>4.1075951862692595</v>
      </c>
      <c r="E57" s="369">
        <f t="shared" si="10"/>
        <v>5.2586460102620274</v>
      </c>
      <c r="F57" s="369">
        <f t="shared" si="10"/>
        <v>6.0678290108848216</v>
      </c>
      <c r="G57" s="369">
        <f t="shared" si="10"/>
        <v>6.1186548848879756</v>
      </c>
      <c r="H57" s="369">
        <f t="shared" si="10"/>
        <v>5.8764032883252169</v>
      </c>
      <c r="I57" s="369">
        <f t="shared" si="10"/>
        <v>5.3135671101002568</v>
      </c>
      <c r="J57" s="369">
        <f t="shared" si="10"/>
        <v>4.3778164941763933</v>
      </c>
      <c r="K57" s="369">
        <f t="shared" si="10"/>
        <v>3.2148913303808975</v>
      </c>
      <c r="L57" s="369">
        <f t="shared" si="10"/>
        <v>2.250270253985041</v>
      </c>
      <c r="M57" s="369">
        <f t="shared" si="10"/>
        <v>1.813828914089272</v>
      </c>
      <c r="N57" s="369">
        <f t="shared" si="10"/>
        <v>4.1816437590281392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2.2301232979452026</v>
      </c>
      <c r="C58" s="369">
        <f t="shared" ref="C58:N58" si="11">AVERAGE(C$61:C$80)</f>
        <v>3.1283154072980133</v>
      </c>
      <c r="D58" s="369">
        <f t="shared" si="11"/>
        <v>4.3506863175367227</v>
      </c>
      <c r="E58" s="369">
        <f t="shared" si="11"/>
        <v>5.5781087477658771</v>
      </c>
      <c r="F58" s="369">
        <f t="shared" si="11"/>
        <v>6.3896656215189145</v>
      </c>
      <c r="G58" s="369">
        <f t="shared" si="11"/>
        <v>6.5073271137364088</v>
      </c>
      <c r="H58" s="369">
        <f t="shared" si="11"/>
        <v>6.2495142676108184</v>
      </c>
      <c r="I58" s="369">
        <f t="shared" si="11"/>
        <v>5.6463007769670828</v>
      </c>
      <c r="J58" s="369">
        <f t="shared" si="11"/>
        <v>4.6436787257351479</v>
      </c>
      <c r="K58" s="369">
        <f t="shared" si="11"/>
        <v>3.4041991167942931</v>
      </c>
      <c r="L58" s="369">
        <f t="shared" si="11"/>
        <v>2.3797877156952927</v>
      </c>
      <c r="M58" s="369">
        <f t="shared" si="11"/>
        <v>1.9184678629313463</v>
      </c>
      <c r="N58" s="369">
        <f t="shared" si="11"/>
        <v>4.3890982269091179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2.4286421738471287</v>
      </c>
      <c r="C59" s="369">
        <f t="shared" ref="C59:N59" si="12">MAX(C$61:C$80)</f>
        <v>3.4021958726935271</v>
      </c>
      <c r="D59" s="369">
        <f t="shared" si="12"/>
        <v>4.7219343387349637</v>
      </c>
      <c r="E59" s="369">
        <f t="shared" si="12"/>
        <v>6.0144852432792728</v>
      </c>
      <c r="F59" s="369">
        <f t="shared" si="12"/>
        <v>6.681456671374856</v>
      </c>
      <c r="G59" s="369">
        <f t="shared" si="12"/>
        <v>7.1104965466496193</v>
      </c>
      <c r="H59" s="369">
        <f t="shared" si="12"/>
        <v>6.8651999360571985</v>
      </c>
      <c r="I59" s="369">
        <f t="shared" si="12"/>
        <v>6.2162578404800763</v>
      </c>
      <c r="J59" s="369">
        <f t="shared" si="12"/>
        <v>5.1100447550734218</v>
      </c>
      <c r="K59" s="369">
        <f t="shared" si="12"/>
        <v>3.7418450541536044</v>
      </c>
      <c r="L59" s="369">
        <f t="shared" si="12"/>
        <v>2.6092816579795821</v>
      </c>
      <c r="M59" s="369">
        <f t="shared" si="12"/>
        <v>2.0965858777373501</v>
      </c>
      <c r="N59" s="369">
        <f t="shared" si="12"/>
        <v>4.82138738116155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7.1104965466496193</v>
      </c>
      <c r="H61" s="345">
        <f>AVERAGE('2018'!$V$196:$V$226)/Pc</f>
        <v>6.8651999360571985</v>
      </c>
      <c r="I61" s="345">
        <f>AVERAGE('2018'!$V$227:$V$257)/Pc</f>
        <v>6.2162578404800763</v>
      </c>
      <c r="J61" s="347">
        <f>AVERAGE('2018'!$V$258:$V$287)/Pc</f>
        <v>5.1100447550734218</v>
      </c>
      <c r="K61" s="348">
        <f>AVERAGE('2018'!$V$288:$V$318)/Pc</f>
        <v>3.7418450541536044</v>
      </c>
      <c r="L61" s="345">
        <f>AVERAGE('2018'!$V$319:$V$348)/Pc</f>
        <v>2.6092816579795821</v>
      </c>
      <c r="M61" s="349">
        <f>AVERAGE('2018'!$V$349:$V$379)/Pc</f>
        <v>2.0965858777373501</v>
      </c>
      <c r="N61" s="353">
        <f t="shared" ref="N61:N66" si="13">AVERAGE(B61:M61)</f>
        <v>4.82138738116155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2.4286421738471287</v>
      </c>
      <c r="C62" s="350">
        <f>AVERAGE('2019'!$V$46:$V$73)/Pc</f>
        <v>3.4021958726935271</v>
      </c>
      <c r="D62" s="350">
        <f>AVERAGE('2019'!$V$74:$V$104)/Pc</f>
        <v>4.7219343387349637</v>
      </c>
      <c r="E62" s="351">
        <f>AVERAGE('2019'!$V$105:$V$134)/Pc</f>
        <v>6.0144852432792728</v>
      </c>
      <c r="F62" s="350">
        <f>AVERAGE('2019'!$V$135:$V$165)/Pc</f>
        <v>6.633771407178803</v>
      </c>
      <c r="G62" s="350">
        <f>AVERAGE('2019'!$V$166:$V$195)/Pc</f>
        <v>6.6899988905063141</v>
      </c>
      <c r="H62" s="350">
        <f>AVERAGE('2019'!$V$196:$V$226)/Pc</f>
        <v>6.4236615094817502</v>
      </c>
      <c r="I62" s="350">
        <f>AVERAGE('2019'!$V$227:$V$257)/Pc</f>
        <v>5.8055824929949287</v>
      </c>
      <c r="J62" s="348">
        <f>AVERAGE('2019'!$V$258:$V$287)/Pc</f>
        <v>4.7803805274535387</v>
      </c>
      <c r="K62" s="348">
        <f>AVERAGE('2019'!$V$288:$V$318)/Pc</f>
        <v>3.5076886016414286</v>
      </c>
      <c r="L62" s="350">
        <f>AVERAGE('2019'!$V$319:$V$348)/Pc</f>
        <v>2.452737740081723</v>
      </c>
      <c r="M62" s="352">
        <f>AVERAGE('2019'!$V$349:$V$379)/Pc</f>
        <v>1.9755264619038029</v>
      </c>
      <c r="N62" s="354">
        <f t="shared" si="13"/>
        <v>4.5697171049830985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2.2920241466057041</v>
      </c>
      <c r="C63" s="350">
        <f>AVERAGE('2020'!$V$46:$V$74)/Pc</f>
        <v>3.2347008046568542</v>
      </c>
      <c r="D63" s="350">
        <f>AVERAGE('2020'!$V$75:$V$105)/Pc</f>
        <v>4.5135391274555641</v>
      </c>
      <c r="E63" s="351">
        <f>AVERAGE('2020'!$V$106:$V$135)/Pc</f>
        <v>5.7288795274256072</v>
      </c>
      <c r="F63" s="350">
        <f>AVERAGE('2020'!$V$136:$V$166)/Pc</f>
        <v>6.2982488425971654</v>
      </c>
      <c r="G63" s="350">
        <f>AVERAGE('2020'!$V$167:$V$196)/Pc</f>
        <v>6.3413506447642218</v>
      </c>
      <c r="H63" s="350">
        <f>AVERAGE('2020'!$V$197:$V$227)/Pc</f>
        <v>6.0851128453018717</v>
      </c>
      <c r="I63" s="350">
        <f>AVERAGE('2020'!$V$228:$V$258)/Pc</f>
        <v>5.4934135441624585</v>
      </c>
      <c r="J63" s="348">
        <f>AVERAGE('2020'!$V$259:$V$288)/Pc</f>
        <v>4.5100878498397377</v>
      </c>
      <c r="K63" s="348">
        <f>AVERAGE('2020'!$V$289:$V$319)/Pc</f>
        <v>3.3056041234128397</v>
      </c>
      <c r="L63" s="350">
        <f>AVERAGE('2020'!$V$320:$V$349)/Pc</f>
        <v>2.3159881715370352</v>
      </c>
      <c r="M63" s="352">
        <f>AVERAGE('2020'!$V$350:$V$380)/Pc</f>
        <v>1.8883987547097736</v>
      </c>
      <c r="N63" s="355">
        <f t="shared" si="13"/>
        <v>4.3339456985390692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2.1950338384363173</v>
      </c>
      <c r="C64" s="350">
        <f>AVERAGE('2021'!$V$46:$V$73)/Pc</f>
        <v>3.0810146790121822</v>
      </c>
      <c r="D64" s="350">
        <f>AVERAGE('2021'!$V$74:$V$104)/Pc</f>
        <v>4.287593189069522</v>
      </c>
      <c r="E64" s="351">
        <f>AVERAGE('2021'!$V$105:$V$134)/Pc</f>
        <v>5.6990268493494138</v>
      </c>
      <c r="F64" s="350">
        <f>AVERAGE('2021'!$V$135:$V$165)/Pc</f>
        <v>6.681456671374856</v>
      </c>
      <c r="G64" s="350">
        <f>AVERAGE('2021'!$V$166:$V$195)/Pc</f>
        <v>6.7295411213167498</v>
      </c>
      <c r="H64" s="350">
        <f>AVERAGE('2021'!$V$196:$V$226)/Pc</f>
        <v>6.4517976549001155</v>
      </c>
      <c r="I64" s="350">
        <f>AVERAGE('2021'!$V$227:$V$257)/Pc</f>
        <v>5.8205487732004828</v>
      </c>
      <c r="J64" s="348">
        <f>AVERAGE('2021'!$V$258:$V$287)/Pc</f>
        <v>4.7821518343458989</v>
      </c>
      <c r="K64" s="348">
        <f>AVERAGE('2021'!$V$288:$V$318)/Pc</f>
        <v>3.5013117229016846</v>
      </c>
      <c r="L64" s="350">
        <f>AVERAGE('2021'!$V$319:$V$348)/Pc</f>
        <v>2.4441923446014275</v>
      </c>
      <c r="M64" s="352">
        <f>AVERAGE('2021'!$V$349:$V$379)/Pc</f>
        <v>1.9661216242730351</v>
      </c>
      <c r="N64" s="354">
        <f t="shared" si="13"/>
        <v>4.4699825252318073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2.2774374730601332</v>
      </c>
      <c r="C65" s="546">
        <f>AVERAGE('2022'!$V$46:$V$73)/Pc</f>
        <v>3.1885334333476054</v>
      </c>
      <c r="D65" s="546">
        <f>AVERAGE('2022'!$V$74:$V$104)/Pc</f>
        <v>4.4297274506419599</v>
      </c>
      <c r="E65" s="548">
        <f>AVERAGE('2022'!$V$105:$V$134)/Pc</f>
        <v>5.6481037789346198</v>
      </c>
      <c r="F65" s="546">
        <f>AVERAGE('2022'!$V$135:$V$165)/Pc</f>
        <v>6.2318144598044523</v>
      </c>
      <c r="G65" s="546">
        <f>AVERAGE('2022'!$V$166:$V$195)/Pc</f>
        <v>6.2843944500340863</v>
      </c>
      <c r="H65" s="546">
        <f>AVERAGE('2022'!$V$196:$V$226)/Pc</f>
        <v>6.0364006142976852</v>
      </c>
      <c r="I65" s="546">
        <f>AVERAGE('2022'!$V$227:$V$257)/Pc</f>
        <v>5.4583974638047614</v>
      </c>
      <c r="J65" s="546">
        <f>AVERAGE('2022'!$V$258:$V$287)/Pc</f>
        <v>4.4943178631418368</v>
      </c>
      <c r="K65" s="546">
        <f>AVERAGE('2022'!$V$288:$V$318)/Pc</f>
        <v>3.2992679094897639</v>
      </c>
      <c r="L65" s="546">
        <f>AVERAGE('2022'!$V$319:$V$348)/Pc</f>
        <v>2.3108184040330242</v>
      </c>
      <c r="M65" s="547">
        <f>AVERAGE('2022'!$V$349:$V$379)/Pc</f>
        <v>1.8641624189385739</v>
      </c>
      <c r="N65" s="553">
        <f t="shared" si="13"/>
        <v>4.293614643294041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2.1640662548622478</v>
      </c>
      <c r="C66" s="546">
        <f>AVERAGE('2023'!$V$46:$V$73)/Pc</f>
        <v>3.0349251305785767</v>
      </c>
      <c r="D66" s="546">
        <f>AVERAGE('2023'!$V$74:$V$104)/Pc</f>
        <v>4.2233426959218461</v>
      </c>
      <c r="E66" s="548">
        <f>AVERAGE('2023'!$V$105:$V$134)/Pc</f>
        <v>5.4116298001518039</v>
      </c>
      <c r="F66" s="546">
        <f>AVERAGE('2023'!$V$135:$V$165)/Pc</f>
        <v>6.5841630496719983</v>
      </c>
      <c r="G66" s="546">
        <f>AVERAGE('2023'!$V$166:$V$195)/Pc</f>
        <v>6.6361100558380519</v>
      </c>
      <c r="H66" s="546">
        <f>AVERAGE('2023'!$V$196:$V$226)/Pc</f>
        <v>6.366299371512131</v>
      </c>
      <c r="I66" s="546">
        <f>AVERAGE('2023'!$V$227:$V$257)/Pc</f>
        <v>5.7460288592424789</v>
      </c>
      <c r="J66" s="546">
        <f>AVERAGE('2023'!$V$258:$V$287)/Pc</f>
        <v>4.7204847773137173</v>
      </c>
      <c r="K66" s="546">
        <f>AVERAGE('2023'!$V$288:$V$318)/Pc</f>
        <v>3.4564477264883333</v>
      </c>
      <c r="L66" s="546">
        <f>AVERAGE('2023'!$V$319:$V$348)/Pc</f>
        <v>2.414607525632201</v>
      </c>
      <c r="M66" s="547">
        <f>AVERAGE('2023'!$V$349:$V$379)/Pc</f>
        <v>1.9438239649692162</v>
      </c>
      <c r="N66" s="553">
        <f t="shared" si="13"/>
        <v>4.3918274343485502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2.25278164443022</v>
      </c>
      <c r="C67" s="546">
        <f>AVERAGE('2024'!$V$46:$V$73)/Pc</f>
        <v>3.1542890964386263</v>
      </c>
      <c r="D67" s="546">
        <f>AVERAGE('2024'!$V$74:$V$104)/Pc</f>
        <v>4.3845672249046217</v>
      </c>
      <c r="E67" s="548">
        <f>AVERAGE('2024'!$V$105:$V$134)/Pc</f>
        <v>5.591848572397625</v>
      </c>
      <c r="F67" s="546">
        <f>AVERAGE('2024'!$V$135:$V$165)/Pc</f>
        <v>6.1707651838276352</v>
      </c>
      <c r="G67" s="546">
        <f>AVERAGE('2024'!$V$166:$V$195)/Pc</f>
        <v>6.2225158763078952</v>
      </c>
      <c r="H67" s="546">
        <f>AVERAGE('2024'!$V$196:$V$226)/Pc</f>
        <v>5.9760014714056258</v>
      </c>
      <c r="I67" s="546">
        <f>AVERAGE('2024'!$V$227:$V$257)/Pc</f>
        <v>5.4016143575567268</v>
      </c>
      <c r="J67" s="546">
        <f>AVERAGE('2024'!$V$258:$V$287)/Pc</f>
        <v>4.4434733144178029</v>
      </c>
      <c r="K67" s="546">
        <f>AVERAGE('2024'!$V$288:$V$318)/Pc</f>
        <v>3.2595218043419503</v>
      </c>
      <c r="L67" s="546">
        <f>AVERAGE('2024'!$V$319:$V$348)/Pc</f>
        <v>2.2829367329706982</v>
      </c>
      <c r="M67" s="547">
        <f>AVERAGE('2024'!$V$349:$V$379)/Pc</f>
        <v>1.8415946936040395</v>
      </c>
      <c r="N67" s="553">
        <f>AVERAGE(B67:M67)</f>
        <v>4.2484924977169554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2.1372921675810881</v>
      </c>
      <c r="C68" s="546">
        <f>AVERAGE('2025'!$V$46:$V$73)/Pc</f>
        <v>2.9958065616238123</v>
      </c>
      <c r="D68" s="546">
        <f>AVERAGE('2025'!$V$74:$V$104)/Pc</f>
        <v>4.1703742046427408</v>
      </c>
      <c r="E68" s="548">
        <f>AVERAGE('2025'!$V$105:$V$134)/Pc</f>
        <v>5.3490963697368912</v>
      </c>
      <c r="F68" s="546">
        <f>AVERAGE('2025'!$V$135:$V$165)/Pc</f>
        <v>6.4741447405492645</v>
      </c>
      <c r="G68" s="546">
        <f>AVERAGE('2025'!$V$166:$V$195)/Pc</f>
        <v>6.5252403299576818</v>
      </c>
      <c r="H68" s="546">
        <f>AVERAGE('2025'!$V$196:$V$226)/Pc</f>
        <v>6.2600344910087324</v>
      </c>
      <c r="I68" s="546">
        <f>AVERAGE('2025'!$V$227:$V$257)/Pc</f>
        <v>5.6517734356683089</v>
      </c>
      <c r="J68" s="546">
        <f>AVERAGE('2025'!$V$258:$V$287)/Pc</f>
        <v>4.6495260413848429</v>
      </c>
      <c r="K68" s="546">
        <f>AVERAGE('2025'!$V$288:$V$318)/Pc</f>
        <v>3.4080930202547974</v>
      </c>
      <c r="L68" s="546">
        <f>AVERAGE('2025'!$V$319:$V$348)/Pc</f>
        <v>2.3795370451605127</v>
      </c>
      <c r="M68" s="547">
        <f>AVERAGE('2025'!$V$349:$V$379)/Pc</f>
        <v>1.9138348931308866</v>
      </c>
      <c r="N68" s="553">
        <f>AVERAGE(B68:M68)</f>
        <v>4.3262294417249638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2.2183868793467165</v>
      </c>
      <c r="C69" s="546">
        <f>AVERAGE('2026'!$V$46:$V$73)/Pc</f>
        <v>3.1093109236154231</v>
      </c>
      <c r="D69" s="546">
        <f>AVERAGE('2026'!$V$74:$V$104)/Pc</f>
        <v>4.3175034401900243</v>
      </c>
      <c r="E69" s="548">
        <f>AVERAGE('2026'!$V$105:$V$134)/Pc</f>
        <v>5.5012625783556315</v>
      </c>
      <c r="F69" s="546">
        <f>AVERAGE('2026'!$V$135:$V$165)/Pc</f>
        <v>6.0678290108848216</v>
      </c>
      <c r="G69" s="546">
        <f>AVERAGE('2026'!$V$166:$V$195)/Pc</f>
        <v>6.1186548848879756</v>
      </c>
      <c r="H69" s="546">
        <f>AVERAGE('2026'!$V$196:$V$226)/Pc</f>
        <v>5.8764032883252169</v>
      </c>
      <c r="I69" s="546">
        <f>AVERAGE('2026'!$V$227:$V$257)/Pc</f>
        <v>5.3135671101002568</v>
      </c>
      <c r="J69" s="546">
        <f>AVERAGE('2026'!$V$258:$V$287)/Pc</f>
        <v>4.3778164941763933</v>
      </c>
      <c r="K69" s="546">
        <f>AVERAGE('2026'!$V$288:$V$318)/Pc</f>
        <v>3.2148913303808975</v>
      </c>
      <c r="L69" s="546">
        <f>AVERAGE('2026'!$V$319:$V$348)/Pc</f>
        <v>2.250270253985041</v>
      </c>
      <c r="M69" s="547">
        <f>AVERAGE('2026'!$V$349:$V$379)/Pc</f>
        <v>1.813828914089272</v>
      </c>
      <c r="N69" s="553">
        <f>AVERAGE(B69:M69)</f>
        <v>4.1816437590281392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2.1054451033372628</v>
      </c>
      <c r="C70" s="546">
        <f>AVERAGE('2027'!$V$46:$V$73)/Pc</f>
        <v>2.9540621637155136</v>
      </c>
      <c r="D70" s="546">
        <f>AVERAGE('2027'!$V$74:$V$104)/Pc</f>
        <v>4.1075951862692595</v>
      </c>
      <c r="E70" s="548">
        <f>AVERAGE('2027'!$V$105:$V$134)/Pc</f>
        <v>5.2586460102620274</v>
      </c>
      <c r="F70" s="546">
        <f>AVERAGE('2027'!$V$135:$V$165)/Pc</f>
        <v>6.3647972277812404</v>
      </c>
      <c r="G70" s="546">
        <f>AVERAGE('2027'!$V$166:$V$195)/Pc</f>
        <v>6.4149683371014961</v>
      </c>
      <c r="H70" s="546">
        <f>AVERAGE('2027'!$V$196:$V$226)/Pc</f>
        <v>6.1542314938178517</v>
      </c>
      <c r="I70" s="546">
        <f>AVERAGE('2027'!$V$227:$V$257)/Pc</f>
        <v>5.5558238924603423</v>
      </c>
      <c r="J70" s="546">
        <f>AVERAGE('2027'!$V$258:$V$287)/Pc</f>
        <v>4.5685038002042848</v>
      </c>
      <c r="K70" s="546">
        <f>AVERAGE('2027'!$V$288:$V$318)/Pc</f>
        <v>3.3473198748776323</v>
      </c>
      <c r="L70" s="546">
        <f>AVERAGE('2027'!$V$319:$V$348)/Pc</f>
        <v>2.3375072809716806</v>
      </c>
      <c r="M70" s="547">
        <f>AVERAGE('2027'!$V$349:$V$379)/Pc</f>
        <v>1.8808010259575125</v>
      </c>
      <c r="N70" s="553">
        <f>AVERAGE(B70:M70)</f>
        <v>4.2541417830630079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'2022'!An+1</f>
        <v>2023</v>
      </c>
      <c r="K1" s="1274"/>
      <c r="L1" s="113" t="str">
        <f>"Calcul pertes et enveloppes en "&amp;TEXT(An,0)</f>
        <v>Calcul pertes et enveloppes en 2023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127.48600363077031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739.23339377309946</v>
      </c>
      <c r="AK4" s="833">
        <f>AM12-AK12</f>
        <v>-0.62841110070755413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867.02250302333698</v>
      </c>
      <c r="AA5" s="237">
        <f>Wh_Pvg_s-Wh_Pvg</f>
        <v>-0.62841110070755413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2553.0508366742979</v>
      </c>
      <c r="AK5" s="515">
        <f>SUMIF(AK15:AK380,"VRAI",Wh)</f>
        <v>0</v>
      </c>
      <c r="AL5" s="515">
        <f>SUMIF(AJ15:AJ380,"VRAI",Wh_s)</f>
        <v>2425.5613315456308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8123.712681225802</v>
      </c>
      <c r="AK6" s="515">
        <f>SUMIF(AK15:AK380,"FAUX",Wh)</f>
        <v>10676.763517900101</v>
      </c>
      <c r="AL6" s="515">
        <f>SUMIF(AJ15:AJ380,"FAUX",Wh_s)</f>
        <v>7384.4134198546735</v>
      </c>
      <c r="AM6" s="515">
        <f>SUMIF(AK15:AK380,"FAUX",Wh_s)</f>
        <v>9809.9747514003157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2655.1050898226968</v>
      </c>
      <c r="AK7" s="515">
        <f>SUMIF(AK15:AK380,"VRAI",Wh_sa)</f>
        <v>0</v>
      </c>
      <c r="AL7" s="515">
        <f>SUMIF(AJ15:AJ380,"VRAI",Wh_pvt_s)</f>
        <v>2522.5224747316743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8476.4823529829155</v>
      </c>
      <c r="AK8" s="515">
        <f>SUMIF(AK15:AK380,"FAUX",Wh_sa)</f>
        <v>11759.332363426869</v>
      </c>
      <c r="AL8" s="515">
        <f>SUMIF(AJ15:AJ380,"FAUX",Wh_pvt_s)</f>
        <v>7705.1395514248979</v>
      </c>
      <c r="AM8" s="515">
        <f>SUMIF(AK15:AK380,"FAUX",Wh_sa_s)</f>
        <v>11759.332363426869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11131.587442805616</v>
      </c>
      <c r="E9" s="184">
        <f>SUM(E$15:E$380)</f>
        <v>11759.332363426869</v>
      </c>
      <c r="F9" s="184">
        <f>SUM(F$15:F$380)</f>
        <v>11767.857733482053</v>
      </c>
      <c r="H9" s="1275">
        <f>+SUM(Wh)</f>
        <v>10676.763517900101</v>
      </c>
      <c r="I9" s="1276"/>
      <c r="J9" s="1277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9809.9747514003157</v>
      </c>
      <c r="Y9" s="1270"/>
      <c r="Z9" s="515">
        <f>SUM(Z$15:Z$380)</f>
        <v>10227.662026156571</v>
      </c>
      <c r="AA9" s="515">
        <f>SUM(AA$15:AA$380)</f>
        <v>11759.332363426869</v>
      </c>
      <c r="AB9" s="515">
        <f>F9</f>
        <v>11767.857733482053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2976.9931456002564</v>
      </c>
      <c r="AK9" s="515">
        <f>SUMIF(AK15:AK380,"VRAI",Wh_hp)</f>
        <v>0</v>
      </c>
      <c r="AL9" s="515">
        <f>SUMIF(AJ15:AJ380,"VRAI",Wh_sa_s)</f>
        <v>2976.9931456002564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1.7999999999999999E-2</v>
      </c>
      <c r="P10" s="420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0.40000000000000008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0.11166667222860432</v>
      </c>
      <c r="AD10" s="427"/>
      <c r="AE10" s="427"/>
      <c r="AF10" s="260"/>
      <c r="AG10" s="261"/>
      <c r="AH10" s="262"/>
      <c r="AI10" s="472"/>
      <c r="AJ10" s="515">
        <f>SUMIF(AJ15:AJ380,"FAUX",Wh_sa)</f>
        <v>8782.3392178266095</v>
      </c>
      <c r="AK10" s="515">
        <f>SUMIF(AK15:AK380,"FAUX",Wh_hp)</f>
        <v>11767.857733482053</v>
      </c>
      <c r="AL10" s="515">
        <f>SUMIF(AJ15:AJ380,"FAUX",Wh_sa_s)</f>
        <v>8782.3392178266095</v>
      </c>
      <c r="AM10" s="515">
        <f>SUMIF(AK15:AK380,"FAUX",Wh_hp)</f>
        <v>11767.857733482053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454.82392490551501</v>
      </c>
      <c r="E11" s="51">
        <f>(E$9-D$9)*Prod_an/D$9</f>
        <v>602.09598150062595</v>
      </c>
      <c r="F11" s="186">
        <f>(F$9-E$9)*Prod_an/E$9</f>
        <v>7.7405210745535484</v>
      </c>
      <c r="G11" s="185" t="s">
        <v>6</v>
      </c>
      <c r="K11" s="194"/>
      <c r="L11" s="211">
        <f>Tvie_2023</f>
        <v>43313</v>
      </c>
      <c r="M11" s="843"/>
      <c r="N11" s="843"/>
      <c r="O11" s="202">
        <f>IF(An_Tnet,Salim_2023,'2022'!Salim)</f>
        <v>0.18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0.79928972010184784</v>
      </c>
      <c r="V11" s="427"/>
      <c r="W11" s="518"/>
      <c r="X11" s="525" t="s">
        <v>43</v>
      </c>
      <c r="Y11" s="50">
        <f>Z$9-Prod_an_s</f>
        <v>417.68727475625565</v>
      </c>
      <c r="Z11" s="51">
        <f>(AA$9-Z$9)*Prod_an_s/Z$9</f>
        <v>1469.1184845239629</v>
      </c>
      <c r="AA11" s="186">
        <f>(AB$9-AA$9)*Prod_an_s/AA$9</f>
        <v>7.1121099738459943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309.51564714647128</v>
      </c>
      <c r="AK11" s="833">
        <f>IF($AK7=0,0,($AK9-$AK7)*$AK5/$AK7)</f>
        <v>0</v>
      </c>
      <c r="AL11" s="832">
        <f>IF($AL7=0,0,($AL9-$AL7)*$AL5/$AL7)</f>
        <v>437.00165077724159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Pspv_2023</f>
        <v>0</v>
      </c>
      <c r="M12" s="212"/>
      <c r="N12" s="212"/>
      <c r="O12" s="205">
        <f>IF(An_Tnet,Tau_2023*365,'2022'!Tau_j)</f>
        <v>912.5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0.39928972010184777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0.39928972010184777</v>
      </c>
      <c r="AJ12" s="832">
        <f>IF($AJ8=0,0,($AJ10-$AJ8)*$AJ6/$AJ8)</f>
        <v>293.12787877111634</v>
      </c>
      <c r="AK12" s="833">
        <f>IF($AK8=0,0,($AK10-$AK8)*$AK6/$AK8)</f>
        <v>7.7405210745535484</v>
      </c>
      <c r="AL12" s="832">
        <f>IF($AL8=0,0,($AL10-$AL8)*$AL6/$AL8)</f>
        <v>1032.3612725442158</v>
      </c>
      <c r="AM12" s="833">
        <f>IF($AM8=0,0,($AM10-$AM8)*$AM6/$AM8)</f>
        <v>7.1121099738459943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602.64352591758757</v>
      </c>
      <c r="AK13" s="73">
        <f>+AK11+AK12</f>
        <v>7.7405210745535484</v>
      </c>
      <c r="AL13" s="73">
        <f>+AL11+AL12</f>
        <v>1469.3629233214574</v>
      </c>
      <c r="AM13" s="73">
        <f>+AM11+AM12</f>
        <v>7.1121099738459943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2023</v>
      </c>
      <c r="W14" s="837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16.776016394982737</v>
      </c>
      <c r="C15" s="840"/>
      <c r="D15" s="393">
        <f t="shared" ref="D15:D78" si="0">Wh/(1-Ppv)</f>
        <v>17.41811655407286</v>
      </c>
      <c r="E15" s="400">
        <f t="shared" ref="E15:E79" si="1">Wh_pvt/(1-Psa)</f>
        <v>19.401028501150499</v>
      </c>
      <c r="F15" s="400">
        <f t="shared" ref="F15:F78" si="2">Wh_sa/(1-Pvg*MEDIAN((-Sdif+Wh/Env_an)/Csdif,0,1))</f>
        <v>19.422791328268406</v>
      </c>
      <c r="G15" s="123">
        <f>+Wh_hp/MaxiM</f>
        <v>0.97911579630797985</v>
      </c>
      <c r="H15" s="414" t="b">
        <f>Wh_hp&gt;='2022'!Maxi_hp</f>
        <v>0</v>
      </c>
      <c r="I15" s="396">
        <f>IF(H15,Wh_hp,'2022'!Maxi_hp)</f>
        <v>19.423010960329702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3.6863925964485622E-2</v>
      </c>
      <c r="M15" s="844"/>
      <c r="N15" s="844"/>
      <c r="O15" s="48">
        <f>IF(t&lt;Tnet,'2022'!Resal+('2022'!Salim-'2022'!Resal)*(1-EXP(('2022'!Tnet-t)/('2022'!Tau_j))),Resal+(Salim-Resal)*(1-EXP((Tnet-t)/(Tau_j))))*Salcycl</f>
        <v>0.10220653750186752</v>
      </c>
      <c r="P15" s="302">
        <f>(INDEX(Models!$BJ15:$BT15,,T15)*(1-R15)+INDEX(Models!$BJ15:$BT15,,T15+1)*R15-ERP_i)*Q15*Ramure*Pc/MaxiM</f>
        <v>1.1548785415992965E-3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0.39929067650043126</v>
      </c>
      <c r="S15" s="809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0.39929067650043126</v>
      </c>
      <c r="V15" s="382">
        <f t="shared" ref="V15:V78" si="9">MaxiM*(1-Ppv)*(1-Pvg)*(1-Psa)</f>
        <v>17.133253003682007</v>
      </c>
      <c r="W15" s="402">
        <f t="shared" ref="W15:W78" si="10">Wh*(A15&gt;Tmaj)</f>
        <v>16.776016394982737</v>
      </c>
      <c r="X15" s="156">
        <f t="shared" ref="X15:X78" si="11">t</f>
        <v>44927</v>
      </c>
      <c r="Y15" s="385">
        <f t="shared" ref="Y15:Y78" si="12">Wh_pvt_s*(1-Ppv)</f>
        <v>15.879120401000979</v>
      </c>
      <c r="Z15" s="385">
        <f>Wh_sa_s*(1-Psa_s)</f>
        <v>16.486891965813189</v>
      </c>
      <c r="AA15" s="386">
        <f t="shared" ref="AA15:AA78" si="13">Wh_hp*(1-Pvg_s*MEDIAN((-Sdif+Wh/Env_an)/Csdif,0,1))</f>
        <v>19.401028501150499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0.15020526026053191</v>
      </c>
      <c r="AD15" s="231">
        <f>(INDEX(Models!$BJ15:$BT15,,AH15)*(1-AF15)+INDEX(Models!$BJ15:$BT15,,AH15+1)*AF15-ERP_i)*AE15*Ramure*Pc/MaxiM</f>
        <v>1.1548785415992965E-3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0.39929067650043126</v>
      </c>
      <c r="AG15" s="809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0.39929067650043126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13.284643441691681</v>
      </c>
      <c r="C16" s="840"/>
      <c r="D16" s="393">
        <f t="shared" si="0"/>
        <v>13.793432683175494</v>
      </c>
      <c r="E16" s="385">
        <f t="shared" si="1"/>
        <v>15.365093816498112</v>
      </c>
      <c r="F16" s="385">
        <f t="shared" si="2"/>
        <v>15.37710732838161</v>
      </c>
      <c r="G16" s="110">
        <f t="shared" ref="G16:G79" si="21">+Wh_hp/MaxiM</f>
        <v>0.77145170044262612</v>
      </c>
      <c r="H16" s="414" t="b">
        <f>Wh_hp&gt;='2022'!Maxi_hp</f>
        <v>0</v>
      </c>
      <c r="I16" s="390">
        <f>IF(H16,Wh_hp,'2022'!Maxi_hp)</f>
        <v>17.983399088358674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3.6886339547979707E-2</v>
      </c>
      <c r="M16" s="844"/>
      <c r="N16" s="844"/>
      <c r="O16" s="48">
        <f>IF(t&lt;Tnet,'2022'!Resal+('2022'!Salim-'2022'!Resal)*(1-EXP(('2022'!Tnet-t)/('2022'!Tau_j))),Resal+(Salim-Resal)*(1-EXP((Tnet-t)/(Tau_j))))*Salcycl</f>
        <v>0.10228776681044816</v>
      </c>
      <c r="P16" s="169">
        <f>(INDEX(Models!$BJ16:$BT16,,T16)*(1-R16)+INDEX(Models!$BJ16:$BT16,,T16+1)*R16-ERP_i)*Q16*Ramure*Pc/MaxiM</f>
        <v>1.1592772235771718E-3</v>
      </c>
      <c r="Q16" s="305">
        <f t="shared" si="4"/>
        <v>0.7</v>
      </c>
      <c r="R16" s="177">
        <f t="shared" si="5"/>
        <v>0.39931404819162664</v>
      </c>
      <c r="S16" s="810">
        <f t="shared" si="6"/>
        <v>0</v>
      </c>
      <c r="T16" s="176">
        <f t="shared" si="7"/>
        <v>6</v>
      </c>
      <c r="U16" s="251">
        <f t="shared" si="8"/>
        <v>0.39931404819162664</v>
      </c>
      <c r="V16" s="383">
        <f t="shared" si="9"/>
        <v>17.213803116365085</v>
      </c>
      <c r="W16" s="402">
        <f t="shared" si="10"/>
        <v>13.284643441691681</v>
      </c>
      <c r="X16" s="157">
        <f t="shared" si="11"/>
        <v>44928</v>
      </c>
      <c r="Y16" s="385">
        <f t="shared" si="12"/>
        <v>12.575148773334043</v>
      </c>
      <c r="Z16" s="385">
        <f t="shared" ref="Z16:Z78" si="22">Wh_sa_s*(1-Psa_s)</f>
        <v>13.056765042074183</v>
      </c>
      <c r="AA16" s="386">
        <f t="shared" si="13"/>
        <v>15.365093816498112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0.1502320000119611</v>
      </c>
      <c r="AD16" s="231">
        <f>(INDEX(Models!$BJ16:$BT16,,AH16)*(1-AF16)+INDEX(Models!$BJ16:$BT16,,AH16+1)*AF16-ERP_i)*AE16*Ramure*Pc/MaxiM</f>
        <v>1.1592772235771718E-3</v>
      </c>
      <c r="AE16" s="305">
        <f t="shared" si="15"/>
        <v>0.7</v>
      </c>
      <c r="AF16" s="177">
        <f t="shared" ref="AF16:AF78" si="23">(Hp_vg_s-AG16)/(INDEX(Echel_vg,AH16+1)-AG16)</f>
        <v>0.39931404819162664</v>
      </c>
      <c r="AG16" s="810">
        <f t="shared" ref="AG16:AG79" si="24">INDEX(Echel_vg,AH16)</f>
        <v>0</v>
      </c>
      <c r="AH16" s="176">
        <f t="shared" si="16"/>
        <v>6</v>
      </c>
      <c r="AI16" s="225">
        <f t="shared" si="17"/>
        <v>0.39931404819162664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13.130791457165921</v>
      </c>
      <c r="C17" s="840"/>
      <c r="D17" s="393">
        <f t="shared" si="0"/>
        <v>13.634005596820652</v>
      </c>
      <c r="E17" s="385">
        <f t="shared" si="1"/>
        <v>15.188877738617949</v>
      </c>
      <c r="F17" s="385">
        <f t="shared" si="2"/>
        <v>15.200486290119597</v>
      </c>
      <c r="G17" s="110">
        <f t="shared" si="21"/>
        <v>0.75863742400653544</v>
      </c>
      <c r="H17" s="414" t="b">
        <f>Wh_hp&gt;='2022'!Maxi_hp</f>
        <v>0</v>
      </c>
      <c r="I17" s="390">
        <f>IF(H17,Wh_hp,'2022'!Maxi_hp)</f>
        <v>19.915594108485788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3.6908752609876916E-2</v>
      </c>
      <c r="M17" s="844"/>
      <c r="N17" s="844"/>
      <c r="O17" s="48">
        <f>IF(t&lt;Tnet,'2022'!Resal+('2022'!Salim-'2022'!Resal)*(1-EXP(('2022'!Tnet-t)/('2022'!Tau_j))),Resal+(Salim-Resal)*(1-EXP((Tnet-t)/(Tau_j))))*Salcycl</f>
        <v>0.10236912618264156</v>
      </c>
      <c r="P17" s="169">
        <f>(INDEX(Models!$BJ17:$BT17,,T17)*(1-R17)+INDEX(Models!$BJ17:$BT17,,T17+1)*R17-ERP_i)*Q17*Ramure*Pc/MaxiM</f>
        <v>1.164825048263084E-3</v>
      </c>
      <c r="Q17" s="305">
        <f t="shared" si="4"/>
        <v>0.7</v>
      </c>
      <c r="R17" s="177">
        <f t="shared" si="5"/>
        <v>0.3993383974680183</v>
      </c>
      <c r="S17" s="810">
        <f t="shared" si="6"/>
        <v>0</v>
      </c>
      <c r="T17" s="176">
        <f t="shared" si="7"/>
        <v>6</v>
      </c>
      <c r="U17" s="251">
        <f t="shared" si="8"/>
        <v>0.3993383974680183</v>
      </c>
      <c r="V17" s="383">
        <f t="shared" si="9"/>
        <v>17.301440550079597</v>
      </c>
      <c r="W17" s="402">
        <f t="shared" si="10"/>
        <v>13.130791457165921</v>
      </c>
      <c r="X17" s="157">
        <f t="shared" si="11"/>
        <v>44929</v>
      </c>
      <c r="Y17" s="385">
        <f t="shared" si="12"/>
        <v>12.4302446275364</v>
      </c>
      <c r="Z17" s="385">
        <f t="shared" si="22"/>
        <v>12.906611560660599</v>
      </c>
      <c r="AA17" s="386">
        <f t="shared" si="13"/>
        <v>15.188877738617949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0.15025903935974502</v>
      </c>
      <c r="AD17" s="231">
        <f>(INDEX(Models!$BJ17:$BT17,,AH17)*(1-AF17)+INDEX(Models!$BJ17:$BT17,,AH17+1)*AF17-ERP_i)*AE17*Ramure*Pc/MaxiM</f>
        <v>1.164825048263084E-3</v>
      </c>
      <c r="AE17" s="305">
        <f t="shared" si="15"/>
        <v>0.7</v>
      </c>
      <c r="AF17" s="177">
        <f>(Hp_vg_s-AG17)/(INDEX(Echel_vg,AH17+1)-AG17)</f>
        <v>0.3993383974680183</v>
      </c>
      <c r="AG17" s="810">
        <f>INDEX(Echel_vg,AH17)</f>
        <v>0</v>
      </c>
      <c r="AH17" s="176">
        <f t="shared" si="16"/>
        <v>6</v>
      </c>
      <c r="AI17" s="225">
        <f t="shared" si="17"/>
        <v>0.3993383974680183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13.600694203832299</v>
      </c>
      <c r="C18" s="840"/>
      <c r="D18" s="393">
        <f t="shared" si="0"/>
        <v>14.122245172592789</v>
      </c>
      <c r="E18" s="385">
        <f t="shared" si="1"/>
        <v>15.734225940017438</v>
      </c>
      <c r="F18" s="385">
        <f t="shared" si="2"/>
        <v>15.746922647892688</v>
      </c>
      <c r="G18" s="110">
        <f t="shared" si="21"/>
        <v>0.78151331398811552</v>
      </c>
      <c r="H18" s="414" t="b">
        <f>Wh_hp&gt;='2022'!Maxi_hp</f>
        <v>0</v>
      </c>
      <c r="I18" s="390">
        <f>IF(H18,Wh_hp,'2022'!Maxi_hp)</f>
        <v>20.019430838359703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3.693116515018946E-2</v>
      </c>
      <c r="M18" s="844"/>
      <c r="N18" s="844"/>
      <c r="O18" s="48">
        <f>IF(t&lt;Tnet,'2022'!Resal+('2022'!Salim-'2022'!Resal)*(1-EXP(('2022'!Tnet-t)/('2022'!Tau_j))),Resal+(Salim-Resal)*(1-EXP((Tnet-t)/(Tau_j))))*Salcycl</f>
        <v>0.10245059233100492</v>
      </c>
      <c r="P18" s="169">
        <f>(INDEX(Models!$BJ18:$BT18,,T18)*(1-R18)+INDEX(Models!$BJ18:$BT18,,T18+1)*R18-ERP_i)*Q18*Ramure*Pc/MaxiM</f>
        <v>1.1714602421905593E-3</v>
      </c>
      <c r="Q18" s="305">
        <f t="shared" si="4"/>
        <v>0.7</v>
      </c>
      <c r="R18" s="177">
        <f t="shared" si="5"/>
        <v>0.39936376509305443</v>
      </c>
      <c r="S18" s="810">
        <f t="shared" si="6"/>
        <v>0</v>
      </c>
      <c r="T18" s="176">
        <f t="shared" si="7"/>
        <v>6</v>
      </c>
      <c r="U18" s="251">
        <f t="shared" si="8"/>
        <v>0.39936376509305443</v>
      </c>
      <c r="V18" s="383">
        <f t="shared" si="9"/>
        <v>17.396662973039295</v>
      </c>
      <c r="W18" s="402">
        <f t="shared" si="10"/>
        <v>13.600694203832299</v>
      </c>
      <c r="X18" s="157">
        <f t="shared" si="11"/>
        <v>44930</v>
      </c>
      <c r="Y18" s="385">
        <f t="shared" si="12"/>
        <v>12.875832244466272</v>
      </c>
      <c r="Z18" s="385">
        <f>Wh_sa_s*(1-Psa_s)</f>
        <v>13.369586657296665</v>
      </c>
      <c r="AA18" s="386">
        <f t="shared" si="13"/>
        <v>15.734225940017438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0.15028634339784708</v>
      </c>
      <c r="AD18" s="231">
        <f>(INDEX(Models!$BJ18:$BT18,,AH18)*(1-AF18)+INDEX(Models!$BJ18:$BT18,,AH18+1)*AF18-ERP_i)*AE18*Ramure*Pc/MaxiM</f>
        <v>1.1714602421905593E-3</v>
      </c>
      <c r="AE18" s="305">
        <f t="shared" si="15"/>
        <v>0.7</v>
      </c>
      <c r="AF18" s="177">
        <f t="shared" si="23"/>
        <v>0.39936376509305443</v>
      </c>
      <c r="AG18" s="810">
        <f t="shared" si="24"/>
        <v>0</v>
      </c>
      <c r="AH18" s="176">
        <f t="shared" si="16"/>
        <v>6</v>
      </c>
      <c r="AI18" s="225">
        <f t="shared" si="17"/>
        <v>0.39936376509305443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11.639932393559032</v>
      </c>
      <c r="C19" s="840"/>
      <c r="D19" s="393">
        <f t="shared" si="0"/>
        <v>12.086574559242001</v>
      </c>
      <c r="E19" s="385">
        <f t="shared" si="1"/>
        <v>13.467417792925049</v>
      </c>
      <c r="F19" s="385">
        <f t="shared" si="2"/>
        <v>13.475706195620633</v>
      </c>
      <c r="G19" s="110">
        <f t="shared" si="21"/>
        <v>0.66476481152162992</v>
      </c>
      <c r="H19" s="414" t="b">
        <f>Wh_hp&gt;='2022'!Maxi_hp</f>
        <v>0</v>
      </c>
      <c r="I19" s="390">
        <f>IF(H19,Wh_hp,'2022'!Maxi_hp)</f>
        <v>19.724952113879578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3.6953577168929441E-2</v>
      </c>
      <c r="M19" s="844"/>
      <c r="N19" s="844"/>
      <c r="O19" s="48">
        <f>IF(t&lt;Tnet,'2022'!Resal+('2022'!Salim-'2022'!Resal)*(1-EXP(('2022'!Tnet-t)/('2022'!Tau_j))),Resal+(Salim-Resal)*(1-EXP((Tnet-t)/(Tau_j))))*Salcycl</f>
        <v>0.10253214498242252</v>
      </c>
      <c r="P19" s="169">
        <f>(INDEX(Models!$BJ19:$BT19,,T19)*(1-R19)+INDEX(Models!$BJ19:$BT19,,T19+1)*R19-ERP_i)*Q19*Ramure*Pc/MaxiM</f>
        <v>1.1791191093293736E-3</v>
      </c>
      <c r="Q19" s="305">
        <f t="shared" si="4"/>
        <v>0.7</v>
      </c>
      <c r="R19" s="177">
        <f t="shared" si="5"/>
        <v>0.39939019351910376</v>
      </c>
      <c r="S19" s="810">
        <f t="shared" si="6"/>
        <v>0</v>
      </c>
      <c r="T19" s="176">
        <f t="shared" si="7"/>
        <v>6</v>
      </c>
      <c r="U19" s="251">
        <f t="shared" si="8"/>
        <v>0.39939019351910376</v>
      </c>
      <c r="V19" s="383">
        <f t="shared" si="9"/>
        <v>17.499967765141651</v>
      </c>
      <c r="W19" s="402">
        <f t="shared" si="10"/>
        <v>11.639932393559032</v>
      </c>
      <c r="X19" s="157">
        <f t="shared" si="11"/>
        <v>44931</v>
      </c>
      <c r="Y19" s="385">
        <f t="shared" si="12"/>
        <v>11.020215283644328</v>
      </c>
      <c r="Z19" s="385">
        <f t="shared" si="22"/>
        <v>11.443077947632231</v>
      </c>
      <c r="AA19" s="386">
        <f t="shared" si="13"/>
        <v>13.467417792925049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0.15031388172692467</v>
      </c>
      <c r="AD19" s="231">
        <f>(INDEX(Models!$BJ19:$BT19,,AH19)*(1-AF19)+INDEX(Models!$BJ19:$BT19,,AH19+1)*AF19-ERP_i)*AE19*Ramure*Pc/MaxiM</f>
        <v>1.1791191093293736E-3</v>
      </c>
      <c r="AE19" s="305">
        <f t="shared" si="15"/>
        <v>0.7</v>
      </c>
      <c r="AF19" s="177">
        <f t="shared" si="23"/>
        <v>0.39939019351910376</v>
      </c>
      <c r="AG19" s="810">
        <f t="shared" si="24"/>
        <v>0</v>
      </c>
      <c r="AH19" s="176">
        <f t="shared" si="16"/>
        <v>6</v>
      </c>
      <c r="AI19" s="225">
        <f t="shared" si="17"/>
        <v>0.39939019351910376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14.953733675441248</v>
      </c>
      <c r="C20" s="840"/>
      <c r="D20" s="393">
        <f t="shared" si="0"/>
        <v>15.527892866065438</v>
      </c>
      <c r="E20" s="385">
        <f t="shared" si="1"/>
        <v>17.303466769859178</v>
      </c>
      <c r="F20" s="385">
        <f t="shared" si="2"/>
        <v>17.319602523245056</v>
      </c>
      <c r="G20" s="110">
        <f t="shared" si="21"/>
        <v>0.84885454384343961</v>
      </c>
      <c r="H20" s="414" t="b">
        <f>Wh_hp&gt;='2022'!Maxi_hp</f>
        <v>0</v>
      </c>
      <c r="I20" s="390">
        <f>IF(H20,Wh_hp,'2022'!Maxi_hp)</f>
        <v>19.527156693189088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3.6975988666108961E-2</v>
      </c>
      <c r="M20" s="844"/>
      <c r="N20" s="844"/>
      <c r="O20" s="48">
        <f>IF(t&lt;Tnet,'2022'!Resal+('2022'!Salim-'2022'!Resal)*(1-EXP(('2022'!Tnet-t)/('2022'!Tau_j))),Resal+(Salim-Resal)*(1-EXP((Tnet-t)/(Tau_j))))*Salcycl</f>
        <v>0.10261376679074526</v>
      </c>
      <c r="P20" s="169">
        <f>(INDEX(Models!$BJ20:$BT20,,T20)*(1-R20)+INDEX(Models!$BJ20:$BT20,,T20+1)*R20-ERP_i)*Q20*Ramure*Pc/MaxiM</f>
        <v>1.1877360085969836E-3</v>
      </c>
      <c r="Q20" s="305">
        <f t="shared" si="4"/>
        <v>0.7</v>
      </c>
      <c r="R20" s="177">
        <f t="shared" si="5"/>
        <v>0.39941772695650435</v>
      </c>
      <c r="S20" s="810">
        <f t="shared" si="6"/>
        <v>0</v>
      </c>
      <c r="T20" s="176">
        <f t="shared" si="7"/>
        <v>6</v>
      </c>
      <c r="U20" s="251">
        <f t="shared" si="8"/>
        <v>0.39941772695650435</v>
      </c>
      <c r="V20" s="383">
        <f t="shared" si="9"/>
        <v>17.611852023357876</v>
      </c>
      <c r="W20" s="402">
        <f t="shared" si="10"/>
        <v>14.953733675441248</v>
      </c>
      <c r="X20" s="157">
        <f t="shared" si="11"/>
        <v>44932</v>
      </c>
      <c r="Y20" s="385">
        <f t="shared" si="12"/>
        <v>14.158413105904192</v>
      </c>
      <c r="Z20" s="385">
        <f t="shared" si="22"/>
        <v>14.7020354002319</v>
      </c>
      <c r="AA20" s="386">
        <f t="shared" si="13"/>
        <v>17.303466769859178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0.15034162831223494</v>
      </c>
      <c r="AD20" s="231">
        <f>(INDEX(Models!$BJ20:$BT20,,AH20)*(1-AF20)+INDEX(Models!$BJ20:$BT20,,AH20+1)*AF20-ERP_i)*AE20*Ramure*Pc/MaxiM</f>
        <v>1.1877360085969836E-3</v>
      </c>
      <c r="AE20" s="305">
        <f t="shared" si="15"/>
        <v>0.7</v>
      </c>
      <c r="AF20" s="177">
        <f t="shared" si="23"/>
        <v>0.39941772695650435</v>
      </c>
      <c r="AG20" s="810">
        <f t="shared" si="24"/>
        <v>0</v>
      </c>
      <c r="AH20" s="176">
        <f t="shared" si="16"/>
        <v>6</v>
      </c>
      <c r="AI20" s="225">
        <f t="shared" si="17"/>
        <v>0.39941772695650435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9.28829890113429</v>
      </c>
      <c r="C21" s="840"/>
      <c r="D21" s="393">
        <f t="shared" si="0"/>
        <v>9.6451541697114731</v>
      </c>
      <c r="E21" s="385">
        <f t="shared" si="1"/>
        <v>10.749030635028815</v>
      </c>
      <c r="F21" s="385">
        <f t="shared" si="2"/>
        <v>10.753146525611442</v>
      </c>
      <c r="G21" s="110">
        <f t="shared" si="21"/>
        <v>0.52336485374202091</v>
      </c>
      <c r="H21" s="414" t="b">
        <f>Wh_hp&gt;='2022'!Maxi_hp</f>
        <v>0</v>
      </c>
      <c r="I21" s="390">
        <f>IF(H21,Wh_hp,'2022'!Maxi_hp)</f>
        <v>12.454416389518343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3.6998399641740232E-2</v>
      </c>
      <c r="M21" s="844"/>
      <c r="N21" s="844"/>
      <c r="O21" s="48">
        <f>IF(t&lt;Tnet,'2022'!Resal+('2022'!Salim-'2022'!Resal)*(1-EXP(('2022'!Tnet-t)/('2022'!Tau_j))),Resal+(Salim-Resal)*(1-EXP((Tnet-t)/(Tau_j))))*Salcycl</f>
        <v>0.10269544322629816</v>
      </c>
      <c r="P21" s="169">
        <f>(INDEX(Models!$BJ21:$BT21,,T21)*(1-R21)+INDEX(Models!$BJ21:$BT21,,T21+1)*R21-ERP_i)*Q21*Ramure*Pc/MaxiM</f>
        <v>1.1972433853911504E-3</v>
      </c>
      <c r="Q21" s="305">
        <f t="shared" si="4"/>
        <v>0.7</v>
      </c>
      <c r="R21" s="177">
        <f t="shared" si="5"/>
        <v>0.39944641144535487</v>
      </c>
      <c r="S21" s="810">
        <f t="shared" si="6"/>
        <v>0</v>
      </c>
      <c r="T21" s="176">
        <f t="shared" si="7"/>
        <v>6</v>
      </c>
      <c r="U21" s="251">
        <f t="shared" si="8"/>
        <v>0.39944641144535487</v>
      </c>
      <c r="V21" s="383">
        <f t="shared" si="9"/>
        <v>17.732812562585952</v>
      </c>
      <c r="W21" s="402">
        <f t="shared" si="10"/>
        <v>9.28829890113429</v>
      </c>
      <c r="X21" s="157">
        <f t="shared" si="11"/>
        <v>44933</v>
      </c>
      <c r="Y21" s="385">
        <f t="shared" si="12"/>
        <v>8.7948081958320454</v>
      </c>
      <c r="Z21" s="385">
        <f t="shared" si="22"/>
        <v>9.1327036139505537</v>
      </c>
      <c r="AA21" s="386">
        <f t="shared" si="13"/>
        <v>10.749030635028815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0.15036956130825355</v>
      </c>
      <c r="AD21" s="231">
        <f>(INDEX(Models!$BJ21:$BT21,,AH21)*(1-AF21)+INDEX(Models!$BJ21:$BT21,,AH21+1)*AF21-ERP_i)*AE21*Ramure*Pc/MaxiM</f>
        <v>1.1972433853911504E-3</v>
      </c>
      <c r="AE21" s="305">
        <f t="shared" si="15"/>
        <v>0.7</v>
      </c>
      <c r="AF21" s="177">
        <f t="shared" si="23"/>
        <v>0.39944641144535487</v>
      </c>
      <c r="AG21" s="810">
        <f t="shared" si="24"/>
        <v>0</v>
      </c>
      <c r="AH21" s="176">
        <f t="shared" si="16"/>
        <v>6</v>
      </c>
      <c r="AI21" s="225">
        <f t="shared" si="17"/>
        <v>0.39944641144535487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6.753239719954256</v>
      </c>
      <c r="C22" s="840"/>
      <c r="D22" s="393">
        <f t="shared" si="0"/>
        <v>7.0128615350725658</v>
      </c>
      <c r="E22" s="385">
        <f t="shared" si="1"/>
        <v>7.8161870624872209</v>
      </c>
      <c r="F22" s="385">
        <f t="shared" si="2"/>
        <v>7.8172396103009163</v>
      </c>
      <c r="G22" s="110">
        <f t="shared" si="21"/>
        <v>0.37764442561840178</v>
      </c>
      <c r="H22" s="414" t="b">
        <f>Wh_hp&gt;='2022'!Maxi_hp</f>
        <v>0</v>
      </c>
      <c r="I22" s="390">
        <f>IF(H22,Wh_hp,'2022'!Maxi_hp)</f>
        <v>15.458337172992977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3.7020810095835355E-2</v>
      </c>
      <c r="M22" s="844"/>
      <c r="N22" s="844"/>
      <c r="O22" s="48">
        <f>IF(t&lt;Tnet,'2022'!Resal+('2022'!Salim-'2022'!Resal)*(1-EXP(('2022'!Tnet-t)/('2022'!Tau_j))),Resal+(Salim-Resal)*(1-EXP((Tnet-t)/(Tau_j))))*Salcycl</f>
        <v>0.10277716244409142</v>
      </c>
      <c r="P22" s="169">
        <f>(INDEX(Models!$BJ22:$BT22,,T22)*(1-R22)+INDEX(Models!$BJ22:$BT22,,T22+1)*R22-ERP_i)*Q22*Ramure*Pc/MaxiM</f>
        <v>1.2075718558030553E-3</v>
      </c>
      <c r="Q22" s="305">
        <f t="shared" si="4"/>
        <v>0.7</v>
      </c>
      <c r="R22" s="177">
        <f t="shared" si="5"/>
        <v>0.39947629493015258</v>
      </c>
      <c r="S22" s="810">
        <f t="shared" si="6"/>
        <v>0</v>
      </c>
      <c r="T22" s="176">
        <f t="shared" si="7"/>
        <v>6</v>
      </c>
      <c r="U22" s="251">
        <f t="shared" si="8"/>
        <v>0.39947629493015258</v>
      </c>
      <c r="V22" s="383">
        <f t="shared" si="9"/>
        <v>17.863345916217355</v>
      </c>
      <c r="W22" s="402">
        <f t="shared" si="10"/>
        <v>6.753239719954256</v>
      </c>
      <c r="X22" s="157">
        <f t="shared" si="11"/>
        <v>44934</v>
      </c>
      <c r="Y22" s="385">
        <f t="shared" si="12"/>
        <v>6.3948085238419914</v>
      </c>
      <c r="Z22" s="385">
        <f t="shared" si="22"/>
        <v>6.6406507958686012</v>
      </c>
      <c r="AA22" s="386">
        <f t="shared" si="13"/>
        <v>7.8161870624872209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0.15039766285283199</v>
      </c>
      <c r="AD22" s="231">
        <f>(INDEX(Models!$BJ22:$BT22,,AH22)*(1-AF22)+INDEX(Models!$BJ22:$BT22,,AH22+1)*AF22-ERP_i)*AE22*Ramure*Pc/MaxiM</f>
        <v>1.2075718558030553E-3</v>
      </c>
      <c r="AE22" s="305">
        <f t="shared" si="15"/>
        <v>0.7</v>
      </c>
      <c r="AF22" s="177">
        <f t="shared" si="23"/>
        <v>0.39947629493015258</v>
      </c>
      <c r="AG22" s="810">
        <f t="shared" si="24"/>
        <v>0</v>
      </c>
      <c r="AH22" s="176">
        <f t="shared" si="16"/>
        <v>6</v>
      </c>
      <c r="AI22" s="225">
        <f t="shared" si="17"/>
        <v>0.39947629493015258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2.0334176976914597</v>
      </c>
      <c r="C23" s="840"/>
      <c r="D23" s="393">
        <f t="shared" si="0"/>
        <v>2.1116396290926414</v>
      </c>
      <c r="E23" s="385">
        <f t="shared" si="1"/>
        <v>2.3537430898118465</v>
      </c>
      <c r="F23" s="385">
        <f t="shared" si="2"/>
        <v>2.3537430898118465</v>
      </c>
      <c r="G23" s="110">
        <f t="shared" si="21"/>
        <v>0.11280804470333318</v>
      </c>
      <c r="H23" s="414" t="b">
        <f>Wh_hp&gt;='2022'!Maxi_hp</f>
        <v>0</v>
      </c>
      <c r="I23" s="390">
        <f>IF(H23,Wh_hp,'2022'!Maxi_hp)</f>
        <v>19.717901161584987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3.7043220028406543E-2</v>
      </c>
      <c r="M23" s="844"/>
      <c r="N23" s="844"/>
      <c r="O23" s="48">
        <f>IF(t&lt;Tnet,'2022'!Resal+('2022'!Salim-'2022'!Resal)*(1-EXP(('2022'!Tnet-t)/('2022'!Tau_j))),Resal+(Salim-Resal)*(1-EXP((Tnet-t)/(Tau_j))))*Salcycl</f>
        <v>0.10285891513272953</v>
      </c>
      <c r="P23" s="169">
        <f>(INDEX(Models!$BJ23:$BT23,,T23)*(1-R23)+INDEX(Models!$BJ23:$BT23,,T23+1)*R23-ERP_i)*Q23*Ramure*Pc/MaxiM</f>
        <v>1.2186806656588832E-3</v>
      </c>
      <c r="Q23" s="305">
        <f t="shared" si="4"/>
        <v>0.7</v>
      </c>
      <c r="R23" s="177">
        <f t="shared" si="5"/>
        <v>0.39950742733738071</v>
      </c>
      <c r="S23" s="810">
        <f t="shared" si="6"/>
        <v>0</v>
      </c>
      <c r="T23" s="176">
        <f t="shared" si="7"/>
        <v>6</v>
      </c>
      <c r="U23" s="251">
        <f t="shared" si="8"/>
        <v>0.39950742733738071</v>
      </c>
      <c r="V23" s="383">
        <f t="shared" si="9"/>
        <v>18.003499805347356</v>
      </c>
      <c r="W23" s="402">
        <f t="shared" si="10"/>
        <v>2.0334176976914597</v>
      </c>
      <c r="X23" s="157">
        <f t="shared" si="11"/>
        <v>44935</v>
      </c>
      <c r="Y23" s="385">
        <f t="shared" si="12"/>
        <v>1.9256045690947474</v>
      </c>
      <c r="Z23" s="385">
        <f t="shared" si="22"/>
        <v>1.9996791228278712</v>
      </c>
      <c r="AA23" s="386">
        <f t="shared" si="13"/>
        <v>2.3537430898118465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0.15042591883393625</v>
      </c>
      <c r="AD23" s="231">
        <f>(INDEX(Models!$BJ23:$BT23,,AH23)*(1-AF23)+INDEX(Models!$BJ23:$BT23,,AH23+1)*AF23-ERP_i)*AE23*Ramure*Pc/MaxiM</f>
        <v>1.2186806656588832E-3</v>
      </c>
      <c r="AE23" s="305">
        <f t="shared" si="15"/>
        <v>0.7</v>
      </c>
      <c r="AF23" s="177">
        <f t="shared" si="23"/>
        <v>0.39950742733738071</v>
      </c>
      <c r="AG23" s="810">
        <f t="shared" si="24"/>
        <v>0</v>
      </c>
      <c r="AH23" s="176">
        <f t="shared" si="16"/>
        <v>6</v>
      </c>
      <c r="AI23" s="225">
        <f t="shared" si="17"/>
        <v>0.39950742733738071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1.6251304430217521</v>
      </c>
      <c r="C24" s="840"/>
      <c r="D24" s="393">
        <f t="shared" si="0"/>
        <v>1.687685571007032</v>
      </c>
      <c r="E24" s="385">
        <f t="shared" si="1"/>
        <v>1.8813533958904893</v>
      </c>
      <c r="F24" s="385">
        <f t="shared" si="2"/>
        <v>1.8813533958904893</v>
      </c>
      <c r="G24" s="110">
        <f t="shared" si="21"/>
        <v>8.941529670653009E-2</v>
      </c>
      <c r="H24" s="414" t="b">
        <f>Wh_hp&gt;='2022'!Maxi_hp</f>
        <v>0</v>
      </c>
      <c r="I24" s="390">
        <f>IF(H24,Wh_hp,'2022'!Maxi_hp)</f>
        <v>10.382626561505731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3.7065629439465786E-2</v>
      </c>
      <c r="M24" s="844"/>
      <c r="N24" s="844"/>
      <c r="O24" s="48">
        <f>IF(t&lt;Tnet,'2022'!Resal+('2022'!Salim-'2022'!Resal)*(1-EXP(('2022'!Tnet-t)/('2022'!Tau_j))),Resal+(Salim-Resal)*(1-EXP((Tnet-t)/(Tau_j))))*Salcycl</f>
        <v>0.10294069434615168</v>
      </c>
      <c r="P24" s="169">
        <f>(INDEX(Models!$BJ24:$BT24,,T24)*(1-R24)+INDEX(Models!$BJ24:$BT24,,T24+1)*R24-ERP_i)*Q24*Ramure*Pc/MaxiM</f>
        <v>1.2312297849650686E-3</v>
      </c>
      <c r="Q24" s="305">
        <f t="shared" si="4"/>
        <v>0.7</v>
      </c>
      <c r="R24" s="177">
        <f t="shared" si="5"/>
        <v>0.39953986065615632</v>
      </c>
      <c r="S24" s="810">
        <f t="shared" si="6"/>
        <v>0</v>
      </c>
      <c r="T24" s="176">
        <f t="shared" si="7"/>
        <v>6</v>
      </c>
      <c r="U24" s="251">
        <f t="shared" si="8"/>
        <v>0.39953986065615632</v>
      </c>
      <c r="V24" s="383">
        <f t="shared" si="9"/>
        <v>18.1527053401514</v>
      </c>
      <c r="W24" s="402">
        <f t="shared" si="10"/>
        <v>1.6251304430217521</v>
      </c>
      <c r="X24" s="157">
        <f t="shared" si="11"/>
        <v>44936</v>
      </c>
      <c r="Y24" s="385">
        <f t="shared" si="12"/>
        <v>1.5390538182112368</v>
      </c>
      <c r="Z24" s="385">
        <f t="shared" si="22"/>
        <v>1.5982956526054184</v>
      </c>
      <c r="AA24" s="386">
        <f t="shared" si="13"/>
        <v>1.8813533958904893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0.15045431863219555</v>
      </c>
      <c r="AD24" s="231">
        <f>(INDEX(Models!$BJ24:$BT24,,AH24)*(1-AF24)+INDEX(Models!$BJ24:$BT24,,AH24+1)*AF24-ERP_i)*AE24*Ramure*Pc/MaxiM</f>
        <v>1.2312297849650686E-3</v>
      </c>
      <c r="AE24" s="305">
        <f t="shared" si="15"/>
        <v>0.7</v>
      </c>
      <c r="AF24" s="177">
        <f t="shared" si="23"/>
        <v>0.39953986065615632</v>
      </c>
      <c r="AG24" s="810">
        <f t="shared" si="24"/>
        <v>0</v>
      </c>
      <c r="AH24" s="176">
        <f t="shared" si="16"/>
        <v>6</v>
      </c>
      <c r="AI24" s="225">
        <f t="shared" si="17"/>
        <v>0.39953986065615632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18.920561134038312</v>
      </c>
      <c r="C25" s="840"/>
      <c r="D25" s="393">
        <f t="shared" si="0"/>
        <v>19.649315708161733</v>
      </c>
      <c r="E25" s="385">
        <f t="shared" si="1"/>
        <v>21.906141018755619</v>
      </c>
      <c r="F25" s="385">
        <f t="shared" si="2"/>
        <v>21.933429825000889</v>
      </c>
      <c r="G25" s="110">
        <f t="shared" si="21"/>
        <v>1.0333135580192265</v>
      </c>
      <c r="H25" s="414" t="b">
        <f>Wh_hp&gt;='2022'!Maxi_hp</f>
        <v>1</v>
      </c>
      <c r="I25" s="390">
        <f>IF(H25,Wh_hp,'2022'!Maxi_hp)</f>
        <v>21.933429825000889</v>
      </c>
      <c r="J25" s="85">
        <f>IF(H25,An,'2022'!An_max)</f>
        <v>2023</v>
      </c>
      <c r="K25" s="197">
        <f t="shared" si="3"/>
        <v>44937</v>
      </c>
      <c r="L25" s="147">
        <f>IF(t&lt;Tvie,1-EXP((T0-t)*PertePVj)+'2022'!Pspv,1-EXP((T0-t)*PertePVj)+Pspv)</f>
        <v>3.7088038329025297E-2</v>
      </c>
      <c r="M25" s="844"/>
      <c r="N25" s="844"/>
      <c r="O25" s="48">
        <f>IF(t&lt;Tnet,'2022'!Resal+('2022'!Salim-'2022'!Resal)*(1-EXP(('2022'!Tnet-t)/('2022'!Tau_j))),Resal+(Salim-Resal)*(1-EXP((Tnet-t)/(Tau_j))))*Salcycl</f>
        <v>0.1030224953204508</v>
      </c>
      <c r="P25" s="169">
        <f>(INDEX(Models!$BJ25:$BT25,,T25)*(1-R25)+INDEX(Models!$BJ25:$BT25,,T25+1)*R25-ERP_i)*Q25*Ramure*Pc/MaxiM</f>
        <v>1.2441650240293536E-3</v>
      </c>
      <c r="Q25" s="305">
        <f t="shared" si="4"/>
        <v>0.7</v>
      </c>
      <c r="R25" s="177">
        <f t="shared" si="5"/>
        <v>0.39957364902204917</v>
      </c>
      <c r="S25" s="810">
        <f t="shared" si="6"/>
        <v>0</v>
      </c>
      <c r="T25" s="176">
        <f t="shared" si="7"/>
        <v>6</v>
      </c>
      <c r="U25" s="251">
        <f t="shared" si="8"/>
        <v>0.39957364902204917</v>
      </c>
      <c r="V25" s="383">
        <f t="shared" si="9"/>
        <v>18.310570869027792</v>
      </c>
      <c r="W25" s="402">
        <f t="shared" si="10"/>
        <v>18.920561134038312</v>
      </c>
      <c r="X25" s="157">
        <f t="shared" si="11"/>
        <v>44937</v>
      </c>
      <c r="Y25" s="385">
        <f t="shared" si="12"/>
        <v>17.919447249801188</v>
      </c>
      <c r="Z25" s="385">
        <f t="shared" si="22"/>
        <v>18.609642379667758</v>
      </c>
      <c r="AA25" s="386">
        <f t="shared" si="13"/>
        <v>21.906141018755619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0.15048285484264268</v>
      </c>
      <c r="AD25" s="231">
        <f>(INDEX(Models!$BJ25:$BT25,,AH25)*(1-AF25)+INDEX(Models!$BJ25:$BT25,,AH25+1)*AF25-ERP_i)*AE25*Ramure*Pc/MaxiM</f>
        <v>1.2441650240293536E-3</v>
      </c>
      <c r="AE25" s="305">
        <f t="shared" si="15"/>
        <v>0.7</v>
      </c>
      <c r="AF25" s="177">
        <f t="shared" si="23"/>
        <v>0.39957364902204917</v>
      </c>
      <c r="AG25" s="810">
        <f t="shared" si="24"/>
        <v>0</v>
      </c>
      <c r="AH25" s="176">
        <f t="shared" si="16"/>
        <v>6</v>
      </c>
      <c r="AI25" s="225">
        <f t="shared" si="17"/>
        <v>0.39957364902204917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16.054882228611923</v>
      </c>
      <c r="C26" s="840"/>
      <c r="D26" s="393">
        <f t="shared" si="0"/>
        <v>16.673648783020319</v>
      </c>
      <c r="E26" s="385">
        <f t="shared" si="1"/>
        <v>18.590399159062173</v>
      </c>
      <c r="F26" s="385">
        <f t="shared" si="2"/>
        <v>18.609418391264533</v>
      </c>
      <c r="G26" s="110">
        <f t="shared" si="21"/>
        <v>0.86872169478031935</v>
      </c>
      <c r="H26" s="414" t="b">
        <f>Wh_hp&gt;='2022'!Maxi_hp</f>
        <v>0</v>
      </c>
      <c r="I26" s="390">
        <f>IF(H26,Wh_hp,'2022'!Maxi_hp)</f>
        <v>20.947040284507079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3.7110446697097177E-2</v>
      </c>
      <c r="M26" s="844"/>
      <c r="N26" s="844"/>
      <c r="O26" s="48">
        <f>IF(t&lt;Tnet,'2022'!Resal+('2022'!Salim-'2022'!Resal)*(1-EXP(('2022'!Tnet-t)/('2022'!Tau_j))),Resal+(Salim-Resal)*(1-EXP((Tnet-t)/(Tau_j))))*Salcycl</f>
        <v>0.10310431527810984</v>
      </c>
      <c r="P26" s="169">
        <f>(INDEX(Models!$BJ26:$BT26,,T26)*(1-R26)+INDEX(Models!$BJ26:$BT26,,T26+1)*R26-ERP_i)*Q26*Ramure*Pc/MaxiM</f>
        <v>1.2574828060880898E-3</v>
      </c>
      <c r="Q26" s="305">
        <f t="shared" si="4"/>
        <v>0.7</v>
      </c>
      <c r="R26" s="177">
        <f t="shared" si="5"/>
        <v>0.39960884880418601</v>
      </c>
      <c r="S26" s="810">
        <f t="shared" si="6"/>
        <v>0</v>
      </c>
      <c r="T26" s="176">
        <f t="shared" si="7"/>
        <v>6</v>
      </c>
      <c r="U26" s="251">
        <f t="shared" si="8"/>
        <v>0.39960884880418601</v>
      </c>
      <c r="V26" s="383">
        <f t="shared" si="9"/>
        <v>18.476686100539585</v>
      </c>
      <c r="W26" s="402">
        <f t="shared" si="10"/>
        <v>16.054882228611923</v>
      </c>
      <c r="X26" s="157">
        <f t="shared" si="11"/>
        <v>44938</v>
      </c>
      <c r="Y26" s="385">
        <f t="shared" si="12"/>
        <v>15.206269453020946</v>
      </c>
      <c r="Z26" s="385">
        <f t="shared" si="22"/>
        <v>15.792329868841566</v>
      </c>
      <c r="AA26" s="386">
        <f t="shared" si="13"/>
        <v>18.590399159062173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0.15051152297914194</v>
      </c>
      <c r="AD26" s="231">
        <f>(INDEX(Models!$BJ26:$BT26,,AH26)*(1-AF26)+INDEX(Models!$BJ26:$BT26,,AH26+1)*AF26-ERP_i)*AE26*Ramure*Pc/MaxiM</f>
        <v>1.2574828060880898E-3</v>
      </c>
      <c r="AE26" s="305">
        <f t="shared" si="15"/>
        <v>0.7</v>
      </c>
      <c r="AF26" s="177">
        <f t="shared" si="23"/>
        <v>0.39960884880418601</v>
      </c>
      <c r="AG26" s="810">
        <f t="shared" si="24"/>
        <v>0</v>
      </c>
      <c r="AH26" s="176">
        <f t="shared" si="16"/>
        <v>6</v>
      </c>
      <c r="AI26" s="225">
        <f t="shared" si="17"/>
        <v>0.39960884880418601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5.2553919325146676</v>
      </c>
      <c r="C27" s="840"/>
      <c r="D27" s="393">
        <f t="shared" si="0"/>
        <v>5.4580654842305556</v>
      </c>
      <c r="E27" s="385">
        <f t="shared" si="1"/>
        <v>6.086062903511392</v>
      </c>
      <c r="F27" s="385">
        <f t="shared" si="2"/>
        <v>6.086062903511392</v>
      </c>
      <c r="G27" s="110">
        <f t="shared" si="21"/>
        <v>0.28142257493254741</v>
      </c>
      <c r="H27" s="414" t="b">
        <f>Wh_hp&gt;='2022'!Maxi_hp</f>
        <v>0</v>
      </c>
      <c r="I27" s="390">
        <f>IF(H27,Wh_hp,'2022'!Maxi_hp)</f>
        <v>14.546314827403963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3.7132854543693639E-2</v>
      </c>
      <c r="M27" s="844"/>
      <c r="N27" s="844"/>
      <c r="O27" s="48">
        <f>IF(t&lt;Tnet,'2022'!Resal+('2022'!Salim-'2022'!Resal)*(1-EXP(('2022'!Tnet-t)/('2022'!Tau_j))),Resal+(Salim-Resal)*(1-EXP((Tnet-t)/(Tau_j))))*Salcycl</f>
        <v>0.10318615322206239</v>
      </c>
      <c r="P27" s="169">
        <f>(INDEX(Models!$BJ27:$BT27,,T27)*(1-R27)+INDEX(Models!$BJ27:$BT27,,T27+1)*R27-ERP_i)*Q27*Ramure*Pc/MaxiM</f>
        <v>1.271179687728362E-3</v>
      </c>
      <c r="Q27" s="305">
        <f t="shared" si="4"/>
        <v>0.7</v>
      </c>
      <c r="R27" s="177">
        <f t="shared" si="5"/>
        <v>0.39964551869576131</v>
      </c>
      <c r="S27" s="810">
        <f t="shared" si="6"/>
        <v>0</v>
      </c>
      <c r="T27" s="176">
        <f t="shared" si="7"/>
        <v>6</v>
      </c>
      <c r="U27" s="251">
        <f t="shared" si="8"/>
        <v>0.39964551869576131</v>
      </c>
      <c r="V27" s="383">
        <f t="shared" si="9"/>
        <v>18.650640895802471</v>
      </c>
      <c r="W27" s="402">
        <f t="shared" si="10"/>
        <v>5.2553919325146676</v>
      </c>
      <c r="X27" s="157">
        <f t="shared" si="11"/>
        <v>44939</v>
      </c>
      <c r="Y27" s="385">
        <f t="shared" si="12"/>
        <v>4.977893192867846</v>
      </c>
      <c r="Z27" s="385">
        <f t="shared" si="22"/>
        <v>5.1698650393858889</v>
      </c>
      <c r="AA27" s="386">
        <f t="shared" si="13"/>
        <v>6.086062903511392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0.15054032116508312</v>
      </c>
      <c r="AD27" s="231">
        <f>(INDEX(Models!$BJ27:$BT27,,AH27)*(1-AF27)+INDEX(Models!$BJ27:$BT27,,AH27+1)*AF27-ERP_i)*AE27*Ramure*Pc/MaxiM</f>
        <v>1.271179687728362E-3</v>
      </c>
      <c r="AE27" s="305">
        <f t="shared" si="15"/>
        <v>0.7</v>
      </c>
      <c r="AF27" s="177">
        <f t="shared" si="23"/>
        <v>0.39964551869576131</v>
      </c>
      <c r="AG27" s="810">
        <f t="shared" si="24"/>
        <v>0</v>
      </c>
      <c r="AH27" s="176">
        <f t="shared" si="16"/>
        <v>6</v>
      </c>
      <c r="AI27" s="225">
        <f t="shared" si="17"/>
        <v>0.39964551869576131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19.338475429680393</v>
      </c>
      <c r="C28" s="840"/>
      <c r="D28" s="393">
        <f t="shared" si="0"/>
        <v>20.084728787338314</v>
      </c>
      <c r="E28" s="385">
        <f t="shared" si="1"/>
        <v>22.3976940770367</v>
      </c>
      <c r="F28" s="385">
        <f t="shared" si="2"/>
        <v>22.426517813211685</v>
      </c>
      <c r="G28" s="110">
        <f t="shared" si="21"/>
        <v>1.026893026787036</v>
      </c>
      <c r="H28" s="414" t="b">
        <f>Wh_hp&gt;='2022'!Maxi_hp</f>
        <v>1</v>
      </c>
      <c r="I28" s="390">
        <f>IF(H28,Wh_hp,'2022'!Maxi_hp)</f>
        <v>22.426517813211685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3.7155261868826783E-2</v>
      </c>
      <c r="M28" s="844"/>
      <c r="N28" s="844"/>
      <c r="O28" s="48">
        <f>IF(t&lt;Tnet,'2022'!Resal+('2022'!Salim-'2022'!Resal)*(1-EXP(('2022'!Tnet-t)/('2022'!Tau_j))),Resal+(Salim-Resal)*(1-EXP((Tnet-t)/(Tau_j))))*Salcycl</f>
        <v>0.10326800972202577</v>
      </c>
      <c r="P28" s="169">
        <f>(INDEX(Models!$BJ28:$BT28,,T28)*(1-R28)+INDEX(Models!$BJ28:$BT28,,T28+1)*R28-ERP_i)*Q28*Ramure*Pc/MaxiM</f>
        <v>1.2852524147998778E-3</v>
      </c>
      <c r="Q28" s="305">
        <f t="shared" si="4"/>
        <v>0.7</v>
      </c>
      <c r="R28" s="177">
        <f t="shared" si="5"/>
        <v>0.39968371980807293</v>
      </c>
      <c r="S28" s="810">
        <f t="shared" si="6"/>
        <v>0</v>
      </c>
      <c r="T28" s="176">
        <f t="shared" si="7"/>
        <v>6</v>
      </c>
      <c r="U28" s="251">
        <f t="shared" si="8"/>
        <v>0.39968371980807293</v>
      </c>
      <c r="V28" s="383">
        <f t="shared" si="9"/>
        <v>18.832025269649574</v>
      </c>
      <c r="W28" s="402">
        <f t="shared" si="10"/>
        <v>19.338475429680393</v>
      </c>
      <c r="X28" s="157">
        <f t="shared" si="11"/>
        <v>44940</v>
      </c>
      <c r="Y28" s="385">
        <f t="shared" si="12"/>
        <v>18.318400447156556</v>
      </c>
      <c r="Z28" s="385">
        <f t="shared" si="22"/>
        <v>19.025290082294607</v>
      </c>
      <c r="AA28" s="386">
        <f t="shared" si="13"/>
        <v>22.3976940770367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0.15056924981396452</v>
      </c>
      <c r="AD28" s="231">
        <f>(INDEX(Models!$BJ28:$BT28,,AH28)*(1-AF28)+INDEX(Models!$BJ28:$BT28,,AH28+1)*AF28-ERP_i)*AE28*Ramure*Pc/MaxiM</f>
        <v>1.2852524147998778E-3</v>
      </c>
      <c r="AE28" s="305">
        <f t="shared" si="15"/>
        <v>0.7</v>
      </c>
      <c r="AF28" s="177">
        <f t="shared" si="23"/>
        <v>0.39968371980807293</v>
      </c>
      <c r="AG28" s="810">
        <f t="shared" si="24"/>
        <v>0</v>
      </c>
      <c r="AH28" s="176">
        <f t="shared" si="16"/>
        <v>6</v>
      </c>
      <c r="AI28" s="225">
        <f t="shared" si="17"/>
        <v>0.39968371980807293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19.293173237643952</v>
      </c>
      <c r="C29" s="840"/>
      <c r="D29" s="393">
        <f t="shared" si="0"/>
        <v>20.038144743738432</v>
      </c>
      <c r="E29" s="385">
        <f t="shared" si="1"/>
        <v>22.347785882602366</v>
      </c>
      <c r="F29" s="385">
        <f t="shared" si="2"/>
        <v>22.376869053911307</v>
      </c>
      <c r="G29" s="110">
        <f t="shared" si="21"/>
        <v>1.014339520461492</v>
      </c>
      <c r="H29" s="414" t="b">
        <f>Wh_hp&gt;='2022'!Maxi_hp</f>
        <v>1</v>
      </c>
      <c r="I29" s="390">
        <f>IF(H29,Wh_hp,'2022'!Maxi_hp)</f>
        <v>22.376869053911307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3.7177668672508712E-2</v>
      </c>
      <c r="M29" s="844"/>
      <c r="N29" s="844"/>
      <c r="O29" s="48">
        <f>IF(t&lt;Tnet,'2022'!Resal+('2022'!Salim-'2022'!Resal)*(1-EXP(('2022'!Tnet-t)/('2022'!Tau_j))),Resal+(Salim-Resal)*(1-EXP((Tnet-t)/(Tau_j))))*Salcycl</f>
        <v>0.10334988669557546</v>
      </c>
      <c r="P29" s="169">
        <f>(INDEX(Models!$BJ29:$BT29,,T29)*(1-R29)+INDEX(Models!$BJ29:$BT29,,T29+1)*R29-ERP_i)*Q29*Ramure*Pc/MaxiM</f>
        <v>1.2996979711001064E-3</v>
      </c>
      <c r="Q29" s="305">
        <f t="shared" si="4"/>
        <v>0.7</v>
      </c>
      <c r="R29" s="177">
        <f t="shared" si="5"/>
        <v>0.39972351576821075</v>
      </c>
      <c r="S29" s="810">
        <f t="shared" si="6"/>
        <v>0</v>
      </c>
      <c r="T29" s="176">
        <f t="shared" si="7"/>
        <v>6</v>
      </c>
      <c r="U29" s="251">
        <f t="shared" si="8"/>
        <v>0.39972351576821075</v>
      </c>
      <c r="V29" s="383">
        <f t="shared" si="9"/>
        <v>19.020429401061072</v>
      </c>
      <c r="W29" s="402">
        <f t="shared" si="10"/>
        <v>19.293173237643952</v>
      </c>
      <c r="X29" s="157">
        <f t="shared" si="11"/>
        <v>44941</v>
      </c>
      <c r="Y29" s="385">
        <f t="shared" si="12"/>
        <v>18.276531375182156</v>
      </c>
      <c r="Z29" s="385">
        <f t="shared" si="22"/>
        <v>18.982247067310318</v>
      </c>
      <c r="AA29" s="386">
        <f t="shared" si="13"/>
        <v>22.347785882602366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0.15059831130349702</v>
      </c>
      <c r="AD29" s="231">
        <f>(INDEX(Models!$BJ29:$BT29,,AH29)*(1-AF29)+INDEX(Models!$BJ29:$BT29,,AH29+1)*AF29-ERP_i)*AE29*Ramure*Pc/MaxiM</f>
        <v>1.2996979711001064E-3</v>
      </c>
      <c r="AE29" s="305">
        <f t="shared" si="15"/>
        <v>0.7</v>
      </c>
      <c r="AF29" s="177">
        <f t="shared" si="23"/>
        <v>0.39972351576821075</v>
      </c>
      <c r="AG29" s="810">
        <f t="shared" si="24"/>
        <v>0</v>
      </c>
      <c r="AH29" s="176">
        <f t="shared" si="16"/>
        <v>6</v>
      </c>
      <c r="AI29" s="225">
        <f t="shared" si="17"/>
        <v>0.39972351576821075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19.02931825796032</v>
      </c>
      <c r="C30" s="840"/>
      <c r="D30" s="393">
        <f t="shared" si="0"/>
        <v>19.76456142439563</v>
      </c>
      <c r="E30" s="385">
        <f t="shared" si="1"/>
        <v>22.044682314099891</v>
      </c>
      <c r="F30" s="385">
        <f t="shared" si="2"/>
        <v>22.073361015824208</v>
      </c>
      <c r="G30" s="110">
        <f t="shared" si="21"/>
        <v>0.99029862085881748</v>
      </c>
      <c r="H30" s="414" t="b">
        <f>Wh_hp&gt;='2022'!Maxi_hp</f>
        <v>0</v>
      </c>
      <c r="I30" s="390">
        <f>IF(H30,Wh_hp,'2022'!Maxi_hp)</f>
        <v>22.073480721344577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3.7200074954751639E-2</v>
      </c>
      <c r="M30" s="844"/>
      <c r="N30" s="844"/>
      <c r="O30" s="48">
        <f>IF(t&lt;Tnet,'2022'!Resal+('2022'!Salim-'2022'!Resal)*(1-EXP(('2022'!Tnet-t)/('2022'!Tau_j))),Resal+(Salim-Resal)*(1-EXP((Tnet-t)/(Tau_j))))*Salcycl</f>
        <v>0.10343178718642194</v>
      </c>
      <c r="P30" s="169">
        <f>(INDEX(Models!$BJ30:$BT30,,T30)*(1-R30)+INDEX(Models!$BJ30:$BT30,,T30+1)*R30-ERP_i)*Q30*Ramure*Pc/MaxiM</f>
        <v>1.3174698503281594E-3</v>
      </c>
      <c r="Q30" s="305">
        <f t="shared" si="4"/>
        <v>0.7</v>
      </c>
      <c r="R30" s="177">
        <f t="shared" si="5"/>
        <v>0.39976497282052537</v>
      </c>
      <c r="S30" s="810">
        <f t="shared" si="6"/>
        <v>0</v>
      </c>
      <c r="T30" s="176">
        <f t="shared" si="7"/>
        <v>6</v>
      </c>
      <c r="U30" s="251">
        <f t="shared" si="8"/>
        <v>0.39976497282052537</v>
      </c>
      <c r="V30" s="383">
        <f t="shared" si="9"/>
        <v>19.215386750616098</v>
      </c>
      <c r="W30" s="402">
        <f t="shared" si="10"/>
        <v>19.02931825796032</v>
      </c>
      <c r="X30" s="157">
        <f t="shared" si="11"/>
        <v>44942</v>
      </c>
      <c r="Y30" s="385">
        <f t="shared" si="12"/>
        <v>18.027607054866049</v>
      </c>
      <c r="Z30" s="385">
        <f t="shared" si="22"/>
        <v>18.72414671617139</v>
      </c>
      <c r="AA30" s="386">
        <f t="shared" si="13"/>
        <v>22.044682314099891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0.15062750964683538</v>
      </c>
      <c r="AD30" s="231">
        <f>(INDEX(Models!$BJ30:$BT30,,AH30)*(1-AF30)+INDEX(Models!$BJ30:$BT30,,AH30+1)*AF30-ERP_i)*AE30*Ramure*Pc/MaxiM</f>
        <v>1.3174698503281594E-3</v>
      </c>
      <c r="AE30" s="305">
        <f t="shared" si="15"/>
        <v>0.7</v>
      </c>
      <c r="AF30" s="177">
        <f t="shared" si="23"/>
        <v>0.39976497282052537</v>
      </c>
      <c r="AG30" s="810">
        <f t="shared" si="24"/>
        <v>0</v>
      </c>
      <c r="AH30" s="176">
        <f t="shared" si="16"/>
        <v>6</v>
      </c>
      <c r="AI30" s="225">
        <f t="shared" si="17"/>
        <v>0.39976497282052537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11.217634507396903</v>
      </c>
      <c r="C31" s="840"/>
      <c r="D31" s="393">
        <f t="shared" si="0"/>
        <v>11.65132575564728</v>
      </c>
      <c r="E31" s="385">
        <f t="shared" si="1"/>
        <v>12.996658122323646</v>
      </c>
      <c r="F31" s="385">
        <f t="shared" si="2"/>
        <v>13.003561283026862</v>
      </c>
      <c r="G31" s="110">
        <f t="shared" si="21"/>
        <v>0.57727073801683892</v>
      </c>
      <c r="H31" s="414" t="b">
        <f>Wh_hp&gt;='2022'!Maxi_hp</f>
        <v>0</v>
      </c>
      <c r="I31" s="390">
        <f>IF(H31,Wh_hp,'2022'!Maxi_hp)</f>
        <v>13.006645214490723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3.7222480715567552E-2</v>
      </c>
      <c r="M31" s="844"/>
      <c r="N31" s="844"/>
      <c r="O31" s="48">
        <f>IF(t&lt;Tnet,'2022'!Resal+('2022'!Salim-'2022'!Resal)*(1-EXP(('2022'!Tnet-t)/('2022'!Tau_j))),Resal+(Salim-Resal)*(1-EXP((Tnet-t)/(Tau_j))))*Salcycl</f>
        <v>0.10351371514232284</v>
      </c>
      <c r="P31" s="169">
        <f>(INDEX(Models!$BJ31:$BT31,,T31)*(1-R31)+INDEX(Models!$BJ31:$BT31,,T31+1)*R31-ERP_i)*Q31*Ramure*Pc/MaxiM</f>
        <v>1.3379797159140398E-3</v>
      </c>
      <c r="Q31" s="305">
        <f t="shared" si="4"/>
        <v>0.7</v>
      </c>
      <c r="R31" s="177">
        <f t="shared" si="5"/>
        <v>0.39980815993200869</v>
      </c>
      <c r="S31" s="810">
        <f t="shared" si="6"/>
        <v>0</v>
      </c>
      <c r="T31" s="176">
        <f t="shared" si="7"/>
        <v>6</v>
      </c>
      <c r="U31" s="251">
        <f t="shared" si="8"/>
        <v>0.39980815993200869</v>
      </c>
      <c r="V31" s="383">
        <f t="shared" si="9"/>
        <v>19.416497431927372</v>
      </c>
      <c r="W31" s="402">
        <f t="shared" si="10"/>
        <v>11.217634507396903</v>
      </c>
      <c r="X31" s="157">
        <f t="shared" si="11"/>
        <v>44943</v>
      </c>
      <c r="Y31" s="385">
        <f t="shared" si="12"/>
        <v>10.627737632069458</v>
      </c>
      <c r="Z31" s="385">
        <f t="shared" si="22"/>
        <v>11.038622546949723</v>
      </c>
      <c r="AA31" s="386">
        <f t="shared" si="13"/>
        <v>12.996658122323646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0.15065685016448288</v>
      </c>
      <c r="AD31" s="231">
        <f>(INDEX(Models!$BJ31:$BT31,,AH31)*(1-AF31)+INDEX(Models!$BJ31:$BT31,,AH31+1)*AF31-ERP_i)*AE31*Ramure*Pc/MaxiM</f>
        <v>1.3379797159140398E-3</v>
      </c>
      <c r="AE31" s="305">
        <f t="shared" si="15"/>
        <v>0.7</v>
      </c>
      <c r="AF31" s="177">
        <f t="shared" si="23"/>
        <v>0.39980815993200869</v>
      </c>
      <c r="AG31" s="810">
        <f t="shared" si="24"/>
        <v>0</v>
      </c>
      <c r="AH31" s="176">
        <f t="shared" si="16"/>
        <v>6</v>
      </c>
      <c r="AI31" s="225">
        <f t="shared" si="17"/>
        <v>0.39980815993200869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3.6767313444994052</v>
      </c>
      <c r="C32" s="840"/>
      <c r="D32" s="393">
        <f t="shared" si="0"/>
        <v>3.8189683865210116</v>
      </c>
      <c r="E32" s="385">
        <f t="shared" si="1"/>
        <v>4.260319011013042</v>
      </c>
      <c r="F32" s="385">
        <f t="shared" si="2"/>
        <v>4.260319011013042</v>
      </c>
      <c r="G32" s="110">
        <f t="shared" si="21"/>
        <v>0.18711006897177104</v>
      </c>
      <c r="H32" s="414" t="b">
        <f>Wh_hp&gt;='2022'!Maxi_hp</f>
        <v>0</v>
      </c>
      <c r="I32" s="390">
        <f>IF(H32,Wh_hp,'2022'!Maxi_hp)</f>
        <v>22.54898457519629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3.7244885954968776E-2</v>
      </c>
      <c r="M32" s="844"/>
      <c r="N32" s="844"/>
      <c r="O32" s="48">
        <f>IF(t&lt;Tnet,'2022'!Resal+('2022'!Salim-'2022'!Resal)*(1-EXP(('2022'!Tnet-t)/('2022'!Tau_j))),Resal+(Salim-Resal)*(1-EXP((Tnet-t)/(Tau_j))))*Salcycl</f>
        <v>0.10359567519500935</v>
      </c>
      <c r="P32" s="169">
        <f>(INDEX(Models!$BJ32:$BT32,,T32)*(1-R32)+INDEX(Models!$BJ32:$BT32,,T32+1)*R32-ERP_i)*Q32*Ramure*Pc/MaxiM</f>
        <v>1.361147552843595E-3</v>
      </c>
      <c r="Q32" s="305">
        <f t="shared" si="4"/>
        <v>0.7</v>
      </c>
      <c r="R32" s="177">
        <f t="shared" si="5"/>
        <v>0.39985314890172202</v>
      </c>
      <c r="S32" s="810">
        <f t="shared" si="6"/>
        <v>0</v>
      </c>
      <c r="T32" s="176">
        <f t="shared" si="7"/>
        <v>6</v>
      </c>
      <c r="U32" s="251">
        <f t="shared" si="8"/>
        <v>0.39985314890172202</v>
      </c>
      <c r="V32" s="383">
        <f t="shared" si="9"/>
        <v>19.62335213067194</v>
      </c>
      <c r="W32" s="402">
        <f t="shared" si="10"/>
        <v>3.6767313444994052</v>
      </c>
      <c r="X32" s="157">
        <f t="shared" si="11"/>
        <v>44944</v>
      </c>
      <c r="Y32" s="385">
        <f t="shared" si="12"/>
        <v>3.483582209177893</v>
      </c>
      <c r="Z32" s="385">
        <f t="shared" si="22"/>
        <v>3.6183471355883698</v>
      </c>
      <c r="AA32" s="386">
        <f t="shared" si="13"/>
        <v>4.260319011013042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0.15068633916032045</v>
      </c>
      <c r="AD32" s="231">
        <f>(INDEX(Models!$BJ32:$BT32,,AH32)*(1-AF32)+INDEX(Models!$BJ32:$BT32,,AH32+1)*AF32-ERP_i)*AE32*Ramure*Pc/MaxiM</f>
        <v>1.361147552843595E-3</v>
      </c>
      <c r="AE32" s="305">
        <f t="shared" si="15"/>
        <v>0.7</v>
      </c>
      <c r="AF32" s="177">
        <f t="shared" si="23"/>
        <v>0.39985314890172202</v>
      </c>
      <c r="AG32" s="810">
        <f t="shared" si="24"/>
        <v>0</v>
      </c>
      <c r="AH32" s="176">
        <f t="shared" si="16"/>
        <v>6</v>
      </c>
      <c r="AI32" s="225">
        <f t="shared" si="17"/>
        <v>0.39985314890172202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8.5856076204455878</v>
      </c>
      <c r="C33" s="840"/>
      <c r="D33" s="393">
        <f t="shared" si="0"/>
        <v>8.9179556664768143</v>
      </c>
      <c r="E33" s="385">
        <f t="shared" si="1"/>
        <v>9.9494962831035103</v>
      </c>
      <c r="F33" s="385">
        <f t="shared" si="2"/>
        <v>9.9521155988668433</v>
      </c>
      <c r="G33" s="110">
        <f t="shared" si="21"/>
        <v>0.43235307327711103</v>
      </c>
      <c r="H33" s="414" t="b">
        <f>Wh_hp&gt;='2022'!Maxi_hp</f>
        <v>0</v>
      </c>
      <c r="I33" s="390">
        <f>IF(H33,Wh_hp,'2022'!Maxi_hp)</f>
        <v>23.630965099383026</v>
      </c>
      <c r="J33" s="85">
        <f>IF(H33,An,'2022'!An_max)</f>
        <v>2020</v>
      </c>
      <c r="K33" s="197">
        <f t="shared" si="3"/>
        <v>44945</v>
      </c>
      <c r="L33" s="147">
        <f>IF(t&lt;Tvie,1-EXP((T0-t)*PertePVj)+'2022'!Pspv,1-EXP((T0-t)*PertePVj)+Pspv)</f>
        <v>3.7267290672967301E-2</v>
      </c>
      <c r="M33" s="844"/>
      <c r="N33" s="844"/>
      <c r="O33" s="48">
        <f>IF(t&lt;Tnet,'2022'!Resal+('2022'!Salim-'2022'!Resal)*(1-EXP(('2022'!Tnet-t)/('2022'!Tau_j))),Resal+(Salim-Resal)*(1-EXP((Tnet-t)/(Tau_j))))*Salcycl</f>
        <v>0.10367767244443164</v>
      </c>
      <c r="P33" s="169">
        <f>(INDEX(Models!$BJ33:$BT33,,T33)*(1-R33)+INDEX(Models!$BJ33:$BT33,,T33+1)*R33-ERP_i)*Q33*Ramure*Pc/MaxiM</f>
        <v>1.3868930722322841E-3</v>
      </c>
      <c r="Q33" s="305">
        <f t="shared" si="4"/>
        <v>0.7</v>
      </c>
      <c r="R33" s="177">
        <f t="shared" si="5"/>
        <v>0.39990001447441076</v>
      </c>
      <c r="S33" s="810">
        <f t="shared" si="6"/>
        <v>0</v>
      </c>
      <c r="T33" s="176">
        <f t="shared" si="7"/>
        <v>6</v>
      </c>
      <c r="U33" s="251">
        <f t="shared" si="8"/>
        <v>0.39990001447441076</v>
      </c>
      <c r="V33" s="383">
        <f t="shared" si="9"/>
        <v>19.835541720226825</v>
      </c>
      <c r="W33" s="402">
        <f t="shared" si="10"/>
        <v>8.5856076204455878</v>
      </c>
      <c r="X33" s="157">
        <f t="shared" si="11"/>
        <v>44945</v>
      </c>
      <c r="Y33" s="385">
        <f t="shared" si="12"/>
        <v>8.1350414900054488</v>
      </c>
      <c r="Z33" s="385">
        <f t="shared" si="22"/>
        <v>8.4499481644204106</v>
      </c>
      <c r="AA33" s="386">
        <f t="shared" si="13"/>
        <v>9.9494962831035103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0.15071598360508676</v>
      </c>
      <c r="AD33" s="231">
        <f>(INDEX(Models!$BJ33:$BT33,,AH33)*(1-AF33)+INDEX(Models!$BJ33:$BT33,,AH33+1)*AF33-ERP_i)*AE33*Ramure*Pc/MaxiM</f>
        <v>1.3868930722322841E-3</v>
      </c>
      <c r="AE33" s="305">
        <f t="shared" si="15"/>
        <v>0.7</v>
      </c>
      <c r="AF33" s="177">
        <f t="shared" si="23"/>
        <v>0.39990001447441076</v>
      </c>
      <c r="AG33" s="810">
        <f t="shared" si="24"/>
        <v>0</v>
      </c>
      <c r="AH33" s="176">
        <f t="shared" si="16"/>
        <v>6</v>
      </c>
      <c r="AI33" s="225">
        <f t="shared" si="17"/>
        <v>0.39990001447441076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6.2671138115664462</v>
      </c>
      <c r="C34" s="840"/>
      <c r="D34" s="393">
        <f t="shared" si="0"/>
        <v>6.5098646790920132</v>
      </c>
      <c r="E34" s="385">
        <f t="shared" si="1"/>
        <v>7.2635260521835443</v>
      </c>
      <c r="F34" s="385">
        <f t="shared" si="2"/>
        <v>7.2637100914831167</v>
      </c>
      <c r="G34" s="110">
        <f t="shared" si="21"/>
        <v>0.31209846540933006</v>
      </c>
      <c r="H34" s="414" t="b">
        <f>Wh_hp&gt;='2022'!Maxi_hp</f>
        <v>0</v>
      </c>
      <c r="I34" s="390">
        <f>IF(H34,Wh_hp,'2022'!Maxi_hp)</f>
        <v>11.506630779358042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3.7289694869575341E-2</v>
      </c>
      <c r="M34" s="844"/>
      <c r="N34" s="844"/>
      <c r="O34" s="48">
        <f>IF(t&lt;Tnet,'2022'!Resal+('2022'!Salim-'2022'!Resal)*(1-EXP(('2022'!Tnet-t)/('2022'!Tau_j))),Resal+(Salim-Resal)*(1-EXP((Tnet-t)/(Tau_j))))*Salcycl</f>
        <v>0.10375971224953033</v>
      </c>
      <c r="P34" s="169">
        <f>(INDEX(Models!$BJ34:$BT34,,T34)*(1-R34)+INDEX(Models!$BJ34:$BT34,,T34+1)*R34-ERP_i)*Q34*Ramure*Pc/MaxiM</f>
        <v>1.4151442856583432E-3</v>
      </c>
      <c r="Q34" s="305">
        <f t="shared" si="4"/>
        <v>0.7</v>
      </c>
      <c r="R34" s="177">
        <f t="shared" si="5"/>
        <v>0.39994883445844487</v>
      </c>
      <c r="S34" s="810">
        <f t="shared" si="6"/>
        <v>0</v>
      </c>
      <c r="T34" s="176">
        <f t="shared" si="7"/>
        <v>6</v>
      </c>
      <c r="U34" s="251">
        <f t="shared" si="8"/>
        <v>0.39994883445844487</v>
      </c>
      <c r="V34" s="383">
        <f t="shared" si="9"/>
        <v>20.052657103232111</v>
      </c>
      <c r="W34" s="402">
        <f t="shared" si="10"/>
        <v>6.2671138115664462</v>
      </c>
      <c r="X34" s="157">
        <f t="shared" si="11"/>
        <v>44946</v>
      </c>
      <c r="Y34" s="385">
        <f t="shared" si="12"/>
        <v>5.9385556045200767</v>
      </c>
      <c r="Z34" s="385">
        <f t="shared" si="22"/>
        <v>6.1685800732293412</v>
      </c>
      <c r="AA34" s="386">
        <f t="shared" si="13"/>
        <v>7.2635260521835443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0.15074579083047998</v>
      </c>
      <c r="AD34" s="231">
        <f>(INDEX(Models!$BJ34:$BT34,,AH34)*(1-AF34)+INDEX(Models!$BJ34:$BT34,,AH34+1)*AF34-ERP_i)*AE34*Ramure*Pc/MaxiM</f>
        <v>1.4151442856583432E-3</v>
      </c>
      <c r="AE34" s="305">
        <f t="shared" si="15"/>
        <v>0.7</v>
      </c>
      <c r="AF34" s="177">
        <f t="shared" si="23"/>
        <v>0.39994883445844487</v>
      </c>
      <c r="AG34" s="810">
        <f t="shared" si="24"/>
        <v>0</v>
      </c>
      <c r="AH34" s="176">
        <f t="shared" si="16"/>
        <v>6</v>
      </c>
      <c r="AI34" s="225">
        <f t="shared" si="17"/>
        <v>0.39994883445844487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17.008016295930442</v>
      </c>
      <c r="C35" s="840"/>
      <c r="D35" s="393">
        <f t="shared" si="0"/>
        <v>17.667217246857671</v>
      </c>
      <c r="E35" s="385">
        <f t="shared" si="1"/>
        <v>19.714395569222372</v>
      </c>
      <c r="F35" s="385">
        <f t="shared" si="2"/>
        <v>19.736363669391391</v>
      </c>
      <c r="G35" s="110">
        <f t="shared" si="21"/>
        <v>0.83861634845720412</v>
      </c>
      <c r="H35" s="414" t="b">
        <f>Wh_hp&gt;='2022'!Maxi_hp</f>
        <v>0</v>
      </c>
      <c r="I35" s="390">
        <f>IF(H35,Wh_hp,'2022'!Maxi_hp)</f>
        <v>19.738178741287463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3.7312098544804884E-2</v>
      </c>
      <c r="M35" s="844"/>
      <c r="N35" s="844"/>
      <c r="O35" s="48">
        <f>IF(t&lt;Tnet,'2022'!Resal+('2022'!Salim-'2022'!Resal)*(1-EXP(('2022'!Tnet-t)/('2022'!Tau_j))),Resal+(Salim-Resal)*(1-EXP((Tnet-t)/(Tau_j))))*Salcycl</f>
        <v>0.10384180002762576</v>
      </c>
      <c r="P35" s="169">
        <f>(INDEX(Models!$BJ35:$BT35,,T35)*(1-R35)+INDEX(Models!$BJ35:$BT35,,T35+1)*R35-ERP_i)*Q35*Ramure*Pc/MaxiM</f>
        <v>1.4458345408725445E-3</v>
      </c>
      <c r="Q35" s="305">
        <f t="shared" si="4"/>
        <v>0.7</v>
      </c>
      <c r="R35" s="177">
        <f t="shared" si="5"/>
        <v>0.39999968984823381</v>
      </c>
      <c r="S35" s="810">
        <f t="shared" si="6"/>
        <v>0</v>
      </c>
      <c r="T35" s="176">
        <f t="shared" si="7"/>
        <v>6</v>
      </c>
      <c r="U35" s="251">
        <f t="shared" si="8"/>
        <v>0.39999968984823381</v>
      </c>
      <c r="V35" s="383">
        <f t="shared" si="9"/>
        <v>20.274289288119689</v>
      </c>
      <c r="W35" s="402">
        <f t="shared" si="10"/>
        <v>17.008016295930442</v>
      </c>
      <c r="X35" s="157">
        <f t="shared" si="11"/>
        <v>44947</v>
      </c>
      <c r="Y35" s="385">
        <f t="shared" si="12"/>
        <v>16.117265426095123</v>
      </c>
      <c r="Z35" s="385">
        <f t="shared" si="22"/>
        <v>16.741942431947393</v>
      </c>
      <c r="AA35" s="386">
        <f t="shared" si="13"/>
        <v>19.714395569222372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0.15077576823686642</v>
      </c>
      <c r="AD35" s="231">
        <f>(INDEX(Models!$BJ35:$BT35,,AH35)*(1-AF35)+INDEX(Models!$BJ35:$BT35,,AH35+1)*AF35-ERP_i)*AE35*Ramure*Pc/MaxiM</f>
        <v>1.4458345408725445E-3</v>
      </c>
      <c r="AE35" s="305">
        <f t="shared" si="15"/>
        <v>0.7</v>
      </c>
      <c r="AF35" s="177">
        <f t="shared" si="23"/>
        <v>0.39999968984823381</v>
      </c>
      <c r="AG35" s="810">
        <f t="shared" si="24"/>
        <v>0</v>
      </c>
      <c r="AH35" s="176">
        <f t="shared" si="16"/>
        <v>6</v>
      </c>
      <c r="AI35" s="225">
        <f t="shared" si="17"/>
        <v>0.39999968984823381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20.431063460193194</v>
      </c>
      <c r="C36" s="840"/>
      <c r="D36" s="393">
        <f t="shared" si="0"/>
        <v>21.223429629756918</v>
      </c>
      <c r="E36" s="385">
        <f t="shared" si="1"/>
        <v>23.684852885107354</v>
      </c>
      <c r="F36" s="385">
        <f t="shared" si="2"/>
        <v>23.719763299022517</v>
      </c>
      <c r="G36" s="110">
        <f t="shared" si="21"/>
        <v>0.99662871004296283</v>
      </c>
      <c r="H36" s="414" t="b">
        <f>Wh_hp&gt;='2022'!Maxi_hp</f>
        <v>0</v>
      </c>
      <c r="I36" s="390">
        <f>IF(H36,Wh_hp,'2022'!Maxi_hp)</f>
        <v>23.719809070516359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3.7334501698668254E-2</v>
      </c>
      <c r="M36" s="844"/>
      <c r="N36" s="844"/>
      <c r="O36" s="48">
        <f>IF(t&lt;Tnet,'2022'!Resal+('2022'!Salim-'2022'!Resal)*(1-EXP(('2022'!Tnet-t)/('2022'!Tau_j))),Resal+(Salim-Resal)*(1-EXP((Tnet-t)/(Tau_j))))*Salcycl</f>
        <v>0.10392394106438115</v>
      </c>
      <c r="P36" s="169">
        <f>(INDEX(Models!$BJ36:$BT36,,T36)*(1-R36)+INDEX(Models!$BJ36:$BT36,,T36+1)*R36-ERP_i)*Q36*Ramure*Pc/MaxiM</f>
        <v>1.4788934845809769E-3</v>
      </c>
      <c r="Q36" s="305">
        <f t="shared" si="4"/>
        <v>0.7</v>
      </c>
      <c r="R36" s="177">
        <f t="shared" si="5"/>
        <v>0.40005266495125952</v>
      </c>
      <c r="S36" s="810">
        <f t="shared" si="6"/>
        <v>0</v>
      </c>
      <c r="T36" s="176">
        <f t="shared" si="7"/>
        <v>6</v>
      </c>
      <c r="U36" s="251">
        <f t="shared" si="8"/>
        <v>0.40005266495125952</v>
      </c>
      <c r="V36" s="383">
        <f t="shared" si="9"/>
        <v>20.500029575104534</v>
      </c>
      <c r="W36" s="402">
        <f t="shared" si="10"/>
        <v>20.431063460193194</v>
      </c>
      <c r="X36" s="157">
        <f t="shared" si="11"/>
        <v>44948</v>
      </c>
      <c r="Y36" s="385">
        <f t="shared" si="12"/>
        <v>19.36212657825152</v>
      </c>
      <c r="Z36" s="385">
        <f t="shared" si="22"/>
        <v>20.11303678423803</v>
      </c>
      <c r="AA36" s="386">
        <f t="shared" si="13"/>
        <v>23.684852885107354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0.15080592301737383</v>
      </c>
      <c r="AD36" s="231">
        <f>(INDEX(Models!$BJ36:$BT36,,AH36)*(1-AF36)+INDEX(Models!$BJ36:$BT36,,AH36+1)*AF36-ERP_i)*AE36*Ramure*Pc/MaxiM</f>
        <v>1.4788934845809769E-3</v>
      </c>
      <c r="AE36" s="305">
        <f t="shared" si="15"/>
        <v>0.7</v>
      </c>
      <c r="AF36" s="177">
        <f t="shared" si="23"/>
        <v>0.40005266495125952</v>
      </c>
      <c r="AG36" s="810">
        <f t="shared" si="24"/>
        <v>0</v>
      </c>
      <c r="AH36" s="176">
        <f t="shared" si="16"/>
        <v>6</v>
      </c>
      <c r="AI36" s="225">
        <f t="shared" si="17"/>
        <v>0.40005266495125952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20.645289078271752</v>
      </c>
      <c r="C37" s="840"/>
      <c r="D37" s="393">
        <f t="shared" si="0"/>
        <v>21.446462527140316</v>
      </c>
      <c r="E37" s="385">
        <f t="shared" si="1"/>
        <v>23.935948104807579</v>
      </c>
      <c r="F37" s="385">
        <f t="shared" si="2"/>
        <v>23.972029490041262</v>
      </c>
      <c r="G37" s="110">
        <f t="shared" si="21"/>
        <v>0.9958420156582013</v>
      </c>
      <c r="H37" s="414" t="b">
        <f>Wh_hp&gt;='2022'!Maxi_hp</f>
        <v>0</v>
      </c>
      <c r="I37" s="390">
        <f>IF(H37,Wh_hp,'2022'!Maxi_hp)</f>
        <v>23.972086810605997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3.7356904331177554E-2</v>
      </c>
      <c r="M37" s="844"/>
      <c r="N37" s="844"/>
      <c r="O37" s="48">
        <f>IF(t&lt;Tnet,'2022'!Resal+('2022'!Salim-'2022'!Resal)*(1-EXP(('2022'!Tnet-t)/('2022'!Tau_j))),Resal+(Salim-Resal)*(1-EXP((Tnet-t)/(Tau_j))))*Salcycl</f>
        <v>0.1040061403361434</v>
      </c>
      <c r="P37" s="169">
        <f>(INDEX(Models!$BJ37:$BT37,,T37)*(1-R37)+INDEX(Models!$BJ37:$BT37,,T37+1)*R37-ERP_i)*Q37*Ramure*Pc/MaxiM</f>
        <v>1.5141196810849011E-3</v>
      </c>
      <c r="Q37" s="305">
        <f t="shared" si="4"/>
        <v>0.7</v>
      </c>
      <c r="R37" s="177">
        <f t="shared" si="5"/>
        <v>0.40010784751988132</v>
      </c>
      <c r="S37" s="810">
        <f t="shared" si="6"/>
        <v>0</v>
      </c>
      <c r="T37" s="176">
        <f t="shared" si="7"/>
        <v>6</v>
      </c>
      <c r="U37" s="251">
        <f t="shared" si="8"/>
        <v>0.40010784751988132</v>
      </c>
      <c r="V37" s="383">
        <f t="shared" si="9"/>
        <v>20.731303955549873</v>
      </c>
      <c r="W37" s="402">
        <f t="shared" si="10"/>
        <v>20.645289078271752</v>
      </c>
      <c r="X37" s="157">
        <f t="shared" si="11"/>
        <v>44949</v>
      </c>
      <c r="Y37" s="385">
        <f t="shared" si="12"/>
        <v>19.566239945459639</v>
      </c>
      <c r="Z37" s="385">
        <f t="shared" si="22"/>
        <v>20.325539167624179</v>
      </c>
      <c r="AA37" s="386">
        <f t="shared" si="13"/>
        <v>23.935948104807579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0.15083626190091226</v>
      </c>
      <c r="AD37" s="231">
        <f>(INDEX(Models!$BJ37:$BT37,,AH37)*(1-AF37)+INDEX(Models!$BJ37:$BT37,,AH37+1)*AF37-ERP_i)*AE37*Ramure*Pc/MaxiM</f>
        <v>1.5141196810849011E-3</v>
      </c>
      <c r="AE37" s="305">
        <f t="shared" si="15"/>
        <v>0.7</v>
      </c>
      <c r="AF37" s="177">
        <f t="shared" si="23"/>
        <v>0.40010784751988132</v>
      </c>
      <c r="AG37" s="810">
        <f t="shared" si="24"/>
        <v>0</v>
      </c>
      <c r="AH37" s="176">
        <f t="shared" si="16"/>
        <v>6</v>
      </c>
      <c r="AI37" s="225">
        <f t="shared" si="17"/>
        <v>0.40010784751988132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20.98120033170466</v>
      </c>
      <c r="C38" s="840"/>
      <c r="D38" s="393">
        <f t="shared" si="0"/>
        <v>21.795916576613685</v>
      </c>
      <c r="E38" s="385">
        <f t="shared" si="1"/>
        <v>24.328200051986098</v>
      </c>
      <c r="F38" s="385">
        <f t="shared" si="2"/>
        <v>24.366089837944372</v>
      </c>
      <c r="G38" s="110">
        <f t="shared" si="21"/>
        <v>1.0005589453397301</v>
      </c>
      <c r="H38" s="414" t="b">
        <f>Wh_hp&gt;='2022'!Maxi_hp</f>
        <v>1</v>
      </c>
      <c r="I38" s="390">
        <f>IF(H38,Wh_hp,'2022'!Maxi_hp)</f>
        <v>24.366089837944372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3.7379306442344773E-2</v>
      </c>
      <c r="M38" s="844"/>
      <c r="N38" s="844"/>
      <c r="O38" s="48">
        <f>IF(t&lt;Tnet,'2022'!Resal+('2022'!Salim-'2022'!Resal)*(1-EXP(('2022'!Tnet-t)/('2022'!Tau_j))),Resal+(Salim-Resal)*(1-EXP((Tnet-t)/(Tau_j))))*Salcycl</f>
        <v>0.10408840234630032</v>
      </c>
      <c r="P38" s="169">
        <f>(INDEX(Models!$BJ38:$BT38,,T38)*(1-R38)+INDEX(Models!$BJ38:$BT38,,T38+1)*R38-ERP_i)*Q38*Ramure*Pc/MaxiM</f>
        <v>1.5550211876536515E-3</v>
      </c>
      <c r="Q38" s="305">
        <f t="shared" si="4"/>
        <v>0.7</v>
      </c>
      <c r="R38" s="177">
        <f t="shared" si="5"/>
        <v>0.40016532888806489</v>
      </c>
      <c r="S38" s="810">
        <f t="shared" si="6"/>
        <v>0</v>
      </c>
      <c r="T38" s="176">
        <f t="shared" si="7"/>
        <v>6</v>
      </c>
      <c r="U38" s="251">
        <f t="shared" si="8"/>
        <v>0.40016532888806489</v>
      </c>
      <c r="V38" s="383">
        <f t="shared" si="9"/>
        <v>20.969479538839856</v>
      </c>
      <c r="W38" s="402">
        <f t="shared" si="10"/>
        <v>20.98120033170466</v>
      </c>
      <c r="X38" s="157">
        <f t="shared" si="11"/>
        <v>44950</v>
      </c>
      <c r="Y38" s="385">
        <f t="shared" si="12"/>
        <v>19.885705257911418</v>
      </c>
      <c r="Z38" s="385">
        <f t="shared" si="22"/>
        <v>20.657882581370441</v>
      </c>
      <c r="AA38" s="386">
        <f t="shared" si="13"/>
        <v>24.328200051986098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0.15086679091641311</v>
      </c>
      <c r="AD38" s="231">
        <f>(INDEX(Models!$BJ38:$BT38,,AH38)*(1-AF38)+INDEX(Models!$BJ38:$BT38,,AH38+1)*AF38-ERP_i)*AE38*Ramure*Pc/MaxiM</f>
        <v>1.5550211876536515E-3</v>
      </c>
      <c r="AE38" s="305">
        <f t="shared" si="15"/>
        <v>0.7</v>
      </c>
      <c r="AF38" s="177">
        <f t="shared" si="23"/>
        <v>0.40016532888806489</v>
      </c>
      <c r="AG38" s="810">
        <f t="shared" si="24"/>
        <v>0</v>
      </c>
      <c r="AH38" s="176">
        <f t="shared" si="16"/>
        <v>6</v>
      </c>
      <c r="AI38" s="225">
        <f t="shared" si="17"/>
        <v>0.40016532888806489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20.943493815140915</v>
      </c>
      <c r="C39" s="840"/>
      <c r="D39" s="393">
        <f t="shared" si="0"/>
        <v>21.757252209877297</v>
      </c>
      <c r="E39" s="385">
        <f t="shared" si="1"/>
        <v>24.287275446591096</v>
      </c>
      <c r="F39" s="385">
        <f t="shared" si="2"/>
        <v>24.325506557214524</v>
      </c>
      <c r="G39" s="110">
        <f t="shared" si="21"/>
        <v>0.98721106154233929</v>
      </c>
      <c r="H39" s="414" t="b">
        <f>Wh_hp&gt;='2022'!Maxi_hp</f>
        <v>0</v>
      </c>
      <c r="I39" s="390">
        <f>IF(H39,Wh_hp,'2022'!Maxi_hp)</f>
        <v>24.325688614436949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3.7401708032182235E-2</v>
      </c>
      <c r="M39" s="844"/>
      <c r="N39" s="844"/>
      <c r="O39" s="48">
        <f>IF(t&lt;Tnet,'2022'!Resal+('2022'!Salim-'2022'!Resal)*(1-EXP(('2022'!Tnet-t)/('2022'!Tau_j))),Resal+(Salim-Resal)*(1-EXP((Tnet-t)/(Tau_j))))*Salcycl</f>
        <v>0.10417073097710954</v>
      </c>
      <c r="P39" s="169">
        <f>(INDEX(Models!$BJ39:$BT39,,T39)*(1-R39)+INDEX(Models!$BJ39:$BT39,,T39+1)*R39-ERP_i)*Q39*Ramure*Pc/MaxiM</f>
        <v>1.6008280517617276E-3</v>
      </c>
      <c r="Q39" s="305">
        <f t="shared" si="4"/>
        <v>0.7</v>
      </c>
      <c r="R39" s="177">
        <f t="shared" si="5"/>
        <v>0.40022520411319151</v>
      </c>
      <c r="S39" s="810">
        <f t="shared" si="6"/>
        <v>0</v>
      </c>
      <c r="T39" s="176">
        <f t="shared" si="7"/>
        <v>6</v>
      </c>
      <c r="U39" s="251">
        <f t="shared" si="8"/>
        <v>0.40022520411319151</v>
      </c>
      <c r="V39" s="383">
        <f t="shared" si="9"/>
        <v>21.214188654112849</v>
      </c>
      <c r="W39" s="402">
        <f t="shared" si="10"/>
        <v>20.943493815140915</v>
      </c>
      <c r="X39" s="157">
        <f t="shared" si="11"/>
        <v>44951</v>
      </c>
      <c r="Y39" s="385">
        <f t="shared" si="12"/>
        <v>19.851073473675118</v>
      </c>
      <c r="Z39" s="385">
        <f t="shared" si="22"/>
        <v>20.622385931200874</v>
      </c>
      <c r="AA39" s="386">
        <f t="shared" si="13"/>
        <v>24.287275446591096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0.15089751518030475</v>
      </c>
      <c r="AD39" s="231">
        <f>(INDEX(Models!$BJ39:$BT39,,AH39)*(1-AF39)+INDEX(Models!$BJ39:$BT39,,AH39+1)*AF39-ERP_i)*AE39*Ramure*Pc/MaxiM</f>
        <v>1.6008280517617276E-3</v>
      </c>
      <c r="AE39" s="305">
        <f t="shared" si="15"/>
        <v>0.7</v>
      </c>
      <c r="AF39" s="177">
        <f t="shared" si="23"/>
        <v>0.40022520411319151</v>
      </c>
      <c r="AG39" s="810">
        <f t="shared" si="24"/>
        <v>0</v>
      </c>
      <c r="AH39" s="176">
        <f t="shared" si="16"/>
        <v>6</v>
      </c>
      <c r="AI39" s="225">
        <f t="shared" si="17"/>
        <v>0.40022520411319151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21.068342418065303</v>
      </c>
      <c r="C40" s="840"/>
      <c r="D40" s="393">
        <f t="shared" si="0"/>
        <v>21.887461152161158</v>
      </c>
      <c r="E40" s="385">
        <f t="shared" si="1"/>
        <v>24.434873142766879</v>
      </c>
      <c r="F40" s="385">
        <f t="shared" si="2"/>
        <v>24.474221778208413</v>
      </c>
      <c r="G40" s="110">
        <f t="shared" si="21"/>
        <v>0.98147549660306643</v>
      </c>
      <c r="H40" s="414" t="b">
        <f>Wh_hp&gt;='2022'!Maxi_hp</f>
        <v>0</v>
      </c>
      <c r="I40" s="390">
        <f>IF(H40,Wh_hp,'2022'!Maxi_hp)</f>
        <v>24.474490380311327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3.742410910070193E-2</v>
      </c>
      <c r="M40" s="844"/>
      <c r="N40" s="844"/>
      <c r="O40" s="48">
        <f>IF(t&lt;Tnet,'2022'!Resal+('2022'!Salim-'2022'!Resal)*(1-EXP(('2022'!Tnet-t)/('2022'!Tau_j))),Resal+(Salim-Resal)*(1-EXP((Tnet-t)/(Tau_j))))*Salcycl</f>
        <v>0.10425312935826703</v>
      </c>
      <c r="P40" s="169">
        <f>(INDEX(Models!$BJ40:$BT40,,T40)*(1-R40)+INDEX(Models!$BJ40:$BT40,,T40+1)*R40-ERP_i)*Q40*Ramure*Pc/MaxiM</f>
        <v>1.651358116055807E-3</v>
      </c>
      <c r="Q40" s="305">
        <f t="shared" si="4"/>
        <v>0.7</v>
      </c>
      <c r="R40" s="177">
        <f t="shared" si="5"/>
        <v>0.40028757212310562</v>
      </c>
      <c r="S40" s="810">
        <f t="shared" si="6"/>
        <v>0</v>
      </c>
      <c r="T40" s="176">
        <f t="shared" si="7"/>
        <v>6</v>
      </c>
      <c r="U40" s="251">
        <f t="shared" si="8"/>
        <v>0.40028757212310562</v>
      </c>
      <c r="V40" s="383">
        <f t="shared" si="9"/>
        <v>21.465051789711612</v>
      </c>
      <c r="W40" s="402">
        <f t="shared" si="10"/>
        <v>21.068342418065303</v>
      </c>
      <c r="X40" s="157">
        <f t="shared" si="11"/>
        <v>44952</v>
      </c>
      <c r="Y40" s="385">
        <f t="shared" si="12"/>
        <v>19.970519548569836</v>
      </c>
      <c r="Z40" s="385">
        <f t="shared" si="22"/>
        <v>20.746955889277611</v>
      </c>
      <c r="AA40" s="386">
        <f t="shared" si="13"/>
        <v>24.434873142766879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0.15092843870895839</v>
      </c>
      <c r="AD40" s="231">
        <f>(INDEX(Models!$BJ40:$BT40,,AH40)*(1-AF40)+INDEX(Models!$BJ40:$BT40,,AH40+1)*AF40-ERP_i)*AE40*Ramure*Pc/MaxiM</f>
        <v>1.651358116055807E-3</v>
      </c>
      <c r="AE40" s="305">
        <f t="shared" si="15"/>
        <v>0.7</v>
      </c>
      <c r="AF40" s="177">
        <f t="shared" si="23"/>
        <v>0.40028757212310562</v>
      </c>
      <c r="AG40" s="810">
        <f t="shared" si="24"/>
        <v>0</v>
      </c>
      <c r="AH40" s="176">
        <f t="shared" si="16"/>
        <v>6</v>
      </c>
      <c r="AI40" s="225">
        <f t="shared" si="17"/>
        <v>0.40028757212310562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21.946244556408665</v>
      </c>
      <c r="C41" s="840"/>
      <c r="D41" s="393">
        <f t="shared" si="0"/>
        <v>22.800025948044865</v>
      </c>
      <c r="E41" s="385">
        <f t="shared" si="1"/>
        <v>25.455992157067257</v>
      </c>
      <c r="F41" s="385">
        <f t="shared" si="2"/>
        <v>25.499505349293727</v>
      </c>
      <c r="G41" s="110">
        <f t="shared" si="21"/>
        <v>1.0103378208337839</v>
      </c>
      <c r="H41" s="414" t="b">
        <f>Wh_hp&gt;='2022'!Maxi_hp</f>
        <v>1</v>
      </c>
      <c r="I41" s="390">
        <f>IF(H41,Wh_hp,'2022'!Maxi_hp)</f>
        <v>25.499505349293727</v>
      </c>
      <c r="J41" s="85">
        <f>IF(H41,An,'2022'!An_max)</f>
        <v>2023</v>
      </c>
      <c r="K41" s="197">
        <f t="shared" si="3"/>
        <v>44953</v>
      </c>
      <c r="L41" s="147">
        <f>IF(t&lt;Tvie,1-EXP((T0-t)*PertePVj)+'2022'!Pspv,1-EXP((T0-t)*PertePVj)+Pspv)</f>
        <v>3.7446509647916071E-2</v>
      </c>
      <c r="M41" s="844"/>
      <c r="N41" s="844"/>
      <c r="O41" s="48">
        <f>IF(t&lt;Tnet,'2022'!Resal+('2022'!Salim-'2022'!Resal)*(1-EXP(('2022'!Tnet-t)/('2022'!Tau_j))),Resal+(Salim-Resal)*(1-EXP((Tnet-t)/(Tau_j))))*Salcycl</f>
        <v>0.10433559975327954</v>
      </c>
      <c r="P41" s="169">
        <f>(INDEX(Models!$BJ41:$BT41,,T41)*(1-R41)+INDEX(Models!$BJ41:$BT41,,T41+1)*R41-ERP_i)*Q41*Ramure*Pc/MaxiM</f>
        <v>1.7064327966532342E-3</v>
      </c>
      <c r="Q41" s="305">
        <f t="shared" si="4"/>
        <v>0.7</v>
      </c>
      <c r="R41" s="177">
        <f t="shared" si="5"/>
        <v>0.40035253586856301</v>
      </c>
      <c r="S41" s="810">
        <f t="shared" si="6"/>
        <v>0</v>
      </c>
      <c r="T41" s="176">
        <f t="shared" si="7"/>
        <v>6</v>
      </c>
      <c r="U41" s="251">
        <f t="shared" si="8"/>
        <v>0.40035253586856301</v>
      </c>
      <c r="V41" s="383">
        <f t="shared" si="9"/>
        <v>21.72168962090073</v>
      </c>
      <c r="W41" s="402">
        <f t="shared" si="10"/>
        <v>21.946244556408665</v>
      </c>
      <c r="X41" s="157">
        <f t="shared" si="11"/>
        <v>44953</v>
      </c>
      <c r="Y41" s="385">
        <f t="shared" si="12"/>
        <v>20.803829018939549</v>
      </c>
      <c r="Z41" s="385">
        <f t="shared" si="22"/>
        <v>21.613166673293033</v>
      </c>
      <c r="AA41" s="386">
        <f t="shared" si="13"/>
        <v>25.455992157067257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0.15095956425753979</v>
      </c>
      <c r="AD41" s="231">
        <f>(INDEX(Models!$BJ41:$BT41,,AH41)*(1-AF41)+INDEX(Models!$BJ41:$BT41,,AH41+1)*AF41-ERP_i)*AE41*Ramure*Pc/MaxiM</f>
        <v>1.7064327966532342E-3</v>
      </c>
      <c r="AE41" s="305">
        <f t="shared" si="15"/>
        <v>0.7</v>
      </c>
      <c r="AF41" s="177">
        <f t="shared" si="23"/>
        <v>0.40035253586856301</v>
      </c>
      <c r="AG41" s="810">
        <f t="shared" si="24"/>
        <v>0</v>
      </c>
      <c r="AH41" s="176">
        <f t="shared" si="16"/>
        <v>6</v>
      </c>
      <c r="AI41" s="225">
        <f t="shared" si="17"/>
        <v>0.40035253586856301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4.0812220557402128</v>
      </c>
      <c r="C42" s="840"/>
      <c r="D42" s="393">
        <f t="shared" si="0"/>
        <v>4.2400937452911256</v>
      </c>
      <c r="E42" s="385">
        <f t="shared" si="1"/>
        <v>4.7344569503603511</v>
      </c>
      <c r="F42" s="385">
        <f t="shared" si="2"/>
        <v>4.7344569503603511</v>
      </c>
      <c r="G42" s="110">
        <f t="shared" si="21"/>
        <v>0.18531961632727137</v>
      </c>
      <c r="H42" s="414" t="b">
        <f>Wh_hp&gt;='2022'!Maxi_hp</f>
        <v>0</v>
      </c>
      <c r="I42" s="390">
        <f>IF(H42,Wh_hp,'2022'!Maxi_hp)</f>
        <v>17.271645259588524</v>
      </c>
      <c r="J42" s="85">
        <f>IF(H42,An,'2022'!An_max)</f>
        <v>2020</v>
      </c>
      <c r="K42" s="197">
        <f t="shared" si="3"/>
        <v>44954</v>
      </c>
      <c r="L42" s="147">
        <f>IF(t&lt;Tvie,1-EXP((T0-t)*PertePVj)+'2022'!Pspv,1-EXP((T0-t)*PertePVj)+Pspv)</f>
        <v>3.7468909673836648E-2</v>
      </c>
      <c r="M42" s="844"/>
      <c r="N42" s="844"/>
      <c r="O42" s="48">
        <f>IF(t&lt;Tnet,'2022'!Resal+('2022'!Salim-'2022'!Resal)*(1-EXP(('2022'!Tnet-t)/('2022'!Tau_j))),Resal+(Salim-Resal)*(1-EXP((Tnet-t)/(Tau_j))))*Salcycl</f>
        <v>0.10441814346449989</v>
      </c>
      <c r="P42" s="169">
        <f>(INDEX(Models!$BJ42:$BT42,,T42)*(1-R42)+INDEX(Models!$BJ42:$BT42,,T42+1)*R42-ERP_i)*Q42*Ramure*Pc/MaxiM</f>
        <v>1.7658782206046054E-3</v>
      </c>
      <c r="Q42" s="305">
        <f t="shared" si="4"/>
        <v>0.7</v>
      </c>
      <c r="R42" s="177">
        <f t="shared" si="5"/>
        <v>0.40042020248123977</v>
      </c>
      <c r="S42" s="810">
        <f t="shared" si="6"/>
        <v>0</v>
      </c>
      <c r="T42" s="176">
        <f t="shared" si="7"/>
        <v>6</v>
      </c>
      <c r="U42" s="251">
        <f t="shared" si="8"/>
        <v>0.40042020248123977</v>
      </c>
      <c r="V42" s="383">
        <f t="shared" si="9"/>
        <v>21.983723015074059</v>
      </c>
      <c r="W42" s="402">
        <f t="shared" si="10"/>
        <v>4.0812220557402128</v>
      </c>
      <c r="X42" s="157">
        <f t="shared" si="11"/>
        <v>44954</v>
      </c>
      <c r="Y42" s="385">
        <f t="shared" si="12"/>
        <v>3.8689871472565129</v>
      </c>
      <c r="Z42" s="385">
        <f t="shared" si="22"/>
        <v>4.0195970666728984</v>
      </c>
      <c r="AA42" s="386">
        <f t="shared" si="13"/>
        <v>4.7344569503603511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0.15099089318639661</v>
      </c>
      <c r="AD42" s="231">
        <f>(INDEX(Models!$BJ42:$BT42,,AH42)*(1-AF42)+INDEX(Models!$BJ42:$BT42,,AH42+1)*AF42-ERP_i)*AE42*Ramure*Pc/MaxiM</f>
        <v>1.7658782206046054E-3</v>
      </c>
      <c r="AE42" s="305">
        <f t="shared" si="15"/>
        <v>0.7</v>
      </c>
      <c r="AF42" s="177">
        <f t="shared" si="23"/>
        <v>0.40042020248123977</v>
      </c>
      <c r="AG42" s="810">
        <f t="shared" si="24"/>
        <v>0</v>
      </c>
      <c r="AH42" s="176">
        <f t="shared" si="16"/>
        <v>6</v>
      </c>
      <c r="AI42" s="225">
        <f t="shared" si="17"/>
        <v>0.40042020248123977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9.2964293284097224</v>
      </c>
      <c r="C43" s="840"/>
      <c r="D43" s="393">
        <f t="shared" si="0"/>
        <v>9.6585406626043024</v>
      </c>
      <c r="E43" s="385">
        <f t="shared" si="1"/>
        <v>10.785649210349</v>
      </c>
      <c r="F43" s="385">
        <f t="shared" si="2"/>
        <v>10.788971023867173</v>
      </c>
      <c r="G43" s="110">
        <f t="shared" si="21"/>
        <v>0.41716659349165724</v>
      </c>
      <c r="H43" s="414" t="b">
        <f>Wh_hp&gt;='2022'!Maxi_hp</f>
        <v>0</v>
      </c>
      <c r="I43" s="390">
        <f>IF(H43,Wh_hp,'2022'!Maxi_hp)</f>
        <v>16.235625620989971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3.7491309178475984E-2</v>
      </c>
      <c r="M43" s="844"/>
      <c r="N43" s="844"/>
      <c r="O43" s="48">
        <f>IF(t&lt;Tnet,'2022'!Resal+('2022'!Salim-'2022'!Resal)*(1-EXP(('2022'!Tnet-t)/('2022'!Tau_j))),Resal+(Salim-Resal)*(1-EXP((Tnet-t)/(Tau_j))))*Salcycl</f>
        <v>0.10450076075747189</v>
      </c>
      <c r="P43" s="169">
        <f>(INDEX(Models!$BJ43:$BT43,,T43)*(1-R43)+INDEX(Models!$BJ43:$BT43,,T43+1)*R43-ERP_i)*Q43*Ramure*Pc/MaxiM</f>
        <v>1.8295261997320776E-3</v>
      </c>
      <c r="Q43" s="305">
        <f t="shared" si="4"/>
        <v>0.7</v>
      </c>
      <c r="R43" s="177">
        <f t="shared" si="5"/>
        <v>0.40049068343746802</v>
      </c>
      <c r="S43" s="810">
        <f t="shared" si="6"/>
        <v>0</v>
      </c>
      <c r="T43" s="176">
        <f t="shared" si="7"/>
        <v>6</v>
      </c>
      <c r="U43" s="251">
        <f t="shared" si="8"/>
        <v>0.40049068343746802</v>
      </c>
      <c r="V43" s="383">
        <f t="shared" si="9"/>
        <v>22.250773026316526</v>
      </c>
      <c r="W43" s="402">
        <f t="shared" si="10"/>
        <v>9.2964293284097224</v>
      </c>
      <c r="X43" s="157">
        <f t="shared" si="11"/>
        <v>44955</v>
      </c>
      <c r="Y43" s="385">
        <f t="shared" si="12"/>
        <v>8.8134748509227592</v>
      </c>
      <c r="Z43" s="385">
        <f t="shared" si="22"/>
        <v>9.156774307565211</v>
      </c>
      <c r="AA43" s="386">
        <f t="shared" si="13"/>
        <v>10.785649210349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0.15102242535580135</v>
      </c>
      <c r="AD43" s="231">
        <f>(INDEX(Models!$BJ43:$BT43,,AH43)*(1-AF43)+INDEX(Models!$BJ43:$BT43,,AH43+1)*AF43-ERP_i)*AE43*Ramure*Pc/MaxiM</f>
        <v>1.8295261997320776E-3</v>
      </c>
      <c r="AE43" s="305">
        <f t="shared" si="15"/>
        <v>0.7</v>
      </c>
      <c r="AF43" s="177">
        <f t="shared" si="23"/>
        <v>0.40049068343746802</v>
      </c>
      <c r="AG43" s="810">
        <f t="shared" si="24"/>
        <v>0</v>
      </c>
      <c r="AH43" s="176">
        <f t="shared" si="16"/>
        <v>6</v>
      </c>
      <c r="AI43" s="225">
        <f t="shared" si="17"/>
        <v>0.40049068343746802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4.4468548819156766</v>
      </c>
      <c r="C44" s="840"/>
      <c r="D44" s="393">
        <f t="shared" si="0"/>
        <v>4.6201747698900562</v>
      </c>
      <c r="E44" s="385">
        <f t="shared" si="1"/>
        <v>5.1598049802003167</v>
      </c>
      <c r="F44" s="385">
        <f t="shared" si="2"/>
        <v>5.1598049802003167</v>
      </c>
      <c r="G44" s="110">
        <f t="shared" si="21"/>
        <v>0.19706630903581943</v>
      </c>
      <c r="H44" s="414" t="b">
        <f>Wh_hp&gt;='2022'!Maxi_hp</f>
        <v>0</v>
      </c>
      <c r="I44" s="390">
        <f>IF(H44,Wh_hp,'2022'!Maxi_hp)</f>
        <v>11.307083616802787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3.7513708161846071E-2</v>
      </c>
      <c r="M44" s="844"/>
      <c r="N44" s="844"/>
      <c r="O44" s="48">
        <f>IF(t&lt;Tnet,'2022'!Resal+('2022'!Salim-'2022'!Resal)*(1-EXP(('2022'!Tnet-t)/('2022'!Tau_j))),Resal+(Salim-Resal)*(1-EXP((Tnet-t)/(Tau_j))))*Salcycl</f>
        <v>0.10458345080501689</v>
      </c>
      <c r="P44" s="169">
        <f>(INDEX(Models!$BJ44:$BT44,,T44)*(1-R44)+INDEX(Models!$BJ44:$BT44,,T44+1)*R44-ERP_i)*Q44*Ramure*Pc/MaxiM</f>
        <v>1.8983220088463234E-3</v>
      </c>
      <c r="Q44" s="305">
        <f t="shared" si="4"/>
        <v>0.7</v>
      </c>
      <c r="R44" s="177">
        <f t="shared" si="5"/>
        <v>0.40056409472786281</v>
      </c>
      <c r="S44" s="810">
        <f t="shared" si="6"/>
        <v>0</v>
      </c>
      <c r="T44" s="176">
        <f t="shared" si="7"/>
        <v>6</v>
      </c>
      <c r="U44" s="251">
        <f t="shared" si="8"/>
        <v>0.40056409472786281</v>
      </c>
      <c r="V44" s="383">
        <f t="shared" si="9"/>
        <v>22.522435931026898</v>
      </c>
      <c r="W44" s="402">
        <f t="shared" si="10"/>
        <v>4.4468548819156766</v>
      </c>
      <c r="X44" s="157">
        <f t="shared" si="11"/>
        <v>44956</v>
      </c>
      <c r="Y44" s="385">
        <f t="shared" si="12"/>
        <v>4.2160701192160195</v>
      </c>
      <c r="Z44" s="385">
        <f t="shared" si="22"/>
        <v>4.3803949780564455</v>
      </c>
      <c r="AA44" s="386">
        <f t="shared" si="13"/>
        <v>5.1598049802003167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0.15105415904955619</v>
      </c>
      <c r="AD44" s="231">
        <f>(INDEX(Models!$BJ44:$BT44,,AH44)*(1-AF44)+INDEX(Models!$BJ44:$BT44,,AH44+1)*AF44-ERP_i)*AE44*Ramure*Pc/MaxiM</f>
        <v>1.8983220088463234E-3</v>
      </c>
      <c r="AE44" s="305">
        <f t="shared" si="15"/>
        <v>0.7</v>
      </c>
      <c r="AF44" s="177">
        <f t="shared" si="23"/>
        <v>0.40056409472786281</v>
      </c>
      <c r="AG44" s="810">
        <f t="shared" si="24"/>
        <v>0</v>
      </c>
      <c r="AH44" s="176">
        <f t="shared" si="16"/>
        <v>6</v>
      </c>
      <c r="AI44" s="225">
        <f t="shared" si="17"/>
        <v>0.40056409472786281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7.8537289601157063</v>
      </c>
      <c r="C45" s="840"/>
      <c r="D45" s="393">
        <f t="shared" si="0"/>
        <v>8.1600245101840958</v>
      </c>
      <c r="E45" s="385">
        <f t="shared" si="1"/>
        <v>9.1139467943388759</v>
      </c>
      <c r="F45" s="385">
        <f t="shared" si="2"/>
        <v>9.1150877317785604</v>
      </c>
      <c r="G45" s="110">
        <f t="shared" si="21"/>
        <v>0.34385066787557528</v>
      </c>
      <c r="H45" s="414" t="b">
        <f>Wh_hp&gt;='2022'!Maxi_hp</f>
        <v>0</v>
      </c>
      <c r="I45" s="390">
        <f>IF(H45,Wh_hp,'2022'!Maxi_hp)</f>
        <v>20.821047723853216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3.753610662395912E-2</v>
      </c>
      <c r="M45" s="844"/>
      <c r="N45" s="844"/>
      <c r="O45" s="48">
        <f>IF(t&lt;Tnet,'2022'!Resal+('2022'!Salim-'2022'!Resal)*(1-EXP(('2022'!Tnet-t)/('2022'!Tau_j))),Resal+(Salim-Resal)*(1-EXP((Tnet-t)/(Tau_j))))*Salcycl</f>
        <v>0.10466621165128034</v>
      </c>
      <c r="P45" s="169">
        <f>(INDEX(Models!$BJ45:$BT45,,T45)*(1-R45)+INDEX(Models!$BJ45:$BT45,,T45+1)*R45-ERP_i)*Q45*Ramure*Pc/MaxiM</f>
        <v>1.9695838163766668E-3</v>
      </c>
      <c r="Q45" s="305">
        <f t="shared" si="4"/>
        <v>0.7</v>
      </c>
      <c r="R45" s="177">
        <f t="shared" si="5"/>
        <v>0.40064055703300683</v>
      </c>
      <c r="S45" s="810">
        <f t="shared" si="6"/>
        <v>0</v>
      </c>
      <c r="T45" s="176">
        <f t="shared" si="7"/>
        <v>6</v>
      </c>
      <c r="U45" s="251">
        <f t="shared" si="8"/>
        <v>0.40064055703300683</v>
      </c>
      <c r="V45" s="383">
        <f t="shared" si="9"/>
        <v>22.798389983088168</v>
      </c>
      <c r="W45" s="402">
        <f t="shared" si="10"/>
        <v>7.8537289601157063</v>
      </c>
      <c r="X45" s="157">
        <f t="shared" si="11"/>
        <v>44957</v>
      </c>
      <c r="Y45" s="385">
        <f t="shared" si="12"/>
        <v>7.4465409873817281</v>
      </c>
      <c r="Z45" s="385">
        <f t="shared" si="22"/>
        <v>7.7369562002595726</v>
      </c>
      <c r="AA45" s="386">
        <f t="shared" si="13"/>
        <v>9.1139467943388759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0.1510860909276561</v>
      </c>
      <c r="AD45" s="231">
        <f>(INDEX(Models!$BJ45:$BT45,,AH45)*(1-AF45)+INDEX(Models!$BJ45:$BT45,,AH45+1)*AF45-ERP_i)*AE45*Ramure*Pc/MaxiM</f>
        <v>1.9695838163766668E-3</v>
      </c>
      <c r="AE45" s="305">
        <f t="shared" si="15"/>
        <v>0.7</v>
      </c>
      <c r="AF45" s="177">
        <f t="shared" si="23"/>
        <v>0.40064055703300683</v>
      </c>
      <c r="AG45" s="810">
        <f t="shared" si="24"/>
        <v>0</v>
      </c>
      <c r="AH45" s="176">
        <f t="shared" si="16"/>
        <v>6</v>
      </c>
      <c r="AI45" s="225">
        <f t="shared" si="17"/>
        <v>0.40064055703300683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9.2284501423600442</v>
      </c>
      <c r="C46" s="840"/>
      <c r="D46" s="393">
        <f t="shared" si="0"/>
        <v>9.5885829799839986</v>
      </c>
      <c r="E46" s="385">
        <f t="shared" si="1"/>
        <v>10.710497291262898</v>
      </c>
      <c r="F46" s="385">
        <f t="shared" si="2"/>
        <v>10.713620605476123</v>
      </c>
      <c r="G46" s="110">
        <f t="shared" si="21"/>
        <v>0.39917573162700876</v>
      </c>
      <c r="H46" s="414" t="b">
        <f>Wh_hp&gt;='2022'!Maxi_hp</f>
        <v>0</v>
      </c>
      <c r="I46" s="390">
        <f>IF(H46,Wh_hp,'2022'!Maxi_hp)</f>
        <v>21.147132908302876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3.7558504564827233E-2</v>
      </c>
      <c r="M46" s="844"/>
      <c r="N46" s="844"/>
      <c r="O46" s="48">
        <f>IF(t&lt;Tnet,'2022'!Resal+('2022'!Salim-'2022'!Resal)*(1-EXP(('2022'!Tnet-t)/('2022'!Tau_j))),Resal+(Salim-Resal)*(1-EXP((Tnet-t)/(Tau_j))))*Salcycl</f>
        <v>0.10474904019574365</v>
      </c>
      <c r="P46" s="169">
        <f>(INDEX(Models!$BJ46:$BT46,,T46)*(1-R46)+INDEX(Models!$BJ46:$BT46,,T46+1)*R46-ERP_i)*Q46*Ramure*Pc/MaxiM</f>
        <v>2.0432174765591003E-3</v>
      </c>
      <c r="Q46" s="305">
        <f t="shared" si="4"/>
        <v>0.7</v>
      </c>
      <c r="R46" s="177">
        <f t="shared" si="5"/>
        <v>0.40072019590535923</v>
      </c>
      <c r="S46" s="810">
        <f t="shared" si="6"/>
        <v>0</v>
      </c>
      <c r="T46" s="176">
        <f t="shared" si="7"/>
        <v>6</v>
      </c>
      <c r="U46" s="251">
        <f t="shared" si="8"/>
        <v>0.40072019590535923</v>
      </c>
      <c r="V46" s="383">
        <f t="shared" si="9"/>
        <v>23.078256803003516</v>
      </c>
      <c r="W46" s="402">
        <f t="shared" si="10"/>
        <v>9.2284501423600442</v>
      </c>
      <c r="X46" s="157">
        <f t="shared" si="11"/>
        <v>44958</v>
      </c>
      <c r="Y46" s="385">
        <f t="shared" si="12"/>
        <v>8.7504661509009782</v>
      </c>
      <c r="Z46" s="385">
        <f t="shared" si="22"/>
        <v>9.0919460480498202</v>
      </c>
      <c r="AA46" s="386">
        <f t="shared" si="13"/>
        <v>10.710497291262898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0.15111821600789854</v>
      </c>
      <c r="AD46" s="231">
        <f>(INDEX(Models!$BJ46:$BT46,,AH46)*(1-AF46)+INDEX(Models!$BJ46:$BT46,,AH46+1)*AF46-ERP_i)*AE46*Ramure*Pc/MaxiM</f>
        <v>2.0432174765591003E-3</v>
      </c>
      <c r="AE46" s="305">
        <f t="shared" si="15"/>
        <v>0.7</v>
      </c>
      <c r="AF46" s="177">
        <f t="shared" si="23"/>
        <v>0.40072019590535923</v>
      </c>
      <c r="AG46" s="810">
        <f t="shared" si="24"/>
        <v>0</v>
      </c>
      <c r="AH46" s="176">
        <f t="shared" si="16"/>
        <v>6</v>
      </c>
      <c r="AI46" s="225">
        <f t="shared" si="17"/>
        <v>0.40072019590535923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5.229357638937759</v>
      </c>
      <c r="C47" s="840"/>
      <c r="D47" s="393">
        <f t="shared" si="0"/>
        <v>5.4335555577818919</v>
      </c>
      <c r="E47" s="385">
        <f t="shared" si="1"/>
        <v>6.0698719639512957</v>
      </c>
      <c r="F47" s="385">
        <f t="shared" si="2"/>
        <v>6.0698719639512957</v>
      </c>
      <c r="G47" s="110">
        <f t="shared" si="21"/>
        <v>0.22336924343521253</v>
      </c>
      <c r="H47" s="414" t="b">
        <f>Wh_hp&gt;='2022'!Maxi_hp</f>
        <v>0</v>
      </c>
      <c r="I47" s="390">
        <f>IF(H47,Wh_hp,'2022'!Maxi_hp)</f>
        <v>24.623005802832068</v>
      </c>
      <c r="J47" s="85">
        <f>IF(H47,An,'2022'!An_max)</f>
        <v>2020</v>
      </c>
      <c r="K47" s="197">
        <f t="shared" si="3"/>
        <v>44959</v>
      </c>
      <c r="L47" s="147">
        <f>IF(t&lt;Tvie,1-EXP((T0-t)*PertePVj)+'2022'!Pspv,1-EXP((T0-t)*PertePVj)+Pspv)</f>
        <v>3.7580901984462511E-2</v>
      </c>
      <c r="M47" s="844"/>
      <c r="N47" s="844"/>
      <c r="O47" s="48">
        <f>IF(t&lt;Tnet,'2022'!Resal+('2022'!Salim-'2022'!Resal)*(1-EXP(('2022'!Tnet-t)/('2022'!Tau_j))),Resal+(Salim-Resal)*(1-EXP((Tnet-t)/(Tau_j))))*Salcycl</f>
        <v>0.10483193219699843</v>
      </c>
      <c r="P47" s="169">
        <f>(INDEX(Models!$BJ47:$BT47,,T47)*(1-R47)+INDEX(Models!$BJ47:$BT47,,T47+1)*R47-ERP_i)*Q47*Ramure*Pc/MaxiM</f>
        <v>2.1191358879378941E-3</v>
      </c>
      <c r="Q47" s="305">
        <f t="shared" si="4"/>
        <v>0.7</v>
      </c>
      <c r="R47" s="177">
        <f t="shared" si="5"/>
        <v>0.40080314195755512</v>
      </c>
      <c r="S47" s="810">
        <f t="shared" si="6"/>
        <v>0</v>
      </c>
      <c r="T47" s="176">
        <f t="shared" si="7"/>
        <v>6</v>
      </c>
      <c r="U47" s="251">
        <f t="shared" si="8"/>
        <v>0.40080314195755512</v>
      </c>
      <c r="V47" s="383">
        <f t="shared" si="9"/>
        <v>23.361658208811399</v>
      </c>
      <c r="W47" s="402">
        <f t="shared" si="10"/>
        <v>5.229357638937759</v>
      </c>
      <c r="X47" s="157">
        <f t="shared" si="11"/>
        <v>44959</v>
      </c>
      <c r="Y47" s="385">
        <f t="shared" si="12"/>
        <v>4.9587754881606312</v>
      </c>
      <c r="Z47" s="385">
        <f t="shared" si="22"/>
        <v>5.1524076136741161</v>
      </c>
      <c r="AA47" s="386">
        <f t="shared" si="13"/>
        <v>6.0698719639512957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0.1511505276760301</v>
      </c>
      <c r="AD47" s="231">
        <f>(INDEX(Models!$BJ47:$BT47,,AH47)*(1-AF47)+INDEX(Models!$BJ47:$BT47,,AH47+1)*AF47-ERP_i)*AE47*Ramure*Pc/MaxiM</f>
        <v>2.1191358879378941E-3</v>
      </c>
      <c r="AE47" s="305">
        <f t="shared" si="15"/>
        <v>0.7</v>
      </c>
      <c r="AF47" s="177">
        <f t="shared" si="23"/>
        <v>0.40080314195755512</v>
      </c>
      <c r="AG47" s="810">
        <f t="shared" si="24"/>
        <v>0</v>
      </c>
      <c r="AH47" s="176">
        <f t="shared" si="16"/>
        <v>6</v>
      </c>
      <c r="AI47" s="225">
        <f t="shared" si="17"/>
        <v>0.40080314195755512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9.5061139406948527</v>
      </c>
      <c r="C48" s="840"/>
      <c r="D48" s="393">
        <f t="shared" si="0"/>
        <v>9.8775421088418369</v>
      </c>
      <c r="E48" s="385">
        <f t="shared" si="1"/>
        <v>11.035310400621537</v>
      </c>
      <c r="F48" s="385">
        <f t="shared" si="2"/>
        <v>11.038844042661456</v>
      </c>
      <c r="G48" s="110">
        <f t="shared" si="21"/>
        <v>0.40122535013133581</v>
      </c>
      <c r="H48" s="414" t="b">
        <f>Wh_hp&gt;='2022'!Maxi_hp</f>
        <v>0</v>
      </c>
      <c r="I48" s="390">
        <f>IF(H48,Wh_hp,'2022'!Maxi_hp)</f>
        <v>23.131615520800864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3.7603298882877167E-2</v>
      </c>
      <c r="M48" s="844"/>
      <c r="N48" s="844"/>
      <c r="O48" s="48">
        <f>IF(t&lt;Tnet,'2022'!Resal+('2022'!Salim-'2022'!Resal)*(1-EXP(('2022'!Tnet-t)/('2022'!Tau_j))),Resal+(Salim-Resal)*(1-EXP((Tnet-t)/(Tau_j))))*Salcycl</f>
        <v>0.10491488229587922</v>
      </c>
      <c r="P48" s="169">
        <f>(INDEX(Models!$BJ48:$BT48,,T48)*(1-R48)+INDEX(Models!$BJ48:$BT48,,T48+1)*R48-ERP_i)*Q48*Ramure*Pc/MaxiM</f>
        <v>2.1972590911992908E-3</v>
      </c>
      <c r="Q48" s="305">
        <f t="shared" si="4"/>
        <v>0.7</v>
      </c>
      <c r="R48" s="177">
        <f t="shared" si="5"/>
        <v>0.40088953105726149</v>
      </c>
      <c r="S48" s="810">
        <f t="shared" si="6"/>
        <v>0</v>
      </c>
      <c r="T48" s="176">
        <f t="shared" si="7"/>
        <v>6</v>
      </c>
      <c r="U48" s="251">
        <f t="shared" si="8"/>
        <v>0.40088953105726149</v>
      </c>
      <c r="V48" s="383">
        <f t="shared" si="9"/>
        <v>23.648216216762407</v>
      </c>
      <c r="W48" s="402">
        <f t="shared" si="10"/>
        <v>9.5061139406948527</v>
      </c>
      <c r="X48" s="157">
        <f t="shared" si="11"/>
        <v>44960</v>
      </c>
      <c r="Y48" s="385">
        <f t="shared" si="12"/>
        <v>9.0147303186223198</v>
      </c>
      <c r="Z48" s="385">
        <f t="shared" si="22"/>
        <v>9.3669588727374862</v>
      </c>
      <c r="AA48" s="386">
        <f t="shared" si="13"/>
        <v>11.035310400621537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0.15118301772373199</v>
      </c>
      <c r="AD48" s="231">
        <f>(INDEX(Models!$BJ48:$BT48,,AH48)*(1-AF48)+INDEX(Models!$BJ48:$BT48,,AH48+1)*AF48-ERP_i)*AE48*Ramure*Pc/MaxiM</f>
        <v>2.1972590911992908E-3</v>
      </c>
      <c r="AE48" s="305">
        <f t="shared" si="15"/>
        <v>0.7</v>
      </c>
      <c r="AF48" s="177">
        <f t="shared" si="23"/>
        <v>0.40088953105726149</v>
      </c>
      <c r="AG48" s="810">
        <f t="shared" si="24"/>
        <v>0</v>
      </c>
      <c r="AH48" s="176">
        <f t="shared" si="16"/>
        <v>6</v>
      </c>
      <c r="AI48" s="225">
        <f t="shared" si="17"/>
        <v>0.40088953105726149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9.3838280408492363</v>
      </c>
      <c r="C49" s="840"/>
      <c r="D49" s="393">
        <f t="shared" si="0"/>
        <v>9.750705099493727</v>
      </c>
      <c r="E49" s="385">
        <f t="shared" si="1"/>
        <v>10.894616812412744</v>
      </c>
      <c r="F49" s="385">
        <f t="shared" si="2"/>
        <v>10.897879334676274</v>
      </c>
      <c r="G49" s="110">
        <f t="shared" si="21"/>
        <v>0.39123714601597664</v>
      </c>
      <c r="H49" s="414" t="b">
        <f>Wh_hp&gt;='2022'!Maxi_hp</f>
        <v>0</v>
      </c>
      <c r="I49" s="390">
        <f>IF(H49,Wh_hp,'2022'!Maxi_hp)</f>
        <v>21.711002332701614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3.7625695260083303E-2</v>
      </c>
      <c r="M49" s="844"/>
      <c r="N49" s="844"/>
      <c r="O49" s="48">
        <f>IF(t&lt;Tnet,'2022'!Resal+('2022'!Salim-'2022'!Resal)*(1-EXP(('2022'!Tnet-t)/('2022'!Tau_j))),Resal+(Salim-Resal)*(1-EXP((Tnet-t)/(Tau_j))))*Salcycl</f>
        <v>0.10499788405735447</v>
      </c>
      <c r="P49" s="169">
        <f>(INDEX(Models!$BJ49:$BT49,,T49)*(1-R49)+INDEX(Models!$BJ49:$BT49,,T49+1)*R49-ERP_i)*Q49*Ramure*Pc/MaxiM</f>
        <v>2.2775143163136233E-3</v>
      </c>
      <c r="Q49" s="305">
        <f t="shared" si="4"/>
        <v>0.7</v>
      </c>
      <c r="R49" s="177">
        <f t="shared" si="5"/>
        <v>0.40097950452875425</v>
      </c>
      <c r="S49" s="810">
        <f t="shared" si="6"/>
        <v>0</v>
      </c>
      <c r="T49" s="176">
        <f t="shared" si="7"/>
        <v>6</v>
      </c>
      <c r="U49" s="251">
        <f t="shared" si="8"/>
        <v>0.40097950452875425</v>
      </c>
      <c r="V49" s="383">
        <f t="shared" si="9"/>
        <v>23.937553047080041</v>
      </c>
      <c r="W49" s="402">
        <f t="shared" si="10"/>
        <v>9.3838280408492363</v>
      </c>
      <c r="X49" s="157">
        <f t="shared" si="11"/>
        <v>44961</v>
      </c>
      <c r="Y49" s="385">
        <f t="shared" si="12"/>
        <v>8.8992483865981722</v>
      </c>
      <c r="Z49" s="385">
        <f t="shared" si="22"/>
        <v>9.2471799618581976</v>
      </c>
      <c r="AA49" s="386">
        <f t="shared" si="13"/>
        <v>10.894616812412744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0.15121567641346906</v>
      </c>
      <c r="AD49" s="231">
        <f>(INDEX(Models!$BJ49:$BT49,,AH49)*(1-AF49)+INDEX(Models!$BJ49:$BT49,,AH49+1)*AF49-ERP_i)*AE49*Ramure*Pc/MaxiM</f>
        <v>2.2775143163136233E-3</v>
      </c>
      <c r="AE49" s="305">
        <f t="shared" si="15"/>
        <v>0.7</v>
      </c>
      <c r="AF49" s="177">
        <f t="shared" si="23"/>
        <v>0.40097950452875425</v>
      </c>
      <c r="AG49" s="810">
        <f t="shared" si="24"/>
        <v>0</v>
      </c>
      <c r="AH49" s="176">
        <f t="shared" si="16"/>
        <v>6</v>
      </c>
      <c r="AI49" s="225">
        <f t="shared" si="17"/>
        <v>0.40097950452875425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8.6317778227882194</v>
      </c>
      <c r="C50" s="840"/>
      <c r="D50" s="393">
        <f t="shared" si="0"/>
        <v>8.9694609041706705</v>
      </c>
      <c r="E50" s="385">
        <f t="shared" si="1"/>
        <v>10.022650321302583</v>
      </c>
      <c r="F50" s="385">
        <f t="shared" si="2"/>
        <v>10.024551403275922</v>
      </c>
      <c r="G50" s="110">
        <f t="shared" si="21"/>
        <v>0.35548054623424213</v>
      </c>
      <c r="H50" s="414" t="b">
        <f>Wh_hp&gt;='2022'!Maxi_hp</f>
        <v>0</v>
      </c>
      <c r="I50" s="390">
        <f>IF(H50,Wh_hp,'2022'!Maxi_hp)</f>
        <v>28.631560461107572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3.7648091116092908E-2</v>
      </c>
      <c r="M50" s="844"/>
      <c r="N50" s="844"/>
      <c r="O50" s="48">
        <f>IF(t&lt;Tnet,'2022'!Resal+('2022'!Salim-'2022'!Resal)*(1-EXP(('2022'!Tnet-t)/('2022'!Tau_j))),Resal+(Salim-Resal)*(1-EXP((Tnet-t)/(Tau_j))))*Salcycl</f>
        <v>0.105080930030395</v>
      </c>
      <c r="P50" s="169">
        <f>(INDEX(Models!$BJ50:$BT50,,T50)*(1-R50)+INDEX(Models!$BJ50:$BT50,,T50+1)*R50-ERP_i)*Q50*Ramure*Pc/MaxiM</f>
        <v>2.3598359894004464E-3</v>
      </c>
      <c r="Q50" s="305">
        <f t="shared" si="4"/>
        <v>0.7</v>
      </c>
      <c r="R50" s="177">
        <f t="shared" si="5"/>
        <v>0.40107320936137897</v>
      </c>
      <c r="S50" s="810">
        <f t="shared" si="6"/>
        <v>0</v>
      </c>
      <c r="T50" s="176">
        <f t="shared" si="7"/>
        <v>6</v>
      </c>
      <c r="U50" s="251">
        <f t="shared" si="8"/>
        <v>0.40107320936137897</v>
      </c>
      <c r="V50" s="383">
        <f t="shared" si="9"/>
        <v>24.229291120614405</v>
      </c>
      <c r="W50" s="402">
        <f t="shared" si="10"/>
        <v>8.6317778227882194</v>
      </c>
      <c r="X50" s="157">
        <f t="shared" si="11"/>
        <v>44962</v>
      </c>
      <c r="Y50" s="385">
        <f t="shared" si="12"/>
        <v>8.186477062277886</v>
      </c>
      <c r="Z50" s="385">
        <f t="shared" si="22"/>
        <v>8.5067395686596576</v>
      </c>
      <c r="AA50" s="386">
        <f t="shared" si="13"/>
        <v>10.022650321302583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0.15124849256897074</v>
      </c>
      <c r="AD50" s="231">
        <f>(INDEX(Models!$BJ50:$BT50,,AH50)*(1-AF50)+INDEX(Models!$BJ50:$BT50,,AH50+1)*AF50-ERP_i)*AE50*Ramure*Pc/MaxiM</f>
        <v>2.3598359894004464E-3</v>
      </c>
      <c r="AE50" s="305">
        <f t="shared" si="15"/>
        <v>0.7</v>
      </c>
      <c r="AF50" s="177">
        <f t="shared" si="23"/>
        <v>0.40107320936137897</v>
      </c>
      <c r="AG50" s="810">
        <f t="shared" si="24"/>
        <v>0</v>
      </c>
      <c r="AH50" s="176">
        <f t="shared" si="16"/>
        <v>6</v>
      </c>
      <c r="AI50" s="225">
        <f t="shared" si="17"/>
        <v>0.40107320936137897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16.47277895647597</v>
      </c>
      <c r="C51" s="840"/>
      <c r="D51" s="393">
        <f t="shared" si="0"/>
        <v>17.117607560142453</v>
      </c>
      <c r="E51" s="385">
        <f t="shared" si="1"/>
        <v>19.129324017299382</v>
      </c>
      <c r="F51" s="385">
        <f t="shared" si="2"/>
        <v>19.154180649388284</v>
      </c>
      <c r="G51" s="110">
        <f t="shared" si="21"/>
        <v>0.67091277154650342</v>
      </c>
      <c r="H51" s="414" t="b">
        <f>Wh_hp&gt;='2022'!Maxi_hp</f>
        <v>0</v>
      </c>
      <c r="I51" s="390">
        <f>IF(H51,Wh_hp,'2022'!Maxi_hp)</f>
        <v>29.492309215343429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3.7670486450918306E-2</v>
      </c>
      <c r="M51" s="844"/>
      <c r="N51" s="844"/>
      <c r="O51" s="48">
        <f>IF(t&lt;Tnet,'2022'!Resal+('2022'!Salim-'2022'!Resal)*(1-EXP(('2022'!Tnet-t)/('2022'!Tau_j))),Resal+(Salim-Resal)*(1-EXP((Tnet-t)/(Tau_j))))*Salcycl</f>
        <v>0.10516401182486414</v>
      </c>
      <c r="P51" s="169">
        <f>(INDEX(Models!$BJ51:$BT51,,T51)*(1-R51)+INDEX(Models!$BJ51:$BT51,,T51+1)*R51-ERP_i)*Q51*Ramure*Pc/MaxiM</f>
        <v>2.444011268383678E-3</v>
      </c>
      <c r="Q51" s="305">
        <f t="shared" si="4"/>
        <v>0.7</v>
      </c>
      <c r="R51" s="177">
        <f t="shared" si="5"/>
        <v>0.40117079842505426</v>
      </c>
      <c r="S51" s="810">
        <f t="shared" si="6"/>
        <v>0</v>
      </c>
      <c r="T51" s="176">
        <f t="shared" si="7"/>
        <v>6</v>
      </c>
      <c r="U51" s="251">
        <f t="shared" si="8"/>
        <v>0.40117079842505426</v>
      </c>
      <c r="V51" s="383">
        <f t="shared" si="9"/>
        <v>24.524606480246575</v>
      </c>
      <c r="W51" s="402">
        <f t="shared" si="10"/>
        <v>16.47277895647597</v>
      </c>
      <c r="X51" s="157">
        <f t="shared" si="11"/>
        <v>44963</v>
      </c>
      <c r="Y51" s="385">
        <f t="shared" si="12"/>
        <v>15.623816201379828</v>
      </c>
      <c r="Z51" s="385">
        <f t="shared" si="22"/>
        <v>16.235412071857823</v>
      </c>
      <c r="AA51" s="386">
        <f t="shared" si="13"/>
        <v>19.129324017299382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0.15128145368986812</v>
      </c>
      <c r="AD51" s="231">
        <f>(INDEX(Models!$BJ51:$BT51,,AH51)*(1-AF51)+INDEX(Models!$BJ51:$BT51,,AH51+1)*AF51-ERP_i)*AE51*Ramure*Pc/MaxiM</f>
        <v>2.444011268383678E-3</v>
      </c>
      <c r="AE51" s="305">
        <f t="shared" si="15"/>
        <v>0.7</v>
      </c>
      <c r="AF51" s="177">
        <f t="shared" si="23"/>
        <v>0.40117079842505426</v>
      </c>
      <c r="AG51" s="810">
        <f t="shared" si="24"/>
        <v>0</v>
      </c>
      <c r="AH51" s="176">
        <f t="shared" si="16"/>
        <v>6</v>
      </c>
      <c r="AI51" s="225">
        <f t="shared" si="17"/>
        <v>0.40117079842505426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8.7970712915706386</v>
      </c>
      <c r="C52" s="840"/>
      <c r="D52" s="393">
        <f t="shared" si="0"/>
        <v>9.1416462793405344</v>
      </c>
      <c r="E52" s="385">
        <f t="shared" si="1"/>
        <v>10.216950943402418</v>
      </c>
      <c r="F52" s="385">
        <f t="shared" si="2"/>
        <v>10.218952993954373</v>
      </c>
      <c r="G52" s="110">
        <f t="shared" si="21"/>
        <v>0.35353992485952035</v>
      </c>
      <c r="H52" s="414" t="b">
        <f>Wh_hp&gt;='2022'!Maxi_hp</f>
        <v>0</v>
      </c>
      <c r="I52" s="390">
        <f>IF(H52,Wh_hp,'2022'!Maxi_hp)</f>
        <v>20.449279964874634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3.7692881264571598E-2</v>
      </c>
      <c r="M52" s="844"/>
      <c r="N52" s="844"/>
      <c r="O52" s="48">
        <f>IF(t&lt;Tnet,'2022'!Resal+('2022'!Salim-'2022'!Resal)*(1-EXP(('2022'!Tnet-t)/('2022'!Tau_j))),Resal+(Salim-Resal)*(1-EXP((Tnet-t)/(Tau_j))))*Salcycl</f>
        <v>0.10524712020431688</v>
      </c>
      <c r="P52" s="169">
        <f>(INDEX(Models!$BJ52:$BT52,,T52)*(1-R52)+INDEX(Models!$BJ52:$BT52,,T52+1)*R52-ERP_i)*Q52*Ramure*Pc/MaxiM</f>
        <v>2.5226128060257856E-3</v>
      </c>
      <c r="Q52" s="305">
        <f t="shared" si="4"/>
        <v>0.7</v>
      </c>
      <c r="R52" s="177">
        <f t="shared" si="5"/>
        <v>0.40127243069297547</v>
      </c>
      <c r="S52" s="810">
        <f t="shared" si="6"/>
        <v>0</v>
      </c>
      <c r="T52" s="176">
        <f t="shared" si="7"/>
        <v>6</v>
      </c>
      <c r="U52" s="251">
        <f t="shared" si="8"/>
        <v>0.40127243069297547</v>
      </c>
      <c r="V52" s="383">
        <f t="shared" si="9"/>
        <v>24.824916624465882</v>
      </c>
      <c r="W52" s="402">
        <f t="shared" si="10"/>
        <v>8.7970712915706386</v>
      </c>
      <c r="X52" s="157">
        <f t="shared" si="11"/>
        <v>44964</v>
      </c>
      <c r="Y52" s="385">
        <f t="shared" si="12"/>
        <v>8.3441435180188872</v>
      </c>
      <c r="Z52" s="385">
        <f t="shared" si="22"/>
        <v>8.6709776489900232</v>
      </c>
      <c r="AA52" s="386">
        <f t="shared" si="13"/>
        <v>10.216950943402418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0.1513145460887923</v>
      </c>
      <c r="AD52" s="231">
        <f>(INDEX(Models!$BJ52:$BT52,,AH52)*(1-AF52)+INDEX(Models!$BJ52:$BT52,,AH52+1)*AF52-ERP_i)*AE52*Ramure*Pc/MaxiM</f>
        <v>2.5226128060257856E-3</v>
      </c>
      <c r="AE52" s="305">
        <f t="shared" si="15"/>
        <v>0.7</v>
      </c>
      <c r="AF52" s="177">
        <f t="shared" si="23"/>
        <v>0.40127243069297547</v>
      </c>
      <c r="AG52" s="810">
        <f t="shared" si="24"/>
        <v>0</v>
      </c>
      <c r="AH52" s="176">
        <f t="shared" si="16"/>
        <v>6</v>
      </c>
      <c r="AI52" s="225">
        <f t="shared" si="17"/>
        <v>0.40127243069297547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25.746348669512585</v>
      </c>
      <c r="C53" s="840"/>
      <c r="D53" s="393">
        <f t="shared" si="0"/>
        <v>26.755437362280791</v>
      </c>
      <c r="E53" s="385">
        <f t="shared" si="1"/>
        <v>29.905378178416239</v>
      </c>
      <c r="F53" s="385">
        <f t="shared" si="2"/>
        <v>29.983116479380321</v>
      </c>
      <c r="G53" s="110">
        <f t="shared" si="21"/>
        <v>1.0245257763407307</v>
      </c>
      <c r="H53" s="414" t="b">
        <f>Wh_hp&gt;='2022'!Maxi_hp</f>
        <v>1</v>
      </c>
      <c r="I53" s="390">
        <f>IF(H53,Wh_hp,'2022'!Maxi_hp)</f>
        <v>29.983116479380321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3.7715275557064776E-2</v>
      </c>
      <c r="M53" s="844"/>
      <c r="N53" s="844"/>
      <c r="O53" s="48">
        <f>IF(t&lt;Tnet,'2022'!Resal+('2022'!Salim-'2022'!Resal)*(1-EXP(('2022'!Tnet-t)/('2022'!Tau_j))),Resal+(Salim-Resal)*(1-EXP((Tnet-t)/(Tau_j))))*Salcycl</f>
        <v>0.10533024519345055</v>
      </c>
      <c r="P53" s="169">
        <f>(INDEX(Models!$BJ53:$BT53,,T53)*(1-R53)+INDEX(Models!$BJ53:$BT53,,T53+1)*R53-ERP_i)*Q53*Ramure*Pc/MaxiM</f>
        <v>2.5927358491083644E-3</v>
      </c>
      <c r="Q53" s="305">
        <f t="shared" si="4"/>
        <v>0.7</v>
      </c>
      <c r="R53" s="177">
        <f t="shared" si="5"/>
        <v>0.40137827147166844</v>
      </c>
      <c r="S53" s="810">
        <f t="shared" si="6"/>
        <v>0</v>
      </c>
      <c r="T53" s="176">
        <f t="shared" si="7"/>
        <v>6</v>
      </c>
      <c r="U53" s="251">
        <f t="shared" si="8"/>
        <v>0.40137827147166844</v>
      </c>
      <c r="V53" s="383">
        <f t="shared" si="9"/>
        <v>25.130015529204236</v>
      </c>
      <c r="W53" s="402">
        <f t="shared" si="10"/>
        <v>25.746348669512585</v>
      </c>
      <c r="X53" s="157">
        <f t="shared" si="11"/>
        <v>44965</v>
      </c>
      <c r="Y53" s="385">
        <f t="shared" si="12"/>
        <v>24.422080304253139</v>
      </c>
      <c r="Z53" s="385">
        <f t="shared" si="22"/>
        <v>25.379266327220392</v>
      </c>
      <c r="AA53" s="386">
        <f t="shared" si="13"/>
        <v>29.905378178416239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0.15134775504903994</v>
      </c>
      <c r="AD53" s="231">
        <f>(INDEX(Models!$BJ53:$BT53,,AH53)*(1-AF53)+INDEX(Models!$BJ53:$BT53,,AH53+1)*AF53-ERP_i)*AE53*Ramure*Pc/MaxiM</f>
        <v>2.5927358491083644E-3</v>
      </c>
      <c r="AE53" s="305">
        <f t="shared" si="15"/>
        <v>0.7</v>
      </c>
      <c r="AF53" s="177">
        <f t="shared" si="23"/>
        <v>0.40137827147166844</v>
      </c>
      <c r="AG53" s="810">
        <f t="shared" si="24"/>
        <v>0</v>
      </c>
      <c r="AH53" s="176">
        <f t="shared" si="16"/>
        <v>6</v>
      </c>
      <c r="AI53" s="225">
        <f t="shared" si="17"/>
        <v>0.40137827147166844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25.821687922859923</v>
      </c>
      <c r="C54" s="840"/>
      <c r="D54" s="393">
        <f t="shared" si="0"/>
        <v>26.834353896861202</v>
      </c>
      <c r="E54" s="385">
        <f t="shared" si="1"/>
        <v>29.996372830659652</v>
      </c>
      <c r="F54" s="385">
        <f t="shared" si="2"/>
        <v>30.076215660223145</v>
      </c>
      <c r="G54" s="110">
        <f t="shared" si="21"/>
        <v>1.0150186423570313</v>
      </c>
      <c r="H54" s="414" t="b">
        <f>Wh_hp&gt;='2022'!Maxi_hp</f>
        <v>1</v>
      </c>
      <c r="I54" s="390">
        <f>IF(H54,Wh_hp,'2022'!Maxi_hp)</f>
        <v>30.076215660223145</v>
      </c>
      <c r="J54" s="85">
        <f>IF(H54,An,'2022'!An_max)</f>
        <v>2023</v>
      </c>
      <c r="K54" s="197">
        <f t="shared" si="3"/>
        <v>44966</v>
      </c>
      <c r="L54" s="147">
        <f>IF(t&lt;Tvie,1-EXP((T0-t)*PertePVj)+'2022'!Pspv,1-EXP((T0-t)*PertePVj)+Pspv)</f>
        <v>3.7737669328410051E-2</v>
      </c>
      <c r="M54" s="844"/>
      <c r="N54" s="844"/>
      <c r="O54" s="48">
        <f>IF(t&lt;Tnet,'2022'!Resal+('2022'!Salim-'2022'!Resal)*(1-EXP(('2022'!Tnet-t)/('2022'!Tau_j))),Resal+(Salim-Resal)*(1-EXP((Tnet-t)/(Tau_j))))*Salcycl</f>
        <v>0.10541337619882209</v>
      </c>
      <c r="P54" s="169">
        <f>(INDEX(Models!$BJ54:$BT54,,T54)*(1-R54)+INDEX(Models!$BJ54:$BT54,,T54+1)*R54-ERP_i)*Q54*Ramure*Pc/MaxiM</f>
        <v>2.6546833705906612E-3</v>
      </c>
      <c r="Q54" s="305">
        <f t="shared" si="4"/>
        <v>0.7</v>
      </c>
      <c r="R54" s="177">
        <f t="shared" si="5"/>
        <v>0.40148849263854136</v>
      </c>
      <c r="S54" s="810">
        <f t="shared" si="6"/>
        <v>0</v>
      </c>
      <c r="T54" s="176">
        <f t="shared" si="7"/>
        <v>6</v>
      </c>
      <c r="U54" s="251">
        <f t="shared" si="8"/>
        <v>0.40148849263854136</v>
      </c>
      <c r="V54" s="383">
        <f t="shared" si="9"/>
        <v>25.439619377726839</v>
      </c>
      <c r="W54" s="402">
        <f t="shared" si="10"/>
        <v>25.821687922859923</v>
      </c>
      <c r="X54" s="157">
        <f t="shared" si="11"/>
        <v>44966</v>
      </c>
      <c r="Y54" s="385">
        <f t="shared" si="12"/>
        <v>24.494859102488466</v>
      </c>
      <c r="Z54" s="385">
        <f t="shared" si="22"/>
        <v>25.455489965395209</v>
      </c>
      <c r="AA54" s="386">
        <f t="shared" si="13"/>
        <v>29.996372830659652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0.15138106500073742</v>
      </c>
      <c r="AD54" s="231">
        <f>(INDEX(Models!$BJ54:$BT54,,AH54)*(1-AF54)+INDEX(Models!$BJ54:$BT54,,AH54+1)*AF54-ERP_i)*AE54*Ramure*Pc/MaxiM</f>
        <v>2.6546833705906612E-3</v>
      </c>
      <c r="AE54" s="305">
        <f t="shared" si="15"/>
        <v>0.7</v>
      </c>
      <c r="AF54" s="177">
        <f t="shared" si="23"/>
        <v>0.40148849263854136</v>
      </c>
      <c r="AG54" s="810">
        <f t="shared" si="24"/>
        <v>0</v>
      </c>
      <c r="AH54" s="176">
        <f t="shared" si="16"/>
        <v>6</v>
      </c>
      <c r="AI54" s="225">
        <f t="shared" si="17"/>
        <v>0.40148849263854136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24.233897437239026</v>
      </c>
      <c r="C55" s="840"/>
      <c r="D55" s="393">
        <f t="shared" si="0"/>
        <v>25.184880085294786</v>
      </c>
      <c r="E55" s="385">
        <f t="shared" si="1"/>
        <v>28.155149919015862</v>
      </c>
      <c r="F55" s="385">
        <f t="shared" si="2"/>
        <v>28.225160493032252</v>
      </c>
      <c r="G55" s="110">
        <f t="shared" si="21"/>
        <v>0.94078097000111538</v>
      </c>
      <c r="H55" s="414" t="b">
        <f>Wh_hp&gt;='2022'!Maxi_hp</f>
        <v>0</v>
      </c>
      <c r="I55" s="390">
        <f>IF(H55,Wh_hp,'2022'!Maxi_hp)</f>
        <v>28.226702999052218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3.7760062578619524E-2</v>
      </c>
      <c r="M55" s="844"/>
      <c r="N55" s="844"/>
      <c r="O55" s="48">
        <f>IF(t&lt;Tnet,'2022'!Resal+('2022'!Salim-'2022'!Resal)*(1-EXP(('2022'!Tnet-t)/('2022'!Tau_j))),Resal+(Salim-Resal)*(1-EXP((Tnet-t)/(Tau_j))))*Salcycl</f>
        <v>0.10549650214133549</v>
      </c>
      <c r="P55" s="169">
        <f>(INDEX(Models!$BJ55:$BT55,,T55)*(1-R55)+INDEX(Models!$BJ55:$BT55,,T55+1)*R55-ERP_i)*Q55*Ramure*Pc/MaxiM</f>
        <v>2.7087548250720227E-3</v>
      </c>
      <c r="Q55" s="305">
        <f t="shared" si="4"/>
        <v>0.7</v>
      </c>
      <c r="R55" s="177">
        <f t="shared" si="5"/>
        <v>0.40160327288707137</v>
      </c>
      <c r="S55" s="810">
        <f t="shared" si="6"/>
        <v>0</v>
      </c>
      <c r="T55" s="176">
        <f t="shared" si="7"/>
        <v>6</v>
      </c>
      <c r="U55" s="251">
        <f t="shared" si="8"/>
        <v>0.40160327288707137</v>
      </c>
      <c r="V55" s="383">
        <f t="shared" si="9"/>
        <v>25.753444515022444</v>
      </c>
      <c r="W55" s="402">
        <f t="shared" si="10"/>
        <v>24.233897437239026</v>
      </c>
      <c r="X55" s="157">
        <f t="shared" si="11"/>
        <v>44967</v>
      </c>
      <c r="Y55" s="385">
        <f t="shared" si="12"/>
        <v>22.989887685471722</v>
      </c>
      <c r="Z55" s="385">
        <f t="shared" si="22"/>
        <v>23.892053105881509</v>
      </c>
      <c r="AA55" s="386">
        <f t="shared" si="13"/>
        <v>28.155149919015862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0.1514144597132859</v>
      </c>
      <c r="AD55" s="231">
        <f>(INDEX(Models!$BJ55:$BT55,,AH55)*(1-AF55)+INDEX(Models!$BJ55:$BT55,,AH55+1)*AF55-ERP_i)*AE55*Ramure*Pc/MaxiM</f>
        <v>2.7087548250720227E-3</v>
      </c>
      <c r="AE55" s="305">
        <f t="shared" si="15"/>
        <v>0.7</v>
      </c>
      <c r="AF55" s="177">
        <f t="shared" si="23"/>
        <v>0.40160327288707137</v>
      </c>
      <c r="AG55" s="810">
        <f t="shared" si="24"/>
        <v>0</v>
      </c>
      <c r="AH55" s="176">
        <f t="shared" si="16"/>
        <v>6</v>
      </c>
      <c r="AI55" s="225">
        <f t="shared" si="17"/>
        <v>0.40160327288707137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15.404030512441162</v>
      </c>
      <c r="C56" s="840"/>
      <c r="D56" s="393">
        <f t="shared" si="0"/>
        <v>16.008885513896114</v>
      </c>
      <c r="E56" s="385">
        <f t="shared" si="1"/>
        <v>17.898614255109273</v>
      </c>
      <c r="F56" s="385">
        <f t="shared" si="2"/>
        <v>17.919127764320635</v>
      </c>
      <c r="G56" s="110">
        <f t="shared" si="21"/>
        <v>0.58989191436169153</v>
      </c>
      <c r="H56" s="414" t="b">
        <f>Wh_hp&gt;='2022'!Maxi_hp</f>
        <v>0</v>
      </c>
      <c r="I56" s="390">
        <f>IF(H56,Wh_hp,'2022'!Maxi_hp)</f>
        <v>25.264298487786281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3.7782455307705409E-2</v>
      </c>
      <c r="M56" s="844"/>
      <c r="N56" s="844"/>
      <c r="O56" s="48">
        <f>IF(t&lt;Tnet,'2022'!Resal+('2022'!Salim-'2022'!Resal)*(1-EXP(('2022'!Tnet-t)/('2022'!Tau_j))),Resal+(Salim-Resal)*(1-EXP((Tnet-t)/(Tau_j))))*Salcycl</f>
        <v>0.10557961159891041</v>
      </c>
      <c r="P56" s="169">
        <f>(INDEX(Models!$BJ56:$BT56,,T56)*(1-R56)+INDEX(Models!$BJ56:$BT56,,T56+1)*R56-ERP_i)*Q56*Ramure*Pc/MaxiM</f>
        <v>2.7552449999509064E-3</v>
      </c>
      <c r="Q56" s="305">
        <f t="shared" si="4"/>
        <v>0.7</v>
      </c>
      <c r="R56" s="177">
        <f t="shared" si="5"/>
        <v>0.40172279797976035</v>
      </c>
      <c r="S56" s="810">
        <f t="shared" si="6"/>
        <v>0</v>
      </c>
      <c r="T56" s="176">
        <f t="shared" si="7"/>
        <v>6</v>
      </c>
      <c r="U56" s="251">
        <f t="shared" si="8"/>
        <v>0.40172279797976035</v>
      </c>
      <c r="V56" s="383">
        <f t="shared" si="9"/>
        <v>26.071207448749647</v>
      </c>
      <c r="W56" s="402">
        <f t="shared" si="10"/>
        <v>15.404030512441162</v>
      </c>
      <c r="X56" s="157">
        <f t="shared" si="11"/>
        <v>44968</v>
      </c>
      <c r="Y56" s="385">
        <f t="shared" si="12"/>
        <v>14.614069919118268</v>
      </c>
      <c r="Z56" s="385">
        <f t="shared" si="22"/>
        <v>15.187906310512837</v>
      </c>
      <c r="AA56" s="386">
        <f t="shared" si="13"/>
        <v>17.898614255109273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0.15144792250174599</v>
      </c>
      <c r="AD56" s="231">
        <f>(INDEX(Models!$BJ56:$BT56,,AH56)*(1-AF56)+INDEX(Models!$BJ56:$BT56,,AH56+1)*AF56-ERP_i)*AE56*Ramure*Pc/MaxiM</f>
        <v>2.7552449999509064E-3</v>
      </c>
      <c r="AE56" s="305">
        <f t="shared" si="15"/>
        <v>0.7</v>
      </c>
      <c r="AF56" s="177">
        <f t="shared" si="23"/>
        <v>0.40172279797976035</v>
      </c>
      <c r="AG56" s="810">
        <f t="shared" si="24"/>
        <v>0</v>
      </c>
      <c r="AH56" s="176">
        <f t="shared" si="16"/>
        <v>6</v>
      </c>
      <c r="AI56" s="225">
        <f t="shared" si="17"/>
        <v>0.40172279797976035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22.270242022177197</v>
      </c>
      <c r="C57" s="840"/>
      <c r="D57" s="393">
        <f t="shared" si="0"/>
        <v>23.145244459688868</v>
      </c>
      <c r="E57" s="385">
        <f t="shared" si="1"/>
        <v>25.879770727928854</v>
      </c>
      <c r="F57" s="385">
        <f t="shared" si="2"/>
        <v>25.936075483630447</v>
      </c>
      <c r="G57" s="110">
        <f t="shared" si="21"/>
        <v>0.8432782112286662</v>
      </c>
      <c r="H57" s="414" t="b">
        <f>Wh_hp&gt;='2022'!Maxi_hp</f>
        <v>0</v>
      </c>
      <c r="I57" s="390">
        <f>IF(H57,Wh_hp,'2022'!Maxi_hp)</f>
        <v>31.080312640486358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3.7804847515679807E-2</v>
      </c>
      <c r="M57" s="844"/>
      <c r="N57" s="844"/>
      <c r="O57" s="48">
        <f>IF(t&lt;Tnet,'2022'!Resal+('2022'!Salim-'2022'!Resal)*(1-EXP(('2022'!Tnet-t)/('2022'!Tau_j))),Resal+(Salim-Resal)*(1-EXP((Tnet-t)/(Tau_j))))*Salcycl</f>
        <v>0.10566269295766786</v>
      </c>
      <c r="P57" s="169">
        <f>(INDEX(Models!$BJ57:$BT57,,T57)*(1-R57)+INDEX(Models!$BJ57:$BT57,,T57+1)*R57-ERP_i)*Q57*Ramure*Pc/MaxiM</f>
        <v>2.7944430338519171E-3</v>
      </c>
      <c r="Q57" s="305">
        <f t="shared" si="4"/>
        <v>0.7</v>
      </c>
      <c r="R57" s="177">
        <f t="shared" si="5"/>
        <v>0.40184726100897861</v>
      </c>
      <c r="S57" s="810">
        <f t="shared" si="6"/>
        <v>0</v>
      </c>
      <c r="T57" s="176">
        <f t="shared" si="7"/>
        <v>6</v>
      </c>
      <c r="U57" s="251">
        <f t="shared" si="8"/>
        <v>0.40184726100897861</v>
      </c>
      <c r="V57" s="383">
        <f t="shared" si="9"/>
        <v>26.392624843343469</v>
      </c>
      <c r="W57" s="402">
        <f t="shared" si="10"/>
        <v>22.270242022177197</v>
      </c>
      <c r="X57" s="157">
        <f t="shared" si="11"/>
        <v>44969</v>
      </c>
      <c r="Y57" s="385">
        <f t="shared" si="12"/>
        <v>21.129291623961816</v>
      </c>
      <c r="Z57" s="385">
        <f t="shared" si="22"/>
        <v>21.959465883202043</v>
      </c>
      <c r="AA57" s="386">
        <f t="shared" si="13"/>
        <v>25.879770727928854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0.15148143644472509</v>
      </c>
      <c r="AD57" s="231">
        <f>(INDEX(Models!$BJ57:$BT57,,AH57)*(1-AF57)+INDEX(Models!$BJ57:$BT57,,AH57+1)*AF57-ERP_i)*AE57*Ramure*Pc/MaxiM</f>
        <v>2.7944430338519171E-3</v>
      </c>
      <c r="AE57" s="305">
        <f t="shared" si="15"/>
        <v>0.7</v>
      </c>
      <c r="AF57" s="177">
        <f t="shared" si="23"/>
        <v>0.40184726100897861</v>
      </c>
      <c r="AG57" s="810">
        <f t="shared" si="24"/>
        <v>0</v>
      </c>
      <c r="AH57" s="176">
        <f t="shared" si="16"/>
        <v>6</v>
      </c>
      <c r="AI57" s="225">
        <f t="shared" si="17"/>
        <v>0.40184726100897861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26.34519668705682</v>
      </c>
      <c r="C58" s="840"/>
      <c r="D58" s="393">
        <f t="shared" si="0"/>
        <v>27.380942134780469</v>
      </c>
      <c r="E58" s="385">
        <f t="shared" si="1"/>
        <v>30.618743676455125</v>
      </c>
      <c r="F58" s="385">
        <f t="shared" si="2"/>
        <v>30.703535564084625</v>
      </c>
      <c r="G58" s="110">
        <f t="shared" si="21"/>
        <v>0.98600411005474908</v>
      </c>
      <c r="H58" s="414" t="b">
        <f>Wh_hp&gt;='2022'!Maxi_hp</f>
        <v>0</v>
      </c>
      <c r="I58" s="390">
        <f>IF(H58,Wh_hp,'2022'!Maxi_hp)</f>
        <v>32.091869543727995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3.7827239202554708E-2</v>
      </c>
      <c r="M58" s="844"/>
      <c r="N58" s="844"/>
      <c r="O58" s="48">
        <f>IF(t&lt;Tnet,'2022'!Resal+('2022'!Salim-'2022'!Resal)*(1-EXP(('2022'!Tnet-t)/('2022'!Tau_j))),Resal+(Salim-Resal)*(1-EXP((Tnet-t)/(Tau_j))))*Salcycl</f>
        <v>0.105745734569914</v>
      </c>
      <c r="P58" s="169">
        <f>(INDEX(Models!$BJ58:$BT58,,T58)*(1-R58)+INDEX(Models!$BJ58:$BT58,,T58+1)*R58-ERP_i)*Q58*Ramure*Pc/MaxiM</f>
        <v>2.81774775357207E-3</v>
      </c>
      <c r="Q58" s="305">
        <f t="shared" si="4"/>
        <v>0.7</v>
      </c>
      <c r="R58" s="177">
        <f t="shared" si="5"/>
        <v>0.40197686266580995</v>
      </c>
      <c r="S58" s="810">
        <f t="shared" si="6"/>
        <v>0</v>
      </c>
      <c r="T58" s="176">
        <f t="shared" si="7"/>
        <v>6</v>
      </c>
      <c r="U58" s="251">
        <f t="shared" si="8"/>
        <v>0.40197686266580995</v>
      </c>
      <c r="V58" s="383">
        <f t="shared" si="9"/>
        <v>26.717651541338821</v>
      </c>
      <c r="W58" s="402">
        <f t="shared" si="10"/>
        <v>26.34519668705682</v>
      </c>
      <c r="X58" s="157">
        <f t="shared" si="11"/>
        <v>44970</v>
      </c>
      <c r="Y58" s="385">
        <f t="shared" si="12"/>
        <v>24.996810728865725</v>
      </c>
      <c r="Z58" s="385">
        <f t="shared" si="22"/>
        <v>25.979545199500826</v>
      </c>
      <c r="AA58" s="386">
        <f t="shared" si="13"/>
        <v>30.618743676455125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0.15151498461126275</v>
      </c>
      <c r="AD58" s="231">
        <f>(INDEX(Models!$BJ58:$BT58,,AH58)*(1-AF58)+INDEX(Models!$BJ58:$BT58,,AH58+1)*AF58-ERP_i)*AE58*Ramure*Pc/MaxiM</f>
        <v>2.81774775357207E-3</v>
      </c>
      <c r="AE58" s="305">
        <f t="shared" si="15"/>
        <v>0.7</v>
      </c>
      <c r="AF58" s="177">
        <f t="shared" si="23"/>
        <v>0.40197686266580995</v>
      </c>
      <c r="AG58" s="810">
        <f t="shared" si="24"/>
        <v>0</v>
      </c>
      <c r="AH58" s="176">
        <f t="shared" si="16"/>
        <v>6</v>
      </c>
      <c r="AI58" s="225">
        <f t="shared" si="17"/>
        <v>0.40197686266580995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13.799042869828115</v>
      </c>
      <c r="C59" s="840"/>
      <c r="D59" s="393">
        <f t="shared" si="0"/>
        <v>14.341877637183508</v>
      </c>
      <c r="E59" s="385">
        <f t="shared" si="1"/>
        <v>16.03929586739957</v>
      </c>
      <c r="F59" s="385">
        <f t="shared" si="2"/>
        <v>16.052913247632596</v>
      </c>
      <c r="G59" s="110">
        <f t="shared" si="21"/>
        <v>0.50919655812322051</v>
      </c>
      <c r="H59" s="414" t="b">
        <f>Wh_hp&gt;='2022'!Maxi_hp</f>
        <v>0</v>
      </c>
      <c r="I59" s="390">
        <f>IF(H59,Wh_hp,'2022'!Maxi_hp)</f>
        <v>32.218134869509122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3.7849630368342435E-2</v>
      </c>
      <c r="M59" s="844"/>
      <c r="N59" s="844"/>
      <c r="O59" s="48">
        <f>IF(t&lt;Tnet,'2022'!Resal+('2022'!Salim-'2022'!Resal)*(1-EXP(('2022'!Tnet-t)/('2022'!Tau_j))),Resal+(Salim-Resal)*(1-EXP((Tnet-t)/(Tau_j))))*Salcycl</f>
        <v>0.10582872491716565</v>
      </c>
      <c r="P59" s="169">
        <f>(INDEX(Models!$BJ59:$BT59,,T59)*(1-R59)+INDEX(Models!$BJ59:$BT59,,T59+1)*R59-ERP_i)*Q59*Ramure*Pc/MaxiM</f>
        <v>2.8248339235543932E-3</v>
      </c>
      <c r="Q59" s="305">
        <f t="shared" si="4"/>
        <v>0.7</v>
      </c>
      <c r="R59" s="177">
        <f t="shared" si="5"/>
        <v>0.40211181151699532</v>
      </c>
      <c r="S59" s="810">
        <f t="shared" si="6"/>
        <v>0</v>
      </c>
      <c r="T59" s="176">
        <f t="shared" si="7"/>
        <v>6</v>
      </c>
      <c r="U59" s="251">
        <f t="shared" si="8"/>
        <v>0.40211181151699532</v>
      </c>
      <c r="V59" s="383">
        <f t="shared" si="9"/>
        <v>27.046029582420694</v>
      </c>
      <c r="W59" s="402">
        <f t="shared" si="10"/>
        <v>13.799042869828115</v>
      </c>
      <c r="X59" s="157">
        <f t="shared" si="11"/>
        <v>44971</v>
      </c>
      <c r="Y59" s="385">
        <f t="shared" si="12"/>
        <v>13.09348472011027</v>
      </c>
      <c r="Z59" s="385">
        <f t="shared" si="22"/>
        <v>13.608563830955946</v>
      </c>
      <c r="AA59" s="386">
        <f t="shared" si="13"/>
        <v>16.03929586739957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0.15154855029416667</v>
      </c>
      <c r="AD59" s="231">
        <f>(INDEX(Models!$BJ59:$BT59,,AH59)*(1-AF59)+INDEX(Models!$BJ59:$BT59,,AH59+1)*AF59-ERP_i)*AE59*Ramure*Pc/MaxiM</f>
        <v>2.8248339235543932E-3</v>
      </c>
      <c r="AE59" s="305">
        <f t="shared" si="15"/>
        <v>0.7</v>
      </c>
      <c r="AF59" s="177">
        <f t="shared" si="23"/>
        <v>0.40211181151699532</v>
      </c>
      <c r="AG59" s="810">
        <f t="shared" si="24"/>
        <v>0</v>
      </c>
      <c r="AH59" s="176">
        <f t="shared" si="16"/>
        <v>6</v>
      </c>
      <c r="AI59" s="225">
        <f t="shared" si="17"/>
        <v>0.40211181151699532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16.271471097827973</v>
      </c>
      <c r="C60" s="840"/>
      <c r="D60" s="393">
        <f t="shared" si="0"/>
        <v>16.911961249646559</v>
      </c>
      <c r="E60" s="385">
        <f t="shared" si="1"/>
        <v>18.915313349249974</v>
      </c>
      <c r="F60" s="385">
        <f t="shared" si="2"/>
        <v>18.937739631807403</v>
      </c>
      <c r="G60" s="110">
        <f t="shared" si="21"/>
        <v>0.593366708423822</v>
      </c>
      <c r="H60" s="414" t="b">
        <f>Wh_hp&gt;='2022'!Maxi_hp</f>
        <v>0</v>
      </c>
      <c r="I60" s="390">
        <f>IF(H60,Wh_hp,'2022'!Maxi_hp)</f>
        <v>32.495097407012501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3.7872021013054979E-2</v>
      </c>
      <c r="M60" s="844"/>
      <c r="N60" s="844"/>
      <c r="O60" s="48">
        <f>IF(t&lt;Tnet,'2022'!Resal+('2022'!Salim-'2022'!Resal)*(1-EXP(('2022'!Tnet-t)/('2022'!Tau_j))),Resal+(Salim-Resal)*(1-EXP((Tnet-t)/(Tau_j))))*Salcycl</f>
        <v>0.10591165277644486</v>
      </c>
      <c r="P60" s="169">
        <f>(INDEX(Models!$BJ60:$BT60,,T60)*(1-R60)+INDEX(Models!$BJ60:$BT60,,T60+1)*R60-ERP_i)*Q60*Ramure*Pc/MaxiM</f>
        <v>2.8163137308584965E-3</v>
      </c>
      <c r="Q60" s="305">
        <f t="shared" si="4"/>
        <v>0.7</v>
      </c>
      <c r="R60" s="177">
        <f t="shared" si="5"/>
        <v>0.40225232429005969</v>
      </c>
      <c r="S60" s="810">
        <f t="shared" si="6"/>
        <v>0</v>
      </c>
      <c r="T60" s="176">
        <f t="shared" si="7"/>
        <v>6</v>
      </c>
      <c r="U60" s="251">
        <f t="shared" si="8"/>
        <v>0.40225232429005969</v>
      </c>
      <c r="V60" s="383">
        <f t="shared" si="9"/>
        <v>27.377476139636798</v>
      </c>
      <c r="W60" s="402">
        <f t="shared" si="10"/>
        <v>16.271471097827973</v>
      </c>
      <c r="X60" s="157">
        <f t="shared" si="11"/>
        <v>44972</v>
      </c>
      <c r="Y60" s="385">
        <f t="shared" si="12"/>
        <v>15.440316497761197</v>
      </c>
      <c r="Z60" s="385">
        <f t="shared" si="22"/>
        <v>16.048090103375639</v>
      </c>
      <c r="AA60" s="386">
        <f t="shared" si="13"/>
        <v>18.915313349249974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0.15158211724724216</v>
      </c>
      <c r="AD60" s="231">
        <f>(INDEX(Models!$BJ60:$BT60,,AH60)*(1-AF60)+INDEX(Models!$BJ60:$BT60,,AH60+1)*AF60-ERP_i)*AE60*Ramure*Pc/MaxiM</f>
        <v>2.8163137308584965E-3</v>
      </c>
      <c r="AE60" s="305">
        <f t="shared" si="15"/>
        <v>0.7</v>
      </c>
      <c r="AF60" s="177">
        <f t="shared" si="23"/>
        <v>0.40225232429005969</v>
      </c>
      <c r="AG60" s="810">
        <f t="shared" si="24"/>
        <v>0</v>
      </c>
      <c r="AH60" s="176">
        <f t="shared" si="16"/>
        <v>6</v>
      </c>
      <c r="AI60" s="225">
        <f t="shared" si="17"/>
        <v>0.40225232429005969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8.9562108174479</v>
      </c>
      <c r="C61" s="840"/>
      <c r="D61" s="393">
        <f t="shared" si="0"/>
        <v>9.3089687048065564</v>
      </c>
      <c r="E61" s="385">
        <f t="shared" si="1"/>
        <v>10.412652698150033</v>
      </c>
      <c r="F61" s="385">
        <f t="shared" si="2"/>
        <v>10.413616269354396</v>
      </c>
      <c r="G61" s="110">
        <f t="shared" si="21"/>
        <v>0.32231951965434741</v>
      </c>
      <c r="H61" s="414" t="b">
        <f>Wh_hp&gt;='2022'!Maxi_hp</f>
        <v>0</v>
      </c>
      <c r="I61" s="390">
        <f>IF(H61,Wh_hp,'2022'!Maxi_hp)</f>
        <v>33.091277518761402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3.7894411136704553E-2</v>
      </c>
      <c r="M61" s="844"/>
      <c r="N61" s="844"/>
      <c r="O61" s="48">
        <f>IF(t&lt;Tnet,'2022'!Resal+('2022'!Salim-'2022'!Resal)*(1-EXP(('2022'!Tnet-t)/('2022'!Tau_j))),Resal+(Salim-Resal)*(1-EXP((Tnet-t)/(Tau_j))))*Salcycl</f>
        <v>0.10599450738807056</v>
      </c>
      <c r="P61" s="169">
        <f>(INDEX(Models!$BJ61:$BT61,,T61)*(1-R61)+INDEX(Models!$BJ61:$BT61,,T61+1)*R61-ERP_i)*Q61*Ramure*Pc/MaxiM</f>
        <v>2.7927783195168614E-3</v>
      </c>
      <c r="Q61" s="305">
        <f t="shared" si="4"/>
        <v>0.7</v>
      </c>
      <c r="R61" s="177">
        <f t="shared" si="5"/>
        <v>0.40239862616669014</v>
      </c>
      <c r="S61" s="810">
        <f t="shared" si="6"/>
        <v>0</v>
      </c>
      <c r="T61" s="176">
        <f t="shared" si="7"/>
        <v>6</v>
      </c>
      <c r="U61" s="251">
        <f t="shared" si="8"/>
        <v>0.40239862616669014</v>
      </c>
      <c r="V61" s="383">
        <f t="shared" si="9"/>
        <v>27.711708540820876</v>
      </c>
      <c r="W61" s="402">
        <f t="shared" si="10"/>
        <v>8.9562108174479</v>
      </c>
      <c r="X61" s="157">
        <f t="shared" si="11"/>
        <v>44973</v>
      </c>
      <c r="Y61" s="385">
        <f t="shared" si="12"/>
        <v>8.4991747558305235</v>
      </c>
      <c r="Z61" s="385">
        <f t="shared" si="22"/>
        <v>8.8339313836354414</v>
      </c>
      <c r="AA61" s="386">
        <f t="shared" si="13"/>
        <v>10.412652698150033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0.15161566992386821</v>
      </c>
      <c r="AD61" s="231">
        <f>(INDEX(Models!$BJ61:$BT61,,AH61)*(1-AF61)+INDEX(Models!$BJ61:$BT61,,AH61+1)*AF61-ERP_i)*AE61*Ramure*Pc/MaxiM</f>
        <v>2.7927783195168614E-3</v>
      </c>
      <c r="AE61" s="305">
        <f t="shared" si="15"/>
        <v>0.7</v>
      </c>
      <c r="AF61" s="177">
        <f t="shared" si="23"/>
        <v>0.40239862616669014</v>
      </c>
      <c r="AG61" s="810">
        <f t="shared" si="24"/>
        <v>0</v>
      </c>
      <c r="AH61" s="176">
        <f t="shared" si="16"/>
        <v>6</v>
      </c>
      <c r="AI61" s="225">
        <f t="shared" si="17"/>
        <v>0.40239862616669014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10.666325735053576</v>
      </c>
      <c r="C62" s="840"/>
      <c r="D62" s="393">
        <f t="shared" si="0"/>
        <v>11.08669784822145</v>
      </c>
      <c r="E62" s="385">
        <f t="shared" si="1"/>
        <v>12.402300090488714</v>
      </c>
      <c r="F62" s="385">
        <f t="shared" si="2"/>
        <v>12.406219770393069</v>
      </c>
      <c r="G62" s="110">
        <f t="shared" si="21"/>
        <v>0.37935451323734293</v>
      </c>
      <c r="H62" s="414" t="b">
        <f>Wh_hp&gt;='2022'!Maxi_hp</f>
        <v>0</v>
      </c>
      <c r="I62" s="390">
        <f>IF(H62,Wh_hp,'2022'!Maxi_hp)</f>
        <v>33.499351483700778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3.7916800739303147E-2</v>
      </c>
      <c r="M62" s="844"/>
      <c r="N62" s="844"/>
      <c r="O62" s="48">
        <f>IF(t&lt;Tnet,'2022'!Resal+('2022'!Salim-'2022'!Resal)*(1-EXP(('2022'!Tnet-t)/('2022'!Tau_j))),Resal+(Salim-Resal)*(1-EXP((Tnet-t)/(Tau_j))))*Salcycl</f>
        <v>0.10607727862319632</v>
      </c>
      <c r="P62" s="169">
        <f>(INDEX(Models!$BJ62:$BT62,,T62)*(1-R62)+INDEX(Models!$BJ62:$BT62,,T62+1)*R62-ERP_i)*Q62*Ramure*Pc/MaxiM</f>
        <v>2.7547969292779934E-3</v>
      </c>
      <c r="Q62" s="305">
        <f t="shared" si="4"/>
        <v>0.7</v>
      </c>
      <c r="R62" s="177">
        <f t="shared" si="5"/>
        <v>0.40255095108441519</v>
      </c>
      <c r="S62" s="810">
        <f t="shared" si="6"/>
        <v>0</v>
      </c>
      <c r="T62" s="176">
        <f t="shared" si="7"/>
        <v>6</v>
      </c>
      <c r="U62" s="251">
        <f t="shared" si="8"/>
        <v>0.40255095108441519</v>
      </c>
      <c r="V62" s="383">
        <f t="shared" si="9"/>
        <v>28.048444266411199</v>
      </c>
      <c r="W62" s="402">
        <f t="shared" si="10"/>
        <v>10.666325735053576</v>
      </c>
      <c r="X62" s="157">
        <f t="shared" si="11"/>
        <v>44974</v>
      </c>
      <c r="Y62" s="385">
        <f t="shared" si="12"/>
        <v>10.122559613990566</v>
      </c>
      <c r="Z62" s="385">
        <f t="shared" si="22"/>
        <v>10.52150128156187</v>
      </c>
      <c r="AA62" s="386">
        <f t="shared" si="13"/>
        <v>12.402300090488714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0.15164919371441621</v>
      </c>
      <c r="AD62" s="231">
        <f>(INDEX(Models!$BJ62:$BT62,,AH62)*(1-AF62)+INDEX(Models!$BJ62:$BT62,,AH62+1)*AF62-ERP_i)*AE62*Ramure*Pc/MaxiM</f>
        <v>2.7547969292779934E-3</v>
      </c>
      <c r="AE62" s="305">
        <f t="shared" si="15"/>
        <v>0.7</v>
      </c>
      <c r="AF62" s="177">
        <f t="shared" si="23"/>
        <v>0.40255095108441519</v>
      </c>
      <c r="AG62" s="810">
        <f t="shared" si="24"/>
        <v>0</v>
      </c>
      <c r="AH62" s="176">
        <f t="shared" si="16"/>
        <v>6</v>
      </c>
      <c r="AI62" s="225">
        <f t="shared" si="17"/>
        <v>0.40255095108441519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23.61686382535196</v>
      </c>
      <c r="C63" s="840"/>
      <c r="D63" s="393">
        <f t="shared" si="0"/>
        <v>24.548202749215477</v>
      </c>
      <c r="E63" s="385">
        <f t="shared" si="1"/>
        <v>27.463753661031777</v>
      </c>
      <c r="F63" s="385">
        <f t="shared" si="2"/>
        <v>27.520280829420088</v>
      </c>
      <c r="G63" s="110">
        <f t="shared" si="21"/>
        <v>0.83140782778812394</v>
      </c>
      <c r="H63" s="414" t="b">
        <f>Wh_hp&gt;='2022'!Maxi_hp</f>
        <v>0</v>
      </c>
      <c r="I63" s="390">
        <f>IF(H63,Wh_hp,'2022'!Maxi_hp)</f>
        <v>33.359346298317604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3.7939189820863084E-2</v>
      </c>
      <c r="M63" s="844"/>
      <c r="N63" s="844"/>
      <c r="O63" s="48">
        <f>IF(t&lt;Tnet,'2022'!Resal+('2022'!Salim-'2022'!Resal)*(1-EXP(('2022'!Tnet-t)/('2022'!Tau_j))),Resal+(Salim-Resal)*(1-EXP((Tnet-t)/(Tau_j))))*Salcycl</f>
        <v>0.10615995714938148</v>
      </c>
      <c r="P63" s="169">
        <f>(INDEX(Models!$BJ63:$BT63,,T63)*(1-R63)+INDEX(Models!$BJ63:$BT63,,T63+1)*R63-ERP_i)*Q63*Ramure*Pc/MaxiM</f>
        <v>2.7029162262216036E-3</v>
      </c>
      <c r="Q63" s="305">
        <f t="shared" si="4"/>
        <v>0.7</v>
      </c>
      <c r="R63" s="177">
        <f t="shared" si="5"/>
        <v>0.4027095420466138</v>
      </c>
      <c r="S63" s="810">
        <f t="shared" si="6"/>
        <v>0</v>
      </c>
      <c r="T63" s="176">
        <f t="shared" si="7"/>
        <v>6</v>
      </c>
      <c r="U63" s="251">
        <f t="shared" si="8"/>
        <v>0.4027095420466138</v>
      </c>
      <c r="V63" s="383">
        <f t="shared" si="9"/>
        <v>28.387400944400582</v>
      </c>
      <c r="W63" s="402">
        <f t="shared" si="10"/>
        <v>23.61686382535196</v>
      </c>
      <c r="X63" s="157">
        <f t="shared" si="11"/>
        <v>44975</v>
      </c>
      <c r="Y63" s="385">
        <f t="shared" si="12"/>
        <v>22.41407162411868</v>
      </c>
      <c r="Z63" s="385">
        <f t="shared" si="22"/>
        <v>23.297978035239947</v>
      </c>
      <c r="AA63" s="386">
        <f t="shared" si="13"/>
        <v>27.463753661031777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0.15168267518007325</v>
      </c>
      <c r="AD63" s="231">
        <f>(INDEX(Models!$BJ63:$BT63,,AH63)*(1-AF63)+INDEX(Models!$BJ63:$BT63,,AH63+1)*AF63-ERP_i)*AE63*Ramure*Pc/MaxiM</f>
        <v>2.7029162262216036E-3</v>
      </c>
      <c r="AE63" s="305">
        <f t="shared" si="15"/>
        <v>0.7</v>
      </c>
      <c r="AF63" s="177">
        <f t="shared" si="23"/>
        <v>0.4027095420466138</v>
      </c>
      <c r="AG63" s="810">
        <f t="shared" si="24"/>
        <v>0</v>
      </c>
      <c r="AH63" s="176">
        <f t="shared" si="16"/>
        <v>6</v>
      </c>
      <c r="AI63" s="225">
        <f t="shared" si="17"/>
        <v>0.4027095420466138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18.062889627634043</v>
      </c>
      <c r="C64" s="840"/>
      <c r="D64" s="393">
        <f t="shared" si="0"/>
        <v>18.775642658059041</v>
      </c>
      <c r="E64" s="385">
        <f t="shared" si="1"/>
        <v>21.007536591036196</v>
      </c>
      <c r="F64" s="385">
        <f t="shared" si="2"/>
        <v>21.033592049566941</v>
      </c>
      <c r="G64" s="110">
        <f t="shared" si="21"/>
        <v>0.62786841939704008</v>
      </c>
      <c r="H64" s="414" t="b">
        <f>Wh_hp&gt;='2022'!Maxi_hp</f>
        <v>0</v>
      </c>
      <c r="I64" s="390">
        <f>IF(H64,Wh_hp,'2022'!Maxi_hp)</f>
        <v>33.466194315132412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3.7961578381396355E-2</v>
      </c>
      <c r="M64" s="844"/>
      <c r="N64" s="844"/>
      <c r="O64" s="48">
        <f>IF(t&lt;Tnet,'2022'!Resal+('2022'!Salim-'2022'!Resal)*(1-EXP(('2022'!Tnet-t)/('2022'!Tau_j))),Resal+(Salim-Resal)*(1-EXP((Tnet-t)/(Tau_j))))*Salcycl</f>
        <v>0.10624253459253735</v>
      </c>
      <c r="P64" s="169">
        <f>(INDEX(Models!$BJ64:$BT64,,T64)*(1-R64)+INDEX(Models!$BJ64:$BT64,,T64+1)*R64-ERP_i)*Q64*Ramure*Pc/MaxiM</f>
        <v>2.6376597986003604E-3</v>
      </c>
      <c r="Q64" s="305">
        <f t="shared" si="4"/>
        <v>0.7</v>
      </c>
      <c r="R64" s="177">
        <f t="shared" si="5"/>
        <v>0.40287465144086099</v>
      </c>
      <c r="S64" s="810">
        <f t="shared" si="6"/>
        <v>0</v>
      </c>
      <c r="T64" s="176">
        <f t="shared" si="7"/>
        <v>6</v>
      </c>
      <c r="U64" s="251">
        <f t="shared" si="8"/>
        <v>0.40287465144086099</v>
      </c>
      <c r="V64" s="383">
        <f t="shared" si="9"/>
        <v>28.728296343401933</v>
      </c>
      <c r="W64" s="402">
        <f t="shared" si="10"/>
        <v>18.062889627634043</v>
      </c>
      <c r="X64" s="157">
        <f t="shared" si="11"/>
        <v>44976</v>
      </c>
      <c r="Y64" s="385">
        <f t="shared" si="12"/>
        <v>17.143866217013453</v>
      </c>
      <c r="Z64" s="385">
        <f t="shared" si="22"/>
        <v>17.820355020924591</v>
      </c>
      <c r="AA64" s="386">
        <f t="shared" si="13"/>
        <v>21.007536591036196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0.15171610228071936</v>
      </c>
      <c r="AD64" s="231">
        <f>(INDEX(Models!$BJ64:$BT64,,AH64)*(1-AF64)+INDEX(Models!$BJ64:$BT64,,AH64+1)*AF64-ERP_i)*AE64*Ramure*Pc/MaxiM</f>
        <v>2.6376597986003604E-3</v>
      </c>
      <c r="AE64" s="305">
        <f t="shared" si="15"/>
        <v>0.7</v>
      </c>
      <c r="AF64" s="177">
        <f t="shared" si="23"/>
        <v>0.40287465144086099</v>
      </c>
      <c r="AG64" s="810">
        <f t="shared" si="24"/>
        <v>0</v>
      </c>
      <c r="AH64" s="176">
        <f t="shared" si="16"/>
        <v>6</v>
      </c>
      <c r="AI64" s="225">
        <f t="shared" si="17"/>
        <v>0.40287465144086099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17.726342583257697</v>
      </c>
      <c r="C65" s="840"/>
      <c r="D65" s="393">
        <f t="shared" si="0"/>
        <v>18.426244433066884</v>
      </c>
      <c r="E65" s="385">
        <f t="shared" si="1"/>
        <v>20.618507297647032</v>
      </c>
      <c r="F65" s="385">
        <f t="shared" si="2"/>
        <v>20.641884478119032</v>
      </c>
      <c r="G65" s="110">
        <f t="shared" si="21"/>
        <v>0.60886914682471449</v>
      </c>
      <c r="H65" s="414" t="b">
        <f>Wh_hp&gt;='2022'!Maxi_hp</f>
        <v>0</v>
      </c>
      <c r="I65" s="390">
        <f>IF(H65,Wh_hp,'2022'!Maxi_hp)</f>
        <v>34.378402325425711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3.7983966420915061E-2</v>
      </c>
      <c r="M65" s="844"/>
      <c r="N65" s="844"/>
      <c r="O65" s="48">
        <f>IF(t&lt;Tnet,'2022'!Resal+('2022'!Salim-'2022'!Resal)*(1-EXP(('2022'!Tnet-t)/('2022'!Tau_j))),Resal+(Salim-Resal)*(1-EXP((Tnet-t)/(Tau_j))))*Salcycl</f>
        <v>0.1063250036936635</v>
      </c>
      <c r="P65" s="169">
        <f>(INDEX(Models!$BJ65:$BT65,,T65)*(1-R65)+INDEX(Models!$BJ65:$BT65,,T65+1)*R65-ERP_i)*Q65*Ramure*Pc/MaxiM</f>
        <v>2.5594301188140629E-3</v>
      </c>
      <c r="Q65" s="305">
        <f t="shared" si="4"/>
        <v>0.7</v>
      </c>
      <c r="R65" s="177">
        <f t="shared" si="5"/>
        <v>0.40304654136558921</v>
      </c>
      <c r="S65" s="810">
        <f t="shared" si="6"/>
        <v>0</v>
      </c>
      <c r="T65" s="176">
        <f t="shared" si="7"/>
        <v>6</v>
      </c>
      <c r="U65" s="251">
        <f t="shared" si="8"/>
        <v>0.40304654136558921</v>
      </c>
      <c r="V65" s="383">
        <f t="shared" si="9"/>
        <v>29.071960628440056</v>
      </c>
      <c r="W65" s="402">
        <f t="shared" si="10"/>
        <v>17.726342583257697</v>
      </c>
      <c r="X65" s="157">
        <f t="shared" si="11"/>
        <v>44977</v>
      </c>
      <c r="Y65" s="385">
        <f t="shared" si="12"/>
        <v>16.825333201862616</v>
      </c>
      <c r="Z65" s="385">
        <f t="shared" si="22"/>
        <v>17.489659854488742</v>
      </c>
      <c r="AA65" s="386">
        <f t="shared" si="13"/>
        <v>20.618507297647032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0.15174946459462429</v>
      </c>
      <c r="AD65" s="231">
        <f>(INDEX(Models!$BJ65:$BT65,,AH65)*(1-AF65)+INDEX(Models!$BJ65:$BT65,,AH65+1)*AF65-ERP_i)*AE65*Ramure*Pc/MaxiM</f>
        <v>2.5594301188140629E-3</v>
      </c>
      <c r="AE65" s="305">
        <f t="shared" si="15"/>
        <v>0.7</v>
      </c>
      <c r="AF65" s="177">
        <f t="shared" si="23"/>
        <v>0.40304654136558921</v>
      </c>
      <c r="AG65" s="810">
        <f t="shared" si="24"/>
        <v>0</v>
      </c>
      <c r="AH65" s="176">
        <f t="shared" si="16"/>
        <v>6</v>
      </c>
      <c r="AI65" s="225">
        <f t="shared" si="17"/>
        <v>0.40304654136558921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19.333100696109341</v>
      </c>
      <c r="C66" s="840"/>
      <c r="D66" s="393">
        <f t="shared" si="0"/>
        <v>20.096911009006913</v>
      </c>
      <c r="E66" s="385">
        <f t="shared" si="1"/>
        <v>22.490013989312818</v>
      </c>
      <c r="F66" s="385">
        <f t="shared" si="2"/>
        <v>22.518411655277944</v>
      </c>
      <c r="G66" s="110">
        <f t="shared" si="21"/>
        <v>0.65636282655890898</v>
      </c>
      <c r="H66" s="414" t="b">
        <f>Wh_hp&gt;='2022'!Maxi_hp</f>
        <v>0</v>
      </c>
      <c r="I66" s="390">
        <f>IF(H66,Wh_hp,'2022'!Maxi_hp)</f>
        <v>33.562567282376634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3.8006353939431414E-2</v>
      </c>
      <c r="M66" s="844"/>
      <c r="N66" s="844"/>
      <c r="O66" s="48">
        <f>IF(t&lt;Tnet,'2022'!Resal+('2022'!Salim-'2022'!Resal)*(1-EXP(('2022'!Tnet-t)/('2022'!Tau_j))),Resal+(Salim-Resal)*(1-EXP((Tnet-t)/(Tau_j))))*Salcycl</f>
        <v>0.10640735845887431</v>
      </c>
      <c r="P66" s="169">
        <f>(INDEX(Models!$BJ66:$BT66,,T66)*(1-R66)+INDEX(Models!$BJ66:$BT66,,T66+1)*R66-ERP_i)*Q66*Ramure*Pc/MaxiM</f>
        <v>2.471615549019411E-3</v>
      </c>
      <c r="Q66" s="305">
        <f t="shared" si="4"/>
        <v>0.7</v>
      </c>
      <c r="R66" s="177">
        <f t="shared" si="5"/>
        <v>0.40322548396501851</v>
      </c>
      <c r="S66" s="810">
        <f t="shared" si="6"/>
        <v>0</v>
      </c>
      <c r="T66" s="176">
        <f t="shared" si="7"/>
        <v>6</v>
      </c>
      <c r="U66" s="251">
        <f t="shared" si="8"/>
        <v>0.40322548396501851</v>
      </c>
      <c r="V66" s="383">
        <f t="shared" si="9"/>
        <v>29.419197865602541</v>
      </c>
      <c r="W66" s="402">
        <f t="shared" si="10"/>
        <v>19.333100696109341</v>
      </c>
      <c r="X66" s="157">
        <f t="shared" si="11"/>
        <v>44978</v>
      </c>
      <c r="Y66" s="385">
        <f t="shared" si="12"/>
        <v>18.351392654644815</v>
      </c>
      <c r="Z66" s="385">
        <f t="shared" si="22"/>
        <v>19.076417739134822</v>
      </c>
      <c r="AA66" s="386">
        <f t="shared" si="13"/>
        <v>22.490013989312818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0.15178275352786014</v>
      </c>
      <c r="AD66" s="231">
        <f>(INDEX(Models!$BJ66:$BT66,,AH66)*(1-AF66)+INDEX(Models!$BJ66:$BT66,,AH66+1)*AF66-ERP_i)*AE66*Ramure*Pc/MaxiM</f>
        <v>2.471615549019411E-3</v>
      </c>
      <c r="AE66" s="305">
        <f t="shared" si="15"/>
        <v>0.7</v>
      </c>
      <c r="AF66" s="177">
        <f t="shared" si="23"/>
        <v>0.40322548396501851</v>
      </c>
      <c r="AG66" s="810">
        <f t="shared" si="24"/>
        <v>0</v>
      </c>
      <c r="AH66" s="176">
        <f t="shared" si="16"/>
        <v>6</v>
      </c>
      <c r="AI66" s="225">
        <f t="shared" si="17"/>
        <v>0.40322548396501851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28.217925361061116</v>
      </c>
      <c r="C67" s="840"/>
      <c r="D67" s="393">
        <f t="shared" si="0"/>
        <v>29.333439118072302</v>
      </c>
      <c r="E67" s="385">
        <f t="shared" si="1"/>
        <v>32.829432014431823</v>
      </c>
      <c r="F67" s="385">
        <f t="shared" si="2"/>
        <v>32.901925469752477</v>
      </c>
      <c r="G67" s="110">
        <f t="shared" si="21"/>
        <v>0.94770752473890318</v>
      </c>
      <c r="H67" s="414" t="b">
        <f>Wh_hp&gt;='2022'!Maxi_hp</f>
        <v>0</v>
      </c>
      <c r="I67" s="390">
        <f>IF(H67,Wh_hp,'2022'!Maxi_hp)</f>
        <v>34.11239789666849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3.8028740936957517E-2</v>
      </c>
      <c r="M67" s="844"/>
      <c r="N67" s="844"/>
      <c r="O67" s="48">
        <f>IF(t&lt;Tnet,'2022'!Resal+('2022'!Salim-'2022'!Resal)*(1-EXP(('2022'!Tnet-t)/('2022'!Tau_j))),Resal+(Salim-Resal)*(1-EXP((Tnet-t)/(Tau_j))))*Salcycl</f>
        <v>0.10648959430131738</v>
      </c>
      <c r="P67" s="169">
        <f>(INDEX(Models!$BJ67:$BT67,,T67)*(1-R67)+INDEX(Models!$BJ67:$BT67,,T67+1)*R67-ERP_i)*Q67*Ramure*Pc/MaxiM</f>
        <v>2.3805849664814845E-3</v>
      </c>
      <c r="Q67" s="305">
        <f t="shared" si="4"/>
        <v>0.7</v>
      </c>
      <c r="R67" s="177">
        <f t="shared" si="5"/>
        <v>0.40341176177227395</v>
      </c>
      <c r="S67" s="810">
        <f t="shared" si="6"/>
        <v>0</v>
      </c>
      <c r="T67" s="176">
        <f t="shared" si="7"/>
        <v>6</v>
      </c>
      <c r="U67" s="251">
        <f t="shared" si="8"/>
        <v>0.40341176177227395</v>
      </c>
      <c r="V67" s="383">
        <f t="shared" si="9"/>
        <v>29.769640439234418</v>
      </c>
      <c r="W67" s="402">
        <f t="shared" si="10"/>
        <v>28.217925361061116</v>
      </c>
      <c r="X67" s="157">
        <f t="shared" si="11"/>
        <v>44979</v>
      </c>
      <c r="Y67" s="385">
        <f t="shared" si="12"/>
        <v>26.786474684174813</v>
      </c>
      <c r="Z67" s="385">
        <f t="shared" si="22"/>
        <v>27.845400194455674</v>
      </c>
      <c r="AA67" s="386">
        <f t="shared" si="13"/>
        <v>32.829432014431823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0.15181596251147952</v>
      </c>
      <c r="AD67" s="231">
        <f>(INDEX(Models!$BJ67:$BT67,,AH67)*(1-AF67)+INDEX(Models!$BJ67:$BT67,,AH67+1)*AF67-ERP_i)*AE67*Ramure*Pc/MaxiM</f>
        <v>2.3805849664814845E-3</v>
      </c>
      <c r="AE67" s="305">
        <f t="shared" si="15"/>
        <v>0.7</v>
      </c>
      <c r="AF67" s="177">
        <f t="shared" si="23"/>
        <v>0.40341176177227395</v>
      </c>
      <c r="AG67" s="810">
        <f t="shared" si="24"/>
        <v>0</v>
      </c>
      <c r="AH67" s="176">
        <f t="shared" si="16"/>
        <v>6</v>
      </c>
      <c r="AI67" s="225">
        <f t="shared" si="17"/>
        <v>0.40341176177227395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28.431726991333907</v>
      </c>
      <c r="C68" s="840"/>
      <c r="D68" s="393">
        <f t="shared" si="0"/>
        <v>29.55638059524566</v>
      </c>
      <c r="E68" s="385">
        <f t="shared" si="1"/>
        <v>33.081984156588547</v>
      </c>
      <c r="F68" s="385">
        <f t="shared" si="2"/>
        <v>33.151704557951319</v>
      </c>
      <c r="G68" s="110">
        <f t="shared" si="21"/>
        <v>0.94367782297277392</v>
      </c>
      <c r="H68" s="414" t="b">
        <f>Wh_hp&gt;='2022'!Maxi_hp</f>
        <v>0</v>
      </c>
      <c r="I68" s="390">
        <f>IF(H68,Wh_hp,'2022'!Maxi_hp)</f>
        <v>35.162786198923072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3.805112741350547E-2</v>
      </c>
      <c r="M68" s="844"/>
      <c r="N68" s="844"/>
      <c r="O68" s="48">
        <f>IF(t&lt;Tnet,'2022'!Resal+('2022'!Salim-'2022'!Resal)*(1-EXP(('2022'!Tnet-t)/('2022'!Tau_j))),Resal+(Salim-Resal)*(1-EXP((Tnet-t)/(Tau_j))))*Salcycl</f>
        <v>0.10657170817369897</v>
      </c>
      <c r="P68" s="169">
        <f>(INDEX(Models!$BJ68:$BT68,,T68)*(1-R68)+INDEX(Models!$BJ68:$BT68,,T68+1)*R68-ERP_i)*Q68*Ramure*Pc/MaxiM</f>
        <v>2.2864751333518695E-3</v>
      </c>
      <c r="Q68" s="305">
        <f t="shared" si="4"/>
        <v>0.7</v>
      </c>
      <c r="R68" s="177">
        <f t="shared" si="5"/>
        <v>0.40360566806057624</v>
      </c>
      <c r="S68" s="810">
        <f t="shared" si="6"/>
        <v>0</v>
      </c>
      <c r="T68" s="176">
        <f t="shared" si="7"/>
        <v>6</v>
      </c>
      <c r="U68" s="251">
        <f t="shared" si="8"/>
        <v>0.40360566806057624</v>
      </c>
      <c r="V68" s="383">
        <f t="shared" si="9"/>
        <v>30.123100092633983</v>
      </c>
      <c r="W68" s="402">
        <f t="shared" si="10"/>
        <v>28.431726991333907</v>
      </c>
      <c r="X68" s="157">
        <f t="shared" si="11"/>
        <v>44980</v>
      </c>
      <c r="Y68" s="385">
        <f t="shared" si="12"/>
        <v>26.990856928564924</v>
      </c>
      <c r="Z68" s="385">
        <f t="shared" si="22"/>
        <v>28.058515060152551</v>
      </c>
      <c r="AA68" s="386">
        <f t="shared" si="13"/>
        <v>33.081984156588547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0.15184908718467943</v>
      </c>
      <c r="AD68" s="231">
        <f>(INDEX(Models!$BJ68:$BT68,,AH68)*(1-AF68)+INDEX(Models!$BJ68:$BT68,,AH68+1)*AF68-ERP_i)*AE68*Ramure*Pc/MaxiM</f>
        <v>2.2864751333518695E-3</v>
      </c>
      <c r="AE68" s="305">
        <f t="shared" si="15"/>
        <v>0.7</v>
      </c>
      <c r="AF68" s="177">
        <f t="shared" si="23"/>
        <v>0.40360566806057624</v>
      </c>
      <c r="AG68" s="810">
        <f t="shared" si="24"/>
        <v>0</v>
      </c>
      <c r="AH68" s="176">
        <f t="shared" si="16"/>
        <v>6</v>
      </c>
      <c r="AI68" s="225">
        <f t="shared" si="17"/>
        <v>0.40360566806057624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17.439929255932583</v>
      </c>
      <c r="C69" s="840"/>
      <c r="D69" s="393">
        <f t="shared" si="0"/>
        <v>18.130210050681569</v>
      </c>
      <c r="E69" s="385">
        <f t="shared" si="1"/>
        <v>20.294716644710611</v>
      </c>
      <c r="F69" s="385">
        <f t="shared" si="2"/>
        <v>20.31200899285669</v>
      </c>
      <c r="G69" s="110">
        <f t="shared" si="21"/>
        <v>0.57142134906595521</v>
      </c>
      <c r="H69" s="414" t="b">
        <f>Wh_hp&gt;='2022'!Maxi_hp</f>
        <v>0</v>
      </c>
      <c r="I69" s="390">
        <f>IF(H69,Wh_hp,'2022'!Maxi_hp)</f>
        <v>36.637666820783267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3.8073513369087375E-2</v>
      </c>
      <c r="M69" s="844"/>
      <c r="N69" s="844"/>
      <c r="O69" s="48">
        <f>IF(t&lt;Tnet,'2022'!Resal+('2022'!Salim-'2022'!Resal)*(1-EXP(('2022'!Tnet-t)/('2022'!Tau_j))),Resal+(Salim-Resal)*(1-EXP((Tnet-t)/(Tau_j))))*Salcycl</f>
        <v>0.10665369869025369</v>
      </c>
      <c r="P69" s="169">
        <f>(INDEX(Models!$BJ69:$BT69,,T69)*(1-R69)+INDEX(Models!$BJ69:$BT69,,T69+1)*R69-ERP_i)*Q69*Ramure*Pc/MaxiM</f>
        <v>2.1894283054426531E-3</v>
      </c>
      <c r="Q69" s="305">
        <f t="shared" si="4"/>
        <v>0.7</v>
      </c>
      <c r="R69" s="177">
        <f t="shared" si="5"/>
        <v>0.40380750720235087</v>
      </c>
      <c r="S69" s="810">
        <f t="shared" si="6"/>
        <v>0</v>
      </c>
      <c r="T69" s="176">
        <f t="shared" si="7"/>
        <v>6</v>
      </c>
      <c r="U69" s="251">
        <f t="shared" si="8"/>
        <v>0.40380750720235087</v>
      </c>
      <c r="V69" s="383">
        <f t="shared" si="9"/>
        <v>30.479388228128421</v>
      </c>
      <c r="W69" s="402">
        <f t="shared" si="10"/>
        <v>17.439929255932583</v>
      </c>
      <c r="X69" s="157">
        <f t="shared" si="11"/>
        <v>44981</v>
      </c>
      <c r="Y69" s="385">
        <f t="shared" si="12"/>
        <v>16.556978754150581</v>
      </c>
      <c r="Z69" s="385">
        <f t="shared" si="22"/>
        <v>17.212311943026297</v>
      </c>
      <c r="AA69" s="386">
        <f t="shared" si="13"/>
        <v>20.294716644710611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0.15188212556235298</v>
      </c>
      <c r="AD69" s="231">
        <f>(INDEX(Models!$BJ69:$BT69,,AH69)*(1-AF69)+INDEX(Models!$BJ69:$BT69,,AH69+1)*AF69-ERP_i)*AE69*Ramure*Pc/MaxiM</f>
        <v>2.1894283054426531E-3</v>
      </c>
      <c r="AE69" s="305">
        <f t="shared" si="15"/>
        <v>0.7</v>
      </c>
      <c r="AF69" s="177">
        <f t="shared" si="23"/>
        <v>0.40380750720235087</v>
      </c>
      <c r="AG69" s="810">
        <f t="shared" si="24"/>
        <v>0</v>
      </c>
      <c r="AH69" s="176">
        <f t="shared" si="16"/>
        <v>6</v>
      </c>
      <c r="AI69" s="225">
        <f t="shared" si="17"/>
        <v>0.40380750720235087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28.041374777715966</v>
      </c>
      <c r="C70" s="840"/>
      <c r="D70" s="393">
        <f t="shared" si="0"/>
        <v>29.151944297609237</v>
      </c>
      <c r="E70" s="385">
        <f t="shared" si="1"/>
        <v>32.63529050944851</v>
      </c>
      <c r="F70" s="385">
        <f t="shared" si="2"/>
        <v>32.694757004970356</v>
      </c>
      <c r="G70" s="110">
        <f t="shared" si="21"/>
        <v>0.90905640738507321</v>
      </c>
      <c r="H70" s="414" t="b">
        <f>Wh_hp&gt;='2022'!Maxi_hp</f>
        <v>0</v>
      </c>
      <c r="I70" s="390">
        <f>IF(H70,Wh_hp,'2022'!Maxi_hp)</f>
        <v>35.339882745455832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3.8095898803715444E-2</v>
      </c>
      <c r="M70" s="844"/>
      <c r="N70" s="844"/>
      <c r="O70" s="48">
        <f>IF(t&lt;Tnet,'2022'!Resal+('2022'!Salim-'2022'!Resal)*(1-EXP(('2022'!Tnet-t)/('2022'!Tau_j))),Resal+(Salim-Resal)*(1-EXP((Tnet-t)/(Tau_j))))*Salcycl</f>
        <v>0.10673556623713153</v>
      </c>
      <c r="P70" s="169">
        <f>(INDEX(Models!$BJ70:$BT70,,T70)*(1-R70)+INDEX(Models!$BJ70:$BT70,,T70+1)*R70-ERP_i)*Q70*Ramure*Pc/MaxiM</f>
        <v>2.0895796282201927E-3</v>
      </c>
      <c r="Q70" s="305">
        <f t="shared" si="4"/>
        <v>0.7</v>
      </c>
      <c r="R70" s="177">
        <f t="shared" si="5"/>
        <v>0.40401759503605972</v>
      </c>
      <c r="S70" s="810">
        <f t="shared" si="6"/>
        <v>0</v>
      </c>
      <c r="T70" s="176">
        <f t="shared" si="7"/>
        <v>6</v>
      </c>
      <c r="U70" s="251">
        <f t="shared" si="8"/>
        <v>0.40401759503605972</v>
      </c>
      <c r="V70" s="383">
        <f t="shared" si="9"/>
        <v>30.838316273630351</v>
      </c>
      <c r="W70" s="402">
        <f t="shared" si="10"/>
        <v>28.041374777715966</v>
      </c>
      <c r="X70" s="157">
        <f t="shared" si="11"/>
        <v>44982</v>
      </c>
      <c r="Y70" s="385">
        <f t="shared" si="12"/>
        <v>26.623098644762425</v>
      </c>
      <c r="Z70" s="385">
        <f t="shared" si="22"/>
        <v>27.677497800094898</v>
      </c>
      <c r="AA70" s="386">
        <f t="shared" si="13"/>
        <v>32.63529050944851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0.1519150781856298</v>
      </c>
      <c r="AD70" s="231">
        <f>(INDEX(Models!$BJ70:$BT70,,AH70)*(1-AF70)+INDEX(Models!$BJ70:$BT70,,AH70+1)*AF70-ERP_i)*AE70*Ramure*Pc/MaxiM</f>
        <v>2.0895796282201927E-3</v>
      </c>
      <c r="AE70" s="305">
        <f t="shared" si="15"/>
        <v>0.7</v>
      </c>
      <c r="AF70" s="177">
        <f t="shared" si="23"/>
        <v>0.40401759503605972</v>
      </c>
      <c r="AG70" s="810">
        <f t="shared" si="24"/>
        <v>0</v>
      </c>
      <c r="AH70" s="176">
        <f t="shared" si="16"/>
        <v>6</v>
      </c>
      <c r="AI70" s="225">
        <f t="shared" si="17"/>
        <v>0.40401759503605972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32.079298108624293</v>
      </c>
      <c r="C71" s="840"/>
      <c r="D71" s="393">
        <f t="shared" si="0"/>
        <v>33.350564383947059</v>
      </c>
      <c r="E71" s="385">
        <f t="shared" si="1"/>
        <v>37.339017954534654</v>
      </c>
      <c r="F71" s="385">
        <f t="shared" si="2"/>
        <v>37.413360442633888</v>
      </c>
      <c r="G71" s="110">
        <f t="shared" si="21"/>
        <v>1.0281926607440854</v>
      </c>
      <c r="H71" s="414" t="b">
        <f>Wh_hp&gt;='2022'!Maxi_hp</f>
        <v>1</v>
      </c>
      <c r="I71" s="390">
        <f>IF(H71,Wh_hp,'2022'!Maxi_hp)</f>
        <v>37.413360442633888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3.811828371740178E-2</v>
      </c>
      <c r="M71" s="844"/>
      <c r="N71" s="844"/>
      <c r="O71" s="48">
        <f>IF(t&lt;Tnet,'2022'!Resal+('2022'!Salim-'2022'!Resal)*(1-EXP(('2022'!Tnet-t)/('2022'!Tau_j))),Resal+(Salim-Resal)*(1-EXP((Tnet-t)/(Tau_j))))*Salcycl</f>
        <v>0.10681731307031375</v>
      </c>
      <c r="P71" s="169">
        <f>(INDEX(Models!$BJ71:$BT71,,T71)*(1-R71)+INDEX(Models!$BJ71:$BT71,,T71+1)*R71-ERP_i)*Q71*Ramure*Pc/MaxiM</f>
        <v>1.9870572228662701E-3</v>
      </c>
      <c r="Q71" s="305">
        <f t="shared" si="4"/>
        <v>0.7</v>
      </c>
      <c r="R71" s="177">
        <f t="shared" si="5"/>
        <v>0.40423625924051193</v>
      </c>
      <c r="S71" s="810">
        <f t="shared" si="6"/>
        <v>0</v>
      </c>
      <c r="T71" s="176">
        <f t="shared" si="7"/>
        <v>6</v>
      </c>
      <c r="U71" s="251">
        <f t="shared" si="8"/>
        <v>0.40423625924051193</v>
      </c>
      <c r="V71" s="383">
        <f t="shared" si="9"/>
        <v>31.1996956731913</v>
      </c>
      <c r="W71" s="402">
        <f t="shared" si="10"/>
        <v>32.079298108624293</v>
      </c>
      <c r="X71" s="157">
        <f t="shared" si="11"/>
        <v>44983</v>
      </c>
      <c r="Y71" s="385">
        <f t="shared" si="12"/>
        <v>30.45839891176184</v>
      </c>
      <c r="Z71" s="385">
        <f t="shared" si="22"/>
        <v>31.665430786516005</v>
      </c>
      <c r="AA71" s="386">
        <f t="shared" si="13"/>
        <v>37.339017954534654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0.15194794825421001</v>
      </c>
      <c r="AD71" s="231">
        <f>(INDEX(Models!$BJ71:$BT71,,AH71)*(1-AF71)+INDEX(Models!$BJ71:$BT71,,AH71+1)*AF71-ERP_i)*AE71*Ramure*Pc/MaxiM</f>
        <v>1.9870572228662701E-3</v>
      </c>
      <c r="AE71" s="305">
        <f t="shared" si="15"/>
        <v>0.7</v>
      </c>
      <c r="AF71" s="177">
        <f t="shared" si="23"/>
        <v>0.40423625924051193</v>
      </c>
      <c r="AG71" s="810">
        <f t="shared" si="24"/>
        <v>0</v>
      </c>
      <c r="AH71" s="176">
        <f t="shared" si="16"/>
        <v>6</v>
      </c>
      <c r="AI71" s="225">
        <f t="shared" si="17"/>
        <v>0.40423625924051193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26.26679179348222</v>
      </c>
      <c r="C72" s="840"/>
      <c r="D72" s="393">
        <f t="shared" si="0"/>
        <v>27.308350527590935</v>
      </c>
      <c r="E72" s="385">
        <f t="shared" si="1"/>
        <v>30.57699946248238</v>
      </c>
      <c r="F72" s="385">
        <f t="shared" si="2"/>
        <v>30.620948856745098</v>
      </c>
      <c r="G72" s="110">
        <f t="shared" si="21"/>
        <v>0.83182081004010666</v>
      </c>
      <c r="H72" s="414" t="b">
        <f>Wh_hp&gt;='2022'!Maxi_hp</f>
        <v>0</v>
      </c>
      <c r="I72" s="390">
        <f>IF(H72,Wh_hp,'2022'!Maxi_hp)</f>
        <v>37.047346489228502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3.8140668110158371E-2</v>
      </c>
      <c r="M72" s="844"/>
      <c r="N72" s="844"/>
      <c r="O72" s="48">
        <f>IF(t&lt;Tnet,'2022'!Resal+('2022'!Salim-'2022'!Resal)*(1-EXP(('2022'!Tnet-t)/('2022'!Tau_j))),Resal+(Salim-Resal)*(1-EXP((Tnet-t)/(Tau_j))))*Salcycl</f>
        <v>0.10689894340031759</v>
      </c>
      <c r="P72" s="169">
        <f>(INDEX(Models!$BJ72:$BT72,,T72)*(1-R72)+INDEX(Models!$BJ72:$BT72,,T72+1)*R72-ERP_i)*Q72*Ramure*Pc/MaxiM</f>
        <v>1.8878135019717184E-3</v>
      </c>
      <c r="Q72" s="305">
        <f t="shared" si="4"/>
        <v>0.7</v>
      </c>
      <c r="R72" s="177">
        <f t="shared" si="5"/>
        <v>0.40446383971636007</v>
      </c>
      <c r="S72" s="810">
        <f t="shared" si="6"/>
        <v>0</v>
      </c>
      <c r="T72" s="176">
        <f t="shared" si="7"/>
        <v>6</v>
      </c>
      <c r="U72" s="251">
        <f t="shared" si="8"/>
        <v>0.40446383971636007</v>
      </c>
      <c r="V72" s="383">
        <f t="shared" si="9"/>
        <v>31.563153483378183</v>
      </c>
      <c r="W72" s="402">
        <f t="shared" si="10"/>
        <v>26.26679179348222</v>
      </c>
      <c r="X72" s="157">
        <f t="shared" si="11"/>
        <v>44984</v>
      </c>
      <c r="Y72" s="385">
        <f t="shared" si="12"/>
        <v>24.94090128881771</v>
      </c>
      <c r="Z72" s="385">
        <f t="shared" si="22"/>
        <v>25.929884404005662</v>
      </c>
      <c r="AA72" s="386">
        <f t="shared" si="13"/>
        <v>30.57699946248238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0.15198074173951154</v>
      </c>
      <c r="AD72" s="231">
        <f>(INDEX(Models!$BJ72:$BT72,,AH72)*(1-AF72)+INDEX(Models!$BJ72:$BT72,,AH72+1)*AF72-ERP_i)*AE72*Ramure*Pc/MaxiM</f>
        <v>1.8878135019717184E-3</v>
      </c>
      <c r="AE72" s="305">
        <f t="shared" si="15"/>
        <v>0.7</v>
      </c>
      <c r="AF72" s="177">
        <f t="shared" si="23"/>
        <v>0.40446383971636007</v>
      </c>
      <c r="AG72" s="810">
        <f t="shared" si="24"/>
        <v>0</v>
      </c>
      <c r="AH72" s="176">
        <f t="shared" si="16"/>
        <v>6</v>
      </c>
      <c r="AI72" s="225">
        <f t="shared" si="17"/>
        <v>0.40446383971636007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27.274124658741755</v>
      </c>
      <c r="C73" s="840"/>
      <c r="D73" s="393">
        <f t="shared" si="0"/>
        <v>28.356287118044119</v>
      </c>
      <c r="E73" s="385">
        <f t="shared" si="1"/>
        <v>31.753266258887056</v>
      </c>
      <c r="F73" s="385">
        <f t="shared" si="2"/>
        <v>31.798564903667888</v>
      </c>
      <c r="G73" s="110">
        <f t="shared" si="21"/>
        <v>0.85391089227622075</v>
      </c>
      <c r="H73" s="414" t="b">
        <f>Wh_hp&gt;='2022'!Maxi_hp</f>
        <v>0</v>
      </c>
      <c r="I73" s="390">
        <f>IF(H73,Wh_hp,'2022'!Maxi_hp)</f>
        <v>31.801666100904498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3.8163051981997542E-2</v>
      </c>
      <c r="M73" s="844"/>
      <c r="N73" s="844"/>
      <c r="O73" s="48">
        <f>IF(t&lt;Tnet,'2022'!Resal+('2022'!Salim-'2022'!Resal)*(1-EXP(('2022'!Tnet-t)/('2022'!Tau_j))),Resal+(Salim-Resal)*(1-EXP((Tnet-t)/(Tau_j))))*Salcycl</f>
        <v>0.10698046346309947</v>
      </c>
      <c r="P73" s="169">
        <f>(INDEX(Models!$BJ73:$BT73,,T73)*(1-R73)+INDEX(Models!$BJ73:$BT73,,T73+1)*R73-ERP_i)*Q73*Ramure*Pc/MaxiM</f>
        <v>1.7992213583817899E-3</v>
      </c>
      <c r="Q73" s="305">
        <f t="shared" si="4"/>
        <v>0.7</v>
      </c>
      <c r="R73" s="177">
        <f t="shared" si="5"/>
        <v>0.40470068897443018</v>
      </c>
      <c r="S73" s="810">
        <f t="shared" si="6"/>
        <v>0</v>
      </c>
      <c r="T73" s="176">
        <f t="shared" si="7"/>
        <v>6</v>
      </c>
      <c r="U73" s="251">
        <f t="shared" si="8"/>
        <v>0.40470068897443018</v>
      </c>
      <c r="V73" s="383">
        <f t="shared" si="9"/>
        <v>31.928262648100382</v>
      </c>
      <c r="W73" s="402">
        <f t="shared" si="10"/>
        <v>27.274124658741755</v>
      </c>
      <c r="X73" s="157">
        <f t="shared" si="11"/>
        <v>44985</v>
      </c>
      <c r="Y73" s="385">
        <f t="shared" si="12"/>
        <v>25.898750755927193</v>
      </c>
      <c r="Z73" s="385">
        <f t="shared" si="22"/>
        <v>26.926342151125652</v>
      </c>
      <c r="AA73" s="386">
        <f t="shared" si="13"/>
        <v>31.753266258887056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0.15201346747786779</v>
      </c>
      <c r="AD73" s="231">
        <f>(INDEX(Models!$BJ73:$BT73,,AH73)*(1-AF73)+INDEX(Models!$BJ73:$BT73,,AH73+1)*AF73-ERP_i)*AE73*Ramure*Pc/MaxiM</f>
        <v>1.7992213583817899E-3</v>
      </c>
      <c r="AE73" s="305">
        <f t="shared" si="15"/>
        <v>0.7</v>
      </c>
      <c r="AF73" s="177">
        <f t="shared" si="23"/>
        <v>0.40470068897443018</v>
      </c>
      <c r="AG73" s="810">
        <f t="shared" si="24"/>
        <v>0</v>
      </c>
      <c r="AH73" s="176">
        <f t="shared" si="16"/>
        <v>6</v>
      </c>
      <c r="AI73" s="225">
        <f t="shared" si="17"/>
        <v>0.40470068897443018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32.348996725236105</v>
      </c>
      <c r="C74" s="840"/>
      <c r="D74" s="393">
        <f t="shared" si="0"/>
        <v>33.633298884836165</v>
      </c>
      <c r="E74" s="385">
        <f t="shared" si="1"/>
        <v>37.665878733259476</v>
      </c>
      <c r="F74" s="385">
        <f t="shared" si="2"/>
        <v>37.730811639617201</v>
      </c>
      <c r="G74" s="110">
        <f t="shared" si="21"/>
        <v>1.0016771201596428</v>
      </c>
      <c r="H74" s="414" t="b">
        <f>Wh_hp&gt;='2022'!Maxi_hp</f>
        <v>1</v>
      </c>
      <c r="I74" s="390">
        <f>IF(H74,Wh_hp,'2022'!Maxi_hp)</f>
        <v>37.730811639617201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3.8185435332931283E-2</v>
      </c>
      <c r="M74" s="844"/>
      <c r="N74" s="844"/>
      <c r="O74" s="48">
        <f>IF(t&lt;Tnet,'2022'!Resal+('2022'!Salim-'2022'!Resal)*(1-EXP(('2022'!Tnet-t)/('2022'!Tau_j))),Resal+(Salim-Resal)*(1-EXP((Tnet-t)/(Tau_j))))*Salcycl</f>
        <v>0.10706188157671973</v>
      </c>
      <c r="P74" s="169">
        <f>(INDEX(Models!$BJ74:$BT74,,T74)*(1-R74)+INDEX(Models!$BJ74:$BT74,,T74+1)*R74-ERP_i)*Q74*Ramure*Pc/MaxiM</f>
        <v>1.7209517509967228E-3</v>
      </c>
      <c r="Q74" s="305">
        <f t="shared" si="4"/>
        <v>0.7</v>
      </c>
      <c r="R74" s="177">
        <f t="shared" si="5"/>
        <v>0.40494717253047718</v>
      </c>
      <c r="S74" s="810">
        <f t="shared" si="6"/>
        <v>0</v>
      </c>
      <c r="T74" s="176">
        <f t="shared" si="7"/>
        <v>6</v>
      </c>
      <c r="U74" s="251">
        <f t="shared" si="8"/>
        <v>0.40494717253047718</v>
      </c>
      <c r="V74" s="383">
        <f t="shared" si="9"/>
        <v>32.294834407399129</v>
      </c>
      <c r="W74" s="402">
        <f t="shared" si="10"/>
        <v>32.348996725236105</v>
      </c>
      <c r="X74" s="157">
        <f t="shared" si="11"/>
        <v>44986</v>
      </c>
      <c r="Y74" s="385">
        <f t="shared" si="12"/>
        <v>30.719325520457922</v>
      </c>
      <c r="Z74" s="385">
        <f t="shared" si="22"/>
        <v>31.938927365995326</v>
      </c>
      <c r="AA74" s="386">
        <f t="shared" si="13"/>
        <v>37.665878733259476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0.15204613724323326</v>
      </c>
      <c r="AD74" s="231">
        <f>(INDEX(Models!$BJ74:$BT74,,AH74)*(1-AF74)+INDEX(Models!$BJ74:$BT74,,AH74+1)*AF74-ERP_i)*AE74*Ramure*Pc/MaxiM</f>
        <v>1.7209517509967228E-3</v>
      </c>
      <c r="AE74" s="305">
        <f t="shared" si="15"/>
        <v>0.7</v>
      </c>
      <c r="AF74" s="177">
        <f t="shared" si="23"/>
        <v>0.40494717253047718</v>
      </c>
      <c r="AG74" s="810">
        <f t="shared" si="24"/>
        <v>0</v>
      </c>
      <c r="AH74" s="176">
        <f t="shared" si="16"/>
        <v>6</v>
      </c>
      <c r="AI74" s="225">
        <f t="shared" si="17"/>
        <v>0.40494717253047718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10.376421393477994</v>
      </c>
      <c r="C75" s="840"/>
      <c r="D75" s="393">
        <f t="shared" si="0"/>
        <v>10.788631462629455</v>
      </c>
      <c r="E75" s="385">
        <f t="shared" si="1"/>
        <v>12.083271988870715</v>
      </c>
      <c r="F75" s="385">
        <f t="shared" si="2"/>
        <v>12.083776514597632</v>
      </c>
      <c r="G75" s="110">
        <f t="shared" si="21"/>
        <v>0.31717253390233091</v>
      </c>
      <c r="H75" s="414" t="b">
        <f>Wh_hp&gt;='2022'!Maxi_hp</f>
        <v>0</v>
      </c>
      <c r="I75" s="390">
        <f>IF(H75,Wh_hp,'2022'!Maxi_hp)</f>
        <v>27.571693836230367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3.8207818162971696E-2</v>
      </c>
      <c r="M75" s="844"/>
      <c r="N75" s="844"/>
      <c r="O75" s="48">
        <f>IF(t&lt;Tnet,'2022'!Resal+('2022'!Salim-'2022'!Resal)*(1-EXP(('2022'!Tnet-t)/('2022'!Tau_j))),Resal+(Salim-Resal)*(1-EXP((Tnet-t)/(Tau_j))))*Salcycl</f>
        <v>0.10714320818348601</v>
      </c>
      <c r="P75" s="169">
        <f>(INDEX(Models!$BJ75:$BT75,,T75)*(1-R75)+INDEX(Models!$BJ75:$BT75,,T75+1)*R75-ERP_i)*Q75*Ramure*Pc/MaxiM</f>
        <v>1.6526855181877703E-3</v>
      </c>
      <c r="Q75" s="305">
        <f t="shared" si="4"/>
        <v>0.7</v>
      </c>
      <c r="R75" s="177">
        <f t="shared" si="5"/>
        <v>0.40520366930588647</v>
      </c>
      <c r="S75" s="810">
        <f t="shared" si="6"/>
        <v>0</v>
      </c>
      <c r="T75" s="176">
        <f t="shared" si="7"/>
        <v>6</v>
      </c>
      <c r="U75" s="251">
        <f t="shared" si="8"/>
        <v>0.40520366930588647</v>
      </c>
      <c r="V75" s="383">
        <f t="shared" si="9"/>
        <v>32.662679981733433</v>
      </c>
      <c r="W75" s="402">
        <f t="shared" si="10"/>
        <v>10.376421393477994</v>
      </c>
      <c r="X75" s="157">
        <f t="shared" si="11"/>
        <v>44987</v>
      </c>
      <c r="Y75" s="385">
        <f t="shared" si="12"/>
        <v>9.8541984730232652</v>
      </c>
      <c r="Z75" s="385">
        <f t="shared" si="22"/>
        <v>10.245662897988725</v>
      </c>
      <c r="AA75" s="386">
        <f t="shared" si="13"/>
        <v>12.083271988870715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0.15207876579907473</v>
      </c>
      <c r="AD75" s="231">
        <f>(INDEX(Models!$BJ75:$BT75,,AH75)*(1-AF75)+INDEX(Models!$BJ75:$BT75,,AH75+1)*AF75-ERP_i)*AE75*Ramure*Pc/MaxiM</f>
        <v>1.6526855181877703E-3</v>
      </c>
      <c r="AE75" s="305">
        <f t="shared" si="15"/>
        <v>0.7</v>
      </c>
      <c r="AF75" s="177">
        <f t="shared" si="23"/>
        <v>0.40520366930588647</v>
      </c>
      <c r="AG75" s="810">
        <f t="shared" si="24"/>
        <v>0</v>
      </c>
      <c r="AH75" s="176">
        <f t="shared" si="16"/>
        <v>6</v>
      </c>
      <c r="AI75" s="225">
        <f t="shared" si="17"/>
        <v>0.40520366930588647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31.004191391695549</v>
      </c>
      <c r="C76" s="840"/>
      <c r="D76" s="393">
        <f t="shared" si="0"/>
        <v>32.236603194356327</v>
      </c>
      <c r="E76" s="385">
        <f t="shared" si="1"/>
        <v>36.108295535849727</v>
      </c>
      <c r="F76" s="385">
        <f t="shared" si="2"/>
        <v>36.160885642731195</v>
      </c>
      <c r="G76" s="110">
        <f t="shared" si="21"/>
        <v>0.9384904605333686</v>
      </c>
      <c r="H76" s="414" t="b">
        <f>Wh_hp&gt;='2022'!Maxi_hp</f>
        <v>0</v>
      </c>
      <c r="I76" s="390">
        <f>IF(H76,Wh_hp,'2022'!Maxi_hp)</f>
        <v>36.162203215099751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3.8230200472130993E-2</v>
      </c>
      <c r="M76" s="844"/>
      <c r="N76" s="844"/>
      <c r="O76" s="48">
        <f>IF(t&lt;Tnet,'2022'!Resal+('2022'!Salim-'2022'!Resal)*(1-EXP(('2022'!Tnet-t)/('2022'!Tau_j))),Resal+(Salim-Resal)*(1-EXP((Tnet-t)/(Tau_j))))*Salcycl</f>
        <v>0.10722445587744331</v>
      </c>
      <c r="P76" s="169">
        <f>(INDEX(Models!$BJ76:$BT76,,T76)*(1-R76)+INDEX(Models!$BJ76:$BT76,,T76+1)*R76-ERP_i)*Q76*Ramure*Pc/MaxiM</f>
        <v>1.5941135816960183E-3</v>
      </c>
      <c r="Q76" s="305">
        <f t="shared" si="4"/>
        <v>0.7</v>
      </c>
      <c r="R76" s="177">
        <f t="shared" si="5"/>
        <v>0.40547057203377274</v>
      </c>
      <c r="S76" s="810">
        <f t="shared" si="6"/>
        <v>0</v>
      </c>
      <c r="T76" s="176">
        <f t="shared" si="7"/>
        <v>6</v>
      </c>
      <c r="U76" s="251">
        <f t="shared" si="8"/>
        <v>0.40547057203377274</v>
      </c>
      <c r="V76" s="383">
        <f t="shared" si="9"/>
        <v>33.031610567828963</v>
      </c>
      <c r="W76" s="402">
        <f t="shared" si="10"/>
        <v>31.004191391695549</v>
      </c>
      <c r="X76" s="157">
        <f t="shared" si="11"/>
        <v>44988</v>
      </c>
      <c r="Y76" s="385">
        <f t="shared" si="12"/>
        <v>29.445364523717654</v>
      </c>
      <c r="Z76" s="385">
        <f t="shared" si="22"/>
        <v>30.615813199969814</v>
      </c>
      <c r="AA76" s="386">
        <f t="shared" si="13"/>
        <v>36.108295535849727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0.15211137092934121</v>
      </c>
      <c r="AD76" s="231">
        <f>(INDEX(Models!$BJ76:$BT76,,AH76)*(1-AF76)+INDEX(Models!$BJ76:$BT76,,AH76+1)*AF76-ERP_i)*AE76*Ramure*Pc/MaxiM</f>
        <v>1.5941135816960183E-3</v>
      </c>
      <c r="AE76" s="305">
        <f t="shared" si="15"/>
        <v>0.7</v>
      </c>
      <c r="AF76" s="177">
        <f t="shared" si="23"/>
        <v>0.40547057203377274</v>
      </c>
      <c r="AG76" s="810">
        <f t="shared" si="24"/>
        <v>0</v>
      </c>
      <c r="AH76" s="176">
        <f t="shared" si="16"/>
        <v>6</v>
      </c>
      <c r="AI76" s="225">
        <f t="shared" si="17"/>
        <v>0.40547057203377274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3.6831086171236462</v>
      </c>
      <c r="C77" s="840"/>
      <c r="D77" s="393">
        <f t="shared" si="0"/>
        <v>3.8296007342345222</v>
      </c>
      <c r="E77" s="385">
        <f t="shared" si="1"/>
        <v>4.2899349467543111</v>
      </c>
      <c r="F77" s="385">
        <f t="shared" si="2"/>
        <v>4.2899349467543111</v>
      </c>
      <c r="G77" s="110">
        <f t="shared" si="21"/>
        <v>0.11009761076290611</v>
      </c>
      <c r="H77" s="414" t="b">
        <f>Wh_hp&gt;='2022'!Maxi_hp</f>
        <v>0</v>
      </c>
      <c r="I77" s="390">
        <f>IF(H77,Wh_hp,'2022'!Maxi_hp)</f>
        <v>30.44612113653443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3.8252582260421275E-2</v>
      </c>
      <c r="M77" s="844"/>
      <c r="N77" s="844"/>
      <c r="O77" s="48">
        <f>IF(t&lt;Tnet,'2022'!Resal+('2022'!Salim-'2022'!Resal)*(1-EXP(('2022'!Tnet-t)/('2022'!Tau_j))),Resal+(Salim-Resal)*(1-EXP((Tnet-t)/(Tau_j))))*Salcycl</f>
        <v>0.1073056394172293</v>
      </c>
      <c r="P77" s="169">
        <f>(INDEX(Models!$BJ77:$BT77,,T77)*(1-R77)+INDEX(Models!$BJ77:$BT77,,T77+1)*R77-ERP_i)*Q77*Ramure*Pc/MaxiM</f>
        <v>1.5449371140967261E-3</v>
      </c>
      <c r="Q77" s="305">
        <f t="shared" si="4"/>
        <v>0.7</v>
      </c>
      <c r="R77" s="177">
        <f t="shared" si="5"/>
        <v>0.40574828766985138</v>
      </c>
      <c r="S77" s="810">
        <f t="shared" si="6"/>
        <v>0</v>
      </c>
      <c r="T77" s="176">
        <f t="shared" si="7"/>
        <v>6</v>
      </c>
      <c r="U77" s="251">
        <f t="shared" si="8"/>
        <v>0.40574828766985138</v>
      </c>
      <c r="V77" s="383">
        <f t="shared" si="9"/>
        <v>33.401437328599975</v>
      </c>
      <c r="W77" s="402">
        <f t="shared" si="10"/>
        <v>3.6831086171236462</v>
      </c>
      <c r="X77" s="157">
        <f t="shared" si="11"/>
        <v>44989</v>
      </c>
      <c r="Y77" s="385">
        <f t="shared" si="12"/>
        <v>3.4981131004714827</v>
      </c>
      <c r="Z77" s="385">
        <f t="shared" si="22"/>
        <v>3.6372471981190171</v>
      </c>
      <c r="AA77" s="386">
        <f t="shared" si="13"/>
        <v>4.2899349467543111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0.15214397344861977</v>
      </c>
      <c r="AD77" s="231">
        <f>(INDEX(Models!$BJ77:$BT77,,AH77)*(1-AF77)+INDEX(Models!$BJ77:$BT77,,AH77+1)*AF77-ERP_i)*AE77*Ramure*Pc/MaxiM</f>
        <v>1.5449371140967261E-3</v>
      </c>
      <c r="AE77" s="305">
        <f t="shared" si="15"/>
        <v>0.7</v>
      </c>
      <c r="AF77" s="177">
        <f t="shared" si="23"/>
        <v>0.40574828766985138</v>
      </c>
      <c r="AG77" s="810">
        <f t="shared" si="24"/>
        <v>0</v>
      </c>
      <c r="AH77" s="176">
        <f t="shared" si="16"/>
        <v>6</v>
      </c>
      <c r="AI77" s="225">
        <f t="shared" si="17"/>
        <v>0.40574828766985138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12.899606890204405</v>
      </c>
      <c r="C78" s="840"/>
      <c r="D78" s="393">
        <f t="shared" si="0"/>
        <v>13.412988537267863</v>
      </c>
      <c r="E78" s="385">
        <f t="shared" si="1"/>
        <v>15.026652275014211</v>
      </c>
      <c r="F78" s="385">
        <f t="shared" si="2"/>
        <v>15.029300477209985</v>
      </c>
      <c r="G78" s="110">
        <f t="shared" si="21"/>
        <v>0.38145432683274072</v>
      </c>
      <c r="H78" s="414" t="b">
        <f>Wh_hp&gt;='2022'!Maxi_hp</f>
        <v>0</v>
      </c>
      <c r="I78" s="390">
        <f>IF(H78,Wh_hp,'2022'!Maxi_hp)</f>
        <v>38.571800708819332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3.8274963527854533E-2</v>
      </c>
      <c r="M78" s="844"/>
      <c r="N78" s="844"/>
      <c r="O78" s="48">
        <f>IF(t&lt;Tnet,'2022'!Resal+('2022'!Salim-'2022'!Resal)*(1-EXP(('2022'!Tnet-t)/('2022'!Tau_j))),Resal+(Salim-Resal)*(1-EXP((Tnet-t)/(Tau_j))))*Salcycl</f>
        <v>0.10738677572445676</v>
      </c>
      <c r="P78" s="169">
        <f>(INDEX(Models!$BJ78:$BT78,,T78)*(1-R78)+INDEX(Models!$BJ78:$BT78,,T78+1)*R78-ERP_i)*Q78*Ramure*Pc/MaxiM</f>
        <v>1.5048676743069998E-3</v>
      </c>
      <c r="Q78" s="305">
        <f t="shared" si="4"/>
        <v>0.7</v>
      </c>
      <c r="R78" s="177">
        <f t="shared" si="5"/>
        <v>0.40603723780736789</v>
      </c>
      <c r="S78" s="810">
        <f t="shared" si="6"/>
        <v>0</v>
      </c>
      <c r="T78" s="176">
        <f t="shared" si="7"/>
        <v>6</v>
      </c>
      <c r="U78" s="251">
        <f t="shared" si="8"/>
        <v>0.40603723780736789</v>
      </c>
      <c r="V78" s="383">
        <f t="shared" si="9"/>
        <v>33.771971391253359</v>
      </c>
      <c r="W78" s="402">
        <f t="shared" si="10"/>
        <v>12.899606890204405</v>
      </c>
      <c r="X78" s="157">
        <f t="shared" si="11"/>
        <v>44990</v>
      </c>
      <c r="Y78" s="385">
        <f t="shared" si="12"/>
        <v>12.252326440063307</v>
      </c>
      <c r="Z78" s="385">
        <f t="shared" si="22"/>
        <v>12.739947464618357</v>
      </c>
      <c r="AA78" s="386">
        <f t="shared" si="13"/>
        <v>15.026652275014211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0.15217659719178481</v>
      </c>
      <c r="AD78" s="231">
        <f>(INDEX(Models!$BJ78:$BT78,,AH78)*(1-AF78)+INDEX(Models!$BJ78:$BT78,,AH78+1)*AF78-ERP_i)*AE78*Ramure*Pc/MaxiM</f>
        <v>1.5048676743069998E-3</v>
      </c>
      <c r="AE78" s="305">
        <f t="shared" si="15"/>
        <v>0.7</v>
      </c>
      <c r="AF78" s="177">
        <f t="shared" si="23"/>
        <v>0.40603723780736789</v>
      </c>
      <c r="AG78" s="810">
        <f t="shared" si="24"/>
        <v>0</v>
      </c>
      <c r="AH78" s="176">
        <f t="shared" si="16"/>
        <v>6</v>
      </c>
      <c r="AI78" s="225">
        <f t="shared" si="17"/>
        <v>0.40603723780736789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15.215112274901147</v>
      </c>
      <c r="C79" s="840"/>
      <c r="D79" s="393">
        <f t="shared" ref="D79:D142" si="25">Wh/(1-Ppv)</f>
        <v>15.821015138428729</v>
      </c>
      <c r="E79" s="385">
        <f t="shared" si="1"/>
        <v>17.725989745883336</v>
      </c>
      <c r="F79" s="385">
        <f t="shared" ref="F79:F142" si="26">Wh_sa/(1-Pvg*MEDIAN((-Sdif+Wh/Env_an)/Csdif,0,1))</f>
        <v>17.731425190896449</v>
      </c>
      <c r="G79" s="110">
        <f t="shared" si="21"/>
        <v>0.44509708081497223</v>
      </c>
      <c r="H79" s="414" t="b">
        <f>Wh_hp&gt;='2022'!Maxi_hp</f>
        <v>0</v>
      </c>
      <c r="I79" s="390">
        <f>IF(H79,Wh_hp,'2022'!Maxi_hp)</f>
        <v>22.950602771895554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3.8297344274443201E-2</v>
      </c>
      <c r="M79" s="844"/>
      <c r="N79" s="844"/>
      <c r="O79" s="48">
        <f>IF(t&lt;Tnet,'2022'!Resal+('2022'!Salim-'2022'!Resal)*(1-EXP(('2022'!Tnet-t)/('2022'!Tau_j))),Resal+(Salim-Resal)*(1-EXP((Tnet-t)/(Tau_j))))*Salcycl</f>
        <v>0.1074678838679243</v>
      </c>
      <c r="P79" s="169">
        <f>(INDEX(Models!$BJ79:$BT79,,T79)*(1-R79)+INDEX(Models!$BJ79:$BT79,,T79+1)*R79-ERP_i)*Q79*Ramure*Pc/MaxiM</f>
        <v>1.4735895703849461E-3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0.40633785909528641</v>
      </c>
      <c r="S79" s="810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0.40633785909528641</v>
      </c>
      <c r="V79" s="383">
        <f t="shared" ref="V79:V142" si="33">MaxiM*(1-Ppv)*(1-Pvg)*(1-Psa)</f>
        <v>34.143899704389582</v>
      </c>
      <c r="W79" s="402">
        <f t="shared" ref="W79:W142" si="34">Wh*(A79&gt;Tmaj)</f>
        <v>15.215112274901147</v>
      </c>
      <c r="X79" s="157">
        <f t="shared" ref="X79:X142" si="35">t</f>
        <v>44991</v>
      </c>
      <c r="Y79" s="385">
        <f t="shared" ref="Y79:Y142" si="36">Wh_pvt_s*(1-Ppv)</f>
        <v>14.452400003189956</v>
      </c>
      <c r="Z79" s="385">
        <f t="shared" ref="Z79:Z142" si="37">Wh_sa_s*(1-Psa_s)</f>
        <v>15.027929804650835</v>
      </c>
      <c r="AA79" s="386">
        <f t="shared" ref="AA79:AA142" si="38">Wh_hp*(1-Pvg_s*MEDIAN((-Sdif+Wh/Env_an)/Csdif,0,1))</f>
        <v>17.725989745883336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0.15220926898364556</v>
      </c>
      <c r="AD79" s="231">
        <f>(INDEX(Models!$BJ79:$BT79,,AH79)*(1-AF79)+INDEX(Models!$BJ79:$BT79,,AH79+1)*AF79-ERP_i)*AE79*Ramure*Pc/MaxiM</f>
        <v>1.4735895703849461E-3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0.40633785909528641</v>
      </c>
      <c r="AG79" s="810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0.40633785909528641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33.156386821686368</v>
      </c>
      <c r="C80" s="840"/>
      <c r="D80" s="393">
        <f t="shared" si="25"/>
        <v>34.477557319613787</v>
      </c>
      <c r="E80" s="385">
        <f t="shared" ref="E80:E143" si="47">Wh_pvt/(1-Psa)</f>
        <v>38.632436673211245</v>
      </c>
      <c r="F80" s="385">
        <f t="shared" si="26"/>
        <v>38.685403600971192</v>
      </c>
      <c r="G80" s="110">
        <f t="shared" ref="G80:G143" si="48">+Wh_hp/MaxiM</f>
        <v>0.96047755248208144</v>
      </c>
      <c r="H80" s="414" t="b">
        <f>Wh_hp&gt;='2022'!Maxi_hp</f>
        <v>0</v>
      </c>
      <c r="I80" s="390">
        <f>IF(H80,Wh_hp,'2022'!Maxi_hp)</f>
        <v>38.686228765533436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3.8319724500199048E-2</v>
      </c>
      <c r="M80" s="844"/>
      <c r="N80" s="844"/>
      <c r="O80" s="48">
        <f>IF(t&lt;Tnet,'2022'!Resal+('2022'!Salim-'2022'!Resal)*(1-EXP(('2022'!Tnet-t)/('2022'!Tau_j))),Resal+(Salim-Resal)*(1-EXP((Tnet-t)/(Tau_j))))*Salcycl</f>
        <v>0.10754898503408562</v>
      </c>
      <c r="P80" s="169">
        <f>(INDEX(Models!$BJ80:$BT80,,T80)*(1-R80)+INDEX(Models!$BJ80:$BT80,,T80+1)*R80-ERP_i)*Q80*Ramure*Pc/MaxiM</f>
        <v>1.4509282035993093E-3</v>
      </c>
      <c r="Q80" s="305">
        <f t="shared" si="28"/>
        <v>0.7</v>
      </c>
      <c r="R80" s="177">
        <f t="shared" si="29"/>
        <v>0.40665060365883487</v>
      </c>
      <c r="S80" s="810">
        <f t="shared" si="30"/>
        <v>0</v>
      </c>
      <c r="T80" s="176">
        <f t="shared" si="31"/>
        <v>6</v>
      </c>
      <c r="U80" s="251">
        <f t="shared" si="32"/>
        <v>0.40665060365883487</v>
      </c>
      <c r="V80" s="383">
        <f t="shared" si="33"/>
        <v>34.517904392114744</v>
      </c>
      <c r="W80" s="402">
        <f t="shared" si="34"/>
        <v>33.156386821686368</v>
      </c>
      <c r="X80" s="157">
        <f t="shared" si="35"/>
        <v>44992</v>
      </c>
      <c r="Y80" s="385">
        <f t="shared" si="36"/>
        <v>31.495948899670999</v>
      </c>
      <c r="Z80" s="385">
        <f t="shared" si="37"/>
        <v>32.750956531059181</v>
      </c>
      <c r="AA80" s="386">
        <f t="shared" si="38"/>
        <v>38.632436673211245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0.15224201858927622</v>
      </c>
      <c r="AD80" s="231">
        <f>(INDEX(Models!$BJ80:$BT80,,AH80)*(1-AF80)+INDEX(Models!$BJ80:$BT80,,AH80+1)*AF80-ERP_i)*AE80*Ramure*Pc/MaxiM</f>
        <v>1.4509282035993093E-3</v>
      </c>
      <c r="AE80" s="305">
        <f t="shared" si="40"/>
        <v>0.7</v>
      </c>
      <c r="AF80" s="177">
        <f t="shared" si="41"/>
        <v>0.40665060365883487</v>
      </c>
      <c r="AG80" s="810">
        <f t="shared" ref="AG80:AG143" si="49">INDEX(Echel_vg,AH80)</f>
        <v>0</v>
      </c>
      <c r="AH80" s="176">
        <f t="shared" si="42"/>
        <v>6</v>
      </c>
      <c r="AI80" s="225">
        <f t="shared" si="43"/>
        <v>0.40665060365883487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26.221032767391517</v>
      </c>
      <c r="C81" s="840"/>
      <c r="D81" s="393">
        <f t="shared" si="25"/>
        <v>27.266487263350886</v>
      </c>
      <c r="E81" s="385">
        <f t="shared" si="47"/>
        <v>30.555140126599913</v>
      </c>
      <c r="F81" s="385">
        <f t="shared" si="26"/>
        <v>30.583426408813267</v>
      </c>
      <c r="G81" s="110">
        <f t="shared" si="48"/>
        <v>0.75106767379851225</v>
      </c>
      <c r="H81" s="414" t="b">
        <f>Wh_hp&gt;='2022'!Maxi_hp</f>
        <v>0</v>
      </c>
      <c r="I81" s="390">
        <f>IF(H81,Wh_hp,'2022'!Maxi_hp)</f>
        <v>30.587494288179425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3.8342104205134397E-2</v>
      </c>
      <c r="M81" s="844"/>
      <c r="N81" s="844"/>
      <c r="O81" s="48">
        <f>IF(t&lt;Tnet,'2022'!Resal+('2022'!Salim-'2022'!Resal)*(1-EXP(('2022'!Tnet-t)/('2022'!Tau_j))),Resal+(Salim-Resal)*(1-EXP((Tnet-t)/(Tau_j))))*Salcycl</f>
        <v>0.10763010248433044</v>
      </c>
      <c r="P81" s="169">
        <f>(INDEX(Models!$BJ81:$BT81,,T81)*(1-R81)+INDEX(Models!$BJ81:$BT81,,T81+1)*R81-ERP_i)*Q81*Ramure*Pc/MaxiM</f>
        <v>1.4340935031440655E-3</v>
      </c>
      <c r="Q81" s="305">
        <f t="shared" si="28"/>
        <v>0.7</v>
      </c>
      <c r="R81" s="177">
        <f t="shared" si="29"/>
        <v>0.40697593952140293</v>
      </c>
      <c r="S81" s="810">
        <f t="shared" si="30"/>
        <v>0</v>
      </c>
      <c r="T81" s="176">
        <f t="shared" si="31"/>
        <v>6</v>
      </c>
      <c r="U81" s="251">
        <f t="shared" si="32"/>
        <v>0.40697593952140293</v>
      </c>
      <c r="V81" s="383">
        <f t="shared" si="33"/>
        <v>34.893884345905249</v>
      </c>
      <c r="W81" s="402">
        <f t="shared" si="34"/>
        <v>26.221032767391517</v>
      </c>
      <c r="X81" s="157">
        <f t="shared" si="35"/>
        <v>44993</v>
      </c>
      <c r="Y81" s="385">
        <f t="shared" si="36"/>
        <v>24.909208890449992</v>
      </c>
      <c r="Z81" s="385">
        <f t="shared" si="37"/>
        <v>25.902359871813974</v>
      </c>
      <c r="AA81" s="386">
        <f t="shared" si="38"/>
        <v>30.555140126599913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0.15227487864588257</v>
      </c>
      <c r="AD81" s="231">
        <f>(INDEX(Models!$BJ81:$BT81,,AH81)*(1-AF81)+INDEX(Models!$BJ81:$BT81,,AH81+1)*AF81-ERP_i)*AE81*Ramure*Pc/MaxiM</f>
        <v>1.4340935031440655E-3</v>
      </c>
      <c r="AE81" s="305">
        <f t="shared" si="40"/>
        <v>0.7</v>
      </c>
      <c r="AF81" s="177">
        <f t="shared" si="41"/>
        <v>0.40697593952140293</v>
      </c>
      <c r="AG81" s="810">
        <f t="shared" si="49"/>
        <v>0</v>
      </c>
      <c r="AH81" s="176">
        <f t="shared" si="42"/>
        <v>6</v>
      </c>
      <c r="AI81" s="225">
        <f t="shared" si="43"/>
        <v>0.40697593952140293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27.925356448487225</v>
      </c>
      <c r="C82" s="840"/>
      <c r="D82" s="393">
        <f t="shared" si="25"/>
        <v>29.039439544526676</v>
      </c>
      <c r="E82" s="385">
        <f t="shared" si="47"/>
        <v>32.544890786513285</v>
      </c>
      <c r="F82" s="385">
        <f t="shared" si="26"/>
        <v>32.577453368329287</v>
      </c>
      <c r="G82" s="110">
        <f t="shared" si="48"/>
        <v>0.79138690227785458</v>
      </c>
      <c r="H82" s="414" t="b">
        <f>Wh_hp&gt;='2022'!Maxi_hp</f>
        <v>0</v>
      </c>
      <c r="I82" s="390">
        <f>IF(H82,Wh_hp,'2022'!Maxi_hp)</f>
        <v>40.500150797480835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3.8364483389261239E-2</v>
      </c>
      <c r="M82" s="844"/>
      <c r="N82" s="844"/>
      <c r="O82" s="48">
        <f>IF(t&lt;Tnet,'2022'!Resal+('2022'!Salim-'2022'!Resal)*(1-EXP(('2022'!Tnet-t)/('2022'!Tau_j))),Resal+(Salim-Resal)*(1-EXP((Tnet-t)/(Tau_j))))*Salcycl</f>
        <v>0.10771126149973995</v>
      </c>
      <c r="P82" s="169">
        <f>(INDEX(Models!$BJ82:$BT82,,T82)*(1-R82)+INDEX(Models!$BJ82:$BT82,,T82+1)*R82-ERP_i)*Q82*Ramure*Pc/MaxiM</f>
        <v>1.4229174940271728E-3</v>
      </c>
      <c r="Q82" s="305">
        <f t="shared" si="28"/>
        <v>0.7</v>
      </c>
      <c r="R82" s="177">
        <f t="shared" si="29"/>
        <v>0.40731435102667246</v>
      </c>
      <c r="S82" s="810">
        <f t="shared" si="30"/>
        <v>0</v>
      </c>
      <c r="T82" s="176">
        <f t="shared" si="31"/>
        <v>6</v>
      </c>
      <c r="U82" s="251">
        <f t="shared" si="32"/>
        <v>0.40731435102667246</v>
      </c>
      <c r="V82" s="383">
        <f t="shared" si="33"/>
        <v>35.271649896150855</v>
      </c>
      <c r="W82" s="402">
        <f t="shared" si="34"/>
        <v>27.925356448487225</v>
      </c>
      <c r="X82" s="157">
        <f t="shared" si="35"/>
        <v>44994</v>
      </c>
      <c r="Y82" s="385">
        <f t="shared" si="36"/>
        <v>26.529646133986983</v>
      </c>
      <c r="Z82" s="385">
        <f t="shared" si="37"/>
        <v>27.588047317023069</v>
      </c>
      <c r="AA82" s="386">
        <f t="shared" si="38"/>
        <v>32.544890786513285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0.15230788457721148</v>
      </c>
      <c r="AD82" s="231">
        <f>(INDEX(Models!$BJ82:$BT82,,AH82)*(1-AF82)+INDEX(Models!$BJ82:$BT82,,AH82+1)*AF82-ERP_i)*AE82*Ramure*Pc/MaxiM</f>
        <v>1.4229174940271728E-3</v>
      </c>
      <c r="AE82" s="305">
        <f t="shared" si="40"/>
        <v>0.7</v>
      </c>
      <c r="AF82" s="177">
        <f t="shared" si="41"/>
        <v>0.40731435102667246</v>
      </c>
      <c r="AG82" s="810">
        <f t="shared" si="49"/>
        <v>0</v>
      </c>
      <c r="AH82" s="176">
        <f t="shared" si="42"/>
        <v>6</v>
      </c>
      <c r="AI82" s="225">
        <f t="shared" si="43"/>
        <v>0.40731435102667246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21.097800444931018</v>
      </c>
      <c r="C83" s="840"/>
      <c r="D83" s="393">
        <f t="shared" si="25"/>
        <v>21.940008525637349</v>
      </c>
      <c r="E83" s="385">
        <f t="shared" si="47"/>
        <v>24.590701448780774</v>
      </c>
      <c r="F83" s="385">
        <f t="shared" si="26"/>
        <v>24.60523721861</v>
      </c>
      <c r="G83" s="110">
        <f t="shared" si="48"/>
        <v>0.59129748299342344</v>
      </c>
      <c r="H83" s="414" t="b">
        <f>Wh_hp&gt;='2022'!Maxi_hp</f>
        <v>0</v>
      </c>
      <c r="I83" s="390">
        <f>IF(H83,Wh_hp,'2022'!Maxi_hp)</f>
        <v>40.033914552307429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3.8386862052591897E-2</v>
      </c>
      <c r="M83" s="844"/>
      <c r="N83" s="844"/>
      <c r="O83" s="48">
        <f>IF(t&lt;Tnet,'2022'!Resal+('2022'!Salim-'2022'!Resal)*(1-EXP(('2022'!Tnet-t)/('2022'!Tau_j))),Resal+(Salim-Resal)*(1-EXP((Tnet-t)/(Tau_j))))*Salcycl</f>
        <v>0.10779248931407967</v>
      </c>
      <c r="P83" s="169">
        <f>(INDEX(Models!$BJ83:$BT83,,T83)*(1-R83)+INDEX(Models!$BJ83:$BT83,,T83+1)*R83-ERP_i)*Q83*Ramure*Pc/MaxiM</f>
        <v>1.417237951510057E-3</v>
      </c>
      <c r="Q83" s="305">
        <f t="shared" si="28"/>
        <v>0.7</v>
      </c>
      <c r="R83" s="177">
        <f t="shared" si="29"/>
        <v>0.40766633925974188</v>
      </c>
      <c r="S83" s="810">
        <f t="shared" si="30"/>
        <v>0</v>
      </c>
      <c r="T83" s="176">
        <f t="shared" si="31"/>
        <v>6</v>
      </c>
      <c r="U83" s="251">
        <f t="shared" si="32"/>
        <v>0.40766633925974188</v>
      </c>
      <c r="V83" s="383">
        <f t="shared" si="33"/>
        <v>35.651011309886748</v>
      </c>
      <c r="W83" s="402">
        <f t="shared" si="34"/>
        <v>21.097800444931018</v>
      </c>
      <c r="X83" s="157">
        <f t="shared" si="35"/>
        <v>44995</v>
      </c>
      <c r="Y83" s="385">
        <f t="shared" si="36"/>
        <v>20.044371563282482</v>
      </c>
      <c r="Z83" s="385">
        <f t="shared" si="37"/>
        <v>20.84452756757025</v>
      </c>
      <c r="AA83" s="386">
        <f t="shared" si="38"/>
        <v>24.590701448780774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0.15234107449164538</v>
      </c>
      <c r="AD83" s="231">
        <f>(INDEX(Models!$BJ83:$BT83,,AH83)*(1-AF83)+INDEX(Models!$BJ83:$BT83,,AH83+1)*AF83-ERP_i)*AE83*Ramure*Pc/MaxiM</f>
        <v>1.417237951510057E-3</v>
      </c>
      <c r="AE83" s="305">
        <f t="shared" si="40"/>
        <v>0.7</v>
      </c>
      <c r="AF83" s="177">
        <f t="shared" si="41"/>
        <v>0.40766633925974188</v>
      </c>
      <c r="AG83" s="810">
        <f t="shared" si="49"/>
        <v>0</v>
      </c>
      <c r="AH83" s="176">
        <f t="shared" si="42"/>
        <v>6</v>
      </c>
      <c r="AI83" s="225">
        <f t="shared" si="43"/>
        <v>0.40766633925974188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13.733036126886251</v>
      </c>
      <c r="C84" s="840"/>
      <c r="D84" s="393">
        <f t="shared" si="25"/>
        <v>14.281580793968045</v>
      </c>
      <c r="E84" s="385">
        <f t="shared" si="47"/>
        <v>16.008476193916927</v>
      </c>
      <c r="F84" s="385">
        <f t="shared" si="26"/>
        <v>16.011105734136972</v>
      </c>
      <c r="G84" s="110">
        <f t="shared" si="48"/>
        <v>0.38065926394221161</v>
      </c>
      <c r="H84" s="414" t="b">
        <f>Wh_hp&gt;='2022'!Maxi_hp</f>
        <v>0</v>
      </c>
      <c r="I84" s="390">
        <f>IF(H84,Wh_hp,'2022'!Maxi_hp)</f>
        <v>32.943027804132434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3.8409240195138361E-2</v>
      </c>
      <c r="M84" s="844"/>
      <c r="N84" s="844"/>
      <c r="O84" s="48">
        <f>IF(t&lt;Tnet,'2022'!Resal+('2022'!Salim-'2022'!Resal)*(1-EXP(('2022'!Tnet-t)/('2022'!Tau_j))),Resal+(Salim-Resal)*(1-EXP((Tnet-t)/(Tau_j))))*Salcycl</f>
        <v>0.10787381503587998</v>
      </c>
      <c r="P84" s="169">
        <f>(INDEX(Models!$BJ84:$BT84,,T84)*(1-R84)+INDEX(Models!$BJ84:$BT84,,T84+1)*R84-ERP_i)*Q84*Ramure*Pc/MaxiM</f>
        <v>1.4168985845665946E-3</v>
      </c>
      <c r="Q84" s="305">
        <f t="shared" si="28"/>
        <v>0.7</v>
      </c>
      <c r="R84" s="177">
        <f t="shared" si="29"/>
        <v>0.40803242246587373</v>
      </c>
      <c r="S84" s="810">
        <f t="shared" si="30"/>
        <v>0</v>
      </c>
      <c r="T84" s="176">
        <f t="shared" si="31"/>
        <v>6</v>
      </c>
      <c r="U84" s="251">
        <f t="shared" si="32"/>
        <v>0.40803242246587373</v>
      </c>
      <c r="V84" s="383">
        <f t="shared" si="33"/>
        <v>36.031778781196913</v>
      </c>
      <c r="W84" s="402">
        <f t="shared" si="34"/>
        <v>13.733036126886251</v>
      </c>
      <c r="X84" s="157">
        <f t="shared" si="35"/>
        <v>44996</v>
      </c>
      <c r="Y84" s="385">
        <f t="shared" si="36"/>
        <v>13.048010427141101</v>
      </c>
      <c r="Z84" s="385">
        <f t="shared" si="37"/>
        <v>13.569192813155745</v>
      </c>
      <c r="AA84" s="386">
        <f t="shared" si="38"/>
        <v>16.008476193916927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0.15237448906524209</v>
      </c>
      <c r="AD84" s="231">
        <f>(INDEX(Models!$BJ84:$BT84,,AH84)*(1-AF84)+INDEX(Models!$BJ84:$BT84,,AH84+1)*AF84-ERP_i)*AE84*Ramure*Pc/MaxiM</f>
        <v>1.4168985845665946E-3</v>
      </c>
      <c r="AE84" s="305">
        <f t="shared" si="40"/>
        <v>0.7</v>
      </c>
      <c r="AF84" s="177">
        <f t="shared" si="41"/>
        <v>0.40803242246587373</v>
      </c>
      <c r="AG84" s="810">
        <f t="shared" si="49"/>
        <v>0</v>
      </c>
      <c r="AH84" s="176">
        <f t="shared" si="42"/>
        <v>6</v>
      </c>
      <c r="AI84" s="225">
        <f t="shared" si="43"/>
        <v>0.40803242246587373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15.367383905896672</v>
      </c>
      <c r="C85" s="840"/>
      <c r="D85" s="393">
        <f t="shared" si="25"/>
        <v>15.981581955728911</v>
      </c>
      <c r="E85" s="385">
        <f t="shared" si="47"/>
        <v>17.915673295727537</v>
      </c>
      <c r="F85" s="385">
        <f t="shared" si="26"/>
        <v>17.920114506999052</v>
      </c>
      <c r="G85" s="110">
        <f t="shared" si="48"/>
        <v>0.42152577493583754</v>
      </c>
      <c r="H85" s="414" t="b">
        <f>Wh_hp&gt;='2022'!Maxi_hp</f>
        <v>0</v>
      </c>
      <c r="I85" s="390">
        <f>IF(H85,Wh_hp,'2022'!Maxi_hp)</f>
        <v>41.337289787164842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3.8431617816912622E-2</v>
      </c>
      <c r="M85" s="844"/>
      <c r="N85" s="844"/>
      <c r="O85" s="48">
        <f>IF(t&lt;Tnet,'2022'!Resal+('2022'!Salim-'2022'!Resal)*(1-EXP(('2022'!Tnet-t)/('2022'!Tau_j))),Resal+(Salim-Resal)*(1-EXP((Tnet-t)/(Tau_j))))*Salcycl</f>
        <v>0.10795526956052839</v>
      </c>
      <c r="P85" s="169">
        <f>(INDEX(Models!$BJ85:$BT85,,T85)*(1-R85)+INDEX(Models!$BJ85:$BT85,,T85+1)*R85-ERP_i)*Q85*Ramure*Pc/MaxiM</f>
        <v>1.4217491976253973E-3</v>
      </c>
      <c r="Q85" s="305">
        <f t="shared" si="28"/>
        <v>0.7</v>
      </c>
      <c r="R85" s="177">
        <f t="shared" si="29"/>
        <v>0.40841313646535793</v>
      </c>
      <c r="S85" s="810">
        <f t="shared" si="30"/>
        <v>0</v>
      </c>
      <c r="T85" s="176">
        <f t="shared" si="31"/>
        <v>6</v>
      </c>
      <c r="U85" s="251">
        <f t="shared" si="32"/>
        <v>0.40841313646535793</v>
      </c>
      <c r="V85" s="383">
        <f t="shared" si="33"/>
        <v>36.413762429208234</v>
      </c>
      <c r="W85" s="402">
        <f t="shared" si="34"/>
        <v>15.367383905896672</v>
      </c>
      <c r="X85" s="157">
        <f t="shared" si="35"/>
        <v>44997</v>
      </c>
      <c r="Y85" s="385">
        <f t="shared" si="36"/>
        <v>14.601587320637973</v>
      </c>
      <c r="Z85" s="385">
        <f t="shared" si="37"/>
        <v>15.185178289127396</v>
      </c>
      <c r="AA85" s="386">
        <f t="shared" si="38"/>
        <v>17.915673295727537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0.1524081714110794</v>
      </c>
      <c r="AD85" s="231">
        <f>(INDEX(Models!$BJ85:$BT85,,AH85)*(1-AF85)+INDEX(Models!$BJ85:$BT85,,AH85+1)*AF85-ERP_i)*AE85*Ramure*Pc/MaxiM</f>
        <v>1.4217491976253973E-3</v>
      </c>
      <c r="AE85" s="305">
        <f t="shared" si="40"/>
        <v>0.7</v>
      </c>
      <c r="AF85" s="177">
        <f t="shared" si="41"/>
        <v>0.40841313646535793</v>
      </c>
      <c r="AG85" s="810">
        <f t="shared" si="49"/>
        <v>0</v>
      </c>
      <c r="AH85" s="176">
        <f t="shared" si="42"/>
        <v>6</v>
      </c>
      <c r="AI85" s="225">
        <f t="shared" si="43"/>
        <v>0.40841313646535793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9.4031969510695195</v>
      </c>
      <c r="C86" s="840"/>
      <c r="D86" s="393">
        <f t="shared" si="25"/>
        <v>9.779248108120326</v>
      </c>
      <c r="E86" s="385">
        <f t="shared" si="47"/>
        <v>10.96373599855651</v>
      </c>
      <c r="F86" s="385">
        <f t="shared" si="26"/>
        <v>10.96373599855651</v>
      </c>
      <c r="G86" s="110">
        <f t="shared" si="48"/>
        <v>0.25517822131388318</v>
      </c>
      <c r="H86" s="414" t="b">
        <f>Wh_hp&gt;='2022'!Maxi_hp</f>
        <v>0</v>
      </c>
      <c r="I86" s="390">
        <f>IF(H86,Wh_hp,'2022'!Maxi_hp)</f>
        <v>39.947876857948046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3.8453994917927004E-2</v>
      </c>
      <c r="M86" s="844"/>
      <c r="N86" s="844"/>
      <c r="O86" s="48">
        <f>IF(t&lt;Tnet,'2022'!Resal+('2022'!Salim-'2022'!Resal)*(1-EXP(('2022'!Tnet-t)/('2022'!Tau_j))),Resal+(Salim-Resal)*(1-EXP((Tnet-t)/(Tau_j))))*Salcycl</f>
        <v>0.10803688547335817</v>
      </c>
      <c r="P86" s="169">
        <f>(INDEX(Models!$BJ86:$BT86,,T86)*(1-R86)+INDEX(Models!$BJ86:$BT86,,T86+1)*R86-ERP_i)*Q86*Ramure*Pc/MaxiM</f>
        <v>1.4296730206398102E-3</v>
      </c>
      <c r="Q86" s="305">
        <f t="shared" si="28"/>
        <v>0.7</v>
      </c>
      <c r="R86" s="177">
        <f t="shared" si="29"/>
        <v>0.40880903506283456</v>
      </c>
      <c r="S86" s="810">
        <f t="shared" si="30"/>
        <v>0</v>
      </c>
      <c r="T86" s="176">
        <f t="shared" si="31"/>
        <v>6</v>
      </c>
      <c r="U86" s="251">
        <f t="shared" si="32"/>
        <v>0.40880903506283456</v>
      </c>
      <c r="V86" s="383">
        <f t="shared" si="33"/>
        <v>36.796844988314668</v>
      </c>
      <c r="W86" s="402">
        <f t="shared" si="34"/>
        <v>9.4031969510695195</v>
      </c>
      <c r="X86" s="157">
        <f t="shared" si="35"/>
        <v>44998</v>
      </c>
      <c r="Y86" s="385">
        <f t="shared" si="36"/>
        <v>8.9350704103372784</v>
      </c>
      <c r="Z86" s="385">
        <f t="shared" si="37"/>
        <v>9.2924003252185763</v>
      </c>
      <c r="AA86" s="386">
        <f t="shared" si="38"/>
        <v>10.96373599855651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0.15244216693634197</v>
      </c>
      <c r="AD86" s="231">
        <f>(INDEX(Models!$BJ86:$BT86,,AH86)*(1-AF86)+INDEX(Models!$BJ86:$BT86,,AH86+1)*AF86-ERP_i)*AE86*Ramure*Pc/MaxiM</f>
        <v>1.4296730206398102E-3</v>
      </c>
      <c r="AE86" s="305">
        <f t="shared" si="40"/>
        <v>0.7</v>
      </c>
      <c r="AF86" s="177">
        <f t="shared" si="41"/>
        <v>0.40880903506283456</v>
      </c>
      <c r="AG86" s="810">
        <f t="shared" si="49"/>
        <v>0</v>
      </c>
      <c r="AH86" s="176">
        <f t="shared" si="42"/>
        <v>6</v>
      </c>
      <c r="AI86" s="225">
        <f t="shared" si="43"/>
        <v>0.40880903506283456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13.841203023827736</v>
      </c>
      <c r="C87" s="840"/>
      <c r="D87" s="393">
        <f t="shared" si="25"/>
        <v>14.39507320833534</v>
      </c>
      <c r="E87" s="385">
        <f t="shared" si="47"/>
        <v>16.140122187810704</v>
      </c>
      <c r="F87" s="385">
        <f t="shared" si="26"/>
        <v>16.142514634323586</v>
      </c>
      <c r="G87" s="110">
        <f t="shared" si="48"/>
        <v>0.37178593952540001</v>
      </c>
      <c r="H87" s="414" t="b">
        <f>Wh_hp&gt;='2022'!Maxi_hp</f>
        <v>0</v>
      </c>
      <c r="I87" s="390">
        <f>IF(H87,Wh_hp,'2022'!Maxi_hp)</f>
        <v>39.828022010256511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3.8476371498193607E-2</v>
      </c>
      <c r="M87" s="844"/>
      <c r="N87" s="844"/>
      <c r="O87" s="48">
        <f>IF(t&lt;Tnet,'2022'!Resal+('2022'!Salim-'2022'!Resal)*(1-EXP(('2022'!Tnet-t)/('2022'!Tau_j))),Resal+(Salim-Resal)*(1-EXP((Tnet-t)/(Tau_j))))*Salcycl</f>
        <v>0.1081186969447638</v>
      </c>
      <c r="P87" s="169">
        <f>(INDEX(Models!$BJ87:$BT87,,T87)*(1-R87)+INDEX(Models!$BJ87:$BT87,,T87+1)*R87-ERP_i)*Q87*Ramure*Pc/MaxiM</f>
        <v>1.4356198762512675E-3</v>
      </c>
      <c r="Q87" s="305">
        <f t="shared" si="28"/>
        <v>0.7</v>
      </c>
      <c r="R87" s="177">
        <f t="shared" si="29"/>
        <v>0.40922069044926468</v>
      </c>
      <c r="S87" s="810">
        <f t="shared" si="30"/>
        <v>0</v>
      </c>
      <c r="T87" s="176">
        <f t="shared" si="31"/>
        <v>6</v>
      </c>
      <c r="U87" s="251">
        <f t="shared" si="32"/>
        <v>0.40922069044926468</v>
      </c>
      <c r="V87" s="383">
        <f t="shared" si="33"/>
        <v>37.181021606513227</v>
      </c>
      <c r="W87" s="402">
        <f t="shared" si="34"/>
        <v>13.841203023827736</v>
      </c>
      <c r="X87" s="157">
        <f t="shared" si="35"/>
        <v>44999</v>
      </c>
      <c r="Y87" s="385">
        <f t="shared" si="36"/>
        <v>13.152809089977945</v>
      </c>
      <c r="Z87" s="385">
        <f t="shared" si="37"/>
        <v>13.679132472773377</v>
      </c>
      <c r="AA87" s="386">
        <f t="shared" si="38"/>
        <v>16.140122187810704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0.15247652318864777</v>
      </c>
      <c r="AD87" s="231">
        <f>(INDEX(Models!$BJ87:$BT87,,AH87)*(1-AF87)+INDEX(Models!$BJ87:$BT87,,AH87+1)*AF87-ERP_i)*AE87*Ramure*Pc/MaxiM</f>
        <v>1.4356198762512675E-3</v>
      </c>
      <c r="AE87" s="305">
        <f t="shared" si="40"/>
        <v>0.7</v>
      </c>
      <c r="AF87" s="177">
        <f t="shared" si="41"/>
        <v>0.40922069044926468</v>
      </c>
      <c r="AG87" s="810">
        <f t="shared" si="49"/>
        <v>0</v>
      </c>
      <c r="AH87" s="176">
        <f t="shared" si="42"/>
        <v>6</v>
      </c>
      <c r="AI87" s="225">
        <f t="shared" si="43"/>
        <v>0.40922069044926468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13.125709876382757</v>
      </c>
      <c r="C88" s="840"/>
      <c r="D88" s="393">
        <f t="shared" si="25"/>
        <v>13.651266540779435</v>
      </c>
      <c r="E88" s="385">
        <f t="shared" si="47"/>
        <v>15.307555351568881</v>
      </c>
      <c r="F88" s="385">
        <f t="shared" si="26"/>
        <v>15.309110836507722</v>
      </c>
      <c r="G88" s="110">
        <f t="shared" si="48"/>
        <v>0.34893545734283554</v>
      </c>
      <c r="H88" s="414" t="b">
        <f>Wh_hp&gt;='2022'!Maxi_hp</f>
        <v>0</v>
      </c>
      <c r="I88" s="390">
        <f>IF(H88,Wh_hp,'2022'!Maxi_hp)</f>
        <v>32.760869095233581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3.8498747557724422E-2</v>
      </c>
      <c r="M88" s="844"/>
      <c r="N88" s="844"/>
      <c r="O88" s="48">
        <f>IF(t&lt;Tnet,'2022'!Resal+('2022'!Salim-'2022'!Resal)*(1-EXP(('2022'!Tnet-t)/('2022'!Tau_j))),Resal+(Salim-Resal)*(1-EXP((Tnet-t)/(Tau_j))))*Salcycl</f>
        <v>0.10820073961840625</v>
      </c>
      <c r="P88" s="169">
        <f>(INDEX(Models!$BJ88:$BT88,,T88)*(1-R88)+INDEX(Models!$BJ88:$BT88,,T88+1)*R88-ERP_i)*Q88*Ramure*Pc/MaxiM</f>
        <v>1.4396613143961721E-3</v>
      </c>
      <c r="Q88" s="305">
        <f t="shared" si="28"/>
        <v>0.7</v>
      </c>
      <c r="R88" s="177">
        <f t="shared" si="29"/>
        <v>0.40964869359456996</v>
      </c>
      <c r="S88" s="810">
        <f t="shared" si="30"/>
        <v>0</v>
      </c>
      <c r="T88" s="176">
        <f t="shared" si="31"/>
        <v>6</v>
      </c>
      <c r="U88" s="251">
        <f t="shared" si="32"/>
        <v>0.40964869359456996</v>
      </c>
      <c r="V88" s="383">
        <f t="shared" si="33"/>
        <v>37.566102496137866</v>
      </c>
      <c r="W88" s="402">
        <f t="shared" si="34"/>
        <v>13.125709876382757</v>
      </c>
      <c r="X88" s="157">
        <f t="shared" si="35"/>
        <v>45000</v>
      </c>
      <c r="Y88" s="385">
        <f t="shared" si="36"/>
        <v>12.473536847561062</v>
      </c>
      <c r="Z88" s="385">
        <f t="shared" si="37"/>
        <v>12.972980342851837</v>
      </c>
      <c r="AA88" s="386">
        <f t="shared" si="38"/>
        <v>15.307555351568881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0.15251128969314967</v>
      </c>
      <c r="AD88" s="231">
        <f>(INDEX(Models!$BJ88:$BT88,,AH88)*(1-AF88)+INDEX(Models!$BJ88:$BT88,,AH88+1)*AF88-ERP_i)*AE88*Ramure*Pc/MaxiM</f>
        <v>1.4396613143961721E-3</v>
      </c>
      <c r="AE88" s="305">
        <f t="shared" si="40"/>
        <v>0.7</v>
      </c>
      <c r="AF88" s="177">
        <f t="shared" si="41"/>
        <v>0.40964869359456996</v>
      </c>
      <c r="AG88" s="810">
        <f t="shared" si="49"/>
        <v>0</v>
      </c>
      <c r="AH88" s="176">
        <f t="shared" si="42"/>
        <v>6</v>
      </c>
      <c r="AI88" s="225">
        <f t="shared" si="43"/>
        <v>0.40964869359456996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12.855400987205119</v>
      </c>
      <c r="C89" s="840"/>
      <c r="D89" s="393">
        <f t="shared" si="25"/>
        <v>13.370445566736867</v>
      </c>
      <c r="E89" s="385">
        <f t="shared" si="47"/>
        <v>14.99404668055009</v>
      </c>
      <c r="F89" s="385">
        <f t="shared" si="26"/>
        <v>14.995242910247091</v>
      </c>
      <c r="G89" s="110">
        <f t="shared" si="48"/>
        <v>0.33826738791149558</v>
      </c>
      <c r="H89" s="414" t="b">
        <f>Wh_hp&gt;='2022'!Maxi_hp</f>
        <v>0</v>
      </c>
      <c r="I89" s="390">
        <f>IF(H89,Wh_hp,'2022'!Maxi_hp)</f>
        <v>45.209296903916872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3.8521123096531773E-2</v>
      </c>
      <c r="M89" s="844"/>
      <c r="N89" s="844"/>
      <c r="O89" s="48">
        <f>IF(t&lt;Tnet,'2022'!Resal+('2022'!Salim-'2022'!Resal)*(1-EXP(('2022'!Tnet-t)/('2022'!Tau_j))),Resal+(Salim-Resal)*(1-EXP((Tnet-t)/(Tau_j))))*Salcycl</f>
        <v>0.10828305049358813</v>
      </c>
      <c r="P89" s="169">
        <f>(INDEX(Models!$BJ89:$BT89,,T89)*(1-R89)+INDEX(Models!$BJ89:$BT89,,T89+1)*R89-ERP_i)*Q89*Ramure*Pc/MaxiM</f>
        <v>1.441866399493234E-3</v>
      </c>
      <c r="Q89" s="305">
        <f t="shared" si="28"/>
        <v>0.7</v>
      </c>
      <c r="R89" s="177">
        <f t="shared" si="29"/>
        <v>0.4100936546287875</v>
      </c>
      <c r="S89" s="810">
        <f t="shared" si="30"/>
        <v>0</v>
      </c>
      <c r="T89" s="176">
        <f t="shared" si="31"/>
        <v>6</v>
      </c>
      <c r="U89" s="251">
        <f t="shared" si="32"/>
        <v>0.4100936546287875</v>
      </c>
      <c r="V89" s="383">
        <f t="shared" si="33"/>
        <v>37.9518978309519</v>
      </c>
      <c r="W89" s="402">
        <f t="shared" si="34"/>
        <v>12.855400987205119</v>
      </c>
      <c r="X89" s="157">
        <f t="shared" si="35"/>
        <v>45001</v>
      </c>
      <c r="Y89" s="385">
        <f t="shared" si="36"/>
        <v>12.217278518644786</v>
      </c>
      <c r="Z89" s="385">
        <f t="shared" si="37"/>
        <v>12.706757071971943</v>
      </c>
      <c r="AA89" s="386">
        <f t="shared" si="38"/>
        <v>14.99404668055009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0.1525465177819649</v>
      </c>
      <c r="AD89" s="231">
        <f>(INDEX(Models!$BJ89:$BT89,,AH89)*(1-AF89)+INDEX(Models!$BJ89:$BT89,,AH89+1)*AF89-ERP_i)*AE89*Ramure*Pc/MaxiM</f>
        <v>1.441866399493234E-3</v>
      </c>
      <c r="AE89" s="305">
        <f t="shared" si="40"/>
        <v>0.7</v>
      </c>
      <c r="AF89" s="177">
        <f t="shared" si="41"/>
        <v>0.4100936546287875</v>
      </c>
      <c r="AG89" s="810">
        <f t="shared" si="49"/>
        <v>0</v>
      </c>
      <c r="AH89" s="176">
        <f t="shared" si="42"/>
        <v>6</v>
      </c>
      <c r="AI89" s="225">
        <f t="shared" si="43"/>
        <v>0.4100936546287875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11.146373775367481</v>
      </c>
      <c r="C90" s="840"/>
      <c r="D90" s="393">
        <f t="shared" si="25"/>
        <v>11.593216909459709</v>
      </c>
      <c r="E90" s="385">
        <f t="shared" si="47"/>
        <v>13.002210088627155</v>
      </c>
      <c r="F90" s="385">
        <f t="shared" si="26"/>
        <v>13.002210088627155</v>
      </c>
      <c r="G90" s="110">
        <f t="shared" si="48"/>
        <v>0.29031859053587267</v>
      </c>
      <c r="H90" s="414" t="b">
        <f>Wh_hp&gt;='2022'!Maxi_hp</f>
        <v>0</v>
      </c>
      <c r="I90" s="390">
        <f>IF(H90,Wh_hp,'2022'!Maxi_hp)</f>
        <v>26.308361762464799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3.8543498114627539E-2</v>
      </c>
      <c r="M90" s="844"/>
      <c r="N90" s="844"/>
      <c r="O90" s="48">
        <f>IF(t&lt;Tnet,'2022'!Resal+('2022'!Salim-'2022'!Resal)*(1-EXP(('2022'!Tnet-t)/('2022'!Tau_j))),Resal+(Salim-Resal)*(1-EXP((Tnet-t)/(Tau_j))))*Salcycl</f>
        <v>0.10836566780288157</v>
      </c>
      <c r="P90" s="169">
        <f>(INDEX(Models!$BJ90:$BT90,,T90)*(1-R90)+INDEX(Models!$BJ90:$BT90,,T90+1)*R90-ERP_i)*Q90*Ramure*Pc/MaxiM</f>
        <v>1.4423016766104539E-3</v>
      </c>
      <c r="Q90" s="305">
        <f t="shared" si="28"/>
        <v>0.7</v>
      </c>
      <c r="R90" s="177">
        <f t="shared" si="29"/>
        <v>0.4105562032093989</v>
      </c>
      <c r="S90" s="810">
        <f t="shared" si="30"/>
        <v>0</v>
      </c>
      <c r="T90" s="176">
        <f t="shared" si="31"/>
        <v>6</v>
      </c>
      <c r="U90" s="251">
        <f t="shared" si="32"/>
        <v>0.4105562032093989</v>
      </c>
      <c r="V90" s="383">
        <f t="shared" si="33"/>
        <v>38.338217753257688</v>
      </c>
      <c r="W90" s="402">
        <f t="shared" si="34"/>
        <v>11.146373775367481</v>
      </c>
      <c r="X90" s="157">
        <f t="shared" si="35"/>
        <v>45002</v>
      </c>
      <c r="Y90" s="385">
        <f t="shared" si="36"/>
        <v>10.593619523362591</v>
      </c>
      <c r="Z90" s="385">
        <f t="shared" si="37"/>
        <v>11.018303482881425</v>
      </c>
      <c r="AA90" s="386">
        <f t="shared" si="38"/>
        <v>13.002210088627155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0.1525822604174828</v>
      </c>
      <c r="AD90" s="231">
        <f>(INDEX(Models!$BJ90:$BT90,,AH90)*(1-AF90)+INDEX(Models!$BJ90:$BT90,,AH90+1)*AF90-ERP_i)*AE90*Ramure*Pc/MaxiM</f>
        <v>1.4423016766104539E-3</v>
      </c>
      <c r="AE90" s="305">
        <f t="shared" si="40"/>
        <v>0.7</v>
      </c>
      <c r="AF90" s="177">
        <f t="shared" si="41"/>
        <v>0.4105562032093989</v>
      </c>
      <c r="AG90" s="810">
        <f t="shared" si="49"/>
        <v>0</v>
      </c>
      <c r="AH90" s="176">
        <f t="shared" si="42"/>
        <v>6</v>
      </c>
      <c r="AI90" s="225">
        <f t="shared" si="43"/>
        <v>0.4105562032093989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14.433298857217094</v>
      </c>
      <c r="C91" s="840"/>
      <c r="D91" s="393">
        <f t="shared" si="25"/>
        <v>15.012259754528868</v>
      </c>
      <c r="E91" s="385">
        <f t="shared" si="47"/>
        <v>16.838356458864546</v>
      </c>
      <c r="F91" s="385">
        <f t="shared" si="26"/>
        <v>16.840877370243408</v>
      </c>
      <c r="G91" s="110">
        <f t="shared" si="48"/>
        <v>0.37223254384096272</v>
      </c>
      <c r="H91" s="414" t="b">
        <f>Wh_hp&gt;='2022'!Maxi_hp</f>
        <v>0</v>
      </c>
      <c r="I91" s="390">
        <f>IF(H91,Wh_hp,'2022'!Maxi_hp)</f>
        <v>32.389497861269035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3.8565872612023933E-2</v>
      </c>
      <c r="M91" s="844"/>
      <c r="N91" s="844"/>
      <c r="O91" s="48">
        <f>IF(t&lt;Tnet,'2022'!Resal+('2022'!Salim-'2022'!Resal)*(1-EXP(('2022'!Tnet-t)/('2022'!Tau_j))),Resal+(Salim-Resal)*(1-EXP((Tnet-t)/(Tau_j))))*Salcycl</f>
        <v>0.108448630886082</v>
      </c>
      <c r="P91" s="169">
        <f>(INDEX(Models!$BJ91:$BT91,,T91)*(1-R91)+INDEX(Models!$BJ91:$BT91,,T91+1)*R91-ERP_i)*Q91*Ramure*Pc/MaxiM</f>
        <v>1.441031143150139E-3</v>
      </c>
      <c r="Q91" s="305">
        <f t="shared" si="28"/>
        <v>0.7</v>
      </c>
      <c r="R91" s="177">
        <f t="shared" si="29"/>
        <v>0.41103698887229922</v>
      </c>
      <c r="S91" s="810">
        <f t="shared" si="30"/>
        <v>0</v>
      </c>
      <c r="T91" s="176">
        <f t="shared" si="31"/>
        <v>6</v>
      </c>
      <c r="U91" s="251">
        <f t="shared" si="32"/>
        <v>0.41103698887229922</v>
      </c>
      <c r="V91" s="383">
        <f t="shared" si="33"/>
        <v>38.724872376351357</v>
      </c>
      <c r="W91" s="402">
        <f t="shared" si="34"/>
        <v>14.433298857217094</v>
      </c>
      <c r="X91" s="157">
        <f t="shared" si="35"/>
        <v>45003</v>
      </c>
      <c r="Y91" s="385">
        <f t="shared" si="36"/>
        <v>13.718232981207725</v>
      </c>
      <c r="Z91" s="385">
        <f t="shared" si="37"/>
        <v>14.268510541099072</v>
      </c>
      <c r="AA91" s="386">
        <f t="shared" si="38"/>
        <v>16.838356458864546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0.15261857201108117</v>
      </c>
      <c r="AD91" s="231">
        <f>(INDEX(Models!$BJ91:$BT91,,AH91)*(1-AF91)+INDEX(Models!$BJ91:$BT91,,AH91+1)*AF91-ERP_i)*AE91*Ramure*Pc/MaxiM</f>
        <v>1.441031143150139E-3</v>
      </c>
      <c r="AE91" s="305">
        <f t="shared" si="40"/>
        <v>0.7</v>
      </c>
      <c r="AF91" s="177">
        <f t="shared" si="41"/>
        <v>0.41103698887229922</v>
      </c>
      <c r="AG91" s="810">
        <f t="shared" si="49"/>
        <v>0</v>
      </c>
      <c r="AH91" s="176">
        <f t="shared" si="42"/>
        <v>6</v>
      </c>
      <c r="AI91" s="225">
        <f t="shared" si="43"/>
        <v>0.41103698887229922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25.457960975032805</v>
      </c>
      <c r="C92" s="840"/>
      <c r="D92" s="393">
        <f t="shared" si="25"/>
        <v>26.479768824027005</v>
      </c>
      <c r="E92" s="385">
        <f t="shared" si="47"/>
        <v>29.703554397671851</v>
      </c>
      <c r="F92" s="385">
        <f t="shared" si="26"/>
        <v>29.72498362136032</v>
      </c>
      <c r="G92" s="110">
        <f t="shared" si="48"/>
        <v>0.65043727836939769</v>
      </c>
      <c r="H92" s="414" t="b">
        <f>Wh_hp&gt;='2022'!Maxi_hp</f>
        <v>0</v>
      </c>
      <c r="I92" s="390">
        <f>IF(H92,Wh_hp,'2022'!Maxi_hp)</f>
        <v>42.780968964285989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3.8588246588733055E-2</v>
      </c>
      <c r="M92" s="844"/>
      <c r="N92" s="844"/>
      <c r="O92" s="48">
        <f>IF(t&lt;Tnet,'2022'!Resal+('2022'!Salim-'2022'!Resal)*(1-EXP(('2022'!Tnet-t)/('2022'!Tau_j))),Resal+(Salim-Resal)*(1-EXP((Tnet-t)/(Tau_j))))*Salcycl</f>
        <v>0.10853198006153518</v>
      </c>
      <c r="P92" s="169">
        <f>(INDEX(Models!$BJ92:$BT92,,T92)*(1-R92)+INDEX(Models!$BJ92:$BT92,,T92+1)*R92-ERP_i)*Q92*Ramure*Pc/MaxiM</f>
        <v>1.4381162253042177E-3</v>
      </c>
      <c r="Q92" s="305">
        <f t="shared" si="28"/>
        <v>0.7</v>
      </c>
      <c r="R92" s="177">
        <f t="shared" si="29"/>
        <v>0.4115366813636645</v>
      </c>
      <c r="S92" s="810">
        <f t="shared" si="30"/>
        <v>0</v>
      </c>
      <c r="T92" s="176">
        <f t="shared" si="31"/>
        <v>6</v>
      </c>
      <c r="U92" s="251">
        <f t="shared" si="32"/>
        <v>0.4115366813636645</v>
      </c>
      <c r="V92" s="383">
        <f t="shared" si="33"/>
        <v>39.111671793300324</v>
      </c>
      <c r="W92" s="402">
        <f t="shared" si="34"/>
        <v>25.457960975032805</v>
      </c>
      <c r="X92" s="157">
        <f t="shared" si="35"/>
        <v>45004</v>
      </c>
      <c r="Y92" s="385">
        <f t="shared" si="36"/>
        <v>24.197910100192082</v>
      </c>
      <c r="Z92" s="385">
        <f t="shared" si="37"/>
        <v>25.169143204598253</v>
      </c>
      <c r="AA92" s="386">
        <f t="shared" si="38"/>
        <v>29.703554397671851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0.15265550823873811</v>
      </c>
      <c r="AD92" s="231">
        <f>(INDEX(Models!$BJ92:$BT92,,AH92)*(1-AF92)+INDEX(Models!$BJ92:$BT92,,AH92+1)*AF92-ERP_i)*AE92*Ramure*Pc/MaxiM</f>
        <v>1.4381162253042177E-3</v>
      </c>
      <c r="AE92" s="305">
        <f t="shared" si="40"/>
        <v>0.7</v>
      </c>
      <c r="AF92" s="177">
        <f t="shared" si="41"/>
        <v>0.4115366813636645</v>
      </c>
      <c r="AG92" s="810">
        <f t="shared" si="49"/>
        <v>0</v>
      </c>
      <c r="AH92" s="176">
        <f t="shared" si="42"/>
        <v>6</v>
      </c>
      <c r="AI92" s="225">
        <f t="shared" si="43"/>
        <v>0.4115366813636645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28.605461214924365</v>
      </c>
      <c r="C93" s="840"/>
      <c r="D93" s="393">
        <f t="shared" si="25"/>
        <v>29.754292913300517</v>
      </c>
      <c r="E93" s="385">
        <f t="shared" si="47"/>
        <v>33.379873079573862</v>
      </c>
      <c r="F93" s="385">
        <f t="shared" si="26"/>
        <v>33.408891587651844</v>
      </c>
      <c r="G93" s="110">
        <f t="shared" si="48"/>
        <v>0.7237401889699423</v>
      </c>
      <c r="H93" s="414" t="b">
        <f>Wh_hp&gt;='2022'!Maxi_hp</f>
        <v>0</v>
      </c>
      <c r="I93" s="390">
        <f>IF(H93,Wh_hp,'2022'!Maxi_hp)</f>
        <v>45.417095514762579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3.8610620044767119E-2</v>
      </c>
      <c r="M93" s="844"/>
      <c r="N93" s="844"/>
      <c r="O93" s="48">
        <f>IF(t&lt;Tnet,'2022'!Resal+('2022'!Salim-'2022'!Resal)*(1-EXP(('2022'!Tnet-t)/('2022'!Tau_j))),Resal+(Salim-Resal)*(1-EXP((Tnet-t)/(Tau_j))))*Salcycl</f>
        <v>0.10861575649584923</v>
      </c>
      <c r="P93" s="169">
        <f>(INDEX(Models!$BJ93:$BT93,,T93)*(1-R93)+INDEX(Models!$BJ93:$BT93,,T93+1)*R93-ERP_i)*Q93*Ramure*Pc/MaxiM</f>
        <v>1.4334811228541265E-3</v>
      </c>
      <c r="Q93" s="305">
        <f t="shared" si="28"/>
        <v>0.7</v>
      </c>
      <c r="R93" s="177">
        <f t="shared" si="29"/>
        <v>0.41205597094976171</v>
      </c>
      <c r="S93" s="810">
        <f t="shared" si="30"/>
        <v>0</v>
      </c>
      <c r="T93" s="176">
        <f t="shared" si="31"/>
        <v>6</v>
      </c>
      <c r="U93" s="251">
        <f t="shared" si="32"/>
        <v>0.41205597094976171</v>
      </c>
      <c r="V93" s="383">
        <f t="shared" si="33"/>
        <v>39.502142520363414</v>
      </c>
      <c r="W93" s="402">
        <f t="shared" si="34"/>
        <v>28.605461214924365</v>
      </c>
      <c r="X93" s="157">
        <f t="shared" si="35"/>
        <v>45005</v>
      </c>
      <c r="Y93" s="385">
        <f t="shared" si="36"/>
        <v>27.190971909278105</v>
      </c>
      <c r="Z93" s="385">
        <f t="shared" si="37"/>
        <v>28.282995918411594</v>
      </c>
      <c r="AA93" s="386">
        <f t="shared" si="38"/>
        <v>33.379873079573862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0.15269312585496922</v>
      </c>
      <c r="AD93" s="231">
        <f>(INDEX(Models!$BJ93:$BT93,,AH93)*(1-AF93)+INDEX(Models!$BJ93:$BT93,,AH93+1)*AF93-ERP_i)*AE93*Ramure*Pc/MaxiM</f>
        <v>1.4334811228541265E-3</v>
      </c>
      <c r="AE93" s="305">
        <f t="shared" si="40"/>
        <v>0.7</v>
      </c>
      <c r="AF93" s="177">
        <f t="shared" si="41"/>
        <v>0.41205597094976171</v>
      </c>
      <c r="AG93" s="810">
        <f t="shared" si="49"/>
        <v>0</v>
      </c>
      <c r="AH93" s="176">
        <f t="shared" si="42"/>
        <v>6</v>
      </c>
      <c r="AI93" s="225">
        <f t="shared" si="43"/>
        <v>0.41205597094976171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38.213509260655037</v>
      </c>
      <c r="C94" s="840"/>
      <c r="D94" s="393">
        <f t="shared" si="25"/>
        <v>39.749137407068879</v>
      </c>
      <c r="E94" s="385">
        <f t="shared" si="47"/>
        <v>44.596810837558571</v>
      </c>
      <c r="F94" s="385">
        <f t="shared" si="26"/>
        <v>44.656605958488221</v>
      </c>
      <c r="G94" s="110">
        <f t="shared" si="48"/>
        <v>0.95767314674824555</v>
      </c>
      <c r="H94" s="414" t="b">
        <f>Wh_hp&gt;='2022'!Maxi_hp</f>
        <v>0</v>
      </c>
      <c r="I94" s="390">
        <f>IF(H94,Wh_hp,'2022'!Maxi_hp)</f>
        <v>48.198985258159908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3.8632992980138225E-2</v>
      </c>
      <c r="M94" s="844"/>
      <c r="N94" s="844"/>
      <c r="O94" s="48">
        <f>IF(t&lt;Tnet,'2022'!Resal+('2022'!Salim-'2022'!Resal)*(1-EXP(('2022'!Tnet-t)/('2022'!Tau_j))),Resal+(Salim-Resal)*(1-EXP((Tnet-t)/(Tau_j))))*Salcycl</f>
        <v>0.10870000207295258</v>
      </c>
      <c r="P94" s="169">
        <f>(INDEX(Models!$BJ94:$BT94,,T94)*(1-R94)+INDEX(Models!$BJ94:$BT94,,T94+1)*R94-ERP_i)*Q94*Ramure*Pc/MaxiM</f>
        <v>1.4249955490559826E-3</v>
      </c>
      <c r="Q94" s="305">
        <f t="shared" si="28"/>
        <v>0.7</v>
      </c>
      <c r="R94" s="177">
        <f t="shared" si="29"/>
        <v>0.41259556870152186</v>
      </c>
      <c r="S94" s="810">
        <f t="shared" si="30"/>
        <v>0</v>
      </c>
      <c r="T94" s="176">
        <f t="shared" si="31"/>
        <v>6</v>
      </c>
      <c r="U94" s="251">
        <f t="shared" si="32"/>
        <v>0.41259556870152186</v>
      </c>
      <c r="V94" s="383">
        <f t="shared" si="33"/>
        <v>39.899018499985075</v>
      </c>
      <c r="W94" s="402">
        <f t="shared" si="34"/>
        <v>38.213509260655037</v>
      </c>
      <c r="X94" s="157">
        <f t="shared" si="35"/>
        <v>45006</v>
      </c>
      <c r="Y94" s="385">
        <f t="shared" si="36"/>
        <v>36.325707859085504</v>
      </c>
      <c r="Z94" s="385">
        <f t="shared" si="37"/>
        <v>37.785473803278769</v>
      </c>
      <c r="AA94" s="386">
        <f t="shared" si="38"/>
        <v>44.596810837558571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0.1527314825064448</v>
      </c>
      <c r="AD94" s="231">
        <f>(INDEX(Models!$BJ94:$BT94,,AH94)*(1-AF94)+INDEX(Models!$BJ94:$BT94,,AH94+1)*AF94-ERP_i)*AE94*Ramure*Pc/MaxiM</f>
        <v>1.4249955490559826E-3</v>
      </c>
      <c r="AE94" s="305">
        <f t="shared" si="40"/>
        <v>0.7</v>
      </c>
      <c r="AF94" s="177">
        <f t="shared" si="41"/>
        <v>0.41259556870152186</v>
      </c>
      <c r="AG94" s="810">
        <f t="shared" si="49"/>
        <v>0</v>
      </c>
      <c r="AH94" s="176">
        <f t="shared" si="42"/>
        <v>6</v>
      </c>
      <c r="AI94" s="225">
        <f t="shared" si="43"/>
        <v>0.41259556870152186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36.219074174311167</v>
      </c>
      <c r="C95" s="840"/>
      <c r="D95" s="393">
        <f t="shared" si="25"/>
        <v>37.675431755218177</v>
      </c>
      <c r="E95" s="385">
        <f t="shared" si="47"/>
        <v>42.274222918448942</v>
      </c>
      <c r="F95" s="385">
        <f t="shared" si="26"/>
        <v>42.32536533083848</v>
      </c>
      <c r="G95" s="110">
        <f t="shared" si="48"/>
        <v>0.89853455292592577</v>
      </c>
      <c r="H95" s="414" t="b">
        <f>Wh_hp&gt;='2022'!Maxi_hp</f>
        <v>0</v>
      </c>
      <c r="I95" s="390">
        <f>IF(H95,Wh_hp,'2022'!Maxi_hp)</f>
        <v>46.410432138632295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3.8655365394858365E-2</v>
      </c>
      <c r="M95" s="844"/>
      <c r="N95" s="844"/>
      <c r="O95" s="48">
        <f>IF(t&lt;Tnet,'2022'!Resal+('2022'!Salim-'2022'!Resal)*(1-EXP(('2022'!Tnet-t)/('2022'!Tau_j))),Resal+(Salim-Resal)*(1-EXP((Tnet-t)/(Tau_j))))*Salcycl</f>
        <v>0.10878475926339978</v>
      </c>
      <c r="P95" s="169">
        <f>(INDEX(Models!$BJ95:$BT95,,T95)*(1-R95)+INDEX(Models!$BJ95:$BT95,,T95+1)*R95-ERP_i)*Q95*Ramure*Pc/MaxiM</f>
        <v>1.4127192856119182E-3</v>
      </c>
      <c r="Q95" s="305">
        <f t="shared" si="28"/>
        <v>0.7</v>
      </c>
      <c r="R95" s="177">
        <f t="shared" si="29"/>
        <v>0.41315620675046161</v>
      </c>
      <c r="S95" s="810">
        <f t="shared" si="30"/>
        <v>0</v>
      </c>
      <c r="T95" s="176">
        <f t="shared" si="31"/>
        <v>6</v>
      </c>
      <c r="U95" s="251">
        <f t="shared" si="32"/>
        <v>0.41315620675046161</v>
      </c>
      <c r="V95" s="383">
        <f t="shared" si="33"/>
        <v>40.300800674918207</v>
      </c>
      <c r="W95" s="402">
        <f t="shared" si="34"/>
        <v>36.219074174311167</v>
      </c>
      <c r="X95" s="157">
        <f t="shared" si="35"/>
        <v>45007</v>
      </c>
      <c r="Y95" s="385">
        <f t="shared" si="36"/>
        <v>34.431483837970141</v>
      </c>
      <c r="Z95" s="385">
        <f t="shared" si="37"/>
        <v>35.815962973686716</v>
      </c>
      <c r="AA95" s="386">
        <f t="shared" si="38"/>
        <v>42.274222918448942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0.15277063654655065</v>
      </c>
      <c r="AD95" s="231">
        <f>(INDEX(Models!$BJ95:$BT95,,AH95)*(1-AF95)+INDEX(Models!$BJ95:$BT95,,AH95+1)*AF95-ERP_i)*AE95*Ramure*Pc/MaxiM</f>
        <v>1.4127192856119182E-3</v>
      </c>
      <c r="AE95" s="305">
        <f t="shared" si="40"/>
        <v>0.7</v>
      </c>
      <c r="AF95" s="177">
        <f t="shared" si="41"/>
        <v>0.41315620675046161</v>
      </c>
      <c r="AG95" s="810">
        <f t="shared" si="49"/>
        <v>0</v>
      </c>
      <c r="AH95" s="176">
        <f t="shared" si="42"/>
        <v>6</v>
      </c>
      <c r="AI95" s="225">
        <f t="shared" si="43"/>
        <v>0.41315620675046161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41.58552723680274</v>
      </c>
      <c r="C96" s="840"/>
      <c r="D96" s="393">
        <f t="shared" si="25"/>
        <v>43.258674900054707</v>
      </c>
      <c r="E96" s="385">
        <f t="shared" si="47"/>
        <v>48.543622531389715</v>
      </c>
      <c r="F96" s="385">
        <f t="shared" si="26"/>
        <v>48.611523908671685</v>
      </c>
      <c r="G96" s="110">
        <f t="shared" si="48"/>
        <v>1.0216071649905401</v>
      </c>
      <c r="H96" s="414" t="b">
        <f>Wh_hp&gt;='2022'!Maxi_hp</f>
        <v>0</v>
      </c>
      <c r="I96" s="390">
        <f>IF(H96,Wh_hp,'2022'!Maxi_hp)</f>
        <v>49.043918463336865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3.8677737288939751E-2</v>
      </c>
      <c r="M96" s="844"/>
      <c r="N96" s="844"/>
      <c r="O96" s="48">
        <f>IF(t&lt;Tnet,'2022'!Resal+('2022'!Salim-'2022'!Resal)*(1-EXP(('2022'!Tnet-t)/('2022'!Tau_j))),Resal+(Salim-Resal)*(1-EXP((Tnet-t)/(Tau_j))))*Salcycl</f>
        <v>0.10887007099475544</v>
      </c>
      <c r="P96" s="169">
        <f>(INDEX(Models!$BJ96:$BT96,,T96)*(1-R96)+INDEX(Models!$BJ96:$BT96,,T96+1)*R96-ERP_i)*Q96*Ramure*Pc/MaxiM</f>
        <v>1.3968164711219745E-3</v>
      </c>
      <c r="Q96" s="305">
        <f t="shared" si="28"/>
        <v>0.7</v>
      </c>
      <c r="R96" s="177">
        <f t="shared" si="29"/>
        <v>0.41373863851229731</v>
      </c>
      <c r="S96" s="810">
        <f t="shared" si="30"/>
        <v>0</v>
      </c>
      <c r="T96" s="176">
        <f t="shared" si="31"/>
        <v>6</v>
      </c>
      <c r="U96" s="251">
        <f t="shared" si="32"/>
        <v>0.41373863851229731</v>
      </c>
      <c r="V96" s="383">
        <f t="shared" si="33"/>
        <v>40.705986275250737</v>
      </c>
      <c r="W96" s="402">
        <f t="shared" si="34"/>
        <v>41.58552723680274</v>
      </c>
      <c r="X96" s="157">
        <f t="shared" si="35"/>
        <v>45008</v>
      </c>
      <c r="Y96" s="385">
        <f t="shared" si="36"/>
        <v>39.534993465420861</v>
      </c>
      <c r="Z96" s="385">
        <f t="shared" si="37"/>
        <v>41.12564017182622</v>
      </c>
      <c r="AA96" s="386">
        <f t="shared" si="38"/>
        <v>48.543622531389715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0.15281064685205176</v>
      </c>
      <c r="AD96" s="231">
        <f>(INDEX(Models!$BJ96:$BT96,,AH96)*(1-AF96)+INDEX(Models!$BJ96:$BT96,,AH96+1)*AF96-ERP_i)*AE96*Ramure*Pc/MaxiM</f>
        <v>1.3968164711219745E-3</v>
      </c>
      <c r="AE96" s="305">
        <f t="shared" si="40"/>
        <v>0.7</v>
      </c>
      <c r="AF96" s="177">
        <f t="shared" si="41"/>
        <v>0.41373863851229731</v>
      </c>
      <c r="AG96" s="810">
        <f t="shared" si="49"/>
        <v>0</v>
      </c>
      <c r="AH96" s="176">
        <f t="shared" si="42"/>
        <v>6</v>
      </c>
      <c r="AI96" s="225">
        <f t="shared" si="43"/>
        <v>0.41373863851229731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40.961545682294116</v>
      </c>
      <c r="C97" s="840"/>
      <c r="D97" s="393">
        <f t="shared" si="25"/>
        <v>42.610579748737898</v>
      </c>
      <c r="E97" s="385">
        <f t="shared" si="47"/>
        <v>47.820959253827795</v>
      </c>
      <c r="F97" s="385">
        <f t="shared" si="26"/>
        <v>47.886572982293089</v>
      </c>
      <c r="G97" s="110">
        <f t="shared" si="48"/>
        <v>0.99630713578304497</v>
      </c>
      <c r="H97" s="414" t="b">
        <f>Wh_hp&gt;='2022'!Maxi_hp</f>
        <v>0</v>
      </c>
      <c r="I97" s="390">
        <f>IF(H97,Wh_hp,'2022'!Maxi_hp)</f>
        <v>48.279322574126304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3.8700108662394483E-2</v>
      </c>
      <c r="M97" s="844"/>
      <c r="N97" s="844"/>
      <c r="O97" s="48">
        <f>IF(t&lt;Tnet,'2022'!Resal+('2022'!Salim-'2022'!Resal)*(1-EXP(('2022'!Tnet-t)/('2022'!Tau_j))),Resal+(Salim-Resal)*(1-EXP((Tnet-t)/(Tau_j))))*Salcycl</f>
        <v>0.10895598052380837</v>
      </c>
      <c r="P97" s="169">
        <f>(INDEX(Models!$BJ97:$BT97,,T97)*(1-R97)+INDEX(Models!$BJ97:$BT97,,T97+1)*R97-ERP_i)*Q97*Ramure*Pc/MaxiM</f>
        <v>1.377443013114293E-3</v>
      </c>
      <c r="Q97" s="305">
        <f t="shared" si="28"/>
        <v>0.7</v>
      </c>
      <c r="R97" s="177">
        <f t="shared" si="29"/>
        <v>0.41434363887434517</v>
      </c>
      <c r="S97" s="810">
        <f t="shared" si="30"/>
        <v>0</v>
      </c>
      <c r="T97" s="176">
        <f t="shared" si="31"/>
        <v>6</v>
      </c>
      <c r="U97" s="251">
        <f t="shared" si="32"/>
        <v>0.41434363887434517</v>
      </c>
      <c r="V97" s="383">
        <f t="shared" si="33"/>
        <v>41.113073198334803</v>
      </c>
      <c r="W97" s="402">
        <f t="shared" si="34"/>
        <v>40.961545682294116</v>
      </c>
      <c r="X97" s="157">
        <f t="shared" si="35"/>
        <v>45009</v>
      </c>
      <c r="Y97" s="385">
        <f t="shared" si="36"/>
        <v>38.943652893007858</v>
      </c>
      <c r="Z97" s="385">
        <f t="shared" si="37"/>
        <v>40.51145042658802</v>
      </c>
      <c r="AA97" s="386">
        <f t="shared" si="38"/>
        <v>47.820959253827795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0.15285157264290317</v>
      </c>
      <c r="AD97" s="231">
        <f>(INDEX(Models!$BJ97:$BT97,,AH97)*(1-AF97)+INDEX(Models!$BJ97:$BT97,,AH97+1)*AF97-ERP_i)*AE97*Ramure*Pc/MaxiM</f>
        <v>1.377443013114293E-3</v>
      </c>
      <c r="AE97" s="305">
        <f t="shared" si="40"/>
        <v>0.7</v>
      </c>
      <c r="AF97" s="177">
        <f t="shared" si="41"/>
        <v>0.41434363887434517</v>
      </c>
      <c r="AG97" s="810">
        <f t="shared" si="49"/>
        <v>0</v>
      </c>
      <c r="AH97" s="176">
        <f t="shared" si="42"/>
        <v>6</v>
      </c>
      <c r="AI97" s="225">
        <f t="shared" si="43"/>
        <v>0.41434363887434517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38.685745382144958</v>
      </c>
      <c r="C98" s="840"/>
      <c r="D98" s="393">
        <f t="shared" si="25"/>
        <v>40.244096587878197</v>
      </c>
      <c r="E98" s="385">
        <f t="shared" si="47"/>
        <v>45.169492374431805</v>
      </c>
      <c r="F98" s="385">
        <f t="shared" si="26"/>
        <v>45.224784624534621</v>
      </c>
      <c r="G98" s="110">
        <f t="shared" si="48"/>
        <v>0.93160177323047222</v>
      </c>
      <c r="H98" s="414" t="b">
        <f>Wh_hp&gt;='2022'!Maxi_hp</f>
        <v>0</v>
      </c>
      <c r="I98" s="390">
        <f>IF(H98,Wh_hp,'2022'!Maxi_hp)</f>
        <v>45.226476614605296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3.8722479515234665E-2</v>
      </c>
      <c r="M98" s="844"/>
      <c r="N98" s="844"/>
      <c r="O98" s="48">
        <f>IF(t&lt;Tnet,'2022'!Resal+('2022'!Salim-'2022'!Resal)*(1-EXP(('2022'!Tnet-t)/('2022'!Tau_j))),Resal+(Salim-Resal)*(1-EXP((Tnet-t)/(Tau_j))))*Salcycl</f>
        <v>0.10904253131128014</v>
      </c>
      <c r="P98" s="169">
        <f>(INDEX(Models!$BJ98:$BT98,,T98)*(1-R98)+INDEX(Models!$BJ98:$BT98,,T98+1)*R98-ERP_i)*Q98*Ramure*Pc/MaxiM</f>
        <v>1.3547454655873292E-3</v>
      </c>
      <c r="Q98" s="305">
        <f t="shared" si="28"/>
        <v>0.7</v>
      </c>
      <c r="R98" s="177">
        <f t="shared" si="29"/>
        <v>0.414972004342543</v>
      </c>
      <c r="S98" s="810">
        <f t="shared" si="30"/>
        <v>0</v>
      </c>
      <c r="T98" s="176">
        <f t="shared" si="31"/>
        <v>6</v>
      </c>
      <c r="U98" s="251">
        <f t="shared" si="32"/>
        <v>0.414972004342543</v>
      </c>
      <c r="V98" s="383">
        <f t="shared" si="33"/>
        <v>41.520560025658014</v>
      </c>
      <c r="W98" s="402">
        <f t="shared" si="34"/>
        <v>38.685745382144958</v>
      </c>
      <c r="X98" s="157">
        <f t="shared" si="35"/>
        <v>45010</v>
      </c>
      <c r="Y98" s="385">
        <f t="shared" si="36"/>
        <v>36.781719167205118</v>
      </c>
      <c r="Z98" s="385">
        <f t="shared" si="37"/>
        <v>38.263371797830416</v>
      </c>
      <c r="AA98" s="386">
        <f t="shared" si="38"/>
        <v>45.169492374431805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0.15289347330612466</v>
      </c>
      <c r="AD98" s="231">
        <f>(INDEX(Models!$BJ98:$BT98,,AH98)*(1-AF98)+INDEX(Models!$BJ98:$BT98,,AH98+1)*AF98-ERP_i)*AE98*Ramure*Pc/MaxiM</f>
        <v>1.3547454655873292E-3</v>
      </c>
      <c r="AE98" s="305">
        <f t="shared" si="40"/>
        <v>0.7</v>
      </c>
      <c r="AF98" s="177">
        <f t="shared" si="41"/>
        <v>0.414972004342543</v>
      </c>
      <c r="AG98" s="810">
        <f t="shared" si="49"/>
        <v>0</v>
      </c>
      <c r="AH98" s="176">
        <f t="shared" si="42"/>
        <v>6</v>
      </c>
      <c r="AI98" s="225">
        <f t="shared" si="43"/>
        <v>0.414972004342543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41.172744219109006</v>
      </c>
      <c r="C99" s="840"/>
      <c r="D99" s="393">
        <f t="shared" si="25"/>
        <v>42.832274253694145</v>
      </c>
      <c r="E99" s="385">
        <f t="shared" si="47"/>
        <v>48.079139544970054</v>
      </c>
      <c r="F99" s="385">
        <f t="shared" si="26"/>
        <v>48.141468847508634</v>
      </c>
      <c r="G99" s="110">
        <f t="shared" si="48"/>
        <v>0.98197794690755369</v>
      </c>
      <c r="H99" s="414" t="b">
        <f>Wh_hp&gt;='2022'!Maxi_hp</f>
        <v>0</v>
      </c>
      <c r="I99" s="390">
        <f>IF(H99,Wh_hp,'2022'!Maxi_hp)</f>
        <v>50.66707986781163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3.8744849847472396E-2</v>
      </c>
      <c r="M99" s="844"/>
      <c r="N99" s="844"/>
      <c r="O99" s="48">
        <f>IF(t&lt;Tnet,'2022'!Resal+('2022'!Salim-'2022'!Resal)*(1-EXP(('2022'!Tnet-t)/('2022'!Tau_j))),Resal+(Salim-Resal)*(1-EXP((Tnet-t)/(Tau_j))))*Salcycl</f>
        <v>0.10912976689959973</v>
      </c>
      <c r="P99" s="169">
        <f>(INDEX(Models!$BJ99:$BT99,,T99)*(1-R99)+INDEX(Models!$BJ99:$BT99,,T99+1)*R99-ERP_i)*Q99*Ramure*Pc/MaxiM</f>
        <v>1.328860084897875E-3</v>
      </c>
      <c r="Q99" s="305">
        <f t="shared" si="28"/>
        <v>0.7</v>
      </c>
      <c r="R99" s="177">
        <f t="shared" si="29"/>
        <v>0.41562455314366586</v>
      </c>
      <c r="S99" s="810">
        <f t="shared" si="30"/>
        <v>0</v>
      </c>
      <c r="T99" s="176">
        <f t="shared" si="31"/>
        <v>6</v>
      </c>
      <c r="U99" s="251">
        <f t="shared" si="32"/>
        <v>0.41562455314366586</v>
      </c>
      <c r="V99" s="383">
        <f t="shared" si="33"/>
        <v>41.926946043797734</v>
      </c>
      <c r="W99" s="402">
        <f t="shared" si="34"/>
        <v>41.172744219109006</v>
      </c>
      <c r="X99" s="157">
        <f t="shared" si="35"/>
        <v>45011</v>
      </c>
      <c r="Y99" s="385">
        <f t="shared" si="36"/>
        <v>39.148162443498087</v>
      </c>
      <c r="Z99" s="385">
        <f t="shared" si="37"/>
        <v>40.726088632436699</v>
      </c>
      <c r="AA99" s="386">
        <f t="shared" si="38"/>
        <v>48.079139544970054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0.15293640822452312</v>
      </c>
      <c r="AD99" s="231">
        <f>(INDEX(Models!$BJ99:$BT99,,AH99)*(1-AF99)+INDEX(Models!$BJ99:$BT99,,AH99+1)*AF99-ERP_i)*AE99*Ramure*Pc/MaxiM</f>
        <v>1.328860084897875E-3</v>
      </c>
      <c r="AE99" s="305">
        <f t="shared" si="40"/>
        <v>0.7</v>
      </c>
      <c r="AF99" s="177">
        <f t="shared" si="41"/>
        <v>0.41562455314366586</v>
      </c>
      <c r="AG99" s="810">
        <f t="shared" si="49"/>
        <v>0</v>
      </c>
      <c r="AH99" s="176">
        <f t="shared" si="42"/>
        <v>6</v>
      </c>
      <c r="AI99" s="225">
        <f t="shared" si="43"/>
        <v>0.41562455314366586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39.463376271154047</v>
      </c>
      <c r="C100" s="840"/>
      <c r="D100" s="393">
        <f t="shared" si="25"/>
        <v>41.054963041480157</v>
      </c>
      <c r="E100" s="385">
        <f t="shared" si="47"/>
        <v>46.088662135231537</v>
      </c>
      <c r="F100" s="385">
        <f t="shared" si="26"/>
        <v>46.14279818112351</v>
      </c>
      <c r="G100" s="110">
        <f t="shared" si="48"/>
        <v>0.93214480014118939</v>
      </c>
      <c r="H100" s="414" t="b">
        <f>Wh_hp&gt;='2022'!Maxi_hp</f>
        <v>0</v>
      </c>
      <c r="I100" s="390">
        <f>IF(H100,Wh_hp,'2022'!Maxi_hp)</f>
        <v>49.81019451356466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3.8767219659119889E-2</v>
      </c>
      <c r="M100" s="844"/>
      <c r="N100" s="844"/>
      <c r="O100" s="48">
        <f>IF(t&lt;Tnet,'2022'!Resal+('2022'!Salim-'2022'!Resal)*(1-EXP(('2022'!Tnet-t)/('2022'!Tau_j))),Resal+(Salim-Resal)*(1-EXP((Tnet-t)/(Tau_j))))*Salcycl</f>
        <v>0.10921773079421794</v>
      </c>
      <c r="P100" s="169">
        <f>(INDEX(Models!$BJ100:$BT100,,T100)*(1-R100)+INDEX(Models!$BJ100:$BT100,,T100+1)*R100-ERP_i)*Q100*Ramure*Pc/MaxiM</f>
        <v>1.2989232254846563E-3</v>
      </c>
      <c r="Q100" s="305">
        <f t="shared" si="28"/>
        <v>0.7</v>
      </c>
      <c r="R100" s="177">
        <f t="shared" si="29"/>
        <v>0.41630212527803756</v>
      </c>
      <c r="S100" s="810">
        <f t="shared" si="30"/>
        <v>0</v>
      </c>
      <c r="T100" s="176">
        <f t="shared" si="31"/>
        <v>6</v>
      </c>
      <c r="U100" s="251">
        <f t="shared" si="32"/>
        <v>0.41630212527803756</v>
      </c>
      <c r="V100" s="383">
        <f t="shared" si="33"/>
        <v>42.330773180820216</v>
      </c>
      <c r="W100" s="402">
        <f t="shared" si="34"/>
        <v>39.463376271154047</v>
      </c>
      <c r="X100" s="157">
        <f t="shared" si="35"/>
        <v>45012</v>
      </c>
      <c r="Y100" s="385">
        <f t="shared" si="36"/>
        <v>37.52460381688465</v>
      </c>
      <c r="Z100" s="385">
        <f t="shared" si="37"/>
        <v>39.037998478971318</v>
      </c>
      <c r="AA100" s="386">
        <f t="shared" si="38"/>
        <v>46.088662135231537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0.15298043661090535</v>
      </c>
      <c r="AD100" s="231">
        <f>(INDEX(Models!$BJ100:$BT100,,AH100)*(1-AF100)+INDEX(Models!$BJ100:$BT100,,AH100+1)*AF100-ERP_i)*AE100*Ramure*Pc/MaxiM</f>
        <v>1.2989232254846563E-3</v>
      </c>
      <c r="AE100" s="305">
        <f t="shared" si="40"/>
        <v>0.7</v>
      </c>
      <c r="AF100" s="177">
        <f t="shared" si="41"/>
        <v>0.41630212527803756</v>
      </c>
      <c r="AG100" s="810">
        <f t="shared" si="49"/>
        <v>0</v>
      </c>
      <c r="AH100" s="176">
        <f t="shared" si="42"/>
        <v>6</v>
      </c>
      <c r="AI100" s="225">
        <f t="shared" si="43"/>
        <v>0.41630212527803756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29.862970613839224</v>
      </c>
      <c r="C101" s="840"/>
      <c r="D101" s="393">
        <f t="shared" si="25"/>
        <v>31.068089016247345</v>
      </c>
      <c r="E101" s="385">
        <f t="shared" si="47"/>
        <v>34.880784290520012</v>
      </c>
      <c r="F101" s="385">
        <f t="shared" si="26"/>
        <v>34.905980603606771</v>
      </c>
      <c r="G101" s="110">
        <f t="shared" si="48"/>
        <v>0.69848718331043713</v>
      </c>
      <c r="H101" s="414" t="b">
        <f>Wh_hp&gt;='2022'!Maxi_hp</f>
        <v>0</v>
      </c>
      <c r="I101" s="390">
        <f>IF(H101,Wh_hp,'2022'!Maxi_hp)</f>
        <v>49.482894626918331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3.8789588950189136E-2</v>
      </c>
      <c r="M101" s="844"/>
      <c r="N101" s="844"/>
      <c r="O101" s="48">
        <f>IF(t&lt;Tnet,'2022'!Resal+('2022'!Salim-'2022'!Resal)*(1-EXP(('2022'!Tnet-t)/('2022'!Tau_j))),Resal+(Salim-Resal)*(1-EXP((Tnet-t)/(Tau_j))))*Salcycl</f>
        <v>0.10930646634883417</v>
      </c>
      <c r="P101" s="169">
        <f>(INDEX(Models!$BJ101:$BT101,,T101)*(1-R101)+INDEX(Models!$BJ101:$BT101,,T101+1)*R101-ERP_i)*Q101*Ramure*Pc/MaxiM</f>
        <v>1.2667930050313902E-3</v>
      </c>
      <c r="Q101" s="305">
        <f t="shared" si="28"/>
        <v>0.7</v>
      </c>
      <c r="R101" s="177">
        <f t="shared" si="29"/>
        <v>0.41700558251776892</v>
      </c>
      <c r="S101" s="810">
        <f t="shared" si="30"/>
        <v>0</v>
      </c>
      <c r="T101" s="176">
        <f t="shared" si="31"/>
        <v>6</v>
      </c>
      <c r="U101" s="251">
        <f t="shared" si="32"/>
        <v>0.41700558251776892</v>
      </c>
      <c r="V101" s="383">
        <f t="shared" si="33"/>
        <v>42.730468743822335</v>
      </c>
      <c r="W101" s="402">
        <f t="shared" si="34"/>
        <v>29.862970613839224</v>
      </c>
      <c r="X101" s="157">
        <f t="shared" si="35"/>
        <v>45013</v>
      </c>
      <c r="Y101" s="385">
        <f t="shared" si="36"/>
        <v>28.397164843130909</v>
      </c>
      <c r="Z101" s="385">
        <f t="shared" si="37"/>
        <v>29.543130740870993</v>
      </c>
      <c r="AA101" s="386">
        <f t="shared" si="38"/>
        <v>34.880784290520012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0.15302561734828019</v>
      </c>
      <c r="AD101" s="231">
        <f>(INDEX(Models!$BJ101:$BT101,,AH101)*(1-AF101)+INDEX(Models!$BJ101:$BT101,,AH101+1)*AF101-ERP_i)*AE101*Ramure*Pc/MaxiM</f>
        <v>1.2667930050313902E-3</v>
      </c>
      <c r="AE101" s="305">
        <f t="shared" si="40"/>
        <v>0.7</v>
      </c>
      <c r="AF101" s="177">
        <f t="shared" si="41"/>
        <v>0.41700558251776892</v>
      </c>
      <c r="AG101" s="810">
        <f t="shared" si="49"/>
        <v>0</v>
      </c>
      <c r="AH101" s="176">
        <f t="shared" si="42"/>
        <v>6</v>
      </c>
      <c r="AI101" s="225">
        <f t="shared" si="43"/>
        <v>0.41700558251776892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25.719723299206734</v>
      </c>
      <c r="C102" s="840"/>
      <c r="D102" s="393">
        <f t="shared" si="25"/>
        <v>26.758263906629981</v>
      </c>
      <c r="E102" s="385">
        <f t="shared" si="47"/>
        <v>30.045075484755127</v>
      </c>
      <c r="F102" s="385">
        <f t="shared" si="26"/>
        <v>30.06076445015092</v>
      </c>
      <c r="G102" s="110">
        <f t="shared" si="48"/>
        <v>0.5959817697815416</v>
      </c>
      <c r="H102" s="414" t="b">
        <f>Wh_hp&gt;='2022'!Maxi_hp</f>
        <v>0</v>
      </c>
      <c r="I102" s="390">
        <f>IF(H102,Wh_hp,'2022'!Maxi_hp)</f>
        <v>51.787106415664866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3.8811957720692236E-2</v>
      </c>
      <c r="M102" s="844"/>
      <c r="N102" s="844"/>
      <c r="O102" s="48">
        <f>IF(t&lt;Tnet,'2022'!Resal+('2022'!Salim-'2022'!Resal)*(1-EXP(('2022'!Tnet-t)/('2022'!Tau_j))),Resal+(Salim-Resal)*(1-EXP((Tnet-t)/(Tau_j))))*Salcycl</f>
        <v>0.10939601665480506</v>
      </c>
      <c r="P102" s="169">
        <f>(INDEX(Models!$BJ102:$BT102,,T102)*(1-R102)+INDEX(Models!$BJ102:$BT102,,T102+1)*R102-ERP_i)*Q102*Ramure*Pc/MaxiM</f>
        <v>1.2325529694343952E-3</v>
      </c>
      <c r="Q102" s="305">
        <f t="shared" si="28"/>
        <v>0.7</v>
      </c>
      <c r="R102" s="177">
        <f t="shared" si="29"/>
        <v>0.41773580834527801</v>
      </c>
      <c r="S102" s="810">
        <f t="shared" si="30"/>
        <v>0</v>
      </c>
      <c r="T102" s="176">
        <f t="shared" si="31"/>
        <v>6</v>
      </c>
      <c r="U102" s="251">
        <f t="shared" si="32"/>
        <v>0.41773580834527801</v>
      </c>
      <c r="V102" s="383">
        <f t="shared" si="33"/>
        <v>43.124534132417622</v>
      </c>
      <c r="W102" s="402">
        <f t="shared" si="34"/>
        <v>25.719723299206734</v>
      </c>
      <c r="X102" s="157">
        <f t="shared" si="35"/>
        <v>45014</v>
      </c>
      <c r="Y102" s="385">
        <f t="shared" si="36"/>
        <v>24.458405749840221</v>
      </c>
      <c r="Z102" s="385">
        <f t="shared" si="37"/>
        <v>25.446015424662296</v>
      </c>
      <c r="AA102" s="386">
        <f t="shared" si="38"/>
        <v>30.045075484755127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0.15307200883640301</v>
      </c>
      <c r="AD102" s="231">
        <f>(INDEX(Models!$BJ102:$BT102,,AH102)*(1-AF102)+INDEX(Models!$BJ102:$BT102,,AH102+1)*AF102-ERP_i)*AE102*Ramure*Pc/MaxiM</f>
        <v>1.2325529694343952E-3</v>
      </c>
      <c r="AE102" s="305">
        <f t="shared" si="40"/>
        <v>0.7</v>
      </c>
      <c r="AF102" s="177">
        <f t="shared" si="41"/>
        <v>0.41773580834527801</v>
      </c>
      <c r="AG102" s="810">
        <f t="shared" si="49"/>
        <v>0</v>
      </c>
      <c r="AH102" s="176">
        <f t="shared" si="42"/>
        <v>6</v>
      </c>
      <c r="AI102" s="225">
        <f t="shared" si="43"/>
        <v>0.41773580834527801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7.5491187091766951</v>
      </c>
      <c r="C103" s="840"/>
      <c r="D103" s="393">
        <f t="shared" si="25"/>
        <v>7.8541284953816506</v>
      </c>
      <c r="E103" s="385">
        <f t="shared" si="47"/>
        <v>8.8197740168055407</v>
      </c>
      <c r="F103" s="385">
        <f t="shared" si="26"/>
        <v>8.8197740168055407</v>
      </c>
      <c r="G103" s="110">
        <f t="shared" si="48"/>
        <v>0.17328965481309608</v>
      </c>
      <c r="H103" s="414" t="b">
        <f>Wh_hp&gt;='2022'!Maxi_hp</f>
        <v>0</v>
      </c>
      <c r="I103" s="390">
        <f>IF(H103,Wh_hp,'2022'!Maxi_hp)</f>
        <v>50.64313114829168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3.8834325970641514E-2</v>
      </c>
      <c r="M103" s="844"/>
      <c r="N103" s="844"/>
      <c r="O103" s="48">
        <f>IF(t&lt;Tnet,'2022'!Resal+('2022'!Salim-'2022'!Resal)*(1-EXP(('2022'!Tnet-t)/('2022'!Tau_j))),Resal+(Salim-Resal)*(1-EXP((Tnet-t)/(Tau_j))))*Salcycl</f>
        <v>0.10948642443490179</v>
      </c>
      <c r="P103" s="169">
        <f>(INDEX(Models!$BJ103:$BT103,,T103)*(1-R103)+INDEX(Models!$BJ103:$BT103,,T103+1)*R103-ERP_i)*Q103*Ramure*Pc/MaxiM</f>
        <v>1.196275603738007E-3</v>
      </c>
      <c r="Q103" s="305">
        <f t="shared" si="28"/>
        <v>0.7</v>
      </c>
      <c r="R103" s="177">
        <f t="shared" si="29"/>
        <v>0.41849370782657269</v>
      </c>
      <c r="S103" s="810">
        <f t="shared" si="30"/>
        <v>0</v>
      </c>
      <c r="T103" s="176">
        <f t="shared" si="31"/>
        <v>6</v>
      </c>
      <c r="U103" s="251">
        <f t="shared" si="32"/>
        <v>0.41849370782657269</v>
      </c>
      <c r="V103" s="383">
        <f t="shared" si="33"/>
        <v>43.511471534568237</v>
      </c>
      <c r="W103" s="402">
        <f t="shared" si="34"/>
        <v>7.5491187091766951</v>
      </c>
      <c r="X103" s="157">
        <f t="shared" si="35"/>
        <v>45015</v>
      </c>
      <c r="Y103" s="385">
        <f t="shared" si="36"/>
        <v>7.1792281754940932</v>
      </c>
      <c r="Z103" s="385">
        <f t="shared" si="37"/>
        <v>7.4692931400656803</v>
      </c>
      <c r="AA103" s="386">
        <f t="shared" si="38"/>
        <v>8.8197740168055407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0.15311966884487088</v>
      </c>
      <c r="AD103" s="231">
        <f>(INDEX(Models!$BJ103:$BT103,,AH103)*(1-AF103)+INDEX(Models!$BJ103:$BT103,,AH103+1)*AF103-ERP_i)*AE103*Ramure*Pc/MaxiM</f>
        <v>1.196275603738007E-3</v>
      </c>
      <c r="AE103" s="305">
        <f t="shared" si="40"/>
        <v>0.7</v>
      </c>
      <c r="AF103" s="177">
        <f t="shared" si="41"/>
        <v>0.41849370782657269</v>
      </c>
      <c r="AG103" s="810">
        <f t="shared" si="49"/>
        <v>0</v>
      </c>
      <c r="AH103" s="176">
        <f t="shared" si="42"/>
        <v>6</v>
      </c>
      <c r="AI103" s="225">
        <f t="shared" si="43"/>
        <v>0.41849370782657269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27.171866880645766</v>
      </c>
      <c r="C104" s="840"/>
      <c r="D104" s="393">
        <f t="shared" si="25"/>
        <v>28.270359583783065</v>
      </c>
      <c r="E104" s="385">
        <f t="shared" si="47"/>
        <v>31.749385205093638</v>
      </c>
      <c r="F104" s="385">
        <f t="shared" si="26"/>
        <v>31.766153967222987</v>
      </c>
      <c r="G104" s="110">
        <f t="shared" si="48"/>
        <v>0.61870288009941443</v>
      </c>
      <c r="H104" s="414" t="b">
        <f>Wh_hp&gt;='2022'!Maxi_hp</f>
        <v>0</v>
      </c>
      <c r="I104" s="390">
        <f>IF(H104,Wh_hp,'2022'!Maxi_hp)</f>
        <v>46.771911898558628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3.885669370004885E-2</v>
      </c>
      <c r="M104" s="844"/>
      <c r="N104" s="844"/>
      <c r="O104" s="48">
        <f>IF(t&lt;Tnet,'2022'!Resal+('2022'!Salim-'2022'!Resal)*(1-EXP(('2022'!Tnet-t)/('2022'!Tau_j))),Resal+(Salim-Resal)*(1-EXP((Tnet-t)/(Tau_j))))*Salcycl</f>
        <v>0.10957773194148107</v>
      </c>
      <c r="P104" s="169">
        <f>(INDEX(Models!$BJ104:$BT104,,T104)*(1-R104)+INDEX(Models!$BJ104:$BT104,,T104+1)*R104-ERP_i)*Q104*Ramure*Pc/MaxiM</f>
        <v>1.1580221212367198E-3</v>
      </c>
      <c r="Q104" s="305">
        <f t="shared" si="28"/>
        <v>0.7</v>
      </c>
      <c r="R104" s="177">
        <f t="shared" si="29"/>
        <v>0.41928020741350414</v>
      </c>
      <c r="S104" s="810">
        <f t="shared" si="30"/>
        <v>0</v>
      </c>
      <c r="T104" s="176">
        <f t="shared" si="31"/>
        <v>6</v>
      </c>
      <c r="U104" s="251">
        <f t="shared" si="32"/>
        <v>0.41928020741350414</v>
      </c>
      <c r="V104" s="383">
        <f t="shared" si="33"/>
        <v>43.889783951764116</v>
      </c>
      <c r="W104" s="402">
        <f t="shared" si="34"/>
        <v>27.171866880645766</v>
      </c>
      <c r="X104" s="157">
        <f t="shared" si="35"/>
        <v>45016</v>
      </c>
      <c r="Y104" s="385">
        <f t="shared" si="36"/>
        <v>25.841658973680687</v>
      </c>
      <c r="Z104" s="385">
        <f t="shared" si="37"/>
        <v>26.886374596064748</v>
      </c>
      <c r="AA104" s="386">
        <f t="shared" si="38"/>
        <v>31.749385205093638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0.15316865437283189</v>
      </c>
      <c r="AD104" s="231">
        <f>(INDEX(Models!$BJ104:$BT104,,AH104)*(1-AF104)+INDEX(Models!$BJ104:$BT104,,AH104+1)*AF104-ERP_i)*AE104*Ramure*Pc/MaxiM</f>
        <v>1.1580221212367198E-3</v>
      </c>
      <c r="AE104" s="305">
        <f t="shared" si="40"/>
        <v>0.7</v>
      </c>
      <c r="AF104" s="177">
        <f t="shared" si="41"/>
        <v>0.41928020741350414</v>
      </c>
      <c r="AG104" s="810">
        <f t="shared" si="49"/>
        <v>0</v>
      </c>
      <c r="AH104" s="176">
        <f t="shared" si="42"/>
        <v>6</v>
      </c>
      <c r="AI104" s="225">
        <f t="shared" si="43"/>
        <v>0.41928020741350414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31.055690977748529</v>
      </c>
      <c r="C105" s="840"/>
      <c r="D105" s="393">
        <f t="shared" si="25"/>
        <v>32.311949219541205</v>
      </c>
      <c r="E105" s="385">
        <f t="shared" si="47"/>
        <v>36.292103517656756</v>
      </c>
      <c r="F105" s="385">
        <f t="shared" si="26"/>
        <v>36.315399013767895</v>
      </c>
      <c r="G105" s="110">
        <f t="shared" si="48"/>
        <v>0.70136257857811524</v>
      </c>
      <c r="H105" s="414" t="b">
        <f>Wh_hp&gt;='2022'!Maxi_hp</f>
        <v>0</v>
      </c>
      <c r="I105" s="390">
        <f>IF(H105,Wh_hp,'2022'!Maxi_hp)</f>
        <v>47.56351472577898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3.8879060908926344E-2</v>
      </c>
      <c r="M105" s="844"/>
      <c r="N105" s="844"/>
      <c r="O105" s="48">
        <f>IF(t&lt;Tnet,'2022'!Resal+('2022'!Salim-'2022'!Resal)*(1-EXP(('2022'!Tnet-t)/('2022'!Tau_j))),Resal+(Salim-Resal)*(1-EXP((Tnet-t)/(Tau_j))))*Salcycl</f>
        <v>0.10966998085903547</v>
      </c>
      <c r="P105" s="169">
        <f>(INDEX(Models!$BJ105:$BT105,,T105)*(1-R105)+INDEX(Models!$BJ105:$BT105,,T105+1)*R105-ERP_i)*Q105*Ramure*Pc/MaxiM</f>
        <v>1.1178422839088324E-3</v>
      </c>
      <c r="Q105" s="305">
        <f t="shared" si="28"/>
        <v>0.7</v>
      </c>
      <c r="R105" s="177">
        <f t="shared" si="29"/>
        <v>0.4200962546689323</v>
      </c>
      <c r="S105" s="810">
        <f t="shared" si="30"/>
        <v>0</v>
      </c>
      <c r="T105" s="176">
        <f t="shared" si="31"/>
        <v>6</v>
      </c>
      <c r="U105" s="251">
        <f t="shared" si="32"/>
        <v>0.4200962546689323</v>
      </c>
      <c r="V105" s="383">
        <f t="shared" si="33"/>
        <v>44.257975231725922</v>
      </c>
      <c r="W105" s="402">
        <f t="shared" si="34"/>
        <v>31.055690977748529</v>
      </c>
      <c r="X105" s="157">
        <f t="shared" si="35"/>
        <v>45017</v>
      </c>
      <c r="Y105" s="385">
        <f t="shared" si="36"/>
        <v>29.536652508955466</v>
      </c>
      <c r="Z105" s="385">
        <f t="shared" si="37"/>
        <v>30.731462927951714</v>
      </c>
      <c r="AA105" s="386">
        <f t="shared" si="38"/>
        <v>36.292103517656756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0.15321902151523645</v>
      </c>
      <c r="AD105" s="231">
        <f>(INDEX(Models!$BJ105:$BT105,,AH105)*(1-AF105)+INDEX(Models!$BJ105:$BT105,,AH105+1)*AF105-ERP_i)*AE105*Ramure*Pc/MaxiM</f>
        <v>1.1178422839088324E-3</v>
      </c>
      <c r="AE105" s="305">
        <f t="shared" si="40"/>
        <v>0.7</v>
      </c>
      <c r="AF105" s="177">
        <f t="shared" si="41"/>
        <v>0.4200962546689323</v>
      </c>
      <c r="AG105" s="810">
        <f t="shared" si="49"/>
        <v>0</v>
      </c>
      <c r="AH105" s="176">
        <f t="shared" si="42"/>
        <v>6</v>
      </c>
      <c r="AI105" s="225">
        <f t="shared" si="43"/>
        <v>0.4200962546689323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19.758604779896672</v>
      </c>
      <c r="C106" s="840"/>
      <c r="D106" s="393">
        <f t="shared" si="25"/>
        <v>20.55835410357632</v>
      </c>
      <c r="E106" s="385">
        <f t="shared" si="47"/>
        <v>23.093130261034386</v>
      </c>
      <c r="F106" s="385">
        <f t="shared" si="26"/>
        <v>23.098201956301541</v>
      </c>
      <c r="G106" s="110">
        <f t="shared" si="48"/>
        <v>0.44249429035060422</v>
      </c>
      <c r="H106" s="414" t="b">
        <f>Wh_hp&gt;='2022'!Maxi_hp</f>
        <v>0</v>
      </c>
      <c r="I106" s="390">
        <f>IF(H106,Wh_hp,'2022'!Maxi_hp)</f>
        <v>43.51711445287431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3.890142759728632E-2</v>
      </c>
      <c r="M106" s="844"/>
      <c r="N106" s="844"/>
      <c r="O106" s="48">
        <f>IF(t&lt;Tnet,'2022'!Resal+('2022'!Salim-'2022'!Resal)*(1-EXP(('2022'!Tnet-t)/('2022'!Tau_j))),Resal+(Salim-Resal)*(1-EXP((Tnet-t)/(Tau_j))))*Salcycl</f>
        <v>0.10976321221099485</v>
      </c>
      <c r="P106" s="169">
        <f>(INDEX(Models!$BJ106:$BT106,,T106)*(1-R106)+INDEX(Models!$BJ106:$BT106,,T106+1)*R106-ERP_i)*Q106*Ramure*Pc/MaxiM</f>
        <v>1.0757742390221168E-3</v>
      </c>
      <c r="Q106" s="305">
        <f t="shared" si="28"/>
        <v>0.7</v>
      </c>
      <c r="R106" s="177">
        <f t="shared" si="29"/>
        <v>0.42094281790848381</v>
      </c>
      <c r="S106" s="810">
        <f t="shared" si="30"/>
        <v>0</v>
      </c>
      <c r="T106" s="176">
        <f t="shared" si="31"/>
        <v>6</v>
      </c>
      <c r="U106" s="251">
        <f t="shared" si="32"/>
        <v>0.42094281790848381</v>
      </c>
      <c r="V106" s="383">
        <f t="shared" si="33"/>
        <v>44.614550093814323</v>
      </c>
      <c r="W106" s="402">
        <f t="shared" si="34"/>
        <v>19.758604779896672</v>
      </c>
      <c r="X106" s="157">
        <f t="shared" si="35"/>
        <v>45018</v>
      </c>
      <c r="Y106" s="385">
        <f t="shared" si="36"/>
        <v>18.792963116427259</v>
      </c>
      <c r="Z106" s="385">
        <f t="shared" si="37"/>
        <v>19.553627126347187</v>
      </c>
      <c r="AA106" s="386">
        <f t="shared" si="38"/>
        <v>23.093130261034386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0.15327082533542416</v>
      </c>
      <c r="AD106" s="231">
        <f>(INDEX(Models!$BJ106:$BT106,,AH106)*(1-AF106)+INDEX(Models!$BJ106:$BT106,,AH106+1)*AF106-ERP_i)*AE106*Ramure*Pc/MaxiM</f>
        <v>1.0757742390221168E-3</v>
      </c>
      <c r="AE106" s="305">
        <f t="shared" si="40"/>
        <v>0.7</v>
      </c>
      <c r="AF106" s="177">
        <f t="shared" si="41"/>
        <v>0.42094281790848381</v>
      </c>
      <c r="AG106" s="810">
        <f t="shared" si="49"/>
        <v>0</v>
      </c>
      <c r="AH106" s="176">
        <f t="shared" si="42"/>
        <v>6</v>
      </c>
      <c r="AI106" s="225">
        <f t="shared" si="43"/>
        <v>0.42094281790848381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20.702048749331187</v>
      </c>
      <c r="C107" s="840"/>
      <c r="D107" s="393">
        <f t="shared" si="25"/>
        <v>21.540486191447972</v>
      </c>
      <c r="E107" s="385">
        <f t="shared" si="47"/>
        <v>24.198918010579256</v>
      </c>
      <c r="F107" s="385">
        <f t="shared" si="26"/>
        <v>24.20464168927947</v>
      </c>
      <c r="G107" s="110">
        <f t="shared" si="48"/>
        <v>0.46006850575372449</v>
      </c>
      <c r="H107" s="414" t="b">
        <f>Wh_hp&gt;='2022'!Maxi_hp</f>
        <v>0</v>
      </c>
      <c r="I107" s="390">
        <f>IF(H107,Wh_hp,'2022'!Maxi_hp)</f>
        <v>53.130196848122523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3.8923793765140879E-2</v>
      </c>
      <c r="M107" s="844"/>
      <c r="N107" s="844"/>
      <c r="O107" s="48">
        <f>IF(t&lt;Tnet,'2022'!Resal+('2022'!Salim-'2022'!Resal)*(1-EXP(('2022'!Tnet-t)/('2022'!Tau_j))),Resal+(Salim-Resal)*(1-EXP((Tnet-t)/(Tau_j))))*Salcycl</f>
        <v>0.10985746627056117</v>
      </c>
      <c r="P107" s="169">
        <f>(INDEX(Models!$BJ107:$BT107,,T107)*(1-R107)+INDEX(Models!$BJ107:$BT107,,T107+1)*R107-ERP_i)*Q107*Ramure*Pc/MaxiM</f>
        <v>1.031753940809325E-3</v>
      </c>
      <c r="Q107" s="305">
        <f t="shared" si="28"/>
        <v>0.7</v>
      </c>
      <c r="R107" s="177">
        <f t="shared" si="29"/>
        <v>0.42182088575233467</v>
      </c>
      <c r="S107" s="810">
        <f t="shared" si="30"/>
        <v>0</v>
      </c>
      <c r="T107" s="176">
        <f t="shared" si="31"/>
        <v>6</v>
      </c>
      <c r="U107" s="251">
        <f t="shared" si="32"/>
        <v>0.42182088575233467</v>
      </c>
      <c r="V107" s="383">
        <f t="shared" si="33"/>
        <v>44.96195804669901</v>
      </c>
      <c r="W107" s="402">
        <f t="shared" si="34"/>
        <v>20.702048749331187</v>
      </c>
      <c r="X107" s="157">
        <f t="shared" si="35"/>
        <v>45019</v>
      </c>
      <c r="Y107" s="385">
        <f t="shared" si="36"/>
        <v>19.691144601877969</v>
      </c>
      <c r="Z107" s="385">
        <f t="shared" si="37"/>
        <v>20.488640207856758</v>
      </c>
      <c r="AA107" s="386">
        <f t="shared" si="38"/>
        <v>24.198918010579256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0.15332411974371921</v>
      </c>
      <c r="AD107" s="231">
        <f>(INDEX(Models!$BJ107:$BT107,,AH107)*(1-AF107)+INDEX(Models!$BJ107:$BT107,,AH107+1)*AF107-ERP_i)*AE107*Ramure*Pc/MaxiM</f>
        <v>1.031753940809325E-3</v>
      </c>
      <c r="AE107" s="305">
        <f t="shared" si="40"/>
        <v>0.7</v>
      </c>
      <c r="AF107" s="177">
        <f t="shared" si="41"/>
        <v>0.42182088575233467</v>
      </c>
      <c r="AG107" s="810">
        <f t="shared" si="49"/>
        <v>0</v>
      </c>
      <c r="AH107" s="176">
        <f t="shared" si="42"/>
        <v>6</v>
      </c>
      <c r="AI107" s="225">
        <f t="shared" si="43"/>
        <v>0.42182088575233467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41.40394684785165</v>
      </c>
      <c r="C108" s="840"/>
      <c r="D108" s="393">
        <f t="shared" si="25"/>
        <v>43.081818207543051</v>
      </c>
      <c r="E108" s="385">
        <f t="shared" si="47"/>
        <v>48.403969316769832</v>
      </c>
      <c r="F108" s="385">
        <f t="shared" si="26"/>
        <v>48.445872631368303</v>
      </c>
      <c r="G108" s="110">
        <f t="shared" si="48"/>
        <v>0.91381167783512862</v>
      </c>
      <c r="H108" s="414" t="b">
        <f>Wh_hp&gt;='2022'!Maxi_hp</f>
        <v>0</v>
      </c>
      <c r="I108" s="390">
        <f>IF(H108,Wh_hp,'2022'!Maxi_hp)</f>
        <v>54.788293499905031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3.8946159412501902E-2</v>
      </c>
      <c r="M108" s="844"/>
      <c r="N108" s="844"/>
      <c r="O108" s="48">
        <f>IF(t&lt;Tnet,'2022'!Resal+('2022'!Salim-'2022'!Resal)*(1-EXP(('2022'!Tnet-t)/('2022'!Tau_j))),Resal+(Salim-Resal)*(1-EXP((Tnet-t)/(Tau_j))))*Salcycl</f>
        <v>0.10995278247527709</v>
      </c>
      <c r="P108" s="169">
        <f>(INDEX(Models!$BJ108:$BT108,,T108)*(1-R108)+INDEX(Models!$BJ108:$BT108,,T108+1)*R108-ERP_i)*Q108*Ramure*Pc/MaxiM</f>
        <v>9.8622499969831432E-4</v>
      </c>
      <c r="Q108" s="305">
        <f t="shared" si="28"/>
        <v>0.7</v>
      </c>
      <c r="R108" s="177">
        <f t="shared" si="29"/>
        <v>0.42273146658021676</v>
      </c>
      <c r="S108" s="810">
        <f t="shared" si="30"/>
        <v>0</v>
      </c>
      <c r="T108" s="176">
        <f t="shared" si="31"/>
        <v>6</v>
      </c>
      <c r="U108" s="251">
        <f t="shared" si="32"/>
        <v>0.42273146658021676</v>
      </c>
      <c r="V108" s="383">
        <f t="shared" si="33"/>
        <v>45.303559026726447</v>
      </c>
      <c r="W108" s="402">
        <f t="shared" si="34"/>
        <v>41.40394684785165</v>
      </c>
      <c r="X108" s="157">
        <f t="shared" si="35"/>
        <v>45020</v>
      </c>
      <c r="Y108" s="385">
        <f t="shared" si="36"/>
        <v>39.383812407538542</v>
      </c>
      <c r="Z108" s="385">
        <f t="shared" si="37"/>
        <v>40.979818969833133</v>
      </c>
      <c r="AA108" s="386">
        <f t="shared" si="38"/>
        <v>48.403969316769832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0.15337895738159144</v>
      </c>
      <c r="AD108" s="231">
        <f>(INDEX(Models!$BJ108:$BT108,,AH108)*(1-AF108)+INDEX(Models!$BJ108:$BT108,,AH108+1)*AF108-ERP_i)*AE108*Ramure*Pc/MaxiM</f>
        <v>9.8622499969831432E-4</v>
      </c>
      <c r="AE108" s="305">
        <f t="shared" si="40"/>
        <v>0.7</v>
      </c>
      <c r="AF108" s="177">
        <f t="shared" si="41"/>
        <v>0.42273146658021676</v>
      </c>
      <c r="AG108" s="810">
        <f t="shared" si="49"/>
        <v>0</v>
      </c>
      <c r="AH108" s="176">
        <f t="shared" si="42"/>
        <v>6</v>
      </c>
      <c r="AI108" s="225">
        <f t="shared" si="43"/>
        <v>0.42273146658021676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46.460697786777587</v>
      </c>
      <c r="C109" s="840"/>
      <c r="D109" s="393">
        <f t="shared" si="25"/>
        <v>48.344616147467143</v>
      </c>
      <c r="E109" s="385">
        <f t="shared" si="47"/>
        <v>54.32279639715285</v>
      </c>
      <c r="F109" s="385">
        <f t="shared" si="26"/>
        <v>54.373965155861015</v>
      </c>
      <c r="G109" s="110">
        <f t="shared" si="48"/>
        <v>1.0180004045115796</v>
      </c>
      <c r="H109" s="414" t="b">
        <f>Wh_hp&gt;='2022'!Maxi_hp</f>
        <v>0</v>
      </c>
      <c r="I109" s="390">
        <f>IF(H109,Wh_hp,'2022'!Maxi_hp)</f>
        <v>55.766032914356472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3.8968524539381599E-2</v>
      </c>
      <c r="M109" s="844"/>
      <c r="N109" s="844"/>
      <c r="O109" s="48">
        <f>IF(t&lt;Tnet,'2022'!Resal+('2022'!Salim-'2022'!Resal)*(1-EXP(('2022'!Tnet-t)/('2022'!Tau_j))),Resal+(Salim-Resal)*(1-EXP((Tnet-t)/(Tau_j))))*Salcycl</f>
        <v>0.11004919934495545</v>
      </c>
      <c r="P109" s="169">
        <f>(INDEX(Models!$BJ109:$BT109,,T109)*(1-R109)+INDEX(Models!$BJ109:$BT109,,T109+1)*R109-ERP_i)*Q109*Ramure*Pc/MaxiM</f>
        <v>9.4105255265992255E-4</v>
      </c>
      <c r="Q109" s="305">
        <f t="shared" si="28"/>
        <v>0.7</v>
      </c>
      <c r="R109" s="177">
        <f t="shared" si="29"/>
        <v>0.42367558788263177</v>
      </c>
      <c r="S109" s="810">
        <f t="shared" si="30"/>
        <v>0</v>
      </c>
      <c r="T109" s="176">
        <f t="shared" si="31"/>
        <v>6</v>
      </c>
      <c r="U109" s="251">
        <f t="shared" si="32"/>
        <v>0.42367558788263177</v>
      </c>
      <c r="V109" s="383">
        <f t="shared" si="33"/>
        <v>45.639174189786978</v>
      </c>
      <c r="W109" s="402">
        <f t="shared" si="34"/>
        <v>46.460697786777587</v>
      </c>
      <c r="X109" s="157">
        <f t="shared" si="35"/>
        <v>45021</v>
      </c>
      <c r="Y109" s="385">
        <f t="shared" si="36"/>
        <v>44.195681936538151</v>
      </c>
      <c r="Z109" s="385">
        <f t="shared" si="37"/>
        <v>45.987756972637492</v>
      </c>
      <c r="AA109" s="386">
        <f t="shared" si="38"/>
        <v>54.32279639715285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0.1534353895108429</v>
      </c>
      <c r="AD109" s="231">
        <f>(INDEX(Models!$BJ109:$BT109,,AH109)*(1-AF109)+INDEX(Models!$BJ109:$BT109,,AH109+1)*AF109-ERP_i)*AE109*Ramure*Pc/MaxiM</f>
        <v>9.4105255265992255E-4</v>
      </c>
      <c r="AE109" s="305">
        <f t="shared" si="40"/>
        <v>0.7</v>
      </c>
      <c r="AF109" s="177">
        <f t="shared" si="41"/>
        <v>0.42367558788263177</v>
      </c>
      <c r="AG109" s="810">
        <f t="shared" si="49"/>
        <v>0</v>
      </c>
      <c r="AH109" s="176">
        <f t="shared" si="42"/>
        <v>6</v>
      </c>
      <c r="AI109" s="225">
        <f t="shared" si="43"/>
        <v>0.42367558788263177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10.967294408830497</v>
      </c>
      <c r="C110" s="840"/>
      <c r="D110" s="393">
        <f t="shared" si="25"/>
        <v>11.412268921240559</v>
      </c>
      <c r="E110" s="385">
        <f t="shared" si="47"/>
        <v>12.82488879790295</v>
      </c>
      <c r="F110" s="385">
        <f t="shared" si="26"/>
        <v>12.82488879790295</v>
      </c>
      <c r="G110" s="110">
        <f t="shared" si="48"/>
        <v>0.2383679153826585</v>
      </c>
      <c r="H110" s="414" t="b">
        <f>Wh_hp&gt;='2022'!Maxi_hp</f>
        <v>0</v>
      </c>
      <c r="I110" s="390">
        <f>IF(H110,Wh_hp,'2022'!Maxi_hp)</f>
        <v>56.273634835365598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3.8990889145792296E-2</v>
      </c>
      <c r="M110" s="844"/>
      <c r="N110" s="844"/>
      <c r="O110" s="48">
        <f>IF(t&lt;Tnet,'2022'!Resal+('2022'!Salim-'2022'!Resal)*(1-EXP(('2022'!Tnet-t)/('2022'!Tau_j))),Resal+(Salim-Resal)*(1-EXP((Tnet-t)/(Tau_j))))*Salcycl</f>
        <v>0.11014675440253142</v>
      </c>
      <c r="P110" s="169">
        <f>(INDEX(Models!$BJ110:$BT110,,T110)*(1-R110)+INDEX(Models!$BJ110:$BT110,,T110+1)*R110-ERP_i)*Q110*Ramure*Pc/MaxiM</f>
        <v>8.9620051778440226E-4</v>
      </c>
      <c r="Q110" s="305">
        <f t="shared" si="28"/>
        <v>0.7</v>
      </c>
      <c r="R110" s="177">
        <f t="shared" si="29"/>
        <v>0.42465429550106393</v>
      </c>
      <c r="S110" s="810">
        <f t="shared" si="30"/>
        <v>0</v>
      </c>
      <c r="T110" s="176">
        <f t="shared" si="31"/>
        <v>6</v>
      </c>
      <c r="U110" s="251">
        <f t="shared" si="32"/>
        <v>0.42465429550106393</v>
      </c>
      <c r="V110" s="383">
        <f t="shared" si="33"/>
        <v>45.968709741461183</v>
      </c>
      <c r="W110" s="402">
        <f t="shared" si="34"/>
        <v>10.967294408830497</v>
      </c>
      <c r="X110" s="157">
        <f t="shared" si="35"/>
        <v>45022</v>
      </c>
      <c r="Y110" s="385">
        <f t="shared" si="36"/>
        <v>10.433053342589263</v>
      </c>
      <c r="Z110" s="385">
        <f t="shared" si="37"/>
        <v>10.856352166438551</v>
      </c>
      <c r="AA110" s="386">
        <f t="shared" si="38"/>
        <v>12.82488879790295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0.15349346590718849</v>
      </c>
      <c r="AD110" s="231">
        <f>(INDEX(Models!$BJ110:$BT110,,AH110)*(1-AF110)+INDEX(Models!$BJ110:$BT110,,AH110+1)*AF110-ERP_i)*AE110*Ramure*Pc/MaxiM</f>
        <v>8.9620051778440226E-4</v>
      </c>
      <c r="AE110" s="305">
        <f t="shared" si="40"/>
        <v>0.7</v>
      </c>
      <c r="AF110" s="177">
        <f t="shared" si="41"/>
        <v>0.42465429550106393</v>
      </c>
      <c r="AG110" s="810">
        <f t="shared" si="49"/>
        <v>0</v>
      </c>
      <c r="AH110" s="176">
        <f t="shared" si="42"/>
        <v>6</v>
      </c>
      <c r="AI110" s="225">
        <f t="shared" si="43"/>
        <v>0.42465429550106393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33.188544092592075</v>
      </c>
      <c r="C111" s="840"/>
      <c r="D111" s="393">
        <f t="shared" si="25"/>
        <v>34.535901982210817</v>
      </c>
      <c r="E111" s="385">
        <f t="shared" si="47"/>
        <v>38.815090415331262</v>
      </c>
      <c r="F111" s="385">
        <f t="shared" si="26"/>
        <v>38.834789533053488</v>
      </c>
      <c r="G111" s="110">
        <f t="shared" si="48"/>
        <v>0.71669094571049485</v>
      </c>
      <c r="H111" s="414" t="b">
        <f>Wh_hp&gt;='2022'!Maxi_hp</f>
        <v>0</v>
      </c>
      <c r="I111" s="390">
        <f>IF(H111,Wh_hp,'2022'!Maxi_hp)</f>
        <v>55.325751817582876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3.9013253231745759E-2</v>
      </c>
      <c r="M111" s="844"/>
      <c r="N111" s="844"/>
      <c r="O111" s="48">
        <f>IF(t&lt;Tnet,'2022'!Resal+('2022'!Salim-'2022'!Resal)*(1-EXP(('2022'!Tnet-t)/('2022'!Tau_j))),Resal+(Salim-Resal)*(1-EXP((Tnet-t)/(Tau_j))))*Salcycl</f>
        <v>0.11024548409734597</v>
      </c>
      <c r="P111" s="169">
        <f>(INDEX(Models!$BJ111:$BT111,,T111)*(1-R111)+INDEX(Models!$BJ111:$BT111,,T111+1)*R111-ERP_i)*Q111*Ramure*Pc/MaxiM</f>
        <v>8.5163286588822045E-4</v>
      </c>
      <c r="Q111" s="305">
        <f t="shared" si="28"/>
        <v>0.7</v>
      </c>
      <c r="R111" s="177">
        <f t="shared" si="29"/>
        <v>0.42566865274982313</v>
      </c>
      <c r="S111" s="810">
        <f t="shared" si="30"/>
        <v>0</v>
      </c>
      <c r="T111" s="176">
        <f t="shared" si="31"/>
        <v>6</v>
      </c>
      <c r="U111" s="251">
        <f t="shared" si="32"/>
        <v>0.42566865274982313</v>
      </c>
      <c r="V111" s="383">
        <f t="shared" si="33"/>
        <v>46.292072015944463</v>
      </c>
      <c r="W111" s="402">
        <f t="shared" si="34"/>
        <v>33.188544092592075</v>
      </c>
      <c r="X111" s="157">
        <f t="shared" si="35"/>
        <v>45023</v>
      </c>
      <c r="Y111" s="385">
        <f t="shared" si="36"/>
        <v>31.5731308896837</v>
      </c>
      <c r="Z111" s="385">
        <f t="shared" si="37"/>
        <v>32.854907724651156</v>
      </c>
      <c r="AA111" s="386">
        <f t="shared" si="38"/>
        <v>38.815090415331262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0.15355323475752977</v>
      </c>
      <c r="AD111" s="231">
        <f>(INDEX(Models!$BJ111:$BT111,,AH111)*(1-AF111)+INDEX(Models!$BJ111:$BT111,,AH111+1)*AF111-ERP_i)*AE111*Ramure*Pc/MaxiM</f>
        <v>8.5163286588822045E-4</v>
      </c>
      <c r="AE111" s="305">
        <f t="shared" si="40"/>
        <v>0.7</v>
      </c>
      <c r="AF111" s="177">
        <f t="shared" si="41"/>
        <v>0.42566865274982313</v>
      </c>
      <c r="AG111" s="810">
        <f t="shared" si="49"/>
        <v>0</v>
      </c>
      <c r="AH111" s="176">
        <f t="shared" si="42"/>
        <v>6</v>
      </c>
      <c r="AI111" s="225">
        <f t="shared" si="43"/>
        <v>0.42566865274982313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26.44141001980897</v>
      </c>
      <c r="C112" s="840"/>
      <c r="D112" s="393">
        <f t="shared" si="25"/>
        <v>27.515494311749453</v>
      </c>
      <c r="E112" s="385">
        <f t="shared" si="47"/>
        <v>30.928289524595062</v>
      </c>
      <c r="F112" s="385">
        <f t="shared" si="26"/>
        <v>30.937827012477829</v>
      </c>
      <c r="G112" s="110">
        <f t="shared" si="48"/>
        <v>0.56701743879535338</v>
      </c>
      <c r="H112" s="414" t="b">
        <f>Wh_hp&gt;='2022'!Maxi_hp</f>
        <v>0</v>
      </c>
      <c r="I112" s="390">
        <f>IF(H112,Wh_hp,'2022'!Maxi_hp)</f>
        <v>53.843386079314278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3.9035616797254313E-2</v>
      </c>
      <c r="M112" s="844"/>
      <c r="N112" s="844"/>
      <c r="O112" s="48">
        <f>IF(t&lt;Tnet,'2022'!Resal+('2022'!Salim-'2022'!Resal)*(1-EXP(('2022'!Tnet-t)/('2022'!Tau_j))),Resal+(Salim-Resal)*(1-EXP((Tnet-t)/(Tau_j))))*Salcycl</f>
        <v>0.1103454237303249</v>
      </c>
      <c r="P112" s="169">
        <f>(INDEX(Models!$BJ112:$BT112,,T112)*(1-R112)+INDEX(Models!$BJ112:$BT112,,T112+1)*R112-ERP_i)*Q112*Ramure*Pc/MaxiM</f>
        <v>8.0731356961024129E-4</v>
      </c>
      <c r="Q112" s="305">
        <f t="shared" si="28"/>
        <v>0.7</v>
      </c>
      <c r="R112" s="177">
        <f t="shared" si="29"/>
        <v>0.42671973941201802</v>
      </c>
      <c r="S112" s="810">
        <f t="shared" si="30"/>
        <v>0</v>
      </c>
      <c r="T112" s="176">
        <f t="shared" si="31"/>
        <v>6</v>
      </c>
      <c r="U112" s="251">
        <f t="shared" si="32"/>
        <v>0.42671973941201802</v>
      </c>
      <c r="V112" s="383">
        <f t="shared" si="33"/>
        <v>46.609167495702494</v>
      </c>
      <c r="W112" s="402">
        <f t="shared" si="34"/>
        <v>26.44141001980897</v>
      </c>
      <c r="X112" s="157">
        <f t="shared" si="35"/>
        <v>45024</v>
      </c>
      <c r="Y112" s="385">
        <f t="shared" si="36"/>
        <v>25.155403258336712</v>
      </c>
      <c r="Z112" s="385">
        <f t="shared" si="37"/>
        <v>26.177248291448265</v>
      </c>
      <c r="AA112" s="386">
        <f t="shared" si="38"/>
        <v>30.928289524595062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0.15361474256016111</v>
      </c>
      <c r="AD112" s="231">
        <f>(INDEX(Models!$BJ112:$BT112,,AH112)*(1-AF112)+INDEX(Models!$BJ112:$BT112,,AH112+1)*AF112-ERP_i)*AE112*Ramure*Pc/MaxiM</f>
        <v>8.0731356961024129E-4</v>
      </c>
      <c r="AE112" s="305">
        <f t="shared" si="40"/>
        <v>0.7</v>
      </c>
      <c r="AF112" s="177">
        <f t="shared" si="41"/>
        <v>0.42671973941201802</v>
      </c>
      <c r="AG112" s="810">
        <f t="shared" si="49"/>
        <v>0</v>
      </c>
      <c r="AH112" s="176">
        <f t="shared" si="42"/>
        <v>6</v>
      </c>
      <c r="AI112" s="225">
        <f t="shared" si="43"/>
        <v>0.42671973941201802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34.555858686316647</v>
      </c>
      <c r="C113" s="840"/>
      <c r="D113" s="393">
        <f t="shared" si="25"/>
        <v>35.960399234749637</v>
      </c>
      <c r="E113" s="385">
        <f t="shared" si="47"/>
        <v>40.425228584486938</v>
      </c>
      <c r="F113" s="385">
        <f t="shared" si="26"/>
        <v>40.444476058213958</v>
      </c>
      <c r="G113" s="110">
        <f t="shared" si="48"/>
        <v>0.73627445322585094</v>
      </c>
      <c r="H113" s="414" t="b">
        <f>Wh_hp&gt;='2022'!Maxi_hp</f>
        <v>0</v>
      </c>
      <c r="I113" s="390">
        <f>IF(H113,Wh_hp,'2022'!Maxi_hp)</f>
        <v>46.323967550802834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3.9057979842330059E-2</v>
      </c>
      <c r="M113" s="844"/>
      <c r="N113" s="844"/>
      <c r="O113" s="48">
        <f>IF(t&lt;Tnet,'2022'!Resal+('2022'!Salim-'2022'!Resal)*(1-EXP(('2022'!Tnet-t)/('2022'!Tau_j))),Resal+(Salim-Resal)*(1-EXP((Tnet-t)/(Tau_j))))*Salcycl</f>
        <v>0.11044660738048788</v>
      </c>
      <c r="P113" s="169">
        <f>(INDEX(Models!$BJ113:$BT113,,T113)*(1-R113)+INDEX(Models!$BJ113:$BT113,,T113+1)*R113-ERP_i)*Q113*Ramure*Pc/MaxiM</f>
        <v>7.6320655506358439E-4</v>
      </c>
      <c r="Q113" s="305">
        <f t="shared" si="28"/>
        <v>0.7</v>
      </c>
      <c r="R113" s="177">
        <f t="shared" si="29"/>
        <v>0.42780865060207085</v>
      </c>
      <c r="S113" s="810">
        <f t="shared" si="30"/>
        <v>0</v>
      </c>
      <c r="T113" s="176">
        <f t="shared" si="31"/>
        <v>6</v>
      </c>
      <c r="U113" s="251">
        <f t="shared" si="32"/>
        <v>0.42780865060207085</v>
      </c>
      <c r="V113" s="383">
        <f t="shared" si="33"/>
        <v>46.919902813951325</v>
      </c>
      <c r="W113" s="402">
        <f t="shared" si="34"/>
        <v>34.555858686316647</v>
      </c>
      <c r="X113" s="157">
        <f t="shared" si="35"/>
        <v>45025</v>
      </c>
      <c r="Y113" s="385">
        <f t="shared" si="36"/>
        <v>32.876477681867478</v>
      </c>
      <c r="Z113" s="385">
        <f t="shared" si="37"/>
        <v>34.212758930526476</v>
      </c>
      <c r="AA113" s="386">
        <f t="shared" si="38"/>
        <v>40.425228584486938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0.15367803402710944</v>
      </c>
      <c r="AD113" s="231">
        <f>(INDEX(Models!$BJ113:$BT113,,AH113)*(1-AF113)+INDEX(Models!$BJ113:$BT113,,AH113+1)*AF113-ERP_i)*AE113*Ramure*Pc/MaxiM</f>
        <v>7.6320655506358439E-4</v>
      </c>
      <c r="AE113" s="305">
        <f t="shared" si="40"/>
        <v>0.7</v>
      </c>
      <c r="AF113" s="177">
        <f t="shared" si="41"/>
        <v>0.42780865060207085</v>
      </c>
      <c r="AG113" s="810">
        <f t="shared" si="49"/>
        <v>0</v>
      </c>
      <c r="AH113" s="176">
        <f t="shared" si="42"/>
        <v>6</v>
      </c>
      <c r="AI113" s="225">
        <f t="shared" si="43"/>
        <v>0.42780865060207085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47.11428486126988</v>
      </c>
      <c r="C114" s="840"/>
      <c r="D114" s="393">
        <f t="shared" si="25"/>
        <v>49.030410073329264</v>
      </c>
      <c r="E114" s="385">
        <f t="shared" si="47"/>
        <v>55.124356274303715</v>
      </c>
      <c r="F114" s="385">
        <f t="shared" si="26"/>
        <v>55.163957043711534</v>
      </c>
      <c r="G114" s="110">
        <f t="shared" si="48"/>
        <v>0.99767140510455476</v>
      </c>
      <c r="H114" s="414" t="b">
        <f>Wh_hp&gt;='2022'!Maxi_hp</f>
        <v>0</v>
      </c>
      <c r="I114" s="390">
        <f>IF(H114,Wh_hp,'2022'!Maxi_hp)</f>
        <v>55.540517907478055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3.9080342366985099E-2</v>
      </c>
      <c r="M114" s="844"/>
      <c r="N114" s="844"/>
      <c r="O114" s="48">
        <f>IF(t&lt;Tnet,'2022'!Resal+('2022'!Salim-'2022'!Resal)*(1-EXP(('2022'!Tnet-t)/('2022'!Tau_j))),Resal+(Salim-Resal)*(1-EXP((Tnet-t)/(Tau_j))))*Salcycl</f>
        <v>0.11054906783220161</v>
      </c>
      <c r="P114" s="169">
        <f>(INDEX(Models!$BJ114:$BT114,,T114)*(1-R114)+INDEX(Models!$BJ114:$BT114,,T114+1)*R114-ERP_i)*Q114*Ramure*Pc/MaxiM</f>
        <v>7.2026753748638864E-4</v>
      </c>
      <c r="Q114" s="305">
        <f t="shared" si="28"/>
        <v>0.7</v>
      </c>
      <c r="R114" s="177">
        <f t="shared" si="29"/>
        <v>0.42893649548714485</v>
      </c>
      <c r="S114" s="810">
        <f t="shared" si="30"/>
        <v>0</v>
      </c>
      <c r="T114" s="176">
        <f t="shared" si="31"/>
        <v>6</v>
      </c>
      <c r="U114" s="251">
        <f t="shared" si="32"/>
        <v>0.42893649548714485</v>
      </c>
      <c r="V114" s="383">
        <f t="shared" si="33"/>
        <v>47.224137895964155</v>
      </c>
      <c r="W114" s="402">
        <f t="shared" si="34"/>
        <v>47.11428486126988</v>
      </c>
      <c r="X114" s="157">
        <f t="shared" si="35"/>
        <v>45026</v>
      </c>
      <c r="Y114" s="385">
        <f t="shared" si="36"/>
        <v>44.826290873487046</v>
      </c>
      <c r="Z114" s="385">
        <f t="shared" si="37"/>
        <v>46.649363989394701</v>
      </c>
      <c r="AA114" s="386">
        <f t="shared" si="38"/>
        <v>55.124356274303715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0.1537431519877836</v>
      </c>
      <c r="AD114" s="231">
        <f>(INDEX(Models!$BJ114:$BT114,,AH114)*(1-AF114)+INDEX(Models!$BJ114:$BT114,,AH114+1)*AF114-ERP_i)*AE114*Ramure*Pc/MaxiM</f>
        <v>7.2026753748638864E-4</v>
      </c>
      <c r="AE114" s="305">
        <f t="shared" si="40"/>
        <v>0.7</v>
      </c>
      <c r="AF114" s="177">
        <f t="shared" si="41"/>
        <v>0.42893649548714485</v>
      </c>
      <c r="AG114" s="810">
        <f t="shared" si="49"/>
        <v>0</v>
      </c>
      <c r="AH114" s="176">
        <f t="shared" si="42"/>
        <v>6</v>
      </c>
      <c r="AI114" s="225">
        <f t="shared" si="43"/>
        <v>0.42893649548714485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39.15191191893954</v>
      </c>
      <c r="C115" s="840"/>
      <c r="D115" s="393">
        <f t="shared" si="25"/>
        <v>40.745157778095596</v>
      </c>
      <c r="E115" s="385">
        <f t="shared" si="47"/>
        <v>45.814682331546045</v>
      </c>
      <c r="F115" s="385">
        <f t="shared" si="26"/>
        <v>45.837987384110562</v>
      </c>
      <c r="G115" s="110">
        <f t="shared" si="48"/>
        <v>0.82373286902684706</v>
      </c>
      <c r="H115" s="414" t="b">
        <f>Wh_hp&gt;='2022'!Maxi_hp</f>
        <v>0</v>
      </c>
      <c r="I115" s="390">
        <f>IF(H115,Wh_hp,'2022'!Maxi_hp)</f>
        <v>56.677954021859833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3.9102704371231534E-2</v>
      </c>
      <c r="M115" s="844"/>
      <c r="N115" s="844"/>
      <c r="O115" s="48">
        <f>IF(t&lt;Tnet,'2022'!Resal+('2022'!Salim-'2022'!Resal)*(1-EXP(('2022'!Tnet-t)/('2022'!Tau_j))),Resal+(Salim-Resal)*(1-EXP((Tnet-t)/(Tau_j))))*Salcycl</f>
        <v>0.1106528365025853</v>
      </c>
      <c r="P115" s="169">
        <f>(INDEX(Models!$BJ115:$BT115,,T115)*(1-R115)+INDEX(Models!$BJ115:$BT115,,T115+1)*R115-ERP_i)*Q115*Ramure*Pc/MaxiM</f>
        <v>6.7935368387314924E-4</v>
      </c>
      <c r="Q115" s="305">
        <f t="shared" si="28"/>
        <v>0.7</v>
      </c>
      <c r="R115" s="177">
        <f t="shared" si="29"/>
        <v>0.43010439585986254</v>
      </c>
      <c r="S115" s="810">
        <f t="shared" si="30"/>
        <v>0</v>
      </c>
      <c r="T115" s="176">
        <f t="shared" si="31"/>
        <v>6</v>
      </c>
      <c r="U115" s="251">
        <f t="shared" si="32"/>
        <v>0.43010439585986254</v>
      </c>
      <c r="V115" s="383">
        <f t="shared" si="33"/>
        <v>47.521736346883088</v>
      </c>
      <c r="W115" s="402">
        <f t="shared" si="34"/>
        <v>39.15191191893954</v>
      </c>
      <c r="X115" s="157">
        <f t="shared" si="35"/>
        <v>45027</v>
      </c>
      <c r="Y115" s="385">
        <f t="shared" si="36"/>
        <v>37.251989246937306</v>
      </c>
      <c r="Z115" s="385">
        <f t="shared" si="37"/>
        <v>38.767919752090947</v>
      </c>
      <c r="AA115" s="386">
        <f t="shared" si="38"/>
        <v>45.814682331546045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0.15381013729310519</v>
      </c>
      <c r="AD115" s="231">
        <f>(INDEX(Models!$BJ115:$BT115,,AH115)*(1-AF115)+INDEX(Models!$BJ115:$BT115,,AH115+1)*AF115-ERP_i)*AE115*Ramure*Pc/MaxiM</f>
        <v>6.7935368387314924E-4</v>
      </c>
      <c r="AE115" s="305">
        <f t="shared" si="40"/>
        <v>0.7</v>
      </c>
      <c r="AF115" s="177">
        <f t="shared" si="41"/>
        <v>0.43010439585986254</v>
      </c>
      <c r="AG115" s="810">
        <f t="shared" si="49"/>
        <v>0</v>
      </c>
      <c r="AH115" s="176">
        <f t="shared" si="42"/>
        <v>6</v>
      </c>
      <c r="AI115" s="225">
        <f t="shared" si="43"/>
        <v>0.43010439585986254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34.283068489703602</v>
      </c>
      <c r="C116" s="840"/>
      <c r="D116" s="393">
        <f t="shared" si="25"/>
        <v>35.67901219133379</v>
      </c>
      <c r="E116" s="385">
        <f t="shared" si="47"/>
        <v>40.122947318177097</v>
      </c>
      <c r="F116" s="385">
        <f t="shared" si="26"/>
        <v>40.138261211879303</v>
      </c>
      <c r="G116" s="110">
        <f t="shared" si="48"/>
        <v>0.71684423272681297</v>
      </c>
      <c r="H116" s="414" t="b">
        <f>Wh_hp&gt;='2022'!Maxi_hp</f>
        <v>0</v>
      </c>
      <c r="I116" s="390">
        <f>IF(H116,Wh_hp,'2022'!Maxi_hp)</f>
        <v>57.166150894542305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3.9125065855081353E-2</v>
      </c>
      <c r="M116" s="844"/>
      <c r="N116" s="844"/>
      <c r="O116" s="48">
        <f>IF(t&lt;Tnet,'2022'!Resal+('2022'!Salim-'2022'!Resal)*(1-EXP(('2022'!Tnet-t)/('2022'!Tau_j))),Resal+(Salim-Resal)*(1-EXP((Tnet-t)/(Tau_j))))*Salcycl</f>
        <v>0.11075794336848359</v>
      </c>
      <c r="P116" s="169">
        <f>(INDEX(Models!$BJ116:$BT116,,T116)*(1-R116)+INDEX(Models!$BJ116:$BT116,,T116+1)*R116-ERP_i)*Q116*Ramure*Pc/MaxiM</f>
        <v>6.404096819137248E-4</v>
      </c>
      <c r="Q116" s="305">
        <f t="shared" si="28"/>
        <v>0.7</v>
      </c>
      <c r="R116" s="177">
        <f t="shared" si="29"/>
        <v>0.4313134845547652</v>
      </c>
      <c r="S116" s="810">
        <f t="shared" si="30"/>
        <v>0</v>
      </c>
      <c r="T116" s="176">
        <f t="shared" si="31"/>
        <v>6</v>
      </c>
      <c r="U116" s="251">
        <f t="shared" si="32"/>
        <v>0.4313134845547652</v>
      </c>
      <c r="V116" s="383">
        <f t="shared" si="33"/>
        <v>47.812604606224696</v>
      </c>
      <c r="W116" s="402">
        <f t="shared" si="34"/>
        <v>34.283068489703602</v>
      </c>
      <c r="X116" s="157">
        <f t="shared" si="35"/>
        <v>45028</v>
      </c>
      <c r="Y116" s="385">
        <f t="shared" si="36"/>
        <v>32.62061549233583</v>
      </c>
      <c r="Z116" s="385">
        <f t="shared" si="37"/>
        <v>33.948867155500182</v>
      </c>
      <c r="AA116" s="386">
        <f t="shared" si="38"/>
        <v>40.122947318177097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0.15387902871930453</v>
      </c>
      <c r="AD116" s="231">
        <f>(INDEX(Models!$BJ116:$BT116,,AH116)*(1-AF116)+INDEX(Models!$BJ116:$BT116,,AH116+1)*AF116-ERP_i)*AE116*Ramure*Pc/MaxiM</f>
        <v>6.404096819137248E-4</v>
      </c>
      <c r="AE116" s="305">
        <f t="shared" si="40"/>
        <v>0.7</v>
      </c>
      <c r="AF116" s="177">
        <f t="shared" si="41"/>
        <v>0.4313134845547652</v>
      </c>
      <c r="AG116" s="810">
        <f t="shared" si="49"/>
        <v>0</v>
      </c>
      <c r="AH116" s="176">
        <f t="shared" si="42"/>
        <v>6</v>
      </c>
      <c r="AI116" s="225">
        <f t="shared" si="43"/>
        <v>0.4313134845547652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7.5982711548586837</v>
      </c>
      <c r="C117" s="840"/>
      <c r="D117" s="393">
        <f t="shared" si="25"/>
        <v>7.9078428542895525</v>
      </c>
      <c r="E117" s="385">
        <f t="shared" si="47"/>
        <v>8.8938548906696209</v>
      </c>
      <c r="F117" s="385">
        <f t="shared" si="26"/>
        <v>8.8938548906696209</v>
      </c>
      <c r="G117" s="110">
        <f t="shared" si="48"/>
        <v>0.15788389842394179</v>
      </c>
      <c r="H117" s="414" t="b">
        <f>Wh_hp&gt;='2022'!Maxi_hp</f>
        <v>0</v>
      </c>
      <c r="I117" s="390">
        <f>IF(H117,Wh_hp,'2022'!Maxi_hp)</f>
        <v>56.753271585996224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3.9147426818546882E-2</v>
      </c>
      <c r="M117" s="844"/>
      <c r="N117" s="844"/>
      <c r="O117" s="48">
        <f>IF(t&lt;Tnet,'2022'!Resal+('2022'!Salim-'2022'!Resal)*(1-EXP(('2022'!Tnet-t)/('2022'!Tau_j))),Resal+(Salim-Resal)*(1-EXP((Tnet-t)/(Tau_j))))*Salcycl</f>
        <v>0.11086441689244067</v>
      </c>
      <c r="P117" s="169">
        <f>(INDEX(Models!$BJ117:$BT117,,T117)*(1-R117)+INDEX(Models!$BJ117:$BT117,,T117+1)*R117-ERP_i)*Q117*Ramure*Pc/MaxiM</f>
        <v>6.0338343698967479E-4</v>
      </c>
      <c r="Q117" s="305">
        <f t="shared" si="28"/>
        <v>0.7</v>
      </c>
      <c r="R117" s="177">
        <f t="shared" si="29"/>
        <v>0.43256490370110245</v>
      </c>
      <c r="S117" s="810">
        <f t="shared" si="30"/>
        <v>0</v>
      </c>
      <c r="T117" s="176">
        <f t="shared" si="31"/>
        <v>6</v>
      </c>
      <c r="U117" s="251">
        <f t="shared" si="32"/>
        <v>0.43256490370110245</v>
      </c>
      <c r="V117" s="383">
        <f t="shared" si="33"/>
        <v>48.096649244775456</v>
      </c>
      <c r="W117" s="402">
        <f t="shared" si="34"/>
        <v>7.5982711548586837</v>
      </c>
      <c r="X117" s="157">
        <f t="shared" si="35"/>
        <v>45029</v>
      </c>
      <c r="Y117" s="385">
        <f t="shared" si="36"/>
        <v>7.2300765762255237</v>
      </c>
      <c r="Z117" s="385">
        <f t="shared" si="37"/>
        <v>7.5246471498600576</v>
      </c>
      <c r="AA117" s="386">
        <f t="shared" si="38"/>
        <v>8.8938548906696209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0.15394986287059559</v>
      </c>
      <c r="AD117" s="231">
        <f>(INDEX(Models!$BJ117:$BT117,,AH117)*(1-AF117)+INDEX(Models!$BJ117:$BT117,,AH117+1)*AF117-ERP_i)*AE117*Ramure*Pc/MaxiM</f>
        <v>6.0338343698967479E-4</v>
      </c>
      <c r="AE117" s="305">
        <f t="shared" si="40"/>
        <v>0.7</v>
      </c>
      <c r="AF117" s="177">
        <f t="shared" si="41"/>
        <v>0.43256490370110245</v>
      </c>
      <c r="AG117" s="810">
        <f t="shared" si="49"/>
        <v>0</v>
      </c>
      <c r="AH117" s="176">
        <f t="shared" si="42"/>
        <v>6</v>
      </c>
      <c r="AI117" s="225">
        <f t="shared" si="43"/>
        <v>0.43256490370110245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37.250133186035541</v>
      </c>
      <c r="C118" s="840"/>
      <c r="D118" s="393">
        <f t="shared" si="25"/>
        <v>38.768694710247402</v>
      </c>
      <c r="E118" s="385">
        <f t="shared" si="47"/>
        <v>43.607970831746663</v>
      </c>
      <c r="F118" s="385">
        <f t="shared" si="26"/>
        <v>43.62461633531256</v>
      </c>
      <c r="G118" s="110">
        <f t="shared" si="48"/>
        <v>0.7699042666774325</v>
      </c>
      <c r="H118" s="414" t="b">
        <f>Wh_hp&gt;='2022'!Maxi_hp</f>
        <v>0</v>
      </c>
      <c r="I118" s="390">
        <f>IF(H118,Wh_hp,'2022'!Maxi_hp)</f>
        <v>57.09243105824325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3.916978726164011E-2</v>
      </c>
      <c r="M118" s="844"/>
      <c r="N118" s="844"/>
      <c r="O118" s="48">
        <f>IF(t&lt;Tnet,'2022'!Resal+('2022'!Salim-'2022'!Resal)*(1-EXP(('2022'!Tnet-t)/('2022'!Tau_j))),Resal+(Salim-Resal)*(1-EXP((Tnet-t)/(Tau_j))))*Salcycl</f>
        <v>0.11097228394714168</v>
      </c>
      <c r="P118" s="169">
        <f>(INDEX(Models!$BJ118:$BT118,,T118)*(1-R118)+INDEX(Models!$BJ118:$BT118,,T118+1)*R118-ERP_i)*Q118*Ramure*Pc/MaxiM</f>
        <v>5.6822598680954283E-4</v>
      </c>
      <c r="Q118" s="305">
        <f t="shared" si="28"/>
        <v>0.7</v>
      </c>
      <c r="R118" s="177">
        <f t="shared" si="29"/>
        <v>0.43385980280475328</v>
      </c>
      <c r="S118" s="810">
        <f t="shared" si="30"/>
        <v>0</v>
      </c>
      <c r="T118" s="176">
        <f t="shared" si="31"/>
        <v>6</v>
      </c>
      <c r="U118" s="251">
        <f t="shared" si="32"/>
        <v>0.43385980280475328</v>
      </c>
      <c r="V118" s="383">
        <f t="shared" si="33"/>
        <v>48.373776964325565</v>
      </c>
      <c r="W118" s="402">
        <f t="shared" si="34"/>
        <v>37.250133186035541</v>
      </c>
      <c r="X118" s="157">
        <f t="shared" si="35"/>
        <v>45030</v>
      </c>
      <c r="Y118" s="385">
        <f t="shared" si="36"/>
        <v>35.446328043402517</v>
      </c>
      <c r="Z118" s="385">
        <f t="shared" si="37"/>
        <v>36.891354553038781</v>
      </c>
      <c r="AA118" s="386">
        <f t="shared" si="38"/>
        <v>43.607970831746663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0.15402267407999132</v>
      </c>
      <c r="AD118" s="231">
        <f>(INDEX(Models!$BJ118:$BT118,,AH118)*(1-AF118)+INDEX(Models!$BJ118:$BT118,,AH118+1)*AF118-ERP_i)*AE118*Ramure*Pc/MaxiM</f>
        <v>5.6822598680954283E-4</v>
      </c>
      <c r="AE118" s="305">
        <f t="shared" si="40"/>
        <v>0.7</v>
      </c>
      <c r="AF118" s="177">
        <f t="shared" si="41"/>
        <v>0.43385980280475328</v>
      </c>
      <c r="AG118" s="810">
        <f t="shared" si="49"/>
        <v>0</v>
      </c>
      <c r="AH118" s="176">
        <f t="shared" si="42"/>
        <v>6</v>
      </c>
      <c r="AI118" s="225">
        <f t="shared" si="43"/>
        <v>0.43385980280475328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41.185893990958604</v>
      </c>
      <c r="C119" s="840"/>
      <c r="D119" s="393">
        <f t="shared" si="25"/>
        <v>42.865900679583561</v>
      </c>
      <c r="E119" s="385">
        <f t="shared" si="47"/>
        <v>48.222535634615156</v>
      </c>
      <c r="F119" s="385">
        <f t="shared" si="26"/>
        <v>48.242688351688997</v>
      </c>
      <c r="G119" s="110">
        <f t="shared" si="48"/>
        <v>0.84658243669758293</v>
      </c>
      <c r="H119" s="414" t="b">
        <f>Wh_hp&gt;='2022'!Maxi_hp</f>
        <v>0</v>
      </c>
      <c r="I119" s="390">
        <f>IF(H119,Wh_hp,'2022'!Maxi_hp)</f>
        <v>57.996745654334866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3.9192147184373027E-2</v>
      </c>
      <c r="M119" s="844"/>
      <c r="N119" s="844"/>
      <c r="O119" s="48">
        <f>IF(t&lt;Tnet,'2022'!Resal+('2022'!Salim-'2022'!Resal)*(1-EXP(('2022'!Tnet-t)/('2022'!Tau_j))),Resal+(Salim-Resal)*(1-EXP((Tnet-t)/(Tau_j))))*Salcycl</f>
        <v>0.11108156973783197</v>
      </c>
      <c r="P119" s="169">
        <f>(INDEX(Models!$BJ119:$BT119,,T119)*(1-R119)+INDEX(Models!$BJ119:$BT119,,T119+1)*R119-ERP_i)*Q119*Ramure*Pc/MaxiM</f>
        <v>5.3489142202633414E-4</v>
      </c>
      <c r="Q119" s="305">
        <f t="shared" si="28"/>
        <v>0.7</v>
      </c>
      <c r="R119" s="177">
        <f t="shared" si="29"/>
        <v>0.43519933665237848</v>
      </c>
      <c r="S119" s="810">
        <f t="shared" si="30"/>
        <v>0</v>
      </c>
      <c r="T119" s="176">
        <f t="shared" si="31"/>
        <v>6</v>
      </c>
      <c r="U119" s="251">
        <f t="shared" si="32"/>
        <v>0.43519933665237848</v>
      </c>
      <c r="V119" s="383">
        <f t="shared" si="33"/>
        <v>48.643894612750969</v>
      </c>
      <c r="W119" s="402">
        <f t="shared" si="34"/>
        <v>41.185893990958604</v>
      </c>
      <c r="X119" s="157">
        <f t="shared" si="35"/>
        <v>45031</v>
      </c>
      <c r="Y119" s="385">
        <f t="shared" si="36"/>
        <v>39.192854754804593</v>
      </c>
      <c r="Z119" s="385">
        <f t="shared" si="37"/>
        <v>40.791563724162707</v>
      </c>
      <c r="AA119" s="386">
        <f t="shared" si="38"/>
        <v>48.222535634615156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0.1540974943075856</v>
      </c>
      <c r="AD119" s="231">
        <f>(INDEX(Models!$BJ119:$BT119,,AH119)*(1-AF119)+INDEX(Models!$BJ119:$BT119,,AH119+1)*AF119-ERP_i)*AE119*Ramure*Pc/MaxiM</f>
        <v>5.3489142202633414E-4</v>
      </c>
      <c r="AE119" s="305">
        <f t="shared" si="40"/>
        <v>0.7</v>
      </c>
      <c r="AF119" s="177">
        <f t="shared" si="41"/>
        <v>0.43519933665237848</v>
      </c>
      <c r="AG119" s="810">
        <f t="shared" si="49"/>
        <v>0</v>
      </c>
      <c r="AH119" s="176">
        <f t="shared" si="42"/>
        <v>6</v>
      </c>
      <c r="AI119" s="225">
        <f t="shared" si="43"/>
        <v>0.43519933665237848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44.664664507057935</v>
      </c>
      <c r="C120" s="840"/>
      <c r="D120" s="393">
        <f t="shared" si="25"/>
        <v>46.487654958636313</v>
      </c>
      <c r="E120" s="385">
        <f t="shared" si="47"/>
        <v>52.30338895523056</v>
      </c>
      <c r="F120" s="385">
        <f t="shared" si="26"/>
        <v>52.32646311068757</v>
      </c>
      <c r="G120" s="110">
        <f t="shared" si="48"/>
        <v>0.91320179953593583</v>
      </c>
      <c r="H120" s="414" t="b">
        <f>Wh_hp&gt;='2022'!Maxi_hp</f>
        <v>0</v>
      </c>
      <c r="I120" s="390">
        <f>IF(H120,Wh_hp,'2022'!Maxi_hp)</f>
        <v>52.327517429818045</v>
      </c>
      <c r="J120" s="85">
        <f>IF(H120,An,'2022'!An_max)</f>
        <v>2022</v>
      </c>
      <c r="K120" s="197">
        <f t="shared" si="27"/>
        <v>45032</v>
      </c>
      <c r="L120" s="147">
        <f>IF(t&lt;Tvie,1-EXP((T0-t)*PertePVj)+'2022'!Pspv,1-EXP((T0-t)*PertePVj)+Pspv)</f>
        <v>3.9214506586758069E-2</v>
      </c>
      <c r="M120" s="844"/>
      <c r="N120" s="844"/>
      <c r="O120" s="48">
        <f>IF(t&lt;Tnet,'2022'!Resal+('2022'!Salim-'2022'!Resal)*(1-EXP(('2022'!Tnet-t)/('2022'!Tau_j))),Resal+(Salim-Resal)*(1-EXP((Tnet-t)/(Tau_j))))*Salcycl</f>
        <v>0.11119229772228081</v>
      </c>
      <c r="P120" s="169">
        <f>(INDEX(Models!$BJ120:$BT120,,T120)*(1-R120)+INDEX(Models!$BJ120:$BT120,,T120+1)*R120-ERP_i)*Q120*Ramure*Pc/MaxiM</f>
        <v>5.0333681279686069E-4</v>
      </c>
      <c r="Q120" s="305">
        <f t="shared" si="28"/>
        <v>0.7</v>
      </c>
      <c r="R120" s="177">
        <f t="shared" si="29"/>
        <v>0.4365846630312924</v>
      </c>
      <c r="S120" s="810">
        <f t="shared" si="30"/>
        <v>0</v>
      </c>
      <c r="T120" s="176">
        <f t="shared" si="31"/>
        <v>6</v>
      </c>
      <c r="U120" s="251">
        <f t="shared" si="32"/>
        <v>0.4365846630312924</v>
      </c>
      <c r="V120" s="383">
        <f t="shared" si="33"/>
        <v>48.906909183588894</v>
      </c>
      <c r="W120" s="402">
        <f t="shared" si="34"/>
        <v>44.664664507057935</v>
      </c>
      <c r="X120" s="157">
        <f t="shared" si="35"/>
        <v>45032</v>
      </c>
      <c r="Y120" s="385">
        <f t="shared" si="36"/>
        <v>42.504715762826457</v>
      </c>
      <c r="Z120" s="385">
        <f t="shared" si="37"/>
        <v>44.239547801482907</v>
      </c>
      <c r="AA120" s="386">
        <f t="shared" si="38"/>
        <v>52.30338895523056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0.15417435303570773</v>
      </c>
      <c r="AD120" s="231">
        <f>(INDEX(Models!$BJ120:$BT120,,AH120)*(1-AF120)+INDEX(Models!$BJ120:$BT120,,AH120+1)*AF120-ERP_i)*AE120*Ramure*Pc/MaxiM</f>
        <v>5.0333681279686069E-4</v>
      </c>
      <c r="AE120" s="305">
        <f t="shared" si="40"/>
        <v>0.7</v>
      </c>
      <c r="AF120" s="177">
        <f t="shared" si="41"/>
        <v>0.4365846630312924</v>
      </c>
      <c r="AG120" s="810">
        <f t="shared" si="49"/>
        <v>0</v>
      </c>
      <c r="AH120" s="176">
        <f t="shared" si="42"/>
        <v>6</v>
      </c>
      <c r="AI120" s="225">
        <f t="shared" si="43"/>
        <v>0.4365846630312924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48.888189885092565</v>
      </c>
      <c r="C121" s="840"/>
      <c r="D121" s="393">
        <f t="shared" si="25"/>
        <v>50.88474789256739</v>
      </c>
      <c r="E121" s="385">
        <f t="shared" si="47"/>
        <v>57.257797854224918</v>
      </c>
      <c r="F121" s="385">
        <f t="shared" si="26"/>
        <v>57.284706994814918</v>
      </c>
      <c r="G121" s="110">
        <f t="shared" si="48"/>
        <v>0.99441134186312252</v>
      </c>
      <c r="H121" s="414" t="b">
        <f>Wh_hp&gt;='2022'!Maxi_hp</f>
        <v>0</v>
      </c>
      <c r="I121" s="390">
        <f>IF(H121,Wh_hp,'2022'!Maxi_hp)</f>
        <v>57.284777251716619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3.9236865468807003E-2</v>
      </c>
      <c r="M121" s="844"/>
      <c r="N121" s="844"/>
      <c r="O121" s="48">
        <f>IF(t&lt;Tnet,'2022'!Resal+('2022'!Salim-'2022'!Resal)*(1-EXP(('2022'!Tnet-t)/('2022'!Tau_j))),Resal+(Salim-Resal)*(1-EXP((Tnet-t)/(Tau_j))))*Salcycl</f>
        <v>0.11130448952792339</v>
      </c>
      <c r="P121" s="169">
        <f>(INDEX(Models!$BJ121:$BT121,,T121)*(1-R121)+INDEX(Models!$BJ121:$BT121,,T121+1)*R121-ERP_i)*Q121*Ramure*Pc/MaxiM</f>
        <v>4.7352184092930706E-4</v>
      </c>
      <c r="Q121" s="305">
        <f t="shared" si="28"/>
        <v>0.7</v>
      </c>
      <c r="R121" s="177">
        <f t="shared" si="29"/>
        <v>0.43801694025903382</v>
      </c>
      <c r="S121" s="810">
        <f t="shared" si="30"/>
        <v>0</v>
      </c>
      <c r="T121" s="176">
        <f t="shared" si="31"/>
        <v>6</v>
      </c>
      <c r="U121" s="251">
        <f t="shared" si="32"/>
        <v>0.43801694025903382</v>
      </c>
      <c r="V121" s="383">
        <f t="shared" si="33"/>
        <v>49.162758953529476</v>
      </c>
      <c r="W121" s="402">
        <f t="shared" si="34"/>
        <v>48.888189885092565</v>
      </c>
      <c r="X121" s="157">
        <f t="shared" si="35"/>
        <v>45033</v>
      </c>
      <c r="Y121" s="385">
        <f t="shared" si="36"/>
        <v>46.525526340187014</v>
      </c>
      <c r="Z121" s="385">
        <f t="shared" si="37"/>
        <v>48.425594892219998</v>
      </c>
      <c r="AA121" s="386">
        <f t="shared" si="38"/>
        <v>57.257797854224918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0.15425327716045259</v>
      </c>
      <c r="AD121" s="231">
        <f>(INDEX(Models!$BJ121:$BT121,,AH121)*(1-AF121)+INDEX(Models!$BJ121:$BT121,,AH121+1)*AF121-ERP_i)*AE121*Ramure*Pc/MaxiM</f>
        <v>4.7352184092930706E-4</v>
      </c>
      <c r="AE121" s="305">
        <f t="shared" si="40"/>
        <v>0.7</v>
      </c>
      <c r="AF121" s="177">
        <f t="shared" si="41"/>
        <v>0.43801694025903382</v>
      </c>
      <c r="AG121" s="810">
        <f t="shared" si="49"/>
        <v>0</v>
      </c>
      <c r="AH121" s="176">
        <f t="shared" si="42"/>
        <v>6</v>
      </c>
      <c r="AI121" s="225">
        <f t="shared" si="43"/>
        <v>0.43801694025903382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38.552405281583482</v>
      </c>
      <c r="C122" s="840"/>
      <c r="D122" s="393">
        <f t="shared" si="25"/>
        <v>40.127791218869959</v>
      </c>
      <c r="E122" s="385">
        <f t="shared" si="47"/>
        <v>45.159364767808682</v>
      </c>
      <c r="F122" s="385">
        <f t="shared" si="26"/>
        <v>45.173185635755701</v>
      </c>
      <c r="G122" s="110">
        <f t="shared" si="48"/>
        <v>0.78012248187509847</v>
      </c>
      <c r="H122" s="414" t="b">
        <f>Wh_hp&gt;='2022'!Maxi_hp</f>
        <v>0</v>
      </c>
      <c r="I122" s="390">
        <f>IF(H122,Wh_hp,'2022'!Maxi_hp)</f>
        <v>45.175246196580972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3.9259223830532153E-2</v>
      </c>
      <c r="M122" s="844"/>
      <c r="N122" s="844"/>
      <c r="O122" s="48">
        <f>IF(t&lt;Tnet,'2022'!Resal+('2022'!Salim-'2022'!Resal)*(1-EXP(('2022'!Tnet-t)/('2022'!Tau_j))),Resal+(Salim-Resal)*(1-EXP((Tnet-t)/(Tau_j))))*Salcycl</f>
        <v>0.11141816486589327</v>
      </c>
      <c r="P122" s="169">
        <f>(INDEX(Models!$BJ122:$BT122,,T122)*(1-R122)+INDEX(Models!$BJ122:$BT122,,T122+1)*R122-ERP_i)*Q122*Ramure*Pc/MaxiM</f>
        <v>4.4596601293894278E-4</v>
      </c>
      <c r="Q122" s="305">
        <f t="shared" si="28"/>
        <v>0.7</v>
      </c>
      <c r="R122" s="177">
        <f t="shared" si="29"/>
        <v>0.43949732451721218</v>
      </c>
      <c r="S122" s="810">
        <f t="shared" si="30"/>
        <v>0</v>
      </c>
      <c r="T122" s="176">
        <f t="shared" si="31"/>
        <v>6</v>
      </c>
      <c r="U122" s="251">
        <f t="shared" si="32"/>
        <v>0.43949732451721218</v>
      </c>
      <c r="V122" s="383">
        <f t="shared" si="33"/>
        <v>49.411479201764394</v>
      </c>
      <c r="W122" s="402">
        <f t="shared" si="34"/>
        <v>38.552405281583482</v>
      </c>
      <c r="X122" s="157">
        <f t="shared" si="35"/>
        <v>45034</v>
      </c>
      <c r="Y122" s="385">
        <f t="shared" si="36"/>
        <v>36.690427219730914</v>
      </c>
      <c r="Z122" s="385">
        <f t="shared" si="37"/>
        <v>38.189726229813921</v>
      </c>
      <c r="AA122" s="386">
        <f t="shared" si="38"/>
        <v>45.159364767808682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0.15433429087919734</v>
      </c>
      <c r="AD122" s="231">
        <f>(INDEX(Models!$BJ122:$BT122,,AH122)*(1-AF122)+INDEX(Models!$BJ122:$BT122,,AH122+1)*AF122-ERP_i)*AE122*Ramure*Pc/MaxiM</f>
        <v>4.4596601293894278E-4</v>
      </c>
      <c r="AE122" s="305">
        <f t="shared" si="40"/>
        <v>0.7</v>
      </c>
      <c r="AF122" s="177">
        <f t="shared" si="41"/>
        <v>0.43949732451721218</v>
      </c>
      <c r="AG122" s="810">
        <f t="shared" si="49"/>
        <v>0</v>
      </c>
      <c r="AH122" s="176">
        <f t="shared" si="42"/>
        <v>6</v>
      </c>
      <c r="AI122" s="225">
        <f t="shared" si="43"/>
        <v>0.43949732451721218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9.0078672602153578</v>
      </c>
      <c r="C123" s="840"/>
      <c r="D123" s="393">
        <f t="shared" si="25"/>
        <v>9.3761783768982152</v>
      </c>
      <c r="E123" s="385">
        <f t="shared" si="47"/>
        <v>10.55321354671119</v>
      </c>
      <c r="F123" s="385">
        <f t="shared" si="26"/>
        <v>10.55321354671119</v>
      </c>
      <c r="G123" s="110">
        <f t="shared" si="48"/>
        <v>0.18133946757008582</v>
      </c>
      <c r="H123" s="414" t="b">
        <f>Wh_hp&gt;='2022'!Maxi_hp</f>
        <v>0</v>
      </c>
      <c r="I123" s="390">
        <f>IF(H123,Wh_hp,'2022'!Maxi_hp)</f>
        <v>58.078197981437626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3.928158167194562E-2</v>
      </c>
      <c r="M123" s="844"/>
      <c r="N123" s="844"/>
      <c r="O123" s="48">
        <f>IF(t&lt;Tnet,'2022'!Resal+('2022'!Salim-'2022'!Resal)*(1-EXP(('2022'!Tnet-t)/('2022'!Tau_j))),Resal+(Salim-Resal)*(1-EXP((Tnet-t)/(Tau_j))))*Salcycl</f>
        <v>0.1115333414417438</v>
      </c>
      <c r="P123" s="169">
        <f>(INDEX(Models!$BJ123:$BT123,,T123)*(1-R123)+INDEX(Models!$BJ123:$BT123,,T123+1)*R123-ERP_i)*Q123*Ramure*Pc/MaxiM</f>
        <v>4.2014174164460366E-4</v>
      </c>
      <c r="Q123" s="305">
        <f t="shared" si="28"/>
        <v>0.7</v>
      </c>
      <c r="R123" s="177">
        <f t="shared" si="29"/>
        <v>0.44102696698492166</v>
      </c>
      <c r="S123" s="810">
        <f t="shared" si="30"/>
        <v>0</v>
      </c>
      <c r="T123" s="176">
        <f t="shared" si="31"/>
        <v>6</v>
      </c>
      <c r="U123" s="251">
        <f t="shared" si="32"/>
        <v>0.44102696698492166</v>
      </c>
      <c r="V123" s="383">
        <f t="shared" si="33"/>
        <v>49.653188022602762</v>
      </c>
      <c r="W123" s="402">
        <f t="shared" si="34"/>
        <v>9.0078672602153578</v>
      </c>
      <c r="X123" s="157">
        <f t="shared" si="35"/>
        <v>45035</v>
      </c>
      <c r="Y123" s="385">
        <f t="shared" si="36"/>
        <v>8.5730799289878643</v>
      </c>
      <c r="Z123" s="385">
        <f t="shared" si="37"/>
        <v>8.9236135848292175</v>
      </c>
      <c r="AA123" s="386">
        <f t="shared" si="38"/>
        <v>10.55321354671119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0.15441741557383923</v>
      </c>
      <c r="AD123" s="231">
        <f>(INDEX(Models!$BJ123:$BT123,,AH123)*(1-AF123)+INDEX(Models!$BJ123:$BT123,,AH123+1)*AF123-ERP_i)*AE123*Ramure*Pc/MaxiM</f>
        <v>4.2014174164460366E-4</v>
      </c>
      <c r="AE123" s="305">
        <f t="shared" si="40"/>
        <v>0.7</v>
      </c>
      <c r="AF123" s="177">
        <f t="shared" si="41"/>
        <v>0.44102696698492166</v>
      </c>
      <c r="AG123" s="810">
        <f t="shared" si="49"/>
        <v>0</v>
      </c>
      <c r="AH123" s="176">
        <f t="shared" si="42"/>
        <v>6</v>
      </c>
      <c r="AI123" s="225">
        <f t="shared" si="43"/>
        <v>0.44102696698492166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9.4491872611102981</v>
      </c>
      <c r="C124" s="840"/>
      <c r="D124" s="393">
        <f t="shared" si="25"/>
        <v>9.8357718373553649</v>
      </c>
      <c r="E124" s="385">
        <f t="shared" si="47"/>
        <v>11.071956124674099</v>
      </c>
      <c r="F124" s="385">
        <f t="shared" si="26"/>
        <v>11.071956124674099</v>
      </c>
      <c r="G124" s="110">
        <f t="shared" si="48"/>
        <v>0.18933308825846651</v>
      </c>
      <c r="H124" s="414" t="b">
        <f>Wh_hp&gt;='2022'!Maxi_hp</f>
        <v>0</v>
      </c>
      <c r="I124" s="390">
        <f>IF(H124,Wh_hp,'2022'!Maxi_hp)</f>
        <v>49.816269691728465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3.9303938993059395E-2</v>
      </c>
      <c r="M124" s="844"/>
      <c r="N124" s="844"/>
      <c r="O124" s="48">
        <f>IF(t&lt;Tnet,'2022'!Resal+('2022'!Salim-'2022'!Resal)*(1-EXP(('2022'!Tnet-t)/('2022'!Tau_j))),Resal+(Salim-Resal)*(1-EXP((Tnet-t)/(Tau_j))))*Salcycl</f>
        <v>0.11165003486275293</v>
      </c>
      <c r="P124" s="169">
        <f>(INDEX(Models!$BJ124:$BT124,,T124)*(1-R124)+INDEX(Models!$BJ124:$BT124,,T124+1)*R124-ERP_i)*Q124*Ramure*Pc/MaxiM</f>
        <v>3.9601822181381622E-4</v>
      </c>
      <c r="Q124" s="305">
        <f t="shared" si="28"/>
        <v>0.7</v>
      </c>
      <c r="R124" s="177">
        <f t="shared" si="29"/>
        <v>0.44260701076785702</v>
      </c>
      <c r="S124" s="810">
        <f t="shared" si="30"/>
        <v>0</v>
      </c>
      <c r="T124" s="176">
        <f t="shared" si="31"/>
        <v>6</v>
      </c>
      <c r="U124" s="251">
        <f t="shared" si="32"/>
        <v>0.44260701076785702</v>
      </c>
      <c r="V124" s="383">
        <f t="shared" si="33"/>
        <v>49.887979421109932</v>
      </c>
      <c r="W124" s="402">
        <f t="shared" si="34"/>
        <v>9.4491872611102981</v>
      </c>
      <c r="X124" s="157">
        <f t="shared" si="35"/>
        <v>45036</v>
      </c>
      <c r="Y124" s="385">
        <f t="shared" si="36"/>
        <v>8.993373013345348</v>
      </c>
      <c r="Z124" s="385">
        <f t="shared" si="37"/>
        <v>9.3613093447255995</v>
      </c>
      <c r="AA124" s="386">
        <f t="shared" si="38"/>
        <v>11.071956124674099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0.15450266968962106</v>
      </c>
      <c r="AD124" s="231">
        <f>(INDEX(Models!$BJ124:$BT124,,AH124)*(1-AF124)+INDEX(Models!$BJ124:$BT124,,AH124+1)*AF124-ERP_i)*AE124*Ramure*Pc/MaxiM</f>
        <v>3.9601822181381622E-4</v>
      </c>
      <c r="AE124" s="305">
        <f t="shared" si="40"/>
        <v>0.7</v>
      </c>
      <c r="AF124" s="177">
        <f t="shared" si="41"/>
        <v>0.44260701076785702</v>
      </c>
      <c r="AG124" s="810">
        <f t="shared" si="49"/>
        <v>0</v>
      </c>
      <c r="AH124" s="176">
        <f t="shared" si="42"/>
        <v>6</v>
      </c>
      <c r="AI124" s="225">
        <f t="shared" si="43"/>
        <v>0.44260701076785702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9.1449154799454213</v>
      </c>
      <c r="C125" s="840"/>
      <c r="D125" s="393">
        <f t="shared" si="25"/>
        <v>9.5192732349248956</v>
      </c>
      <c r="E125" s="385">
        <f t="shared" si="47"/>
        <v>10.717105447388422</v>
      </c>
      <c r="F125" s="385">
        <f t="shared" si="26"/>
        <v>10.717105447388422</v>
      </c>
      <c r="G125" s="110">
        <f t="shared" si="48"/>
        <v>0.18240699208591427</v>
      </c>
      <c r="H125" s="414" t="b">
        <f>Wh_hp&gt;='2022'!Maxi_hp</f>
        <v>0</v>
      </c>
      <c r="I125" s="390">
        <f>IF(H125,Wh_hp,'2022'!Maxi_hp)</f>
        <v>54.888327904191918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3.9326295793885579E-2</v>
      </c>
      <c r="M125" s="844"/>
      <c r="N125" s="844"/>
      <c r="O125" s="48">
        <f>IF(t&lt;Tnet,'2022'!Resal+('2022'!Salim-'2022'!Resal)*(1-EXP(('2022'!Tnet-t)/('2022'!Tau_j))),Resal+(Salim-Resal)*(1-EXP((Tnet-t)/(Tau_j))))*Salcycl</f>
        <v>0.11176825854180779</v>
      </c>
      <c r="P125" s="169">
        <f>(INDEX(Models!$BJ125:$BT125,,T125)*(1-R125)+INDEX(Models!$BJ125:$BT125,,T125+1)*R125-ERP_i)*Q125*Ramure*Pc/MaxiM</f>
        <v>3.7356887541953923E-4</v>
      </c>
      <c r="Q125" s="305">
        <f t="shared" si="28"/>
        <v>0.7</v>
      </c>
      <c r="R125" s="177">
        <f t="shared" si="29"/>
        <v>0.44423858762023549</v>
      </c>
      <c r="S125" s="810">
        <f t="shared" si="30"/>
        <v>0</v>
      </c>
      <c r="T125" s="176">
        <f t="shared" si="31"/>
        <v>6</v>
      </c>
      <c r="U125" s="251">
        <f t="shared" si="32"/>
        <v>0.44423858762023549</v>
      </c>
      <c r="V125" s="383">
        <f t="shared" si="33"/>
        <v>50.115947418551237</v>
      </c>
      <c r="W125" s="402">
        <f t="shared" si="34"/>
        <v>9.1449154799454213</v>
      </c>
      <c r="X125" s="157">
        <f t="shared" si="35"/>
        <v>45037</v>
      </c>
      <c r="Y125" s="385">
        <f t="shared" si="36"/>
        <v>8.7040374798810216</v>
      </c>
      <c r="Z125" s="385">
        <f t="shared" si="37"/>
        <v>9.060347380980831</v>
      </c>
      <c r="AA125" s="386">
        <f t="shared" si="38"/>
        <v>10.717105447388422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0.15459006860955307</v>
      </c>
      <c r="AD125" s="231">
        <f>(INDEX(Models!$BJ125:$BT125,,AH125)*(1-AF125)+INDEX(Models!$BJ125:$BT125,,AH125+1)*AF125-ERP_i)*AE125*Ramure*Pc/MaxiM</f>
        <v>3.7356887541953923E-4</v>
      </c>
      <c r="AE125" s="305">
        <f t="shared" si="40"/>
        <v>0.7</v>
      </c>
      <c r="AF125" s="177">
        <f t="shared" si="41"/>
        <v>0.44423858762023549</v>
      </c>
      <c r="AG125" s="810">
        <f t="shared" si="49"/>
        <v>0</v>
      </c>
      <c r="AH125" s="176">
        <f t="shared" si="42"/>
        <v>6</v>
      </c>
      <c r="AI125" s="225">
        <f t="shared" si="43"/>
        <v>0.44423858762023549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26.413014513462119</v>
      </c>
      <c r="C126" s="840"/>
      <c r="D126" s="393">
        <f t="shared" si="25"/>
        <v>27.494901839776258</v>
      </c>
      <c r="E126" s="385">
        <f t="shared" si="47"/>
        <v>30.95882340328896</v>
      </c>
      <c r="F126" s="385">
        <f t="shared" si="26"/>
        <v>30.962329890319442</v>
      </c>
      <c r="G126" s="110">
        <f t="shared" si="48"/>
        <v>0.5245960172617552</v>
      </c>
      <c r="H126" s="414" t="b">
        <f>Wh_hp&gt;='2022'!Maxi_hp</f>
        <v>0</v>
      </c>
      <c r="I126" s="390">
        <f>IF(H126,Wh_hp,'2022'!Maxi_hp)</f>
        <v>59.567608044722562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3.9348652074436385E-2</v>
      </c>
      <c r="M126" s="844"/>
      <c r="N126" s="844"/>
      <c r="O126" s="48">
        <f>IF(t&lt;Tnet,'2022'!Resal+('2022'!Salim-'2022'!Resal)*(1-EXP(('2022'!Tnet-t)/('2022'!Tau_j))),Resal+(Salim-Resal)*(1-EXP((Tnet-t)/(Tau_j))))*Salcycl</f>
        <v>0.11188802359797385</v>
      </c>
      <c r="P126" s="169">
        <f>(INDEX(Models!$BJ126:$BT126,,T126)*(1-R126)+INDEX(Models!$BJ126:$BT126,,T126+1)*R126-ERP_i)*Q126*Ramure*Pc/MaxiM</f>
        <v>3.5276996912807706E-4</v>
      </c>
      <c r="Q126" s="305">
        <f t="shared" si="28"/>
        <v>0.7</v>
      </c>
      <c r="R126" s="177">
        <f t="shared" si="29"/>
        <v>0.44592281445774146</v>
      </c>
      <c r="S126" s="810">
        <f t="shared" si="30"/>
        <v>0</v>
      </c>
      <c r="T126" s="176">
        <f t="shared" si="31"/>
        <v>6</v>
      </c>
      <c r="U126" s="251">
        <f t="shared" si="32"/>
        <v>0.44592281445774146</v>
      </c>
      <c r="V126" s="383">
        <f t="shared" si="33"/>
        <v>50.337186113287842</v>
      </c>
      <c r="W126" s="402">
        <f t="shared" si="34"/>
        <v>26.413014513462119</v>
      </c>
      <c r="X126" s="157">
        <f t="shared" si="35"/>
        <v>45038</v>
      </c>
      <c r="Y126" s="385">
        <f t="shared" si="36"/>
        <v>25.140365110728094</v>
      </c>
      <c r="Z126" s="385">
        <f t="shared" si="37"/>
        <v>26.170124223545152</v>
      </c>
      <c r="AA126" s="386">
        <f t="shared" si="38"/>
        <v>30.95882340328896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0.15467962452458942</v>
      </c>
      <c r="AD126" s="231">
        <f>(INDEX(Models!$BJ126:$BT126,,AH126)*(1-AF126)+INDEX(Models!$BJ126:$BT126,,AH126+1)*AF126-ERP_i)*AE126*Ramure*Pc/MaxiM</f>
        <v>3.5276996912807706E-4</v>
      </c>
      <c r="AE126" s="305">
        <f t="shared" si="40"/>
        <v>0.7</v>
      </c>
      <c r="AF126" s="177">
        <f t="shared" si="41"/>
        <v>0.44592281445774146</v>
      </c>
      <c r="AG126" s="810">
        <f t="shared" si="49"/>
        <v>0</v>
      </c>
      <c r="AH126" s="176">
        <f t="shared" si="42"/>
        <v>6</v>
      </c>
      <c r="AI126" s="225">
        <f t="shared" si="43"/>
        <v>0.44592281445774146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8.8790434637380518</v>
      </c>
      <c r="C127" s="840"/>
      <c r="D127" s="393">
        <f t="shared" si="25"/>
        <v>9.2429476271838507</v>
      </c>
      <c r="E127" s="385">
        <f t="shared" si="47"/>
        <v>10.408834271088036</v>
      </c>
      <c r="F127" s="385">
        <f t="shared" si="26"/>
        <v>10.408834271088036</v>
      </c>
      <c r="G127" s="110">
        <f t="shared" si="48"/>
        <v>0.17558392023031644</v>
      </c>
      <c r="H127" s="414" t="b">
        <f>Wh_hp&gt;='2022'!Maxi_hp</f>
        <v>0</v>
      </c>
      <c r="I127" s="390">
        <f>IF(H127,Wh_hp,'2022'!Maxi_hp)</f>
        <v>59.226386677752629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3.9371007834723915E-2</v>
      </c>
      <c r="M127" s="844"/>
      <c r="N127" s="844"/>
      <c r="O127" s="48">
        <f>IF(t&lt;Tnet,'2022'!Resal+('2022'!Salim-'2022'!Resal)*(1-EXP(('2022'!Tnet-t)/('2022'!Tau_j))),Resal+(Salim-Resal)*(1-EXP((Tnet-t)/(Tau_j))))*Salcycl</f>
        <v>0.11200933875396557</v>
      </c>
      <c r="P127" s="169">
        <f>(INDEX(Models!$BJ127:$BT127,,T127)*(1-R127)+INDEX(Models!$BJ127:$BT127,,T127+1)*R127-ERP_i)*Q127*Ramure*Pc/MaxiM</f>
        <v>3.3359959271737601E-4</v>
      </c>
      <c r="Q127" s="305">
        <f t="shared" si="28"/>
        <v>0.7</v>
      </c>
      <c r="R127" s="177">
        <f t="shared" si="29"/>
        <v>0.44766078966096817</v>
      </c>
      <c r="S127" s="810">
        <f t="shared" si="30"/>
        <v>0</v>
      </c>
      <c r="T127" s="176">
        <f t="shared" si="31"/>
        <v>6</v>
      </c>
      <c r="U127" s="251">
        <f t="shared" si="32"/>
        <v>0.44766078966096817</v>
      </c>
      <c r="V127" s="383">
        <f t="shared" si="33"/>
        <v>50.551789747101672</v>
      </c>
      <c r="W127" s="402">
        <f t="shared" si="34"/>
        <v>8.8790434637380518</v>
      </c>
      <c r="X127" s="157">
        <f t="shared" si="35"/>
        <v>45039</v>
      </c>
      <c r="Y127" s="385">
        <f t="shared" si="36"/>
        <v>8.4514649540001034</v>
      </c>
      <c r="Z127" s="385">
        <f t="shared" si="37"/>
        <v>8.7978449775394978</v>
      </c>
      <c r="AA127" s="386">
        <f t="shared" si="38"/>
        <v>10.408834271088036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0.15477134629987171</v>
      </c>
      <c r="AD127" s="231">
        <f>(INDEX(Models!$BJ127:$BT127,,AH127)*(1-AF127)+INDEX(Models!$BJ127:$BT127,,AH127+1)*AF127-ERP_i)*AE127*Ramure*Pc/MaxiM</f>
        <v>3.3359959271737601E-4</v>
      </c>
      <c r="AE127" s="305">
        <f t="shared" si="40"/>
        <v>0.7</v>
      </c>
      <c r="AF127" s="177">
        <f t="shared" si="41"/>
        <v>0.44766078966096817</v>
      </c>
      <c r="AG127" s="810">
        <f t="shared" si="49"/>
        <v>0</v>
      </c>
      <c r="AH127" s="176">
        <f t="shared" si="42"/>
        <v>6</v>
      </c>
      <c r="AI127" s="225">
        <f t="shared" si="43"/>
        <v>0.44766078966096817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30.544693463053761</v>
      </c>
      <c r="C128" s="840"/>
      <c r="D128" s="393">
        <f t="shared" si="25"/>
        <v>31.797295884632678</v>
      </c>
      <c r="E128" s="385">
        <f t="shared" si="47"/>
        <v>35.813097683045946</v>
      </c>
      <c r="F128" s="385">
        <f t="shared" si="26"/>
        <v>35.817984141512071</v>
      </c>
      <c r="G128" s="110">
        <f t="shared" si="48"/>
        <v>0.6016409596707073</v>
      </c>
      <c r="H128" s="414" t="b">
        <f>Wh_hp&gt;='2022'!Maxi_hp</f>
        <v>0</v>
      </c>
      <c r="I128" s="390">
        <f>IF(H128,Wh_hp,'2022'!Maxi_hp)</f>
        <v>54.494579426141378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3.9393363074760268E-2</v>
      </c>
      <c r="M128" s="844"/>
      <c r="N128" s="844"/>
      <c r="O128" s="48">
        <f>IF(t&lt;Tnet,'2022'!Resal+('2022'!Salim-'2022'!Resal)*(1-EXP(('2022'!Tnet-t)/('2022'!Tau_j))),Resal+(Salim-Resal)*(1-EXP((Tnet-t)/(Tau_j))))*Salcycl</f>
        <v>0.11213221023084988</v>
      </c>
      <c r="P128" s="169">
        <f>(INDEX(Models!$BJ128:$BT128,,T128)*(1-R128)+INDEX(Models!$BJ128:$BT128,,T128+1)*R128-ERP_i)*Q128*Ramure*Pc/MaxiM</f>
        <v>3.164789353961346E-4</v>
      </c>
      <c r="Q128" s="305">
        <f t="shared" si="28"/>
        <v>0.7</v>
      </c>
      <c r="R128" s="177">
        <f t="shared" si="29"/>
        <v>0.44945358917023337</v>
      </c>
      <c r="S128" s="810">
        <f t="shared" si="30"/>
        <v>0</v>
      </c>
      <c r="T128" s="176">
        <f t="shared" si="31"/>
        <v>6</v>
      </c>
      <c r="U128" s="251">
        <f t="shared" si="32"/>
        <v>0.44945358917023337</v>
      </c>
      <c r="V128" s="383">
        <f t="shared" si="33"/>
        <v>50.759830295733956</v>
      </c>
      <c r="W128" s="402">
        <f t="shared" si="34"/>
        <v>30.544693463053761</v>
      </c>
      <c r="X128" s="157">
        <f t="shared" si="35"/>
        <v>45040</v>
      </c>
      <c r="Y128" s="385">
        <f t="shared" si="36"/>
        <v>29.074579004740052</v>
      </c>
      <c r="Z128" s="385">
        <f t="shared" si="37"/>
        <v>30.266893738943438</v>
      </c>
      <c r="AA128" s="386">
        <f t="shared" si="38"/>
        <v>35.813097683045946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0.15486523933750929</v>
      </c>
      <c r="AD128" s="231">
        <f>(INDEX(Models!$BJ128:$BT128,,AH128)*(1-AF128)+INDEX(Models!$BJ128:$BT128,,AH128+1)*AF128-ERP_i)*AE128*Ramure*Pc/MaxiM</f>
        <v>3.164789353961346E-4</v>
      </c>
      <c r="AE128" s="305">
        <f t="shared" si="40"/>
        <v>0.7</v>
      </c>
      <c r="AF128" s="177">
        <f t="shared" si="41"/>
        <v>0.44945358917023337</v>
      </c>
      <c r="AG128" s="810">
        <f t="shared" si="49"/>
        <v>0</v>
      </c>
      <c r="AH128" s="176">
        <f t="shared" si="42"/>
        <v>6</v>
      </c>
      <c r="AI128" s="225">
        <f t="shared" si="43"/>
        <v>0.44945358917023337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45.773300257236102</v>
      </c>
      <c r="C129" s="840"/>
      <c r="D129" s="393">
        <f t="shared" si="25"/>
        <v>47.651519086012335</v>
      </c>
      <c r="E129" s="385">
        <f t="shared" si="47"/>
        <v>53.677133866781013</v>
      </c>
      <c r="F129" s="385">
        <f t="shared" si="26"/>
        <v>53.690918114454497</v>
      </c>
      <c r="G129" s="110">
        <f t="shared" si="48"/>
        <v>0.89815534602653835</v>
      </c>
      <c r="H129" s="414" t="b">
        <f>Wh_hp&gt;='2022'!Maxi_hp</f>
        <v>0</v>
      </c>
      <c r="I129" s="390">
        <f>IF(H129,Wh_hp,'2022'!Maxi_hp)</f>
        <v>58.750852702335024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3.9415717794557548E-2</v>
      </c>
      <c r="M129" s="844"/>
      <c r="N129" s="844"/>
      <c r="O129" s="48">
        <f>IF(t&lt;Tnet,'2022'!Resal+('2022'!Salim-'2022'!Resal)*(1-EXP(('2022'!Tnet-t)/('2022'!Tau_j))),Resal+(Salim-Resal)*(1-EXP((Tnet-t)/(Tau_j))))*Salcycl</f>
        <v>0.11225664164043106</v>
      </c>
      <c r="P129" s="169">
        <f>(INDEX(Models!$BJ129:$BT129,,T129)*(1-R129)+INDEX(Models!$BJ129:$BT129,,T129+1)*R129-ERP_i)*Q129*Ramure*Pc/MaxiM</f>
        <v>3.0042618893015799E-4</v>
      </c>
      <c r="Q129" s="305">
        <f t="shared" si="28"/>
        <v>0.7</v>
      </c>
      <c r="R129" s="177">
        <f t="shared" si="29"/>
        <v>0.45130226237420601</v>
      </c>
      <c r="S129" s="810">
        <f t="shared" si="30"/>
        <v>0</v>
      </c>
      <c r="T129" s="176">
        <f t="shared" si="31"/>
        <v>6</v>
      </c>
      <c r="U129" s="251">
        <f t="shared" si="32"/>
        <v>0.45130226237420601</v>
      </c>
      <c r="V129" s="383">
        <f t="shared" si="33"/>
        <v>50.961451133527383</v>
      </c>
      <c r="W129" s="402">
        <f t="shared" si="34"/>
        <v>45.773300257236102</v>
      </c>
      <c r="X129" s="157">
        <f t="shared" si="35"/>
        <v>45041</v>
      </c>
      <c r="Y129" s="385">
        <f t="shared" si="36"/>
        <v>43.571387531090757</v>
      </c>
      <c r="Z129" s="385">
        <f t="shared" si="37"/>
        <v>45.359255130693512</v>
      </c>
      <c r="AA129" s="386">
        <f t="shared" si="38"/>
        <v>53.677133866781013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0.15496130543652503</v>
      </c>
      <c r="AD129" s="231">
        <f>(INDEX(Models!$BJ129:$BT129,,AH129)*(1-AF129)+INDEX(Models!$BJ129:$BT129,,AH129+1)*AF129-ERP_i)*AE129*Ramure*Pc/MaxiM</f>
        <v>3.0042618893015799E-4</v>
      </c>
      <c r="AE129" s="305">
        <f t="shared" si="40"/>
        <v>0.7</v>
      </c>
      <c r="AF129" s="177">
        <f t="shared" si="41"/>
        <v>0.45130226237420601</v>
      </c>
      <c r="AG129" s="810">
        <f t="shared" si="49"/>
        <v>0</v>
      </c>
      <c r="AH129" s="176">
        <f t="shared" si="42"/>
        <v>6</v>
      </c>
      <c r="AI129" s="225">
        <f t="shared" si="43"/>
        <v>0.45130226237420601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49.798904132103836</v>
      </c>
      <c r="C130" s="840"/>
      <c r="D130" s="393">
        <f t="shared" si="25"/>
        <v>51.843512302727241</v>
      </c>
      <c r="E130" s="385">
        <f t="shared" si="47"/>
        <v>58.407501116283576</v>
      </c>
      <c r="F130" s="385">
        <f t="shared" si="26"/>
        <v>58.423544507321374</v>
      </c>
      <c r="G130" s="110">
        <f t="shared" si="48"/>
        <v>0.97344666815701064</v>
      </c>
      <c r="H130" s="414" t="b">
        <f>Wh_hp&gt;='2022'!Maxi_hp</f>
        <v>0</v>
      </c>
      <c r="I130" s="390">
        <f>IF(H130,Wh_hp,'2022'!Maxi_hp)</f>
        <v>58.42375193086324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3.9438071994127744E-2</v>
      </c>
      <c r="M130" s="844"/>
      <c r="N130" s="844"/>
      <c r="O130" s="48">
        <f>IF(t&lt;Tnet,'2022'!Resal+('2022'!Salim-'2022'!Resal)*(1-EXP(('2022'!Tnet-t)/('2022'!Tau_j))),Resal+(Salim-Resal)*(1-EXP((Tnet-t)/(Tau_j))))*Salcycl</f>
        <v>0.11238263387587979</v>
      </c>
      <c r="P130" s="169">
        <f>(INDEX(Models!$BJ130:$BT130,,T130)*(1-R130)+INDEX(Models!$BJ130:$BT130,,T130+1)*R130-ERP_i)*Q130*Ramure*Pc/MaxiM</f>
        <v>2.8542782137218E-4</v>
      </c>
      <c r="Q130" s="305">
        <f t="shared" si="28"/>
        <v>0.7</v>
      </c>
      <c r="R130" s="177">
        <f t="shared" si="29"/>
        <v>0.45320782779649321</v>
      </c>
      <c r="S130" s="810">
        <f t="shared" si="30"/>
        <v>0</v>
      </c>
      <c r="T130" s="176">
        <f t="shared" si="31"/>
        <v>6</v>
      </c>
      <c r="U130" s="251">
        <f t="shared" si="32"/>
        <v>0.45320782779649321</v>
      </c>
      <c r="V130" s="383">
        <f t="shared" si="33"/>
        <v>51.156747095596039</v>
      </c>
      <c r="W130" s="402">
        <f t="shared" si="34"/>
        <v>49.798904132103836</v>
      </c>
      <c r="X130" s="157">
        <f t="shared" si="35"/>
        <v>45042</v>
      </c>
      <c r="Y130" s="385">
        <f t="shared" si="36"/>
        <v>47.404557908331135</v>
      </c>
      <c r="Z130" s="385">
        <f t="shared" si="37"/>
        <v>49.350860705819414</v>
      </c>
      <c r="AA130" s="386">
        <f t="shared" si="38"/>
        <v>58.407501116283576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0.15505954265075106</v>
      </c>
      <c r="AD130" s="231">
        <f>(INDEX(Models!$BJ130:$BT130,,AH130)*(1-AF130)+INDEX(Models!$BJ130:$BT130,,AH130+1)*AF130-ERP_i)*AE130*Ramure*Pc/MaxiM</f>
        <v>2.8542782137218E-4</v>
      </c>
      <c r="AE130" s="305">
        <f t="shared" si="40"/>
        <v>0.7</v>
      </c>
      <c r="AF130" s="177">
        <f t="shared" si="41"/>
        <v>0.45320782779649321</v>
      </c>
      <c r="AG130" s="810">
        <f t="shared" si="49"/>
        <v>0</v>
      </c>
      <c r="AH130" s="176">
        <f t="shared" si="42"/>
        <v>6</v>
      </c>
      <c r="AI130" s="225">
        <f t="shared" si="43"/>
        <v>0.45320782779649321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36.327415561834037</v>
      </c>
      <c r="C131" s="840"/>
      <c r="D131" s="393">
        <f t="shared" si="25"/>
        <v>37.819801008516521</v>
      </c>
      <c r="E131" s="385">
        <f t="shared" si="47"/>
        <v>42.614349336021668</v>
      </c>
      <c r="F131" s="385">
        <f t="shared" si="26"/>
        <v>42.621085065283545</v>
      </c>
      <c r="G131" s="110">
        <f t="shared" si="48"/>
        <v>0.70742465449311787</v>
      </c>
      <c r="H131" s="414" t="b">
        <f>Wh_hp&gt;='2022'!Maxi_hp</f>
        <v>0</v>
      </c>
      <c r="I131" s="390">
        <f>IF(H131,Wh_hp,'2022'!Maxi_hp)</f>
        <v>42.622666963582361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3.9460425673483068E-2</v>
      </c>
      <c r="M131" s="844"/>
      <c r="N131" s="844"/>
      <c r="O131" s="48">
        <f>IF(t&lt;Tnet,'2022'!Resal+('2022'!Salim-'2022'!Resal)*(1-EXP(('2022'!Tnet-t)/('2022'!Tau_j))),Resal+(Salim-Resal)*(1-EXP((Tnet-t)/(Tau_j))))*Salcycl</f>
        <v>0.11251018500128417</v>
      </c>
      <c r="P131" s="169">
        <f>(INDEX(Models!$BJ131:$BT131,,T131)*(1-R131)+INDEX(Models!$BJ131:$BT131,,T131+1)*R131-ERP_i)*Q131*Ramure*Pc/MaxiM</f>
        <v>2.7147216171953726E-4</v>
      </c>
      <c r="Q131" s="305">
        <f t="shared" si="28"/>
        <v>0.7</v>
      </c>
      <c r="R131" s="177">
        <f t="shared" si="29"/>
        <v>0.45517126858620116</v>
      </c>
      <c r="S131" s="810">
        <f t="shared" si="30"/>
        <v>0</v>
      </c>
      <c r="T131" s="176">
        <f t="shared" si="31"/>
        <v>6</v>
      </c>
      <c r="U131" s="251">
        <f t="shared" si="32"/>
        <v>0.45517126858620116</v>
      </c>
      <c r="V131" s="383">
        <f t="shared" si="33"/>
        <v>51.345813142493668</v>
      </c>
      <c r="W131" s="402">
        <f t="shared" si="34"/>
        <v>36.327415561834037</v>
      </c>
      <c r="X131" s="157">
        <f t="shared" si="35"/>
        <v>45043</v>
      </c>
      <c r="Y131" s="385">
        <f t="shared" si="36"/>
        <v>34.581642783159545</v>
      </c>
      <c r="Z131" s="385">
        <f t="shared" si="37"/>
        <v>36.002309230628512</v>
      </c>
      <c r="AA131" s="386">
        <f t="shared" si="38"/>
        <v>42.614349336021668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0.15515994514561404</v>
      </c>
      <c r="AD131" s="231">
        <f>(INDEX(Models!$BJ131:$BT131,,AH131)*(1-AF131)+INDEX(Models!$BJ131:$BT131,,AH131+1)*AF131-ERP_i)*AE131*Ramure*Pc/MaxiM</f>
        <v>2.7147216171953726E-4</v>
      </c>
      <c r="AE131" s="305">
        <f t="shared" si="40"/>
        <v>0.7</v>
      </c>
      <c r="AF131" s="177">
        <f t="shared" si="41"/>
        <v>0.45517126858620116</v>
      </c>
      <c r="AG131" s="810">
        <f t="shared" si="49"/>
        <v>0</v>
      </c>
      <c r="AH131" s="176">
        <f t="shared" si="42"/>
        <v>6</v>
      </c>
      <c r="AI131" s="225">
        <f t="shared" si="43"/>
        <v>0.45517126858620116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22.471437643181108</v>
      </c>
      <c r="C132" s="840"/>
      <c r="D132" s="393">
        <f t="shared" si="25"/>
        <v>23.395142895897745</v>
      </c>
      <c r="E132" s="385">
        <f t="shared" si="47"/>
        <v>26.364862266228556</v>
      </c>
      <c r="F132" s="385">
        <f t="shared" si="26"/>
        <v>26.366187631325289</v>
      </c>
      <c r="G132" s="110">
        <f t="shared" si="48"/>
        <v>0.43600435626299033</v>
      </c>
      <c r="H132" s="414" t="b">
        <f>Wh_hp&gt;='2022'!Maxi_hp</f>
        <v>0</v>
      </c>
      <c r="I132" s="390">
        <f>IF(H132,Wh_hp,'2022'!Maxi_hp)</f>
        <v>46.447787354157064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3.9482778832635623E-2</v>
      </c>
      <c r="M132" s="844"/>
      <c r="N132" s="844"/>
      <c r="O132" s="48">
        <f>IF(t&lt;Tnet,'2022'!Resal+('2022'!Salim-'2022'!Resal)*(1-EXP(('2022'!Tnet-t)/('2022'!Tau_j))),Resal+(Salim-Resal)*(1-EXP((Tnet-t)/(Tau_j))))*Salcycl</f>
        <v>0.11263929014090855</v>
      </c>
      <c r="P132" s="169">
        <f>(INDEX(Models!$BJ132:$BT132,,T132)*(1-R132)+INDEX(Models!$BJ132:$BT132,,T132+1)*R132-ERP_i)*Q132*Ramure*Pc/MaxiM</f>
        <v>2.5854934981912577E-4</v>
      </c>
      <c r="Q132" s="305">
        <f t="shared" si="28"/>
        <v>0.7</v>
      </c>
      <c r="R132" s="177">
        <f t="shared" si="29"/>
        <v>0.45719352782050299</v>
      </c>
      <c r="S132" s="810">
        <f t="shared" si="30"/>
        <v>0</v>
      </c>
      <c r="T132" s="176">
        <f t="shared" si="31"/>
        <v>6</v>
      </c>
      <c r="U132" s="251">
        <f t="shared" si="32"/>
        <v>0.45719352782050299</v>
      </c>
      <c r="V132" s="383">
        <f t="shared" si="33"/>
        <v>51.528744369007114</v>
      </c>
      <c r="W132" s="402">
        <f t="shared" si="34"/>
        <v>22.471437643181108</v>
      </c>
      <c r="X132" s="157">
        <f t="shared" si="35"/>
        <v>45044</v>
      </c>
      <c r="Y132" s="385">
        <f t="shared" si="36"/>
        <v>21.392051480928359</v>
      </c>
      <c r="Z132" s="385">
        <f t="shared" si="37"/>
        <v>22.271387758076358</v>
      </c>
      <c r="AA132" s="386">
        <f t="shared" si="38"/>
        <v>26.364862266228556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0.15526250305489514</v>
      </c>
      <c r="AD132" s="231">
        <f>(INDEX(Models!$BJ132:$BT132,,AH132)*(1-AF132)+INDEX(Models!$BJ132:$BT132,,AH132+1)*AF132-ERP_i)*AE132*Ramure*Pc/MaxiM</f>
        <v>2.5854934981912577E-4</v>
      </c>
      <c r="AE132" s="305">
        <f t="shared" si="40"/>
        <v>0.7</v>
      </c>
      <c r="AF132" s="177">
        <f t="shared" si="41"/>
        <v>0.45719352782050299</v>
      </c>
      <c r="AG132" s="810">
        <f t="shared" si="49"/>
        <v>0</v>
      </c>
      <c r="AH132" s="176">
        <f t="shared" si="42"/>
        <v>6</v>
      </c>
      <c r="AI132" s="225">
        <f t="shared" si="43"/>
        <v>0.45719352782050299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40.835024516386085</v>
      </c>
      <c r="C133" s="840"/>
      <c r="D133" s="393">
        <f t="shared" si="25"/>
        <v>42.514568119401225</v>
      </c>
      <c r="E133" s="385">
        <f t="shared" si="47"/>
        <v>47.918313526261564</v>
      </c>
      <c r="F133" s="385">
        <f t="shared" si="26"/>
        <v>47.926584274874081</v>
      </c>
      <c r="G133" s="110">
        <f t="shared" si="48"/>
        <v>0.78970112510104773</v>
      </c>
      <c r="H133" s="414" t="b">
        <f>Wh_hp&gt;='2022'!Maxi_hp</f>
        <v>0</v>
      </c>
      <c r="I133" s="390">
        <f>IF(H133,Wh_hp,'2022'!Maxi_hp)</f>
        <v>53.503420570987252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3.9505131471597621E-2</v>
      </c>
      <c r="M133" s="844"/>
      <c r="N133" s="844"/>
      <c r="O133" s="48">
        <f>IF(t&lt;Tnet,'2022'!Resal+('2022'!Salim-'2022'!Resal)*(1-EXP(('2022'!Tnet-t)/('2022'!Tau_j))),Resal+(Salim-Resal)*(1-EXP((Tnet-t)/(Tau_j))))*Salcycl</f>
        <v>0.11276994136905134</v>
      </c>
      <c r="P133" s="169">
        <f>(INDEX(Models!$BJ133:$BT133,,T133)*(1-R133)+INDEX(Models!$BJ133:$BT133,,T133+1)*R133-ERP_i)*Q133*Ramure*Pc/MaxiM</f>
        <v>2.4665128887368075E-4</v>
      </c>
      <c r="Q133" s="305">
        <f t="shared" si="28"/>
        <v>0.7</v>
      </c>
      <c r="R133" s="177">
        <f t="shared" si="29"/>
        <v>0.45927550362940867</v>
      </c>
      <c r="S133" s="810">
        <f t="shared" si="30"/>
        <v>0</v>
      </c>
      <c r="T133" s="176">
        <f t="shared" si="31"/>
        <v>6</v>
      </c>
      <c r="U133" s="251">
        <f t="shared" si="32"/>
        <v>0.45927550362940867</v>
      </c>
      <c r="V133" s="383">
        <f t="shared" si="33"/>
        <v>51.705636011564138</v>
      </c>
      <c r="W133" s="402">
        <f t="shared" si="34"/>
        <v>40.835024516386085</v>
      </c>
      <c r="X133" s="157">
        <f t="shared" si="35"/>
        <v>45045</v>
      </c>
      <c r="Y133" s="385">
        <f t="shared" si="36"/>
        <v>38.87447304599268</v>
      </c>
      <c r="Z133" s="385">
        <f t="shared" si="37"/>
        <v>40.473379212898045</v>
      </c>
      <c r="AA133" s="386">
        <f t="shared" si="38"/>
        <v>47.918313526261564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0.15536720233869103</v>
      </c>
      <c r="AD133" s="231">
        <f>(INDEX(Models!$BJ133:$BT133,,AH133)*(1-AF133)+INDEX(Models!$BJ133:$BT133,,AH133+1)*AF133-ERP_i)*AE133*Ramure*Pc/MaxiM</f>
        <v>2.4665128887368075E-4</v>
      </c>
      <c r="AE133" s="305">
        <f t="shared" si="40"/>
        <v>0.7</v>
      </c>
      <c r="AF133" s="177">
        <f t="shared" si="41"/>
        <v>0.45927550362940867</v>
      </c>
      <c r="AG133" s="810">
        <f t="shared" si="49"/>
        <v>0</v>
      </c>
      <c r="AH133" s="176">
        <f t="shared" si="42"/>
        <v>6</v>
      </c>
      <c r="AI133" s="225">
        <f t="shared" si="43"/>
        <v>0.45927550362940867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47.624980876414675</v>
      </c>
      <c r="C134" s="840"/>
      <c r="D134" s="393">
        <f t="shared" si="25"/>
        <v>49.584949139870794</v>
      </c>
      <c r="E134" s="385">
        <f t="shared" si="47"/>
        <v>50.504080374232451</v>
      </c>
      <c r="F134" s="385">
        <f t="shared" si="26"/>
        <v>50.513088943213262</v>
      </c>
      <c r="G134" s="110">
        <f t="shared" si="48"/>
        <v>0.82944316818711461</v>
      </c>
      <c r="H134" s="414" t="b">
        <f>Wh_hp&gt;='2022'!Maxi_hp</f>
        <v>0</v>
      </c>
      <c r="I134" s="390">
        <f>IF(H134,Wh_hp,'2022'!Maxi_hp)</f>
        <v>61.024126150933135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3.9527483590380941E-2</v>
      </c>
      <c r="M134" s="844"/>
      <c r="N134" s="844"/>
      <c r="O134" s="48">
        <f>IF(t&lt;Tnet,'2022'!Resal+('2022'!Salim-'2022'!Resal)*(1-EXP(('2022'!Tnet-t)/('2022'!Tau_j))),Resal+(Salim-Resal)*(1-EXP((Tnet-t)/(Tau_j))))*Salcycl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2.357716000676604E-4</v>
      </c>
      <c r="Q134" s="305">
        <f t="shared" si="28"/>
        <v>0.7</v>
      </c>
      <c r="R134" s="177">
        <f t="shared" si="29"/>
        <v>0.46141804415523197</v>
      </c>
      <c r="S134" s="810">
        <f t="shared" si="30"/>
        <v>0</v>
      </c>
      <c r="T134" s="176">
        <f t="shared" si="31"/>
        <v>6</v>
      </c>
      <c r="U134" s="251">
        <f t="shared" si="32"/>
        <v>0.46141804415523197</v>
      </c>
      <c r="V134" s="383">
        <f t="shared" si="33"/>
        <v>57.414717604792777</v>
      </c>
      <c r="W134" s="402">
        <f t="shared" si="34"/>
        <v>47.624980876414675</v>
      </c>
      <c r="X134" s="157">
        <f t="shared" si="35"/>
        <v>45046</v>
      </c>
      <c r="Y134" s="385">
        <f t="shared" si="36"/>
        <v>43.0311494671246</v>
      </c>
      <c r="Z134" s="385">
        <f t="shared" si="37"/>
        <v>44.802062247424914</v>
      </c>
      <c r="AA134" s="386">
        <f t="shared" si="38"/>
        <v>50.504080374232451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0.11290212760149075</v>
      </c>
      <c r="AD134" s="231">
        <f>(INDEX(Models!$BJ134:$BT134,,AH134)*(1-AF134)+INDEX(Models!$BJ134:$BT134,,AH134+1)*AF134-ERP_i)*AE134*Ramure*Pc/MaxiM</f>
        <v>2.357716000676604E-4</v>
      </c>
      <c r="AE134" s="305">
        <f t="shared" si="40"/>
        <v>0.7</v>
      </c>
      <c r="AF134" s="177">
        <f t="shared" si="41"/>
        <v>0.46141804415523197</v>
      </c>
      <c r="AG134" s="810">
        <f t="shared" si="49"/>
        <v>0</v>
      </c>
      <c r="AH134" s="176">
        <f t="shared" si="42"/>
        <v>6</v>
      </c>
      <c r="AI134" s="225">
        <f t="shared" si="43"/>
        <v>0.46141804415523197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48.558147437871348</v>
      </c>
      <c r="C135" s="840"/>
      <c r="D135" s="393">
        <f t="shared" si="25"/>
        <v>50.557695981474104</v>
      </c>
      <c r="E135" s="385">
        <f t="shared" si="47"/>
        <v>51.504765022251796</v>
      </c>
      <c r="F135" s="385">
        <f t="shared" si="26"/>
        <v>51.513794082632266</v>
      </c>
      <c r="G135" s="110">
        <f t="shared" si="48"/>
        <v>0.84306354422638852</v>
      </c>
      <c r="H135" s="414" t="b">
        <f>Wh_hp&gt;='2022'!Maxi_hp</f>
        <v>0</v>
      </c>
      <c r="I135" s="390">
        <f>IF(H135,Wh_hp,'2022'!Maxi_hp)</f>
        <v>55.440910682526471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3.9549835188997795E-2</v>
      </c>
      <c r="M135" s="844"/>
      <c r="N135" s="844"/>
      <c r="O135" s="48">
        <f>IF(t&lt;Tnet,'2022'!Resal+('2022'!Salim-'2022'!Resal)*(1-EXP(('2022'!Tnet-t)/('2022'!Tau_j))),Resal+(Salim-Resal)*(1-EXP((Tnet-t)/(Tau_j))))*Salcycl</f>
        <v>1.8387988768971755E-2</v>
      </c>
      <c r="P135" s="169">
        <f>(INDEX(Models!$BJ135:$BT135,,T135)*(1-R135)+INDEX(Models!$BJ135:$BT135,,T135+1)*R135-ERP_i)*Q135*Ramure*Pc/MaxiM</f>
        <v>2.2590834087291521E-4</v>
      </c>
      <c r="Q135" s="305">
        <f t="shared" si="28"/>
        <v>0.7</v>
      </c>
      <c r="R135" s="177">
        <f t="shared" si="29"/>
        <v>0.46362194236167997</v>
      </c>
      <c r="S135" s="810">
        <f t="shared" si="30"/>
        <v>0</v>
      </c>
      <c r="T135" s="176">
        <f t="shared" si="31"/>
        <v>6</v>
      </c>
      <c r="U135" s="251">
        <f t="shared" si="32"/>
        <v>0.46362194236167997</v>
      </c>
      <c r="V135" s="383">
        <f t="shared" si="33"/>
        <v>57.594339904044837</v>
      </c>
      <c r="W135" s="402">
        <f t="shared" si="34"/>
        <v>48.558147437871348</v>
      </c>
      <c r="X135" s="157">
        <f t="shared" si="35"/>
        <v>45047</v>
      </c>
      <c r="Y135" s="385">
        <f t="shared" si="36"/>
        <v>43.876130516119112</v>
      </c>
      <c r="Z135" s="385">
        <f t="shared" si="37"/>
        <v>45.682880927771066</v>
      </c>
      <c r="AA135" s="386">
        <f t="shared" si="38"/>
        <v>51.504765022251796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0.11303583448959482</v>
      </c>
      <c r="AD135" s="231">
        <f>(INDEX(Models!$BJ135:$BT135,,AH135)*(1-AF135)+INDEX(Models!$BJ135:$BT135,,AH135+1)*AF135-ERP_i)*AE135*Ramure*Pc/MaxiM</f>
        <v>2.2590834087291521E-4</v>
      </c>
      <c r="AE135" s="305">
        <f t="shared" si="40"/>
        <v>0.7</v>
      </c>
      <c r="AF135" s="177">
        <f t="shared" si="41"/>
        <v>0.46362194236167997</v>
      </c>
      <c r="AG135" s="810">
        <f t="shared" si="49"/>
        <v>0</v>
      </c>
      <c r="AH135" s="176">
        <f t="shared" si="42"/>
        <v>6</v>
      </c>
      <c r="AI135" s="225">
        <f t="shared" si="43"/>
        <v>0.46362194236167997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28.38415581466062</v>
      </c>
      <c r="C136" s="840"/>
      <c r="D136" s="393">
        <f t="shared" si="25"/>
        <v>29.5536587016888</v>
      </c>
      <c r="E136" s="385">
        <f t="shared" si="47"/>
        <v>30.113071172997202</v>
      </c>
      <c r="F136" s="385">
        <f t="shared" si="26"/>
        <v>30.114860042918444</v>
      </c>
      <c r="G136" s="110">
        <f t="shared" si="48"/>
        <v>0.49128416692506194</v>
      </c>
      <c r="H136" s="414" t="b">
        <f>Wh_hp&gt;='2022'!Maxi_hp</f>
        <v>0</v>
      </c>
      <c r="I136" s="390">
        <f>IF(H136,Wh_hp,'2022'!Maxi_hp)</f>
        <v>48.436895497277384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3.9572186267460396E-2</v>
      </c>
      <c r="M136" s="844"/>
      <c r="N136" s="844"/>
      <c r="O136" s="48">
        <f>IF(t&lt;Tnet,'2022'!Resal+('2022'!Salim-'2022'!Resal)*(1-EXP(('2022'!Tnet-t)/('2022'!Tau_j))),Resal+(Salim-Resal)*(1-EXP((Tnet-t)/(Tau_j))))*Salcycl</f>
        <v>1.8577064693754534E-2</v>
      </c>
      <c r="P136" s="169">
        <f>(INDEX(Models!$BJ136:$BT136,,T136)*(1-R136)+INDEX(Models!$BJ136:$BT136,,T136+1)*R136-ERP_i)*Q136*Ramure*Pc/MaxiM</f>
        <v>2.1729053729623379E-4</v>
      </c>
      <c r="Q136" s="305">
        <f t="shared" si="28"/>
        <v>0.7</v>
      </c>
      <c r="R136" s="177">
        <f t="shared" si="29"/>
        <v>0.46588793071002804</v>
      </c>
      <c r="S136" s="810">
        <f t="shared" si="30"/>
        <v>0</v>
      </c>
      <c r="T136" s="176">
        <f t="shared" si="31"/>
        <v>6</v>
      </c>
      <c r="U136" s="251">
        <f t="shared" si="32"/>
        <v>0.46588793071002804</v>
      </c>
      <c r="V136" s="383">
        <f t="shared" si="33"/>
        <v>57.766311055716812</v>
      </c>
      <c r="W136" s="402">
        <f t="shared" si="34"/>
        <v>28.38415581466062</v>
      </c>
      <c r="X136" s="157">
        <f t="shared" si="35"/>
        <v>45048</v>
      </c>
      <c r="Y136" s="385">
        <f t="shared" si="36"/>
        <v>25.648362549392424</v>
      </c>
      <c r="Z136" s="385">
        <f t="shared" si="37"/>
        <v>26.70514346071926</v>
      </c>
      <c r="AA136" s="386">
        <f t="shared" si="38"/>
        <v>30.113071172997202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0.11317104431825198</v>
      </c>
      <c r="AD136" s="231">
        <f>(INDEX(Models!$BJ136:$BT136,,AH136)*(1-AF136)+INDEX(Models!$BJ136:$BT136,,AH136+1)*AF136-ERP_i)*AE136*Ramure*Pc/MaxiM</f>
        <v>2.1729053729623379E-4</v>
      </c>
      <c r="AE136" s="305">
        <f t="shared" si="40"/>
        <v>0.7</v>
      </c>
      <c r="AF136" s="177">
        <f t="shared" si="41"/>
        <v>0.46588793071002804</v>
      </c>
      <c r="AG136" s="810">
        <f t="shared" si="49"/>
        <v>0</v>
      </c>
      <c r="AH136" s="176">
        <f t="shared" si="42"/>
        <v>6</v>
      </c>
      <c r="AI136" s="225">
        <f t="shared" si="43"/>
        <v>0.46588793071002804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39.004018187414502</v>
      </c>
      <c r="C137" s="840"/>
      <c r="D137" s="393">
        <f t="shared" si="25"/>
        <v>40.612032816330512</v>
      </c>
      <c r="E137" s="385">
        <f t="shared" si="47"/>
        <v>41.388749775549535</v>
      </c>
      <c r="F137" s="385">
        <f t="shared" si="26"/>
        <v>41.393370998536071</v>
      </c>
      <c r="G137" s="110">
        <f t="shared" si="48"/>
        <v>0.67321972288778009</v>
      </c>
      <c r="H137" s="414" t="b">
        <f>Wh_hp&gt;='2022'!Maxi_hp</f>
        <v>0</v>
      </c>
      <c r="I137" s="390">
        <f>IF(H137,Wh_hp,'2022'!Maxi_hp)</f>
        <v>59.778288949958807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3.9594536825780624E-2</v>
      </c>
      <c r="M137" s="844"/>
      <c r="N137" s="844"/>
      <c r="O137" s="48">
        <f>IF(t&lt;Tnet,'2022'!Resal+('2022'!Salim-'2022'!Resal)*(1-EXP(('2022'!Tnet-t)/('2022'!Tau_j))),Resal+(Salim-Resal)*(1-EXP((Tnet-t)/(Tau_j))))*Salcycl</f>
        <v>1.8766378869406391E-2</v>
      </c>
      <c r="P137" s="169">
        <f>(INDEX(Models!$BJ137:$BT137,,T137)*(1-R137)+INDEX(Models!$BJ137:$BT137,,T137+1)*R137-ERP_i)*Q137*Ramure*Pc/MaxiM</f>
        <v>2.0935484995146324E-4</v>
      </c>
      <c r="Q137" s="305">
        <f t="shared" si="28"/>
        <v>0.7</v>
      </c>
      <c r="R137" s="177">
        <f t="shared" si="29"/>
        <v>0.46821667572247905</v>
      </c>
      <c r="S137" s="810">
        <f t="shared" si="30"/>
        <v>0</v>
      </c>
      <c r="T137" s="176">
        <f t="shared" si="31"/>
        <v>6</v>
      </c>
      <c r="U137" s="251">
        <f t="shared" si="32"/>
        <v>0.46821667572247905</v>
      </c>
      <c r="V137" s="383">
        <f t="shared" si="33"/>
        <v>57.930873424175999</v>
      </c>
      <c r="W137" s="402">
        <f t="shared" si="34"/>
        <v>39.004018187414502</v>
      </c>
      <c r="X137" s="157">
        <f t="shared" si="35"/>
        <v>45049</v>
      </c>
      <c r="Y137" s="385">
        <f t="shared" si="36"/>
        <v>35.246001003718355</v>
      </c>
      <c r="Z137" s="385">
        <f t="shared" si="37"/>
        <v>36.699084246384238</v>
      </c>
      <c r="AA137" s="386">
        <f t="shared" si="38"/>
        <v>41.388749775549535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0.11330773590884649</v>
      </c>
      <c r="AD137" s="231">
        <f>(INDEX(Models!$BJ137:$BT137,,AH137)*(1-AF137)+INDEX(Models!$BJ137:$BT137,,AH137+1)*AF137-ERP_i)*AE137*Ramure*Pc/MaxiM</f>
        <v>2.0935484995146324E-4</v>
      </c>
      <c r="AE137" s="305">
        <f t="shared" si="40"/>
        <v>0.7</v>
      </c>
      <c r="AF137" s="177">
        <f t="shared" si="41"/>
        <v>0.46821667572247905</v>
      </c>
      <c r="AG137" s="810">
        <f t="shared" si="49"/>
        <v>0</v>
      </c>
      <c r="AH137" s="176">
        <f t="shared" si="42"/>
        <v>6</v>
      </c>
      <c r="AI137" s="225">
        <f t="shared" si="43"/>
        <v>0.46821667572247905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22.119688240560148</v>
      </c>
      <c r="C138" s="840"/>
      <c r="D138" s="393">
        <f t="shared" si="25"/>
        <v>23.032150334599962</v>
      </c>
      <c r="E138" s="385">
        <f t="shared" si="47"/>
        <v>23.47718224278751</v>
      </c>
      <c r="F138" s="385">
        <f t="shared" si="26"/>
        <v>23.477729893862982</v>
      </c>
      <c r="G138" s="110">
        <f t="shared" si="48"/>
        <v>0.38072654416481738</v>
      </c>
      <c r="H138" s="414" t="b">
        <f>Wh_hp&gt;='2022'!Maxi_hp</f>
        <v>0</v>
      </c>
      <c r="I138" s="390">
        <f>IF(H138,Wh_hp,'2022'!Maxi_hp)</f>
        <v>54.701655711301164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3.9616886863970802E-2</v>
      </c>
      <c r="M138" s="844"/>
      <c r="N138" s="844"/>
      <c r="O138" s="48">
        <f>IF(t&lt;Tnet,'2022'!Resal+('2022'!Salim-'2022'!Resal)*(1-EXP(('2022'!Tnet-t)/('2022'!Tau_j))),Resal+(Salim-Resal)*(1-EXP((Tnet-t)/(Tau_j))))*Salcycl</f>
        <v>1.8955933620367422E-2</v>
      </c>
      <c r="P138" s="169">
        <f>(INDEX(Models!$BJ138:$BT138,,T138)*(1-R138)+INDEX(Models!$BJ138:$BT138,,T138+1)*R138-ERP_i)*Q138*Ramure*Pc/MaxiM</f>
        <v>2.0209865980738554E-4</v>
      </c>
      <c r="Q138" s="305">
        <f t="shared" si="28"/>
        <v>0.7</v>
      </c>
      <c r="R138" s="177">
        <f t="shared" si="29"/>
        <v>0.47060877245551136</v>
      </c>
      <c r="S138" s="810">
        <f t="shared" si="30"/>
        <v>0</v>
      </c>
      <c r="T138" s="176">
        <f t="shared" si="31"/>
        <v>6</v>
      </c>
      <c r="U138" s="251">
        <f t="shared" si="32"/>
        <v>0.47060877245551136</v>
      </c>
      <c r="V138" s="383">
        <f t="shared" si="33"/>
        <v>58.088237084507611</v>
      </c>
      <c r="W138" s="402">
        <f t="shared" si="34"/>
        <v>22.119688240560148</v>
      </c>
      <c r="X138" s="157">
        <f t="shared" si="35"/>
        <v>45050</v>
      </c>
      <c r="Y138" s="385">
        <f t="shared" si="36"/>
        <v>19.989214872867219</v>
      </c>
      <c r="Z138" s="385">
        <f t="shared" si="37"/>
        <v>20.813792537016354</v>
      </c>
      <c r="AA138" s="386">
        <f t="shared" si="38"/>
        <v>23.47718224278751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0.1134458845285569</v>
      </c>
      <c r="AD138" s="231">
        <f>(INDEX(Models!$BJ138:$BT138,,AH138)*(1-AF138)+INDEX(Models!$BJ138:$BT138,,AH138+1)*AF138-ERP_i)*AE138*Ramure*Pc/MaxiM</f>
        <v>2.0209865980738554E-4</v>
      </c>
      <c r="AE138" s="305">
        <f t="shared" si="40"/>
        <v>0.7</v>
      </c>
      <c r="AF138" s="177">
        <f t="shared" si="41"/>
        <v>0.47060877245551136</v>
      </c>
      <c r="AG138" s="810">
        <f t="shared" si="49"/>
        <v>0</v>
      </c>
      <c r="AH138" s="176">
        <f t="shared" si="42"/>
        <v>6</v>
      </c>
      <c r="AI138" s="225">
        <f t="shared" si="43"/>
        <v>0.47060877245551136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45.206462837800913</v>
      </c>
      <c r="C139" s="840"/>
      <c r="D139" s="393">
        <f t="shared" si="25"/>
        <v>47.072375872057783</v>
      </c>
      <c r="E139" s="385">
        <f t="shared" si="47"/>
        <v>47.991202500626798</v>
      </c>
      <c r="F139" s="385">
        <f t="shared" si="26"/>
        <v>47.997587032865205</v>
      </c>
      <c r="G139" s="110">
        <f t="shared" si="48"/>
        <v>0.77617984725433364</v>
      </c>
      <c r="H139" s="414" t="b">
        <f>Wh_hp&gt;='2022'!Maxi_hp</f>
        <v>0</v>
      </c>
      <c r="I139" s="390">
        <f>IF(H139,Wh_hp,'2022'!Maxi_hp)</f>
        <v>58.762376134897934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3.9639236382042919E-2</v>
      </c>
      <c r="M139" s="844"/>
      <c r="N139" s="844"/>
      <c r="O139" s="48">
        <f>IF(t&lt;Tnet,'2022'!Resal+('2022'!Salim-'2022'!Resal)*(1-EXP(('2022'!Tnet-t)/('2022'!Tau_j))),Resal+(Salim-Resal)*(1-EXP((Tnet-t)/(Tau_j))))*Salcycl</f>
        <v>1.9145730481686014E-2</v>
      </c>
      <c r="P139" s="169">
        <f>(INDEX(Models!$BJ139:$BT139,,T139)*(1-R139)+INDEX(Models!$BJ139:$BT139,,T139+1)*R139-ERP_i)*Q139*Ramure*Pc/MaxiM</f>
        <v>1.9552057042881163E-4</v>
      </c>
      <c r="Q139" s="305">
        <f t="shared" si="28"/>
        <v>0.7</v>
      </c>
      <c r="R139" s="177">
        <f t="shared" si="29"/>
        <v>0.47306473890877249</v>
      </c>
      <c r="S139" s="810">
        <f t="shared" si="30"/>
        <v>0</v>
      </c>
      <c r="T139" s="176">
        <f t="shared" si="31"/>
        <v>6</v>
      </c>
      <c r="U139" s="251">
        <f t="shared" si="32"/>
        <v>0.47306473890877249</v>
      </c>
      <c r="V139" s="383">
        <f t="shared" si="33"/>
        <v>58.238611955097419</v>
      </c>
      <c r="W139" s="402">
        <f t="shared" si="34"/>
        <v>45.206462837800913</v>
      </c>
      <c r="X139" s="157">
        <f t="shared" si="35"/>
        <v>45051</v>
      </c>
      <c r="Y139" s="385">
        <f t="shared" si="36"/>
        <v>40.853842538069934</v>
      </c>
      <c r="Z139" s="385">
        <f t="shared" si="37"/>
        <v>42.540099601905517</v>
      </c>
      <c r="AA139" s="386">
        <f t="shared" si="38"/>
        <v>47.991202500626798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0.11358546180729866</v>
      </c>
      <c r="AD139" s="231">
        <f>(INDEX(Models!$BJ139:$BT139,,AH139)*(1-AF139)+INDEX(Models!$BJ139:$BT139,,AH139+1)*AF139-ERP_i)*AE139*Ramure*Pc/MaxiM</f>
        <v>1.9552057042881163E-4</v>
      </c>
      <c r="AE139" s="305">
        <f t="shared" si="40"/>
        <v>0.7</v>
      </c>
      <c r="AF139" s="177">
        <f t="shared" si="41"/>
        <v>0.47306473890877249</v>
      </c>
      <c r="AG139" s="810">
        <f t="shared" si="49"/>
        <v>0</v>
      </c>
      <c r="AH139" s="176">
        <f t="shared" si="42"/>
        <v>6</v>
      </c>
      <c r="AI139" s="225">
        <f t="shared" si="43"/>
        <v>0.47306473890877249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38.178550691708786</v>
      </c>
      <c r="C140" s="840"/>
      <c r="D140" s="393">
        <f t="shared" si="25"/>
        <v>39.75530928523375</v>
      </c>
      <c r="E140" s="385">
        <f t="shared" si="47"/>
        <v>40.53916526735776</v>
      </c>
      <c r="F140" s="385">
        <f t="shared" si="26"/>
        <v>40.54305244974784</v>
      </c>
      <c r="G140" s="110">
        <f t="shared" si="48"/>
        <v>0.65388022881657593</v>
      </c>
      <c r="H140" s="414" t="b">
        <f>Wh_hp&gt;='2022'!Maxi_hp</f>
        <v>0</v>
      </c>
      <c r="I140" s="390">
        <f>IF(H140,Wh_hp,'2022'!Maxi_hp)</f>
        <v>63.468441538808548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3.9661585380009079E-2</v>
      </c>
      <c r="M140" s="844"/>
      <c r="N140" s="844"/>
      <c r="O140" s="48">
        <f>IF(t&lt;Tnet,'2022'!Resal+('2022'!Salim-'2022'!Resal)*(1-EXP(('2022'!Tnet-t)/('2022'!Tau_j))),Resal+(Salim-Resal)*(1-EXP((Tnet-t)/(Tau_j))))*Salcycl</f>
        <v>1.9335770160891049E-2</v>
      </c>
      <c r="P140" s="169">
        <f>(INDEX(Models!$BJ140:$BT140,,T140)*(1-R140)+INDEX(Models!$BJ140:$BT140,,T140+1)*R140-ERP_i)*Q140*Ramure*Pc/MaxiM</f>
        <v>1.8962036715321892E-4</v>
      </c>
      <c r="Q140" s="305">
        <f t="shared" si="28"/>
        <v>0.7</v>
      </c>
      <c r="R140" s="177">
        <f t="shared" si="29"/>
        <v>0.47558501039784562</v>
      </c>
      <c r="S140" s="810">
        <f t="shared" si="30"/>
        <v>0</v>
      </c>
      <c r="T140" s="176">
        <f t="shared" si="31"/>
        <v>6</v>
      </c>
      <c r="U140" s="251">
        <f t="shared" si="32"/>
        <v>0.47558501039784562</v>
      </c>
      <c r="V140" s="383">
        <f t="shared" si="33"/>
        <v>58.382207802446636</v>
      </c>
      <c r="W140" s="402">
        <f t="shared" si="34"/>
        <v>38.178550691708786</v>
      </c>
      <c r="X140" s="157">
        <f t="shared" si="35"/>
        <v>45052</v>
      </c>
      <c r="Y140" s="385">
        <f t="shared" si="36"/>
        <v>34.503797704835058</v>
      </c>
      <c r="Z140" s="385">
        <f t="shared" si="37"/>
        <v>35.928790496721227</v>
      </c>
      <c r="AA140" s="386">
        <f t="shared" si="38"/>
        <v>40.53916526735776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0.11372643566365738</v>
      </c>
      <c r="AD140" s="231">
        <f>(INDEX(Models!$BJ140:$BT140,,AH140)*(1-AF140)+INDEX(Models!$BJ140:$BT140,,AH140+1)*AF140-ERP_i)*AE140*Ramure*Pc/MaxiM</f>
        <v>1.8962036715321892E-4</v>
      </c>
      <c r="AE140" s="305">
        <f t="shared" si="40"/>
        <v>0.7</v>
      </c>
      <c r="AF140" s="177">
        <f t="shared" si="41"/>
        <v>0.47558501039784562</v>
      </c>
      <c r="AG140" s="810">
        <f t="shared" si="49"/>
        <v>0</v>
      </c>
      <c r="AH140" s="176">
        <f t="shared" si="42"/>
        <v>6</v>
      </c>
      <c r="AI140" s="225">
        <f t="shared" si="43"/>
        <v>0.47558501039784562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53.845238576892754</v>
      </c>
      <c r="C141" s="840"/>
      <c r="D141" s="393">
        <f t="shared" si="25"/>
        <v>56.070329837555917</v>
      </c>
      <c r="E141" s="385">
        <f t="shared" si="47"/>
        <v>57.186965528855318</v>
      </c>
      <c r="F141" s="385">
        <f t="shared" si="26"/>
        <v>57.196309047177536</v>
      </c>
      <c r="G141" s="110">
        <f t="shared" si="48"/>
        <v>0.92010953625059377</v>
      </c>
      <c r="H141" s="414" t="b">
        <f>Wh_hp&gt;='2022'!Maxi_hp</f>
        <v>0</v>
      </c>
      <c r="I141" s="390">
        <f>IF(H141,Wh_hp,'2022'!Maxi_hp)</f>
        <v>60.14956112877281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3.9683933857881382E-2</v>
      </c>
      <c r="M141" s="844"/>
      <c r="N141" s="844"/>
      <c r="O141" s="48">
        <f>IF(t&lt;Tnet,'2022'!Resal+('2022'!Salim-'2022'!Resal)*(1-EXP(('2022'!Tnet-t)/('2022'!Tau_j))),Resal+(Salim-Resal)*(1-EXP((Tnet-t)/(Tau_j))))*Salcycl</f>
        <v>1.9526052501176585E-2</v>
      </c>
      <c r="P141" s="169">
        <f>(INDEX(Models!$BJ141:$BT141,,T141)*(1-R141)+INDEX(Models!$BJ141:$BT141,,T141+1)*R141-ERP_i)*Q141*Ramure*Pc/MaxiM</f>
        <v>1.8439897673837804E-4</v>
      </c>
      <c r="Q141" s="305">
        <f t="shared" si="28"/>
        <v>0.7</v>
      </c>
      <c r="R141" s="177">
        <f t="shared" si="29"/>
        <v>0.47816993392196749</v>
      </c>
      <c r="S141" s="810">
        <f t="shared" si="30"/>
        <v>0</v>
      </c>
      <c r="T141" s="176">
        <f t="shared" si="31"/>
        <v>6</v>
      </c>
      <c r="U141" s="251">
        <f t="shared" si="32"/>
        <v>0.47816993392196749</v>
      </c>
      <c r="V141" s="383">
        <f t="shared" si="33"/>
        <v>58.519234238024815</v>
      </c>
      <c r="W141" s="402">
        <f t="shared" si="34"/>
        <v>53.845238576892754</v>
      </c>
      <c r="X141" s="157">
        <f t="shared" si="35"/>
        <v>45053</v>
      </c>
      <c r="Y141" s="385">
        <f t="shared" si="36"/>
        <v>48.664166547736521</v>
      </c>
      <c r="Z141" s="385">
        <f t="shared" si="37"/>
        <v>50.675156090260224</v>
      </c>
      <c r="AA141" s="386">
        <f t="shared" si="38"/>
        <v>57.186965528855318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0.11386877024117278</v>
      </c>
      <c r="AD141" s="231">
        <f>(INDEX(Models!$BJ141:$BT141,,AH141)*(1-AF141)+INDEX(Models!$BJ141:$BT141,,AH141+1)*AF141-ERP_i)*AE141*Ramure*Pc/MaxiM</f>
        <v>1.8439897673837804E-4</v>
      </c>
      <c r="AE141" s="305">
        <f t="shared" si="40"/>
        <v>0.7</v>
      </c>
      <c r="AF141" s="177">
        <f t="shared" si="41"/>
        <v>0.47816993392196749</v>
      </c>
      <c r="AG141" s="810">
        <f t="shared" si="49"/>
        <v>0</v>
      </c>
      <c r="AH141" s="176">
        <f t="shared" si="42"/>
        <v>6</v>
      </c>
      <c r="AI141" s="225">
        <f t="shared" si="43"/>
        <v>0.47816993392196749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48.943478075551013</v>
      </c>
      <c r="C142" s="840"/>
      <c r="D142" s="393">
        <f t="shared" si="25"/>
        <v>50.967195920109447</v>
      </c>
      <c r="E142" s="385">
        <f t="shared" si="47"/>
        <v>51.99230619991657</v>
      </c>
      <c r="F142" s="385">
        <f t="shared" si="26"/>
        <v>51.999449170832158</v>
      </c>
      <c r="G142" s="110">
        <f t="shared" si="48"/>
        <v>0.83446685283537425</v>
      </c>
      <c r="H142" s="414" t="b">
        <f>Wh_hp&gt;='2022'!Maxi_hp</f>
        <v>0</v>
      </c>
      <c r="I142" s="390">
        <f>IF(H142,Wh_hp,'2022'!Maxi_hp)</f>
        <v>57.498688083785559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3.970628181567204E-2</v>
      </c>
      <c r="M142" s="844"/>
      <c r="N142" s="844"/>
      <c r="O142" s="48">
        <f>IF(t&lt;Tnet,'2022'!Resal+('2022'!Salim-'2022'!Resal)*(1-EXP(('2022'!Tnet-t)/('2022'!Tau_j))),Resal+(Salim-Resal)*(1-EXP((Tnet-t)/(Tau_j))))*Salcycl</f>
        <v>1.9716576446242882E-2</v>
      </c>
      <c r="P142" s="169">
        <f>(INDEX(Models!$BJ142:$BT142,,T142)*(1-R142)+INDEX(Models!$BJ142:$BT142,,T142+1)*R142-ERP_i)*Q142*Ramure*Pc/MaxiM</f>
        <v>1.7989892102068927E-4</v>
      </c>
      <c r="Q142" s="305">
        <f t="shared" si="28"/>
        <v>0.7</v>
      </c>
      <c r="R142" s="177">
        <f t="shared" si="29"/>
        <v>0.48081976256047382</v>
      </c>
      <c r="S142" s="810">
        <f t="shared" si="30"/>
        <v>0</v>
      </c>
      <c r="T142" s="176">
        <f t="shared" si="31"/>
        <v>6</v>
      </c>
      <c r="U142" s="251">
        <f t="shared" si="32"/>
        <v>0.48081976256047382</v>
      </c>
      <c r="V142" s="383">
        <f t="shared" si="33"/>
        <v>58.649898348746845</v>
      </c>
      <c r="W142" s="402">
        <f t="shared" si="34"/>
        <v>48.943478075551013</v>
      </c>
      <c r="X142" s="157">
        <f t="shared" si="35"/>
        <v>45054</v>
      </c>
      <c r="Y142" s="385">
        <f t="shared" si="36"/>
        <v>44.235485746672445</v>
      </c>
      <c r="Z142" s="385">
        <f t="shared" si="37"/>
        <v>46.064537244199137</v>
      </c>
      <c r="AA142" s="386">
        <f t="shared" si="38"/>
        <v>51.99230619991657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0.1140124258563269</v>
      </c>
      <c r="AD142" s="231">
        <f>(INDEX(Models!$BJ142:$BT142,,AH142)*(1-AF142)+INDEX(Models!$BJ142:$BT142,,AH142+1)*AF142-ERP_i)*AE142*Ramure*Pc/MaxiM</f>
        <v>1.7989892102068927E-4</v>
      </c>
      <c r="AE142" s="305">
        <f t="shared" si="40"/>
        <v>0.7</v>
      </c>
      <c r="AF142" s="177">
        <f t="shared" si="41"/>
        <v>0.48081976256047382</v>
      </c>
      <c r="AG142" s="810">
        <f t="shared" si="49"/>
        <v>0</v>
      </c>
      <c r="AH142" s="176">
        <f t="shared" si="42"/>
        <v>6</v>
      </c>
      <c r="AI142" s="225">
        <f t="shared" si="43"/>
        <v>0.48081976256047382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56.047493718986942</v>
      </c>
      <c r="C143" s="840"/>
      <c r="D143" s="393">
        <f t="shared" ref="D143:D206" si="50">Wh/(1-Ppv)</f>
        <v>58.366307094431278</v>
      </c>
      <c r="E143" s="385">
        <f t="shared" si="47"/>
        <v>59.551825533370462</v>
      </c>
      <c r="F143" s="385">
        <f t="shared" ref="F143:F206" si="51">Wh_sa/(1-Pvg*MEDIAN((-Sdif+Wh/Env_an)/Csdif,0,1))</f>
        <v>59.561595150821255</v>
      </c>
      <c r="G143" s="110">
        <f t="shared" si="48"/>
        <v>0.95359215158763344</v>
      </c>
      <c r="H143" s="414" t="b">
        <f>Wh_hp&gt;='2022'!Maxi_hp</f>
        <v>0</v>
      </c>
      <c r="I143" s="390">
        <f>IF(H143,Wh_hp,'2022'!Maxi_hp)</f>
        <v>59.561802075724238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3.9728629253392933E-2</v>
      </c>
      <c r="M143" s="844"/>
      <c r="N143" s="844"/>
      <c r="O143" s="48">
        <f>IF(t&lt;Tnet,'2022'!Resal+('2022'!Salim-'2022'!Resal)*(1-EXP(('2022'!Tnet-t)/('2022'!Tau_j))),Resal+(Salim-Resal)*(1-EXP((Tnet-t)/(Tau_j))))*Salcycl</f>
        <v>1.9907340007148312E-2</v>
      </c>
      <c r="P143" s="169">
        <f>(INDEX(Models!$BJ143:$BT143,,T143)*(1-R143)+INDEX(Models!$BJ143:$BT143,,T143+1)*R143-ERP_i)*Q143*Ramure*Pc/MaxiM</f>
        <v>1.7566897634192045E-4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0.48353464993435014</v>
      </c>
      <c r="S143" s="810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0.48353464993435014</v>
      </c>
      <c r="V143" s="383">
        <f t="shared" ref="V143:V206" si="58">MaxiM*(1-Ppv)*(1-Pvg)*(1-Psa)</f>
        <v>58.774436144581749</v>
      </c>
      <c r="W143" s="402">
        <f t="shared" ref="W143:W206" si="59">Wh*(A143&gt;Tmaj)</f>
        <v>56.047493718986942</v>
      </c>
      <c r="X143" s="157">
        <f t="shared" ref="X143:X206" si="60">t</f>
        <v>45055</v>
      </c>
      <c r="Y143" s="385">
        <f t="shared" ref="Y143:Y206" si="61">Wh_pvt_s*(1-Ppv)</f>
        <v>50.657720322164636</v>
      </c>
      <c r="Z143" s="385">
        <f t="shared" ref="Z143:Z206" si="62">Wh_sa_s*(1-Psa_s)</f>
        <v>52.753546409259776</v>
      </c>
      <c r="AA143" s="386">
        <f t="shared" ref="AA143:AA206" si="63">Wh_hp*(1-Pvg_s*MEDIAN((-Sdif+Wh/Env_an)/Csdif,0,1))</f>
        <v>59.551825533370462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0.11415735895957049</v>
      </c>
      <c r="AD143" s="231">
        <f>(INDEX(Models!$BJ143:$BT143,,AH143)*(1-AF143)+INDEX(Models!$BJ143:$BT143,,AH143+1)*AF143-ERP_i)*AE143*Ramure*Pc/MaxiM</f>
        <v>1.7566897634192045E-4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0.48353464993435014</v>
      </c>
      <c r="AG143" s="810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0.48353464993435014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51.98066109231749</v>
      </c>
      <c r="C144" s="840"/>
      <c r="D144" s="393">
        <f t="shared" si="50"/>
        <v>54.13248001549357</v>
      </c>
      <c r="E144" s="385">
        <f t="shared" ref="E144:E169" si="72">Wh_pvt/(1-Psa)</f>
        <v>55.242767961311728</v>
      </c>
      <c r="F144" s="385">
        <f t="shared" si="51"/>
        <v>55.250664248699955</v>
      </c>
      <c r="G144" s="110">
        <f t="shared" ref="G144:G169" si="73">+Wh_hp/MaxiM</f>
        <v>0.8826025809518161</v>
      </c>
      <c r="H144" s="414" t="b">
        <f>Wh_hp&gt;='2022'!Maxi_hp</f>
        <v>0</v>
      </c>
      <c r="I144" s="390">
        <f>IF(H144,Wh_hp,'2022'!Maxi_hp)</f>
        <v>55.251134206932889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3.9750976171056496E-2</v>
      </c>
      <c r="M144" s="844"/>
      <c r="N144" s="844"/>
      <c r="O144" s="48">
        <f>IF(t&lt;Tnet,'2022'!Resal+('2022'!Salim-'2022'!Resal)*(1-EXP(('2022'!Tnet-t)/('2022'!Tau_j))),Resal+(Salim-Resal)*(1-EXP((Tnet-t)/(Tau_j))))*Salcycl</f>
        <v>2.0098340231534614E-2</v>
      </c>
      <c r="P144" s="169">
        <f>(INDEX(Models!$BJ144:$BT144,,T144)*(1-R144)+INDEX(Models!$BJ144:$BT144,,T144+1)*R144-ERP_i)*Q144*Ramure*Pc/MaxiM</f>
        <v>1.717086339246273E-4</v>
      </c>
      <c r="Q144" s="305">
        <f t="shared" si="53"/>
        <v>0.7</v>
      </c>
      <c r="R144" s="177">
        <f t="shared" si="54"/>
        <v>0.4863146447717247</v>
      </c>
      <c r="S144" s="810">
        <f t="shared" si="55"/>
        <v>0</v>
      </c>
      <c r="T144" s="176">
        <f t="shared" si="56"/>
        <v>6</v>
      </c>
      <c r="U144" s="251">
        <f t="shared" si="57"/>
        <v>0.4863146447717247</v>
      </c>
      <c r="V144" s="383">
        <f t="shared" si="58"/>
        <v>58.893057213491204</v>
      </c>
      <c r="W144" s="402">
        <f t="shared" si="59"/>
        <v>51.98066109231749</v>
      </c>
      <c r="X144" s="157">
        <f t="shared" si="60"/>
        <v>45056</v>
      </c>
      <c r="Y144" s="385">
        <f t="shared" si="61"/>
        <v>46.983376330541248</v>
      </c>
      <c r="Z144" s="385">
        <f t="shared" si="62"/>
        <v>48.928325012190541</v>
      </c>
      <c r="AA144" s="386">
        <f t="shared" si="63"/>
        <v>55.242767961311728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0.11430352211068401</v>
      </c>
      <c r="AD144" s="231">
        <f>(INDEX(Models!$BJ144:$BT144,,AH144)*(1-AF144)+INDEX(Models!$BJ144:$BT144,,AH144+1)*AF144-ERP_i)*AE144*Ramure*Pc/MaxiM</f>
        <v>1.717086339246273E-4</v>
      </c>
      <c r="AE144" s="305">
        <f t="shared" si="65"/>
        <v>0.7</v>
      </c>
      <c r="AF144" s="177">
        <f t="shared" si="66"/>
        <v>0.4863146447717247</v>
      </c>
      <c r="AG144" s="810">
        <f t="shared" ref="AG144:AG207" si="74">INDEX(Echel_vg,AH144)</f>
        <v>0</v>
      </c>
      <c r="AH144" s="176">
        <f t="shared" si="67"/>
        <v>6</v>
      </c>
      <c r="AI144" s="225">
        <f t="shared" si="68"/>
        <v>0.4863146447717247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56.490476031671051</v>
      </c>
      <c r="C145" s="840"/>
      <c r="D145" s="393">
        <f t="shared" si="50"/>
        <v>58.830354706231539</v>
      </c>
      <c r="E145" s="385">
        <f t="shared" si="72"/>
        <v>60.048717555167556</v>
      </c>
      <c r="F145" s="385">
        <f t="shared" si="51"/>
        <v>60.058193855199072</v>
      </c>
      <c r="G145" s="110">
        <f t="shared" si="73"/>
        <v>0.95735900822116826</v>
      </c>
      <c r="H145" s="414" t="b">
        <f>Wh_hp&gt;='2022'!Maxi_hp</f>
        <v>0</v>
      </c>
      <c r="I145" s="390">
        <f>IF(H145,Wh_hp,'2022'!Maxi_hp)</f>
        <v>60.05837368883941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3.9773322568674496E-2</v>
      </c>
      <c r="M145" s="844"/>
      <c r="N145" s="844"/>
      <c r="O145" s="48">
        <f>IF(t&lt;Tnet,'2022'!Resal+('2022'!Salim-'2022'!Resal)*(1-EXP(('2022'!Tnet-t)/('2022'!Tau_j))),Resal+(Salim-Resal)*(1-EXP((Tnet-t)/(Tau_j))))*Salcycl</f>
        <v>2.028957317559172E-2</v>
      </c>
      <c r="P145" s="169">
        <f>(INDEX(Models!$BJ145:$BT145,,T145)*(1-R145)+INDEX(Models!$BJ145:$BT145,,T145+1)*R145-ERP_i)*Q145*Ramure*Pc/MaxiM</f>
        <v>1.6801787332698353E-4</v>
      </c>
      <c r="Q145" s="305">
        <f t="shared" si="53"/>
        <v>0.7</v>
      </c>
      <c r="R145" s="177">
        <f t="shared" si="54"/>
        <v>0.48915968561841616</v>
      </c>
      <c r="S145" s="810">
        <f t="shared" si="55"/>
        <v>0</v>
      </c>
      <c r="T145" s="176">
        <f t="shared" si="56"/>
        <v>6</v>
      </c>
      <c r="U145" s="251">
        <f t="shared" si="57"/>
        <v>0.48915968561841616</v>
      </c>
      <c r="V145" s="383">
        <f t="shared" si="58"/>
        <v>59.005971022695178</v>
      </c>
      <c r="W145" s="402">
        <f t="shared" si="59"/>
        <v>56.490476031671051</v>
      </c>
      <c r="X145" s="157">
        <f t="shared" si="60"/>
        <v>45057</v>
      </c>
      <c r="Y145" s="385">
        <f t="shared" si="61"/>
        <v>51.061100172155058</v>
      </c>
      <c r="Z145" s="385">
        <f t="shared" si="62"/>
        <v>53.176089950705311</v>
      </c>
      <c r="AA145" s="386">
        <f t="shared" si="63"/>
        <v>60.048717555167556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0.11445086396971373</v>
      </c>
      <c r="AD145" s="231">
        <f>(INDEX(Models!$BJ145:$BT145,,AH145)*(1-AF145)+INDEX(Models!$BJ145:$BT145,,AH145+1)*AF145-ERP_i)*AE145*Ramure*Pc/MaxiM</f>
        <v>1.6801787332698353E-4</v>
      </c>
      <c r="AE145" s="305">
        <f t="shared" si="65"/>
        <v>0.7</v>
      </c>
      <c r="AF145" s="177">
        <f t="shared" si="66"/>
        <v>0.48915968561841616</v>
      </c>
      <c r="AG145" s="810">
        <f t="shared" si="74"/>
        <v>0</v>
      </c>
      <c r="AH145" s="176">
        <f t="shared" si="67"/>
        <v>6</v>
      </c>
      <c r="AI145" s="225">
        <f t="shared" si="68"/>
        <v>0.48915968561841616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43.473442093344758</v>
      </c>
      <c r="C146" s="840"/>
      <c r="D146" s="393">
        <f t="shared" si="50"/>
        <v>45.275198897508439</v>
      </c>
      <c r="E146" s="385">
        <f t="shared" si="72"/>
        <v>46.221870595123896</v>
      </c>
      <c r="F146" s="385">
        <f t="shared" si="51"/>
        <v>46.226603516242506</v>
      </c>
      <c r="G146" s="110">
        <f t="shared" si="73"/>
        <v>0.73537889674522394</v>
      </c>
      <c r="H146" s="414" t="b">
        <f>Wh_hp&gt;='2022'!Maxi_hp</f>
        <v>0</v>
      </c>
      <c r="I146" s="390">
        <f>IF(H146,Wh_hp,'2022'!Maxi_hp)</f>
        <v>59.107632705662361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3.9795668446259147E-2</v>
      </c>
      <c r="M146" s="844"/>
      <c r="N146" s="844"/>
      <c r="O146" s="48">
        <f>IF(t&lt;Tnet,'2022'!Resal+('2022'!Salim-'2022'!Resal)*(1-EXP(('2022'!Tnet-t)/('2022'!Tau_j))),Resal+(Salim-Resal)*(1-EXP((Tnet-t)/(Tau_j))))*Salcycl</f>
        <v>2.0481033879129102E-2</v>
      </c>
      <c r="P146" s="169">
        <f>(INDEX(Models!$BJ146:$BT146,,T146)*(1-R146)+INDEX(Models!$BJ146:$BT146,,T146+1)*R146-ERP_i)*Q146*Ramure*Pc/MaxiM</f>
        <v>1.6459714819204156E-4</v>
      </c>
      <c r="Q146" s="305">
        <f t="shared" si="53"/>
        <v>0.7</v>
      </c>
      <c r="R146" s="177">
        <f t="shared" si="54"/>
        <v>0.49206959573667913</v>
      </c>
      <c r="S146" s="810">
        <f t="shared" si="55"/>
        <v>0</v>
      </c>
      <c r="T146" s="176">
        <f t="shared" si="56"/>
        <v>6</v>
      </c>
      <c r="U146" s="251">
        <f t="shared" si="57"/>
        <v>0.49206959573667913</v>
      </c>
      <c r="V146" s="383">
        <f t="shared" si="58"/>
        <v>59.11338691155099</v>
      </c>
      <c r="W146" s="402">
        <f t="shared" si="59"/>
        <v>43.473442093344758</v>
      </c>
      <c r="X146" s="157">
        <f t="shared" si="60"/>
        <v>45058</v>
      </c>
      <c r="Y146" s="385">
        <f t="shared" si="61"/>
        <v>39.296242460029049</v>
      </c>
      <c r="Z146" s="385">
        <f t="shared" si="62"/>
        <v>40.924875225716171</v>
      </c>
      <c r="AA146" s="386">
        <f t="shared" si="63"/>
        <v>46.221870595123896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0.11459932930465444</v>
      </c>
      <c r="AD146" s="231">
        <f>(INDEX(Models!$BJ146:$BT146,,AH146)*(1-AF146)+INDEX(Models!$BJ146:$BT146,,AH146+1)*AF146-ERP_i)*AE146*Ramure*Pc/MaxiM</f>
        <v>1.6459714819204156E-4</v>
      </c>
      <c r="AE146" s="305">
        <f t="shared" si="65"/>
        <v>0.7</v>
      </c>
      <c r="AF146" s="177">
        <f t="shared" si="66"/>
        <v>0.49206959573667913</v>
      </c>
      <c r="AG146" s="810">
        <f t="shared" si="74"/>
        <v>0</v>
      </c>
      <c r="AH146" s="176">
        <f t="shared" si="67"/>
        <v>6</v>
      </c>
      <c r="AI146" s="225">
        <f t="shared" si="68"/>
        <v>0.49206959573667913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45.119979954671535</v>
      </c>
      <c r="C147" s="840"/>
      <c r="D147" s="393">
        <f t="shared" si="50"/>
        <v>46.991071071242686</v>
      </c>
      <c r="E147" s="385">
        <f t="shared" si="72"/>
        <v>47.983010231086752</v>
      </c>
      <c r="F147" s="385">
        <f t="shared" si="51"/>
        <v>47.988123199271527</v>
      </c>
      <c r="G147" s="110">
        <f t="shared" si="73"/>
        <v>0.76192030503311858</v>
      </c>
      <c r="H147" s="414" t="b">
        <f>Wh_hp&gt;='2022'!Maxi_hp</f>
        <v>0</v>
      </c>
      <c r="I147" s="390">
        <f>IF(H147,Wh_hp,'2022'!Maxi_hp)</f>
        <v>65.445503800800012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3.9818013803822661E-2</v>
      </c>
      <c r="M147" s="844"/>
      <c r="N147" s="844"/>
      <c r="O147" s="48">
        <f>IF(t&lt;Tnet,'2022'!Resal+('2022'!Salim-'2022'!Resal)*(1-EXP(('2022'!Tnet-t)/('2022'!Tau_j))),Resal+(Salim-Resal)*(1-EXP((Tnet-t)/(Tau_j))))*Salcycl</f>
        <v>2.0672716344115792E-2</v>
      </c>
      <c r="P147" s="169">
        <f>(INDEX(Models!$BJ147:$BT147,,T147)*(1-R147)+INDEX(Models!$BJ147:$BT147,,T147+1)*R147-ERP_i)*Q147*Ramure*Pc/MaxiM</f>
        <v>1.6144737159274654E-4</v>
      </c>
      <c r="Q147" s="305">
        <f t="shared" si="53"/>
        <v>0.7</v>
      </c>
      <c r="R147" s="177">
        <f t="shared" si="54"/>
        <v>0.49504407823704083</v>
      </c>
      <c r="S147" s="810">
        <f t="shared" si="55"/>
        <v>0</v>
      </c>
      <c r="T147" s="176">
        <f t="shared" si="56"/>
        <v>6</v>
      </c>
      <c r="U147" s="251">
        <f t="shared" si="57"/>
        <v>0.49504407823704083</v>
      </c>
      <c r="V147" s="383">
        <f t="shared" si="58"/>
        <v>59.215514100319446</v>
      </c>
      <c r="W147" s="402">
        <f t="shared" si="59"/>
        <v>45.119979954671535</v>
      </c>
      <c r="X147" s="157">
        <f t="shared" si="60"/>
        <v>45059</v>
      </c>
      <c r="Y147" s="385">
        <f t="shared" si="61"/>
        <v>40.78566420297939</v>
      </c>
      <c r="Z147" s="385">
        <f t="shared" si="62"/>
        <v>42.477014554870394</v>
      </c>
      <c r="AA147" s="386">
        <f t="shared" si="63"/>
        <v>47.983010231086752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0.11474885901696075</v>
      </c>
      <c r="AD147" s="231">
        <f>(INDEX(Models!$BJ147:$BT147,,AH147)*(1-AF147)+INDEX(Models!$BJ147:$BT147,,AH147+1)*AF147-ERP_i)*AE147*Ramure*Pc/MaxiM</f>
        <v>1.6144737159274654E-4</v>
      </c>
      <c r="AE147" s="305">
        <f t="shared" si="65"/>
        <v>0.7</v>
      </c>
      <c r="AF147" s="177">
        <f t="shared" si="66"/>
        <v>0.49504407823704083</v>
      </c>
      <c r="AG147" s="810">
        <f t="shared" si="74"/>
        <v>0</v>
      </c>
      <c r="AH147" s="176">
        <f t="shared" si="67"/>
        <v>6</v>
      </c>
      <c r="AI147" s="225">
        <f t="shared" si="68"/>
        <v>0.49504407823704083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49.716401755442263</v>
      </c>
      <c r="C148" s="840"/>
      <c r="D148" s="393">
        <f t="shared" si="50"/>
        <v>51.779307954554007</v>
      </c>
      <c r="E148" s="385">
        <f t="shared" si="72"/>
        <v>52.882684733257129</v>
      </c>
      <c r="F148" s="385">
        <f t="shared" si="51"/>
        <v>52.889132973198286</v>
      </c>
      <c r="G148" s="110">
        <f t="shared" si="73"/>
        <v>0.83817960339853037</v>
      </c>
      <c r="H148" s="414" t="b">
        <f>Wh_hp&gt;='2022'!Maxi_hp</f>
        <v>0</v>
      </c>
      <c r="I148" s="390">
        <f>IF(H148,Wh_hp,'2022'!Maxi_hp)</f>
        <v>63.25386320981476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3.9840358641377138E-2</v>
      </c>
      <c r="M148" s="844"/>
      <c r="N148" s="844"/>
      <c r="O148" s="48">
        <f>IF(t&lt;Tnet,'2022'!Resal+('2022'!Salim-'2022'!Resal)*(1-EXP(('2022'!Tnet-t)/('2022'!Tau_j))),Resal+(Salim-Resal)*(1-EXP((Tnet-t)/(Tau_j))))*Salcycl</f>
        <v>2.0864613517044599E-2</v>
      </c>
      <c r="P148" s="169">
        <f>(INDEX(Models!$BJ148:$BT148,,T148)*(1-R148)+INDEX(Models!$BJ148:$BT148,,T148+1)*R148-ERP_i)*Q148*Ramure*Pc/MaxiM</f>
        <v>1.5856990089718577E-4</v>
      </c>
      <c r="Q148" s="305">
        <f t="shared" si="53"/>
        <v>0.7</v>
      </c>
      <c r="R148" s="177">
        <f t="shared" si="54"/>
        <v>0.49808271148952271</v>
      </c>
      <c r="S148" s="810">
        <f t="shared" si="55"/>
        <v>0</v>
      </c>
      <c r="T148" s="176">
        <f t="shared" si="56"/>
        <v>6</v>
      </c>
      <c r="U148" s="251">
        <f t="shared" si="57"/>
        <v>0.49808271148952271</v>
      </c>
      <c r="V148" s="383">
        <f t="shared" si="58"/>
        <v>59.312561684309166</v>
      </c>
      <c r="W148" s="402">
        <f t="shared" si="59"/>
        <v>49.716401755442263</v>
      </c>
      <c r="X148" s="157">
        <f t="shared" si="60"/>
        <v>45060</v>
      </c>
      <c r="Y148" s="385">
        <f t="shared" si="61"/>
        <v>44.941708898468441</v>
      </c>
      <c r="Z148" s="385">
        <f t="shared" si="62"/>
        <v>46.806496506014419</v>
      </c>
      <c r="AA148" s="386">
        <f t="shared" si="63"/>
        <v>52.882684733257129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0.1148993901858671</v>
      </c>
      <c r="AD148" s="231">
        <f>(INDEX(Models!$BJ148:$BT148,,AH148)*(1-AF148)+INDEX(Models!$BJ148:$BT148,,AH148+1)*AF148-ERP_i)*AE148*Ramure*Pc/MaxiM</f>
        <v>1.5856990089718577E-4</v>
      </c>
      <c r="AE148" s="305">
        <f t="shared" si="65"/>
        <v>0.7</v>
      </c>
      <c r="AF148" s="177">
        <f t="shared" si="66"/>
        <v>0.49808271148952271</v>
      </c>
      <c r="AG148" s="810">
        <f t="shared" si="74"/>
        <v>0</v>
      </c>
      <c r="AH148" s="176">
        <f t="shared" si="67"/>
        <v>6</v>
      </c>
      <c r="AI148" s="225">
        <f t="shared" si="68"/>
        <v>0.49808271148952271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52.943427546898491</v>
      </c>
      <c r="C149" s="840"/>
      <c r="D149" s="393">
        <f t="shared" si="50"/>
        <v>55.141517478863314</v>
      </c>
      <c r="E149" s="385">
        <f t="shared" si="72"/>
        <v>56.327591651067536</v>
      </c>
      <c r="F149" s="385">
        <f t="shared" si="51"/>
        <v>56.335013150042386</v>
      </c>
      <c r="G149" s="110">
        <f t="shared" si="73"/>
        <v>0.89122852704416067</v>
      </c>
      <c r="H149" s="414" t="b">
        <f>Wh_hp&gt;='2022'!Maxi_hp</f>
        <v>0</v>
      </c>
      <c r="I149" s="390">
        <f>IF(H149,Wh_hp,'2022'!Maxi_hp)</f>
        <v>64.201306106001624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3.9862702958934459E-2</v>
      </c>
      <c r="M149" s="844"/>
      <c r="N149" s="844"/>
      <c r="O149" s="48">
        <f>IF(t&lt;Tnet,'2022'!Resal+('2022'!Salim-'2022'!Resal)*(1-EXP(('2022'!Tnet-t)/('2022'!Tau_j))),Resal+(Salim-Resal)*(1-EXP((Tnet-t)/(Tau_j))))*Salcycl</f>
        <v>2.1056717275462364E-2</v>
      </c>
      <c r="P149" s="169">
        <f>(INDEX(Models!$BJ149:$BT149,,T149)*(1-R149)+INDEX(Models!$BJ149:$BT149,,T149+1)*R149-ERP_i)*Q149*Ramure*Pc/MaxiM</f>
        <v>1.5596962417404507E-4</v>
      </c>
      <c r="Q149" s="305">
        <f t="shared" si="53"/>
        <v>0.7</v>
      </c>
      <c r="R149" s="177">
        <f t="shared" si="54"/>
        <v>0.5011849448615544</v>
      </c>
      <c r="S149" s="810">
        <f t="shared" si="55"/>
        <v>0</v>
      </c>
      <c r="T149" s="176">
        <f t="shared" si="56"/>
        <v>6</v>
      </c>
      <c r="U149" s="251">
        <f t="shared" si="57"/>
        <v>0.5011849448615544</v>
      </c>
      <c r="V149" s="383">
        <f t="shared" si="58"/>
        <v>59.403556889056681</v>
      </c>
      <c r="W149" s="402">
        <f t="shared" si="59"/>
        <v>52.943427546898491</v>
      </c>
      <c r="X149" s="157">
        <f t="shared" si="60"/>
        <v>45061</v>
      </c>
      <c r="Y149" s="385">
        <f t="shared" si="61"/>
        <v>47.860015700448898</v>
      </c>
      <c r="Z149" s="385">
        <f t="shared" si="62"/>
        <v>49.847054007737292</v>
      </c>
      <c r="AA149" s="386">
        <f t="shared" si="63"/>
        <v>56.327591651067536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0.11505085613237688</v>
      </c>
      <c r="AD149" s="231">
        <f>(INDEX(Models!$BJ149:$BT149,,AH149)*(1-AF149)+INDEX(Models!$BJ149:$BT149,,AH149+1)*AF149-ERP_i)*AE149*Ramure*Pc/MaxiM</f>
        <v>1.5596962417404507E-4</v>
      </c>
      <c r="AE149" s="305">
        <f t="shared" si="65"/>
        <v>0.7</v>
      </c>
      <c r="AF149" s="177">
        <f t="shared" si="66"/>
        <v>0.5011849448615544</v>
      </c>
      <c r="AG149" s="810">
        <f t="shared" si="74"/>
        <v>0</v>
      </c>
      <c r="AH149" s="176">
        <f t="shared" si="67"/>
        <v>6</v>
      </c>
      <c r="AI149" s="225">
        <f t="shared" si="68"/>
        <v>0.5011849448615544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51.066284425948382</v>
      </c>
      <c r="C150" s="840"/>
      <c r="D150" s="393">
        <f t="shared" si="50"/>
        <v>53.18767742699405</v>
      </c>
      <c r="E150" s="385">
        <f t="shared" si="72"/>
        <v>54.342400087383155</v>
      </c>
      <c r="F150" s="385">
        <f t="shared" si="51"/>
        <v>54.349069794018682</v>
      </c>
      <c r="G150" s="110">
        <f t="shared" si="73"/>
        <v>0.85840927859990079</v>
      </c>
      <c r="H150" s="414" t="b">
        <f>Wh_hp&gt;='2022'!Maxi_hp</f>
        <v>0</v>
      </c>
      <c r="I150" s="390">
        <f>IF(H150,Wh_hp,'2022'!Maxi_hp)</f>
        <v>54.349545015132634</v>
      </c>
      <c r="J150" s="85">
        <f>IF(H150,An,'2022'!An_max)</f>
        <v>2022</v>
      </c>
      <c r="K150" s="197">
        <f t="shared" si="52"/>
        <v>45062</v>
      </c>
      <c r="L150" s="147">
        <f>IF(t&lt;Tvie,1-EXP((T0-t)*PertePVj)+'2022'!Pspv,1-EXP((T0-t)*PertePVj)+Pspv)</f>
        <v>3.9885046756506948E-2</v>
      </c>
      <c r="M150" s="844"/>
      <c r="N150" s="844"/>
      <c r="O150" s="48">
        <f>IF(t&lt;Tnet,'2022'!Resal+('2022'!Salim-'2022'!Resal)*(1-EXP(('2022'!Tnet-t)/('2022'!Tau_j))),Resal+(Salim-Resal)*(1-EXP((Tnet-t)/(Tau_j))))*Salcycl</f>
        <v>2.1249018418993154E-2</v>
      </c>
      <c r="P150" s="169">
        <f>(INDEX(Models!$BJ150:$BT150,,T150)*(1-R150)+INDEX(Models!$BJ150:$BT150,,T150+1)*R150-ERP_i)*Q150*Ramure*Pc/MaxiM</f>
        <v>1.5382936908317637E-4</v>
      </c>
      <c r="Q150" s="305">
        <f t="shared" si="53"/>
        <v>0.7</v>
      </c>
      <c r="R150" s="177">
        <f t="shared" si="54"/>
        <v>0.50435009483045534</v>
      </c>
      <c r="S150" s="810">
        <f t="shared" si="55"/>
        <v>0</v>
      </c>
      <c r="T150" s="176">
        <f t="shared" si="56"/>
        <v>6</v>
      </c>
      <c r="U150" s="251">
        <f t="shared" si="57"/>
        <v>0.50435009483045534</v>
      </c>
      <c r="V150" s="383">
        <f t="shared" si="58"/>
        <v>59.487585763089264</v>
      </c>
      <c r="W150" s="402">
        <f t="shared" si="59"/>
        <v>51.066284425948382</v>
      </c>
      <c r="X150" s="157">
        <f t="shared" si="60"/>
        <v>45062</v>
      </c>
      <c r="Y150" s="385">
        <f t="shared" si="61"/>
        <v>46.164230317492489</v>
      </c>
      <c r="Z150" s="385">
        <f t="shared" si="62"/>
        <v>48.081982435060418</v>
      </c>
      <c r="AA150" s="386">
        <f t="shared" si="63"/>
        <v>54.342400087383155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0.11520318650364944</v>
      </c>
      <c r="AD150" s="231">
        <f>(INDEX(Models!$BJ150:$BT150,,AH150)*(1-AF150)+INDEX(Models!$BJ150:$BT150,,AH150+1)*AF150-ERP_i)*AE150*Ramure*Pc/MaxiM</f>
        <v>1.5382936908317637E-4</v>
      </c>
      <c r="AE150" s="305">
        <f t="shared" si="65"/>
        <v>0.7</v>
      </c>
      <c r="AF150" s="177">
        <f t="shared" si="66"/>
        <v>0.50435009483045534</v>
      </c>
      <c r="AG150" s="810">
        <f t="shared" si="74"/>
        <v>0</v>
      </c>
      <c r="AH150" s="176">
        <f t="shared" si="67"/>
        <v>6</v>
      </c>
      <c r="AI150" s="225">
        <f t="shared" si="68"/>
        <v>0.50435009483045534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54.917634068268036</v>
      </c>
      <c r="C151" s="840"/>
      <c r="D151" s="393">
        <f t="shared" si="50"/>
        <v>57.200350776805735</v>
      </c>
      <c r="E151" s="385">
        <f t="shared" si="72"/>
        <v>58.453685872034079</v>
      </c>
      <c r="F151" s="385">
        <f t="shared" si="51"/>
        <v>58.461576755668567</v>
      </c>
      <c r="G151" s="110">
        <f t="shared" si="73"/>
        <v>0.92196300573766421</v>
      </c>
      <c r="H151" s="414" t="b">
        <f>Wh_hp&gt;='2022'!Maxi_hp</f>
        <v>0</v>
      </c>
      <c r="I151" s="390">
        <f>IF(H151,Wh_hp,'2022'!Maxi_hp)</f>
        <v>59.772823260261717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3.9907390034106593E-2</v>
      </c>
      <c r="M151" s="844"/>
      <c r="N151" s="844"/>
      <c r="O151" s="48">
        <f>IF(t&lt;Tnet,'2022'!Resal+('2022'!Salim-'2022'!Resal)*(1-EXP(('2022'!Tnet-t)/('2022'!Tau_j))),Resal+(Salim-Resal)*(1-EXP((Tnet-t)/(Tau_j))))*Salcycl</f>
        <v>2.1441506665159329E-2</v>
      </c>
      <c r="P151" s="169">
        <f>(INDEX(Models!$BJ151:$BT151,,T151)*(1-R151)+INDEX(Models!$BJ151:$BT151,,T151+1)*R151-ERP_i)*Q151*Ramure*Pc/MaxiM</f>
        <v>1.5190696933944708E-4</v>
      </c>
      <c r="Q151" s="305">
        <f t="shared" si="53"/>
        <v>0.7</v>
      </c>
      <c r="R151" s="177">
        <f t="shared" si="54"/>
        <v>0.50757734151843437</v>
      </c>
      <c r="S151" s="810">
        <f t="shared" si="55"/>
        <v>0</v>
      </c>
      <c r="T151" s="176">
        <f t="shared" si="56"/>
        <v>6</v>
      </c>
      <c r="U151" s="251">
        <f t="shared" si="57"/>
        <v>0.50757734151843437</v>
      </c>
      <c r="V151" s="383">
        <f t="shared" si="58"/>
        <v>59.564975782801902</v>
      </c>
      <c r="W151" s="402">
        <f t="shared" si="59"/>
        <v>54.917634068268036</v>
      </c>
      <c r="X151" s="157">
        <f t="shared" si="60"/>
        <v>45063</v>
      </c>
      <c r="Y151" s="385">
        <f t="shared" si="61"/>
        <v>49.647046061223449</v>
      </c>
      <c r="Z151" s="385">
        <f t="shared" si="62"/>
        <v>51.710684517181235</v>
      </c>
      <c r="AA151" s="386">
        <f t="shared" si="63"/>
        <v>58.453685872034079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0.11535630737836652</v>
      </c>
      <c r="AD151" s="231">
        <f>(INDEX(Models!$BJ151:$BT151,,AH151)*(1-AF151)+INDEX(Models!$BJ151:$BT151,,AH151+1)*AF151-ERP_i)*AE151*Ramure*Pc/MaxiM</f>
        <v>1.5190696933944708E-4</v>
      </c>
      <c r="AE151" s="305">
        <f t="shared" si="65"/>
        <v>0.7</v>
      </c>
      <c r="AF151" s="177">
        <f t="shared" si="66"/>
        <v>0.50757734151843437</v>
      </c>
      <c r="AG151" s="810">
        <f t="shared" si="74"/>
        <v>0</v>
      </c>
      <c r="AH151" s="176">
        <f t="shared" si="67"/>
        <v>6</v>
      </c>
      <c r="AI151" s="225">
        <f t="shared" si="68"/>
        <v>0.50757734151843437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53.675506568055667</v>
      </c>
      <c r="C152" s="840"/>
      <c r="D152" s="393">
        <f t="shared" si="50"/>
        <v>55.907893829621742</v>
      </c>
      <c r="E152" s="385">
        <f t="shared" si="72"/>
        <v>57.144160346218882</v>
      </c>
      <c r="F152" s="385">
        <f t="shared" si="51"/>
        <v>57.151518989941088</v>
      </c>
      <c r="G152" s="110">
        <f t="shared" si="73"/>
        <v>0.90003218568121401</v>
      </c>
      <c r="H152" s="414" t="b">
        <f>Wh_hp&gt;='2022'!Maxi_hp</f>
        <v>0</v>
      </c>
      <c r="I152" s="390">
        <f>IF(H152,Wh_hp,'2022'!Maxi_hp)</f>
        <v>66.086546918529152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3.9929732791745498E-2</v>
      </c>
      <c r="M152" s="844"/>
      <c r="N152" s="844"/>
      <c r="O152" s="48">
        <f>IF(t&lt;Tnet,'2022'!Resal+('2022'!Salim-'2022'!Resal)*(1-EXP(('2022'!Tnet-t)/('2022'!Tau_j))),Resal+(Salim-Resal)*(1-EXP((Tnet-t)/(Tau_j))))*Salcycl</f>
        <v>2.163417065028134E-2</v>
      </c>
      <c r="P152" s="169">
        <f>(INDEX(Models!$BJ152:$BT152,,T152)*(1-R152)+INDEX(Models!$BJ152:$BT152,,T152+1)*R152-ERP_i)*Q152*Ramure*Pc/MaxiM</f>
        <v>1.502033156297236E-4</v>
      </c>
      <c r="Q152" s="305">
        <f t="shared" si="53"/>
        <v>0.7</v>
      </c>
      <c r="R152" s="177">
        <f t="shared" si="54"/>
        <v>0.51086572569760003</v>
      </c>
      <c r="S152" s="810">
        <f t="shared" si="55"/>
        <v>0</v>
      </c>
      <c r="T152" s="176">
        <f t="shared" si="56"/>
        <v>6</v>
      </c>
      <c r="U152" s="251">
        <f t="shared" si="57"/>
        <v>0.51086572569760003</v>
      </c>
      <c r="V152" s="383">
        <f t="shared" si="58"/>
        <v>59.636039819848399</v>
      </c>
      <c r="W152" s="402">
        <f t="shared" si="59"/>
        <v>53.675506568055667</v>
      </c>
      <c r="X152" s="157">
        <f t="shared" si="60"/>
        <v>45064</v>
      </c>
      <c r="Y152" s="385">
        <f t="shared" si="61"/>
        <v>48.525244638364683</v>
      </c>
      <c r="Z152" s="385">
        <f t="shared" si="62"/>
        <v>50.543430304814123</v>
      </c>
      <c r="AA152" s="386">
        <f t="shared" si="63"/>
        <v>57.144160346218882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0.11551014139350313</v>
      </c>
      <c r="AD152" s="231">
        <f>(INDEX(Models!$BJ152:$BT152,,AH152)*(1-AF152)+INDEX(Models!$BJ152:$BT152,,AH152+1)*AF152-ERP_i)*AE152*Ramure*Pc/MaxiM</f>
        <v>1.502033156297236E-4</v>
      </c>
      <c r="AE152" s="305">
        <f t="shared" si="65"/>
        <v>0.7</v>
      </c>
      <c r="AF152" s="177">
        <f t="shared" si="66"/>
        <v>0.51086572569760003</v>
      </c>
      <c r="AG152" s="810">
        <f t="shared" si="74"/>
        <v>0</v>
      </c>
      <c r="AH152" s="176">
        <f t="shared" si="67"/>
        <v>6</v>
      </c>
      <c r="AI152" s="225">
        <f t="shared" si="68"/>
        <v>0.51086572569760003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56.735438840156256</v>
      </c>
      <c r="C153" s="840"/>
      <c r="D153" s="393">
        <f t="shared" si="50"/>
        <v>59.096465253956787</v>
      </c>
      <c r="E153" s="385">
        <f t="shared" si="72"/>
        <v>60.415146532609555</v>
      </c>
      <c r="F153" s="385">
        <f t="shared" si="51"/>
        <v>60.423494995678666</v>
      </c>
      <c r="G153" s="110">
        <f t="shared" si="73"/>
        <v>0.95031496854971587</v>
      </c>
      <c r="H153" s="414" t="b">
        <f>Wh_hp&gt;='2022'!Maxi_hp</f>
        <v>0</v>
      </c>
      <c r="I153" s="390">
        <f>IF(H153,Wh_hp,'2022'!Maxi_hp)</f>
        <v>64.867381436850934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3.9952075029435874E-2</v>
      </c>
      <c r="M153" s="844"/>
      <c r="N153" s="844"/>
      <c r="O153" s="48">
        <f>IF(t&lt;Tnet,'2022'!Resal+('2022'!Salim-'2022'!Resal)*(1-EXP(('2022'!Tnet-t)/('2022'!Tau_j))),Resal+(Salim-Resal)*(1-EXP((Tnet-t)/(Tau_j))))*Salcycl</f>
        <v>2.1826997935708116E-2</v>
      </c>
      <c r="P153" s="169">
        <f>(INDEX(Models!$BJ153:$BT153,,T153)*(1-R153)+INDEX(Models!$BJ153:$BT153,,T153+1)*R153-ERP_i)*Q153*Ramure*Pc/MaxiM</f>
        <v>1.4871962411919736E-4</v>
      </c>
      <c r="Q153" s="305">
        <f t="shared" si="53"/>
        <v>0.7</v>
      </c>
      <c r="R153" s="177">
        <f t="shared" si="54"/>
        <v>0.51421414631143725</v>
      </c>
      <c r="S153" s="810">
        <f t="shared" si="55"/>
        <v>0</v>
      </c>
      <c r="T153" s="176">
        <f t="shared" si="56"/>
        <v>6</v>
      </c>
      <c r="U153" s="251">
        <f t="shared" si="57"/>
        <v>0.51421414631143725</v>
      </c>
      <c r="V153" s="383">
        <f t="shared" si="58"/>
        <v>59.701090545321442</v>
      </c>
      <c r="W153" s="402">
        <f t="shared" si="59"/>
        <v>56.735438840156256</v>
      </c>
      <c r="X153" s="157">
        <f t="shared" si="60"/>
        <v>45065</v>
      </c>
      <c r="Y153" s="385">
        <f t="shared" si="61"/>
        <v>51.2927227057002</v>
      </c>
      <c r="Z153" s="385">
        <f t="shared" si="62"/>
        <v>53.427252298131762</v>
      </c>
      <c r="AA153" s="386">
        <f t="shared" si="63"/>
        <v>60.415146532609555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0.1156646078927578</v>
      </c>
      <c r="AD153" s="231">
        <f>(INDEX(Models!$BJ153:$BT153,,AH153)*(1-AF153)+INDEX(Models!$BJ153:$BT153,,AH153+1)*AF153-ERP_i)*AE153*Ramure*Pc/MaxiM</f>
        <v>1.4871962411919736E-4</v>
      </c>
      <c r="AE153" s="305">
        <f t="shared" si="65"/>
        <v>0.7</v>
      </c>
      <c r="AF153" s="177">
        <f t="shared" si="66"/>
        <v>0.51421414631143725</v>
      </c>
      <c r="AG153" s="810">
        <f t="shared" si="74"/>
        <v>0</v>
      </c>
      <c r="AH153" s="176">
        <f t="shared" si="67"/>
        <v>6</v>
      </c>
      <c r="AI153" s="225">
        <f t="shared" si="68"/>
        <v>0.51421414631143725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49.738738056178157</v>
      </c>
      <c r="C154" s="840"/>
      <c r="D154" s="393">
        <f t="shared" si="50"/>
        <v>51.809804784212815</v>
      </c>
      <c r="E154" s="385">
        <f t="shared" si="72"/>
        <v>52.976342523203343</v>
      </c>
      <c r="F154" s="385">
        <f t="shared" si="51"/>
        <v>52.982283493849245</v>
      </c>
      <c r="G154" s="110">
        <f t="shared" si="73"/>
        <v>0.83227266117688059</v>
      </c>
      <c r="H154" s="414" t="b">
        <f>Wh_hp&gt;='2022'!Maxi_hp</f>
        <v>0</v>
      </c>
      <c r="I154" s="390">
        <f>IF(H154,Wh_hp,'2022'!Maxi_hp)</f>
        <v>62.875000616079284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3.9974416747189601E-2</v>
      </c>
      <c r="M154" s="844"/>
      <c r="N154" s="844"/>
      <c r="O154" s="48">
        <f>IF(t&lt;Tnet,'2022'!Resal+('2022'!Salim-'2022'!Resal)*(1-EXP(('2022'!Tnet-t)/('2022'!Tau_j))),Resal+(Salim-Resal)*(1-EXP((Tnet-t)/(Tau_j))))*Salcycl</f>
        <v>2.2019975019596551E-2</v>
      </c>
      <c r="P154" s="169">
        <f>(INDEX(Models!$BJ154:$BT154,,T154)*(1-R154)+INDEX(Models!$BJ154:$BT154,,T154+1)*R154-ERP_i)*Q154*Ramure*Pc/MaxiM</f>
        <v>1.4745741704520084E-4</v>
      </c>
      <c r="Q154" s="305">
        <f t="shared" si="53"/>
        <v>0.7</v>
      </c>
      <c r="R154" s="177">
        <f t="shared" si="54"/>
        <v>0.51762135855756575</v>
      </c>
      <c r="S154" s="810">
        <f t="shared" si="55"/>
        <v>0</v>
      </c>
      <c r="T154" s="176">
        <f t="shared" si="56"/>
        <v>6</v>
      </c>
      <c r="U154" s="251">
        <f t="shared" si="57"/>
        <v>0.51762135855756575</v>
      </c>
      <c r="V154" s="383">
        <f t="shared" si="58"/>
        <v>59.760440419541212</v>
      </c>
      <c r="W154" s="402">
        <f t="shared" si="59"/>
        <v>49.738738056178157</v>
      </c>
      <c r="X154" s="157">
        <f t="shared" si="60"/>
        <v>45066</v>
      </c>
      <c r="Y154" s="385">
        <f t="shared" si="61"/>
        <v>44.96821513515706</v>
      </c>
      <c r="Z154" s="385">
        <f t="shared" si="62"/>
        <v>46.840642499123128</v>
      </c>
      <c r="AA154" s="386">
        <f t="shared" si="63"/>
        <v>52.976342523203343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0.11581962309672125</v>
      </c>
      <c r="AD154" s="231">
        <f>(INDEX(Models!$BJ154:$BT154,,AH154)*(1-AF154)+INDEX(Models!$BJ154:$BT154,,AH154+1)*AF154-ERP_i)*AE154*Ramure*Pc/MaxiM</f>
        <v>1.4745741704520084E-4</v>
      </c>
      <c r="AE154" s="305">
        <f t="shared" si="65"/>
        <v>0.7</v>
      </c>
      <c r="AF154" s="177">
        <f t="shared" si="66"/>
        <v>0.51762135855756575</v>
      </c>
      <c r="AG154" s="810">
        <f t="shared" si="74"/>
        <v>0</v>
      </c>
      <c r="AH154" s="176">
        <f t="shared" si="67"/>
        <v>6</v>
      </c>
      <c r="AI154" s="225">
        <f t="shared" si="68"/>
        <v>0.51762135855756575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49.302837318737176</v>
      </c>
      <c r="C155" s="840"/>
      <c r="D155" s="393">
        <f t="shared" si="50"/>
        <v>51.35694876738085</v>
      </c>
      <c r="E155" s="385">
        <f t="shared" si="72"/>
        <v>52.523661447283494</v>
      </c>
      <c r="F155" s="385">
        <f t="shared" si="51"/>
        <v>52.529421816118038</v>
      </c>
      <c r="G155" s="110">
        <f t="shared" si="73"/>
        <v>0.82423335202303483</v>
      </c>
      <c r="H155" s="414" t="b">
        <f>Wh_hp&gt;='2022'!Maxi_hp</f>
        <v>0</v>
      </c>
      <c r="I155" s="390">
        <f>IF(H155,Wh_hp,'2022'!Maxi_hp)</f>
        <v>62.49902622803689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3.9996757945019001E-2</v>
      </c>
      <c r="M155" s="844"/>
      <c r="N155" s="844"/>
      <c r="O155" s="48">
        <f>IF(t&lt;Tnet,'2022'!Resal+('2022'!Salim-'2022'!Resal)*(1-EXP(('2022'!Tnet-t)/('2022'!Tau_j))),Resal+(Salim-Resal)*(1-EXP((Tnet-t)/(Tau_j))))*Salcycl</f>
        <v>2.2213087354422997E-2</v>
      </c>
      <c r="P155" s="169">
        <f>(INDEX(Models!$BJ155:$BT155,,T155)*(1-R155)+INDEX(Models!$BJ155:$BT155,,T155+1)*R155-ERP_i)*Q155*Ramure*Pc/MaxiM</f>
        <v>1.4641850264244497E-4</v>
      </c>
      <c r="Q155" s="305">
        <f t="shared" si="53"/>
        <v>0.7</v>
      </c>
      <c r="R155" s="177">
        <f t="shared" si="54"/>
        <v>0.52108597257431999</v>
      </c>
      <c r="S155" s="810">
        <f t="shared" si="55"/>
        <v>0</v>
      </c>
      <c r="T155" s="176">
        <f t="shared" si="56"/>
        <v>6</v>
      </c>
      <c r="U155" s="251">
        <f t="shared" si="57"/>
        <v>0.52108597257431999</v>
      </c>
      <c r="V155" s="383">
        <f t="shared" si="58"/>
        <v>59.814401702380046</v>
      </c>
      <c r="W155" s="402">
        <f t="shared" si="59"/>
        <v>49.302837318737176</v>
      </c>
      <c r="X155" s="157">
        <f t="shared" si="60"/>
        <v>45067</v>
      </c>
      <c r="Y155" s="385">
        <f t="shared" si="61"/>
        <v>44.575086097192369</v>
      </c>
      <c r="Z155" s="385">
        <f t="shared" si="62"/>
        <v>46.432224543091159</v>
      </c>
      <c r="AA155" s="386">
        <f t="shared" si="63"/>
        <v>52.523661447283494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0.11597510029467646</v>
      </c>
      <c r="AD155" s="231">
        <f>(INDEX(Models!$BJ155:$BT155,,AH155)*(1-AF155)+INDEX(Models!$BJ155:$BT155,,AH155+1)*AF155-ERP_i)*AE155*Ramure*Pc/MaxiM</f>
        <v>1.4641850264244497E-4</v>
      </c>
      <c r="AE155" s="305">
        <f t="shared" si="65"/>
        <v>0.7</v>
      </c>
      <c r="AF155" s="177">
        <f t="shared" si="66"/>
        <v>0.52108597257431999</v>
      </c>
      <c r="AG155" s="810">
        <f t="shared" si="74"/>
        <v>0</v>
      </c>
      <c r="AH155" s="176">
        <f t="shared" si="67"/>
        <v>6</v>
      </c>
      <c r="AI155" s="225">
        <f t="shared" si="68"/>
        <v>0.52108597257431999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36.517102285232887</v>
      </c>
      <c r="C156" s="840"/>
      <c r="D156" s="393">
        <f t="shared" si="50"/>
        <v>38.039404984880633</v>
      </c>
      <c r="E156" s="385">
        <f t="shared" si="72"/>
        <v>38.911263174676918</v>
      </c>
      <c r="F156" s="385">
        <f t="shared" si="51"/>
        <v>38.913773653423014</v>
      </c>
      <c r="G156" s="110">
        <f t="shared" si="73"/>
        <v>0.60995884213597507</v>
      </c>
      <c r="H156" s="414" t="b">
        <f>Wh_hp&gt;='2022'!Maxi_hp</f>
        <v>0</v>
      </c>
      <c r="I156" s="390">
        <f>IF(H156,Wh_hp,'2022'!Maxi_hp)</f>
        <v>62.066231268120049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4.0019098622936178E-2</v>
      </c>
      <c r="M156" s="844"/>
      <c r="N156" s="844"/>
      <c r="O156" s="48">
        <f>IF(t&lt;Tnet,'2022'!Resal+('2022'!Salim-'2022'!Resal)*(1-EXP(('2022'!Tnet-t)/('2022'!Tau_j))),Resal+(Salim-Resal)*(1-EXP((Tnet-t)/(Tau_j))))*Salcycl</f>
        <v>2.2406319370368914E-2</v>
      </c>
      <c r="P156" s="169">
        <f>(INDEX(Models!$BJ156:$BT156,,T156)*(1-R156)+INDEX(Models!$BJ156:$BT156,,T156+1)*R156-ERP_i)*Q156*Ramure*Pc/MaxiM</f>
        <v>1.456725910376041E-4</v>
      </c>
      <c r="Q156" s="305">
        <f t="shared" si="53"/>
        <v>0.7</v>
      </c>
      <c r="R156" s="177">
        <f t="shared" si="54"/>
        <v>0.52460645277076456</v>
      </c>
      <c r="S156" s="810">
        <f t="shared" si="55"/>
        <v>0</v>
      </c>
      <c r="T156" s="176">
        <f t="shared" si="56"/>
        <v>6</v>
      </c>
      <c r="U156" s="251">
        <f t="shared" si="57"/>
        <v>0.52460645277076456</v>
      </c>
      <c r="V156" s="383">
        <f t="shared" si="58"/>
        <v>59.863282390352424</v>
      </c>
      <c r="W156" s="402">
        <f t="shared" si="59"/>
        <v>36.517102285232887</v>
      </c>
      <c r="X156" s="157">
        <f t="shared" si="60"/>
        <v>45068</v>
      </c>
      <c r="Y156" s="385">
        <f t="shared" si="61"/>
        <v>33.016105917036406</v>
      </c>
      <c r="Z156" s="385">
        <f t="shared" si="62"/>
        <v>34.392461214255192</v>
      </c>
      <c r="AA156" s="386">
        <f t="shared" si="63"/>
        <v>38.911263174676918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0.1161309500577335</v>
      </c>
      <c r="AD156" s="231">
        <f>(INDEX(Models!$BJ156:$BT156,,AH156)*(1-AF156)+INDEX(Models!$BJ156:$BT156,,AH156+1)*AF156-ERP_i)*AE156*Ramure*Pc/MaxiM</f>
        <v>1.456725910376041E-4</v>
      </c>
      <c r="AE156" s="305">
        <f t="shared" si="65"/>
        <v>0.7</v>
      </c>
      <c r="AF156" s="177">
        <f t="shared" si="66"/>
        <v>0.52460645277076456</v>
      </c>
      <c r="AG156" s="810">
        <f t="shared" si="74"/>
        <v>0</v>
      </c>
      <c r="AH156" s="176">
        <f t="shared" si="67"/>
        <v>6</v>
      </c>
      <c r="AI156" s="225">
        <f t="shared" si="68"/>
        <v>0.52460645277076456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20.745161250503923</v>
      </c>
      <c r="C157" s="840"/>
      <c r="D157" s="393">
        <f t="shared" si="50"/>
        <v>21.61047579403817</v>
      </c>
      <c r="E157" s="385">
        <f t="shared" si="72"/>
        <v>22.11015771954386</v>
      </c>
      <c r="F157" s="385">
        <f t="shared" si="51"/>
        <v>22.110369971685376</v>
      </c>
      <c r="G157" s="110">
        <f t="shared" si="73"/>
        <v>0.34624019213267909</v>
      </c>
      <c r="H157" s="414" t="b">
        <f>Wh_hp&gt;='2022'!Maxi_hp</f>
        <v>0</v>
      </c>
      <c r="I157" s="390">
        <f>IF(H157,Wh_hp,'2022'!Maxi_hp)</f>
        <v>58.102638040850181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4.0041438780953009E-2</v>
      </c>
      <c r="M157" s="844"/>
      <c r="N157" s="844"/>
      <c r="O157" s="48">
        <f>IF(t&lt;Tnet,'2022'!Resal+('2022'!Salim-'2022'!Resal)*(1-EXP(('2022'!Tnet-t)/('2022'!Tau_j))),Resal+(Salim-Resal)*(1-EXP((Tnet-t)/(Tau_j))))*Salcycl</f>
        <v>2.2599654504680669E-2</v>
      </c>
      <c r="P157" s="169">
        <f>(INDEX(Models!$BJ157:$BT157,,T157)*(1-R157)+INDEX(Models!$BJ157:$BT157,,T157+1)*R157-ERP_i)*Q157*Ramure*Pc/MaxiM</f>
        <v>1.4517564233106593E-4</v>
      </c>
      <c r="Q157" s="305">
        <f t="shared" si="53"/>
        <v>0.7</v>
      </c>
      <c r="R157" s="177">
        <f t="shared" si="54"/>
        <v>0.52818111783618238</v>
      </c>
      <c r="S157" s="810">
        <f t="shared" si="55"/>
        <v>0</v>
      </c>
      <c r="T157" s="176">
        <f t="shared" si="56"/>
        <v>6</v>
      </c>
      <c r="U157" s="251">
        <f t="shared" si="57"/>
        <v>0.52818111783618238</v>
      </c>
      <c r="V157" s="383">
        <f t="shared" si="58"/>
        <v>59.907397088207617</v>
      </c>
      <c r="W157" s="402">
        <f t="shared" si="59"/>
        <v>20.745161250503923</v>
      </c>
      <c r="X157" s="157">
        <f t="shared" si="60"/>
        <v>45069</v>
      </c>
      <c r="Y157" s="385">
        <f t="shared" si="61"/>
        <v>18.756661074694687</v>
      </c>
      <c r="Z157" s="385">
        <f t="shared" si="62"/>
        <v>19.539032029544785</v>
      </c>
      <c r="AA157" s="386">
        <f t="shared" si="63"/>
        <v>22.11015771954386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0.11628708047280803</v>
      </c>
      <c r="AD157" s="231">
        <f>(INDEX(Models!$BJ157:$BT157,,AH157)*(1-AF157)+INDEX(Models!$BJ157:$BT157,,AH157+1)*AF157-ERP_i)*AE157*Ramure*Pc/MaxiM</f>
        <v>1.4517564233106593E-4</v>
      </c>
      <c r="AE157" s="305">
        <f t="shared" si="65"/>
        <v>0.7</v>
      </c>
      <c r="AF157" s="177">
        <f t="shared" si="66"/>
        <v>0.52818111783618238</v>
      </c>
      <c r="AG157" s="810">
        <f t="shared" si="74"/>
        <v>0</v>
      </c>
      <c r="AH157" s="176">
        <f t="shared" si="67"/>
        <v>6</v>
      </c>
      <c r="AI157" s="225">
        <f t="shared" si="68"/>
        <v>0.52818111783618238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16.887913123026443</v>
      </c>
      <c r="C158" s="840"/>
      <c r="D158" s="393">
        <f t="shared" si="50"/>
        <v>17.592744958840864</v>
      </c>
      <c r="E158" s="385">
        <f t="shared" si="72"/>
        <v>18.003090761057205</v>
      </c>
      <c r="F158" s="385">
        <f t="shared" si="51"/>
        <v>18.003090761057205</v>
      </c>
      <c r="G158" s="110">
        <f t="shared" si="73"/>
        <v>0.28167296746170578</v>
      </c>
      <c r="H158" s="414" t="b">
        <f>Wh_hp&gt;='2022'!Maxi_hp</f>
        <v>0</v>
      </c>
      <c r="I158" s="390">
        <f>IF(H158,Wh_hp,'2022'!Maxi_hp)</f>
        <v>29.473911948934084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4.0063778419081819E-2</v>
      </c>
      <c r="M158" s="844"/>
      <c r="N158" s="844"/>
      <c r="O158" s="48">
        <f>IF(t&lt;Tnet,'2022'!Resal+('2022'!Salim-'2022'!Resal)*(1-EXP(('2022'!Tnet-t)/('2022'!Tau_j))),Resal+(Salim-Resal)*(1-EXP((Tnet-t)/(Tau_j))))*Salcycl</f>
        <v>2.2793075237057019E-2</v>
      </c>
      <c r="P158" s="169">
        <f>(INDEX(Models!$BJ158:$BT158,,T158)*(1-R158)+INDEX(Models!$BJ158:$BT158,,T158+1)*R158-ERP_i)*Q158*Ramure*Pc/MaxiM</f>
        <v>1.4492888388199982E-4</v>
      </c>
      <c r="Q158" s="305">
        <f t="shared" si="53"/>
        <v>0.7</v>
      </c>
      <c r="R158" s="177">
        <f t="shared" si="54"/>
        <v>0.53180814146084598</v>
      </c>
      <c r="S158" s="810">
        <f t="shared" si="55"/>
        <v>0</v>
      </c>
      <c r="T158" s="176">
        <f t="shared" si="56"/>
        <v>6</v>
      </c>
      <c r="U158" s="251">
        <f t="shared" si="57"/>
        <v>0.53180814146084598</v>
      </c>
      <c r="V158" s="383">
        <f t="shared" si="58"/>
        <v>59.947057500013926</v>
      </c>
      <c r="W158" s="402">
        <f t="shared" si="59"/>
        <v>16.887913123026443</v>
      </c>
      <c r="X158" s="157">
        <f t="shared" si="60"/>
        <v>45070</v>
      </c>
      <c r="Y158" s="385">
        <f t="shared" si="61"/>
        <v>15.269465213480451</v>
      </c>
      <c r="Z158" s="385">
        <f t="shared" si="62"/>
        <v>15.906749709197536</v>
      </c>
      <c r="AA158" s="386">
        <f t="shared" si="63"/>
        <v>18.003090761057205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0.11644339739675699</v>
      </c>
      <c r="AD158" s="231">
        <f>(INDEX(Models!$BJ158:$BT158,,AH158)*(1-AF158)+INDEX(Models!$BJ158:$BT158,,AH158+1)*AF158-ERP_i)*AE158*Ramure*Pc/MaxiM</f>
        <v>1.4492888388199982E-4</v>
      </c>
      <c r="AE158" s="305">
        <f t="shared" si="65"/>
        <v>0.7</v>
      </c>
      <c r="AF158" s="177">
        <f t="shared" si="66"/>
        <v>0.53180814146084598</v>
      </c>
      <c r="AG158" s="810">
        <f t="shared" si="74"/>
        <v>0</v>
      </c>
      <c r="AH158" s="176">
        <f t="shared" si="67"/>
        <v>6</v>
      </c>
      <c r="AI158" s="225">
        <f t="shared" si="68"/>
        <v>0.53180814146084598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41.134318568509613</v>
      </c>
      <c r="C159" s="840"/>
      <c r="D159" s="393">
        <f t="shared" si="50"/>
        <v>42.852092588742693</v>
      </c>
      <c r="E159" s="385">
        <f t="shared" si="72"/>
        <v>43.860289911746101</v>
      </c>
      <c r="F159" s="385">
        <f t="shared" si="51"/>
        <v>43.863793474191823</v>
      </c>
      <c r="G159" s="110">
        <f t="shared" si="73"/>
        <v>0.68572651436341903</v>
      </c>
      <c r="H159" s="414" t="b">
        <f>Wh_hp&gt;='2022'!Maxi_hp</f>
        <v>0</v>
      </c>
      <c r="I159" s="390">
        <f>IF(H159,Wh_hp,'2022'!Maxi_hp)</f>
        <v>60.701429062818967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4.0086117537334487E-2</v>
      </c>
      <c r="M159" s="844"/>
      <c r="N159" s="844"/>
      <c r="O159" s="48">
        <f>IF(t&lt;Tnet,'2022'!Resal+('2022'!Salim-'2022'!Resal)*(1-EXP(('2022'!Tnet-t)/('2022'!Tau_j))),Resal+(Salim-Resal)*(1-EXP((Tnet-t)/(Tau_j))))*Salcycl</f>
        <v>2.2986563131070663E-2</v>
      </c>
      <c r="P159" s="169">
        <f>(INDEX(Models!$BJ159:$BT159,,T159)*(1-R159)+INDEX(Models!$BJ159:$BT159,,T159+1)*R159-ERP_i)*Q159*Ramure*Pc/MaxiM</f>
        <v>1.4493456984272809E-4</v>
      </c>
      <c r="Q159" s="305">
        <f t="shared" si="53"/>
        <v>0.7</v>
      </c>
      <c r="R159" s="177">
        <f t="shared" si="54"/>
        <v>0.53548555379501961</v>
      </c>
      <c r="S159" s="810">
        <f t="shared" si="55"/>
        <v>0</v>
      </c>
      <c r="T159" s="176">
        <f t="shared" si="56"/>
        <v>6</v>
      </c>
      <c r="U159" s="251">
        <f t="shared" si="57"/>
        <v>0.53548555379501961</v>
      </c>
      <c r="V159" s="383">
        <f t="shared" si="58"/>
        <v>59.982575061135542</v>
      </c>
      <c r="W159" s="402">
        <f t="shared" si="59"/>
        <v>41.134318568509613</v>
      </c>
      <c r="X159" s="157">
        <f t="shared" si="60"/>
        <v>45071</v>
      </c>
      <c r="Y159" s="385">
        <f t="shared" si="61"/>
        <v>37.193004399389189</v>
      </c>
      <c r="Z159" s="385">
        <f t="shared" si="62"/>
        <v>38.746188672644557</v>
      </c>
      <c r="AA159" s="386">
        <f t="shared" si="63"/>
        <v>43.860289911746101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0.1165998047297893</v>
      </c>
      <c r="AD159" s="231">
        <f>(INDEX(Models!$BJ159:$BT159,,AH159)*(1-AF159)+INDEX(Models!$BJ159:$BT159,,AH159+1)*AF159-ERP_i)*AE159*Ramure*Pc/MaxiM</f>
        <v>1.4493456984272809E-4</v>
      </c>
      <c r="AE159" s="305">
        <f t="shared" si="65"/>
        <v>0.7</v>
      </c>
      <c r="AF159" s="177">
        <f t="shared" si="66"/>
        <v>0.53548555379501961</v>
      </c>
      <c r="AG159" s="810">
        <f t="shared" si="74"/>
        <v>0</v>
      </c>
      <c r="AH159" s="176">
        <f t="shared" si="67"/>
        <v>6</v>
      </c>
      <c r="AI159" s="225">
        <f t="shared" si="68"/>
        <v>0.53548555379501961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24.211448989954459</v>
      </c>
      <c r="C160" s="840"/>
      <c r="D160" s="393">
        <f t="shared" si="50"/>
        <v>25.223108948835392</v>
      </c>
      <c r="E160" s="385">
        <f t="shared" si="72"/>
        <v>25.821657523516791</v>
      </c>
      <c r="F160" s="385">
        <f t="shared" si="51"/>
        <v>25.822211493856663</v>
      </c>
      <c r="G160" s="110">
        <f t="shared" si="73"/>
        <v>0.40337833969377607</v>
      </c>
      <c r="H160" s="414" t="b">
        <f>Wh_hp&gt;='2022'!Maxi_hp</f>
        <v>0</v>
      </c>
      <c r="I160" s="390">
        <f>IF(H160,Wh_hp,'2022'!Maxi_hp)</f>
        <v>63.484208413127426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4.0108456135723336E-2</v>
      </c>
      <c r="M160" s="844"/>
      <c r="N160" s="844"/>
      <c r="O160" s="48">
        <f>IF(t&lt;Tnet,'2022'!Resal+('2022'!Salim-'2022'!Resal)*(1-EXP(('2022'!Tnet-t)/('2022'!Tau_j))),Resal+(Salim-Resal)*(1-EXP((Tnet-t)/(Tau_j))))*Salcycl</f>
        <v>2.3180098881579476E-2</v>
      </c>
      <c r="P160" s="169">
        <f>(INDEX(Models!$BJ160:$BT160,,T160)*(1-R160)+INDEX(Models!$BJ160:$BT160,,T160+1)*R160-ERP_i)*Q160*Ramure*Pc/MaxiM</f>
        <v>1.451950776290271E-4</v>
      </c>
      <c r="Q160" s="305">
        <f t="shared" si="53"/>
        <v>0.7</v>
      </c>
      <c r="R160" s="177">
        <f t="shared" si="54"/>
        <v>0.53921124366768547</v>
      </c>
      <c r="S160" s="810">
        <f t="shared" si="55"/>
        <v>0</v>
      </c>
      <c r="T160" s="176">
        <f t="shared" si="56"/>
        <v>6</v>
      </c>
      <c r="U160" s="251">
        <f t="shared" si="57"/>
        <v>0.53921124366768547</v>
      </c>
      <c r="V160" s="383">
        <f t="shared" si="58"/>
        <v>60.014260991535551</v>
      </c>
      <c r="W160" s="402">
        <f t="shared" si="59"/>
        <v>24.211448989954459</v>
      </c>
      <c r="X160" s="157">
        <f t="shared" si="60"/>
        <v>45072</v>
      </c>
      <c r="Y160" s="385">
        <f t="shared" si="61"/>
        <v>21.892072500717738</v>
      </c>
      <c r="Z160" s="385">
        <f t="shared" si="62"/>
        <v>22.806818791825044</v>
      </c>
      <c r="AA160" s="386">
        <f t="shared" si="63"/>
        <v>25.821657523516791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0.11675620470707639</v>
      </c>
      <c r="AD160" s="231">
        <f>(INDEX(Models!$BJ160:$BT160,,AH160)*(1-AF160)+INDEX(Models!$BJ160:$BT160,,AH160+1)*AF160-ERP_i)*AE160*Ramure*Pc/MaxiM</f>
        <v>1.451950776290271E-4</v>
      </c>
      <c r="AE160" s="305">
        <f t="shared" si="65"/>
        <v>0.7</v>
      </c>
      <c r="AF160" s="177">
        <f t="shared" si="66"/>
        <v>0.53921124366768547</v>
      </c>
      <c r="AG160" s="810">
        <f t="shared" si="74"/>
        <v>0</v>
      </c>
      <c r="AH160" s="176">
        <f t="shared" si="67"/>
        <v>6</v>
      </c>
      <c r="AI160" s="225">
        <f t="shared" si="68"/>
        <v>0.53921124366768547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47.706047672382709</v>
      </c>
      <c r="C161" s="840"/>
      <c r="D161" s="393">
        <f t="shared" si="50"/>
        <v>49.700571062003185</v>
      </c>
      <c r="E161" s="385">
        <f t="shared" si="72"/>
        <v>50.890058097872405</v>
      </c>
      <c r="F161" s="385">
        <f t="shared" si="51"/>
        <v>50.895297456147965</v>
      </c>
      <c r="G161" s="110">
        <f t="shared" si="73"/>
        <v>0.79450498693927418</v>
      </c>
      <c r="H161" s="414" t="b">
        <f>Wh_hp&gt;='2022'!Maxi_hp</f>
        <v>0</v>
      </c>
      <c r="I161" s="390">
        <f>IF(H161,Wh_hp,'2022'!Maxi_hp)</f>
        <v>63.520031293079448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4.0130794214260357E-2</v>
      </c>
      <c r="M161" s="844"/>
      <c r="N161" s="844"/>
      <c r="O161" s="48">
        <f>IF(t&lt;Tnet,'2022'!Resal+('2022'!Salim-'2022'!Resal)*(1-EXP(('2022'!Tnet-t)/('2022'!Tau_j))),Resal+(Salim-Resal)*(1-EXP((Tnet-t)/(Tau_j))))*Salcycl</f>
        <v>2.3373662368032316E-2</v>
      </c>
      <c r="P161" s="169">
        <f>(INDEX(Models!$BJ161:$BT161,,T161)*(1-R161)+INDEX(Models!$BJ161:$BT161,,T161+1)*R161-ERP_i)*Q161*Ramure*Pc/MaxiM</f>
        <v>1.4571288550467438E-4</v>
      </c>
      <c r="Q161" s="305">
        <f t="shared" si="53"/>
        <v>0.7</v>
      </c>
      <c r="R161" s="177">
        <f t="shared" si="54"/>
        <v>0.54298296158046622</v>
      </c>
      <c r="S161" s="810">
        <f t="shared" si="55"/>
        <v>0</v>
      </c>
      <c r="T161" s="176">
        <f t="shared" si="56"/>
        <v>6</v>
      </c>
      <c r="U161" s="251">
        <f t="shared" si="57"/>
        <v>0.54298296158046622</v>
      </c>
      <c r="V161" s="383">
        <f t="shared" si="58"/>
        <v>60.042426297196876</v>
      </c>
      <c r="W161" s="402">
        <f t="shared" si="59"/>
        <v>47.706047672382709</v>
      </c>
      <c r="X161" s="157">
        <f t="shared" si="60"/>
        <v>45073</v>
      </c>
      <c r="Y161" s="385">
        <f t="shared" si="61"/>
        <v>43.136881359924715</v>
      </c>
      <c r="Z161" s="385">
        <f t="shared" si="62"/>
        <v>44.940374271735578</v>
      </c>
      <c r="AA161" s="386">
        <f t="shared" si="63"/>
        <v>50.890058097872405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0.11691249820729852</v>
      </c>
      <c r="AD161" s="231">
        <f>(INDEX(Models!$BJ161:$BT161,,AH161)*(1-AF161)+INDEX(Models!$BJ161:$BT161,,AH161+1)*AF161-ERP_i)*AE161*Ramure*Pc/MaxiM</f>
        <v>1.4571288550467438E-4</v>
      </c>
      <c r="AE161" s="305">
        <f t="shared" si="65"/>
        <v>0.7</v>
      </c>
      <c r="AF161" s="177">
        <f t="shared" si="66"/>
        <v>0.54298296158046622</v>
      </c>
      <c r="AG161" s="810">
        <f t="shared" si="74"/>
        <v>0</v>
      </c>
      <c r="AH161" s="176">
        <f t="shared" si="67"/>
        <v>6</v>
      </c>
      <c r="AI161" s="225">
        <f t="shared" si="68"/>
        <v>0.54298296158046622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56.856707330377915</v>
      </c>
      <c r="C162" s="840"/>
      <c r="D162" s="393">
        <f t="shared" si="50"/>
        <v>59.235185541001336</v>
      </c>
      <c r="E162" s="385">
        <f t="shared" si="72"/>
        <v>60.664889099960106</v>
      </c>
      <c r="F162" s="385">
        <f t="shared" si="51"/>
        <v>60.673098455103251</v>
      </c>
      <c r="G162" s="110">
        <f t="shared" si="73"/>
        <v>0.94653819743850964</v>
      </c>
      <c r="H162" s="414" t="b">
        <f>Wh_hp&gt;='2022'!Maxi_hp</f>
        <v>0</v>
      </c>
      <c r="I162" s="390">
        <f>IF(H162,Wh_hp,'2022'!Maxi_hp)</f>
        <v>62.361941334367771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4.0153131772957651E-2</v>
      </c>
      <c r="M162" s="844"/>
      <c r="N162" s="844"/>
      <c r="O162" s="48">
        <f>IF(t&lt;Tnet,'2022'!Resal+('2022'!Salim-'2022'!Resal)*(1-EXP(('2022'!Tnet-t)/('2022'!Tau_j))),Resal+(Salim-Resal)*(1-EXP((Tnet-t)/(Tau_j))))*Salcycl</f>
        <v>2.3567232713522134E-2</v>
      </c>
      <c r="P162" s="169">
        <f>(INDEX(Models!$BJ162:$BT162,,T162)*(1-R162)+INDEX(Models!$BJ162:$BT162,,T162+1)*R162-ERP_i)*Q162*Ramure*Pc/MaxiM</f>
        <v>1.4649054973830145E-4</v>
      </c>
      <c r="Q162" s="305">
        <f t="shared" si="53"/>
        <v>0.7</v>
      </c>
      <c r="R162" s="177">
        <f t="shared" si="54"/>
        <v>0.54679832348570012</v>
      </c>
      <c r="S162" s="810">
        <f t="shared" si="55"/>
        <v>0</v>
      </c>
      <c r="T162" s="176">
        <f t="shared" si="56"/>
        <v>6</v>
      </c>
      <c r="U162" s="251">
        <f t="shared" si="57"/>
        <v>0.54679832348570012</v>
      </c>
      <c r="V162" s="383">
        <f t="shared" si="58"/>
        <v>60.067381757402629</v>
      </c>
      <c r="W162" s="402">
        <f t="shared" si="59"/>
        <v>56.856707330377915</v>
      </c>
      <c r="X162" s="157">
        <f t="shared" si="60"/>
        <v>45074</v>
      </c>
      <c r="Y162" s="385">
        <f t="shared" si="61"/>
        <v>51.412216727015206</v>
      </c>
      <c r="Z162" s="385">
        <f t="shared" si="62"/>
        <v>53.562936369193999</v>
      </c>
      <c r="AA162" s="386">
        <f t="shared" si="63"/>
        <v>60.664889099960106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0.11706858507668114</v>
      </c>
      <c r="AD162" s="231">
        <f>(INDEX(Models!$BJ162:$BT162,,AH162)*(1-AF162)+INDEX(Models!$BJ162:$BT162,,AH162+1)*AF162-ERP_i)*AE162*Ramure*Pc/MaxiM</f>
        <v>1.4649054973830145E-4</v>
      </c>
      <c r="AE162" s="305">
        <f t="shared" si="65"/>
        <v>0.7</v>
      </c>
      <c r="AF162" s="177">
        <f t="shared" si="66"/>
        <v>0.54679832348570012</v>
      </c>
      <c r="AG162" s="810">
        <f t="shared" si="74"/>
        <v>0</v>
      </c>
      <c r="AH162" s="176">
        <f t="shared" si="67"/>
        <v>6</v>
      </c>
      <c r="AI162" s="225">
        <f t="shared" si="68"/>
        <v>0.54679832348570012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61.266209113541478</v>
      </c>
      <c r="C163" s="840"/>
      <c r="D163" s="393">
        <f t="shared" si="50"/>
        <v>63.830634790819175</v>
      </c>
      <c r="E163" s="385">
        <f t="shared" si="72"/>
        <v>65.3842152917573</v>
      </c>
      <c r="F163" s="385">
        <f t="shared" si="51"/>
        <v>65.393863123176274</v>
      </c>
      <c r="G163" s="110">
        <f t="shared" si="73"/>
        <v>1.0196079969873806</v>
      </c>
      <c r="H163" s="414" t="b">
        <f>Wh_hp&gt;='2022'!Maxi_hp</f>
        <v>1</v>
      </c>
      <c r="I163" s="390">
        <f>IF(H163,Wh_hp,'2022'!Maxi_hp)</f>
        <v>65.393863123176274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4.017546881182732E-2</v>
      </c>
      <c r="M163" s="844"/>
      <c r="N163" s="844"/>
      <c r="O163" s="48">
        <f>IF(t&lt;Tnet,'2022'!Resal+('2022'!Salim-'2022'!Resal)*(1-EXP(('2022'!Tnet-t)/('2022'!Tau_j))),Resal+(Salim-Resal)*(1-EXP((Tnet-t)/(Tau_j))))*Salcycl</f>
        <v>2.3760788349385796E-2</v>
      </c>
      <c r="P163" s="169">
        <f>(INDEX(Models!$BJ163:$BT163,,T163)*(1-R163)+INDEX(Models!$BJ163:$BT163,,T163+1)*R163-ERP_i)*Q163*Ramure*Pc/MaxiM</f>
        <v>1.475342021131819E-4</v>
      </c>
      <c r="Q163" s="305">
        <f t="shared" si="53"/>
        <v>0.7</v>
      </c>
      <c r="R163" s="177">
        <f t="shared" si="54"/>
        <v>0.55065481535067773</v>
      </c>
      <c r="S163" s="810">
        <f t="shared" si="55"/>
        <v>0</v>
      </c>
      <c r="T163" s="176">
        <f t="shared" si="56"/>
        <v>6</v>
      </c>
      <c r="U163" s="251">
        <f t="shared" si="57"/>
        <v>0.55065481535067773</v>
      </c>
      <c r="V163" s="383">
        <f t="shared" si="58"/>
        <v>60.088003717667739</v>
      </c>
      <c r="W163" s="402">
        <f t="shared" si="59"/>
        <v>61.266209113541478</v>
      </c>
      <c r="X163" s="157">
        <f t="shared" si="60"/>
        <v>45075</v>
      </c>
      <c r="Y163" s="385">
        <f t="shared" si="61"/>
        <v>55.400680531429586</v>
      </c>
      <c r="Z163" s="385">
        <f t="shared" si="62"/>
        <v>57.719592208014042</v>
      </c>
      <c r="AA163" s="386">
        <f t="shared" si="63"/>
        <v>65.3842152917573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0.1172243644669007</v>
      </c>
      <c r="AD163" s="231">
        <f>(INDEX(Models!$BJ163:$BT163,,AH163)*(1-AF163)+INDEX(Models!$BJ163:$BT163,,AH163+1)*AF163-ERP_i)*AE163*Ramure*Pc/MaxiM</f>
        <v>1.475342021131819E-4</v>
      </c>
      <c r="AE163" s="305">
        <f t="shared" si="65"/>
        <v>0.7</v>
      </c>
      <c r="AF163" s="177">
        <f t="shared" si="66"/>
        <v>0.55065481535067773</v>
      </c>
      <c r="AG163" s="810">
        <f t="shared" si="74"/>
        <v>0</v>
      </c>
      <c r="AH163" s="176">
        <f t="shared" si="67"/>
        <v>6</v>
      </c>
      <c r="AI163" s="225">
        <f t="shared" si="68"/>
        <v>0.55065481535067773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53.069258871129669</v>
      </c>
      <c r="C164" s="840"/>
      <c r="D164" s="393">
        <f t="shared" si="50"/>
        <v>55.291870726993622</v>
      </c>
      <c r="E164" s="385">
        <f t="shared" si="72"/>
        <v>56.648854790668445</v>
      </c>
      <c r="F164" s="385">
        <f t="shared" si="51"/>
        <v>56.65587776514122</v>
      </c>
      <c r="G164" s="110">
        <f t="shared" si="73"/>
        <v>0.88294740714491704</v>
      </c>
      <c r="H164" s="414" t="b">
        <f>Wh_hp&gt;='2022'!Maxi_hp</f>
        <v>0</v>
      </c>
      <c r="I164" s="390">
        <f>IF(H164,Wh_hp,'2022'!Maxi_hp)</f>
        <v>59.86002152871599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4.0197805330881464E-2</v>
      </c>
      <c r="M164" s="844"/>
      <c r="N164" s="844"/>
      <c r="O164" s="48">
        <f>IF(t&lt;Tnet,'2022'!Resal+('2022'!Salim-'2022'!Resal)*(1-EXP(('2022'!Tnet-t)/('2022'!Tau_j))),Resal+(Salim-Resal)*(1-EXP((Tnet-t)/(Tau_j))))*Salcycl</f>
        <v>2.3954307085098454E-2</v>
      </c>
      <c r="P164" s="169">
        <f>(INDEX(Models!$BJ164:$BT164,,T164)*(1-R164)+INDEX(Models!$BJ164:$BT164,,T164+1)*R164-ERP_i)*Q164*Ramure*Pc/MaxiM</f>
        <v>1.4884299882701434E-4</v>
      </c>
      <c r="Q164" s="305">
        <f t="shared" si="53"/>
        <v>0.7</v>
      </c>
      <c r="R164" s="177">
        <f t="shared" si="54"/>
        <v>0.55454979850274777</v>
      </c>
      <c r="S164" s="810">
        <f t="shared" si="55"/>
        <v>0</v>
      </c>
      <c r="T164" s="176">
        <f t="shared" si="56"/>
        <v>6</v>
      </c>
      <c r="U164" s="251">
        <f t="shared" si="57"/>
        <v>0.55454979850274777</v>
      </c>
      <c r="V164" s="383">
        <f t="shared" si="58"/>
        <v>60.103169988512647</v>
      </c>
      <c r="W164" s="402">
        <f t="shared" si="59"/>
        <v>53.069258871129669</v>
      </c>
      <c r="X164" s="157">
        <f t="shared" si="60"/>
        <v>45076</v>
      </c>
      <c r="Y164" s="385">
        <f t="shared" si="61"/>
        <v>47.989559974885331</v>
      </c>
      <c r="Z164" s="385">
        <f t="shared" si="62"/>
        <v>49.999427216801912</v>
      </c>
      <c r="AA164" s="386">
        <f t="shared" si="63"/>
        <v>56.648854790668445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0.1173797351850768</v>
      </c>
      <c r="AD164" s="231">
        <f>(INDEX(Models!$BJ164:$BT164,,AH164)*(1-AF164)+INDEX(Models!$BJ164:$BT164,,AH164+1)*AF164-ERP_i)*AE164*Ramure*Pc/MaxiM</f>
        <v>1.4884299882701434E-4</v>
      </c>
      <c r="AE164" s="305">
        <f t="shared" si="65"/>
        <v>0.7</v>
      </c>
      <c r="AF164" s="177">
        <f t="shared" si="66"/>
        <v>0.55454979850274777</v>
      </c>
      <c r="AG164" s="810">
        <f t="shared" si="74"/>
        <v>0</v>
      </c>
      <c r="AH164" s="176">
        <f t="shared" si="67"/>
        <v>6</v>
      </c>
      <c r="AI164" s="225">
        <f t="shared" si="68"/>
        <v>0.55454979850274777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56.35367203974112</v>
      </c>
      <c r="C165" s="840"/>
      <c r="D165" s="393">
        <f t="shared" si="50"/>
        <v>58.715205920074325</v>
      </c>
      <c r="E165" s="385">
        <f t="shared" si="72"/>
        <v>60.168131900894529</v>
      </c>
      <c r="F165" s="385">
        <f t="shared" si="51"/>
        <v>60.176364247303077</v>
      </c>
      <c r="G165" s="110">
        <f t="shared" si="73"/>
        <v>0.9374465438963957</v>
      </c>
      <c r="H165" s="414" t="b">
        <f>Wh_hp&gt;='2022'!Maxi_hp</f>
        <v>0</v>
      </c>
      <c r="I165" s="390">
        <f>IF(H165,Wh_hp,'2022'!Maxi_hp)</f>
        <v>63.940669699990565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4.0220141330132186E-2</v>
      </c>
      <c r="M165" s="844"/>
      <c r="N165" s="844"/>
      <c r="O165" s="48">
        <f>IF(t&lt;Tnet,'2022'!Resal+('2022'!Salim-'2022'!Resal)*(1-EXP(('2022'!Tnet-t)/('2022'!Tau_j))),Resal+(Salim-Resal)*(1-EXP((Tnet-t)/(Tau_j))))*Salcycl</f>
        <v>2.4147766183157841E-2</v>
      </c>
      <c r="P165" s="169">
        <f>(INDEX(Models!$BJ165:$BT165,,T165)*(1-R165)+INDEX(Models!$BJ165:$BT165,,T165+1)*R165-ERP_i)*Q165*Ramure*Pc/MaxiM</f>
        <v>1.5022540642781846E-4</v>
      </c>
      <c r="Q165" s="305">
        <f t="shared" si="53"/>
        <v>0.7</v>
      </c>
      <c r="R165" s="177">
        <f t="shared" si="54"/>
        <v>0.55848051574244906</v>
      </c>
      <c r="S165" s="810">
        <f t="shared" si="55"/>
        <v>0</v>
      </c>
      <c r="T165" s="176">
        <f t="shared" si="56"/>
        <v>6</v>
      </c>
      <c r="U165" s="251">
        <f t="shared" si="57"/>
        <v>0.55848051574244906</v>
      </c>
      <c r="V165" s="383">
        <f t="shared" si="58"/>
        <v>60.113204254714994</v>
      </c>
      <c r="W165" s="402">
        <f t="shared" si="59"/>
        <v>56.35367203974112</v>
      </c>
      <c r="X165" s="157">
        <f t="shared" si="60"/>
        <v>45077</v>
      </c>
      <c r="Y165" s="385">
        <f t="shared" si="61"/>
        <v>50.960754340732656</v>
      </c>
      <c r="Z165" s="385">
        <f t="shared" si="62"/>
        <v>53.096294822604158</v>
      </c>
      <c r="AA165" s="386">
        <f t="shared" si="63"/>
        <v>60.168131900894529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0.11753459605391588</v>
      </c>
      <c r="AD165" s="231">
        <f>(INDEX(Models!$BJ165:$BT165,,AH165)*(1-AF165)+INDEX(Models!$BJ165:$BT165,,AH165+1)*AF165-ERP_i)*AE165*Ramure*Pc/MaxiM</f>
        <v>1.5022540642781846E-4</v>
      </c>
      <c r="AE165" s="305">
        <f t="shared" si="65"/>
        <v>0.7</v>
      </c>
      <c r="AF165" s="177">
        <f t="shared" si="66"/>
        <v>0.55848051574244906</v>
      </c>
      <c r="AG165" s="810">
        <f t="shared" si="74"/>
        <v>0</v>
      </c>
      <c r="AH165" s="176">
        <f t="shared" si="67"/>
        <v>6</v>
      </c>
      <c r="AI165" s="225">
        <f t="shared" si="68"/>
        <v>0.55848051574244906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57.187340296839878</v>
      </c>
      <c r="C166" s="840"/>
      <c r="D166" s="393">
        <f t="shared" si="50"/>
        <v>59.585196171985991</v>
      </c>
      <c r="E166" s="385">
        <f t="shared" si="72"/>
        <v>61.071752396032963</v>
      </c>
      <c r="F166" s="385">
        <f t="shared" si="51"/>
        <v>61.080371827572478</v>
      </c>
      <c r="G166" s="110">
        <f t="shared" si="73"/>
        <v>0.9512348708671482</v>
      </c>
      <c r="H166" s="414" t="b">
        <f>Wh_hp&gt;='2022'!Maxi_hp</f>
        <v>0</v>
      </c>
      <c r="I166" s="390">
        <f>IF(H166,Wh_hp,'2022'!Maxi_hp)</f>
        <v>65.184195459638048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4.0242476809591587E-2</v>
      </c>
      <c r="M166" s="844"/>
      <c r="N166" s="844"/>
      <c r="O166" s="48">
        <f>IF(t&lt;Tnet,'2022'!Resal+('2022'!Salim-'2022'!Resal)*(1-EXP(('2022'!Tnet-t)/('2022'!Tau_j))),Resal+(Salim-Resal)*(1-EXP((Tnet-t)/(Tau_j))))*Salcycl</f>
        <v>2.4341142438603625E-2</v>
      </c>
      <c r="P166" s="169">
        <f>(INDEX(Models!$BJ166:$BT166,,T166)*(1-R166)+INDEX(Models!$BJ166:$BT166,,T166+1)*R166-ERP_i)*Q166*Ramure*Pc/MaxiM</f>
        <v>1.5168081119259328E-4</v>
      </c>
      <c r="Q166" s="305">
        <f t="shared" si="53"/>
        <v>0.7</v>
      </c>
      <c r="R166" s="177">
        <f t="shared" si="54"/>
        <v>0.56244409820411501</v>
      </c>
      <c r="S166" s="810">
        <f t="shared" si="55"/>
        <v>0</v>
      </c>
      <c r="T166" s="176">
        <f t="shared" si="56"/>
        <v>6</v>
      </c>
      <c r="U166" s="251">
        <f t="shared" si="57"/>
        <v>0.56244409820411501</v>
      </c>
      <c r="V166" s="383">
        <f t="shared" si="58"/>
        <v>60.118418492055937</v>
      </c>
      <c r="W166" s="402">
        <f t="shared" si="59"/>
        <v>57.187340296839878</v>
      </c>
      <c r="X166" s="157">
        <f t="shared" si="60"/>
        <v>45078</v>
      </c>
      <c r="Y166" s="385">
        <f t="shared" si="61"/>
        <v>51.715851093281991</v>
      </c>
      <c r="Z166" s="385">
        <f t="shared" si="62"/>
        <v>53.884288316250029</v>
      </c>
      <c r="AA166" s="386">
        <f t="shared" si="63"/>
        <v>61.071752396032963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0.11768884627993439</v>
      </c>
      <c r="AD166" s="231">
        <f>(INDEX(Models!$BJ166:$BT166,,AH166)*(1-AF166)+INDEX(Models!$BJ166:$BT166,,AH166+1)*AF166-ERP_i)*AE166*Ramure*Pc/MaxiM</f>
        <v>1.5168081119259328E-4</v>
      </c>
      <c r="AE166" s="305">
        <f t="shared" si="65"/>
        <v>0.7</v>
      </c>
      <c r="AF166" s="177">
        <f t="shared" si="66"/>
        <v>0.56244409820411501</v>
      </c>
      <c r="AG166" s="810">
        <f t="shared" si="74"/>
        <v>0</v>
      </c>
      <c r="AH166" s="176">
        <f t="shared" si="67"/>
        <v>6</v>
      </c>
      <c r="AI166" s="225">
        <f t="shared" si="68"/>
        <v>0.56244409820411501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47.39468036813318</v>
      </c>
      <c r="C167" s="840"/>
      <c r="D167" s="393">
        <f t="shared" si="50"/>
        <v>49.383080822018492</v>
      </c>
      <c r="E167" s="385">
        <f t="shared" si="72"/>
        <v>50.625138849409794</v>
      </c>
      <c r="F167" s="385">
        <f t="shared" si="51"/>
        <v>50.630550446752316</v>
      </c>
      <c r="G167" s="110">
        <f t="shared" si="73"/>
        <v>0.788309627768356</v>
      </c>
      <c r="H167" s="414" t="b">
        <f>Wh_hp&gt;='2022'!Maxi_hp</f>
        <v>0</v>
      </c>
      <c r="I167" s="390">
        <f>IF(H167,Wh_hp,'2022'!Maxi_hp)</f>
        <v>63.527913970143331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4.0264811769271769E-2</v>
      </c>
      <c r="M167" s="844"/>
      <c r="N167" s="844"/>
      <c r="O167" s="48">
        <f>IF(t&lt;Tnet,'2022'!Resal+('2022'!Salim-'2022'!Resal)*(1-EXP(('2022'!Tnet-t)/('2022'!Tau_j))),Resal+(Salim-Resal)*(1-EXP((Tnet-t)/(Tau_j))))*Salcycl</f>
        <v>2.4534412262768257E-2</v>
      </c>
      <c r="P167" s="169">
        <f>(INDEX(Models!$BJ167:$BT167,,T167)*(1-R167)+INDEX(Models!$BJ167:$BT167,,T167+1)*R167-ERP_i)*Q167*Ramure*Pc/MaxiM</f>
        <v>1.5320858317465906E-4</v>
      </c>
      <c r="Q167" s="305">
        <f t="shared" si="53"/>
        <v>0.7</v>
      </c>
      <c r="R167" s="177">
        <f t="shared" si="54"/>
        <v>0.56643757293564501</v>
      </c>
      <c r="S167" s="810">
        <f t="shared" si="55"/>
        <v>0</v>
      </c>
      <c r="T167" s="176">
        <f t="shared" si="56"/>
        <v>6</v>
      </c>
      <c r="U167" s="251">
        <f t="shared" si="57"/>
        <v>0.56643757293564501</v>
      </c>
      <c r="V167" s="383">
        <f t="shared" si="58"/>
        <v>60.119124423583401</v>
      </c>
      <c r="W167" s="402">
        <f t="shared" si="59"/>
        <v>47.39468036813318</v>
      </c>
      <c r="X167" s="157">
        <f t="shared" si="60"/>
        <v>45079</v>
      </c>
      <c r="Y167" s="385">
        <f t="shared" si="61"/>
        <v>42.86115131442228</v>
      </c>
      <c r="Z167" s="385">
        <f t="shared" si="62"/>
        <v>44.659351704543425</v>
      </c>
      <c r="AA167" s="386">
        <f t="shared" si="63"/>
        <v>50.625138849409794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0.11784238582756831</v>
      </c>
      <c r="AD167" s="231">
        <f>(INDEX(Models!$BJ167:$BT167,,AH167)*(1-AF167)+INDEX(Models!$BJ167:$BT167,,AH167+1)*AF167-ERP_i)*AE167*Ramure*Pc/MaxiM</f>
        <v>1.5320858317465906E-4</v>
      </c>
      <c r="AE167" s="305">
        <f t="shared" si="65"/>
        <v>0.7</v>
      </c>
      <c r="AF167" s="177">
        <f t="shared" si="66"/>
        <v>0.56643757293564501</v>
      </c>
      <c r="AG167" s="810">
        <f t="shared" si="74"/>
        <v>0</v>
      </c>
      <c r="AH167" s="176">
        <f t="shared" si="67"/>
        <v>6</v>
      </c>
      <c r="AI167" s="225">
        <f t="shared" si="68"/>
        <v>0.56643757293564501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55.236785126877983</v>
      </c>
      <c r="C168" s="840"/>
      <c r="D168" s="393">
        <f t="shared" si="50"/>
        <v>57.555533312589894</v>
      </c>
      <c r="E168" s="385">
        <f t="shared" si="72"/>
        <v>59.014825464508796</v>
      </c>
      <c r="F168" s="385">
        <f t="shared" si="51"/>
        <v>59.022903320457509</v>
      </c>
      <c r="G168" s="110">
        <f t="shared" si="73"/>
        <v>0.91882577537242593</v>
      </c>
      <c r="H168" s="414" t="b">
        <f>Wh_hp&gt;='2022'!Maxi_hp</f>
        <v>0</v>
      </c>
      <c r="I168" s="390">
        <f>IF(H168,Wh_hp,'2022'!Maxi_hp)</f>
        <v>59.023162907368395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4.0287146209184721E-2</v>
      </c>
      <c r="M168" s="844"/>
      <c r="N168" s="844"/>
      <c r="O168" s="48">
        <f>IF(t&lt;Tnet,'2022'!Resal+('2022'!Salim-'2022'!Resal)*(1-EXP(('2022'!Tnet-t)/('2022'!Tau_j))),Resal+(Salim-Resal)*(1-EXP((Tnet-t)/(Tau_j))))*Salcycl</f>
        <v>2.4727551770809122E-2</v>
      </c>
      <c r="P168" s="169">
        <f>(INDEX(Models!$BJ168:$BT168,,T168)*(1-R168)+INDEX(Models!$BJ168:$BT168,,T168+1)*R168-ERP_i)*Q168*Ramure*Pc/MaxiM</f>
        <v>1.5480807332187403E-4</v>
      </c>
      <c r="Q168" s="305">
        <f t="shared" si="53"/>
        <v>0.7</v>
      </c>
      <c r="R168" s="177">
        <f t="shared" si="54"/>
        <v>0.57045787116146252</v>
      </c>
      <c r="S168" s="810">
        <f t="shared" si="55"/>
        <v>0</v>
      </c>
      <c r="T168" s="176">
        <f t="shared" si="56"/>
        <v>6</v>
      </c>
      <c r="U168" s="251">
        <f t="shared" si="57"/>
        <v>0.57045787116146252</v>
      </c>
      <c r="V168" s="383">
        <f t="shared" si="58"/>
        <v>60.115633518781529</v>
      </c>
      <c r="W168" s="402">
        <f t="shared" si="59"/>
        <v>55.236785126877983</v>
      </c>
      <c r="X168" s="157">
        <f t="shared" si="60"/>
        <v>45080</v>
      </c>
      <c r="Y168" s="385">
        <f t="shared" si="61"/>
        <v>49.954363376146617</v>
      </c>
      <c r="Z168" s="385">
        <f t="shared" si="62"/>
        <v>52.051364300091961</v>
      </c>
      <c r="AA168" s="386">
        <f t="shared" si="63"/>
        <v>59.014825464508796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0.11799511579687084</v>
      </c>
      <c r="AD168" s="231">
        <f>(INDEX(Models!$BJ168:$BT168,,AH168)*(1-AF168)+INDEX(Models!$BJ168:$BT168,,AH168+1)*AF168-ERP_i)*AE168*Ramure*Pc/MaxiM</f>
        <v>1.5480807332187403E-4</v>
      </c>
      <c r="AE168" s="305">
        <f t="shared" si="65"/>
        <v>0.7</v>
      </c>
      <c r="AF168" s="177">
        <f t="shared" si="66"/>
        <v>0.57045787116146252</v>
      </c>
      <c r="AG168" s="810">
        <f t="shared" si="74"/>
        <v>0</v>
      </c>
      <c r="AH168" s="176">
        <f t="shared" si="67"/>
        <v>6</v>
      </c>
      <c r="AI168" s="225">
        <f t="shared" si="68"/>
        <v>0.57045787116146252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27.358113525167418</v>
      </c>
      <c r="C169" s="840"/>
      <c r="D169" s="393">
        <f t="shared" si="50"/>
        <v>28.507224942531074</v>
      </c>
      <c r="E169" s="385">
        <f t="shared" si="72"/>
        <v>29.235796691991602</v>
      </c>
      <c r="F169" s="385">
        <f t="shared" si="51"/>
        <v>29.236810676413516</v>
      </c>
      <c r="G169" s="110">
        <f t="shared" si="73"/>
        <v>0.45509190663034227</v>
      </c>
      <c r="H169" s="414" t="b">
        <f>Wh_hp&gt;='2022'!Maxi_hp</f>
        <v>0</v>
      </c>
      <c r="I169" s="390">
        <f>IF(H169,Wh_hp,'2022'!Maxi_hp)</f>
        <v>55.953130597510338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4.0309480129342656E-2</v>
      </c>
      <c r="M169" s="844"/>
      <c r="N169" s="844"/>
      <c r="O169" s="48">
        <f>IF(t&lt;Tnet,'2022'!Resal+('2022'!Salim-'2022'!Resal)*(1-EXP(('2022'!Tnet-t)/('2022'!Tau_j))),Resal+(Salim-Resal)*(1-EXP((Tnet-t)/(Tau_j))))*Salcycl</f>
        <v>2.4920536872528647E-2</v>
      </c>
      <c r="P169" s="169">
        <f>(INDEX(Models!$BJ169:$BT169,,T169)*(1-R169)+INDEX(Models!$BJ169:$BT169,,T169+1)*R169-ERP_i)*Q169*Ramure*Pc/MaxiM</f>
        <v>1.5647861087485701E-4</v>
      </c>
      <c r="Q169" s="305">
        <f t="shared" si="53"/>
        <v>0.7</v>
      </c>
      <c r="R169" s="177">
        <f t="shared" si="54"/>
        <v>0.57450183718519043</v>
      </c>
      <c r="S169" s="810">
        <f t="shared" si="55"/>
        <v>0</v>
      </c>
      <c r="T169" s="176">
        <f t="shared" si="56"/>
        <v>6</v>
      </c>
      <c r="U169" s="251">
        <f t="shared" si="57"/>
        <v>0.57450183718519043</v>
      </c>
      <c r="V169" s="383">
        <f t="shared" si="58"/>
        <v>60.108256990147815</v>
      </c>
      <c r="W169" s="402">
        <f t="shared" si="59"/>
        <v>27.358113525167418</v>
      </c>
      <c r="X169" s="157">
        <f t="shared" si="60"/>
        <v>45081</v>
      </c>
      <c r="Y169" s="385">
        <f t="shared" si="61"/>
        <v>24.742430820334064</v>
      </c>
      <c r="Z169" s="385">
        <f t="shared" si="62"/>
        <v>25.781676809383022</v>
      </c>
      <c r="AA169" s="386">
        <f t="shared" si="63"/>
        <v>29.235796691991602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0.11814693880241514</v>
      </c>
      <c r="AD169" s="231">
        <f>(INDEX(Models!$BJ169:$BT169,,AH169)*(1-AF169)+INDEX(Models!$BJ169:$BT169,,AH169+1)*AF169-ERP_i)*AE169*Ramure*Pc/MaxiM</f>
        <v>1.5647861087485701E-4</v>
      </c>
      <c r="AE169" s="305">
        <f t="shared" si="65"/>
        <v>0.7</v>
      </c>
      <c r="AF169" s="177">
        <f t="shared" si="66"/>
        <v>0.57450183718519043</v>
      </c>
      <c r="AG169" s="810">
        <f t="shared" si="74"/>
        <v>0</v>
      </c>
      <c r="AH169" s="176">
        <f t="shared" si="67"/>
        <v>6</v>
      </c>
      <c r="AI169" s="225">
        <f t="shared" si="68"/>
        <v>0.57450183718519043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38.071098719339759</v>
      </c>
      <c r="C170" s="840"/>
      <c r="D170" s="393">
        <f t="shared" si="50"/>
        <v>39.671106384561057</v>
      </c>
      <c r="E170" s="385">
        <f t="shared" ref="E170:E232" si="75">Wh_pvt/(1-Psa)</f>
        <v>40.693044791003452</v>
      </c>
      <c r="F170" s="385">
        <f t="shared" si="51"/>
        <v>40.696113218378827</v>
      </c>
      <c r="G170" s="110">
        <f t="shared" ref="G170:G232" si="76">+Wh_hp/MaxiM</f>
        <v>0.63343846954286709</v>
      </c>
      <c r="H170" s="414" t="b">
        <f>Wh_hp&gt;='2022'!Maxi_hp</f>
        <v>0</v>
      </c>
      <c r="I170" s="390">
        <f>IF(H170,Wh_hp,'2022'!Maxi_hp)</f>
        <v>47.290496424932876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4.0331813529757676E-2</v>
      </c>
      <c r="M170" s="844"/>
      <c r="N170" s="844"/>
      <c r="O170" s="48">
        <f>IF(t&lt;Tnet,'2022'!Resal+('2022'!Salim-'2022'!Resal)*(1-EXP(('2022'!Tnet-t)/('2022'!Tau_j))),Resal+(Salim-Resal)*(1-EXP((Tnet-t)/(Tau_j))))*Salcycl</f>
        <v>2.5113343365948549E-2</v>
      </c>
      <c r="P170" s="169">
        <f>(INDEX(Models!$BJ170:$BT170,,T170)*(1-R170)+INDEX(Models!$BJ170:$BT170,,T170+1)*R170-ERP_i)*Q170*Ramure*Pc/MaxiM</f>
        <v>1.5826208431159281E-4</v>
      </c>
      <c r="Q170" s="305">
        <f t="shared" si="53"/>
        <v>0.7</v>
      </c>
      <c r="R170" s="177">
        <f t="shared" si="54"/>
        <v>0.57856623788140793</v>
      </c>
      <c r="S170" s="810">
        <f t="shared" si="55"/>
        <v>0</v>
      </c>
      <c r="T170" s="176">
        <f t="shared" si="56"/>
        <v>6</v>
      </c>
      <c r="U170" s="251">
        <f t="shared" si="57"/>
        <v>0.57856623788140793</v>
      </c>
      <c r="V170" s="383">
        <f t="shared" si="58"/>
        <v>60.097303219715577</v>
      </c>
      <c r="W170" s="402">
        <f t="shared" si="59"/>
        <v>38.071098719339759</v>
      </c>
      <c r="X170" s="157">
        <f t="shared" si="60"/>
        <v>45082</v>
      </c>
      <c r="Y170" s="385">
        <f t="shared" si="61"/>
        <v>34.432077633219002</v>
      </c>
      <c r="Z170" s="385">
        <f t="shared" si="62"/>
        <v>35.879148771059825</v>
      </c>
      <c r="AA170" s="386">
        <f t="shared" si="63"/>
        <v>40.693044791003452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0.11829775935095176</v>
      </c>
      <c r="AD170" s="231">
        <f>(INDEX(Models!$BJ170:$BT170,,AH170)*(1-AF170)+INDEX(Models!$BJ170:$BT170,,AH170+1)*AF170-ERP_i)*AE170*Ramure*Pc/MaxiM</f>
        <v>1.5826208431159281E-4</v>
      </c>
      <c r="AE170" s="305">
        <f t="shared" si="65"/>
        <v>0.7</v>
      </c>
      <c r="AF170" s="177">
        <f t="shared" si="66"/>
        <v>0.57856623788140793</v>
      </c>
      <c r="AG170" s="810">
        <f t="shared" si="74"/>
        <v>0</v>
      </c>
      <c r="AH170" s="176">
        <f t="shared" si="67"/>
        <v>6</v>
      </c>
      <c r="AI170" s="225">
        <f t="shared" si="68"/>
        <v>0.57856623788140793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45.893874930779354</v>
      </c>
      <c r="C171" s="840"/>
      <c r="D171" s="393">
        <f t="shared" si="50"/>
        <v>47.823762025452602</v>
      </c>
      <c r="E171" s="385">
        <f t="shared" si="75"/>
        <v>49.06540865811062</v>
      </c>
      <c r="F171" s="385">
        <f t="shared" si="51"/>
        <v>49.070613993358521</v>
      </c>
      <c r="G171" s="110">
        <f t="shared" si="76"/>
        <v>0.7637989024230365</v>
      </c>
      <c r="H171" s="414" t="b">
        <f>Wh_hp&gt;='2022'!Maxi_hp</f>
        <v>0</v>
      </c>
      <c r="I171" s="390">
        <f>IF(H171,Wh_hp,'2022'!Maxi_hp)</f>
        <v>63.423622728283476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4.0354146410441882E-2</v>
      </c>
      <c r="M171" s="844"/>
      <c r="N171" s="844"/>
      <c r="O171" s="48">
        <f>IF(t&lt;Tnet,'2022'!Resal+('2022'!Salim-'2022'!Resal)*(1-EXP(('2022'!Tnet-t)/('2022'!Tau_j))),Resal+(Salim-Resal)*(1-EXP((Tnet-t)/(Tau_j))))*Salcycl</f>
        <v>2.5305947033068737E-2</v>
      </c>
      <c r="P171" s="169">
        <f>(INDEX(Models!$BJ171:$BT171,,T171)*(1-R171)+INDEX(Models!$BJ171:$BT171,,T171+1)*R171-ERP_i)*Q171*Ramure*Pc/MaxiM</f>
        <v>1.6008730907061421E-4</v>
      </c>
      <c r="Q171" s="305">
        <f t="shared" si="53"/>
        <v>0.7</v>
      </c>
      <c r="R171" s="177">
        <f t="shared" si="54"/>
        <v>0.58264777271911994</v>
      </c>
      <c r="S171" s="810">
        <f t="shared" si="55"/>
        <v>0</v>
      </c>
      <c r="T171" s="176">
        <f t="shared" si="56"/>
        <v>6</v>
      </c>
      <c r="U171" s="251">
        <f t="shared" si="57"/>
        <v>0.58264777271911994</v>
      </c>
      <c r="V171" s="383">
        <f t="shared" si="58"/>
        <v>60.08308711487836</v>
      </c>
      <c r="W171" s="402">
        <f t="shared" si="59"/>
        <v>45.893874930779354</v>
      </c>
      <c r="X171" s="157">
        <f t="shared" si="60"/>
        <v>45083</v>
      </c>
      <c r="Y171" s="385">
        <f t="shared" si="61"/>
        <v>41.50826690814776</v>
      </c>
      <c r="Z171" s="385">
        <f t="shared" si="62"/>
        <v>43.253734440560514</v>
      </c>
      <c r="AA171" s="386">
        <f t="shared" si="63"/>
        <v>49.06540865811062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0.11844748421532655</v>
      </c>
      <c r="AD171" s="231">
        <f>(INDEX(Models!$BJ171:$BT171,,AH171)*(1-AF171)+INDEX(Models!$BJ171:$BT171,,AH171+1)*AF171-ERP_i)*AE171*Ramure*Pc/MaxiM</f>
        <v>1.6008730907061421E-4</v>
      </c>
      <c r="AE171" s="305">
        <f t="shared" si="65"/>
        <v>0.7</v>
      </c>
      <c r="AF171" s="177">
        <f t="shared" si="66"/>
        <v>0.58264777271911994</v>
      </c>
      <c r="AG171" s="810">
        <f t="shared" si="74"/>
        <v>0</v>
      </c>
      <c r="AH171" s="176">
        <f t="shared" si="67"/>
        <v>6</v>
      </c>
      <c r="AI171" s="225">
        <f t="shared" si="68"/>
        <v>0.58264777271911994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31.316401967107641</v>
      </c>
      <c r="C172" s="840"/>
      <c r="D172" s="393">
        <f t="shared" si="50"/>
        <v>32.634049993911866</v>
      </c>
      <c r="E172" s="385">
        <f t="shared" si="75"/>
        <v>33.487936233279022</v>
      </c>
      <c r="F172" s="385">
        <f t="shared" si="51"/>
        <v>33.489651442601058</v>
      </c>
      <c r="G172" s="110">
        <f t="shared" si="76"/>
        <v>0.52130949429223827</v>
      </c>
      <c r="H172" s="414" t="b">
        <f>Wh_hp&gt;='2022'!Maxi_hp</f>
        <v>0</v>
      </c>
      <c r="I172" s="390">
        <f>IF(H172,Wh_hp,'2022'!Maxi_hp)</f>
        <v>52.756129092485281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4.0376478771407265E-2</v>
      </c>
      <c r="M172" s="844"/>
      <c r="N172" s="844"/>
      <c r="O172" s="48">
        <f>IF(t&lt;Tnet,'2022'!Resal+('2022'!Salim-'2022'!Resal)*(1-EXP(('2022'!Tnet-t)/('2022'!Tau_j))),Resal+(Salim-Resal)*(1-EXP((Tnet-t)/(Tau_j))))*Salcycl</f>
        <v>2.5498323737208891E-2</v>
      </c>
      <c r="P172" s="169">
        <f>(INDEX(Models!$BJ172:$BT172,,T172)*(1-R172)+INDEX(Models!$BJ172:$BT172,,T172+1)*R172-ERP_i)*Q172*Ramure*Pc/MaxiM</f>
        <v>1.6195382358244353E-4</v>
      </c>
      <c r="Q172" s="305">
        <f t="shared" si="53"/>
        <v>0.7</v>
      </c>
      <c r="R172" s="177">
        <f t="shared" si="54"/>
        <v>0.58674308425338073</v>
      </c>
      <c r="S172" s="810">
        <f t="shared" si="55"/>
        <v>0</v>
      </c>
      <c r="T172" s="176">
        <f t="shared" si="56"/>
        <v>6</v>
      </c>
      <c r="U172" s="251">
        <f t="shared" si="57"/>
        <v>0.58674308425338073</v>
      </c>
      <c r="V172" s="383">
        <f t="shared" si="58"/>
        <v>60.065919046648808</v>
      </c>
      <c r="W172" s="402">
        <f t="shared" si="59"/>
        <v>31.316401967107641</v>
      </c>
      <c r="X172" s="157">
        <f t="shared" si="60"/>
        <v>45084</v>
      </c>
      <c r="Y172" s="385">
        <f t="shared" si="61"/>
        <v>28.324631878716357</v>
      </c>
      <c r="Z172" s="385">
        <f t="shared" si="62"/>
        <v>29.516400184160474</v>
      </c>
      <c r="AA172" s="386">
        <f t="shared" si="63"/>
        <v>33.487936233279022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0.11859602280213929</v>
      </c>
      <c r="AD172" s="231">
        <f>(INDEX(Models!$BJ172:$BT172,,AH172)*(1-AF172)+INDEX(Models!$BJ172:$BT172,,AH172+1)*AF172-ERP_i)*AE172*Ramure*Pc/MaxiM</f>
        <v>1.6195382358244353E-4</v>
      </c>
      <c r="AE172" s="305">
        <f t="shared" si="65"/>
        <v>0.7</v>
      </c>
      <c r="AF172" s="177">
        <f t="shared" si="66"/>
        <v>0.58674308425338073</v>
      </c>
      <c r="AG172" s="810">
        <f t="shared" si="74"/>
        <v>0</v>
      </c>
      <c r="AH172" s="176">
        <f t="shared" si="67"/>
        <v>6</v>
      </c>
      <c r="AI172" s="225">
        <f t="shared" si="68"/>
        <v>0.58674308425338073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21.971768092093708</v>
      </c>
      <c r="C173" s="840"/>
      <c r="D173" s="393">
        <f t="shared" si="50"/>
        <v>22.896770382414573</v>
      </c>
      <c r="E173" s="385">
        <f t="shared" si="75"/>
        <v>23.500509023200049</v>
      </c>
      <c r="F173" s="385">
        <f t="shared" si="51"/>
        <v>23.50087163819758</v>
      </c>
      <c r="G173" s="110">
        <f t="shared" si="76"/>
        <v>0.36586062066688868</v>
      </c>
      <c r="H173" s="414" t="b">
        <f>Wh_hp&gt;='2022'!Maxi_hp</f>
        <v>0</v>
      </c>
      <c r="I173" s="390">
        <f>IF(H173,Wh_hp,'2022'!Maxi_hp)</f>
        <v>64.288784503922017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4.0398810612665925E-2</v>
      </c>
      <c r="M173" s="844"/>
      <c r="N173" s="844"/>
      <c r="O173" s="48">
        <f>IF(t&lt;Tnet,'2022'!Resal+('2022'!Salim-'2022'!Resal)*(1-EXP(('2022'!Tnet-t)/('2022'!Tau_j))),Resal+(Salim-Resal)*(1-EXP((Tnet-t)/(Tau_j))))*Salcycl</f>
        <v>2.5690449521304271E-2</v>
      </c>
      <c r="P173" s="169">
        <f>(INDEX(Models!$BJ173:$BT173,,T173)*(1-R173)+INDEX(Models!$BJ173:$BT173,,T173+1)*R173-ERP_i)*Q173*Ramure*Pc/MaxiM</f>
        <v>1.6386115265614115E-4</v>
      </c>
      <c r="Q173" s="305">
        <f t="shared" si="53"/>
        <v>0.7</v>
      </c>
      <c r="R173" s="177">
        <f t="shared" si="54"/>
        <v>0.59084876901599392</v>
      </c>
      <c r="S173" s="810">
        <f t="shared" si="55"/>
        <v>0</v>
      </c>
      <c r="T173" s="176">
        <f t="shared" si="56"/>
        <v>6</v>
      </c>
      <c r="U173" s="251">
        <f t="shared" si="57"/>
        <v>0.59084876901599392</v>
      </c>
      <c r="V173" s="383">
        <f t="shared" si="58"/>
        <v>60.046109099242386</v>
      </c>
      <c r="W173" s="402">
        <f t="shared" si="59"/>
        <v>21.971768092093708</v>
      </c>
      <c r="X173" s="157">
        <f t="shared" si="60"/>
        <v>45085</v>
      </c>
      <c r="Y173" s="385">
        <f t="shared" si="61"/>
        <v>19.873322710327759</v>
      </c>
      <c r="Z173" s="385">
        <f t="shared" si="62"/>
        <v>20.709981323612219</v>
      </c>
      <c r="AA173" s="386">
        <f t="shared" si="63"/>
        <v>23.500509023200049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0.11874328751062287</v>
      </c>
      <c r="AD173" s="231">
        <f>(INDEX(Models!$BJ173:$BT173,,AH173)*(1-AF173)+INDEX(Models!$BJ173:$BT173,,AH173+1)*AF173-ERP_i)*AE173*Ramure*Pc/MaxiM</f>
        <v>1.6386115265614115E-4</v>
      </c>
      <c r="AE173" s="305">
        <f t="shared" si="65"/>
        <v>0.7</v>
      </c>
      <c r="AF173" s="177">
        <f t="shared" si="66"/>
        <v>0.59084876901599392</v>
      </c>
      <c r="AG173" s="810">
        <f t="shared" si="74"/>
        <v>0</v>
      </c>
      <c r="AH173" s="176">
        <f t="shared" si="67"/>
        <v>6</v>
      </c>
      <c r="AI173" s="225">
        <f t="shared" si="68"/>
        <v>0.59084876901599392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45.236477055147709</v>
      </c>
      <c r="C174" s="840"/>
      <c r="D174" s="393">
        <f t="shared" si="50"/>
        <v>47.142010971699818</v>
      </c>
      <c r="E174" s="385">
        <f t="shared" si="75"/>
        <v>48.394573885569287</v>
      </c>
      <c r="F174" s="385">
        <f t="shared" si="51"/>
        <v>48.399774617466207</v>
      </c>
      <c r="G174" s="110">
        <f t="shared" si="76"/>
        <v>0.75359625832326715</v>
      </c>
      <c r="H174" s="414" t="b">
        <f>Wh_hp&gt;='2022'!Maxi_hp</f>
        <v>0</v>
      </c>
      <c r="I174" s="390">
        <f>IF(H174,Wh_hp,'2022'!Maxi_hp)</f>
        <v>60.786891370501721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4.0421141934230076E-2</v>
      </c>
      <c r="M174" s="844"/>
      <c r="N174" s="844"/>
      <c r="O174" s="48">
        <f>IF(t&lt;Tnet,'2022'!Resal+('2022'!Salim-'2022'!Resal)*(1-EXP(('2022'!Tnet-t)/('2022'!Tau_j))),Resal+(Salim-Resal)*(1-EXP((Tnet-t)/(Tau_j))))*Salcycl</f>
        <v>2.5882300706504806E-2</v>
      </c>
      <c r="P174" s="169">
        <f>(INDEX(Models!$BJ174:$BT174,,T174)*(1-R174)+INDEX(Models!$BJ174:$BT174,,T174+1)*R174-ERP_i)*Q174*Ramure*Pc/MaxiM</f>
        <v>1.658088065821608E-4</v>
      </c>
      <c r="Q174" s="305">
        <f t="shared" si="53"/>
        <v>0.7</v>
      </c>
      <c r="R174" s="177">
        <f t="shared" si="54"/>
        <v>0.59496138873143856</v>
      </c>
      <c r="S174" s="810">
        <f t="shared" si="55"/>
        <v>0</v>
      </c>
      <c r="T174" s="176">
        <f t="shared" si="56"/>
        <v>6</v>
      </c>
      <c r="U174" s="251">
        <f t="shared" si="57"/>
        <v>0.59496138873143856</v>
      </c>
      <c r="V174" s="383">
        <f t="shared" si="58"/>
        <v>60.023967064136059</v>
      </c>
      <c r="W174" s="402">
        <f t="shared" si="59"/>
        <v>45.236477055147709</v>
      </c>
      <c r="X174" s="157">
        <f t="shared" si="60"/>
        <v>45086</v>
      </c>
      <c r="Y174" s="385">
        <f t="shared" si="61"/>
        <v>40.917384812882624</v>
      </c>
      <c r="Z174" s="385">
        <f t="shared" si="62"/>
        <v>42.640981998457214</v>
      </c>
      <c r="AA174" s="386">
        <f t="shared" si="63"/>
        <v>48.394573885569287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0.11888919408024237</v>
      </c>
      <c r="AD174" s="231">
        <f>(INDEX(Models!$BJ174:$BT174,,AH174)*(1-AF174)+INDEX(Models!$BJ174:$BT174,,AH174+1)*AF174-ERP_i)*AE174*Ramure*Pc/MaxiM</f>
        <v>1.658088065821608E-4</v>
      </c>
      <c r="AE174" s="305">
        <f t="shared" si="65"/>
        <v>0.7</v>
      </c>
      <c r="AF174" s="177">
        <f t="shared" si="66"/>
        <v>0.59496138873143856</v>
      </c>
      <c r="AG174" s="810">
        <f t="shared" si="74"/>
        <v>0</v>
      </c>
      <c r="AH174" s="176">
        <f t="shared" si="67"/>
        <v>6</v>
      </c>
      <c r="AI174" s="225">
        <f t="shared" si="68"/>
        <v>0.59496138873143856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58.7150772932468</v>
      </c>
      <c r="C175" s="840"/>
      <c r="D175" s="393">
        <f t="shared" si="50"/>
        <v>61.189805524713535</v>
      </c>
      <c r="E175" s="385">
        <f t="shared" si="75"/>
        <v>62.827972917066617</v>
      </c>
      <c r="F175" s="385">
        <f t="shared" si="51"/>
        <v>62.83819440363078</v>
      </c>
      <c r="G175" s="110">
        <f t="shared" si="76"/>
        <v>0.97858282022624121</v>
      </c>
      <c r="H175" s="414" t="b">
        <f>Wh_hp&gt;='2022'!Maxi_hp</f>
        <v>0</v>
      </c>
      <c r="I175" s="390">
        <f>IF(H175,Wh_hp,'2022'!Maxi_hp)</f>
        <v>62.838268627331253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4.0443472736111818E-2</v>
      </c>
      <c r="M175" s="844"/>
      <c r="N175" s="844"/>
      <c r="O175" s="48">
        <f>IF(t&lt;Tnet,'2022'!Resal+('2022'!Salim-'2022'!Resal)*(1-EXP(('2022'!Tnet-t)/('2022'!Tau_j))),Resal+(Salim-Resal)*(1-EXP((Tnet-t)/(Tau_j))))*Salcycl</f>
        <v>2.6073853990410886E-2</v>
      </c>
      <c r="P175" s="169">
        <f>(INDEX(Models!$BJ175:$BT175,,T175)*(1-R175)+INDEX(Models!$BJ175:$BT175,,T175+1)*R175-ERP_i)*Q175*Ramure*Pc/MaxiM</f>
        <v>1.6779628029116818E-4</v>
      </c>
      <c r="Q175" s="305">
        <f t="shared" si="53"/>
        <v>0.7</v>
      </c>
      <c r="R175" s="177">
        <f t="shared" si="54"/>
        <v>0.59907748178024778</v>
      </c>
      <c r="S175" s="810">
        <f t="shared" si="55"/>
        <v>0</v>
      </c>
      <c r="T175" s="176">
        <f t="shared" si="56"/>
        <v>6</v>
      </c>
      <c r="U175" s="251">
        <f t="shared" si="57"/>
        <v>0.59907748178024778</v>
      </c>
      <c r="V175" s="383">
        <f t="shared" si="58"/>
        <v>59.999802433269117</v>
      </c>
      <c r="W175" s="402">
        <f t="shared" si="59"/>
        <v>58.7150772932468</v>
      </c>
      <c r="X175" s="157">
        <f t="shared" si="60"/>
        <v>45087</v>
      </c>
      <c r="Y175" s="385">
        <f t="shared" si="61"/>
        <v>53.110810141797842</v>
      </c>
      <c r="Z175" s="385">
        <f t="shared" si="62"/>
        <v>55.349329229451229</v>
      </c>
      <c r="AA175" s="386">
        <f t="shared" si="63"/>
        <v>62.827972917066617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0.11903366192455785</v>
      </c>
      <c r="AD175" s="231">
        <f>(INDEX(Models!$BJ175:$BT175,,AH175)*(1-AF175)+INDEX(Models!$BJ175:$BT175,,AH175+1)*AF175-ERP_i)*AE175*Ramure*Pc/MaxiM</f>
        <v>1.6779628029116818E-4</v>
      </c>
      <c r="AE175" s="305">
        <f t="shared" si="65"/>
        <v>0.7</v>
      </c>
      <c r="AF175" s="177">
        <f t="shared" si="66"/>
        <v>0.59907748178024778</v>
      </c>
      <c r="AG175" s="810">
        <f t="shared" si="74"/>
        <v>0</v>
      </c>
      <c r="AH175" s="176">
        <f t="shared" si="67"/>
        <v>6</v>
      </c>
      <c r="AI175" s="225">
        <f t="shared" si="68"/>
        <v>0.59907748178024778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56.484363497279105</v>
      </c>
      <c r="C176" s="840"/>
      <c r="D176" s="393">
        <f t="shared" si="50"/>
        <v>58.866441315960429</v>
      </c>
      <c r="E176" s="385">
        <f t="shared" si="75"/>
        <v>60.45427816390665</v>
      </c>
      <c r="F176" s="385">
        <f t="shared" si="51"/>
        <v>60.463692796600554</v>
      </c>
      <c r="G176" s="110">
        <f t="shared" si="76"/>
        <v>0.94180206848833969</v>
      </c>
      <c r="H176" s="414" t="b">
        <f>Wh_hp&gt;='2022'!Maxi_hp</f>
        <v>0</v>
      </c>
      <c r="I176" s="390">
        <f>IF(H176,Wh_hp,'2022'!Maxi_hp)</f>
        <v>60.46388788681103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4.0465803018323032E-2</v>
      </c>
      <c r="M176" s="844"/>
      <c r="N176" s="844"/>
      <c r="O176" s="48">
        <f>IF(t&lt;Tnet,'2022'!Resal+('2022'!Salim-'2022'!Resal)*(1-EXP(('2022'!Tnet-t)/('2022'!Tau_j))),Resal+(Salim-Resal)*(1-EXP((Tnet-t)/(Tau_j))))*Salcycl</f>
        <v>2.6265086544267447E-2</v>
      </c>
      <c r="P176" s="169">
        <f>(INDEX(Models!$BJ176:$BT176,,T176)*(1-R176)+INDEX(Models!$BJ176:$BT176,,T176+1)*R176-ERP_i)*Q176*Ramure*Pc/MaxiM</f>
        <v>1.6982305256215872E-4</v>
      </c>
      <c r="Q176" s="305">
        <f t="shared" si="53"/>
        <v>0.7</v>
      </c>
      <c r="R176" s="177">
        <f t="shared" si="54"/>
        <v>0.603193574829057</v>
      </c>
      <c r="S176" s="810">
        <f t="shared" si="55"/>
        <v>0</v>
      </c>
      <c r="T176" s="176">
        <f t="shared" si="56"/>
        <v>6</v>
      </c>
      <c r="U176" s="251">
        <f t="shared" si="57"/>
        <v>0.603193574829057</v>
      </c>
      <c r="V176" s="383">
        <f t="shared" si="58"/>
        <v>59.973924392823868</v>
      </c>
      <c r="W176" s="402">
        <f t="shared" si="59"/>
        <v>56.484363497279105</v>
      </c>
      <c r="X176" s="157">
        <f t="shared" si="60"/>
        <v>45088</v>
      </c>
      <c r="Y176" s="385">
        <f t="shared" si="61"/>
        <v>51.094756487470697</v>
      </c>
      <c r="Z176" s="385">
        <f t="shared" si="62"/>
        <v>53.249541963376622</v>
      </c>
      <c r="AA176" s="386">
        <f t="shared" si="63"/>
        <v>60.45427816390665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0.11917661444895915</v>
      </c>
      <c r="AD176" s="231">
        <f>(INDEX(Models!$BJ176:$BT176,,AH176)*(1-AF176)+INDEX(Models!$BJ176:$BT176,,AH176+1)*AF176-ERP_i)*AE176*Ramure*Pc/MaxiM</f>
        <v>1.6982305256215872E-4</v>
      </c>
      <c r="AE176" s="305">
        <f t="shared" si="65"/>
        <v>0.7</v>
      </c>
      <c r="AF176" s="177">
        <f t="shared" si="66"/>
        <v>0.603193574829057</v>
      </c>
      <c r="AG176" s="810">
        <f t="shared" si="74"/>
        <v>0</v>
      </c>
      <c r="AH176" s="176">
        <f t="shared" si="67"/>
        <v>6</v>
      </c>
      <c r="AI176" s="225">
        <f t="shared" si="68"/>
        <v>0.603193574829057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43.934593268818055</v>
      </c>
      <c r="C177" s="840"/>
      <c r="D177" s="393">
        <f t="shared" si="50"/>
        <v>45.788483467276073</v>
      </c>
      <c r="E177" s="385">
        <f t="shared" si="75"/>
        <v>47.032781613968432</v>
      </c>
      <c r="F177" s="385">
        <f t="shared" si="51"/>
        <v>47.037781932235639</v>
      </c>
      <c r="G177" s="110">
        <f t="shared" si="76"/>
        <v>0.73285898238850411</v>
      </c>
      <c r="H177" s="414" t="b">
        <f>Wh_hp&gt;='2022'!Maxi_hp</f>
        <v>0</v>
      </c>
      <c r="I177" s="390">
        <f>IF(H177,Wh_hp,'2022'!Maxi_hp)</f>
        <v>55.539743241792053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4.0488132780876041E-2</v>
      </c>
      <c r="M177" s="844"/>
      <c r="N177" s="844"/>
      <c r="O177" s="48">
        <f>IF(t&lt;Tnet,'2022'!Resal+('2022'!Salim-'2022'!Resal)*(1-EXP(('2022'!Tnet-t)/('2022'!Tau_j))),Resal+(Salim-Resal)*(1-EXP((Tnet-t)/(Tau_j))))*Salcycl</f>
        <v>2.6455976108434337E-2</v>
      </c>
      <c r="P177" s="169">
        <f>(INDEX(Models!$BJ177:$BT177,,T177)*(1-R177)+INDEX(Models!$BJ177:$BT177,,T177+1)*R177-ERP_i)*Q177*Ramure*Pc/MaxiM</f>
        <v>1.7189141558983015E-4</v>
      </c>
      <c r="Q177" s="305">
        <f t="shared" si="53"/>
        <v>0.7</v>
      </c>
      <c r="R177" s="177">
        <f t="shared" si="54"/>
        <v>0.60730619454450174</v>
      </c>
      <c r="S177" s="810">
        <f t="shared" si="55"/>
        <v>0</v>
      </c>
      <c r="T177" s="176">
        <f t="shared" si="56"/>
        <v>6</v>
      </c>
      <c r="U177" s="251">
        <f t="shared" si="57"/>
        <v>0.60730619454450174</v>
      </c>
      <c r="V177" s="383">
        <f t="shared" si="58"/>
        <v>59.945654586694147</v>
      </c>
      <c r="W177" s="402">
        <f t="shared" si="59"/>
        <v>43.934593268818055</v>
      </c>
      <c r="X177" s="157">
        <f t="shared" si="60"/>
        <v>45089</v>
      </c>
      <c r="Y177" s="385">
        <f t="shared" si="61"/>
        <v>39.74386923125882</v>
      </c>
      <c r="Z177" s="385">
        <f t="shared" si="62"/>
        <v>41.420925148581311</v>
      </c>
      <c r="AA177" s="386">
        <f t="shared" si="63"/>
        <v>47.032781613968432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0.1193179793499697</v>
      </c>
      <c r="AD177" s="231">
        <f>(INDEX(Models!$BJ177:$BT177,,AH177)*(1-AF177)+INDEX(Models!$BJ177:$BT177,,AH177+1)*AF177-ERP_i)*AE177*Ramure*Pc/MaxiM</f>
        <v>1.7189141558983015E-4</v>
      </c>
      <c r="AE177" s="305">
        <f t="shared" si="65"/>
        <v>0.7</v>
      </c>
      <c r="AF177" s="177">
        <f t="shared" si="66"/>
        <v>0.60730619454450174</v>
      </c>
      <c r="AG177" s="810">
        <f t="shared" si="74"/>
        <v>0</v>
      </c>
      <c r="AH177" s="176">
        <f t="shared" si="67"/>
        <v>6</v>
      </c>
      <c r="AI177" s="225">
        <f t="shared" si="68"/>
        <v>0.60730619454450174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55.660179929185603</v>
      </c>
      <c r="C178" s="840"/>
      <c r="D178" s="393">
        <f t="shared" si="50"/>
        <v>58.01019993046058</v>
      </c>
      <c r="E178" s="385">
        <f t="shared" si="75"/>
        <v>59.598285715468876</v>
      </c>
      <c r="F178" s="385">
        <f t="shared" si="51"/>
        <v>59.607600615231874</v>
      </c>
      <c r="G178" s="110">
        <f t="shared" si="76"/>
        <v>0.9289819801158804</v>
      </c>
      <c r="H178" s="414" t="b">
        <f>Wh_hp&gt;='2022'!Maxi_hp</f>
        <v>0</v>
      </c>
      <c r="I178" s="390">
        <f>IF(H178,Wh_hp,'2022'!Maxi_hp)</f>
        <v>65.896682461422955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4.0510462023782945E-2</v>
      </c>
      <c r="M178" s="844"/>
      <c r="N178" s="844"/>
      <c r="O178" s="48">
        <f>IF(t&lt;Tnet,'2022'!Resal+('2022'!Salim-'2022'!Resal)*(1-EXP(('2022'!Tnet-t)/('2022'!Tau_j))),Resal+(Salim-Resal)*(1-EXP((Tnet-t)/(Tau_j))))*Salcycl</f>
        <v>2.66465010854516E-2</v>
      </c>
      <c r="P178" s="169">
        <f>(INDEX(Models!$BJ178:$BT178,,T178)*(1-R178)+INDEX(Models!$BJ178:$BT178,,T178+1)*R178-ERP_i)*Q178*Ramure*Pc/MaxiM</f>
        <v>1.7391020429652061E-4</v>
      </c>
      <c r="Q178" s="305">
        <f t="shared" si="53"/>
        <v>0.7</v>
      </c>
      <c r="R178" s="177">
        <f t="shared" si="54"/>
        <v>0.61141187930711494</v>
      </c>
      <c r="S178" s="810">
        <f t="shared" si="55"/>
        <v>0</v>
      </c>
      <c r="T178" s="176">
        <f t="shared" si="56"/>
        <v>6</v>
      </c>
      <c r="U178" s="251">
        <f t="shared" si="57"/>
        <v>0.61141187930711494</v>
      </c>
      <c r="V178" s="383">
        <f t="shared" si="58"/>
        <v>59.914184697673917</v>
      </c>
      <c r="W178" s="402">
        <f t="shared" si="59"/>
        <v>55.660179929185603</v>
      </c>
      <c r="X178" s="157">
        <f t="shared" si="60"/>
        <v>45090</v>
      </c>
      <c r="Y178" s="385">
        <f t="shared" si="61"/>
        <v>50.352871311482026</v>
      </c>
      <c r="Z178" s="385">
        <f t="shared" si="62"/>
        <v>52.478812241859096</v>
      </c>
      <c r="AA178" s="386">
        <f t="shared" si="63"/>
        <v>59.598285715468876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0.11945768889392576</v>
      </c>
      <c r="AD178" s="231">
        <f>(INDEX(Models!$BJ178:$BT178,,AH178)*(1-AF178)+INDEX(Models!$BJ178:$BT178,,AH178+1)*AF178-ERP_i)*AE178*Ramure*Pc/MaxiM</f>
        <v>1.7391020429652061E-4</v>
      </c>
      <c r="AE178" s="305">
        <f t="shared" si="65"/>
        <v>0.7</v>
      </c>
      <c r="AF178" s="177">
        <f t="shared" si="66"/>
        <v>0.61141187930711494</v>
      </c>
      <c r="AG178" s="810">
        <f t="shared" si="74"/>
        <v>0</v>
      </c>
      <c r="AH178" s="176">
        <f t="shared" si="67"/>
        <v>6</v>
      </c>
      <c r="AI178" s="225">
        <f t="shared" si="68"/>
        <v>0.61141187930711494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48.112341930575617</v>
      </c>
      <c r="C179" s="840"/>
      <c r="D179" s="393">
        <f t="shared" si="50"/>
        <v>50.144852754307898</v>
      </c>
      <c r="E179" s="385">
        <f t="shared" si="75"/>
        <v>51.52768265625177</v>
      </c>
      <c r="F179" s="385">
        <f t="shared" si="51"/>
        <v>51.534202106587031</v>
      </c>
      <c r="G179" s="110">
        <f t="shared" si="76"/>
        <v>0.80344474575428049</v>
      </c>
      <c r="H179" s="414" t="b">
        <f>Wh_hp&gt;='2022'!Maxi_hp</f>
        <v>0</v>
      </c>
      <c r="I179" s="390">
        <f>IF(H179,Wh_hp,'2022'!Maxi_hp)</f>
        <v>55.28412997128946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4.0532790747055625E-2</v>
      </c>
      <c r="M179" s="844"/>
      <c r="N179" s="844"/>
      <c r="O179" s="48">
        <f>IF(t&lt;Tnet,'2022'!Resal+('2022'!Salim-'2022'!Resal)*(1-EXP(('2022'!Tnet-t)/('2022'!Tau_j))),Resal+(Salim-Resal)*(1-EXP((Tnet-t)/(Tau_j))))*Salcycl</f>
        <v>2.6836640630026481E-2</v>
      </c>
      <c r="P179" s="169">
        <f>(INDEX(Models!$BJ179:$BT179,,T179)*(1-R179)+INDEX(Models!$BJ179:$BT179,,T179+1)*R179-ERP_i)*Q179*Ramure*Pc/MaxiM</f>
        <v>1.7588444181792175E-4</v>
      </c>
      <c r="Q179" s="305">
        <f t="shared" si="53"/>
        <v>0.7</v>
      </c>
      <c r="R179" s="177">
        <f t="shared" si="54"/>
        <v>0.61550719084137573</v>
      </c>
      <c r="S179" s="810">
        <f t="shared" si="55"/>
        <v>0</v>
      </c>
      <c r="T179" s="176">
        <f t="shared" si="56"/>
        <v>6</v>
      </c>
      <c r="U179" s="251">
        <f t="shared" si="57"/>
        <v>0.61550719084137573</v>
      </c>
      <c r="V179" s="383">
        <f t="shared" si="58"/>
        <v>59.879619889273343</v>
      </c>
      <c r="W179" s="402">
        <f t="shared" si="59"/>
        <v>48.112341930575617</v>
      </c>
      <c r="X179" s="157">
        <f t="shared" si="60"/>
        <v>45091</v>
      </c>
      <c r="Y179" s="385">
        <f t="shared" si="61"/>
        <v>43.526416469375533</v>
      </c>
      <c r="Z179" s="385">
        <f t="shared" si="62"/>
        <v>45.365194401240515</v>
      </c>
      <c r="AA179" s="386">
        <f t="shared" si="63"/>
        <v>51.52768265625177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0.11959568017296764</v>
      </c>
      <c r="AD179" s="231">
        <f>(INDEX(Models!$BJ179:$BT179,,AH179)*(1-AF179)+INDEX(Models!$BJ179:$BT179,,AH179+1)*AF179-ERP_i)*AE179*Ramure*Pc/MaxiM</f>
        <v>1.7588444181792175E-4</v>
      </c>
      <c r="AE179" s="305">
        <f t="shared" si="65"/>
        <v>0.7</v>
      </c>
      <c r="AF179" s="177">
        <f t="shared" si="66"/>
        <v>0.61550719084137573</v>
      </c>
      <c r="AG179" s="810">
        <f t="shared" si="74"/>
        <v>0</v>
      </c>
      <c r="AH179" s="176">
        <f t="shared" si="67"/>
        <v>6</v>
      </c>
      <c r="AI179" s="225">
        <f t="shared" si="68"/>
        <v>0.61550719084137573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55.782049731306238</v>
      </c>
      <c r="C180" s="840"/>
      <c r="D180" s="393">
        <f t="shared" si="50"/>
        <v>58.139921149300818</v>
      </c>
      <c r="E180" s="385">
        <f t="shared" si="75"/>
        <v>59.754878898677894</v>
      </c>
      <c r="F180" s="385">
        <f t="shared" si="51"/>
        <v>59.764475805893191</v>
      </c>
      <c r="G180" s="110">
        <f t="shared" si="76"/>
        <v>0.9321384165574641</v>
      </c>
      <c r="H180" s="414" t="b">
        <f>Wh_hp&gt;='2022'!Maxi_hp</f>
        <v>0</v>
      </c>
      <c r="I180" s="390">
        <f>IF(H180,Wh_hp,'2022'!Maxi_hp)</f>
        <v>59.764706232208013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4.0555118950706293E-2</v>
      </c>
      <c r="M180" s="844"/>
      <c r="N180" s="844"/>
      <c r="O180" s="48">
        <f>IF(t&lt;Tnet,'2022'!Resal+('2022'!Salim-'2022'!Resal)*(1-EXP(('2022'!Tnet-t)/('2022'!Tau_j))),Resal+(Salim-Resal)*(1-EXP((Tnet-t)/(Tau_j))))*Salcycl</f>
        <v>2.7026374735282254E-2</v>
      </c>
      <c r="P180" s="169">
        <f>(INDEX(Models!$BJ180:$BT180,,T180)*(1-R180)+INDEX(Models!$BJ180:$BT180,,T180+1)*R180-ERP_i)*Q180*Ramure*Pc/MaxiM</f>
        <v>1.7781279090477455E-4</v>
      </c>
      <c r="Q180" s="305">
        <f t="shared" si="53"/>
        <v>0.7</v>
      </c>
      <c r="R180" s="177">
        <f t="shared" si="54"/>
        <v>0.61958872567908774</v>
      </c>
      <c r="S180" s="810">
        <f t="shared" si="55"/>
        <v>0</v>
      </c>
      <c r="T180" s="176">
        <f t="shared" si="56"/>
        <v>6</v>
      </c>
      <c r="U180" s="251">
        <f t="shared" si="57"/>
        <v>0.61958872567908774</v>
      </c>
      <c r="V180" s="383">
        <f t="shared" si="58"/>
        <v>59.842065553984277</v>
      </c>
      <c r="W180" s="402">
        <f t="shared" si="59"/>
        <v>55.782049731306238</v>
      </c>
      <c r="X180" s="157">
        <f t="shared" si="60"/>
        <v>45092</v>
      </c>
      <c r="Y180" s="385">
        <f t="shared" si="61"/>
        <v>50.467102001728378</v>
      </c>
      <c r="Z180" s="385">
        <f t="shared" si="62"/>
        <v>52.60031399254035</v>
      </c>
      <c r="AA180" s="386">
        <f t="shared" si="63"/>
        <v>59.754878898677894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0.11973189533642993</v>
      </c>
      <c r="AD180" s="231">
        <f>(INDEX(Models!$BJ180:$BT180,,AH180)*(1-AF180)+INDEX(Models!$BJ180:$BT180,,AH180+1)*AF180-ERP_i)*AE180*Ramure*Pc/MaxiM</f>
        <v>1.7781279090477455E-4</v>
      </c>
      <c r="AE180" s="305">
        <f t="shared" si="65"/>
        <v>0.7</v>
      </c>
      <c r="AF180" s="177">
        <f t="shared" si="66"/>
        <v>0.61958872567908774</v>
      </c>
      <c r="AG180" s="810">
        <f t="shared" si="74"/>
        <v>0</v>
      </c>
      <c r="AH180" s="176">
        <f t="shared" si="67"/>
        <v>6</v>
      </c>
      <c r="AI180" s="225">
        <f t="shared" si="68"/>
        <v>0.61958872567908774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53.136390960573983</v>
      </c>
      <c r="C181" s="840"/>
      <c r="D181" s="393">
        <f t="shared" si="50"/>
        <v>55.383720941511903</v>
      </c>
      <c r="E181" s="385">
        <f t="shared" si="75"/>
        <v>56.933196854116218</v>
      </c>
      <c r="F181" s="385">
        <f t="shared" si="51"/>
        <v>56.941799771195534</v>
      </c>
      <c r="G181" s="110">
        <f t="shared" si="76"/>
        <v>0.88851881063604943</v>
      </c>
      <c r="H181" s="414" t="b">
        <f>Wh_hp&gt;='2022'!Maxi_hp</f>
        <v>0</v>
      </c>
      <c r="I181" s="390">
        <f>IF(H181,Wh_hp,'2022'!Maxi_hp)</f>
        <v>65.565674070131692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4.057744663474705E-2</v>
      </c>
      <c r="M181" s="844"/>
      <c r="N181" s="844"/>
      <c r="O181" s="48">
        <f>IF(t&lt;Tnet,'2022'!Resal+('2022'!Salim-'2022'!Resal)*(1-EXP(('2022'!Tnet-t)/('2022'!Tau_j))),Resal+(Salim-Resal)*(1-EXP((Tnet-t)/(Tau_j))))*Salcycl</f>
        <v>2.721568431463002E-2</v>
      </c>
      <c r="P181" s="169">
        <f>(INDEX(Models!$BJ181:$BT181,,T181)*(1-R181)+INDEX(Models!$BJ181:$BT181,,T181+1)*R181-ERP_i)*Q181*Ramure*Pc/MaxiM</f>
        <v>1.7969395839127433E-4</v>
      </c>
      <c r="Q181" s="305">
        <f t="shared" si="53"/>
        <v>0.7</v>
      </c>
      <c r="R181" s="177">
        <f t="shared" si="54"/>
        <v>0.62365312637530523</v>
      </c>
      <c r="S181" s="810">
        <f t="shared" si="55"/>
        <v>0</v>
      </c>
      <c r="T181" s="176">
        <f t="shared" si="56"/>
        <v>6</v>
      </c>
      <c r="U181" s="251">
        <f t="shared" si="57"/>
        <v>0.62365312637530523</v>
      </c>
      <c r="V181" s="383">
        <f t="shared" si="58"/>
        <v>59.801626923664784</v>
      </c>
      <c r="W181" s="402">
        <f t="shared" si="59"/>
        <v>53.136390960573983</v>
      </c>
      <c r="X181" s="157">
        <f t="shared" si="60"/>
        <v>45093</v>
      </c>
      <c r="Y181" s="385">
        <f t="shared" si="61"/>
        <v>48.075538013920273</v>
      </c>
      <c r="Z181" s="385">
        <f t="shared" si="62"/>
        <v>50.10882623646004</v>
      </c>
      <c r="AA181" s="386">
        <f t="shared" si="63"/>
        <v>56.933196854116218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0.11986628179588656</v>
      </c>
      <c r="AD181" s="231">
        <f>(INDEX(Models!$BJ181:$BT181,,AH181)*(1-AF181)+INDEX(Models!$BJ181:$BT181,,AH181+1)*AF181-ERP_i)*AE181*Ramure*Pc/MaxiM</f>
        <v>1.7969395839127433E-4</v>
      </c>
      <c r="AE181" s="305">
        <f t="shared" si="65"/>
        <v>0.7</v>
      </c>
      <c r="AF181" s="177">
        <f t="shared" si="66"/>
        <v>0.62365312637530523</v>
      </c>
      <c r="AG181" s="810">
        <f t="shared" si="74"/>
        <v>0</v>
      </c>
      <c r="AH181" s="176">
        <f t="shared" si="67"/>
        <v>6</v>
      </c>
      <c r="AI181" s="225">
        <f t="shared" si="68"/>
        <v>0.62365312637530523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53.725228837662243</v>
      </c>
      <c r="C182" s="840"/>
      <c r="D182" s="393">
        <f t="shared" si="50"/>
        <v>55.998766073270794</v>
      </c>
      <c r="E182" s="385">
        <f t="shared" si="75"/>
        <v>57.57662772007739</v>
      </c>
      <c r="F182" s="385">
        <f t="shared" si="51"/>
        <v>57.585573379101433</v>
      </c>
      <c r="G182" s="110">
        <f t="shared" si="76"/>
        <v>0.89901693948569683</v>
      </c>
      <c r="H182" s="414" t="b">
        <f>Wh_hp&gt;='2022'!Maxi_hp</f>
        <v>0</v>
      </c>
      <c r="I182" s="390">
        <f>IF(H182,Wh_hp,'2022'!Maxi_hp)</f>
        <v>63.498775239752014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4.0599773799189998E-2</v>
      </c>
      <c r="M182" s="844"/>
      <c r="N182" s="844"/>
      <c r="O182" s="48">
        <f>IF(t&lt;Tnet,'2022'!Resal+('2022'!Salim-'2022'!Resal)*(1-EXP(('2022'!Tnet-t)/('2022'!Tau_j))),Resal+(Salim-Resal)*(1-EXP((Tnet-t)/(Tau_j))))*Salcycl</f>
        <v>2.7404551278649988E-2</v>
      </c>
      <c r="P182" s="169">
        <f>(INDEX(Models!$BJ182:$BT182,,T182)*(1-R182)+INDEX(Models!$BJ182:$BT182,,T182+1)*R182-ERP_i)*Q182*Ramure*Pc/MaxiM</f>
        <v>1.8152670035025085E-4</v>
      </c>
      <c r="Q182" s="305">
        <f t="shared" si="53"/>
        <v>0.7</v>
      </c>
      <c r="R182" s="177">
        <f t="shared" si="54"/>
        <v>0.62769709239903304</v>
      </c>
      <c r="S182" s="810">
        <f t="shared" si="55"/>
        <v>0</v>
      </c>
      <c r="T182" s="176">
        <f t="shared" si="56"/>
        <v>6</v>
      </c>
      <c r="U182" s="251">
        <f t="shared" si="57"/>
        <v>0.62769709239903304</v>
      </c>
      <c r="V182" s="383">
        <f t="shared" si="58"/>
        <v>59.758409066523036</v>
      </c>
      <c r="W182" s="402">
        <f t="shared" si="59"/>
        <v>53.725228837662243</v>
      </c>
      <c r="X182" s="157">
        <f t="shared" si="60"/>
        <v>45094</v>
      </c>
      <c r="Y182" s="385">
        <f t="shared" si="61"/>
        <v>48.61041280602501</v>
      </c>
      <c r="Z182" s="385">
        <f t="shared" si="62"/>
        <v>50.667501923071747</v>
      </c>
      <c r="AA182" s="386">
        <f t="shared" si="63"/>
        <v>57.57662772007739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0.11999879240229241</v>
      </c>
      <c r="AD182" s="231">
        <f>(INDEX(Models!$BJ182:$BT182,,AH182)*(1-AF182)+INDEX(Models!$BJ182:$BT182,,AH182+1)*AF182-ERP_i)*AE182*Ramure*Pc/MaxiM</f>
        <v>1.8152670035025085E-4</v>
      </c>
      <c r="AE182" s="305">
        <f t="shared" si="65"/>
        <v>0.7</v>
      </c>
      <c r="AF182" s="177">
        <f t="shared" si="66"/>
        <v>0.62769709239903304</v>
      </c>
      <c r="AG182" s="810">
        <f t="shared" si="74"/>
        <v>0</v>
      </c>
      <c r="AH182" s="176">
        <f t="shared" si="67"/>
        <v>6</v>
      </c>
      <c r="AI182" s="225">
        <f t="shared" si="68"/>
        <v>0.62769709239903304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56.111173069439587</v>
      </c>
      <c r="C183" s="840"/>
      <c r="D183" s="393">
        <f t="shared" si="50"/>
        <v>58.487039461103485</v>
      </c>
      <c r="E183" s="385">
        <f t="shared" si="75"/>
        <v>60.146663867512913</v>
      </c>
      <c r="F183" s="385">
        <f t="shared" si="51"/>
        <v>60.15674108515649</v>
      </c>
      <c r="G183" s="110">
        <f t="shared" si="76"/>
        <v>0.93967378440428029</v>
      </c>
      <c r="H183" s="414" t="b">
        <f>Wh_hp&gt;='2022'!Maxi_hp</f>
        <v>0</v>
      </c>
      <c r="I183" s="390">
        <f>IF(H183,Wh_hp,'2022'!Maxi_hp)</f>
        <v>60.833252001548445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4.0622100444047238E-2</v>
      </c>
      <c r="M183" s="844"/>
      <c r="N183" s="844"/>
      <c r="O183" s="48">
        <f>IF(t&lt;Tnet,'2022'!Resal+('2022'!Salim-'2022'!Resal)*(1-EXP(('2022'!Tnet-t)/('2022'!Tau_j))),Resal+(Salim-Resal)*(1-EXP((Tnet-t)/(Tau_j))))*Salcycl</f>
        <v>2.7592958606401544E-2</v>
      </c>
      <c r="P183" s="169">
        <f>(INDEX(Models!$BJ183:$BT183,,T183)*(1-R183)+INDEX(Models!$BJ183:$BT183,,T183+1)*R183-ERP_i)*Q183*Ramure*Pc/MaxiM</f>
        <v>1.833098268770455E-4</v>
      </c>
      <c r="Q183" s="305">
        <f t="shared" si="53"/>
        <v>0.7</v>
      </c>
      <c r="R183" s="177">
        <f t="shared" si="54"/>
        <v>0.63171739062485066</v>
      </c>
      <c r="S183" s="810">
        <f t="shared" si="55"/>
        <v>0</v>
      </c>
      <c r="T183" s="176">
        <f t="shared" si="56"/>
        <v>6</v>
      </c>
      <c r="U183" s="251">
        <f t="shared" si="57"/>
        <v>0.63171739062485066</v>
      </c>
      <c r="V183" s="383">
        <f t="shared" si="58"/>
        <v>59.712516878733091</v>
      </c>
      <c r="W183" s="402">
        <f t="shared" si="59"/>
        <v>56.111173069439587</v>
      </c>
      <c r="X183" s="157">
        <f t="shared" si="60"/>
        <v>45095</v>
      </c>
      <c r="Y183" s="385">
        <f t="shared" si="61"/>
        <v>50.771508454835605</v>
      </c>
      <c r="Z183" s="385">
        <f t="shared" si="62"/>
        <v>52.921282091587841</v>
      </c>
      <c r="AA183" s="386">
        <f t="shared" si="63"/>
        <v>60.146663867512913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0.12012938559386539</v>
      </c>
      <c r="AD183" s="231">
        <f>(INDEX(Models!$BJ183:$BT183,,AH183)*(1-AF183)+INDEX(Models!$BJ183:$BT183,,AH183+1)*AF183-ERP_i)*AE183*Ramure*Pc/MaxiM</f>
        <v>1.833098268770455E-4</v>
      </c>
      <c r="AE183" s="305">
        <f t="shared" si="65"/>
        <v>0.7</v>
      </c>
      <c r="AF183" s="177">
        <f t="shared" si="66"/>
        <v>0.63171739062485066</v>
      </c>
      <c r="AG183" s="810">
        <f t="shared" si="74"/>
        <v>0</v>
      </c>
      <c r="AH183" s="176">
        <f t="shared" si="67"/>
        <v>6</v>
      </c>
      <c r="AI183" s="225">
        <f t="shared" si="68"/>
        <v>0.63171739062485066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57.500149476037144</v>
      </c>
      <c r="C184" s="840"/>
      <c r="D184" s="393">
        <f t="shared" si="50"/>
        <v>59.936222885968952</v>
      </c>
      <c r="E184" s="385">
        <f t="shared" si="75"/>
        <v>61.648883769918079</v>
      </c>
      <c r="F184" s="385">
        <f t="shared" si="51"/>
        <v>61.659696603320228</v>
      </c>
      <c r="G184" s="110">
        <f t="shared" si="76"/>
        <v>0.96372250835854689</v>
      </c>
      <c r="H184" s="414" t="b">
        <f>Wh_hp&gt;='2022'!Maxi_hp</f>
        <v>0</v>
      </c>
      <c r="I184" s="390">
        <f>IF(H184,Wh_hp,'2022'!Maxi_hp)</f>
        <v>61.659826867162181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4.064442656933076E-2</v>
      </c>
      <c r="M184" s="844"/>
      <c r="N184" s="844"/>
      <c r="O184" s="48">
        <f>IF(t&lt;Tnet,'2022'!Resal+('2022'!Salim-'2022'!Resal)*(1-EXP(('2022'!Tnet-t)/('2022'!Tau_j))),Resal+(Salim-Resal)*(1-EXP((Tnet-t)/(Tau_j))))*Salcycl</f>
        <v>2.7780890410619676E-2</v>
      </c>
      <c r="P184" s="169">
        <f>(INDEX(Models!$BJ184:$BT184,,T184)*(1-R184)+INDEX(Models!$BJ184:$BT184,,T184+1)*R184-ERP_i)*Q184*Ramure*Pc/MaxiM</f>
        <v>1.8494541910336879E-4</v>
      </c>
      <c r="Q184" s="305">
        <f t="shared" si="53"/>
        <v>0.7</v>
      </c>
      <c r="R184" s="177">
        <f t="shared" si="54"/>
        <v>0.63571086535638066</v>
      </c>
      <c r="S184" s="810">
        <f t="shared" si="55"/>
        <v>0</v>
      </c>
      <c r="T184" s="176">
        <f t="shared" si="56"/>
        <v>6</v>
      </c>
      <c r="U184" s="251">
        <f t="shared" si="57"/>
        <v>0.63571086535638066</v>
      </c>
      <c r="V184" s="383">
        <f t="shared" si="58"/>
        <v>59.664060861831999</v>
      </c>
      <c r="W184" s="402">
        <f t="shared" si="59"/>
        <v>57.500149476037144</v>
      </c>
      <c r="X184" s="157">
        <f t="shared" si="60"/>
        <v>45096</v>
      </c>
      <c r="Y184" s="385">
        <f t="shared" si="61"/>
        <v>52.03075575698027</v>
      </c>
      <c r="Z184" s="385">
        <f t="shared" si="62"/>
        <v>54.235110732632265</v>
      </c>
      <c r="AA184" s="386">
        <f t="shared" si="63"/>
        <v>61.648883769918079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0.12025802551356836</v>
      </c>
      <c r="AD184" s="231">
        <f>(INDEX(Models!$BJ184:$BT184,,AH184)*(1-AF184)+INDEX(Models!$BJ184:$BT184,,AH184+1)*AF184-ERP_i)*AE184*Ramure*Pc/MaxiM</f>
        <v>1.8494541910336879E-4</v>
      </c>
      <c r="AE184" s="305">
        <f t="shared" si="65"/>
        <v>0.7</v>
      </c>
      <c r="AF184" s="177">
        <f t="shared" si="66"/>
        <v>0.63571086535638066</v>
      </c>
      <c r="AG184" s="810">
        <f t="shared" si="74"/>
        <v>0</v>
      </c>
      <c r="AH184" s="176">
        <f t="shared" si="67"/>
        <v>6</v>
      </c>
      <c r="AI184" s="225">
        <f t="shared" si="68"/>
        <v>0.63571086535638066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33.946188575601205</v>
      </c>
      <c r="C185" s="840"/>
      <c r="D185" s="393">
        <f t="shared" si="50"/>
        <v>35.385189299511779</v>
      </c>
      <c r="E185" s="385">
        <f t="shared" si="75"/>
        <v>36.40332971062935</v>
      </c>
      <c r="F185" s="385">
        <f t="shared" si="51"/>
        <v>36.405941541731934</v>
      </c>
      <c r="G185" s="110">
        <f t="shared" si="76"/>
        <v>0.56937601058913656</v>
      </c>
      <c r="H185" s="414" t="b">
        <f>Wh_hp&gt;='2022'!Maxi_hp</f>
        <v>0</v>
      </c>
      <c r="I185" s="390">
        <f>IF(H185,Wh_hp,'2022'!Maxi_hp)</f>
        <v>56.819376844927362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4.0666752175052778E-2</v>
      </c>
      <c r="M185" s="844"/>
      <c r="N185" s="844"/>
      <c r="O185" s="48">
        <f>IF(t&lt;Tnet,'2022'!Resal+('2022'!Salim-'2022'!Resal)*(1-EXP(('2022'!Tnet-t)/('2022'!Tau_j))),Resal+(Salim-Resal)*(1-EXP((Tnet-t)/(Tau_j))))*Salcycl</f>
        <v>2.7968331996297797E-2</v>
      </c>
      <c r="P185" s="169">
        <f>(INDEX(Models!$BJ185:$BT185,,T185)*(1-R185)+INDEX(Models!$BJ185:$BT185,,T185+1)*R185-ERP_i)*Q185*Ramure*Pc/MaxiM</f>
        <v>1.8638317344138453E-4</v>
      </c>
      <c r="Q185" s="305">
        <f t="shared" si="53"/>
        <v>0.7</v>
      </c>
      <c r="R185" s="177">
        <f t="shared" si="54"/>
        <v>0.6396744478180465</v>
      </c>
      <c r="S185" s="810">
        <f t="shared" si="55"/>
        <v>0</v>
      </c>
      <c r="T185" s="176">
        <f t="shared" si="56"/>
        <v>6</v>
      </c>
      <c r="U185" s="251">
        <f t="shared" si="57"/>
        <v>0.6396744478180465</v>
      </c>
      <c r="V185" s="383">
        <f t="shared" si="58"/>
        <v>59.613148482822872</v>
      </c>
      <c r="W185" s="402">
        <f t="shared" si="59"/>
        <v>33.946188575601205</v>
      </c>
      <c r="X185" s="157">
        <f t="shared" si="60"/>
        <v>45097</v>
      </c>
      <c r="Y185" s="385">
        <f t="shared" si="61"/>
        <v>30.718739356408896</v>
      </c>
      <c r="Z185" s="385">
        <f t="shared" si="62"/>
        <v>32.02092643620567</v>
      </c>
      <c r="AA185" s="386">
        <f t="shared" si="63"/>
        <v>36.40332971062935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0.12038468209527731</v>
      </c>
      <c r="AD185" s="231">
        <f>(INDEX(Models!$BJ185:$BT185,,AH185)*(1-AF185)+INDEX(Models!$BJ185:$BT185,,AH185+1)*AF185-ERP_i)*AE185*Ramure*Pc/MaxiM</f>
        <v>1.8638317344138453E-4</v>
      </c>
      <c r="AE185" s="305">
        <f t="shared" si="65"/>
        <v>0.7</v>
      </c>
      <c r="AF185" s="177">
        <f t="shared" si="66"/>
        <v>0.6396744478180465</v>
      </c>
      <c r="AG185" s="810">
        <f t="shared" si="74"/>
        <v>0</v>
      </c>
      <c r="AH185" s="176">
        <f t="shared" si="67"/>
        <v>6</v>
      </c>
      <c r="AI185" s="225">
        <f t="shared" si="68"/>
        <v>0.6396744478180465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23.727798045682626</v>
      </c>
      <c r="C186" s="840"/>
      <c r="D186" s="393">
        <f t="shared" si="50"/>
        <v>24.734210237011791</v>
      </c>
      <c r="E186" s="385">
        <f t="shared" si="75"/>
        <v>25.450783927981366</v>
      </c>
      <c r="F186" s="385">
        <f t="shared" si="51"/>
        <v>25.451455085547998</v>
      </c>
      <c r="G186" s="110">
        <f t="shared" si="76"/>
        <v>0.3983213223900603</v>
      </c>
      <c r="H186" s="414" t="b">
        <f>Wh_hp&gt;='2022'!Maxi_hp</f>
        <v>0</v>
      </c>
      <c r="I186" s="390">
        <f>IF(H186,Wh_hp,'2022'!Maxi_hp)</f>
        <v>51.722405668054598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4.0689077261225393E-2</v>
      </c>
      <c r="M186" s="844"/>
      <c r="N186" s="844"/>
      <c r="O186" s="48">
        <f>IF(t&lt;Tnet,'2022'!Resal+('2022'!Salim-'2022'!Resal)*(1-EXP(('2022'!Tnet-t)/('2022'!Tau_j))),Resal+(Salim-Resal)*(1-EXP((Tnet-t)/(Tau_j))))*Salcycl</f>
        <v>2.8155269912206914E-2</v>
      </c>
      <c r="P186" s="169">
        <f>(INDEX(Models!$BJ186:$BT186,,T186)*(1-R186)+INDEX(Models!$BJ186:$BT186,,T186+1)*R186-ERP_i)*Q186*Ramure*Pc/MaxiM</f>
        <v>1.8761974289859459E-4</v>
      </c>
      <c r="Q186" s="305">
        <f t="shared" si="53"/>
        <v>0.7</v>
      </c>
      <c r="R186" s="177">
        <f t="shared" si="54"/>
        <v>0.6436051650577479</v>
      </c>
      <c r="S186" s="810">
        <f t="shared" si="55"/>
        <v>0</v>
      </c>
      <c r="T186" s="176">
        <f t="shared" si="56"/>
        <v>6</v>
      </c>
      <c r="U186" s="251">
        <f t="shared" si="57"/>
        <v>0.6436051650577479</v>
      </c>
      <c r="V186" s="383">
        <f t="shared" si="58"/>
        <v>59.559884225159337</v>
      </c>
      <c r="W186" s="402">
        <f t="shared" si="59"/>
        <v>23.727798045682626</v>
      </c>
      <c r="X186" s="157">
        <f t="shared" si="60"/>
        <v>45098</v>
      </c>
      <c r="Y186" s="385">
        <f t="shared" si="61"/>
        <v>21.472953783893221</v>
      </c>
      <c r="Z186" s="385">
        <f t="shared" si="62"/>
        <v>22.383726980392591</v>
      </c>
      <c r="AA186" s="386">
        <f t="shared" si="63"/>
        <v>25.450783927981366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0.12050933111796061</v>
      </c>
      <c r="AD186" s="231">
        <f>(INDEX(Models!$BJ186:$BT186,,AH186)*(1-AF186)+INDEX(Models!$BJ186:$BT186,,AH186+1)*AF186-ERP_i)*AE186*Ramure*Pc/MaxiM</f>
        <v>1.8761974289859459E-4</v>
      </c>
      <c r="AE186" s="305">
        <f t="shared" si="65"/>
        <v>0.7</v>
      </c>
      <c r="AF186" s="177">
        <f t="shared" si="66"/>
        <v>0.6436051650577479</v>
      </c>
      <c r="AG186" s="810">
        <f t="shared" si="74"/>
        <v>0</v>
      </c>
      <c r="AH186" s="176">
        <f t="shared" si="67"/>
        <v>6</v>
      </c>
      <c r="AI186" s="225">
        <f t="shared" si="68"/>
        <v>0.6436051650577479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44.630839877835953</v>
      </c>
      <c r="C187" s="840"/>
      <c r="D187" s="393">
        <f t="shared" si="50"/>
        <v>46.524935210193313</v>
      </c>
      <c r="E187" s="385">
        <f t="shared" si="75"/>
        <v>47.881991876049149</v>
      </c>
      <c r="F187" s="385">
        <f t="shared" si="51"/>
        <v>47.887800082903738</v>
      </c>
      <c r="G187" s="110">
        <f t="shared" si="76"/>
        <v>0.74999249989386019</v>
      </c>
      <c r="H187" s="414" t="b">
        <f>Wh_hp&gt;='2022'!Maxi_hp</f>
        <v>0</v>
      </c>
      <c r="I187" s="390">
        <f>IF(H187,Wh_hp,'2022'!Maxi_hp)</f>
        <v>65.775267938024328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4.0711401827860594E-2</v>
      </c>
      <c r="M187" s="844"/>
      <c r="N187" s="844"/>
      <c r="O187" s="48">
        <f>IF(t&lt;Tnet,'2022'!Resal+('2022'!Salim-'2022'!Resal)*(1-EXP(('2022'!Tnet-t)/('2022'!Tau_j))),Resal+(Salim-Resal)*(1-EXP((Tnet-t)/(Tau_j))))*Salcycl</f>
        <v>2.8341691994953195E-2</v>
      </c>
      <c r="P187" s="169">
        <f>(INDEX(Models!$BJ187:$BT187,,T187)*(1-R187)+INDEX(Models!$BJ187:$BT187,,T187+1)*R187-ERP_i)*Q187*Ramure*Pc/MaxiM</f>
        <v>1.8865190136011452E-4</v>
      </c>
      <c r="Q187" s="305">
        <f t="shared" si="53"/>
        <v>0.7</v>
      </c>
      <c r="R187" s="177">
        <f t="shared" si="54"/>
        <v>0.64750014820981794</v>
      </c>
      <c r="S187" s="810">
        <f t="shared" si="55"/>
        <v>0</v>
      </c>
      <c r="T187" s="176">
        <f t="shared" si="56"/>
        <v>6</v>
      </c>
      <c r="U187" s="251">
        <f t="shared" si="57"/>
        <v>0.64750014820981794</v>
      </c>
      <c r="V187" s="383">
        <f t="shared" si="58"/>
        <v>59.504372382263192</v>
      </c>
      <c r="W187" s="402">
        <f t="shared" si="59"/>
        <v>44.630839877835953</v>
      </c>
      <c r="X187" s="157">
        <f t="shared" si="60"/>
        <v>45099</v>
      </c>
      <c r="Y187" s="385">
        <f t="shared" si="61"/>
        <v>40.391703669101808</v>
      </c>
      <c r="Z187" s="385">
        <f t="shared" si="62"/>
        <v>42.105893623739</v>
      </c>
      <c r="AA187" s="386">
        <f t="shared" si="63"/>
        <v>47.881991876049149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0.12063195422743857</v>
      </c>
      <c r="AD187" s="231">
        <f>(INDEX(Models!$BJ187:$BT187,,AH187)*(1-AF187)+INDEX(Models!$BJ187:$BT187,,AH187+1)*AF187-ERP_i)*AE187*Ramure*Pc/MaxiM</f>
        <v>1.8865190136011452E-4</v>
      </c>
      <c r="AE187" s="305">
        <f t="shared" si="65"/>
        <v>0.7</v>
      </c>
      <c r="AF187" s="177">
        <f t="shared" si="66"/>
        <v>0.64750014820981794</v>
      </c>
      <c r="AG187" s="810">
        <f t="shared" si="74"/>
        <v>0</v>
      </c>
      <c r="AH187" s="176">
        <f t="shared" si="67"/>
        <v>6</v>
      </c>
      <c r="AI187" s="225">
        <f t="shared" si="68"/>
        <v>0.64750014820981794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42.455518568084784</v>
      </c>
      <c r="C188" s="840"/>
      <c r="D188" s="393">
        <f t="shared" si="50"/>
        <v>44.258325048287048</v>
      </c>
      <c r="E188" s="385">
        <f t="shared" si="75"/>
        <v>45.557984431153059</v>
      </c>
      <c r="F188" s="385">
        <f t="shared" si="51"/>
        <v>45.563092454463614</v>
      </c>
      <c r="G188" s="110">
        <f t="shared" si="76"/>
        <v>0.71412242108295376</v>
      </c>
      <c r="H188" s="414" t="b">
        <f>Wh_hp&gt;='2022'!Maxi_hp</f>
        <v>0</v>
      </c>
      <c r="I188" s="390">
        <f>IF(H188,Wh_hp,'2022'!Maxi_hp)</f>
        <v>56.866605968442144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4.0733725874970483E-2</v>
      </c>
      <c r="M188" s="844"/>
      <c r="N188" s="844"/>
      <c r="O188" s="48">
        <f>IF(t&lt;Tnet,'2022'!Resal+('2022'!Salim-'2022'!Resal)*(1-EXP(('2022'!Tnet-t)/('2022'!Tau_j))),Resal+(Salim-Resal)*(1-EXP((Tnet-t)/(Tau_j))))*Salcycl</f>
        <v>2.8527587405233926E-2</v>
      </c>
      <c r="P188" s="169">
        <f>(INDEX(Models!$BJ188:$BT188,,T188)*(1-R188)+INDEX(Models!$BJ188:$BT188,,T188+1)*R188-ERP_i)*Q188*Ramure*Pc/MaxiM</f>
        <v>1.8947461199338476E-4</v>
      </c>
      <c r="Q188" s="305">
        <f t="shared" si="53"/>
        <v>0.7</v>
      </c>
      <c r="R188" s="177">
        <f t="shared" si="54"/>
        <v>0.65135664007479543</v>
      </c>
      <c r="S188" s="810">
        <f t="shared" si="55"/>
        <v>0</v>
      </c>
      <c r="T188" s="176">
        <f t="shared" si="56"/>
        <v>6</v>
      </c>
      <c r="U188" s="251">
        <f t="shared" si="57"/>
        <v>0.65135664007479543</v>
      </c>
      <c r="V188" s="383">
        <f t="shared" si="58"/>
        <v>59.446717174174267</v>
      </c>
      <c r="W188" s="402">
        <f t="shared" si="59"/>
        <v>42.455518568084784</v>
      </c>
      <c r="X188" s="157">
        <f t="shared" si="60"/>
        <v>45100</v>
      </c>
      <c r="Y188" s="385">
        <f t="shared" si="61"/>
        <v>38.425081788873342</v>
      </c>
      <c r="Z188" s="385">
        <f t="shared" si="62"/>
        <v>40.056742142760946</v>
      </c>
      <c r="AA188" s="386">
        <f t="shared" si="63"/>
        <v>45.557984431153059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0.1207525389255435</v>
      </c>
      <c r="AD188" s="231">
        <f>(INDEX(Models!$BJ188:$BT188,,AH188)*(1-AF188)+INDEX(Models!$BJ188:$BT188,,AH188+1)*AF188-ERP_i)*AE188*Ramure*Pc/MaxiM</f>
        <v>1.8947461199338476E-4</v>
      </c>
      <c r="AE188" s="305">
        <f t="shared" si="65"/>
        <v>0.7</v>
      </c>
      <c r="AF188" s="177">
        <f t="shared" si="66"/>
        <v>0.65135664007479543</v>
      </c>
      <c r="AG188" s="810">
        <f t="shared" si="74"/>
        <v>0</v>
      </c>
      <c r="AH188" s="176">
        <f t="shared" si="67"/>
        <v>6</v>
      </c>
      <c r="AI188" s="225">
        <f t="shared" si="68"/>
        <v>0.65135664007479543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40.920072225879935</v>
      </c>
      <c r="C189" s="840"/>
      <c r="D189" s="393">
        <f t="shared" si="50"/>
        <v>42.658671134067873</v>
      </c>
      <c r="E189" s="385">
        <f t="shared" si="75"/>
        <v>43.919736176036594</v>
      </c>
      <c r="F189" s="385">
        <f t="shared" si="51"/>
        <v>43.924376469576046</v>
      </c>
      <c r="G189" s="110">
        <f t="shared" si="76"/>
        <v>0.68898245357848165</v>
      </c>
      <c r="H189" s="414" t="b">
        <f>Wh_hp&gt;='2022'!Maxi_hp</f>
        <v>0</v>
      </c>
      <c r="I189" s="390">
        <f>IF(H189,Wh_hp,'2022'!Maxi_hp)</f>
        <v>64.123502417734827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4.0756049402567163E-2</v>
      </c>
      <c r="M189" s="844"/>
      <c r="N189" s="844"/>
      <c r="O189" s="48">
        <f>IF(t&lt;Tnet,'2022'!Resal+('2022'!Salim-'2022'!Resal)*(1-EXP(('2022'!Tnet-t)/('2022'!Tau_j))),Resal+(Salim-Resal)*(1-EXP((Tnet-t)/(Tau_j))))*Salcycl</f>
        <v>2.8712946656013354E-2</v>
      </c>
      <c r="P189" s="169">
        <f>(INDEX(Models!$BJ189:$BT189,,T189)*(1-R189)+INDEX(Models!$BJ189:$BT189,,T189+1)*R189-ERP_i)*Q189*Ramure*Pc/MaxiM</f>
        <v>1.9008284153646605E-4</v>
      </c>
      <c r="Q189" s="305">
        <f t="shared" si="53"/>
        <v>0.7</v>
      </c>
      <c r="R189" s="177">
        <f t="shared" si="54"/>
        <v>0.65517200198002934</v>
      </c>
      <c r="S189" s="810">
        <f t="shared" si="55"/>
        <v>0</v>
      </c>
      <c r="T189" s="176">
        <f t="shared" si="56"/>
        <v>6</v>
      </c>
      <c r="U189" s="251">
        <f t="shared" si="57"/>
        <v>0.65517200198002934</v>
      </c>
      <c r="V189" s="383">
        <f t="shared" si="58"/>
        <v>59.387022637748373</v>
      </c>
      <c r="W189" s="402">
        <f t="shared" si="59"/>
        <v>40.920072225879935</v>
      </c>
      <c r="X189" s="157">
        <f t="shared" si="60"/>
        <v>45101</v>
      </c>
      <c r="Y189" s="385">
        <f t="shared" si="61"/>
        <v>37.037473977123788</v>
      </c>
      <c r="Z189" s="385">
        <f t="shared" si="62"/>
        <v>38.611110295828546</v>
      </c>
      <c r="AA189" s="386">
        <f t="shared" si="63"/>
        <v>43.919736176036594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0.12087107852675422</v>
      </c>
      <c r="AD189" s="231">
        <f>(INDEX(Models!$BJ189:$BT189,,AH189)*(1-AF189)+INDEX(Models!$BJ189:$BT189,,AH189+1)*AF189-ERP_i)*AE189*Ramure*Pc/MaxiM</f>
        <v>1.9008284153646605E-4</v>
      </c>
      <c r="AE189" s="305">
        <f t="shared" si="65"/>
        <v>0.7</v>
      </c>
      <c r="AF189" s="177">
        <f t="shared" si="66"/>
        <v>0.65517200198002934</v>
      </c>
      <c r="AG189" s="810">
        <f t="shared" si="74"/>
        <v>0</v>
      </c>
      <c r="AH189" s="176">
        <f t="shared" si="67"/>
        <v>6</v>
      </c>
      <c r="AI189" s="225">
        <f t="shared" si="68"/>
        <v>0.65517200198002934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33.699790451653229</v>
      </c>
      <c r="C190" s="840"/>
      <c r="D190" s="393">
        <f t="shared" si="50"/>
        <v>35.132433925979839</v>
      </c>
      <c r="E190" s="385">
        <f t="shared" si="75"/>
        <v>36.177894085628665</v>
      </c>
      <c r="F190" s="385">
        <f t="shared" si="51"/>
        <v>36.180533013499229</v>
      </c>
      <c r="G190" s="110">
        <f t="shared" si="76"/>
        <v>0.56798324982277582</v>
      </c>
      <c r="H190" s="414" t="b">
        <f>Wh_hp&gt;='2022'!Maxi_hp</f>
        <v>0</v>
      </c>
      <c r="I190" s="390">
        <f>IF(H190,Wh_hp,'2022'!Maxi_hp)</f>
        <v>60.228576007833119</v>
      </c>
      <c r="J190" s="85">
        <f>IF(H190,An,'2022'!An_max)</f>
        <v>2019</v>
      </c>
      <c r="K190" s="197">
        <f t="shared" si="52"/>
        <v>45102</v>
      </c>
      <c r="L190" s="147">
        <f>IF(t&lt;Tvie,1-EXP((T0-t)*PertePVj)+'2022'!Pspv,1-EXP((T0-t)*PertePVj)+Pspv)</f>
        <v>4.0778372410662844E-2</v>
      </c>
      <c r="M190" s="844"/>
      <c r="N190" s="844"/>
      <c r="O190" s="48">
        <f>IF(t&lt;Tnet,'2022'!Resal+('2022'!Salim-'2022'!Resal)*(1-EXP(('2022'!Tnet-t)/('2022'!Tau_j))),Resal+(Salim-Resal)*(1-EXP((Tnet-t)/(Tau_j))))*Salcycl</f>
        <v>2.8897761632403214E-2</v>
      </c>
      <c r="P190" s="169">
        <f>(INDEX(Models!$BJ190:$BT190,,T190)*(1-R190)+INDEX(Models!$BJ190:$BT190,,T190+1)*R190-ERP_i)*Q190*Ramure*Pc/MaxiM</f>
        <v>1.9047358407284072E-4</v>
      </c>
      <c r="Q190" s="305">
        <f t="shared" si="53"/>
        <v>0.7</v>
      </c>
      <c r="R190" s="177">
        <f t="shared" si="54"/>
        <v>0.65894371989281009</v>
      </c>
      <c r="S190" s="810">
        <f t="shared" si="55"/>
        <v>0</v>
      </c>
      <c r="T190" s="176">
        <f t="shared" si="56"/>
        <v>6</v>
      </c>
      <c r="U190" s="251">
        <f t="shared" si="57"/>
        <v>0.65894371989281009</v>
      </c>
      <c r="V190" s="383">
        <f t="shared" si="58"/>
        <v>59.325392503004636</v>
      </c>
      <c r="W190" s="402">
        <f t="shared" si="59"/>
        <v>33.699790451653229</v>
      </c>
      <c r="X190" s="157">
        <f t="shared" si="60"/>
        <v>45102</v>
      </c>
      <c r="Y190" s="385">
        <f t="shared" si="61"/>
        <v>30.504032896689736</v>
      </c>
      <c r="Z190" s="385">
        <f t="shared" si="62"/>
        <v>31.80081851714581</v>
      </c>
      <c r="AA190" s="386">
        <f t="shared" si="63"/>
        <v>36.177894085628665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0.12098757208263292</v>
      </c>
      <c r="AD190" s="231">
        <f>(INDEX(Models!$BJ190:$BT190,,AH190)*(1-AF190)+INDEX(Models!$BJ190:$BT190,,AH190+1)*AF190-ERP_i)*AE190*Ramure*Pc/MaxiM</f>
        <v>1.9047358407284072E-4</v>
      </c>
      <c r="AE190" s="305">
        <f t="shared" si="65"/>
        <v>0.7</v>
      </c>
      <c r="AF190" s="177">
        <f t="shared" si="66"/>
        <v>0.65894371989281009</v>
      </c>
      <c r="AG190" s="810">
        <f t="shared" si="74"/>
        <v>0</v>
      </c>
      <c r="AH190" s="176">
        <f t="shared" si="67"/>
        <v>6</v>
      </c>
      <c r="AI190" s="225">
        <f t="shared" si="68"/>
        <v>0.65894371989281009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12.731173562508079</v>
      </c>
      <c r="C191" s="840"/>
      <c r="D191" s="393">
        <f t="shared" si="50"/>
        <v>13.272709326213608</v>
      </c>
      <c r="E191" s="385">
        <f t="shared" si="75"/>
        <v>13.670268422477353</v>
      </c>
      <c r="F191" s="385">
        <f t="shared" si="51"/>
        <v>13.670268422477353</v>
      </c>
      <c r="G191" s="110">
        <f t="shared" si="76"/>
        <v>0.21478723841604763</v>
      </c>
      <c r="H191" s="414" t="b">
        <f>Wh_hp&gt;='2022'!Maxi_hp</f>
        <v>0</v>
      </c>
      <c r="I191" s="390">
        <f>IF(H191,Wh_hp,'2022'!Maxi_hp)</f>
        <v>61.391181124623479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4.0800694899269407E-2</v>
      </c>
      <c r="M191" s="844"/>
      <c r="N191" s="844"/>
      <c r="O191" s="48">
        <f>IF(t&lt;Tnet,'2022'!Resal+('2022'!Salim-'2022'!Resal)*(1-EXP(('2022'!Tnet-t)/('2022'!Tau_j))),Resal+(Salim-Resal)*(1-EXP((Tnet-t)/(Tau_j))))*Salcycl</f>
        <v>2.9082025603100674E-2</v>
      </c>
      <c r="P191" s="169">
        <f>(INDEX(Models!$BJ191:$BT191,,T191)*(1-R191)+INDEX(Models!$BJ191:$BT191,,T191+1)*R191-ERP_i)*Q191*Ramure*Pc/MaxiM</f>
        <v>1.9064339722934815E-4</v>
      </c>
      <c r="Q191" s="305">
        <f t="shared" si="53"/>
        <v>0.7</v>
      </c>
      <c r="R191" s="177">
        <f t="shared" si="54"/>
        <v>0.66266940976547595</v>
      </c>
      <c r="S191" s="810">
        <f t="shared" si="55"/>
        <v>0</v>
      </c>
      <c r="T191" s="176">
        <f t="shared" si="56"/>
        <v>6</v>
      </c>
      <c r="U191" s="251">
        <f t="shared" si="57"/>
        <v>0.66266940976547595</v>
      </c>
      <c r="V191" s="383">
        <f t="shared" si="58"/>
        <v>59.262116977702107</v>
      </c>
      <c r="W191" s="402">
        <f t="shared" si="59"/>
        <v>12.731173562508079</v>
      </c>
      <c r="X191" s="157">
        <f t="shared" si="60"/>
        <v>45103</v>
      </c>
      <c r="Y191" s="385">
        <f t="shared" si="61"/>
        <v>11.524560228321004</v>
      </c>
      <c r="Z191" s="385">
        <f t="shared" si="62"/>
        <v>12.014771244137577</v>
      </c>
      <c r="AA191" s="386">
        <f t="shared" si="63"/>
        <v>13.670268422477353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0.12110202427464582</v>
      </c>
      <c r="AD191" s="231">
        <f>(INDEX(Models!$BJ191:$BT191,,AH191)*(1-AF191)+INDEX(Models!$BJ191:$BT191,,AH191+1)*AF191-ERP_i)*AE191*Ramure*Pc/MaxiM</f>
        <v>1.9064339722934815E-4</v>
      </c>
      <c r="AE191" s="305">
        <f t="shared" si="65"/>
        <v>0.7</v>
      </c>
      <c r="AF191" s="177">
        <f t="shared" si="66"/>
        <v>0.66266940976547595</v>
      </c>
      <c r="AG191" s="810">
        <f t="shared" si="74"/>
        <v>0</v>
      </c>
      <c r="AH191" s="176">
        <f t="shared" si="67"/>
        <v>6</v>
      </c>
      <c r="AI191" s="225">
        <f t="shared" si="68"/>
        <v>0.66266940976547595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14.818693946337683</v>
      </c>
      <c r="C192" s="840"/>
      <c r="D192" s="393">
        <f t="shared" si="50"/>
        <v>15.44938442742483</v>
      </c>
      <c r="E192" s="385">
        <f t="shared" si="75"/>
        <v>15.915153050818128</v>
      </c>
      <c r="F192" s="385">
        <f t="shared" si="51"/>
        <v>15.915153050818128</v>
      </c>
      <c r="G192" s="110">
        <f t="shared" si="76"/>
        <v>0.25027955804413132</v>
      </c>
      <c r="H192" s="414" t="b">
        <f>Wh_hp&gt;='2022'!Maxi_hp</f>
        <v>0</v>
      </c>
      <c r="I192" s="390">
        <f>IF(H192,Wh_hp,'2022'!Maxi_hp)</f>
        <v>61.300290769717577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4.0823016868399176E-2</v>
      </c>
      <c r="M192" s="844"/>
      <c r="N192" s="844"/>
      <c r="O192" s="48">
        <f>IF(t&lt;Tnet,'2022'!Resal+('2022'!Salim-'2022'!Resal)*(1-EXP(('2022'!Tnet-t)/('2022'!Tau_j))),Resal+(Salim-Resal)*(1-EXP((Tnet-t)/(Tau_j))))*Salcycl</f>
        <v>2.9265733223304165E-2</v>
      </c>
      <c r="P192" s="169">
        <f>(INDEX(Models!$BJ192:$BT192,,T192)*(1-R192)+INDEX(Models!$BJ192:$BT192,,T192+1)*R192-ERP_i)*Q192*Ramure*Pc/MaxiM</f>
        <v>1.9063982367092727E-4</v>
      </c>
      <c r="Q192" s="305">
        <f t="shared" si="53"/>
        <v>0.7</v>
      </c>
      <c r="R192" s="177">
        <f t="shared" si="54"/>
        <v>0.66634682209964957</v>
      </c>
      <c r="S192" s="810">
        <f t="shared" si="55"/>
        <v>0</v>
      </c>
      <c r="T192" s="176">
        <f t="shared" si="56"/>
        <v>6</v>
      </c>
      <c r="U192" s="251">
        <f t="shared" si="57"/>
        <v>0.66634682209964957</v>
      </c>
      <c r="V192" s="383">
        <f t="shared" si="58"/>
        <v>59.197279350014931</v>
      </c>
      <c r="W192" s="402">
        <f t="shared" si="59"/>
        <v>14.818693946337683</v>
      </c>
      <c r="X192" s="157">
        <f t="shared" si="60"/>
        <v>45104</v>
      </c>
      <c r="Y192" s="385">
        <f t="shared" si="61"/>
        <v>13.41505561883112</v>
      </c>
      <c r="Z192" s="385">
        <f t="shared" si="62"/>
        <v>13.986006602277435</v>
      </c>
      <c r="AA192" s="386">
        <f t="shared" si="63"/>
        <v>15.915153050818128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0.12121444527619692</v>
      </c>
      <c r="AD192" s="231">
        <f>(INDEX(Models!$BJ192:$BT192,,AH192)*(1-AF192)+INDEX(Models!$BJ192:$BT192,,AH192+1)*AF192-ERP_i)*AE192*Ramure*Pc/MaxiM</f>
        <v>1.9063982367092727E-4</v>
      </c>
      <c r="AE192" s="305">
        <f t="shared" si="65"/>
        <v>0.7</v>
      </c>
      <c r="AF192" s="177">
        <f t="shared" si="66"/>
        <v>0.66634682209964957</v>
      </c>
      <c r="AG192" s="810">
        <f t="shared" si="74"/>
        <v>0</v>
      </c>
      <c r="AH192" s="176">
        <f t="shared" si="67"/>
        <v>6</v>
      </c>
      <c r="AI192" s="225">
        <f t="shared" si="68"/>
        <v>0.66634682209964957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60.369207388413244</v>
      </c>
      <c r="C193" s="840"/>
      <c r="D193" s="393">
        <f t="shared" si="50"/>
        <v>62.940013534993589</v>
      </c>
      <c r="E193" s="385">
        <f t="shared" si="75"/>
        <v>64.849766562842646</v>
      </c>
      <c r="F193" s="385">
        <f t="shared" si="51"/>
        <v>64.86212687657445</v>
      </c>
      <c r="G193" s="110">
        <f t="shared" si="76"/>
        <v>1.0209457463470906</v>
      </c>
      <c r="H193" s="414" t="b">
        <f>Wh_hp&gt;='2022'!Maxi_hp</f>
        <v>1</v>
      </c>
      <c r="I193" s="390">
        <f>IF(H193,Wh_hp,'2022'!Maxi_hp)</f>
        <v>64.86212687657445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4.0845338318064028E-2</v>
      </c>
      <c r="M193" s="844"/>
      <c r="N193" s="844"/>
      <c r="O193" s="48">
        <f>IF(t&lt;Tnet,'2022'!Resal+('2022'!Salim-'2022'!Resal)*(1-EXP(('2022'!Tnet-t)/('2022'!Tau_j))),Resal+(Salim-Resal)*(1-EXP((Tnet-t)/(Tau_j))))*Salcycl</f>
        <v>2.9448880529098217E-2</v>
      </c>
      <c r="P193" s="169">
        <f>(INDEX(Models!$BJ193:$BT193,,T193)*(1-R193)+INDEX(Models!$BJ193:$BT193,,T193+1)*R193-ERP_i)*Q193*Ramure*Pc/MaxiM</f>
        <v>1.9056288048223771E-4</v>
      </c>
      <c r="Q193" s="305">
        <f t="shared" si="53"/>
        <v>0.7</v>
      </c>
      <c r="R193" s="177">
        <f t="shared" si="54"/>
        <v>0.66997384572431318</v>
      </c>
      <c r="S193" s="810">
        <f t="shared" si="55"/>
        <v>0</v>
      </c>
      <c r="T193" s="176">
        <f t="shared" si="56"/>
        <v>6</v>
      </c>
      <c r="U193" s="251">
        <f t="shared" si="57"/>
        <v>0.66997384572431318</v>
      </c>
      <c r="V193" s="383">
        <f t="shared" si="58"/>
        <v>59.130671345085901</v>
      </c>
      <c r="W193" s="402">
        <f t="shared" si="59"/>
        <v>60.369207388413244</v>
      </c>
      <c r="X193" s="157">
        <f t="shared" si="60"/>
        <v>45105</v>
      </c>
      <c r="Y193" s="385">
        <f t="shared" si="61"/>
        <v>54.654434225988972</v>
      </c>
      <c r="Z193" s="385">
        <f t="shared" si="62"/>
        <v>56.981878324137114</v>
      </c>
      <c r="AA193" s="386">
        <f t="shared" si="63"/>
        <v>64.849766562842646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0.12132485058494638</v>
      </c>
      <c r="AD193" s="231">
        <f>(INDEX(Models!$BJ193:$BT193,,AH193)*(1-AF193)+INDEX(Models!$BJ193:$BT193,,AH193+1)*AF193-ERP_i)*AE193*Ramure*Pc/MaxiM</f>
        <v>1.9056288048223771E-4</v>
      </c>
      <c r="AE193" s="305">
        <f t="shared" si="65"/>
        <v>0.7</v>
      </c>
      <c r="AF193" s="177">
        <f t="shared" si="66"/>
        <v>0.66997384572431318</v>
      </c>
      <c r="AG193" s="810">
        <f t="shared" si="74"/>
        <v>0</v>
      </c>
      <c r="AH193" s="176">
        <f t="shared" si="67"/>
        <v>6</v>
      </c>
      <c r="AI193" s="225">
        <f t="shared" si="68"/>
        <v>0.66997384572431318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57.890520938474033</v>
      </c>
      <c r="C194" s="840"/>
      <c r="D194" s="393">
        <f t="shared" si="50"/>
        <v>60.357177501805538</v>
      </c>
      <c r="E194" s="385">
        <f t="shared" si="75"/>
        <v>62.200262395193</v>
      </c>
      <c r="F194" s="385">
        <f t="shared" si="51"/>
        <v>62.211772657347133</v>
      </c>
      <c r="G194" s="110">
        <f t="shared" si="76"/>
        <v>0.98015847158201097</v>
      </c>
      <c r="H194" s="414" t="b">
        <f>Wh_hp&gt;='2022'!Maxi_hp</f>
        <v>0</v>
      </c>
      <c r="I194" s="390">
        <f>IF(H194,Wh_hp,'2022'!Maxi_hp)</f>
        <v>62.211845559281812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4.0867659248276067E-2</v>
      </c>
      <c r="M194" s="844"/>
      <c r="N194" s="844"/>
      <c r="O194" s="48">
        <f>IF(t&lt;Tnet,'2022'!Resal+('2022'!Salim-'2022'!Resal)*(1-EXP(('2022'!Tnet-t)/('2022'!Tau_j))),Resal+(Salim-Resal)*(1-EXP((Tnet-t)/(Tau_j))))*Salcycl</f>
        <v>2.9631464923368236E-2</v>
      </c>
      <c r="P194" s="169">
        <f>(INDEX(Models!$BJ194:$BT194,,T194)*(1-R194)+INDEX(Models!$BJ194:$BT194,,T194+1)*R194-ERP_i)*Q194*Ramure*Pc/MaxiM</f>
        <v>1.904132604486318E-4</v>
      </c>
      <c r="Q194" s="305">
        <f t="shared" si="53"/>
        <v>0.7</v>
      </c>
      <c r="R194" s="177">
        <f t="shared" si="54"/>
        <v>0.6735485107897311</v>
      </c>
      <c r="S194" s="810">
        <f t="shared" si="55"/>
        <v>0</v>
      </c>
      <c r="T194" s="176">
        <f t="shared" si="56"/>
        <v>6</v>
      </c>
      <c r="U194" s="251">
        <f t="shared" si="57"/>
        <v>0.6735485107897311</v>
      </c>
      <c r="V194" s="383">
        <f t="shared" si="58"/>
        <v>59.062090663429565</v>
      </c>
      <c r="W194" s="402">
        <f t="shared" si="59"/>
        <v>57.890520938474033</v>
      </c>
      <c r="X194" s="157">
        <f t="shared" si="60"/>
        <v>45106</v>
      </c>
      <c r="Y194" s="385">
        <f t="shared" si="61"/>
        <v>52.413783394101003</v>
      </c>
      <c r="Z194" s="385">
        <f t="shared" si="62"/>
        <v>54.647081708267166</v>
      </c>
      <c r="AA194" s="386">
        <f t="shared" si="63"/>
        <v>62.200262395193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0.121433260826719</v>
      </c>
      <c r="AD194" s="231">
        <f>(INDEX(Models!$BJ194:$BT194,,AH194)*(1-AF194)+INDEX(Models!$BJ194:$BT194,,AH194+1)*AF194-ERP_i)*AE194*Ramure*Pc/MaxiM</f>
        <v>1.904132604486318E-4</v>
      </c>
      <c r="AE194" s="305">
        <f t="shared" si="65"/>
        <v>0.7</v>
      </c>
      <c r="AF194" s="177">
        <f t="shared" si="66"/>
        <v>0.6735485107897311</v>
      </c>
      <c r="AG194" s="810">
        <f t="shared" si="74"/>
        <v>0</v>
      </c>
      <c r="AH194" s="176">
        <f t="shared" si="67"/>
        <v>6</v>
      </c>
      <c r="AI194" s="225">
        <f t="shared" si="68"/>
        <v>0.6735485107897311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14.637483932298064</v>
      </c>
      <c r="C195" s="840"/>
      <c r="D195" s="393">
        <f t="shared" si="50"/>
        <v>15.261527480543483</v>
      </c>
      <c r="E195" s="385">
        <f t="shared" si="75"/>
        <v>15.730508770219487</v>
      </c>
      <c r="F195" s="385">
        <f t="shared" si="51"/>
        <v>15.730508770219487</v>
      </c>
      <c r="G195" s="110">
        <f t="shared" si="76"/>
        <v>0.24808219687973315</v>
      </c>
      <c r="H195" s="414" t="b">
        <f>Wh_hp&gt;='2022'!Maxi_hp</f>
        <v>0</v>
      </c>
      <c r="I195" s="390">
        <f>IF(H195,Wh_hp,'2022'!Maxi_hp)</f>
        <v>56.806125451843101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4.0889979659047615E-2</v>
      </c>
      <c r="M195" s="844"/>
      <c r="N195" s="844"/>
      <c r="O195" s="48">
        <f>IF(t&lt;Tnet,'2022'!Resal+('2022'!Salim-'2022'!Resal)*(1-EXP(('2022'!Tnet-t)/('2022'!Tau_j))),Resal+(Salim-Resal)*(1-EXP((Tnet-t)/(Tau_j))))*Salcycl</f>
        <v>2.9813485153376902E-2</v>
      </c>
      <c r="P195" s="169">
        <f>(INDEX(Models!$BJ195:$BT195,,T195)*(1-R195)+INDEX(Models!$BJ195:$BT195,,T195+1)*R195-ERP_i)*Q195*Ramure*Pc/MaxiM</f>
        <v>1.901917362673224E-4</v>
      </c>
      <c r="Q195" s="305">
        <f t="shared" si="53"/>
        <v>0.7</v>
      </c>
      <c r="R195" s="177">
        <f t="shared" si="54"/>
        <v>0.67706899098617557</v>
      </c>
      <c r="S195" s="810">
        <f t="shared" si="55"/>
        <v>0</v>
      </c>
      <c r="T195" s="176">
        <f t="shared" si="56"/>
        <v>6</v>
      </c>
      <c r="U195" s="251">
        <f t="shared" si="57"/>
        <v>0.67706899098617557</v>
      </c>
      <c r="V195" s="383">
        <f t="shared" si="58"/>
        <v>58.991335081207367</v>
      </c>
      <c r="W195" s="402">
        <f t="shared" si="59"/>
        <v>14.637483932298064</v>
      </c>
      <c r="X195" s="157">
        <f t="shared" si="60"/>
        <v>45107</v>
      </c>
      <c r="Y195" s="385">
        <f t="shared" si="61"/>
        <v>13.25358403483083</v>
      </c>
      <c r="Z195" s="385">
        <f t="shared" si="62"/>
        <v>13.81862742933218</v>
      </c>
      <c r="AA195" s="386">
        <f t="shared" si="63"/>
        <v>15.730508770219487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0.12153970153252903</v>
      </c>
      <c r="AD195" s="231">
        <f>(INDEX(Models!$BJ195:$BT195,,AH195)*(1-AF195)+INDEX(Models!$BJ195:$BT195,,AH195+1)*AF195-ERP_i)*AE195*Ramure*Pc/MaxiM</f>
        <v>1.901917362673224E-4</v>
      </c>
      <c r="AE195" s="305">
        <f t="shared" si="65"/>
        <v>0.7</v>
      </c>
      <c r="AF195" s="177">
        <f t="shared" si="66"/>
        <v>0.67706899098617557</v>
      </c>
      <c r="AG195" s="810">
        <f t="shared" si="74"/>
        <v>0</v>
      </c>
      <c r="AH195" s="176">
        <f t="shared" si="67"/>
        <v>6</v>
      </c>
      <c r="AI195" s="225">
        <f t="shared" si="68"/>
        <v>0.67706899098617557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54.508297644909703</v>
      </c>
      <c r="C196" s="840"/>
      <c r="D196" s="393">
        <f t="shared" si="50"/>
        <v>56.833486259240757</v>
      </c>
      <c r="E196" s="385">
        <f t="shared" si="75"/>
        <v>58.590917385780457</v>
      </c>
      <c r="F196" s="385">
        <f t="shared" si="51"/>
        <v>58.600855743596952</v>
      </c>
      <c r="G196" s="110">
        <f t="shared" si="76"/>
        <v>0.9251332931360795</v>
      </c>
      <c r="H196" s="414" t="b">
        <f>Wh_hp&gt;='2022'!Maxi_hp</f>
        <v>0</v>
      </c>
      <c r="I196" s="390">
        <f>IF(H196,Wh_hp,'2022'!Maxi_hp)</f>
        <v>61.555241119105759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4.0912299550390441E-2</v>
      </c>
      <c r="M196" s="844"/>
      <c r="N196" s="844"/>
      <c r="O196" s="48">
        <f>IF(t&lt;Tnet,'2022'!Resal+('2022'!Salim-'2022'!Resal)*(1-EXP(('2022'!Tnet-t)/('2022'!Tau_j))),Resal+(Salim-Resal)*(1-EXP((Tnet-t)/(Tau_j))))*Salcycl</f>
        <v>2.9994941280202907E-2</v>
      </c>
      <c r="P196" s="169">
        <f>(INDEX(Models!$BJ196:$BT196,,T196)*(1-R196)+INDEX(Models!$BJ196:$BT196,,T196+1)*R196-ERP_i)*Q196*Ramure*Pc/MaxiM</f>
        <v>1.8989915367409373E-4</v>
      </c>
      <c r="Q196" s="305">
        <f t="shared" si="53"/>
        <v>0.7</v>
      </c>
      <c r="R196" s="177">
        <f t="shared" si="54"/>
        <v>0.68053360500292981</v>
      </c>
      <c r="S196" s="810">
        <f t="shared" si="55"/>
        <v>0</v>
      </c>
      <c r="T196" s="176">
        <f t="shared" si="56"/>
        <v>6</v>
      </c>
      <c r="U196" s="251">
        <f t="shared" si="57"/>
        <v>0.68053360500292981</v>
      </c>
      <c r="V196" s="383">
        <f t="shared" si="58"/>
        <v>58.918202453862243</v>
      </c>
      <c r="W196" s="402">
        <f t="shared" si="59"/>
        <v>54.508297644909703</v>
      </c>
      <c r="X196" s="157">
        <f t="shared" si="60"/>
        <v>45108</v>
      </c>
      <c r="Y196" s="385">
        <f t="shared" si="61"/>
        <v>49.358174781240116</v>
      </c>
      <c r="Z196" s="385">
        <f t="shared" si="62"/>
        <v>51.463671943766514</v>
      </c>
      <c r="AA196" s="386">
        <f t="shared" si="63"/>
        <v>58.590917385780457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0.12164420289045813</v>
      </c>
      <c r="AD196" s="231">
        <f>(INDEX(Models!$BJ196:$BT196,,AH196)*(1-AF196)+INDEX(Models!$BJ196:$BT196,,AH196+1)*AF196-ERP_i)*AE196*Ramure*Pc/MaxiM</f>
        <v>1.8989915367409373E-4</v>
      </c>
      <c r="AE196" s="305">
        <f t="shared" si="65"/>
        <v>0.7</v>
      </c>
      <c r="AF196" s="177">
        <f t="shared" si="66"/>
        <v>0.68053360500292981</v>
      </c>
      <c r="AG196" s="810">
        <f t="shared" si="74"/>
        <v>0</v>
      </c>
      <c r="AH196" s="176">
        <f t="shared" si="67"/>
        <v>6</v>
      </c>
      <c r="AI196" s="225">
        <f t="shared" si="68"/>
        <v>0.68053360500292981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57.22887428744972</v>
      </c>
      <c r="C197" s="840"/>
      <c r="D197" s="393">
        <f t="shared" si="50"/>
        <v>59.67150458829277</v>
      </c>
      <c r="E197" s="385">
        <f t="shared" si="75"/>
        <v>61.528168424388326</v>
      </c>
      <c r="F197" s="385">
        <f t="shared" si="51"/>
        <v>61.539375439860834</v>
      </c>
      <c r="G197" s="110">
        <f t="shared" si="76"/>
        <v>0.97257013733768449</v>
      </c>
      <c r="H197" s="414" t="b">
        <f>Wh_hp&gt;='2022'!Maxi_hp</f>
        <v>0</v>
      </c>
      <c r="I197" s="390">
        <f>IF(H197,Wh_hp,'2022'!Maxi_hp)</f>
        <v>61.53947491631434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4.0934618922316868E-2</v>
      </c>
      <c r="M197" s="844"/>
      <c r="N197" s="844"/>
      <c r="O197" s="48">
        <f>IF(t&lt;Tnet,'2022'!Resal+('2022'!Salim-'2022'!Resal)*(1-EXP(('2022'!Tnet-t)/('2022'!Tau_j))),Resal+(Salim-Resal)*(1-EXP((Tnet-t)/(Tau_j))))*Salcycl</f>
        <v>3.0175834640311094E-2</v>
      </c>
      <c r="P197" s="169">
        <f>(INDEX(Models!$BJ197:$BT197,,T197)*(1-R197)+INDEX(Models!$BJ197:$BT197,,T197+1)*R197-ERP_i)*Q197*Ramure*Pc/MaxiM</f>
        <v>1.8953642419279449E-4</v>
      </c>
      <c r="Q197" s="305">
        <f t="shared" si="53"/>
        <v>0.7</v>
      </c>
      <c r="R197" s="177">
        <f t="shared" si="54"/>
        <v>0.68394081724905842</v>
      </c>
      <c r="S197" s="810">
        <f t="shared" si="55"/>
        <v>0</v>
      </c>
      <c r="T197" s="176">
        <f t="shared" si="56"/>
        <v>6</v>
      </c>
      <c r="U197" s="251">
        <f t="shared" si="57"/>
        <v>0.68394081724905842</v>
      </c>
      <c r="V197" s="383">
        <f t="shared" si="58"/>
        <v>58.842490717463647</v>
      </c>
      <c r="W197" s="402">
        <f t="shared" si="59"/>
        <v>57.22887428744972</v>
      </c>
      <c r="X197" s="157">
        <f t="shared" si="60"/>
        <v>45109</v>
      </c>
      <c r="Y197" s="385">
        <f t="shared" si="61"/>
        <v>51.825314114331007</v>
      </c>
      <c r="Z197" s="385">
        <f t="shared" si="62"/>
        <v>54.037310841202412</v>
      </c>
      <c r="AA197" s="386">
        <f t="shared" si="63"/>
        <v>61.528168424388326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0.1217467994743154</v>
      </c>
      <c r="AD197" s="231">
        <f>(INDEX(Models!$BJ197:$BT197,,AH197)*(1-AF197)+INDEX(Models!$BJ197:$BT197,,AH197+1)*AF197-ERP_i)*AE197*Ramure*Pc/MaxiM</f>
        <v>1.8953642419279449E-4</v>
      </c>
      <c r="AE197" s="305">
        <f t="shared" si="65"/>
        <v>0.7</v>
      </c>
      <c r="AF197" s="177">
        <f t="shared" si="66"/>
        <v>0.68394081724905842</v>
      </c>
      <c r="AG197" s="810">
        <f t="shared" si="74"/>
        <v>0</v>
      </c>
      <c r="AH197" s="176">
        <f t="shared" si="67"/>
        <v>6</v>
      </c>
      <c r="AI197" s="225">
        <f t="shared" si="68"/>
        <v>0.68394081724905842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44.608589924116934</v>
      </c>
      <c r="C198" s="840"/>
      <c r="D198" s="393">
        <f t="shared" si="50"/>
        <v>46.513646447341557</v>
      </c>
      <c r="E198" s="385">
        <f t="shared" si="75"/>
        <v>47.969826551454631</v>
      </c>
      <c r="F198" s="385">
        <f t="shared" si="51"/>
        <v>47.975776805144797</v>
      </c>
      <c r="G198" s="110">
        <f t="shared" si="76"/>
        <v>0.75906487156342761</v>
      </c>
      <c r="H198" s="414" t="b">
        <f>Wh_hp&gt;='2022'!Maxi_hp</f>
        <v>0</v>
      </c>
      <c r="I198" s="390">
        <f>IF(H198,Wh_hp,'2022'!Maxi_hp)</f>
        <v>50.673839895815256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4.0956937774838886E-2</v>
      </c>
      <c r="M198" s="844"/>
      <c r="N198" s="844"/>
      <c r="O198" s="48">
        <f>IF(t&lt;Tnet,'2022'!Resal+('2022'!Salim-'2022'!Resal)*(1-EXP(('2022'!Tnet-t)/('2022'!Tau_j))),Resal+(Salim-Resal)*(1-EXP((Tnet-t)/(Tau_j))))*Salcycl</f>
        <v>3.0356167799587708E-2</v>
      </c>
      <c r="P198" s="169">
        <f>(INDEX(Models!$BJ198:$BT198,,T198)*(1-R198)+INDEX(Models!$BJ198:$BT198,,T198+1)*R198-ERP_i)*Q198*Ramure*Pc/MaxiM</f>
        <v>1.890996434101632E-4</v>
      </c>
      <c r="Q198" s="305">
        <f t="shared" si="53"/>
        <v>0.7</v>
      </c>
      <c r="R198" s="177">
        <f t="shared" si="54"/>
        <v>0.68728923786289564</v>
      </c>
      <c r="S198" s="810">
        <f t="shared" si="55"/>
        <v>0</v>
      </c>
      <c r="T198" s="176">
        <f t="shared" si="56"/>
        <v>6</v>
      </c>
      <c r="U198" s="251">
        <f t="shared" si="57"/>
        <v>0.68728923786289564</v>
      </c>
      <c r="V198" s="383">
        <f t="shared" si="58"/>
        <v>58.763998178432757</v>
      </c>
      <c r="W198" s="402">
        <f t="shared" si="59"/>
        <v>44.608589924116934</v>
      </c>
      <c r="X198" s="157">
        <f t="shared" si="60"/>
        <v>45110</v>
      </c>
      <c r="Y198" s="385">
        <f t="shared" si="61"/>
        <v>40.399517973895982</v>
      </c>
      <c r="Z198" s="385">
        <f t="shared" si="62"/>
        <v>42.124821673973081</v>
      </c>
      <c r="AA198" s="386">
        <f t="shared" si="63"/>
        <v>47.969826551454631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0.12184752995118558</v>
      </c>
      <c r="AD198" s="231">
        <f>(INDEX(Models!$BJ198:$BT198,,AH198)*(1-AF198)+INDEX(Models!$BJ198:$BT198,,AH198+1)*AF198-ERP_i)*AE198*Ramure*Pc/MaxiM</f>
        <v>1.890996434101632E-4</v>
      </c>
      <c r="AE198" s="305">
        <f t="shared" si="65"/>
        <v>0.7</v>
      </c>
      <c r="AF198" s="177">
        <f t="shared" si="66"/>
        <v>0.68728923786289564</v>
      </c>
      <c r="AG198" s="810">
        <f t="shared" si="74"/>
        <v>0</v>
      </c>
      <c r="AH198" s="176">
        <f t="shared" si="67"/>
        <v>6</v>
      </c>
      <c r="AI198" s="225">
        <f t="shared" si="68"/>
        <v>0.68728923786289564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44.30687672576623</v>
      </c>
      <c r="C199" s="840"/>
      <c r="D199" s="393">
        <f t="shared" si="50"/>
        <v>46.200123415426759</v>
      </c>
      <c r="E199" s="385">
        <f t="shared" si="75"/>
        <v>47.655323736175511</v>
      </c>
      <c r="F199" s="385">
        <f t="shared" si="51"/>
        <v>47.661169740709937</v>
      </c>
      <c r="G199" s="110">
        <f t="shared" si="76"/>
        <v>0.75497699991098777</v>
      </c>
      <c r="H199" s="414" t="b">
        <f>Wh_hp&gt;='2022'!Maxi_hp</f>
        <v>0</v>
      </c>
      <c r="I199" s="390">
        <f>IF(H199,Wh_hp,'2022'!Maxi_hp)</f>
        <v>59.251249385209874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4.0979256107968598E-2</v>
      </c>
      <c r="M199" s="844"/>
      <c r="N199" s="844"/>
      <c r="O199" s="48">
        <f>IF(t&lt;Tnet,'2022'!Resal+('2022'!Salim-'2022'!Resal)*(1-EXP(('2022'!Tnet-t)/('2022'!Tau_j))),Resal+(Salim-Resal)*(1-EXP((Tnet-t)/(Tau_j))))*Salcycl</f>
        <v>3.0535944500238405E-2</v>
      </c>
      <c r="P199" s="169">
        <f>(INDEX(Models!$BJ199:$BT199,,T199)*(1-R199)+INDEX(Models!$BJ199:$BT199,,T199+1)*R199-ERP_i)*Q199*Ramure*Pc/MaxiM</f>
        <v>1.8869285393009814E-4</v>
      </c>
      <c r="Q199" s="305">
        <f t="shared" si="53"/>
        <v>0.7</v>
      </c>
      <c r="R199" s="177">
        <f t="shared" si="54"/>
        <v>0.69057762204206119</v>
      </c>
      <c r="S199" s="810">
        <f t="shared" si="55"/>
        <v>0</v>
      </c>
      <c r="T199" s="176">
        <f t="shared" si="56"/>
        <v>6</v>
      </c>
      <c r="U199" s="251">
        <f t="shared" si="57"/>
        <v>0.69057762204206119</v>
      </c>
      <c r="V199" s="383">
        <f t="shared" si="58"/>
        <v>58.682516892658604</v>
      </c>
      <c r="W199" s="402">
        <f t="shared" si="59"/>
        <v>44.30687672576623</v>
      </c>
      <c r="X199" s="157">
        <f t="shared" si="60"/>
        <v>45111</v>
      </c>
      <c r="Y199" s="385">
        <f t="shared" si="61"/>
        <v>40.129193819971633</v>
      </c>
      <c r="Z199" s="385">
        <f t="shared" si="62"/>
        <v>41.843926813421945</v>
      </c>
      <c r="AA199" s="386">
        <f t="shared" si="63"/>
        <v>47.655323736175511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0.12194643677012917</v>
      </c>
      <c r="AD199" s="231">
        <f>(INDEX(Models!$BJ199:$BT199,,AH199)*(1-AF199)+INDEX(Models!$BJ199:$BT199,,AH199+1)*AF199-ERP_i)*AE199*Ramure*Pc/MaxiM</f>
        <v>1.8869285393009814E-4</v>
      </c>
      <c r="AE199" s="305">
        <f t="shared" si="65"/>
        <v>0.7</v>
      </c>
      <c r="AF199" s="177">
        <f t="shared" si="66"/>
        <v>0.69057762204206119</v>
      </c>
      <c r="AG199" s="810">
        <f t="shared" si="74"/>
        <v>0</v>
      </c>
      <c r="AH199" s="176">
        <f t="shared" si="67"/>
        <v>6</v>
      </c>
      <c r="AI199" s="225">
        <f t="shared" si="68"/>
        <v>0.69057762204206119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57.020652504773025</v>
      </c>
      <c r="C200" s="840"/>
      <c r="D200" s="393">
        <f t="shared" si="50"/>
        <v>59.458546494130012</v>
      </c>
      <c r="E200" s="385">
        <f t="shared" si="75"/>
        <v>61.342697862768091</v>
      </c>
      <c r="F200" s="385">
        <f t="shared" si="51"/>
        <v>61.353807648820933</v>
      </c>
      <c r="G200" s="110">
        <f t="shared" si="76"/>
        <v>0.97307741501068956</v>
      </c>
      <c r="H200" s="414" t="b">
        <f>Wh_hp&gt;='2022'!Maxi_hp</f>
        <v>0</v>
      </c>
      <c r="I200" s="390">
        <f>IF(H200,Wh_hp,'2022'!Maxi_hp)</f>
        <v>63.499188646110007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4.1001573921718104E-2</v>
      </c>
      <c r="M200" s="844"/>
      <c r="N200" s="844"/>
      <c r="O200" s="48">
        <f>IF(t&lt;Tnet,'2022'!Resal+('2022'!Salim-'2022'!Resal)*(1-EXP(('2022'!Tnet-t)/('2022'!Tau_j))),Resal+(Salim-Resal)*(1-EXP((Tnet-t)/(Tau_j))))*Salcycl</f>
        <v>3.0715169601004157E-2</v>
      </c>
      <c r="P200" s="169">
        <f>(INDEX(Models!$BJ200:$BT200,,T200)*(1-R200)+INDEX(Models!$BJ200:$BT200,,T200+1)*R200-ERP_i)*Q200*Ramure*Pc/MaxiM</f>
        <v>1.883183541166526E-4</v>
      </c>
      <c r="Q200" s="305">
        <f t="shared" si="53"/>
        <v>0.7</v>
      </c>
      <c r="R200" s="177">
        <f t="shared" si="54"/>
        <v>0.69380486873004032</v>
      </c>
      <c r="S200" s="810">
        <f t="shared" si="55"/>
        <v>0</v>
      </c>
      <c r="T200" s="176">
        <f t="shared" si="56"/>
        <v>6</v>
      </c>
      <c r="U200" s="251">
        <f t="shared" si="57"/>
        <v>0.69380486873004032</v>
      </c>
      <c r="V200" s="383">
        <f t="shared" si="58"/>
        <v>58.597845006668244</v>
      </c>
      <c r="W200" s="402">
        <f t="shared" si="59"/>
        <v>57.020652504773025</v>
      </c>
      <c r="X200" s="157">
        <f t="shared" si="60"/>
        <v>45112</v>
      </c>
      <c r="Y200" s="385">
        <f t="shared" si="61"/>
        <v>51.648026644837728</v>
      </c>
      <c r="Z200" s="385">
        <f t="shared" si="62"/>
        <v>53.856216277691537</v>
      </c>
      <c r="AA200" s="386">
        <f t="shared" si="63"/>
        <v>61.342697862768091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0.12204356583443429</v>
      </c>
      <c r="AD200" s="231">
        <f>(INDEX(Models!$BJ200:$BT200,,AH200)*(1-AF200)+INDEX(Models!$BJ200:$BT200,,AH200+1)*AF200-ERP_i)*AE200*Ramure*Pc/MaxiM</f>
        <v>1.883183541166526E-4</v>
      </c>
      <c r="AE200" s="305">
        <f t="shared" si="65"/>
        <v>0.7</v>
      </c>
      <c r="AF200" s="177">
        <f t="shared" si="66"/>
        <v>0.69380486873004032</v>
      </c>
      <c r="AG200" s="810">
        <f t="shared" si="74"/>
        <v>0</v>
      </c>
      <c r="AH200" s="176">
        <f t="shared" si="67"/>
        <v>6</v>
      </c>
      <c r="AI200" s="225">
        <f t="shared" si="68"/>
        <v>0.69380486873004032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50.063127278127887</v>
      </c>
      <c r="C201" s="840"/>
      <c r="D201" s="393">
        <f t="shared" si="50"/>
        <v>52.204770087144382</v>
      </c>
      <c r="E201" s="385">
        <f t="shared" si="75"/>
        <v>53.868990547505113</v>
      </c>
      <c r="F201" s="385">
        <f t="shared" si="51"/>
        <v>53.877029597623249</v>
      </c>
      <c r="G201" s="110">
        <f t="shared" si="76"/>
        <v>0.85560372163961873</v>
      </c>
      <c r="H201" s="414" t="b">
        <f>Wh_hp&gt;='2022'!Maxi_hp</f>
        <v>0</v>
      </c>
      <c r="I201" s="390">
        <f>IF(H201,Wh_hp,'2022'!Maxi_hp)</f>
        <v>62.806622289088963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4.1023891216099506E-2</v>
      </c>
      <c r="M201" s="844"/>
      <c r="N201" s="844"/>
      <c r="O201" s="48">
        <f>IF(t&lt;Tnet,'2022'!Resal+('2022'!Salim-'2022'!Resal)*(1-EXP(('2022'!Tnet-t)/('2022'!Tau_j))),Resal+(Salim-Resal)*(1-EXP((Tnet-t)/(Tau_j))))*Salcycl</f>
        <v>3.0893849011206547E-2</v>
      </c>
      <c r="P201" s="169">
        <f>(INDEX(Models!$BJ201:$BT201,,T201)*(1-R201)+INDEX(Models!$BJ201:$BT201,,T201+1)*R201-ERP_i)*Q201*Ramure*Pc/MaxiM</f>
        <v>1.8797844594565849E-4</v>
      </c>
      <c r="Q201" s="305">
        <f t="shared" si="53"/>
        <v>0.7</v>
      </c>
      <c r="R201" s="177">
        <f t="shared" si="54"/>
        <v>0.69697001869894115</v>
      </c>
      <c r="S201" s="810">
        <f t="shared" si="55"/>
        <v>0</v>
      </c>
      <c r="T201" s="176">
        <f t="shared" si="56"/>
        <v>6</v>
      </c>
      <c r="U201" s="251">
        <f t="shared" si="57"/>
        <v>0.69697001869894115</v>
      </c>
      <c r="V201" s="383">
        <f t="shared" si="58"/>
        <v>58.509780763113667</v>
      </c>
      <c r="W201" s="402">
        <f t="shared" si="59"/>
        <v>50.063127278127887</v>
      </c>
      <c r="X201" s="157">
        <f t="shared" si="60"/>
        <v>45113</v>
      </c>
      <c r="Y201" s="385">
        <f t="shared" si="61"/>
        <v>45.349488933490676</v>
      </c>
      <c r="Z201" s="385">
        <f t="shared" si="62"/>
        <v>47.289487733953457</v>
      </c>
      <c r="AA201" s="386">
        <f t="shared" si="63"/>
        <v>53.868990547505113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0.12213896615993634</v>
      </c>
      <c r="AD201" s="231">
        <f>(INDEX(Models!$BJ201:$BT201,,AH201)*(1-AF201)+INDEX(Models!$BJ201:$BT201,,AH201+1)*AF201-ERP_i)*AE201*Ramure*Pc/MaxiM</f>
        <v>1.8797844594565849E-4</v>
      </c>
      <c r="AE201" s="305">
        <f t="shared" si="65"/>
        <v>0.7</v>
      </c>
      <c r="AF201" s="177">
        <f t="shared" si="66"/>
        <v>0.69697001869894115</v>
      </c>
      <c r="AG201" s="810">
        <f t="shared" si="74"/>
        <v>0</v>
      </c>
      <c r="AH201" s="176">
        <f t="shared" si="67"/>
        <v>6</v>
      </c>
      <c r="AI201" s="225">
        <f t="shared" si="68"/>
        <v>0.69697001869894115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57.11022285995972</v>
      </c>
      <c r="C202" s="840"/>
      <c r="D202" s="393">
        <f t="shared" si="50"/>
        <v>59.554718210479905</v>
      </c>
      <c r="E202" s="385">
        <f t="shared" si="75"/>
        <v>61.464543879862809</v>
      </c>
      <c r="F202" s="385">
        <f t="shared" si="51"/>
        <v>61.475712349397227</v>
      </c>
      <c r="G202" s="110">
        <f t="shared" si="76"/>
        <v>0.97760553640934567</v>
      </c>
      <c r="H202" s="414" t="b">
        <f>Wh_hp&gt;='2022'!Maxi_hp</f>
        <v>0</v>
      </c>
      <c r="I202" s="390">
        <f>IF(H202,Wh_hp,'2022'!Maxi_hp)</f>
        <v>61.475793870617331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4.1046207991124795E-2</v>
      </c>
      <c r="M202" s="844"/>
      <c r="N202" s="844"/>
      <c r="O202" s="48">
        <f>IF(t&lt;Tnet,'2022'!Resal+('2022'!Salim-'2022'!Resal)*(1-EXP(('2022'!Tnet-t)/('2022'!Tau_j))),Resal+(Salim-Resal)*(1-EXP((Tnet-t)/(Tau_j))))*Salcycl</f>
        <v>3.1071989619182783E-2</v>
      </c>
      <c r="P202" s="169">
        <f>(INDEX(Models!$BJ202:$BT202,,T202)*(1-R202)+INDEX(Models!$BJ202:$BT202,,T202+1)*R202-ERP_i)*Q202*Ramure*Pc/MaxiM</f>
        <v>1.8767543301734943E-4</v>
      </c>
      <c r="Q202" s="305">
        <f t="shared" si="53"/>
        <v>0.7</v>
      </c>
      <c r="R202" s="177">
        <f t="shared" si="54"/>
        <v>0.7000722520709729</v>
      </c>
      <c r="S202" s="810">
        <f t="shared" si="55"/>
        <v>0</v>
      </c>
      <c r="T202" s="176">
        <f t="shared" si="56"/>
        <v>6</v>
      </c>
      <c r="U202" s="251">
        <f t="shared" si="57"/>
        <v>0.7000722520709729</v>
      </c>
      <c r="V202" s="383">
        <f t="shared" si="58"/>
        <v>58.418122507901145</v>
      </c>
      <c r="W202" s="402">
        <f t="shared" si="59"/>
        <v>57.11022285995972</v>
      </c>
      <c r="X202" s="157">
        <f t="shared" si="60"/>
        <v>45114</v>
      </c>
      <c r="Y202" s="385">
        <f t="shared" si="61"/>
        <v>51.737060115418622</v>
      </c>
      <c r="Z202" s="385">
        <f t="shared" si="62"/>
        <v>53.951567371183394</v>
      </c>
      <c r="AA202" s="386">
        <f t="shared" si="63"/>
        <v>61.464543879862809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0.12223268952201309</v>
      </c>
      <c r="AD202" s="231">
        <f>(INDEX(Models!$BJ202:$BT202,,AH202)*(1-AF202)+INDEX(Models!$BJ202:$BT202,,AH202+1)*AF202-ERP_i)*AE202*Ramure*Pc/MaxiM</f>
        <v>1.8767543301734943E-4</v>
      </c>
      <c r="AE202" s="305">
        <f t="shared" si="65"/>
        <v>0.7</v>
      </c>
      <c r="AF202" s="177">
        <f t="shared" si="66"/>
        <v>0.7000722520709729</v>
      </c>
      <c r="AG202" s="810">
        <f t="shared" si="74"/>
        <v>0</v>
      </c>
      <c r="AH202" s="176">
        <f t="shared" si="67"/>
        <v>6</v>
      </c>
      <c r="AI202" s="225">
        <f t="shared" si="68"/>
        <v>0.7000722520709729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59.605931901318094</v>
      </c>
      <c r="C203" s="840"/>
      <c r="D203" s="393">
        <f t="shared" si="50"/>
        <v>62.158697892881811</v>
      </c>
      <c r="E203" s="385">
        <f t="shared" si="75"/>
        <v>64.16379063436689</v>
      </c>
      <c r="F203" s="385">
        <f t="shared" si="51"/>
        <v>64.175817928306742</v>
      </c>
      <c r="G203" s="110">
        <f t="shared" si="76"/>
        <v>1.0220028205169978</v>
      </c>
      <c r="H203" s="414" t="b">
        <f>Wh_hp&gt;='2022'!Maxi_hp</f>
        <v>0</v>
      </c>
      <c r="I203" s="390">
        <f>IF(H203,Wh_hp,'2022'!Maxi_hp)</f>
        <v>64.296413487200894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4.1068524246806182E-2</v>
      </c>
      <c r="M203" s="844"/>
      <c r="N203" s="844"/>
      <c r="O203" s="48">
        <f>IF(t&lt;Tnet,'2022'!Resal+('2022'!Salim-'2022'!Resal)*(1-EXP(('2022'!Tnet-t)/('2022'!Tau_j))),Resal+(Salim-Resal)*(1-EXP((Tnet-t)/(Tau_j))))*Salcycl</f>
        <v>3.1249599215716073E-2</v>
      </c>
      <c r="P203" s="169">
        <f>(INDEX(Models!$BJ203:$BT203,,T203)*(1-R203)+INDEX(Models!$BJ203:$BT203,,T203+1)*R203-ERP_i)*Q203*Ramure*Pc/MaxiM</f>
        <v>1.8741161901959476E-4</v>
      </c>
      <c r="Q203" s="305">
        <f t="shared" si="53"/>
        <v>0.7</v>
      </c>
      <c r="R203" s="177">
        <f t="shared" si="54"/>
        <v>0.70311088532345489</v>
      </c>
      <c r="S203" s="810">
        <f t="shared" si="55"/>
        <v>0</v>
      </c>
      <c r="T203" s="176">
        <f t="shared" si="56"/>
        <v>6</v>
      </c>
      <c r="U203" s="251">
        <f t="shared" si="57"/>
        <v>0.70311088532345489</v>
      </c>
      <c r="V203" s="383">
        <f t="shared" si="58"/>
        <v>58.322668690058428</v>
      </c>
      <c r="W203" s="402">
        <f t="shared" si="59"/>
        <v>59.605931901318094</v>
      </c>
      <c r="X203" s="157">
        <f t="shared" si="60"/>
        <v>45115</v>
      </c>
      <c r="Y203" s="385">
        <f t="shared" si="61"/>
        <v>54.002195767643684</v>
      </c>
      <c r="Z203" s="385">
        <f t="shared" si="62"/>
        <v>56.314968413386993</v>
      </c>
      <c r="AA203" s="386">
        <f t="shared" si="63"/>
        <v>64.16379063436689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0.12232479009393152</v>
      </c>
      <c r="AD203" s="231">
        <f>(INDEX(Models!$BJ203:$BT203,,AH203)*(1-AF203)+INDEX(Models!$BJ203:$BT203,,AH203+1)*AF203-ERP_i)*AE203*Ramure*Pc/MaxiM</f>
        <v>1.8741161901959476E-4</v>
      </c>
      <c r="AE203" s="305">
        <f t="shared" si="65"/>
        <v>0.7</v>
      </c>
      <c r="AF203" s="177">
        <f t="shared" si="66"/>
        <v>0.70311088532345489</v>
      </c>
      <c r="AG203" s="810">
        <f t="shared" si="74"/>
        <v>0</v>
      </c>
      <c r="AH203" s="176">
        <f t="shared" si="67"/>
        <v>6</v>
      </c>
      <c r="AI203" s="225">
        <f t="shared" si="68"/>
        <v>0.70311088532345489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58.585918184835641</v>
      </c>
      <c r="C204" s="840"/>
      <c r="D204" s="393">
        <f t="shared" si="50"/>
        <v>61.096421462703006</v>
      </c>
      <c r="E204" s="385">
        <f t="shared" si="75"/>
        <v>63.078778452449939</v>
      </c>
      <c r="F204" s="385">
        <f t="shared" si="51"/>
        <v>63.090588335933639</v>
      </c>
      <c r="G204" s="110">
        <f t="shared" si="76"/>
        <v>1.0062294790360253</v>
      </c>
      <c r="H204" s="414" t="b">
        <f>Wh_hp&gt;='2022'!Maxi_hp</f>
        <v>1</v>
      </c>
      <c r="I204" s="390">
        <f>IF(H204,Wh_hp,'2022'!Maxi_hp)</f>
        <v>63.090588335933639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4.1090839983155658E-2</v>
      </c>
      <c r="M204" s="844"/>
      <c r="N204" s="844"/>
      <c r="O204" s="48">
        <f>IF(t&lt;Tnet,'2022'!Resal+('2022'!Salim-'2022'!Resal)*(1-EXP(('2022'!Tnet-t)/('2022'!Tau_j))),Resal+(Salim-Resal)*(1-EXP((Tnet-t)/(Tau_j))))*Salcycl</f>
        <v>3.1426686413105934E-2</v>
      </c>
      <c r="P204" s="169">
        <f>(INDEX(Models!$BJ204:$BT204,,T204)*(1-R204)+INDEX(Models!$BJ204:$BT204,,T204+1)*R204-ERP_i)*Q204*Ramure*Pc/MaxiM</f>
        <v>1.8718930660172341E-4</v>
      </c>
      <c r="Q204" s="305">
        <f t="shared" si="53"/>
        <v>0.7</v>
      </c>
      <c r="R204" s="177">
        <f t="shared" si="54"/>
        <v>0.70608536782381648</v>
      </c>
      <c r="S204" s="810">
        <f t="shared" si="55"/>
        <v>0</v>
      </c>
      <c r="T204" s="176">
        <f t="shared" si="56"/>
        <v>6</v>
      </c>
      <c r="U204" s="251">
        <f t="shared" si="57"/>
        <v>0.70608536782381648</v>
      </c>
      <c r="V204" s="383">
        <f t="shared" si="58"/>
        <v>58.223217869706367</v>
      </c>
      <c r="W204" s="402">
        <f t="shared" si="59"/>
        <v>58.585918184835641</v>
      </c>
      <c r="X204" s="157">
        <f t="shared" si="60"/>
        <v>45116</v>
      </c>
      <c r="Y204" s="385">
        <f t="shared" si="61"/>
        <v>53.082304976333695</v>
      </c>
      <c r="Z204" s="385">
        <f t="shared" si="62"/>
        <v>55.356969345669036</v>
      </c>
      <c r="AA204" s="386">
        <f t="shared" si="63"/>
        <v>63.078778452449939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0.12241532407926635</v>
      </c>
      <c r="AD204" s="231">
        <f>(INDEX(Models!$BJ204:$BT204,,AH204)*(1-AF204)+INDEX(Models!$BJ204:$BT204,,AH204+1)*AF204-ERP_i)*AE204*Ramure*Pc/MaxiM</f>
        <v>1.8718930660172341E-4</v>
      </c>
      <c r="AE204" s="305">
        <f t="shared" si="65"/>
        <v>0.7</v>
      </c>
      <c r="AF204" s="177">
        <f t="shared" si="66"/>
        <v>0.70608536782381648</v>
      </c>
      <c r="AG204" s="810">
        <f t="shared" si="74"/>
        <v>0</v>
      </c>
      <c r="AH204" s="176">
        <f t="shared" si="67"/>
        <v>6</v>
      </c>
      <c r="AI204" s="225">
        <f t="shared" si="68"/>
        <v>0.70608536782381648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57.902504424501466</v>
      </c>
      <c r="C205" s="840"/>
      <c r="D205" s="393">
        <f t="shared" si="50"/>
        <v>60.385127545043844</v>
      </c>
      <c r="E205" s="385">
        <f t="shared" si="75"/>
        <v>62.355773295971339</v>
      </c>
      <c r="F205" s="385">
        <f t="shared" si="51"/>
        <v>62.367374086392331</v>
      </c>
      <c r="G205" s="110">
        <f t="shared" si="76"/>
        <v>0.9962517423795344</v>
      </c>
      <c r="H205" s="414" t="b">
        <f>Wh_hp&gt;='2022'!Maxi_hp</f>
        <v>0</v>
      </c>
      <c r="I205" s="390">
        <f>IF(H205,Wh_hp,'2022'!Maxi_hp)</f>
        <v>63.53664171225423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4.1113155200185436E-2</v>
      </c>
      <c r="M205" s="844"/>
      <c r="N205" s="844"/>
      <c r="O205" s="48">
        <f>IF(t&lt;Tnet,'2022'!Resal+('2022'!Salim-'2022'!Resal)*(1-EXP(('2022'!Tnet-t)/('2022'!Tau_j))),Resal+(Salim-Resal)*(1-EXP((Tnet-t)/(Tau_j))))*Salcycl</f>
        <v>3.1603260560555298E-2</v>
      </c>
      <c r="P205" s="169">
        <f>(INDEX(Models!$BJ205:$BT205,,T205)*(1-R205)+INDEX(Models!$BJ205:$BT205,,T205+1)*R205-ERP_i)*Q205*Ramure*Pc/MaxiM</f>
        <v>1.870084561001287E-4</v>
      </c>
      <c r="Q205" s="305">
        <f t="shared" si="53"/>
        <v>0.7</v>
      </c>
      <c r="R205" s="177">
        <f t="shared" si="54"/>
        <v>0.70899527794207939</v>
      </c>
      <c r="S205" s="810">
        <f t="shared" si="55"/>
        <v>0</v>
      </c>
      <c r="T205" s="176">
        <f t="shared" si="56"/>
        <v>6</v>
      </c>
      <c r="U205" s="251">
        <f t="shared" si="57"/>
        <v>0.70899527794207939</v>
      </c>
      <c r="V205" s="383">
        <f t="shared" si="58"/>
        <v>58.120296291052767</v>
      </c>
      <c r="W205" s="402">
        <f t="shared" si="59"/>
        <v>57.902504424501466</v>
      </c>
      <c r="X205" s="157">
        <f t="shared" si="60"/>
        <v>45117</v>
      </c>
      <c r="Y205" s="385">
        <f t="shared" si="61"/>
        <v>52.467334642376933</v>
      </c>
      <c r="Z205" s="385">
        <f t="shared" si="62"/>
        <v>54.716919860685401</v>
      </c>
      <c r="AA205" s="386">
        <f t="shared" si="63"/>
        <v>62.355773295971339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0.12250434934112935</v>
      </c>
      <c r="AD205" s="231">
        <f>(INDEX(Models!$BJ205:$BT205,,AH205)*(1-AF205)+INDEX(Models!$BJ205:$BT205,,AH205+1)*AF205-ERP_i)*AE205*Ramure*Pc/MaxiM</f>
        <v>1.870084561001287E-4</v>
      </c>
      <c r="AE205" s="305">
        <f t="shared" si="65"/>
        <v>0.7</v>
      </c>
      <c r="AF205" s="177">
        <f t="shared" si="66"/>
        <v>0.70899527794207939</v>
      </c>
      <c r="AG205" s="810">
        <f t="shared" si="74"/>
        <v>0</v>
      </c>
      <c r="AH205" s="176">
        <f t="shared" si="67"/>
        <v>6</v>
      </c>
      <c r="AI205" s="225">
        <f t="shared" si="68"/>
        <v>0.70899527794207939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56.066062417125998</v>
      </c>
      <c r="C206" s="840"/>
      <c r="D206" s="393">
        <f t="shared" si="50"/>
        <v>58.471307110668185</v>
      </c>
      <c r="E206" s="385">
        <f t="shared" si="75"/>
        <v>60.390476078877469</v>
      </c>
      <c r="F206" s="385">
        <f t="shared" si="51"/>
        <v>60.401226159929017</v>
      </c>
      <c r="G206" s="110">
        <f t="shared" si="76"/>
        <v>0.96640609451171922</v>
      </c>
      <c r="H206" s="414" t="b">
        <f>Wh_hp&gt;='2022'!Maxi_hp</f>
        <v>0</v>
      </c>
      <c r="I206" s="390">
        <f>IF(H206,Wh_hp,'2022'!Maxi_hp)</f>
        <v>62.742397262991474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4.1135469897907395E-2</v>
      </c>
      <c r="M206" s="844"/>
      <c r="N206" s="844"/>
      <c r="O206" s="48">
        <f>IF(t&lt;Tnet,'2022'!Resal+('2022'!Salim-'2022'!Resal)*(1-EXP(('2022'!Tnet-t)/('2022'!Tau_j))),Resal+(Salim-Resal)*(1-EXP((Tnet-t)/(Tau_j))))*Salcycl</f>
        <v>3.1779331656577939E-2</v>
      </c>
      <c r="P206" s="169">
        <f>(INDEX(Models!$BJ206:$BT206,,T206)*(1-R206)+INDEX(Models!$BJ206:$BT206,,T206+1)*R206-ERP_i)*Q206*Ramure*Pc/MaxiM</f>
        <v>1.869473930840621E-4</v>
      </c>
      <c r="Q206" s="305">
        <f t="shared" si="53"/>
        <v>0.7</v>
      </c>
      <c r="R206" s="177">
        <f t="shared" si="54"/>
        <v>0.71184031878877096</v>
      </c>
      <c r="S206" s="810">
        <f t="shared" si="55"/>
        <v>0</v>
      </c>
      <c r="T206" s="176">
        <f t="shared" si="56"/>
        <v>6</v>
      </c>
      <c r="U206" s="251">
        <f t="shared" si="57"/>
        <v>0.71184031878877096</v>
      </c>
      <c r="V206" s="383">
        <f t="shared" si="58"/>
        <v>58.014492830372369</v>
      </c>
      <c r="W206" s="402">
        <f t="shared" si="59"/>
        <v>56.066062417125998</v>
      </c>
      <c r="X206" s="157">
        <f t="shared" si="60"/>
        <v>45118</v>
      </c>
      <c r="Y206" s="385">
        <f t="shared" si="61"/>
        <v>50.807442461099313</v>
      </c>
      <c r="Z206" s="385">
        <f t="shared" si="62"/>
        <v>52.987091362832793</v>
      </c>
      <c r="AA206" s="386">
        <f t="shared" si="63"/>
        <v>60.390476078877469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0.1225919250309425</v>
      </c>
      <c r="AD206" s="231">
        <f>(INDEX(Models!$BJ206:$BT206,,AH206)*(1-AF206)+INDEX(Models!$BJ206:$BT206,,AH206+1)*AF206-ERP_i)*AE206*Ramure*Pc/MaxiM</f>
        <v>1.869473930840621E-4</v>
      </c>
      <c r="AE206" s="305">
        <f t="shared" si="65"/>
        <v>0.7</v>
      </c>
      <c r="AF206" s="177">
        <f t="shared" si="66"/>
        <v>0.71184031878877096</v>
      </c>
      <c r="AG206" s="810">
        <f t="shared" si="74"/>
        <v>0</v>
      </c>
      <c r="AH206" s="176">
        <f t="shared" si="67"/>
        <v>6</v>
      </c>
      <c r="AI206" s="225">
        <f t="shared" si="68"/>
        <v>0.71184031878877096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55.678133450231719</v>
      </c>
      <c r="C207" s="840"/>
      <c r="D207" s="393">
        <f t="shared" ref="D207:D270" si="77">Wh/(1-Ppv)</f>
        <v>58.068087246863861</v>
      </c>
      <c r="E207" s="385">
        <f t="shared" si="75"/>
        <v>59.984899321589317</v>
      </c>
      <c r="F207" s="385">
        <f t="shared" ref="F207:F270" si="78">Wh_sa/(1-Pvg*MEDIAN((-Sdif+Wh/Env_an)/Csdif,0,1))</f>
        <v>59.995499325550711</v>
      </c>
      <c r="G207" s="110">
        <f t="shared" si="76"/>
        <v>0.9615210866832965</v>
      </c>
      <c r="H207" s="414" t="b">
        <f>Wh_hp&gt;='2022'!Maxi_hp</f>
        <v>0</v>
      </c>
      <c r="I207" s="390">
        <f>IF(H207,Wh_hp,'2022'!Maxi_hp)</f>
        <v>63.292549815565977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4.1157784076333859E-2</v>
      </c>
      <c r="M207" s="844"/>
      <c r="N207" s="844"/>
      <c r="O207" s="48">
        <f>IF(t&lt;Tnet,'2022'!Resal+('2022'!Salim-'2022'!Resal)*(1-EXP(('2022'!Tnet-t)/('2022'!Tau_j))),Resal+(Salim-Resal)*(1-EXP((Tnet-t)/(Tau_j))))*Salcycl</f>
        <v>3.1954910259148608E-2</v>
      </c>
      <c r="P207" s="169">
        <f>(INDEX(Models!$BJ207:$BT207,,T207)*(1-R207)+INDEX(Models!$BJ207:$BT207,,T207+1)*R207-ERP_i)*Q207*Ramure*Pc/MaxiM</f>
        <v>1.8695419574754252E-4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0.71462031362614553</v>
      </c>
      <c r="S207" s="810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0.71462031362614553</v>
      </c>
      <c r="V207" s="383">
        <f t="shared" ref="V207:V270" si="85">MaxiM*(1-Ppv)*(1-Pvg)*(1-Psa)</f>
        <v>57.905710099776215</v>
      </c>
      <c r="W207" s="402">
        <f t="shared" ref="W207:W270" si="86">Wh*(A207&gt;Tmaj)</f>
        <v>55.678133450231719</v>
      </c>
      <c r="X207" s="157">
        <f t="shared" ref="X207:X270" si="87">t</f>
        <v>45119</v>
      </c>
      <c r="Y207" s="385">
        <f t="shared" ref="Y207:Y270" si="88">Wh_pvt_s*(1-Ppv)</f>
        <v>50.460092944027153</v>
      </c>
      <c r="Z207" s="385">
        <f t="shared" ref="Z207:Z270" si="89">Wh_sa_s*(1-Psa_s)</f>
        <v>52.626065171127493</v>
      </c>
      <c r="AA207" s="386">
        <f t="shared" ref="AA207:AA270" si="90">Wh_hp*(1-Pvg_s*MEDIAN((-Sdif+Wh/Env_an)/Csdif,0,1))</f>
        <v>59.984899321589317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0.12267811121945624</v>
      </c>
      <c r="AD207" s="231">
        <f>(INDEX(Models!$BJ207:$BT207,,AH207)*(1-AF207)+INDEX(Models!$BJ207:$BT207,,AH207+1)*AF207-ERP_i)*AE207*Ramure*Pc/MaxiM</f>
        <v>1.8695419574754252E-4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0.71462031362614553</v>
      </c>
      <c r="AG207" s="810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0.71462031362614553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55.174176359611707</v>
      </c>
      <c r="C208" s="840"/>
      <c r="D208" s="393">
        <f t="shared" si="77"/>
        <v>57.543837199564116</v>
      </c>
      <c r="E208" s="385">
        <f t="shared" si="75"/>
        <v>59.4540978015512</v>
      </c>
      <c r="F208" s="385">
        <f t="shared" si="78"/>
        <v>59.464499303262798</v>
      </c>
      <c r="G208" s="110">
        <f t="shared" si="76"/>
        <v>0.95466057856406616</v>
      </c>
      <c r="H208" s="414" t="b">
        <f>Wh_hp&gt;='2022'!Maxi_hp</f>
        <v>0</v>
      </c>
      <c r="I208" s="390">
        <f>IF(H208,Wh_hp,'2022'!Maxi_hp)</f>
        <v>59.464663470930297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4.1180097735476706E-2</v>
      </c>
      <c r="M208" s="844"/>
      <c r="N208" s="844"/>
      <c r="O208" s="48">
        <f>IF(t&lt;Tnet,'2022'!Resal+('2022'!Salim-'2022'!Resal)*(1-EXP(('2022'!Tnet-t)/('2022'!Tau_j))),Resal+(Salim-Resal)*(1-EXP((Tnet-t)/(Tau_j))))*Salcycl</f>
        <v>3.2130007394330369E-2</v>
      </c>
      <c r="P208" s="169">
        <f>(INDEX(Models!$BJ208:$BT208,,T208)*(1-R208)+INDEX(Models!$BJ208:$BT208,,T208+1)*R208-ERP_i)*Q208*Ramure*Pc/MaxiM</f>
        <v>1.8703050956248797E-4</v>
      </c>
      <c r="Q208" s="305">
        <f t="shared" si="80"/>
        <v>0.7</v>
      </c>
      <c r="R208" s="177">
        <f t="shared" si="81"/>
        <v>0.71733520100002179</v>
      </c>
      <c r="S208" s="810">
        <f t="shared" si="82"/>
        <v>0</v>
      </c>
      <c r="T208" s="176">
        <f t="shared" si="83"/>
        <v>6</v>
      </c>
      <c r="U208" s="251">
        <f t="shared" si="84"/>
        <v>0.71733520100002179</v>
      </c>
      <c r="V208" s="383">
        <f t="shared" si="85"/>
        <v>57.793847643584016</v>
      </c>
      <c r="W208" s="402">
        <f t="shared" si="86"/>
        <v>55.174176359611707</v>
      </c>
      <c r="X208" s="157">
        <f t="shared" si="87"/>
        <v>45120</v>
      </c>
      <c r="Y208" s="385">
        <f t="shared" si="88"/>
        <v>50.007574419223509</v>
      </c>
      <c r="Z208" s="385">
        <f t="shared" si="89"/>
        <v>52.155336264001754</v>
      </c>
      <c r="AA208" s="386">
        <f t="shared" si="90"/>
        <v>59.4540978015512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0.12276296853265874</v>
      </c>
      <c r="AD208" s="231">
        <f>(INDEX(Models!$BJ208:$BT208,,AH208)*(1-AF208)+INDEX(Models!$BJ208:$BT208,,AH208+1)*AF208-ERP_i)*AE208*Ramure*Pc/MaxiM</f>
        <v>1.8703050956248797E-4</v>
      </c>
      <c r="AE208" s="305">
        <f t="shared" si="92"/>
        <v>0.7</v>
      </c>
      <c r="AF208" s="177">
        <f t="shared" si="93"/>
        <v>0.71733520100002179</v>
      </c>
      <c r="AG208" s="810">
        <f t="shared" ref="AG208:AG271" si="99">INDEX(Echel_vg,AH208)</f>
        <v>0</v>
      </c>
      <c r="AH208" s="176">
        <f t="shared" si="94"/>
        <v>6</v>
      </c>
      <c r="AI208" s="225">
        <f t="shared" si="95"/>
        <v>0.71733520100002179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54.244107289331218</v>
      </c>
      <c r="C209" s="840"/>
      <c r="D209" s="393">
        <f t="shared" si="77"/>
        <v>56.575139429432816</v>
      </c>
      <c r="E209" s="385">
        <f t="shared" si="75"/>
        <v>58.463790821301693</v>
      </c>
      <c r="F209" s="385">
        <f t="shared" si="78"/>
        <v>58.473804743203473</v>
      </c>
      <c r="G209" s="110">
        <f t="shared" si="76"/>
        <v>0.94043632395505083</v>
      </c>
      <c r="H209" s="414" t="b">
        <f>Wh_hp&gt;='2022'!Maxi_hp</f>
        <v>0</v>
      </c>
      <c r="I209" s="390">
        <f>IF(H209,Wh_hp,'2022'!Maxi_hp)</f>
        <v>63.373727610861152</v>
      </c>
      <c r="J209" s="85">
        <f>IF(H209,An,'2022'!An_max)</f>
        <v>2020</v>
      </c>
      <c r="K209" s="197">
        <f t="shared" si="79"/>
        <v>45121</v>
      </c>
      <c r="L209" s="147">
        <f>IF(t&lt;Tvie,1-EXP((T0-t)*PertePVj)+'2022'!Pspv,1-EXP((T0-t)*PertePVj)+Pspv)</f>
        <v>4.120241087534815E-2</v>
      </c>
      <c r="M209" s="844"/>
      <c r="N209" s="844"/>
      <c r="O209" s="48">
        <f>IF(t&lt;Tnet,'2022'!Resal+('2022'!Salim-'2022'!Resal)*(1-EXP(('2022'!Tnet-t)/('2022'!Tau_j))),Resal+(Salim-Resal)*(1-EXP((Tnet-t)/(Tau_j))))*Salcycl</f>
        <v>3.2304634464119096E-2</v>
      </c>
      <c r="P209" s="169">
        <f>(INDEX(Models!$BJ209:$BT209,,T209)*(1-R209)+INDEX(Models!$BJ209:$BT209,,T209+1)*R209-ERP_i)*Q209*Ramure*Pc/MaxiM</f>
        <v>1.8717798784341884E-4</v>
      </c>
      <c r="Q209" s="305">
        <f t="shared" si="80"/>
        <v>0.7</v>
      </c>
      <c r="R209" s="177">
        <f t="shared" si="81"/>
        <v>0.71998502963852817</v>
      </c>
      <c r="S209" s="810">
        <f t="shared" si="82"/>
        <v>0</v>
      </c>
      <c r="T209" s="176">
        <f t="shared" si="83"/>
        <v>6</v>
      </c>
      <c r="U209" s="251">
        <f t="shared" si="84"/>
        <v>0.71998502963852817</v>
      </c>
      <c r="V209" s="383">
        <f t="shared" si="85"/>
        <v>57.678805063763349</v>
      </c>
      <c r="W209" s="402">
        <f t="shared" si="86"/>
        <v>54.244107289331218</v>
      </c>
      <c r="X209" s="157">
        <f t="shared" si="87"/>
        <v>45121</v>
      </c>
      <c r="Y209" s="385">
        <f t="shared" si="88"/>
        <v>49.168785056460273</v>
      </c>
      <c r="Z209" s="385">
        <f t="shared" si="89"/>
        <v>51.281715363249532</v>
      </c>
      <c r="AA209" s="386">
        <f t="shared" si="90"/>
        <v>58.463790821301693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0.12284655779514253</v>
      </c>
      <c r="AD209" s="231">
        <f>(INDEX(Models!$BJ209:$BT209,,AH209)*(1-AF209)+INDEX(Models!$BJ209:$BT209,,AH209+1)*AF209-ERP_i)*AE209*Ramure*Pc/MaxiM</f>
        <v>1.8717798784341884E-4</v>
      </c>
      <c r="AE209" s="305">
        <f t="shared" si="92"/>
        <v>0.7</v>
      </c>
      <c r="AF209" s="177">
        <f t="shared" si="93"/>
        <v>0.71998502963852817</v>
      </c>
      <c r="AG209" s="810">
        <f t="shared" si="99"/>
        <v>0</v>
      </c>
      <c r="AH209" s="176">
        <f t="shared" si="94"/>
        <v>6</v>
      </c>
      <c r="AI209" s="225">
        <f t="shared" si="95"/>
        <v>0.71998502963852817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53.227618026165182</v>
      </c>
      <c r="C210" s="840"/>
      <c r="D210" s="393">
        <f t="shared" si="77"/>
        <v>55.516260515444053</v>
      </c>
      <c r="E210" s="385">
        <f t="shared" si="75"/>
        <v>57.379890690182407</v>
      </c>
      <c r="F210" s="385">
        <f t="shared" si="78"/>
        <v>57.389488869262941</v>
      </c>
      <c r="G210" s="110">
        <f t="shared" si="76"/>
        <v>0.92470638415397721</v>
      </c>
      <c r="H210" s="414" t="b">
        <f>Wh_hp&gt;='2022'!Maxi_hp</f>
        <v>0</v>
      </c>
      <c r="I210" s="390">
        <f>IF(H210,Wh_hp,'2022'!Maxi_hp)</f>
        <v>64.452290266215414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4.122472349596018E-2</v>
      </c>
      <c r="M210" s="844"/>
      <c r="N210" s="844"/>
      <c r="O210" s="48">
        <f>IF(t&lt;Tnet,'2022'!Resal+('2022'!Salim-'2022'!Resal)*(1-EXP(('2022'!Tnet-t)/('2022'!Tau_j))),Resal+(Salim-Resal)*(1-EXP((Tnet-t)/(Tau_j))))*Salcycl</f>
        <v>3.2478803154241856E-2</v>
      </c>
      <c r="P210" s="169">
        <f>(INDEX(Models!$BJ210:$BT210,,T210)*(1-R210)+INDEX(Models!$BJ210:$BT210,,T210+1)*R210-ERP_i)*Q210*Ramure*Pc/MaxiM</f>
        <v>1.8739829300437206E-4</v>
      </c>
      <c r="Q210" s="305">
        <f t="shared" si="80"/>
        <v>0.7</v>
      </c>
      <c r="R210" s="177">
        <f t="shared" si="81"/>
        <v>0.72256995316265005</v>
      </c>
      <c r="S210" s="810">
        <f t="shared" si="82"/>
        <v>0</v>
      </c>
      <c r="T210" s="176">
        <f t="shared" si="83"/>
        <v>6</v>
      </c>
      <c r="U210" s="251">
        <f t="shared" si="84"/>
        <v>0.72256995316265005</v>
      </c>
      <c r="V210" s="383">
        <f t="shared" si="85"/>
        <v>57.560482025115604</v>
      </c>
      <c r="W210" s="402">
        <f t="shared" si="86"/>
        <v>53.227618026165182</v>
      </c>
      <c r="X210" s="157">
        <f t="shared" si="87"/>
        <v>45122</v>
      </c>
      <c r="Y210" s="385">
        <f t="shared" si="88"/>
        <v>48.251556175237582</v>
      </c>
      <c r="Z210" s="385">
        <f t="shared" si="89"/>
        <v>50.326241568489458</v>
      </c>
      <c r="AA210" s="386">
        <f t="shared" si="90"/>
        <v>57.379890690182407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0.12292893968339001</v>
      </c>
      <c r="AD210" s="231">
        <f>(INDEX(Models!$BJ210:$BT210,,AH210)*(1-AF210)+INDEX(Models!$BJ210:$BT210,,AH210+1)*AF210-ERP_i)*AE210*Ramure*Pc/MaxiM</f>
        <v>1.8739829300437206E-4</v>
      </c>
      <c r="AE210" s="305">
        <f t="shared" si="92"/>
        <v>0.7</v>
      </c>
      <c r="AF210" s="177">
        <f t="shared" si="93"/>
        <v>0.72256995316265005</v>
      </c>
      <c r="AG210" s="810">
        <f t="shared" si="99"/>
        <v>0</v>
      </c>
      <c r="AH210" s="176">
        <f t="shared" si="94"/>
        <v>6</v>
      </c>
      <c r="AI210" s="225">
        <f t="shared" si="95"/>
        <v>0.72256995316265005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54.829942659778098</v>
      </c>
      <c r="C211" s="840"/>
      <c r="D211" s="393">
        <f t="shared" si="77"/>
        <v>57.188811607939485</v>
      </c>
      <c r="E211" s="385">
        <f t="shared" si="75"/>
        <v>59.119202878154944</v>
      </c>
      <c r="F211" s="385">
        <f t="shared" si="78"/>
        <v>59.129580986143168</v>
      </c>
      <c r="G211" s="110">
        <f t="shared" si="76"/>
        <v>0.95456895952661203</v>
      </c>
      <c r="H211" s="414" t="b">
        <f>Wh_hp&gt;='2022'!Maxi_hp</f>
        <v>0</v>
      </c>
      <c r="I211" s="390">
        <f>IF(H211,Wh_hp,'2022'!Maxi_hp)</f>
        <v>62.090421221534129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4.1247035597324899E-2</v>
      </c>
      <c r="M211" s="844"/>
      <c r="N211" s="844"/>
      <c r="O211" s="48">
        <f>IF(t&lt;Tnet,'2022'!Resal+('2022'!Salim-'2022'!Resal)*(1-EXP(('2022'!Tnet-t)/('2022'!Tau_j))),Resal+(Salim-Resal)*(1-EXP((Tnet-t)/(Tau_j))))*Salcycl</f>
        <v>3.2652525342637101E-2</v>
      </c>
      <c r="P211" s="169">
        <f>(INDEX(Models!$BJ211:$BT211,,T211)*(1-R211)+INDEX(Models!$BJ211:$BT211,,T211+1)*R211-ERP_i)*Q211*Ramure*Pc/MaxiM</f>
        <v>1.876930980548989E-4</v>
      </c>
      <c r="Q211" s="305">
        <f t="shared" si="80"/>
        <v>0.7</v>
      </c>
      <c r="R211" s="177">
        <f t="shared" si="81"/>
        <v>0.72509022465172324</v>
      </c>
      <c r="S211" s="810">
        <f t="shared" si="82"/>
        <v>0</v>
      </c>
      <c r="T211" s="176">
        <f t="shared" si="83"/>
        <v>6</v>
      </c>
      <c r="U211" s="251">
        <f t="shared" si="84"/>
        <v>0.72509022465172324</v>
      </c>
      <c r="V211" s="383">
        <f t="shared" si="85"/>
        <v>57.438778259035097</v>
      </c>
      <c r="W211" s="402">
        <f t="shared" si="86"/>
        <v>54.829942659778098</v>
      </c>
      <c r="X211" s="157">
        <f t="shared" si="87"/>
        <v>45123</v>
      </c>
      <c r="Y211" s="385">
        <f t="shared" si="88"/>
        <v>49.708406866276128</v>
      </c>
      <c r="Z211" s="385">
        <f t="shared" si="89"/>
        <v>51.846939422237504</v>
      </c>
      <c r="AA211" s="386">
        <f t="shared" si="90"/>
        <v>59.119202878154944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0.12301017439131609</v>
      </c>
      <c r="AD211" s="231">
        <f>(INDEX(Models!$BJ211:$BT211,,AH211)*(1-AF211)+INDEX(Models!$BJ211:$BT211,,AH211+1)*AF211-ERP_i)*AE211*Ramure*Pc/MaxiM</f>
        <v>1.876930980548989E-4</v>
      </c>
      <c r="AE211" s="305">
        <f t="shared" si="92"/>
        <v>0.7</v>
      </c>
      <c r="AF211" s="177">
        <f t="shared" si="93"/>
        <v>0.72509022465172324</v>
      </c>
      <c r="AG211" s="810">
        <f t="shared" si="99"/>
        <v>0</v>
      </c>
      <c r="AH211" s="176">
        <f t="shared" si="94"/>
        <v>6</v>
      </c>
      <c r="AI211" s="225">
        <f t="shared" si="95"/>
        <v>0.72509022465172324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53.87569232293027</v>
      </c>
      <c r="C212" s="840"/>
      <c r="D212" s="393">
        <f t="shared" si="77"/>
        <v>56.194815680952971</v>
      </c>
      <c r="E212" s="385">
        <f t="shared" si="75"/>
        <v>58.102063141078119</v>
      </c>
      <c r="F212" s="385">
        <f t="shared" si="78"/>
        <v>58.112068488356883</v>
      </c>
      <c r="G212" s="110">
        <f t="shared" si="76"/>
        <v>0.94000101352616716</v>
      </c>
      <c r="H212" s="414" t="b">
        <f>Wh_hp&gt;='2022'!Maxi_hp</f>
        <v>0</v>
      </c>
      <c r="I212" s="390">
        <f>IF(H212,Wh_hp,'2022'!Maxi_hp)</f>
        <v>61.577914063437071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4.1269347179454519E-2</v>
      </c>
      <c r="M212" s="844"/>
      <c r="N212" s="844"/>
      <c r="O212" s="48">
        <f>IF(t&lt;Tnet,'2022'!Resal+('2022'!Salim-'2022'!Resal)*(1-EXP(('2022'!Tnet-t)/('2022'!Tau_j))),Resal+(Salim-Resal)*(1-EXP((Tnet-t)/(Tau_j))))*Salcycl</f>
        <v>3.2825813009327215E-2</v>
      </c>
      <c r="P212" s="169">
        <f>(INDEX(Models!$BJ212:$BT212,,T212)*(1-R212)+INDEX(Models!$BJ212:$BT212,,T212+1)*R212-ERP_i)*Q212*Ramure*Pc/MaxiM</f>
        <v>1.8830979753382387E-4</v>
      </c>
      <c r="Q212" s="305">
        <f t="shared" si="80"/>
        <v>0.7</v>
      </c>
      <c r="R212" s="177">
        <f t="shared" si="81"/>
        <v>0.72754619110498431</v>
      </c>
      <c r="S212" s="810">
        <f t="shared" si="82"/>
        <v>0</v>
      </c>
      <c r="T212" s="176">
        <f t="shared" si="83"/>
        <v>6</v>
      </c>
      <c r="U212" s="251">
        <f t="shared" si="84"/>
        <v>0.72754619110498431</v>
      </c>
      <c r="V212" s="383">
        <f t="shared" si="85"/>
        <v>57.313579489427902</v>
      </c>
      <c r="W212" s="402">
        <f t="shared" si="86"/>
        <v>53.87569232293027</v>
      </c>
      <c r="X212" s="157">
        <f t="shared" si="87"/>
        <v>45124</v>
      </c>
      <c r="Y212" s="385">
        <f t="shared" si="88"/>
        <v>48.847577488690526</v>
      </c>
      <c r="Z212" s="385">
        <f t="shared" si="89"/>
        <v>50.950261520253889</v>
      </c>
      <c r="AA212" s="386">
        <f t="shared" si="90"/>
        <v>58.102063141078119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0.12309032131025843</v>
      </c>
      <c r="AD212" s="231">
        <f>(INDEX(Models!$BJ212:$BT212,,AH212)*(1-AF212)+INDEX(Models!$BJ212:$BT212,,AH212+1)*AF212-ERP_i)*AE212*Ramure*Pc/MaxiM</f>
        <v>1.8830979753382387E-4</v>
      </c>
      <c r="AE212" s="305">
        <f t="shared" si="92"/>
        <v>0.7</v>
      </c>
      <c r="AF212" s="177">
        <f t="shared" si="93"/>
        <v>0.72754619110498431</v>
      </c>
      <c r="AG212" s="810">
        <f t="shared" si="99"/>
        <v>0</v>
      </c>
      <c r="AH212" s="176">
        <f t="shared" si="94"/>
        <v>6</v>
      </c>
      <c r="AI212" s="225">
        <f t="shared" si="95"/>
        <v>0.72754619110498431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54.630942774969895</v>
      </c>
      <c r="C213" s="840"/>
      <c r="D213" s="393">
        <f t="shared" si="77"/>
        <v>56.983902606722673</v>
      </c>
      <c r="E213" s="385">
        <f t="shared" si="75"/>
        <v>58.928464024856709</v>
      </c>
      <c r="F213" s="385">
        <f t="shared" si="78"/>
        <v>58.938906952057941</v>
      </c>
      <c r="G213" s="110">
        <f t="shared" si="76"/>
        <v>0.95532898683023948</v>
      </c>
      <c r="H213" s="414" t="b">
        <f>Wh_hp&gt;='2022'!Maxi_hp</f>
        <v>0</v>
      </c>
      <c r="I213" s="390">
        <f>IF(H213,Wh_hp,'2022'!Maxi_hp)</f>
        <v>58.939073040406903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4.1291658242361029E-2</v>
      </c>
      <c r="M213" s="844"/>
      <c r="N213" s="844"/>
      <c r="O213" s="48">
        <f>IF(t&lt;Tnet,'2022'!Resal+('2022'!Salim-'2022'!Resal)*(1-EXP(('2022'!Tnet-t)/('2022'!Tau_j))),Resal+(Salim-Resal)*(1-EXP((Tnet-t)/(Tau_j))))*Salcycl</f>
        <v>3.2998678148369875E-2</v>
      </c>
      <c r="P213" s="169">
        <f>(INDEX(Models!$BJ213:$BT213,,T213)*(1-R213)+INDEX(Models!$BJ213:$BT213,,T213+1)*R213-ERP_i)*Q213*Ramure*Pc/MaxiM</f>
        <v>1.8925666767157423E-4</v>
      </c>
      <c r="Q213" s="305">
        <f t="shared" si="80"/>
        <v>0.7</v>
      </c>
      <c r="R213" s="177">
        <f t="shared" si="81"/>
        <v>0.72993828783801651</v>
      </c>
      <c r="S213" s="810">
        <f t="shared" si="82"/>
        <v>0</v>
      </c>
      <c r="T213" s="176">
        <f t="shared" si="83"/>
        <v>6</v>
      </c>
      <c r="U213" s="251">
        <f t="shared" si="84"/>
        <v>0.72993828783801651</v>
      </c>
      <c r="V213" s="383">
        <f t="shared" si="85"/>
        <v>57.184785318446494</v>
      </c>
      <c r="W213" s="402">
        <f t="shared" si="86"/>
        <v>54.630942774969895</v>
      </c>
      <c r="X213" s="157">
        <f t="shared" si="87"/>
        <v>45125</v>
      </c>
      <c r="Y213" s="385">
        <f t="shared" si="88"/>
        <v>49.536726717820287</v>
      </c>
      <c r="Z213" s="385">
        <f t="shared" si="89"/>
        <v>51.670278185962786</v>
      </c>
      <c r="AA213" s="386">
        <f t="shared" si="90"/>
        <v>58.928464024856709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0.12316943872544064</v>
      </c>
      <c r="AD213" s="231">
        <f>(INDEX(Models!$BJ213:$BT213,,AH213)*(1-AF213)+INDEX(Models!$BJ213:$BT213,,AH213+1)*AF213-ERP_i)*AE213*Ramure*Pc/MaxiM</f>
        <v>1.8925666767157423E-4</v>
      </c>
      <c r="AE213" s="305">
        <f t="shared" si="92"/>
        <v>0.7</v>
      </c>
      <c r="AF213" s="177">
        <f t="shared" si="93"/>
        <v>0.72993828783801651</v>
      </c>
      <c r="AG213" s="810">
        <f t="shared" si="99"/>
        <v>0</v>
      </c>
      <c r="AH213" s="176">
        <f t="shared" si="94"/>
        <v>6</v>
      </c>
      <c r="AI213" s="225">
        <f t="shared" si="95"/>
        <v>0.72993828783801651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46.125542609877819</v>
      </c>
      <c r="C214" s="840"/>
      <c r="D214" s="393">
        <f t="shared" si="77"/>
        <v>48.113293725027987</v>
      </c>
      <c r="E214" s="385">
        <f t="shared" si="75"/>
        <v>49.76402272567865</v>
      </c>
      <c r="F214" s="385">
        <f t="shared" si="78"/>
        <v>49.770911330265442</v>
      </c>
      <c r="G214" s="110">
        <f t="shared" si="76"/>
        <v>0.80843613964596062</v>
      </c>
      <c r="H214" s="414" t="b">
        <f>Wh_hp&gt;='2022'!Maxi_hp</f>
        <v>0</v>
      </c>
      <c r="I214" s="390">
        <f>IF(H214,Wh_hp,'2022'!Maxi_hp)</f>
        <v>61.968501061499985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4.1313968786056421E-2</v>
      </c>
      <c r="M214" s="844"/>
      <c r="N214" s="844"/>
      <c r="O214" s="48">
        <f>IF(t&lt;Tnet,'2022'!Resal+('2022'!Salim-'2022'!Resal)*(1-EXP(('2022'!Tnet-t)/('2022'!Tau_j))),Resal+(Salim-Resal)*(1-EXP((Tnet-t)/(Tau_j))))*Salcycl</f>
        <v>3.3171132682544895E-2</v>
      </c>
      <c r="P214" s="169">
        <f>(INDEX(Models!$BJ214:$BT214,,T214)*(1-R214)+INDEX(Models!$BJ214:$BT214,,T214+1)*R214-ERP_i)*Q214*Ramure*Pc/MaxiM</f>
        <v>1.9053786131250215E-4</v>
      </c>
      <c r="Q214" s="305">
        <f t="shared" si="80"/>
        <v>0.7</v>
      </c>
      <c r="R214" s="177">
        <f t="shared" si="81"/>
        <v>0.73226703285046757</v>
      </c>
      <c r="S214" s="810">
        <f t="shared" si="82"/>
        <v>0</v>
      </c>
      <c r="T214" s="176">
        <f t="shared" si="83"/>
        <v>6</v>
      </c>
      <c r="U214" s="251">
        <f t="shared" si="84"/>
        <v>0.73226703285046757</v>
      </c>
      <c r="V214" s="383">
        <f t="shared" si="85"/>
        <v>57.052295680145072</v>
      </c>
      <c r="W214" s="402">
        <f t="shared" si="86"/>
        <v>46.125542609877819</v>
      </c>
      <c r="X214" s="157">
        <f t="shared" si="87"/>
        <v>45126</v>
      </c>
      <c r="Y214" s="385">
        <f t="shared" si="88"/>
        <v>41.828168677225833</v>
      </c>
      <c r="Z214" s="385">
        <f t="shared" si="89"/>
        <v>43.630727177969405</v>
      </c>
      <c r="AA214" s="386">
        <f t="shared" si="90"/>
        <v>49.76402272567865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0.12324758353075047</v>
      </c>
      <c r="AD214" s="231">
        <f>(INDEX(Models!$BJ214:$BT214,,AH214)*(1-AF214)+INDEX(Models!$BJ214:$BT214,,AH214+1)*AF214-ERP_i)*AE214*Ramure*Pc/MaxiM</f>
        <v>1.9053786131250215E-4</v>
      </c>
      <c r="AE214" s="305">
        <f t="shared" si="92"/>
        <v>0.7</v>
      </c>
      <c r="AF214" s="177">
        <f t="shared" si="93"/>
        <v>0.73226703285046757</v>
      </c>
      <c r="AG214" s="810">
        <f t="shared" si="99"/>
        <v>0</v>
      </c>
      <c r="AH214" s="176">
        <f t="shared" si="94"/>
        <v>6</v>
      </c>
      <c r="AI214" s="225">
        <f t="shared" si="95"/>
        <v>0.73226703285046757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44.892432562437129</v>
      </c>
      <c r="C215" s="840"/>
      <c r="D215" s="393">
        <f t="shared" si="77"/>
        <v>46.828133338286278</v>
      </c>
      <c r="E215" s="385">
        <f t="shared" si="75"/>
        <v>48.443390431269556</v>
      </c>
      <c r="F215" s="385">
        <f t="shared" si="78"/>
        <v>48.449890799709124</v>
      </c>
      <c r="G215" s="110">
        <f t="shared" si="76"/>
        <v>0.78870300977700569</v>
      </c>
      <c r="H215" s="414" t="b">
        <f>Wh_hp&gt;='2022'!Maxi_hp</f>
        <v>0</v>
      </c>
      <c r="I215" s="390">
        <f>IF(H215,Wh_hp,'2022'!Maxi_hp)</f>
        <v>60.24378453040314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4.1336278810552907E-2</v>
      </c>
      <c r="M215" s="844"/>
      <c r="N215" s="844"/>
      <c r="O215" s="48">
        <f>IF(t&lt;Tnet,'2022'!Resal+('2022'!Salim-'2022'!Resal)*(1-EXP(('2022'!Tnet-t)/('2022'!Tau_j))),Resal+(Salim-Resal)*(1-EXP((Tnet-t)/(Tau_j))))*Salcycl</f>
        <v>3.3343188381394752E-2</v>
      </c>
      <c r="P215" s="169">
        <f>(INDEX(Models!$BJ215:$BT215,,T215)*(1-R215)+INDEX(Models!$BJ215:$BT215,,T215+1)*R215-ERP_i)*Q215*Ramure*Pc/MaxiM</f>
        <v>1.9215759098325529E-4</v>
      </c>
      <c r="Q215" s="305">
        <f t="shared" si="80"/>
        <v>0.7</v>
      </c>
      <c r="R215" s="177">
        <f t="shared" si="81"/>
        <v>0.73453302119881569</v>
      </c>
      <c r="S215" s="810">
        <f t="shared" si="82"/>
        <v>0</v>
      </c>
      <c r="T215" s="176">
        <f t="shared" si="83"/>
        <v>6</v>
      </c>
      <c r="U215" s="251">
        <f t="shared" si="84"/>
        <v>0.73453302119881569</v>
      </c>
      <c r="V215" s="383">
        <f t="shared" si="85"/>
        <v>56.916010602821125</v>
      </c>
      <c r="W215" s="402">
        <f t="shared" si="86"/>
        <v>44.892432562437129</v>
      </c>
      <c r="X215" s="157">
        <f t="shared" si="87"/>
        <v>45127</v>
      </c>
      <c r="Y215" s="385">
        <f t="shared" si="88"/>
        <v>40.713603142241062</v>
      </c>
      <c r="Z215" s="385">
        <f t="shared" si="89"/>
        <v>42.469118463903371</v>
      </c>
      <c r="AA215" s="386">
        <f t="shared" si="90"/>
        <v>48.443390431269556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0.12332481096347618</v>
      </c>
      <c r="AD215" s="231">
        <f>(INDEX(Models!$BJ215:$BT215,,AH215)*(1-AF215)+INDEX(Models!$BJ215:$BT215,,AH215+1)*AF215-ERP_i)*AE215*Ramure*Pc/MaxiM</f>
        <v>1.9215759098325529E-4</v>
      </c>
      <c r="AE215" s="305">
        <f t="shared" si="92"/>
        <v>0.7</v>
      </c>
      <c r="AF215" s="177">
        <f t="shared" si="93"/>
        <v>0.73453302119881569</v>
      </c>
      <c r="AG215" s="810">
        <f t="shared" si="99"/>
        <v>0</v>
      </c>
      <c r="AH215" s="176">
        <f t="shared" si="94"/>
        <v>6</v>
      </c>
      <c r="AI215" s="225">
        <f t="shared" si="95"/>
        <v>0.73453302119881569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52.136593498252701</v>
      </c>
      <c r="C216" s="840"/>
      <c r="D216" s="393">
        <f t="shared" si="77"/>
        <v>54.385918303549332</v>
      </c>
      <c r="E216" s="385">
        <f t="shared" si="75"/>
        <v>56.271861688979222</v>
      </c>
      <c r="F216" s="385">
        <f t="shared" si="78"/>
        <v>56.28151173789373</v>
      </c>
      <c r="G216" s="110">
        <f t="shared" si="76"/>
        <v>0.91826771535026319</v>
      </c>
      <c r="H216" s="414" t="b">
        <f>Wh_hp&gt;='2022'!Maxi_hp</f>
        <v>0</v>
      </c>
      <c r="I216" s="390">
        <f>IF(H216,Wh_hp,'2022'!Maxi_hp)</f>
        <v>56.281812291305535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4.1358588315862588E-2</v>
      </c>
      <c r="M216" s="844"/>
      <c r="N216" s="844"/>
      <c r="O216" s="48">
        <f>IF(t&lt;Tnet,'2022'!Resal+('2022'!Salim-'2022'!Resal)*(1-EXP(('2022'!Tnet-t)/('2022'!Tau_j))),Resal+(Salim-Resal)*(1-EXP((Tnet-t)/(Tau_j))))*Salcycl</f>
        <v>3.3514856783194921E-2</v>
      </c>
      <c r="P216" s="169">
        <f>(INDEX(Models!$BJ216:$BT216,,T216)*(1-R216)+INDEX(Models!$BJ216:$BT216,,T216+1)*R216-ERP_i)*Q216*Ramure*Pc/MaxiM</f>
        <v>1.9412014751197959E-4</v>
      </c>
      <c r="Q216" s="305">
        <f t="shared" si="80"/>
        <v>0.7</v>
      </c>
      <c r="R216" s="177">
        <f t="shared" si="81"/>
        <v>0.73673691940526365</v>
      </c>
      <c r="S216" s="810">
        <f t="shared" si="82"/>
        <v>0</v>
      </c>
      <c r="T216" s="176">
        <f t="shared" si="83"/>
        <v>6</v>
      </c>
      <c r="U216" s="251">
        <f t="shared" si="84"/>
        <v>0.73673691940526365</v>
      </c>
      <c r="V216" s="383">
        <f t="shared" si="85"/>
        <v>56.775830207904015</v>
      </c>
      <c r="W216" s="402">
        <f t="shared" si="86"/>
        <v>52.136593498252701</v>
      </c>
      <c r="X216" s="157">
        <f t="shared" si="87"/>
        <v>45128</v>
      </c>
      <c r="Y216" s="385">
        <f t="shared" si="88"/>
        <v>47.287717720419892</v>
      </c>
      <c r="Z216" s="385">
        <f t="shared" si="89"/>
        <v>49.327847873111402</v>
      </c>
      <c r="AA216" s="386">
        <f t="shared" si="90"/>
        <v>56.271861688979222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0.12340117436043162</v>
      </c>
      <c r="AD216" s="231">
        <f>(INDEX(Models!$BJ216:$BT216,,AH216)*(1-AF216)+INDEX(Models!$BJ216:$BT216,,AH216+1)*AF216-ERP_i)*AE216*Ramure*Pc/MaxiM</f>
        <v>1.9412014751197959E-4</v>
      </c>
      <c r="AE216" s="305">
        <f t="shared" si="92"/>
        <v>0.7</v>
      </c>
      <c r="AF216" s="177">
        <f t="shared" si="93"/>
        <v>0.73673691940526365</v>
      </c>
      <c r="AG216" s="810">
        <f t="shared" si="99"/>
        <v>0</v>
      </c>
      <c r="AH216" s="176">
        <f t="shared" si="94"/>
        <v>6</v>
      </c>
      <c r="AI216" s="225">
        <f t="shared" si="95"/>
        <v>0.73673691940526365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39.83191023323694</v>
      </c>
      <c r="C217" s="840"/>
      <c r="D217" s="393">
        <f t="shared" si="77"/>
        <v>41.55134205142722</v>
      </c>
      <c r="E217" s="385">
        <f t="shared" si="75"/>
        <v>42.999841111298089</v>
      </c>
      <c r="F217" s="385">
        <f t="shared" si="78"/>
        <v>43.004708638087834</v>
      </c>
      <c r="G217" s="110">
        <f t="shared" si="76"/>
        <v>0.70329207726174592</v>
      </c>
      <c r="H217" s="414" t="b">
        <f>Wh_hp&gt;='2022'!Maxi_hp</f>
        <v>0</v>
      </c>
      <c r="I217" s="390">
        <f>IF(H217,Wh_hp,'2022'!Maxi_hp)</f>
        <v>55.15109317310074</v>
      </c>
      <c r="J217" s="85">
        <f>IF(H217,An,'2022'!An_max)</f>
        <v>2020</v>
      </c>
      <c r="K217" s="197">
        <f t="shared" si="79"/>
        <v>45129</v>
      </c>
      <c r="L217" s="147">
        <f>IF(t&lt;Tvie,1-EXP((T0-t)*PertePVj)+'2022'!Pspv,1-EXP((T0-t)*PertePVj)+Pspv)</f>
        <v>4.1380897301997455E-2</v>
      </c>
      <c r="M217" s="844"/>
      <c r="N217" s="844"/>
      <c r="O217" s="48">
        <f>IF(t&lt;Tnet,'2022'!Resal+('2022'!Salim-'2022'!Resal)*(1-EXP(('2022'!Tnet-t)/('2022'!Tau_j))),Resal+(Salim-Resal)*(1-EXP((Tnet-t)/(Tau_j))))*Salcycl</f>
        <v>3.3686149121380828E-2</v>
      </c>
      <c r="P217" s="169">
        <f>(INDEX(Models!$BJ217:$BT217,,T217)*(1-R217)+INDEX(Models!$BJ217:$BT217,,T217+1)*R217-ERP_i)*Q217*Ramure*Pc/MaxiM</f>
        <v>1.9642991890211653E-4</v>
      </c>
      <c r="Q217" s="305">
        <f t="shared" si="80"/>
        <v>0.7</v>
      </c>
      <c r="R217" s="177">
        <f t="shared" si="81"/>
        <v>0.73887945993108695</v>
      </c>
      <c r="S217" s="810">
        <f t="shared" si="82"/>
        <v>0</v>
      </c>
      <c r="T217" s="176">
        <f t="shared" si="83"/>
        <v>6</v>
      </c>
      <c r="U217" s="251">
        <f t="shared" si="84"/>
        <v>0.73887945993108695</v>
      </c>
      <c r="V217" s="383">
        <f t="shared" si="85"/>
        <v>56.6316547241764</v>
      </c>
      <c r="W217" s="402">
        <f t="shared" si="86"/>
        <v>39.83191023323694</v>
      </c>
      <c r="X217" s="157">
        <f t="shared" si="87"/>
        <v>45129</v>
      </c>
      <c r="Y217" s="385">
        <f t="shared" si="88"/>
        <v>36.130700577167609</v>
      </c>
      <c r="Z217" s="385">
        <f t="shared" si="89"/>
        <v>37.690361558077569</v>
      </c>
      <c r="AA217" s="386">
        <f t="shared" si="90"/>
        <v>42.999841111298089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0.12347672493667582</v>
      </c>
      <c r="AD217" s="231">
        <f>(INDEX(Models!$BJ217:$BT217,,AH217)*(1-AF217)+INDEX(Models!$BJ217:$BT217,,AH217+1)*AF217-ERP_i)*AE217*Ramure*Pc/MaxiM</f>
        <v>1.9642991890211653E-4</v>
      </c>
      <c r="AE217" s="305">
        <f t="shared" si="92"/>
        <v>0.7</v>
      </c>
      <c r="AF217" s="177">
        <f t="shared" si="93"/>
        <v>0.73887945993108695</v>
      </c>
      <c r="AG217" s="810">
        <f t="shared" si="99"/>
        <v>0</v>
      </c>
      <c r="AH217" s="176">
        <f t="shared" si="94"/>
        <v>6</v>
      </c>
      <c r="AI217" s="225">
        <f t="shared" si="95"/>
        <v>0.73887945993108695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51.889210003249062</v>
      </c>
      <c r="C218" s="840"/>
      <c r="D218" s="393">
        <f t="shared" si="77"/>
        <v>54.130381319367629</v>
      </c>
      <c r="E218" s="385">
        <f t="shared" si="75"/>
        <v>56.027301954038037</v>
      </c>
      <c r="F218" s="385">
        <f t="shared" si="78"/>
        <v>56.037162136213304</v>
      </c>
      <c r="G218" s="110">
        <f t="shared" si="76"/>
        <v>0.91864200223300496</v>
      </c>
      <c r="H218" s="414" t="b">
        <f>Wh_hp&gt;='2022'!Maxi_hp</f>
        <v>0</v>
      </c>
      <c r="I218" s="390">
        <f>IF(H218,Wh_hp,'2022'!Maxi_hp)</f>
        <v>57.142071976400118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4.1403205768969609E-2</v>
      </c>
      <c r="M218" s="844"/>
      <c r="N218" s="844"/>
      <c r="O218" s="48">
        <f>IF(t&lt;Tnet,'2022'!Resal+('2022'!Salim-'2022'!Resal)*(1-EXP(('2022'!Tnet-t)/('2022'!Tau_j))),Resal+(Salim-Resal)*(1-EXP((Tnet-t)/(Tau_j))))*Salcycl</f>
        <v>3.3857076255903742E-2</v>
      </c>
      <c r="P218" s="169">
        <f>(INDEX(Models!$BJ218:$BT218,,T218)*(1-R218)+INDEX(Models!$BJ218:$BT218,,T218+1)*R218-ERP_i)*Q218*Ramure*Pc/MaxiM</f>
        <v>1.9909140954341053E-4</v>
      </c>
      <c r="Q218" s="305">
        <f t="shared" si="80"/>
        <v>0.7</v>
      </c>
      <c r="R218" s="177">
        <f t="shared" si="81"/>
        <v>0.74096143573999262</v>
      </c>
      <c r="S218" s="810">
        <f t="shared" si="82"/>
        <v>0</v>
      </c>
      <c r="T218" s="176">
        <f t="shared" si="83"/>
        <v>6</v>
      </c>
      <c r="U218" s="251">
        <f t="shared" si="84"/>
        <v>0.74096143573999262</v>
      </c>
      <c r="V218" s="383">
        <f t="shared" si="85"/>
        <v>56.483384481743236</v>
      </c>
      <c r="W218" s="402">
        <f t="shared" si="86"/>
        <v>51.889210003249062</v>
      </c>
      <c r="X218" s="157">
        <f t="shared" si="87"/>
        <v>45130</v>
      </c>
      <c r="Y218" s="385">
        <f t="shared" si="88"/>
        <v>47.071937861956229</v>
      </c>
      <c r="Z218" s="385">
        <f t="shared" si="89"/>
        <v>49.105044107430501</v>
      </c>
      <c r="AA218" s="386">
        <f t="shared" si="90"/>
        <v>56.027301954038037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0.12355151158780069</v>
      </c>
      <c r="AD218" s="231">
        <f>(INDEX(Models!$BJ218:$BT218,,AH218)*(1-AF218)+INDEX(Models!$BJ218:$BT218,,AH218+1)*AF218-ERP_i)*AE218*Ramure*Pc/MaxiM</f>
        <v>1.9909140954341053E-4</v>
      </c>
      <c r="AE218" s="305">
        <f t="shared" si="92"/>
        <v>0.7</v>
      </c>
      <c r="AF218" s="177">
        <f t="shared" si="93"/>
        <v>0.74096143573999262</v>
      </c>
      <c r="AG218" s="810">
        <f t="shared" si="99"/>
        <v>0</v>
      </c>
      <c r="AH218" s="176">
        <f t="shared" si="94"/>
        <v>6</v>
      </c>
      <c r="AI218" s="225">
        <f t="shared" si="95"/>
        <v>0.74096143573999262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52.238315108467241</v>
      </c>
      <c r="C219" s="840"/>
      <c r="D219" s="393">
        <f t="shared" si="77"/>
        <v>54.495832985308077</v>
      </c>
      <c r="E219" s="385">
        <f t="shared" si="75"/>
        <v>56.415520492782839</v>
      </c>
      <c r="F219" s="385">
        <f t="shared" si="78"/>
        <v>56.425740989173669</v>
      </c>
      <c r="G219" s="110">
        <f t="shared" si="76"/>
        <v>0.92732708561219357</v>
      </c>
      <c r="H219" s="414" t="b">
        <f>Wh_hp&gt;='2022'!Maxi_hp</f>
        <v>0</v>
      </c>
      <c r="I219" s="390">
        <f>IF(H219,Wh_hp,'2022'!Maxi_hp)</f>
        <v>57.379495039905848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4.1425513716791151E-2</v>
      </c>
      <c r="M219" s="844"/>
      <c r="N219" s="844"/>
      <c r="O219" s="48">
        <f>IF(t&lt;Tnet,'2022'!Resal+('2022'!Salim-'2022'!Resal)*(1-EXP(('2022'!Tnet-t)/('2022'!Tau_j))),Resal+(Salim-Resal)*(1-EXP((Tnet-t)/(Tau_j))))*Salcycl</f>
        <v>3.4027648609930822E-2</v>
      </c>
      <c r="P219" s="169">
        <f>(INDEX(Models!$BJ219:$BT219,,T219)*(1-R219)+INDEX(Models!$BJ219:$BT219,,T219+1)*R219-ERP_i)*Q219*Ramure*Pc/MaxiM</f>
        <v>2.0210881219294386E-4</v>
      </c>
      <c r="Q219" s="305">
        <f t="shared" si="80"/>
        <v>0.7</v>
      </c>
      <c r="R219" s="177">
        <f t="shared" si="81"/>
        <v>0.74298369497429451</v>
      </c>
      <c r="S219" s="810">
        <f t="shared" si="82"/>
        <v>0</v>
      </c>
      <c r="T219" s="176">
        <f t="shared" si="83"/>
        <v>6</v>
      </c>
      <c r="U219" s="251">
        <f t="shared" si="84"/>
        <v>0.74298369497429451</v>
      </c>
      <c r="V219" s="383">
        <f t="shared" si="85"/>
        <v>56.330953680729039</v>
      </c>
      <c r="W219" s="402">
        <f t="shared" si="86"/>
        <v>52.238315108467241</v>
      </c>
      <c r="X219" s="157">
        <f t="shared" si="87"/>
        <v>45131</v>
      </c>
      <c r="Y219" s="385">
        <f t="shared" si="88"/>
        <v>47.392995256697475</v>
      </c>
      <c r="Z219" s="385">
        <f t="shared" si="89"/>
        <v>49.441119010437873</v>
      </c>
      <c r="AA219" s="386">
        <f t="shared" si="90"/>
        <v>56.415520492782839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0.12362558071651923</v>
      </c>
      <c r="AD219" s="231">
        <f>(INDEX(Models!$BJ219:$BT219,,AH219)*(1-AF219)+INDEX(Models!$BJ219:$BT219,,AH219+1)*AF219-ERP_i)*AE219*Ramure*Pc/MaxiM</f>
        <v>2.0210881219294386E-4</v>
      </c>
      <c r="AE219" s="305">
        <f t="shared" si="92"/>
        <v>0.7</v>
      </c>
      <c r="AF219" s="177">
        <f t="shared" si="93"/>
        <v>0.74298369497429451</v>
      </c>
      <c r="AG219" s="810">
        <f t="shared" si="99"/>
        <v>0</v>
      </c>
      <c r="AH219" s="176">
        <f t="shared" si="94"/>
        <v>6</v>
      </c>
      <c r="AI219" s="225">
        <f t="shared" si="95"/>
        <v>0.74298369497429451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28.087281360713277</v>
      </c>
      <c r="C220" s="840"/>
      <c r="D220" s="393">
        <f t="shared" si="77"/>
        <v>29.301776137296674</v>
      </c>
      <c r="E220" s="385">
        <f t="shared" si="75"/>
        <v>30.339316318072193</v>
      </c>
      <c r="F220" s="385">
        <f t="shared" si="78"/>
        <v>30.34109832917067</v>
      </c>
      <c r="G220" s="110">
        <f t="shared" si="76"/>
        <v>0.49992778627986056</v>
      </c>
      <c r="H220" s="414" t="b">
        <f>Wh_hp&gt;='2022'!Maxi_hp</f>
        <v>0</v>
      </c>
      <c r="I220" s="390">
        <f>IF(H220,Wh_hp,'2022'!Maxi_hp)</f>
        <v>60.574640900410465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4.1447821145474184E-2</v>
      </c>
      <c r="M220" s="844"/>
      <c r="N220" s="844"/>
      <c r="O220" s="48">
        <f>IF(t&lt;Tnet,'2022'!Resal+('2022'!Salim-'2022'!Resal)*(1-EXP(('2022'!Tnet-t)/('2022'!Tau_j))),Resal+(Salim-Resal)*(1-EXP((Tnet-t)/(Tau_j))))*Salcycl</f>
        <v>3.419787611224074E-2</v>
      </c>
      <c r="P220" s="169">
        <f>(INDEX(Models!$BJ220:$BT220,,T220)*(1-R220)+INDEX(Models!$BJ220:$BT220,,T220+1)*R220-ERP_i)*Q220*Ramure*Pc/MaxiM</f>
        <v>2.0556280368162988E-4</v>
      </c>
      <c r="Q220" s="305">
        <f t="shared" si="80"/>
        <v>0.7</v>
      </c>
      <c r="R220" s="177">
        <f t="shared" si="81"/>
        <v>0.74494713576400251</v>
      </c>
      <c r="S220" s="810">
        <f t="shared" si="82"/>
        <v>0</v>
      </c>
      <c r="T220" s="176">
        <f t="shared" si="83"/>
        <v>6</v>
      </c>
      <c r="U220" s="251">
        <f t="shared" si="84"/>
        <v>0.74494713576400251</v>
      </c>
      <c r="V220" s="383">
        <f t="shared" si="85"/>
        <v>56.174427242300908</v>
      </c>
      <c r="W220" s="402">
        <f t="shared" si="86"/>
        <v>28.087281360713277</v>
      </c>
      <c r="X220" s="157">
        <f t="shared" si="87"/>
        <v>45132</v>
      </c>
      <c r="Y220" s="385">
        <f t="shared" si="88"/>
        <v>25.484426681866559</v>
      </c>
      <c r="Z220" s="385">
        <f t="shared" si="89"/>
        <v>26.586373954436745</v>
      </c>
      <c r="AA220" s="386">
        <f t="shared" si="90"/>
        <v>30.339316318072193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0.12369897608404368</v>
      </c>
      <c r="AD220" s="231">
        <f>(INDEX(Models!$BJ220:$BT220,,AH220)*(1-AF220)+INDEX(Models!$BJ220:$BT220,,AH220+1)*AF220-ERP_i)*AE220*Ramure*Pc/MaxiM</f>
        <v>2.0556280368162988E-4</v>
      </c>
      <c r="AE220" s="305">
        <f t="shared" si="92"/>
        <v>0.7</v>
      </c>
      <c r="AF220" s="177">
        <f t="shared" si="93"/>
        <v>0.74494713576400251</v>
      </c>
      <c r="AG220" s="810">
        <f t="shared" si="99"/>
        <v>0</v>
      </c>
      <c r="AH220" s="176">
        <f t="shared" si="94"/>
        <v>6</v>
      </c>
      <c r="AI220" s="225">
        <f t="shared" si="95"/>
        <v>0.74494713576400251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58.645177103360993</v>
      </c>
      <c r="C221" s="840"/>
      <c r="D221" s="393">
        <f t="shared" si="77"/>
        <v>61.182419890955579</v>
      </c>
      <c r="E221" s="385">
        <f t="shared" si="75"/>
        <v>63.359960316839242</v>
      </c>
      <c r="F221" s="385">
        <f t="shared" si="78"/>
        <v>63.373229232524729</v>
      </c>
      <c r="G221" s="110">
        <f t="shared" si="76"/>
        <v>1.0469751951243975</v>
      </c>
      <c r="H221" s="414" t="b">
        <f>Wh_hp&gt;='2022'!Maxi_hp</f>
        <v>1</v>
      </c>
      <c r="I221" s="390">
        <f>IF(H221,Wh_hp,'2022'!Maxi_hp)</f>
        <v>63.373229232524729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4.1470128055030697E-2</v>
      </c>
      <c r="M221" s="844"/>
      <c r="N221" s="844"/>
      <c r="O221" s="48">
        <f>IF(t&lt;Tnet,'2022'!Resal+('2022'!Salim-'2022'!Resal)*(1-EXP(('2022'!Tnet-t)/('2022'!Tau_j))),Resal+(Salim-Resal)*(1-EXP((Tnet-t)/(Tau_j))))*Salcycl</f>
        <v>3.4367768145601836E-2</v>
      </c>
      <c r="P221" s="169">
        <f>(INDEX(Models!$BJ221:$BT221,,T221)*(1-R221)+INDEX(Models!$BJ221:$BT221,,T221+1)*R221-ERP_i)*Q221*Ramure*Pc/MaxiM</f>
        <v>2.0937730089152734E-4</v>
      </c>
      <c r="Q221" s="305">
        <f t="shared" si="80"/>
        <v>0.7</v>
      </c>
      <c r="R221" s="177">
        <f t="shared" si="81"/>
        <v>0.74685270118628955</v>
      </c>
      <c r="S221" s="810">
        <f t="shared" si="82"/>
        <v>0</v>
      </c>
      <c r="T221" s="176">
        <f t="shared" si="83"/>
        <v>6</v>
      </c>
      <c r="U221" s="251">
        <f t="shared" si="84"/>
        <v>0.74685270118628955</v>
      </c>
      <c r="V221" s="383">
        <f t="shared" si="85"/>
        <v>56.013912627980645</v>
      </c>
      <c r="W221" s="402">
        <f t="shared" si="86"/>
        <v>58.645177103360993</v>
      </c>
      <c r="X221" s="157">
        <f t="shared" si="87"/>
        <v>45133</v>
      </c>
      <c r="Y221" s="385">
        <f t="shared" si="88"/>
        <v>53.215458093209968</v>
      </c>
      <c r="Z221" s="385">
        <f t="shared" si="89"/>
        <v>55.517787865316677</v>
      </c>
      <c r="AA221" s="386">
        <f t="shared" si="90"/>
        <v>63.359960316839242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0.1237717386864957</v>
      </c>
      <c r="AD221" s="231">
        <f>(INDEX(Models!$BJ221:$BT221,,AH221)*(1-AF221)+INDEX(Models!$BJ221:$BT221,,AH221+1)*AF221-ERP_i)*AE221*Ramure*Pc/MaxiM</f>
        <v>2.0937730089152734E-4</v>
      </c>
      <c r="AE221" s="305">
        <f t="shared" si="92"/>
        <v>0.7</v>
      </c>
      <c r="AF221" s="177">
        <f t="shared" si="93"/>
        <v>0.74685270118628955</v>
      </c>
      <c r="AG221" s="810">
        <f t="shared" si="99"/>
        <v>0</v>
      </c>
      <c r="AH221" s="176">
        <f t="shared" si="94"/>
        <v>6</v>
      </c>
      <c r="AI221" s="225">
        <f t="shared" si="95"/>
        <v>0.74685270118628955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56.916322277940417</v>
      </c>
      <c r="C222" s="840"/>
      <c r="D222" s="393">
        <f t="shared" si="77"/>
        <v>59.380149227108618</v>
      </c>
      <c r="E222" s="385">
        <f t="shared" si="75"/>
        <v>61.504345312964752</v>
      </c>
      <c r="F222" s="385">
        <f t="shared" si="78"/>
        <v>61.517482793724277</v>
      </c>
      <c r="G222" s="110">
        <f t="shared" si="76"/>
        <v>1.0191015019691729</v>
      </c>
      <c r="H222" s="414" t="b">
        <f>Wh_hp&gt;='2022'!Maxi_hp</f>
        <v>1</v>
      </c>
      <c r="I222" s="390">
        <f>IF(H222,Wh_hp,'2022'!Maxi_hp)</f>
        <v>61.517482793724277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4.1492434445472903E-2</v>
      </c>
      <c r="M222" s="844"/>
      <c r="N222" s="844"/>
      <c r="O222" s="48">
        <f>IF(t&lt;Tnet,'2022'!Resal+('2022'!Salim-'2022'!Resal)*(1-EXP(('2022'!Tnet-t)/('2022'!Tau_j))),Resal+(Salim-Resal)*(1-EXP((Tnet-t)/(Tau_j))))*Salcycl</f>
        <v>3.4537333501351276E-2</v>
      </c>
      <c r="P222" s="169">
        <f>(INDEX(Models!$BJ222:$BT222,,T222)*(1-R222)+INDEX(Models!$BJ222:$BT222,,T222+1)*R222-ERP_i)*Q222*Ramure*Pc/MaxiM</f>
        <v>2.1355686486025083E-4</v>
      </c>
      <c r="Q222" s="305">
        <f t="shared" si="80"/>
        <v>0.7</v>
      </c>
      <c r="R222" s="177">
        <f t="shared" si="81"/>
        <v>0.74870137439026219</v>
      </c>
      <c r="S222" s="810">
        <f t="shared" si="82"/>
        <v>0</v>
      </c>
      <c r="T222" s="176">
        <f t="shared" si="83"/>
        <v>6</v>
      </c>
      <c r="U222" s="251">
        <f t="shared" si="84"/>
        <v>0.74870137439026219</v>
      </c>
      <c r="V222" s="383">
        <f t="shared" si="85"/>
        <v>55.849512701102952</v>
      </c>
      <c r="W222" s="402">
        <f t="shared" si="86"/>
        <v>56.916322277940417</v>
      </c>
      <c r="X222" s="157">
        <f t="shared" si="87"/>
        <v>45134</v>
      </c>
      <c r="Y222" s="385">
        <f t="shared" si="88"/>
        <v>51.651487214289283</v>
      </c>
      <c r="Z222" s="385">
        <f t="shared" si="89"/>
        <v>53.887406913066208</v>
      </c>
      <c r="AA222" s="386">
        <f t="shared" si="90"/>
        <v>61.504345312964752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0.12384390665634704</v>
      </c>
      <c r="AD222" s="231">
        <f>(INDEX(Models!$BJ222:$BT222,,AH222)*(1-AF222)+INDEX(Models!$BJ222:$BT222,,AH222+1)*AF222-ERP_i)*AE222*Ramure*Pc/MaxiM</f>
        <v>2.1355686486025083E-4</v>
      </c>
      <c r="AE222" s="305">
        <f t="shared" si="92"/>
        <v>0.7</v>
      </c>
      <c r="AF222" s="177">
        <f t="shared" si="93"/>
        <v>0.74870137439026219</v>
      </c>
      <c r="AG222" s="810">
        <f t="shared" si="99"/>
        <v>0</v>
      </c>
      <c r="AH222" s="176">
        <f t="shared" si="94"/>
        <v>6</v>
      </c>
      <c r="AI222" s="225">
        <f t="shared" si="95"/>
        <v>0.74870137439026219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45.569362995648383</v>
      </c>
      <c r="C223" s="840"/>
      <c r="D223" s="393">
        <f t="shared" si="77"/>
        <v>47.54310255194811</v>
      </c>
      <c r="E223" s="385">
        <f t="shared" si="75"/>
        <v>49.252487983094227</v>
      </c>
      <c r="F223" s="385">
        <f t="shared" si="78"/>
        <v>49.260444620432921</v>
      </c>
      <c r="G223" s="110">
        <f t="shared" si="76"/>
        <v>0.81834941501799485</v>
      </c>
      <c r="H223" s="414" t="b">
        <f>Wh_hp&gt;='2022'!Maxi_hp</f>
        <v>0</v>
      </c>
      <c r="I223" s="390">
        <f>IF(H223,Wh_hp,'2022'!Maxi_hp)</f>
        <v>57.712856761591276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4.1514740316812793E-2</v>
      </c>
      <c r="M223" s="844"/>
      <c r="N223" s="844"/>
      <c r="O223" s="48">
        <f>IF(t&lt;Tnet,'2022'!Resal+('2022'!Salim-'2022'!Resal)*(1-EXP(('2022'!Tnet-t)/('2022'!Tau_j))),Resal+(Salim-Resal)*(1-EXP((Tnet-t)/(Tau_j))))*Salcycl</f>
        <v>3.4706580340324283E-2</v>
      </c>
      <c r="P223" s="169">
        <f>(INDEX(Models!$BJ223:$BT223,,T223)*(1-R223)+INDEX(Models!$BJ223:$BT223,,T223+1)*R223-ERP_i)*Q223*Ramure*Pc/MaxiM</f>
        <v>2.1810612392919774E-4</v>
      </c>
      <c r="Q223" s="305">
        <f t="shared" si="80"/>
        <v>0.7</v>
      </c>
      <c r="R223" s="177">
        <f t="shared" si="81"/>
        <v>0.75049417389952744</v>
      </c>
      <c r="S223" s="810">
        <f t="shared" si="82"/>
        <v>0</v>
      </c>
      <c r="T223" s="176">
        <f t="shared" si="83"/>
        <v>6</v>
      </c>
      <c r="U223" s="251">
        <f t="shared" si="84"/>
        <v>0.75049417389952744</v>
      </c>
      <c r="V223" s="383">
        <f t="shared" si="85"/>
        <v>55.681330288514069</v>
      </c>
      <c r="W223" s="402">
        <f t="shared" si="86"/>
        <v>45.569362995648383</v>
      </c>
      <c r="X223" s="157">
        <f t="shared" si="87"/>
        <v>45135</v>
      </c>
      <c r="Y223" s="385">
        <f t="shared" si="88"/>
        <v>41.358006892142001</v>
      </c>
      <c r="Z223" s="385">
        <f t="shared" si="89"/>
        <v>43.149340560346502</v>
      </c>
      <c r="AA223" s="386">
        <f t="shared" si="90"/>
        <v>49.252487983094227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0.12391551518864617</v>
      </c>
      <c r="AD223" s="231">
        <f>(INDEX(Models!$BJ223:$BT223,,AH223)*(1-AF223)+INDEX(Models!$BJ223:$BT223,,AH223+1)*AF223-ERP_i)*AE223*Ramure*Pc/MaxiM</f>
        <v>2.1810612392919774E-4</v>
      </c>
      <c r="AE223" s="305">
        <f t="shared" si="92"/>
        <v>0.7</v>
      </c>
      <c r="AF223" s="177">
        <f t="shared" si="93"/>
        <v>0.75049417389952744</v>
      </c>
      <c r="AG223" s="810">
        <f t="shared" si="99"/>
        <v>0</v>
      </c>
      <c r="AH223" s="176">
        <f t="shared" si="94"/>
        <v>6</v>
      </c>
      <c r="AI223" s="225">
        <f t="shared" si="95"/>
        <v>0.75049417389952744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33.473371020648116</v>
      </c>
      <c r="C224" s="840"/>
      <c r="D224" s="393">
        <f t="shared" si="77"/>
        <v>34.924011271791365</v>
      </c>
      <c r="E224" s="385">
        <f t="shared" si="75"/>
        <v>36.186017303016413</v>
      </c>
      <c r="F224" s="385">
        <f t="shared" si="78"/>
        <v>36.189511280882861</v>
      </c>
      <c r="G224" s="110">
        <f t="shared" si="76"/>
        <v>0.60294464884804666</v>
      </c>
      <c r="H224" s="414" t="b">
        <f>Wh_hp&gt;='2022'!Maxi_hp</f>
        <v>0</v>
      </c>
      <c r="I224" s="390">
        <f>IF(H224,Wh_hp,'2022'!Maxi_hp)</f>
        <v>59.638650832887429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4.1537045669062467E-2</v>
      </c>
      <c r="M224" s="844"/>
      <c r="N224" s="844"/>
      <c r="O224" s="48">
        <f>IF(t&lt;Tnet,'2022'!Resal+('2022'!Salim-'2022'!Resal)*(1-EXP(('2022'!Tnet-t)/('2022'!Tau_j))),Resal+(Salim-Resal)*(1-EXP((Tnet-t)/(Tau_j))))*Salcycl</f>
        <v>3.4875516160211721E-2</v>
      </c>
      <c r="P224" s="169">
        <f>(INDEX(Models!$BJ224:$BT224,,T224)*(1-R224)+INDEX(Models!$BJ224:$BT224,,T224+1)*R224-ERP_i)*Q224*Ramure*Pc/MaxiM</f>
        <v>2.2302977546664841E-4</v>
      </c>
      <c r="Q224" s="305">
        <f t="shared" si="80"/>
        <v>0.7</v>
      </c>
      <c r="R224" s="177">
        <f t="shared" si="81"/>
        <v>0.75223214910275416</v>
      </c>
      <c r="S224" s="810">
        <f t="shared" si="82"/>
        <v>0</v>
      </c>
      <c r="T224" s="176">
        <f t="shared" si="83"/>
        <v>6</v>
      </c>
      <c r="U224" s="251">
        <f t="shared" si="84"/>
        <v>0.75223214910275416</v>
      </c>
      <c r="V224" s="383">
        <f t="shared" si="85"/>
        <v>55.509468175658441</v>
      </c>
      <c r="W224" s="402">
        <f t="shared" si="86"/>
        <v>33.473371020648116</v>
      </c>
      <c r="X224" s="157">
        <f t="shared" si="87"/>
        <v>45136</v>
      </c>
      <c r="Y224" s="385">
        <f t="shared" si="88"/>
        <v>30.382735248862144</v>
      </c>
      <c r="Z224" s="385">
        <f t="shared" si="89"/>
        <v>31.699436177031011</v>
      </c>
      <c r="AA224" s="386">
        <f t="shared" si="90"/>
        <v>36.186017303016413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0.12398659649155165</v>
      </c>
      <c r="AD224" s="231">
        <f>(INDEX(Models!$BJ224:$BT224,,AH224)*(1-AF224)+INDEX(Models!$BJ224:$BT224,,AH224+1)*AF224-ERP_i)*AE224*Ramure*Pc/MaxiM</f>
        <v>2.2302977546664841E-4</v>
      </c>
      <c r="AE224" s="305">
        <f t="shared" si="92"/>
        <v>0.7</v>
      </c>
      <c r="AF224" s="177">
        <f t="shared" si="93"/>
        <v>0.75223214910275416</v>
      </c>
      <c r="AG224" s="810">
        <f t="shared" si="99"/>
        <v>0</v>
      </c>
      <c r="AH224" s="176">
        <f t="shared" si="94"/>
        <v>6</v>
      </c>
      <c r="AI224" s="225">
        <f t="shared" si="95"/>
        <v>0.75223214910275416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51.338860851866869</v>
      </c>
      <c r="C225" s="840"/>
      <c r="D225" s="393">
        <f t="shared" si="77"/>
        <v>53.564986917832655</v>
      </c>
      <c r="E225" s="385">
        <f t="shared" si="75"/>
        <v>55.510298003798617</v>
      </c>
      <c r="F225" s="385">
        <f t="shared" si="78"/>
        <v>55.521667809156448</v>
      </c>
      <c r="G225" s="110">
        <f t="shared" si="76"/>
        <v>0.92777721665431134</v>
      </c>
      <c r="H225" s="414" t="b">
        <f>Wh_hp&gt;='2022'!Maxi_hp</f>
        <v>0</v>
      </c>
      <c r="I225" s="390">
        <f>IF(H225,Wh_hp,'2022'!Maxi_hp)</f>
        <v>55.521981770565908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4.1559350502234027E-2</v>
      </c>
      <c r="M225" s="844"/>
      <c r="N225" s="844"/>
      <c r="O225" s="48">
        <f>IF(t&lt;Tnet,'2022'!Resal+('2022'!Salim-'2022'!Resal)*(1-EXP(('2022'!Tnet-t)/('2022'!Tau_j))),Resal+(Salim-Resal)*(1-EXP((Tnet-t)/(Tau_j))))*Salcycl</f>
        <v>3.5044147769353405E-2</v>
      </c>
      <c r="P225" s="169">
        <f>(INDEX(Models!$BJ225:$BT225,,T225)*(1-R225)+INDEX(Models!$BJ225:$BT225,,T225+1)*R225-ERP_i)*Q225*Ramure*Pc/MaxiM</f>
        <v>2.28332587033828E-4</v>
      </c>
      <c r="Q225" s="305">
        <f t="shared" si="80"/>
        <v>0.7</v>
      </c>
      <c r="R225" s="177">
        <f t="shared" si="81"/>
        <v>0.75391637594026006</v>
      </c>
      <c r="S225" s="810">
        <f t="shared" si="82"/>
        <v>0</v>
      </c>
      <c r="T225" s="176">
        <f t="shared" si="83"/>
        <v>6</v>
      </c>
      <c r="U225" s="251">
        <f t="shared" si="84"/>
        <v>0.75391637594026006</v>
      </c>
      <c r="V225" s="383">
        <f t="shared" si="85"/>
        <v>55.334029109584762</v>
      </c>
      <c r="W225" s="402">
        <f t="shared" si="86"/>
        <v>51.338860851866869</v>
      </c>
      <c r="X225" s="157">
        <f t="shared" si="87"/>
        <v>45137</v>
      </c>
      <c r="Y225" s="385">
        <f t="shared" si="88"/>
        <v>46.603071486135192</v>
      </c>
      <c r="Z225" s="385">
        <f t="shared" si="89"/>
        <v>48.623846985784404</v>
      </c>
      <c r="AA225" s="386">
        <f t="shared" si="90"/>
        <v>55.510298003798617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0.12405717976046474</v>
      </c>
      <c r="AD225" s="231">
        <f>(INDEX(Models!$BJ225:$BT225,,AH225)*(1-AF225)+INDEX(Models!$BJ225:$BT225,,AH225+1)*AF225-ERP_i)*AE225*Ramure*Pc/MaxiM</f>
        <v>2.28332587033828E-4</v>
      </c>
      <c r="AE225" s="305">
        <f t="shared" si="92"/>
        <v>0.7</v>
      </c>
      <c r="AF225" s="177">
        <f t="shared" si="93"/>
        <v>0.75391637594026006</v>
      </c>
      <c r="AG225" s="810">
        <f t="shared" si="99"/>
        <v>0</v>
      </c>
      <c r="AH225" s="176">
        <f t="shared" si="94"/>
        <v>6</v>
      </c>
      <c r="AI225" s="225">
        <f t="shared" si="95"/>
        <v>0.75391637594026006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54.700416703600936</v>
      </c>
      <c r="C226" s="840"/>
      <c r="D226" s="393">
        <f t="shared" si="77"/>
        <v>57.073632801883356</v>
      </c>
      <c r="E226" s="385">
        <f t="shared" si="75"/>
        <v>59.156686517700038</v>
      </c>
      <c r="F226" s="385">
        <f t="shared" si="78"/>
        <v>59.170392485335192</v>
      </c>
      <c r="G226" s="110">
        <f t="shared" si="76"/>
        <v>0.99175362938813405</v>
      </c>
      <c r="H226" s="414" t="b">
        <f>Wh_hp&gt;='2022'!Maxi_hp</f>
        <v>0</v>
      </c>
      <c r="I226" s="390">
        <f>IF(H226,Wh_hp,'2022'!Maxi_hp)</f>
        <v>59.170431840667312</v>
      </c>
      <c r="J226" s="85">
        <f>IF(H226,An,'2022'!An_max)</f>
        <v>2022</v>
      </c>
      <c r="K226" s="197">
        <f t="shared" si="79"/>
        <v>45138</v>
      </c>
      <c r="L226" s="147">
        <f>IF(t&lt;Tvie,1-EXP((T0-t)*PertePVj)+'2022'!Pspv,1-EXP((T0-t)*PertePVj)+Pspv)</f>
        <v>4.1581654816339464E-2</v>
      </c>
      <c r="M226" s="844"/>
      <c r="N226" s="844"/>
      <c r="O226" s="48">
        <f>IF(t&lt;Tnet,'2022'!Resal+('2022'!Salim-'2022'!Resal)*(1-EXP(('2022'!Tnet-t)/('2022'!Tau_j))),Resal+(Salim-Resal)*(1-EXP((Tnet-t)/(Tau_j))))*Salcycl</f>
        <v>3.5212481266905044E-2</v>
      </c>
      <c r="P226" s="169">
        <f>(INDEX(Models!$BJ226:$BT226,,T226)*(1-R226)+INDEX(Models!$BJ226:$BT226,,T226+1)*R226-ERP_i)*Q226*Ramure*Pc/MaxiM</f>
        <v>2.34395962378415E-4</v>
      </c>
      <c r="Q226" s="305">
        <f t="shared" si="80"/>
        <v>0.7</v>
      </c>
      <c r="R226" s="177">
        <f t="shared" si="81"/>
        <v>0.75554795279263853</v>
      </c>
      <c r="S226" s="810">
        <f t="shared" si="82"/>
        <v>0</v>
      </c>
      <c r="T226" s="176">
        <f t="shared" si="83"/>
        <v>6</v>
      </c>
      <c r="U226" s="251">
        <f t="shared" si="84"/>
        <v>0.75554795279263853</v>
      </c>
      <c r="V226" s="383">
        <f t="shared" si="85"/>
        <v>55.155095028785105</v>
      </c>
      <c r="W226" s="402">
        <f t="shared" si="86"/>
        <v>54.700416703600936</v>
      </c>
      <c r="X226" s="157">
        <f t="shared" si="87"/>
        <v>45138</v>
      </c>
      <c r="Y226" s="385">
        <f t="shared" si="88"/>
        <v>49.659226743481966</v>
      </c>
      <c r="Z226" s="385">
        <f t="shared" si="89"/>
        <v>51.813727265378908</v>
      </c>
      <c r="AA226" s="386">
        <f t="shared" si="90"/>
        <v>59.156686517700038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0.12412729117483735</v>
      </c>
      <c r="AD226" s="231">
        <f>(INDEX(Models!$BJ226:$BT226,,AH226)*(1-AF226)+INDEX(Models!$BJ226:$BT226,,AH226+1)*AF226-ERP_i)*AE226*Ramure*Pc/MaxiM</f>
        <v>2.34395962378415E-4</v>
      </c>
      <c r="AE226" s="305">
        <f t="shared" si="92"/>
        <v>0.7</v>
      </c>
      <c r="AF226" s="177">
        <f t="shared" si="93"/>
        <v>0.75554795279263853</v>
      </c>
      <c r="AG226" s="810">
        <f t="shared" si="99"/>
        <v>0</v>
      </c>
      <c r="AH226" s="176">
        <f t="shared" si="94"/>
        <v>6</v>
      </c>
      <c r="AI226" s="225">
        <f t="shared" si="95"/>
        <v>0.75554795279263853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54.371523475543974</v>
      </c>
      <c r="C227" s="840"/>
      <c r="D227" s="393">
        <f t="shared" si="77"/>
        <v>56.731790541168863</v>
      </c>
      <c r="E227" s="385">
        <f t="shared" si="75"/>
        <v>58.812611435666007</v>
      </c>
      <c r="F227" s="385">
        <f t="shared" si="78"/>
        <v>58.826565389867184</v>
      </c>
      <c r="G227" s="110">
        <f t="shared" si="76"/>
        <v>0.98905887462748809</v>
      </c>
      <c r="H227" s="414" t="b">
        <f>Wh_hp&gt;='2022'!Maxi_hp</f>
        <v>0</v>
      </c>
      <c r="I227" s="390">
        <f>IF(H227,Wh_hp,'2022'!Maxi_hp)</f>
        <v>58.826618975995636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4.160395861139099E-2</v>
      </c>
      <c r="M227" s="844"/>
      <c r="N227" s="844"/>
      <c r="O227" s="48">
        <f>IF(t&lt;Tnet,'2022'!Resal+('2022'!Salim-'2022'!Resal)*(1-EXP(('2022'!Tnet-t)/('2022'!Tau_j))),Resal+(Salim-Resal)*(1-EXP((Tnet-t)/(Tau_j))))*Salcycl</f>
        <v>3.5380522029247297E-2</v>
      </c>
      <c r="P227" s="169">
        <f>(INDEX(Models!$BJ227:$BT227,,T227)*(1-R227)+INDEX(Models!$BJ227:$BT227,,T227+1)*R227-ERP_i)*Q227*Ramure*Pc/MaxiM</f>
        <v>2.4097010250015812E-4</v>
      </c>
      <c r="Q227" s="305">
        <f t="shared" si="80"/>
        <v>0.7</v>
      </c>
      <c r="R227" s="177">
        <f t="shared" si="81"/>
        <v>0.75712799657557395</v>
      </c>
      <c r="S227" s="810">
        <f t="shared" si="82"/>
        <v>0</v>
      </c>
      <c r="T227" s="176">
        <f t="shared" si="83"/>
        <v>6</v>
      </c>
      <c r="U227" s="251">
        <f t="shared" si="84"/>
        <v>0.75712799657557395</v>
      </c>
      <c r="V227" s="383">
        <f t="shared" si="85"/>
        <v>54.972782820379521</v>
      </c>
      <c r="W227" s="402">
        <f t="shared" si="86"/>
        <v>54.371523475543974</v>
      </c>
      <c r="X227" s="157">
        <f t="shared" si="87"/>
        <v>45139</v>
      </c>
      <c r="Y227" s="385">
        <f t="shared" si="88"/>
        <v>49.3653165497496</v>
      </c>
      <c r="Z227" s="385">
        <f t="shared" si="89"/>
        <v>51.508264243479928</v>
      </c>
      <c r="AA227" s="386">
        <f t="shared" si="90"/>
        <v>58.812611435666007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0.12419695391652795</v>
      </c>
      <c r="AD227" s="231">
        <f>(INDEX(Models!$BJ227:$BT227,,AH227)*(1-AF227)+INDEX(Models!$BJ227:$BT227,,AH227+1)*AF227-ERP_i)*AE227*Ramure*Pc/MaxiM</f>
        <v>2.4097010250015812E-4</v>
      </c>
      <c r="AE227" s="305">
        <f t="shared" si="92"/>
        <v>0.7</v>
      </c>
      <c r="AF227" s="177">
        <f t="shared" si="93"/>
        <v>0.75712799657557395</v>
      </c>
      <c r="AG227" s="810">
        <f t="shared" si="99"/>
        <v>0</v>
      </c>
      <c r="AH227" s="176">
        <f t="shared" si="94"/>
        <v>6</v>
      </c>
      <c r="AI227" s="225">
        <f t="shared" si="95"/>
        <v>0.75712799657557395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54.123782604759064</v>
      </c>
      <c r="C228" s="840"/>
      <c r="D228" s="393">
        <f t="shared" si="77"/>
        <v>56.474609489351487</v>
      </c>
      <c r="E228" s="385">
        <f t="shared" si="75"/>
        <v>58.556180685899498</v>
      </c>
      <c r="F228" s="385">
        <f t="shared" si="78"/>
        <v>58.570458444194557</v>
      </c>
      <c r="G228" s="110">
        <f t="shared" si="76"/>
        <v>0.98788686301577544</v>
      </c>
      <c r="H228" s="414" t="b">
        <f>Wh_hp&gt;='2022'!Maxi_hp</f>
        <v>0</v>
      </c>
      <c r="I228" s="390">
        <f>IF(H228,Wh_hp,'2022'!Maxi_hp)</f>
        <v>58.57051952904542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4.1626261887400595E-2</v>
      </c>
      <c r="M228" s="844"/>
      <c r="N228" s="844"/>
      <c r="O228" s="48">
        <f>IF(t&lt;Tnet,'2022'!Resal+('2022'!Salim-'2022'!Resal)*(1-EXP(('2022'!Tnet-t)/('2022'!Tau_j))),Resal+(Salim-Resal)*(1-EXP((Tnet-t)/(Tau_j))))*Salcycl</f>
        <v>3.5548274702439063E-2</v>
      </c>
      <c r="P228" s="169">
        <f>(INDEX(Models!$BJ228:$BT228,,T228)*(1-R228)+INDEX(Models!$BJ228:$BT228,,T228+1)*R228-ERP_i)*Q228*Ramure*Pc/MaxiM</f>
        <v>2.4806171946023542E-4</v>
      </c>
      <c r="Q228" s="305">
        <f t="shared" si="80"/>
        <v>0.7</v>
      </c>
      <c r="R228" s="177">
        <f t="shared" si="81"/>
        <v>0.75865763904328343</v>
      </c>
      <c r="S228" s="810">
        <f t="shared" si="82"/>
        <v>0</v>
      </c>
      <c r="T228" s="176">
        <f t="shared" si="83"/>
        <v>6</v>
      </c>
      <c r="U228" s="251">
        <f t="shared" si="84"/>
        <v>0.75865763904328343</v>
      </c>
      <c r="V228" s="383">
        <f t="shared" si="85"/>
        <v>54.787195098024917</v>
      </c>
      <c r="W228" s="402">
        <f t="shared" si="86"/>
        <v>54.123782604759064</v>
      </c>
      <c r="X228" s="157">
        <f t="shared" si="87"/>
        <v>45140</v>
      </c>
      <c r="Y228" s="385">
        <f t="shared" si="88"/>
        <v>49.145048119876115</v>
      </c>
      <c r="Z228" s="385">
        <f t="shared" si="89"/>
        <v>51.279627316021113</v>
      </c>
      <c r="AA228" s="386">
        <f t="shared" si="90"/>
        <v>58.556180685899498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0.1242661882083884</v>
      </c>
      <c r="AD228" s="231">
        <f>(INDEX(Models!$BJ228:$BT228,,AH228)*(1-AF228)+INDEX(Models!$BJ228:$BT228,,AH228+1)*AF228-ERP_i)*AE228*Ramure*Pc/MaxiM</f>
        <v>2.4806171946023542E-4</v>
      </c>
      <c r="AE228" s="305">
        <f t="shared" si="92"/>
        <v>0.7</v>
      </c>
      <c r="AF228" s="177">
        <f t="shared" si="93"/>
        <v>0.75865763904328343</v>
      </c>
      <c r="AG228" s="810">
        <f t="shared" si="99"/>
        <v>0</v>
      </c>
      <c r="AH228" s="176">
        <f t="shared" si="94"/>
        <v>6</v>
      </c>
      <c r="AI228" s="225">
        <f t="shared" si="95"/>
        <v>0.75865763904328343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49.725017050469432</v>
      </c>
      <c r="C229" s="840"/>
      <c r="D229" s="393">
        <f t="shared" si="77"/>
        <v>51.885994235525672</v>
      </c>
      <c r="E229" s="385">
        <f t="shared" si="75"/>
        <v>53.807779054420131</v>
      </c>
      <c r="F229" s="385">
        <f t="shared" si="78"/>
        <v>53.819784920506507</v>
      </c>
      <c r="G229" s="110">
        <f t="shared" si="76"/>
        <v>0.91071101294688672</v>
      </c>
      <c r="H229" s="414" t="b">
        <f>Wh_hp&gt;='2022'!Maxi_hp</f>
        <v>0</v>
      </c>
      <c r="I229" s="390">
        <f>IF(H229,Wh_hp,'2022'!Maxi_hp)</f>
        <v>56.763758259198227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4.1648564644380381E-2</v>
      </c>
      <c r="M229" s="844"/>
      <c r="N229" s="844"/>
      <c r="O229" s="48">
        <f>IF(t&lt;Tnet,'2022'!Resal+('2022'!Salim-'2022'!Resal)*(1-EXP(('2022'!Tnet-t)/('2022'!Tau_j))),Resal+(Salim-Resal)*(1-EXP((Tnet-t)/(Tau_j))))*Salcycl</f>
        <v>3.5715743200454467E-2</v>
      </c>
      <c r="P229" s="169">
        <f>(INDEX(Models!$BJ229:$BT229,,T229)*(1-R229)+INDEX(Models!$BJ229:$BT229,,T229+1)*R229-ERP_i)*Q229*Ramure*Pc/MaxiM</f>
        <v>2.5567761480786092E-4</v>
      </c>
      <c r="Q229" s="305">
        <f t="shared" si="80"/>
        <v>0.7</v>
      </c>
      <c r="R229" s="177">
        <f t="shared" si="81"/>
        <v>0.76013802330146185</v>
      </c>
      <c r="S229" s="810">
        <f t="shared" si="82"/>
        <v>0</v>
      </c>
      <c r="T229" s="176">
        <f t="shared" si="83"/>
        <v>6</v>
      </c>
      <c r="U229" s="251">
        <f t="shared" si="84"/>
        <v>0.76013802330146185</v>
      </c>
      <c r="V229" s="383">
        <f t="shared" si="85"/>
        <v>54.59843444574863</v>
      </c>
      <c r="W229" s="402">
        <f t="shared" si="86"/>
        <v>49.725017050469432</v>
      </c>
      <c r="X229" s="157">
        <f t="shared" si="87"/>
        <v>45141</v>
      </c>
      <c r="Y229" s="385">
        <f t="shared" si="88"/>
        <v>45.155208314365524</v>
      </c>
      <c r="Z229" s="385">
        <f t="shared" si="89"/>
        <v>47.117588233808597</v>
      </c>
      <c r="AA229" s="386">
        <f t="shared" si="90"/>
        <v>53.807779054420131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0.12433501137159376</v>
      </c>
      <c r="AD229" s="231">
        <f>(INDEX(Models!$BJ229:$BT229,,AH229)*(1-AF229)+INDEX(Models!$BJ229:$BT229,,AH229+1)*AF229-ERP_i)*AE229*Ramure*Pc/MaxiM</f>
        <v>2.5567761480786092E-4</v>
      </c>
      <c r="AE229" s="305">
        <f t="shared" si="92"/>
        <v>0.7</v>
      </c>
      <c r="AF229" s="177">
        <f t="shared" si="93"/>
        <v>0.76013802330146185</v>
      </c>
      <c r="AG229" s="810">
        <f t="shared" si="99"/>
        <v>0</v>
      </c>
      <c r="AH229" s="176">
        <f t="shared" si="94"/>
        <v>6</v>
      </c>
      <c r="AI229" s="225">
        <f t="shared" si="95"/>
        <v>0.76013802330146185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49.47861232773505</v>
      </c>
      <c r="C230" s="840"/>
      <c r="D230" s="393">
        <f t="shared" si="77"/>
        <v>51.630082628052989</v>
      </c>
      <c r="E230" s="385">
        <f t="shared" si="75"/>
        <v>53.551673621974992</v>
      </c>
      <c r="F230" s="385">
        <f t="shared" si="78"/>
        <v>53.563976563947257</v>
      </c>
      <c r="G230" s="110">
        <f t="shared" si="76"/>
        <v>0.9093918705834777</v>
      </c>
      <c r="H230" s="414" t="b">
        <f>Wh_hp&gt;='2022'!Maxi_hp</f>
        <v>0</v>
      </c>
      <c r="I230" s="390">
        <f>IF(H230,Wh_hp,'2022'!Maxi_hp)</f>
        <v>53.564425607951186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4.167086688234245E-2</v>
      </c>
      <c r="M230" s="844"/>
      <c r="N230" s="844"/>
      <c r="O230" s="48">
        <f>IF(t&lt;Tnet,'2022'!Resal+('2022'!Salim-'2022'!Resal)*(1-EXP(('2022'!Tnet-t)/('2022'!Tau_j))),Resal+(Salim-Resal)*(1-EXP((Tnet-t)/(Tau_j))))*Salcycl</f>
        <v>3.5882930708882148E-2</v>
      </c>
      <c r="P230" s="169">
        <f>(INDEX(Models!$BJ230:$BT230,,T230)*(1-R230)+INDEX(Models!$BJ230:$BT230,,T230+1)*R230-ERP_i)*Q230*Ramure*Pc/MaxiM</f>
        <v>2.6382467883447194E-4</v>
      </c>
      <c r="Q230" s="305">
        <f t="shared" si="80"/>
        <v>0.7</v>
      </c>
      <c r="R230" s="177">
        <f t="shared" si="81"/>
        <v>0.76157030052920316</v>
      </c>
      <c r="S230" s="810">
        <f t="shared" si="82"/>
        <v>0</v>
      </c>
      <c r="T230" s="176">
        <f t="shared" si="83"/>
        <v>6</v>
      </c>
      <c r="U230" s="251">
        <f t="shared" si="84"/>
        <v>0.76157030052920316</v>
      </c>
      <c r="V230" s="383">
        <f t="shared" si="85"/>
        <v>54.406603411125324</v>
      </c>
      <c r="W230" s="402">
        <f t="shared" si="86"/>
        <v>49.47861232773505</v>
      </c>
      <c r="X230" s="157">
        <f t="shared" si="87"/>
        <v>45142</v>
      </c>
      <c r="Y230" s="385">
        <f t="shared" si="88"/>
        <v>44.935728483154008</v>
      </c>
      <c r="Z230" s="385">
        <f t="shared" si="89"/>
        <v>46.889661318098618</v>
      </c>
      <c r="AA230" s="386">
        <f t="shared" si="90"/>
        <v>53.551673621974992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0.12440343790007356</v>
      </c>
      <c r="AD230" s="231">
        <f>(INDEX(Models!$BJ230:$BT230,,AH230)*(1-AF230)+INDEX(Models!$BJ230:$BT230,,AH230+1)*AF230-ERP_i)*AE230*Ramure*Pc/MaxiM</f>
        <v>2.6382467883447194E-4</v>
      </c>
      <c r="AE230" s="305">
        <f t="shared" si="92"/>
        <v>0.7</v>
      </c>
      <c r="AF230" s="177">
        <f t="shared" si="93"/>
        <v>0.76157030052920316</v>
      </c>
      <c r="AG230" s="810">
        <f t="shared" si="99"/>
        <v>0</v>
      </c>
      <c r="AH230" s="176">
        <f t="shared" si="94"/>
        <v>6</v>
      </c>
      <c r="AI230" s="225">
        <f t="shared" si="95"/>
        <v>0.76157030052920316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47.342363514662281</v>
      </c>
      <c r="C231" s="840"/>
      <c r="D231" s="393">
        <f t="shared" si="77"/>
        <v>49.402093320741038</v>
      </c>
      <c r="E231" s="385">
        <f t="shared" si="75"/>
        <v>51.249634426165585</v>
      </c>
      <c r="F231" s="385">
        <f t="shared" si="78"/>
        <v>51.261074863404623</v>
      </c>
      <c r="G231" s="110">
        <f t="shared" si="76"/>
        <v>0.87324205533311983</v>
      </c>
      <c r="H231" s="414" t="b">
        <f>Wh_hp&gt;='2022'!Maxi_hp</f>
        <v>0</v>
      </c>
      <c r="I231" s="390">
        <f>IF(H231,Wh_hp,'2022'!Maxi_hp)</f>
        <v>59.003544823424903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4.1693168601298902E-2</v>
      </c>
      <c r="M231" s="844"/>
      <c r="N231" s="844"/>
      <c r="O231" s="48">
        <f>IF(t&lt;Tnet,'2022'!Resal+('2022'!Salim-'2022'!Resal)*(1-EXP(('2022'!Tnet-t)/('2022'!Tau_j))),Resal+(Salim-Resal)*(1-EXP((Tnet-t)/(Tau_j))))*Salcycl</f>
        <v>3.6049839693710645E-2</v>
      </c>
      <c r="P231" s="169">
        <f>(INDEX(Models!$BJ231:$BT231,,T231)*(1-R231)+INDEX(Models!$BJ231:$BT231,,T231+1)*R231-ERP_i)*Q231*Ramure*Pc/MaxiM</f>
        <v>2.7250988894006949E-4</v>
      </c>
      <c r="Q231" s="305">
        <f t="shared" si="80"/>
        <v>0.7</v>
      </c>
      <c r="R231" s="177">
        <f t="shared" si="81"/>
        <v>0.76295562690811702</v>
      </c>
      <c r="S231" s="810">
        <f t="shared" si="82"/>
        <v>0</v>
      </c>
      <c r="T231" s="176">
        <f t="shared" si="83"/>
        <v>6</v>
      </c>
      <c r="U231" s="251">
        <f t="shared" si="84"/>
        <v>0.76295562690811702</v>
      </c>
      <c r="V231" s="383">
        <f t="shared" si="85"/>
        <v>54.21180450706909</v>
      </c>
      <c r="W231" s="402">
        <f t="shared" si="86"/>
        <v>47.342363514662281</v>
      </c>
      <c r="X231" s="157">
        <f t="shared" si="87"/>
        <v>45143</v>
      </c>
      <c r="Y231" s="385">
        <f t="shared" si="88"/>
        <v>42.999722588785275</v>
      </c>
      <c r="Z231" s="385">
        <f t="shared" si="89"/>
        <v>44.870516602730291</v>
      </c>
      <c r="AA231" s="386">
        <f t="shared" si="90"/>
        <v>51.249634426165585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0.12447147955027017</v>
      </c>
      <c r="AD231" s="231">
        <f>(INDEX(Models!$BJ231:$BT231,,AH231)*(1-AF231)+INDEX(Models!$BJ231:$BT231,,AH231+1)*AF231-ERP_i)*AE231*Ramure*Pc/MaxiM</f>
        <v>2.7250988894006949E-4</v>
      </c>
      <c r="AE231" s="305">
        <f t="shared" si="92"/>
        <v>0.7</v>
      </c>
      <c r="AF231" s="177">
        <f t="shared" si="93"/>
        <v>0.76295562690811702</v>
      </c>
      <c r="AG231" s="810">
        <f t="shared" si="99"/>
        <v>0</v>
      </c>
      <c r="AH231" s="176">
        <f t="shared" si="94"/>
        <v>6</v>
      </c>
      <c r="AI231" s="225">
        <f t="shared" si="95"/>
        <v>0.76295562690811702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49.592591396083876</v>
      </c>
      <c r="C232" s="840"/>
      <c r="D232" s="393">
        <f t="shared" si="77"/>
        <v>51.751426463911386</v>
      </c>
      <c r="E232" s="385">
        <f t="shared" si="75"/>
        <v>53.696110128305769</v>
      </c>
      <c r="F232" s="385">
        <f t="shared" si="78"/>
        <v>53.709472677392036</v>
      </c>
      <c r="G232" s="110">
        <f t="shared" si="76"/>
        <v>0.91811064405213694</v>
      </c>
      <c r="H232" s="414" t="b">
        <f>Wh_hp&gt;='2022'!Maxi_hp</f>
        <v>0</v>
      </c>
      <c r="I232" s="390">
        <f>IF(H232,Wh_hp,'2022'!Maxi_hp)</f>
        <v>58.033046610049119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4.1715469801261729E-2</v>
      </c>
      <c r="M232" s="844"/>
      <c r="N232" s="844"/>
      <c r="O232" s="48">
        <f>IF(t&lt;Tnet,'2022'!Resal+('2022'!Salim-'2022'!Resal)*(1-EXP(('2022'!Tnet-t)/('2022'!Tau_j))),Resal+(Salim-Resal)*(1-EXP((Tnet-t)/(Tau_j))))*Salcycl</f>
        <v>3.6216471914773757E-2</v>
      </c>
      <c r="P232" s="169">
        <f>(INDEX(Models!$BJ232:$BT232,,T232)*(1-R232)+INDEX(Models!$BJ232:$BT232,,T232+1)*R232-ERP_i)*Q232*Ramure*Pc/MaxiM</f>
        <v>2.8174030718094886E-4</v>
      </c>
      <c r="Q232" s="305">
        <f t="shared" si="80"/>
        <v>0.7</v>
      </c>
      <c r="R232" s="177">
        <f t="shared" si="81"/>
        <v>0.76429516075574233</v>
      </c>
      <c r="S232" s="810">
        <f t="shared" si="82"/>
        <v>0</v>
      </c>
      <c r="T232" s="176">
        <f t="shared" si="83"/>
        <v>6</v>
      </c>
      <c r="U232" s="251">
        <f t="shared" si="84"/>
        <v>0.76429516075574233</v>
      </c>
      <c r="V232" s="383">
        <f t="shared" si="85"/>
        <v>54.014140208497814</v>
      </c>
      <c r="W232" s="402">
        <f t="shared" si="86"/>
        <v>49.592591396083876</v>
      </c>
      <c r="X232" s="157">
        <f t="shared" si="87"/>
        <v>45144</v>
      </c>
      <c r="Y232" s="385">
        <f t="shared" si="88"/>
        <v>45.047846511240671</v>
      </c>
      <c r="Z232" s="385">
        <f t="shared" si="89"/>
        <v>47.008842459241428</v>
      </c>
      <c r="AA232" s="386">
        <f t="shared" si="90"/>
        <v>53.696110128305769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0.12453914544433943</v>
      </c>
      <c r="AD232" s="231">
        <f>(INDEX(Models!$BJ232:$BT232,,AH232)*(1-AF232)+INDEX(Models!$BJ232:$BT232,,AH232+1)*AF232-ERP_i)*AE232*Ramure*Pc/MaxiM</f>
        <v>2.8174030718094886E-4</v>
      </c>
      <c r="AE232" s="305">
        <f t="shared" si="92"/>
        <v>0.7</v>
      </c>
      <c r="AF232" s="177">
        <f t="shared" si="93"/>
        <v>0.76429516075574233</v>
      </c>
      <c r="AG232" s="810">
        <f t="shared" si="99"/>
        <v>0</v>
      </c>
      <c r="AH232" s="176">
        <f t="shared" si="94"/>
        <v>6</v>
      </c>
      <c r="AI232" s="225">
        <f t="shared" si="95"/>
        <v>0.76429516075574233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52.552452600878787</v>
      </c>
      <c r="C233" s="840"/>
      <c r="D233" s="393">
        <f t="shared" si="77"/>
        <v>54.841410818545647</v>
      </c>
      <c r="E233" s="385">
        <f t="shared" ref="E233:E296" si="100">Wh_pvt/(1-Psa)</f>
        <v>56.912031496860372</v>
      </c>
      <c r="F233" s="385">
        <f t="shared" si="78"/>
        <v>56.928071543513546</v>
      </c>
      <c r="G233" s="110">
        <f t="shared" ref="G233:G296" si="101">+Wh_hp/MaxiM</f>
        <v>0.97654957817702637</v>
      </c>
      <c r="H233" s="414" t="b">
        <f>Wh_hp&gt;='2022'!Maxi_hp</f>
        <v>0</v>
      </c>
      <c r="I233" s="390">
        <f>IF(H233,Wh_hp,'2022'!Maxi_hp)</f>
        <v>56.928210437267175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4.1737770482243031E-2</v>
      </c>
      <c r="M233" s="844"/>
      <c r="N233" s="844"/>
      <c r="O233" s="48">
        <f>IF(t&lt;Tnet,'2022'!Resal+('2022'!Salim-'2022'!Resal)*(1-EXP(('2022'!Tnet-t)/('2022'!Tau_j))),Resal+(Salim-Resal)*(1-EXP((Tnet-t)/(Tau_j))))*Salcycl</f>
        <v>3.6382828443383808E-2</v>
      </c>
      <c r="P233" s="169">
        <f>(INDEX(Models!$BJ233:$BT233,,T233)*(1-R233)+INDEX(Models!$BJ233:$BT233,,T233+1)*R233-ERP_i)*Q233*Ramure*Pc/MaxiM</f>
        <v>2.9152207460468409E-4</v>
      </c>
      <c r="Q233" s="305">
        <f t="shared" si="80"/>
        <v>0.7</v>
      </c>
      <c r="R233" s="177">
        <f t="shared" si="81"/>
        <v>0.76559005985939321</v>
      </c>
      <c r="S233" s="810">
        <f t="shared" si="82"/>
        <v>0</v>
      </c>
      <c r="T233" s="176">
        <f t="shared" si="83"/>
        <v>6</v>
      </c>
      <c r="U233" s="251">
        <f t="shared" si="84"/>
        <v>0.76559005985939321</v>
      </c>
      <c r="V233" s="383">
        <f t="shared" si="85"/>
        <v>53.813898037990562</v>
      </c>
      <c r="W233" s="402">
        <f t="shared" si="86"/>
        <v>52.552452600878787</v>
      </c>
      <c r="X233" s="157">
        <f t="shared" si="87"/>
        <v>45145</v>
      </c>
      <c r="Y233" s="385">
        <f t="shared" si="88"/>
        <v>47.741032239890956</v>
      </c>
      <c r="Z233" s="385">
        <f t="shared" si="89"/>
        <v>49.820425734526246</v>
      </c>
      <c r="AA233" s="386">
        <f t="shared" si="90"/>
        <v>56.912031496860372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0.12460644218481902</v>
      </c>
      <c r="AD233" s="231">
        <f>(INDEX(Models!$BJ233:$BT233,,AH233)*(1-AF233)+INDEX(Models!$BJ233:$BT233,,AH233+1)*AF233-ERP_i)*AE233*Ramure*Pc/MaxiM</f>
        <v>2.9152207460468409E-4</v>
      </c>
      <c r="AE233" s="305">
        <f t="shared" si="92"/>
        <v>0.7</v>
      </c>
      <c r="AF233" s="177">
        <f t="shared" si="93"/>
        <v>0.76559005985939321</v>
      </c>
      <c r="AG233" s="810">
        <f t="shared" si="99"/>
        <v>0</v>
      </c>
      <c r="AH233" s="176">
        <f t="shared" si="94"/>
        <v>6</v>
      </c>
      <c r="AI233" s="225">
        <f t="shared" si="95"/>
        <v>0.76559005985939321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52.856710373948857</v>
      </c>
      <c r="C234" s="840"/>
      <c r="D234" s="393">
        <f t="shared" si="77"/>
        <v>55.160204406725242</v>
      </c>
      <c r="E234" s="385">
        <f t="shared" si="100"/>
        <v>57.252729236741018</v>
      </c>
      <c r="F234" s="385">
        <f t="shared" si="78"/>
        <v>57.269708821294273</v>
      </c>
      <c r="G234" s="110">
        <f t="shared" si="101"/>
        <v>0.98592200992080237</v>
      </c>
      <c r="H234" s="414" t="b">
        <f>Wh_hp&gt;='2022'!Maxi_hp</f>
        <v>0</v>
      </c>
      <c r="I234" s="390">
        <f>IF(H234,Wh_hp,'2022'!Maxi_hp)</f>
        <v>57.269796399460986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4.176007064425491E-2</v>
      </c>
      <c r="M234" s="844"/>
      <c r="N234" s="844"/>
      <c r="O234" s="48">
        <f>IF(t&lt;Tnet,'2022'!Resal+('2022'!Salim-'2022'!Resal)*(1-EXP(('2022'!Tnet-t)/('2022'!Tau_j))),Resal+(Salim-Resal)*(1-EXP((Tnet-t)/(Tau_j))))*Salcycl</f>
        <v>3.6548909683644076E-2</v>
      </c>
      <c r="P234" s="169">
        <f>(INDEX(Models!$BJ234:$BT234,,T234)*(1-R234)+INDEX(Models!$BJ234:$BT234,,T234+1)*R234-ERP_i)*Q234*Ramure*Pc/MaxiM</f>
        <v>3.0256702018651588E-4</v>
      </c>
      <c r="Q234" s="305">
        <f t="shared" si="80"/>
        <v>0.7</v>
      </c>
      <c r="R234" s="177">
        <f t="shared" si="81"/>
        <v>0.76684147900573041</v>
      </c>
      <c r="S234" s="810">
        <f t="shared" si="82"/>
        <v>0</v>
      </c>
      <c r="T234" s="176">
        <f t="shared" si="83"/>
        <v>6</v>
      </c>
      <c r="U234" s="251">
        <f t="shared" si="84"/>
        <v>0.76684147900573041</v>
      </c>
      <c r="V234" s="383">
        <f t="shared" si="85"/>
        <v>53.61112567527779</v>
      </c>
      <c r="W234" s="402">
        <f t="shared" si="86"/>
        <v>52.856710373948857</v>
      </c>
      <c r="X234" s="157">
        <f t="shared" si="87"/>
        <v>45146</v>
      </c>
      <c r="Y234" s="385">
        <f t="shared" si="88"/>
        <v>48.022039125016938</v>
      </c>
      <c r="Z234" s="385">
        <f t="shared" si="89"/>
        <v>50.114838313306009</v>
      </c>
      <c r="AA234" s="386">
        <f t="shared" si="90"/>
        <v>57.252729236741018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0.12467337397872701</v>
      </c>
      <c r="AD234" s="231">
        <f>(INDEX(Models!$BJ234:$BT234,,AH234)*(1-AF234)+INDEX(Models!$BJ234:$BT234,,AH234+1)*AF234-ERP_i)*AE234*Ramure*Pc/MaxiM</f>
        <v>3.0256702018651588E-4</v>
      </c>
      <c r="AE234" s="305">
        <f t="shared" si="92"/>
        <v>0.7</v>
      </c>
      <c r="AF234" s="177">
        <f t="shared" si="93"/>
        <v>0.76684147900573041</v>
      </c>
      <c r="AG234" s="810">
        <f t="shared" si="99"/>
        <v>0</v>
      </c>
      <c r="AH234" s="176">
        <f t="shared" si="94"/>
        <v>6</v>
      </c>
      <c r="AI234" s="225">
        <f t="shared" si="95"/>
        <v>0.76684147900573041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50.514290001968618</v>
      </c>
      <c r="C235" s="840"/>
      <c r="D235" s="393">
        <f t="shared" si="77"/>
        <v>52.716928217146965</v>
      </c>
      <c r="E235" s="385">
        <f t="shared" si="100"/>
        <v>54.726184506044518</v>
      </c>
      <c r="F235" s="385">
        <f t="shared" si="78"/>
        <v>54.742084996798646</v>
      </c>
      <c r="G235" s="110">
        <f t="shared" si="101"/>
        <v>0.94583778023880904</v>
      </c>
      <c r="H235" s="414" t="b">
        <f>Wh_hp&gt;='2022'!Maxi_hp</f>
        <v>0</v>
      </c>
      <c r="I235" s="390">
        <f>IF(H235,Wh_hp,'2022'!Maxi_hp)</f>
        <v>54.742421949273385</v>
      </c>
      <c r="J235" s="85">
        <f>IF(H235,An,'2022'!An_max)</f>
        <v>2022</v>
      </c>
      <c r="K235" s="197">
        <f t="shared" si="79"/>
        <v>45147</v>
      </c>
      <c r="L235" s="147">
        <f>IF(t&lt;Tvie,1-EXP((T0-t)*PertePVj)+'2022'!Pspv,1-EXP((T0-t)*PertePVj)+Pspv)</f>
        <v>4.1782370287309467E-2</v>
      </c>
      <c r="M235" s="844"/>
      <c r="N235" s="844"/>
      <c r="O235" s="48">
        <f>IF(t&lt;Tnet,'2022'!Resal+('2022'!Salim-'2022'!Resal)*(1-EXP(('2022'!Tnet-t)/('2022'!Tau_j))),Resal+(Salim-Resal)*(1-EXP((Tnet-t)/(Tau_j))))*Salcycl</f>
        <v>3.671471539689794E-2</v>
      </c>
      <c r="P235" s="169">
        <f>(INDEX(Models!$BJ235:$BT235,,T235)*(1-R235)+INDEX(Models!$BJ235:$BT235,,T235+1)*R235-ERP_i)*Q235*Ramure*Pc/MaxiM</f>
        <v>3.1480983853002443E-4</v>
      </c>
      <c r="Q235" s="305">
        <f t="shared" si="80"/>
        <v>0.7</v>
      </c>
      <c r="R235" s="177">
        <f t="shared" si="81"/>
        <v>0.76805056770063307</v>
      </c>
      <c r="S235" s="810">
        <f t="shared" si="82"/>
        <v>0</v>
      </c>
      <c r="T235" s="176">
        <f t="shared" si="83"/>
        <v>6</v>
      </c>
      <c r="U235" s="251">
        <f t="shared" si="84"/>
        <v>0.76805056770063307</v>
      </c>
      <c r="V235" s="383">
        <f t="shared" si="85"/>
        <v>53.405627034392722</v>
      </c>
      <c r="W235" s="402">
        <f t="shared" si="86"/>
        <v>50.514290001968618</v>
      </c>
      <c r="X235" s="157">
        <f t="shared" si="87"/>
        <v>45147</v>
      </c>
      <c r="Y235" s="385">
        <f t="shared" si="88"/>
        <v>45.898282746344258</v>
      </c>
      <c r="Z235" s="385">
        <f t="shared" si="89"/>
        <v>47.899643382794238</v>
      </c>
      <c r="AA235" s="386">
        <f t="shared" si="90"/>
        <v>54.726184506044518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0.12473994276901011</v>
      </c>
      <c r="AD235" s="231">
        <f>(INDEX(Models!$BJ235:$BT235,,AH235)*(1-AF235)+INDEX(Models!$BJ235:$BT235,,AH235+1)*AF235-ERP_i)*AE235*Ramure*Pc/MaxiM</f>
        <v>3.1480983853002443E-4</v>
      </c>
      <c r="AE235" s="305">
        <f t="shared" si="92"/>
        <v>0.7</v>
      </c>
      <c r="AF235" s="177">
        <f t="shared" si="93"/>
        <v>0.76805056770063307</v>
      </c>
      <c r="AG235" s="810">
        <f t="shared" si="99"/>
        <v>0</v>
      </c>
      <c r="AH235" s="176">
        <f t="shared" si="94"/>
        <v>6</v>
      </c>
      <c r="AI235" s="225">
        <f t="shared" si="95"/>
        <v>0.76805056770063307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47.279112501577053</v>
      </c>
      <c r="C236" s="840"/>
      <c r="D236" s="393">
        <f t="shared" si="77"/>
        <v>49.341831453650869</v>
      </c>
      <c r="E236" s="385">
        <f t="shared" si="100"/>
        <v>51.231252586812872</v>
      </c>
      <c r="F236" s="385">
        <f t="shared" si="78"/>
        <v>51.245401301833816</v>
      </c>
      <c r="G236" s="110">
        <f t="shared" si="101"/>
        <v>0.88870548914146941</v>
      </c>
      <c r="H236" s="414" t="b">
        <f>Wh_hp&gt;='2022'!Maxi_hp</f>
        <v>0</v>
      </c>
      <c r="I236" s="390">
        <f>IF(H236,Wh_hp,'2022'!Maxi_hp)</f>
        <v>51.246080606802998</v>
      </c>
      <c r="J236" s="85">
        <f>IF(H236,An,'2022'!An_max)</f>
        <v>2022</v>
      </c>
      <c r="K236" s="197">
        <f t="shared" si="79"/>
        <v>45148</v>
      </c>
      <c r="L236" s="147">
        <f>IF(t&lt;Tvie,1-EXP((T0-t)*PertePVj)+'2022'!Pspv,1-EXP((T0-t)*PertePVj)+Pspv)</f>
        <v>4.1804669411418693E-2</v>
      </c>
      <c r="M236" s="844"/>
      <c r="N236" s="844"/>
      <c r="O236" s="48">
        <f>IF(t&lt;Tnet,'2022'!Resal+('2022'!Salim-'2022'!Resal)*(1-EXP(('2022'!Tnet-t)/('2022'!Tau_j))),Resal+(Salim-Resal)*(1-EXP((Tnet-t)/(Tau_j))))*Salcycl</f>
        <v>3.6880244728748825E-2</v>
      </c>
      <c r="P236" s="169">
        <f>(INDEX(Models!$BJ236:$BT236,,T236)*(1-R236)+INDEX(Models!$BJ236:$BT236,,T236+1)*R236-ERP_i)*Q236*Ramure*Pc/MaxiM</f>
        <v>3.2826746585646346E-4</v>
      </c>
      <c r="Q236" s="305">
        <f t="shared" si="80"/>
        <v>0.7</v>
      </c>
      <c r="R236" s="177">
        <f t="shared" si="81"/>
        <v>0.7692184680733507</v>
      </c>
      <c r="S236" s="810">
        <f t="shared" si="82"/>
        <v>0</v>
      </c>
      <c r="T236" s="176">
        <f t="shared" si="83"/>
        <v>6</v>
      </c>
      <c r="U236" s="251">
        <f t="shared" si="84"/>
        <v>0.7692184680733507</v>
      </c>
      <c r="V236" s="383">
        <f t="shared" si="85"/>
        <v>53.197201814451837</v>
      </c>
      <c r="W236" s="402">
        <f t="shared" si="86"/>
        <v>47.279112501577053</v>
      </c>
      <c r="X236" s="157">
        <f t="shared" si="87"/>
        <v>45148</v>
      </c>
      <c r="Y236" s="385">
        <f t="shared" si="88"/>
        <v>42.962869721419608</v>
      </c>
      <c r="Z236" s="385">
        <f t="shared" si="89"/>
        <v>44.83727727521822</v>
      </c>
      <c r="AA236" s="386">
        <f t="shared" si="90"/>
        <v>51.231252586812872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0.124806148371248</v>
      </c>
      <c r="AD236" s="231">
        <f>(INDEX(Models!$BJ236:$BT236,,AH236)*(1-AF236)+INDEX(Models!$BJ236:$BT236,,AH236+1)*AF236-ERP_i)*AE236*Ramure*Pc/MaxiM</f>
        <v>3.2826746585646346E-4</v>
      </c>
      <c r="AE236" s="305">
        <f t="shared" si="92"/>
        <v>0.7</v>
      </c>
      <c r="AF236" s="177">
        <f t="shared" si="93"/>
        <v>0.7692184680733507</v>
      </c>
      <c r="AG236" s="810">
        <f t="shared" si="99"/>
        <v>0</v>
      </c>
      <c r="AH236" s="176">
        <f t="shared" si="94"/>
        <v>6</v>
      </c>
      <c r="AI236" s="225">
        <f t="shared" si="95"/>
        <v>0.7692184680733507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45.809216786828642</v>
      </c>
      <c r="C237" s="840"/>
      <c r="D237" s="393">
        <f t="shared" si="77"/>
        <v>47.808918908940889</v>
      </c>
      <c r="E237" s="385">
        <f t="shared" si="100"/>
        <v>49.648159619346323</v>
      </c>
      <c r="F237" s="385">
        <f t="shared" si="78"/>
        <v>49.661896078719046</v>
      </c>
      <c r="G237" s="110">
        <f t="shared" si="101"/>
        <v>0.86450154372708243</v>
      </c>
      <c r="H237" s="414" t="b">
        <f>Wh_hp&gt;='2022'!Maxi_hp</f>
        <v>0</v>
      </c>
      <c r="I237" s="390">
        <f>IF(H237,Wh_hp,'2022'!Maxi_hp)</f>
        <v>49.662737318224281</v>
      </c>
      <c r="J237" s="85">
        <f>IF(H237,An,'2022'!An_max)</f>
        <v>2022</v>
      </c>
      <c r="K237" s="197">
        <f t="shared" si="79"/>
        <v>45149</v>
      </c>
      <c r="L237" s="147">
        <f>IF(t&lt;Tvie,1-EXP((T0-t)*PertePVj)+'2022'!Pspv,1-EXP((T0-t)*PertePVj)+Pspv)</f>
        <v>4.1826968016594801E-2</v>
      </c>
      <c r="M237" s="844"/>
      <c r="N237" s="844"/>
      <c r="O237" s="48">
        <f>IF(t&lt;Tnet,'2022'!Resal+('2022'!Salim-'2022'!Resal)*(1-EXP(('2022'!Tnet-t)/('2022'!Tau_j))),Resal+(Salim-Resal)*(1-EXP((Tnet-t)/(Tau_j))))*Salcycl</f>
        <v>3.7045496238066723E-2</v>
      </c>
      <c r="P237" s="169">
        <f>(INDEX(Models!$BJ237:$BT237,,T237)*(1-R237)+INDEX(Models!$BJ237:$BT237,,T237+1)*R237-ERP_i)*Q237*Ramure*Pc/MaxiM</f>
        <v>3.4295747100101365E-4</v>
      </c>
      <c r="Q237" s="305">
        <f t="shared" si="80"/>
        <v>0.7</v>
      </c>
      <c r="R237" s="177">
        <f t="shared" si="81"/>
        <v>0.77034631295842471</v>
      </c>
      <c r="S237" s="810">
        <f t="shared" si="82"/>
        <v>0</v>
      </c>
      <c r="T237" s="176">
        <f t="shared" si="83"/>
        <v>6</v>
      </c>
      <c r="U237" s="251">
        <f t="shared" si="84"/>
        <v>0.77034631295842471</v>
      </c>
      <c r="V237" s="383">
        <f t="shared" si="85"/>
        <v>52.985649909986563</v>
      </c>
      <c r="W237" s="402">
        <f t="shared" si="86"/>
        <v>45.809216786828642</v>
      </c>
      <c r="X237" s="157">
        <f t="shared" si="87"/>
        <v>45149</v>
      </c>
      <c r="Y237" s="385">
        <f t="shared" si="88"/>
        <v>41.631176377716237</v>
      </c>
      <c r="Z237" s="385">
        <f t="shared" si="89"/>
        <v>43.448495196676809</v>
      </c>
      <c r="AA237" s="386">
        <f t="shared" si="90"/>
        <v>49.648159619346323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0.12487198861352559</v>
      </c>
      <c r="AD237" s="231">
        <f>(INDEX(Models!$BJ237:$BT237,,AH237)*(1-AF237)+INDEX(Models!$BJ237:$BT237,,AH237+1)*AF237-ERP_i)*AE237*Ramure*Pc/MaxiM</f>
        <v>3.4295747100101365E-4</v>
      </c>
      <c r="AE237" s="305">
        <f t="shared" si="92"/>
        <v>0.7</v>
      </c>
      <c r="AF237" s="177">
        <f t="shared" si="93"/>
        <v>0.77034631295842471</v>
      </c>
      <c r="AG237" s="810">
        <f t="shared" si="99"/>
        <v>0</v>
      </c>
      <c r="AH237" s="176">
        <f t="shared" si="94"/>
        <v>6</v>
      </c>
      <c r="AI237" s="225">
        <f t="shared" si="95"/>
        <v>0.77034631295842471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46.994025868673461</v>
      </c>
      <c r="C238" s="840"/>
      <c r="D238" s="393">
        <f t="shared" si="77"/>
        <v>49.046589650389905</v>
      </c>
      <c r="E238" s="385">
        <f t="shared" si="100"/>
        <v>50.942171696452213</v>
      </c>
      <c r="F238" s="385">
        <f t="shared" si="78"/>
        <v>50.9576002448471</v>
      </c>
      <c r="G238" s="110">
        <f t="shared" si="101"/>
        <v>0.89048134480251284</v>
      </c>
      <c r="H238" s="414" t="b">
        <f>Wh_hp&gt;='2022'!Maxi_hp</f>
        <v>0</v>
      </c>
      <c r="I238" s="390">
        <f>IF(H238,Wh_hp,'2022'!Maxi_hp)</f>
        <v>50.958333427693667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4.184926610284978E-2</v>
      </c>
      <c r="M238" s="844"/>
      <c r="N238" s="844"/>
      <c r="O238" s="48">
        <f>IF(t&lt;Tnet,'2022'!Resal+('2022'!Salim-'2022'!Resal)*(1-EXP(('2022'!Tnet-t)/('2022'!Tau_j))),Resal+(Salim-Resal)*(1-EXP((Tnet-t)/(Tau_j))))*Salcycl</f>
        <v>3.7210467927387671E-2</v>
      </c>
      <c r="P238" s="169">
        <f>(INDEX(Models!$BJ238:$BT238,,T238)*(1-R238)+INDEX(Models!$BJ238:$BT238,,T238+1)*R238-ERP_i)*Q238*Ramure*Pc/MaxiM</f>
        <v>3.588981232898464E-4</v>
      </c>
      <c r="Q238" s="305">
        <f t="shared" si="80"/>
        <v>0.7</v>
      </c>
      <c r="R238" s="177">
        <f t="shared" si="81"/>
        <v>0.77143522414847765</v>
      </c>
      <c r="S238" s="810">
        <f t="shared" si="82"/>
        <v>0</v>
      </c>
      <c r="T238" s="176">
        <f t="shared" si="83"/>
        <v>6</v>
      </c>
      <c r="U238" s="251">
        <f t="shared" si="84"/>
        <v>0.77143522414847765</v>
      </c>
      <c r="V238" s="383">
        <f t="shared" si="85"/>
        <v>52.770771408527764</v>
      </c>
      <c r="W238" s="402">
        <f t="shared" si="86"/>
        <v>46.994025868673461</v>
      </c>
      <c r="X238" s="157">
        <f t="shared" si="87"/>
        <v>45150</v>
      </c>
      <c r="Y238" s="385">
        <f t="shared" si="88"/>
        <v>42.712046917979777</v>
      </c>
      <c r="Z238" s="385">
        <f t="shared" si="89"/>
        <v>44.577586184434914</v>
      </c>
      <c r="AA238" s="386">
        <f t="shared" si="90"/>
        <v>50.942171696452213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0.12493745947742058</v>
      </c>
      <c r="AD238" s="231">
        <f>(INDEX(Models!$BJ238:$BT238,,AH238)*(1-AF238)+INDEX(Models!$BJ238:$BT238,,AH238+1)*AF238-ERP_i)*AE238*Ramure*Pc/MaxiM</f>
        <v>3.588981232898464E-4</v>
      </c>
      <c r="AE238" s="305">
        <f t="shared" si="92"/>
        <v>0.7</v>
      </c>
      <c r="AF238" s="177">
        <f t="shared" si="93"/>
        <v>0.77143522414847765</v>
      </c>
      <c r="AG238" s="810">
        <f t="shared" si="99"/>
        <v>0</v>
      </c>
      <c r="AH238" s="176">
        <f t="shared" si="94"/>
        <v>6</v>
      </c>
      <c r="AI238" s="225">
        <f t="shared" si="95"/>
        <v>0.77143522414847765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34.334061772962166</v>
      </c>
      <c r="C239" s="840"/>
      <c r="D239" s="393">
        <f t="shared" si="77"/>
        <v>35.834508684954415</v>
      </c>
      <c r="E239" s="385">
        <f t="shared" si="100"/>
        <v>37.225829933373518</v>
      </c>
      <c r="F239" s="385">
        <f t="shared" si="78"/>
        <v>37.232898363799848</v>
      </c>
      <c r="G239" s="110">
        <f t="shared" si="101"/>
        <v>0.65320874322882783</v>
      </c>
      <c r="H239" s="414" t="b">
        <f>Wh_hp&gt;='2022'!Maxi_hp</f>
        <v>0</v>
      </c>
      <c r="I239" s="390">
        <f>IF(H239,Wh_hp,'2022'!Maxi_hp)</f>
        <v>49.519418885775274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4.1871563670195622E-2</v>
      </c>
      <c r="M239" s="844"/>
      <c r="N239" s="844"/>
      <c r="O239" s="48">
        <f>IF(t&lt;Tnet,'2022'!Resal+('2022'!Salim-'2022'!Resal)*(1-EXP(('2022'!Tnet-t)/('2022'!Tau_j))),Resal+(Salim-Resal)*(1-EXP((Tnet-t)/(Tau_j))))*Salcycl</f>
        <v>3.7375157274109866E-2</v>
      </c>
      <c r="P239" s="169">
        <f>(INDEX(Models!$BJ239:$BT239,,T239)*(1-R239)+INDEX(Models!$BJ239:$BT239,,T239+1)*R239-ERP_i)*Q239*Ramure*Pc/MaxiM</f>
        <v>3.7610846274428961E-4</v>
      </c>
      <c r="Q239" s="305">
        <f t="shared" si="80"/>
        <v>0.7</v>
      </c>
      <c r="R239" s="177">
        <f t="shared" si="81"/>
        <v>0.77248631081067254</v>
      </c>
      <c r="S239" s="810">
        <f t="shared" si="82"/>
        <v>0</v>
      </c>
      <c r="T239" s="176">
        <f t="shared" si="83"/>
        <v>6</v>
      </c>
      <c r="U239" s="251">
        <f t="shared" si="84"/>
        <v>0.77248631081067254</v>
      </c>
      <c r="V239" s="383">
        <f t="shared" si="85"/>
        <v>52.552366587109674</v>
      </c>
      <c r="W239" s="402">
        <f t="shared" si="86"/>
        <v>34.334061772962166</v>
      </c>
      <c r="X239" s="157">
        <f t="shared" si="87"/>
        <v>45151</v>
      </c>
      <c r="Y239" s="385">
        <f t="shared" si="88"/>
        <v>31.208644308999418</v>
      </c>
      <c r="Z239" s="385">
        <f t="shared" si="89"/>
        <v>32.572506070842536</v>
      </c>
      <c r="AA239" s="386">
        <f t="shared" si="90"/>
        <v>37.225829933373518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0.12500255523810924</v>
      </c>
      <c r="AD239" s="231">
        <f>(INDEX(Models!$BJ239:$BT239,,AH239)*(1-AF239)+INDEX(Models!$BJ239:$BT239,,AH239+1)*AF239-ERP_i)*AE239*Ramure*Pc/MaxiM</f>
        <v>3.7610846274428961E-4</v>
      </c>
      <c r="AE239" s="305">
        <f t="shared" si="92"/>
        <v>0.7</v>
      </c>
      <c r="AF239" s="177">
        <f t="shared" si="93"/>
        <v>0.77248631081067254</v>
      </c>
      <c r="AG239" s="810">
        <f t="shared" si="99"/>
        <v>0</v>
      </c>
      <c r="AH239" s="176">
        <f t="shared" si="94"/>
        <v>6</v>
      </c>
      <c r="AI239" s="225">
        <f t="shared" si="95"/>
        <v>0.77248631081067254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33.653797593155453</v>
      </c>
      <c r="C240" s="840"/>
      <c r="D240" s="393">
        <f t="shared" si="77"/>
        <v>35.125333419111669</v>
      </c>
      <c r="E240" s="385">
        <f t="shared" si="100"/>
        <v>36.495352957223893</v>
      </c>
      <c r="F240" s="385">
        <f t="shared" si="78"/>
        <v>36.502429307413379</v>
      </c>
      <c r="G240" s="110">
        <f t="shared" si="101"/>
        <v>0.64297513171609755</v>
      </c>
      <c r="H240" s="414" t="b">
        <f>Wh_hp&gt;='2022'!Maxi_hp</f>
        <v>0</v>
      </c>
      <c r="I240" s="390">
        <f>IF(H240,Wh_hp,'2022'!Maxi_hp)</f>
        <v>56.438545472421865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4.1893860718644649E-2</v>
      </c>
      <c r="M240" s="844"/>
      <c r="N240" s="844"/>
      <c r="O240" s="48">
        <f>IF(t&lt;Tnet,'2022'!Resal+('2022'!Salim-'2022'!Resal)*(1-EXP(('2022'!Tnet-t)/('2022'!Tau_j))),Resal+(Salim-Resal)*(1-EXP((Tnet-t)/(Tau_j))))*Salcycl</f>
        <v>3.753956126189608E-2</v>
      </c>
      <c r="P240" s="169">
        <f>(INDEX(Models!$BJ240:$BT240,,T240)*(1-R240)+INDEX(Models!$BJ240:$BT240,,T240+1)*R240-ERP_i)*Q240*Ramure*Pc/MaxiM</f>
        <v>3.955111614787191E-4</v>
      </c>
      <c r="Q240" s="305">
        <f t="shared" si="80"/>
        <v>0.7</v>
      </c>
      <c r="R240" s="177">
        <f t="shared" si="81"/>
        <v>0.77350066805943163</v>
      </c>
      <c r="S240" s="810">
        <f t="shared" si="82"/>
        <v>0</v>
      </c>
      <c r="T240" s="176">
        <f t="shared" si="83"/>
        <v>6</v>
      </c>
      <c r="U240" s="251">
        <f t="shared" si="84"/>
        <v>0.77350066805943163</v>
      </c>
      <c r="V240" s="383">
        <f t="shared" si="85"/>
        <v>52.330188650080167</v>
      </c>
      <c r="W240" s="402">
        <f t="shared" si="86"/>
        <v>33.653797593155453</v>
      </c>
      <c r="X240" s="157">
        <f t="shared" si="87"/>
        <v>45152</v>
      </c>
      <c r="Y240" s="385">
        <f t="shared" si="88"/>
        <v>30.593266865816755</v>
      </c>
      <c r="Z240" s="385">
        <f t="shared" si="89"/>
        <v>31.930978846209861</v>
      </c>
      <c r="AA240" s="386">
        <f t="shared" si="90"/>
        <v>36.495352957223893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0.12506726860167441</v>
      </c>
      <c r="AD240" s="231">
        <f>(INDEX(Models!$BJ240:$BT240,,AH240)*(1-AF240)+INDEX(Models!$BJ240:$BT240,,AH240+1)*AF240-ERP_i)*AE240*Ramure*Pc/MaxiM</f>
        <v>3.955111614787191E-4</v>
      </c>
      <c r="AE240" s="305">
        <f t="shared" si="92"/>
        <v>0.7</v>
      </c>
      <c r="AF240" s="177">
        <f t="shared" si="93"/>
        <v>0.77350066805943163</v>
      </c>
      <c r="AG240" s="810">
        <f t="shared" si="99"/>
        <v>0</v>
      </c>
      <c r="AH240" s="176">
        <f t="shared" si="94"/>
        <v>6</v>
      </c>
      <c r="AI240" s="225">
        <f t="shared" si="95"/>
        <v>0.77350066805943163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40.691413990924652</v>
      </c>
      <c r="C241" s="840"/>
      <c r="D241" s="393">
        <f t="shared" si="77"/>
        <v>42.471662891267954</v>
      </c>
      <c r="E241" s="385">
        <f t="shared" si="100"/>
        <v>44.13574265034692</v>
      </c>
      <c r="F241" s="385">
        <f t="shared" si="78"/>
        <v>44.14838395867379</v>
      </c>
      <c r="G241" s="110">
        <f t="shared" si="101"/>
        <v>0.780862507474263</v>
      </c>
      <c r="H241" s="414" t="b">
        <f>Wh_hp&gt;='2022'!Maxi_hp</f>
        <v>0</v>
      </c>
      <c r="I241" s="390">
        <f>IF(H241,Wh_hp,'2022'!Maxi_hp)</f>
        <v>49.907980603306648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4.1916157248208741E-2</v>
      </c>
      <c r="M241" s="844"/>
      <c r="N241" s="844"/>
      <c r="O241" s="48">
        <f>IF(t&lt;Tnet,'2022'!Resal+('2022'!Salim-'2022'!Resal)*(1-EXP(('2022'!Tnet-t)/('2022'!Tau_j))),Resal+(Salim-Resal)*(1-EXP((Tnet-t)/(Tau_j))))*Salcycl</f>
        <v>3.7703676411704856E-2</v>
      </c>
      <c r="P241" s="169">
        <f>(INDEX(Models!$BJ241:$BT241,,T241)*(1-R241)+INDEX(Models!$BJ241:$BT241,,T241+1)*R241-ERP_i)*Q241*Ramure*Pc/MaxiM</f>
        <v>4.1673727152425624E-4</v>
      </c>
      <c r="Q241" s="305">
        <f t="shared" si="80"/>
        <v>0.7</v>
      </c>
      <c r="R241" s="177">
        <f t="shared" si="81"/>
        <v>0.77447937567786385</v>
      </c>
      <c r="S241" s="810">
        <f t="shared" si="82"/>
        <v>0</v>
      </c>
      <c r="T241" s="176">
        <f t="shared" si="83"/>
        <v>6</v>
      </c>
      <c r="U241" s="251">
        <f t="shared" si="84"/>
        <v>0.77447937567786385</v>
      </c>
      <c r="V241" s="383">
        <f t="shared" si="85"/>
        <v>52.104059169647002</v>
      </c>
      <c r="W241" s="402">
        <f t="shared" si="86"/>
        <v>40.691413990924652</v>
      </c>
      <c r="X241" s="157">
        <f t="shared" si="87"/>
        <v>45153</v>
      </c>
      <c r="Y241" s="385">
        <f t="shared" si="88"/>
        <v>36.994459764798499</v>
      </c>
      <c r="Z241" s="385">
        <f t="shared" si="89"/>
        <v>38.612966959701225</v>
      </c>
      <c r="AA241" s="386">
        <f t="shared" si="90"/>
        <v>44.13574265034692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0.12513159083780104</v>
      </c>
      <c r="AD241" s="231">
        <f>(INDEX(Models!$BJ241:$BT241,,AH241)*(1-AF241)+INDEX(Models!$BJ241:$BT241,,AH241+1)*AF241-ERP_i)*AE241*Ramure*Pc/MaxiM</f>
        <v>4.1673727152425624E-4</v>
      </c>
      <c r="AE241" s="305">
        <f t="shared" si="92"/>
        <v>0.7</v>
      </c>
      <c r="AF241" s="177">
        <f t="shared" si="93"/>
        <v>0.77447937567786385</v>
      </c>
      <c r="AG241" s="810">
        <f t="shared" si="99"/>
        <v>0</v>
      </c>
      <c r="AH241" s="176">
        <f t="shared" si="94"/>
        <v>6</v>
      </c>
      <c r="AI241" s="225">
        <f t="shared" si="95"/>
        <v>0.77447937567786385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34.9852222452501</v>
      </c>
      <c r="C242" s="840"/>
      <c r="D242" s="393">
        <f t="shared" si="77"/>
        <v>36.516675117850504</v>
      </c>
      <c r="E242" s="385">
        <f t="shared" si="100"/>
        <v>37.953894159855608</v>
      </c>
      <c r="F242" s="385">
        <f t="shared" si="78"/>
        <v>37.962825183830212</v>
      </c>
      <c r="G242" s="110">
        <f t="shared" si="101"/>
        <v>0.67429180456924454</v>
      </c>
      <c r="H242" s="414" t="b">
        <f>Wh_hp&gt;='2022'!Maxi_hp</f>
        <v>0</v>
      </c>
      <c r="I242" s="390">
        <f>IF(H242,Wh_hp,'2022'!Maxi_hp)</f>
        <v>54.750781223498663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4.1938453258899888E-2</v>
      </c>
      <c r="M242" s="844"/>
      <c r="N242" s="844"/>
      <c r="O242" s="48">
        <f>IF(t&lt;Tnet,'2022'!Resal+('2022'!Salim-'2022'!Resal)*(1-EXP(('2022'!Tnet-t)/('2022'!Tau_j))),Resal+(Salim-Resal)*(1-EXP((Tnet-t)/(Tau_j))))*Salcycl</f>
        <v>3.7867498811894544E-2</v>
      </c>
      <c r="P242" s="169">
        <f>(INDEX(Models!$BJ242:$BT242,,T242)*(1-R242)+INDEX(Models!$BJ242:$BT242,,T242+1)*R242-ERP_i)*Q242*Ramure*Pc/MaxiM</f>
        <v>4.3981533467821687E-4</v>
      </c>
      <c r="Q242" s="305">
        <f t="shared" si="80"/>
        <v>0.7</v>
      </c>
      <c r="R242" s="177">
        <f t="shared" si="81"/>
        <v>0.7754234969802789</v>
      </c>
      <c r="S242" s="810">
        <f t="shared" si="82"/>
        <v>0</v>
      </c>
      <c r="T242" s="176">
        <f t="shared" si="83"/>
        <v>6</v>
      </c>
      <c r="U242" s="251">
        <f t="shared" si="84"/>
        <v>0.7754234969802789</v>
      </c>
      <c r="V242" s="383">
        <f t="shared" si="85"/>
        <v>51.873778991135922</v>
      </c>
      <c r="W242" s="402">
        <f t="shared" si="86"/>
        <v>34.9852222452501</v>
      </c>
      <c r="X242" s="157">
        <f t="shared" si="87"/>
        <v>45154</v>
      </c>
      <c r="Y242" s="385">
        <f t="shared" si="88"/>
        <v>31.80978648919092</v>
      </c>
      <c r="Z242" s="385">
        <f t="shared" si="89"/>
        <v>33.202236951679865</v>
      </c>
      <c r="AA242" s="386">
        <f t="shared" si="90"/>
        <v>37.953894159855608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0.12519551190617062</v>
      </c>
      <c r="AD242" s="231">
        <f>(INDEX(Models!$BJ242:$BT242,,AH242)*(1-AF242)+INDEX(Models!$BJ242:$BT242,,AH242+1)*AF242-ERP_i)*AE242*Ramure*Pc/MaxiM</f>
        <v>4.3981533467821687E-4</v>
      </c>
      <c r="AE242" s="305">
        <f t="shared" si="92"/>
        <v>0.7</v>
      </c>
      <c r="AF242" s="177">
        <f t="shared" si="93"/>
        <v>0.7754234969802789</v>
      </c>
      <c r="AG242" s="810">
        <f t="shared" si="99"/>
        <v>0</v>
      </c>
      <c r="AH242" s="176">
        <f t="shared" si="94"/>
        <v>6</v>
      </c>
      <c r="AI242" s="225">
        <f t="shared" si="95"/>
        <v>0.7754234969802789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29.129245820944572</v>
      </c>
      <c r="C243" s="840"/>
      <c r="D243" s="393">
        <f t="shared" si="77"/>
        <v>30.405065119159207</v>
      </c>
      <c r="E243" s="385">
        <f t="shared" si="100"/>
        <v>31.607116115355264</v>
      </c>
      <c r="F243" s="385">
        <f t="shared" si="78"/>
        <v>31.612659330664854</v>
      </c>
      <c r="G243" s="110">
        <f t="shared" si="101"/>
        <v>0.56392899623883386</v>
      </c>
      <c r="H243" s="414" t="b">
        <f>Wh_hp&gt;='2022'!Maxi_hp</f>
        <v>0</v>
      </c>
      <c r="I243" s="390">
        <f>IF(H243,Wh_hp,'2022'!Maxi_hp)</f>
        <v>54.337378968983657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4.1960748750730414E-2</v>
      </c>
      <c r="M243" s="844"/>
      <c r="N243" s="844"/>
      <c r="O243" s="48">
        <f>IF(t&lt;Tnet,'2022'!Resal+('2022'!Salim-'2022'!Resal)*(1-EXP(('2022'!Tnet-t)/('2022'!Tau_j))),Resal+(Salim-Resal)*(1-EXP((Tnet-t)/(Tau_j))))*Salcycl</f>
        <v>3.803102414687172E-2</v>
      </c>
      <c r="P243" s="169">
        <f>(INDEX(Models!$BJ243:$BT243,,T243)*(1-R243)+INDEX(Models!$BJ243:$BT243,,T243+1)*R243-ERP_i)*Q243*Ramure*Pc/MaxiM</f>
        <v>4.6477529630135754E-4</v>
      </c>
      <c r="Q243" s="305">
        <f t="shared" si="80"/>
        <v>0.7</v>
      </c>
      <c r="R243" s="177">
        <f t="shared" si="81"/>
        <v>0.77633407780816099</v>
      </c>
      <c r="S243" s="810">
        <f t="shared" si="82"/>
        <v>0</v>
      </c>
      <c r="T243" s="176">
        <f t="shared" si="83"/>
        <v>6</v>
      </c>
      <c r="U243" s="251">
        <f t="shared" si="84"/>
        <v>0.77633407780816099</v>
      </c>
      <c r="V243" s="383">
        <f t="shared" si="85"/>
        <v>51.639149142082807</v>
      </c>
      <c r="W243" s="402">
        <f t="shared" si="86"/>
        <v>29.129245820944572</v>
      </c>
      <c r="X243" s="157">
        <f t="shared" si="87"/>
        <v>45155</v>
      </c>
      <c r="Y243" s="385">
        <f t="shared" si="88"/>
        <v>26.487907259926864</v>
      </c>
      <c r="Z243" s="385">
        <f t="shared" si="89"/>
        <v>27.648039707545394</v>
      </c>
      <c r="AA243" s="386">
        <f t="shared" si="90"/>
        <v>31.607116115355264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0.12525902057500554</v>
      </c>
      <c r="AD243" s="231">
        <f>(INDEX(Models!$BJ243:$BT243,,AH243)*(1-AF243)+INDEX(Models!$BJ243:$BT243,,AH243+1)*AF243-ERP_i)*AE243*Ramure*Pc/MaxiM</f>
        <v>4.6477529630135754E-4</v>
      </c>
      <c r="AE243" s="305">
        <f t="shared" si="92"/>
        <v>0.7</v>
      </c>
      <c r="AF243" s="177">
        <f t="shared" si="93"/>
        <v>0.77633407780816099</v>
      </c>
      <c r="AG243" s="810">
        <f t="shared" si="99"/>
        <v>0</v>
      </c>
      <c r="AH243" s="176">
        <f t="shared" si="94"/>
        <v>6</v>
      </c>
      <c r="AI243" s="225">
        <f t="shared" si="95"/>
        <v>0.77633407780816099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36.261483296845633</v>
      </c>
      <c r="C244" s="840"/>
      <c r="D244" s="393">
        <f t="shared" si="77"/>
        <v>37.85056523194563</v>
      </c>
      <c r="E244" s="385">
        <f t="shared" si="100"/>
        <v>39.353648220930815</v>
      </c>
      <c r="F244" s="385">
        <f t="shared" si="78"/>
        <v>39.364858887112298</v>
      </c>
      <c r="G244" s="110">
        <f t="shared" si="101"/>
        <v>0.70533075266371104</v>
      </c>
      <c r="H244" s="414" t="b">
        <f>Wh_hp&gt;='2022'!Maxi_hp</f>
        <v>0</v>
      </c>
      <c r="I244" s="390">
        <f>IF(H244,Wh_hp,'2022'!Maxi_hp)</f>
        <v>54.641783425949193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4.198304372371231E-2</v>
      </c>
      <c r="M244" s="844"/>
      <c r="N244" s="844"/>
      <c r="O244" s="48">
        <f>IF(t&lt;Tnet,'2022'!Resal+('2022'!Salim-'2022'!Resal)*(1-EXP(('2022'!Tnet-t)/('2022'!Tau_j))),Resal+(Salim-Resal)*(1-EXP((Tnet-t)/(Tau_j))))*Salcycl</f>
        <v>3.8194247723791618E-2</v>
      </c>
      <c r="P244" s="169">
        <f>(INDEX(Models!$BJ244:$BT244,,T244)*(1-R244)+INDEX(Models!$BJ244:$BT244,,T244+1)*R244-ERP_i)*Q244*Ramure*Pc/MaxiM</f>
        <v>4.9164862331772992E-4</v>
      </c>
      <c r="Q244" s="305">
        <f t="shared" si="80"/>
        <v>0.7</v>
      </c>
      <c r="R244" s="177">
        <f t="shared" si="81"/>
        <v>0.7772121456520118</v>
      </c>
      <c r="S244" s="810">
        <f t="shared" si="82"/>
        <v>0</v>
      </c>
      <c r="T244" s="176">
        <f t="shared" si="83"/>
        <v>6</v>
      </c>
      <c r="U244" s="251">
        <f t="shared" si="84"/>
        <v>0.7772121456520118</v>
      </c>
      <c r="V244" s="383">
        <f t="shared" si="85"/>
        <v>51.399970828879241</v>
      </c>
      <c r="W244" s="402">
        <f t="shared" si="86"/>
        <v>36.261483296845633</v>
      </c>
      <c r="X244" s="157">
        <f t="shared" si="87"/>
        <v>45156</v>
      </c>
      <c r="Y244" s="385">
        <f t="shared" si="88"/>
        <v>32.976635689306327</v>
      </c>
      <c r="Z244" s="385">
        <f t="shared" si="89"/>
        <v>34.421766204935537</v>
      </c>
      <c r="AA244" s="386">
        <f t="shared" si="90"/>
        <v>39.353648220930815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0.12532210453037956</v>
      </c>
      <c r="AD244" s="231">
        <f>(INDEX(Models!$BJ244:$BT244,,AH244)*(1-AF244)+INDEX(Models!$BJ244:$BT244,,AH244+1)*AF244-ERP_i)*AE244*Ramure*Pc/MaxiM</f>
        <v>4.9164862331772992E-4</v>
      </c>
      <c r="AE244" s="305">
        <f t="shared" si="92"/>
        <v>0.7</v>
      </c>
      <c r="AF244" s="177">
        <f t="shared" si="93"/>
        <v>0.7772121456520118</v>
      </c>
      <c r="AG244" s="810">
        <f t="shared" si="99"/>
        <v>0</v>
      </c>
      <c r="AH244" s="176">
        <f t="shared" si="94"/>
        <v>6</v>
      </c>
      <c r="AI244" s="225">
        <f t="shared" si="95"/>
        <v>0.7772121456520118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43.299064020263998</v>
      </c>
      <c r="C245" s="840"/>
      <c r="D245" s="393">
        <f t="shared" si="77"/>
        <v>45.197604690100803</v>
      </c>
      <c r="E245" s="385">
        <f t="shared" si="100"/>
        <v>47.00040703412823</v>
      </c>
      <c r="F245" s="385">
        <f t="shared" si="78"/>
        <v>47.019509712347165</v>
      </c>
      <c r="G245" s="110">
        <f t="shared" si="101"/>
        <v>0.84631478081254186</v>
      </c>
      <c r="H245" s="414" t="b">
        <f>Wh_hp&gt;='2022'!Maxi_hp</f>
        <v>0</v>
      </c>
      <c r="I245" s="390">
        <f>IF(H245,Wh_hp,'2022'!Maxi_hp)</f>
        <v>47.020901429543109</v>
      </c>
      <c r="J245" s="85">
        <f>IF(H245,An,'2022'!An_max)</f>
        <v>2022</v>
      </c>
      <c r="K245" s="197">
        <f t="shared" si="79"/>
        <v>45157</v>
      </c>
      <c r="L245" s="147">
        <f>IF(t&lt;Tvie,1-EXP((T0-t)*PertePVj)+'2022'!Pspv,1-EXP((T0-t)*PertePVj)+Pspv)</f>
        <v>4.2005338177857565E-2</v>
      </c>
      <c r="M245" s="844"/>
      <c r="N245" s="844"/>
      <c r="O245" s="48">
        <f>IF(t&lt;Tnet,'2022'!Resal+('2022'!Salim-'2022'!Resal)*(1-EXP(('2022'!Tnet-t)/('2022'!Tau_j))),Resal+(Salim-Resal)*(1-EXP((Tnet-t)/(Tau_j))))*Salcycl</f>
        <v>3.8357164496859886E-2</v>
      </c>
      <c r="P245" s="169">
        <f>(INDEX(Models!$BJ245:$BT245,,T245)*(1-R245)+INDEX(Models!$BJ245:$BT245,,T245+1)*R245-ERP_i)*Q245*Ramure*Pc/MaxiM</f>
        <v>5.2046842841744036E-4</v>
      </c>
      <c r="Q245" s="305">
        <f t="shared" si="80"/>
        <v>0.7</v>
      </c>
      <c r="R245" s="177">
        <f t="shared" si="81"/>
        <v>0.77805870889156337</v>
      </c>
      <c r="S245" s="810">
        <f t="shared" si="82"/>
        <v>0</v>
      </c>
      <c r="T245" s="176">
        <f t="shared" si="83"/>
        <v>6</v>
      </c>
      <c r="U245" s="251">
        <f t="shared" si="84"/>
        <v>0.77805870889156337</v>
      </c>
      <c r="V245" s="383">
        <f t="shared" si="85"/>
        <v>51.156045438624133</v>
      </c>
      <c r="W245" s="402">
        <f t="shared" si="86"/>
        <v>43.299064020263998</v>
      </c>
      <c r="X245" s="157">
        <f t="shared" si="87"/>
        <v>45157</v>
      </c>
      <c r="Y245" s="385">
        <f t="shared" si="88"/>
        <v>39.380547833504707</v>
      </c>
      <c r="Z245" s="385">
        <f t="shared" si="89"/>
        <v>41.107272725926677</v>
      </c>
      <c r="AA245" s="386">
        <f t="shared" si="90"/>
        <v>47.00040703412823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0.12538475047508402</v>
      </c>
      <c r="AD245" s="231">
        <f>(INDEX(Models!$BJ245:$BT245,,AH245)*(1-AF245)+INDEX(Models!$BJ245:$BT245,,AH245+1)*AF245-ERP_i)*AE245*Ramure*Pc/MaxiM</f>
        <v>5.2046842841744036E-4</v>
      </c>
      <c r="AE245" s="305">
        <f t="shared" si="92"/>
        <v>0.7</v>
      </c>
      <c r="AF245" s="177">
        <f t="shared" si="93"/>
        <v>0.77805870889156337</v>
      </c>
      <c r="AG245" s="810">
        <f t="shared" si="99"/>
        <v>0</v>
      </c>
      <c r="AH245" s="176">
        <f t="shared" si="94"/>
        <v>6</v>
      </c>
      <c r="AI245" s="225">
        <f t="shared" si="95"/>
        <v>0.77805870889156337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48.601289197775543</v>
      </c>
      <c r="C246" s="840"/>
      <c r="D246" s="393">
        <f t="shared" si="77"/>
        <v>50.733497986987317</v>
      </c>
      <c r="E246" s="385">
        <f t="shared" si="100"/>
        <v>52.766033409661134</v>
      </c>
      <c r="F246" s="385">
        <f t="shared" si="78"/>
        <v>52.79325349641217</v>
      </c>
      <c r="G246" s="110">
        <f t="shared" si="101"/>
        <v>0.95467004514307729</v>
      </c>
      <c r="H246" s="414" t="b">
        <f>Wh_hp&gt;='2022'!Maxi_hp</f>
        <v>0</v>
      </c>
      <c r="I246" s="390">
        <f>IF(H246,Wh_hp,'2022'!Maxi_hp)</f>
        <v>52.793741266565121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4.2027632113178282E-2</v>
      </c>
      <c r="M246" s="844"/>
      <c r="N246" s="844"/>
      <c r="O246" s="48">
        <f>IF(t&lt;Tnet,'2022'!Resal+('2022'!Salim-'2022'!Resal)*(1-EXP(('2022'!Tnet-t)/('2022'!Tau_j))),Resal+(Salim-Resal)*(1-EXP((Tnet-t)/(Tau_j))))*Salcycl</f>
        <v>3.8519769088833491E-2</v>
      </c>
      <c r="P246" s="169">
        <f>(INDEX(Models!$BJ246:$BT246,,T246)*(1-R246)+INDEX(Models!$BJ246:$BT246,,T246+1)*R246-ERP_i)*Q246*Ramure*Pc/MaxiM</f>
        <v>5.5126960128447139E-4</v>
      </c>
      <c r="Q246" s="305">
        <f t="shared" si="80"/>
        <v>0.7</v>
      </c>
      <c r="R246" s="177">
        <f t="shared" si="81"/>
        <v>0.77887475614699153</v>
      </c>
      <c r="S246" s="810">
        <f t="shared" si="82"/>
        <v>0</v>
      </c>
      <c r="T246" s="176">
        <f t="shared" si="83"/>
        <v>6</v>
      </c>
      <c r="U246" s="251">
        <f t="shared" si="84"/>
        <v>0.77887475614699153</v>
      </c>
      <c r="V246" s="383">
        <f t="shared" si="85"/>
        <v>50.907174532635658</v>
      </c>
      <c r="W246" s="402">
        <f t="shared" si="86"/>
        <v>48.601289197775543</v>
      </c>
      <c r="X246" s="157">
        <f t="shared" si="87"/>
        <v>45158</v>
      </c>
      <c r="Y246" s="385">
        <f t="shared" si="88"/>
        <v>44.207259407377215</v>
      </c>
      <c r="Z246" s="385">
        <f t="shared" si="89"/>
        <v>46.146695760018019</v>
      </c>
      <c r="AA246" s="386">
        <f t="shared" si="90"/>
        <v>52.766033409661134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0.12544694421603345</v>
      </c>
      <c r="AD246" s="231">
        <f>(INDEX(Models!$BJ246:$BT246,,AH246)*(1-AF246)+INDEX(Models!$BJ246:$BT246,,AH246+1)*AF246-ERP_i)*AE246*Ramure*Pc/MaxiM</f>
        <v>5.5126960128447139E-4</v>
      </c>
      <c r="AE246" s="305">
        <f t="shared" si="92"/>
        <v>0.7</v>
      </c>
      <c r="AF246" s="177">
        <f t="shared" si="93"/>
        <v>0.77887475614699153</v>
      </c>
      <c r="AG246" s="810">
        <f t="shared" si="99"/>
        <v>0</v>
      </c>
      <c r="AH246" s="176">
        <f t="shared" si="94"/>
        <v>6</v>
      </c>
      <c r="AI246" s="225">
        <f t="shared" si="95"/>
        <v>0.77887475614699153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31.20597217783957</v>
      </c>
      <c r="C247" s="840"/>
      <c r="D247" s="393">
        <f t="shared" si="77"/>
        <v>32.575781358015469</v>
      </c>
      <c r="E247" s="385">
        <f t="shared" si="100"/>
        <v>33.886584095173994</v>
      </c>
      <c r="F247" s="385">
        <f t="shared" si="78"/>
        <v>33.895523013684837</v>
      </c>
      <c r="G247" s="110">
        <f t="shared" si="101"/>
        <v>0.61586273827806914</v>
      </c>
      <c r="H247" s="414" t="b">
        <f>Wh_hp&gt;='2022'!Maxi_hp</f>
        <v>0</v>
      </c>
      <c r="I247" s="390">
        <f>IF(H247,Wh_hp,'2022'!Maxi_hp)</f>
        <v>52.989538136778435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4.204992552968656E-2</v>
      </c>
      <c r="M247" s="844"/>
      <c r="N247" s="844"/>
      <c r="O247" s="48">
        <f>IF(t&lt;Tnet,'2022'!Resal+('2022'!Salim-'2022'!Resal)*(1-EXP(('2022'!Tnet-t)/('2022'!Tau_j))),Resal+(Salim-Resal)*(1-EXP((Tnet-t)/(Tau_j))))*Salcycl</f>
        <v>3.8682055809372756E-2</v>
      </c>
      <c r="P247" s="169">
        <f>(INDEX(Models!$BJ247:$BT247,,T247)*(1-R247)+INDEX(Models!$BJ247:$BT247,,T247+1)*R247-ERP_i)*Q247*Ramure*Pc/MaxiM</f>
        <v>5.8407811826413701E-4</v>
      </c>
      <c r="Q247" s="305">
        <f t="shared" si="80"/>
        <v>0.7</v>
      </c>
      <c r="R247" s="177">
        <f t="shared" si="81"/>
        <v>0.77966125573392286</v>
      </c>
      <c r="S247" s="810">
        <f t="shared" si="82"/>
        <v>0</v>
      </c>
      <c r="T247" s="176">
        <f t="shared" si="83"/>
        <v>6</v>
      </c>
      <c r="U247" s="251">
        <f t="shared" si="84"/>
        <v>0.77966125573392286</v>
      </c>
      <c r="V247" s="383">
        <f t="shared" si="85"/>
        <v>50.654099537328172</v>
      </c>
      <c r="W247" s="402">
        <f t="shared" si="86"/>
        <v>31.20597217783957</v>
      </c>
      <c r="X247" s="157">
        <f t="shared" si="87"/>
        <v>45159</v>
      </c>
      <c r="Y247" s="385">
        <f t="shared" si="88"/>
        <v>28.387436493390709</v>
      </c>
      <c r="Z247" s="385">
        <f t="shared" si="89"/>
        <v>29.633523969489943</v>
      </c>
      <c r="AA247" s="386">
        <f t="shared" si="90"/>
        <v>33.886584095173994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0.1255086707393962</v>
      </c>
      <c r="AD247" s="231">
        <f>(INDEX(Models!$BJ247:$BT247,,AH247)*(1-AF247)+INDEX(Models!$BJ247:$BT247,,AH247+1)*AF247-ERP_i)*AE247*Ramure*Pc/MaxiM</f>
        <v>5.8407811826413701E-4</v>
      </c>
      <c r="AE247" s="305">
        <f t="shared" si="92"/>
        <v>0.7</v>
      </c>
      <c r="AF247" s="177">
        <f t="shared" si="93"/>
        <v>0.77966125573392286</v>
      </c>
      <c r="AG247" s="810">
        <f t="shared" si="99"/>
        <v>0</v>
      </c>
      <c r="AH247" s="176">
        <f t="shared" si="94"/>
        <v>6</v>
      </c>
      <c r="AI247" s="225">
        <f t="shared" si="95"/>
        <v>0.77966125573392286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26.728514767955367</v>
      </c>
      <c r="C248" s="840"/>
      <c r="D248" s="393">
        <f t="shared" si="77"/>
        <v>27.902431980911803</v>
      </c>
      <c r="E248" s="385">
        <f t="shared" si="100"/>
        <v>29.030076827176902</v>
      </c>
      <c r="F248" s="385">
        <f t="shared" si="78"/>
        <v>29.036005867874167</v>
      </c>
      <c r="G248" s="110">
        <f t="shared" si="101"/>
        <v>0.53013334110943122</v>
      </c>
      <c r="H248" s="414" t="b">
        <f>Wh_hp&gt;='2022'!Maxi_hp</f>
        <v>0</v>
      </c>
      <c r="I248" s="390">
        <f>IF(H248,Wh_hp,'2022'!Maxi_hp)</f>
        <v>55.477484592844142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4.2072218427394392E-2</v>
      </c>
      <c r="M248" s="844"/>
      <c r="N248" s="844"/>
      <c r="O248" s="48">
        <f>IF(t&lt;Tnet,'2022'!Resal+('2022'!Salim-'2022'!Resal)*(1-EXP(('2022'!Tnet-t)/('2022'!Tau_j))),Resal+(Salim-Resal)*(1-EXP((Tnet-t)/(Tau_j))))*Salcycl</f>
        <v>3.8844018669955342E-2</v>
      </c>
      <c r="P248" s="169">
        <f>(INDEX(Models!$BJ248:$BT248,,T248)*(1-R248)+INDEX(Models!$BJ248:$BT248,,T248+1)*R248-ERP_i)*Q248*Ramure*Pc/MaxiM</f>
        <v>6.20511018218405E-4</v>
      </c>
      <c r="Q248" s="305">
        <f t="shared" si="80"/>
        <v>0.7</v>
      </c>
      <c r="R248" s="177">
        <f t="shared" si="81"/>
        <v>0.78041915521521765</v>
      </c>
      <c r="S248" s="810">
        <f t="shared" si="82"/>
        <v>0</v>
      </c>
      <c r="T248" s="176">
        <f t="shared" si="83"/>
        <v>6</v>
      </c>
      <c r="U248" s="251">
        <f t="shared" si="84"/>
        <v>0.78041915521521765</v>
      </c>
      <c r="V248" s="383">
        <f t="shared" si="85"/>
        <v>50.39748105895012</v>
      </c>
      <c r="W248" s="402">
        <f t="shared" si="86"/>
        <v>26.728514767955367</v>
      </c>
      <c r="X248" s="157">
        <f t="shared" si="87"/>
        <v>45160</v>
      </c>
      <c r="Y248" s="385">
        <f t="shared" si="88"/>
        <v>24.316778872415981</v>
      </c>
      <c r="Z248" s="385">
        <f t="shared" si="89"/>
        <v>25.384772568654128</v>
      </c>
      <c r="AA248" s="386">
        <f t="shared" si="90"/>
        <v>29.030076827176902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0.12556991427284725</v>
      </c>
      <c r="AD248" s="231">
        <f>(INDEX(Models!$BJ248:$BT248,,AH248)*(1-AF248)+INDEX(Models!$BJ248:$BT248,,AH248+1)*AF248-ERP_i)*AE248*Ramure*Pc/MaxiM</f>
        <v>6.20511018218405E-4</v>
      </c>
      <c r="AE248" s="305">
        <f t="shared" si="92"/>
        <v>0.7</v>
      </c>
      <c r="AF248" s="177">
        <f t="shared" si="93"/>
        <v>0.78041915521521765</v>
      </c>
      <c r="AG248" s="810">
        <f t="shared" si="99"/>
        <v>0</v>
      </c>
      <c r="AH248" s="176">
        <f t="shared" si="94"/>
        <v>6</v>
      </c>
      <c r="AI248" s="225">
        <f t="shared" si="95"/>
        <v>0.78041915521521765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48.84045289244429</v>
      </c>
      <c r="C249" s="840"/>
      <c r="D249" s="393">
        <f t="shared" si="77"/>
        <v>50.986713661653191</v>
      </c>
      <c r="E249" s="385">
        <f t="shared" si="100"/>
        <v>53.056205518454227</v>
      </c>
      <c r="F249" s="385">
        <f t="shared" si="78"/>
        <v>53.089943856280584</v>
      </c>
      <c r="G249" s="110">
        <f t="shared" si="101"/>
        <v>0.97411308002231378</v>
      </c>
      <c r="H249" s="414" t="b">
        <f>Wh_hp&gt;='2022'!Maxi_hp</f>
        <v>0</v>
      </c>
      <c r="I249" s="390">
        <f>IF(H249,Wh_hp,'2022'!Maxi_hp)</f>
        <v>53.090277151118499</v>
      </c>
      <c r="J249" s="85">
        <f>IF(H249,An,'2022'!An_max)</f>
        <v>2022</v>
      </c>
      <c r="K249" s="197">
        <f t="shared" si="79"/>
        <v>45161</v>
      </c>
      <c r="L249" s="147">
        <f>IF(t&lt;Tvie,1-EXP((T0-t)*PertePVj)+'2022'!Pspv,1-EXP((T0-t)*PertePVj)+Pspv)</f>
        <v>4.20945108063141E-2</v>
      </c>
      <c r="M249" s="844"/>
      <c r="N249" s="844"/>
      <c r="O249" s="48">
        <f>IF(t&lt;Tnet,'2022'!Resal+('2022'!Salim-'2022'!Resal)*(1-EXP(('2022'!Tnet-t)/('2022'!Tau_j))),Resal+(Salim-Resal)*(1-EXP((Tnet-t)/(Tau_j))))*Salcycl</f>
        <v>3.9005651395127017E-2</v>
      </c>
      <c r="P249" s="169">
        <f>(INDEX(Models!$BJ249:$BT249,,T249)*(1-R249)+INDEX(Models!$BJ249:$BT249,,T249+1)*R249-ERP_i)*Q249*Ramure*Pc/MaxiM</f>
        <v>6.5987457029801342E-4</v>
      </c>
      <c r="Q249" s="305">
        <f t="shared" si="80"/>
        <v>0.7</v>
      </c>
      <c r="R249" s="177">
        <f t="shared" si="81"/>
        <v>0.78114938104272669</v>
      </c>
      <c r="S249" s="810">
        <f t="shared" si="82"/>
        <v>0</v>
      </c>
      <c r="T249" s="176">
        <f t="shared" si="83"/>
        <v>6</v>
      </c>
      <c r="U249" s="251">
        <f t="shared" si="84"/>
        <v>0.78114938104272669</v>
      </c>
      <c r="V249" s="383">
        <f t="shared" si="85"/>
        <v>50.137157970725305</v>
      </c>
      <c r="W249" s="402">
        <f t="shared" si="86"/>
        <v>48.84045289244429</v>
      </c>
      <c r="X249" s="157">
        <f t="shared" si="87"/>
        <v>45161</v>
      </c>
      <c r="Y249" s="385">
        <f t="shared" si="88"/>
        <v>44.437924847534134</v>
      </c>
      <c r="Z249" s="385">
        <f t="shared" si="89"/>
        <v>46.390719490437021</v>
      </c>
      <c r="AA249" s="386">
        <f t="shared" si="90"/>
        <v>53.056205518454227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0.12563065833456163</v>
      </c>
      <c r="AD249" s="231">
        <f>(INDEX(Models!$BJ249:$BT249,,AH249)*(1-AF249)+INDEX(Models!$BJ249:$BT249,,AH249+1)*AF249-ERP_i)*AE249*Ramure*Pc/MaxiM</f>
        <v>6.5987457029801342E-4</v>
      </c>
      <c r="AE249" s="305">
        <f t="shared" si="92"/>
        <v>0.7</v>
      </c>
      <c r="AF249" s="177">
        <f t="shared" si="93"/>
        <v>0.78114938104272669</v>
      </c>
      <c r="AG249" s="810">
        <f t="shared" si="99"/>
        <v>0</v>
      </c>
      <c r="AH249" s="176">
        <f t="shared" si="94"/>
        <v>6</v>
      </c>
      <c r="AI249" s="225">
        <f t="shared" si="95"/>
        <v>0.78114938104272669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43.509058604201883</v>
      </c>
      <c r="C250" s="840"/>
      <c r="D250" s="393">
        <f t="shared" si="77"/>
        <v>45.422091884812218</v>
      </c>
      <c r="E250" s="385">
        <f t="shared" si="100"/>
        <v>47.273656712074626</v>
      </c>
      <c r="F250" s="385">
        <f t="shared" si="78"/>
        <v>47.300817507839483</v>
      </c>
      <c r="G250" s="110">
        <f t="shared" si="101"/>
        <v>0.87228652256559025</v>
      </c>
      <c r="H250" s="414" t="b">
        <f>Wh_hp&gt;='2022'!Maxi_hp</f>
        <v>0</v>
      </c>
      <c r="I250" s="390">
        <f>IF(H250,Wh_hp,'2022'!Maxi_hp)</f>
        <v>52.284492274475099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4.2116802666457454E-2</v>
      </c>
      <c r="M250" s="844"/>
      <c r="N250" s="844"/>
      <c r="O250" s="48">
        <f>IF(t&lt;Tnet,'2022'!Resal+('2022'!Salim-'2022'!Resal)*(1-EXP(('2022'!Tnet-t)/('2022'!Tau_j))),Resal+(Salim-Resal)*(1-EXP((Tnet-t)/(Tau_j))))*Salcycl</f>
        <v>3.9166947429930481E-2</v>
      </c>
      <c r="P250" s="169">
        <f>(INDEX(Models!$BJ250:$BT250,,T250)*(1-R250)+INDEX(Models!$BJ250:$BT250,,T250+1)*R250-ERP_i)*Q250*Ramure*Pc/MaxiM</f>
        <v>7.0222062116751958E-4</v>
      </c>
      <c r="Q250" s="305">
        <f t="shared" si="80"/>
        <v>0.7</v>
      </c>
      <c r="R250" s="177">
        <f t="shared" si="81"/>
        <v>0.78185283828245811</v>
      </c>
      <c r="S250" s="810">
        <f t="shared" si="82"/>
        <v>0</v>
      </c>
      <c r="T250" s="176">
        <f t="shared" si="83"/>
        <v>6</v>
      </c>
      <c r="U250" s="251">
        <f t="shared" si="84"/>
        <v>0.78185283828245811</v>
      </c>
      <c r="V250" s="383">
        <f t="shared" si="85"/>
        <v>49.872931468188085</v>
      </c>
      <c r="W250" s="402">
        <f t="shared" si="86"/>
        <v>43.509058604201883</v>
      </c>
      <c r="X250" s="157">
        <f t="shared" si="87"/>
        <v>45162</v>
      </c>
      <c r="Y250" s="385">
        <f t="shared" si="88"/>
        <v>39.59102612833928</v>
      </c>
      <c r="Z250" s="385">
        <f t="shared" si="89"/>
        <v>41.331788926404322</v>
      </c>
      <c r="AA250" s="386">
        <f t="shared" si="90"/>
        <v>47.273656712074626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0.1256908857687887</v>
      </c>
      <c r="AD250" s="231">
        <f>(INDEX(Models!$BJ250:$BT250,,AH250)*(1-AF250)+INDEX(Models!$BJ250:$BT250,,AH250+1)*AF250-ERP_i)*AE250*Ramure*Pc/MaxiM</f>
        <v>7.0222062116751958E-4</v>
      </c>
      <c r="AE250" s="305">
        <f t="shared" si="92"/>
        <v>0.7</v>
      </c>
      <c r="AF250" s="177">
        <f t="shared" si="93"/>
        <v>0.78185283828245811</v>
      </c>
      <c r="AG250" s="810">
        <f t="shared" si="99"/>
        <v>0</v>
      </c>
      <c r="AH250" s="176">
        <f t="shared" si="94"/>
        <v>6</v>
      </c>
      <c r="AI250" s="225">
        <f t="shared" si="95"/>
        <v>0.78185283828245811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34.654075199511112</v>
      </c>
      <c r="C251" s="840"/>
      <c r="D251" s="393">
        <f t="shared" si="77"/>
        <v>36.178609005465177</v>
      </c>
      <c r="E251" s="385">
        <f t="shared" si="100"/>
        <v>37.659685342516525</v>
      </c>
      <c r="F251" s="385">
        <f t="shared" si="78"/>
        <v>37.675724406155958</v>
      </c>
      <c r="G251" s="110">
        <f t="shared" si="101"/>
        <v>0.69838106946305067</v>
      </c>
      <c r="H251" s="414" t="b">
        <f>Wh_hp&gt;='2022'!Maxi_hp</f>
        <v>0</v>
      </c>
      <c r="I251" s="390">
        <f>IF(H251,Wh_hp,'2022'!Maxi_hp)</f>
        <v>49.886993974579291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4.2139094007836664E-2</v>
      </c>
      <c r="M251" s="844"/>
      <c r="N251" s="844"/>
      <c r="O251" s="48">
        <f>IF(t&lt;Tnet,'2022'!Resal+('2022'!Salim-'2022'!Resal)*(1-EXP(('2022'!Tnet-t)/('2022'!Tau_j))),Resal+(Salim-Resal)*(1-EXP((Tnet-t)/(Tau_j))))*Salcycl</f>
        <v>3.9327899943424741E-2</v>
      </c>
      <c r="P251" s="169">
        <f>(INDEX(Models!$BJ251:$BT251,,T251)*(1-R251)+INDEX(Models!$BJ251:$BT251,,T251+1)*R251-ERP_i)*Q251*Ramure*Pc/MaxiM</f>
        <v>7.4760391010732241E-4</v>
      </c>
      <c r="Q251" s="305">
        <f t="shared" si="80"/>
        <v>0.7</v>
      </c>
      <c r="R251" s="177">
        <f t="shared" si="81"/>
        <v>0.7825304104168298</v>
      </c>
      <c r="S251" s="810">
        <f t="shared" si="82"/>
        <v>0</v>
      </c>
      <c r="T251" s="176">
        <f t="shared" si="83"/>
        <v>6</v>
      </c>
      <c r="U251" s="251">
        <f t="shared" si="84"/>
        <v>0.7825304104168298</v>
      </c>
      <c r="V251" s="383">
        <f t="shared" si="85"/>
        <v>49.604602914133075</v>
      </c>
      <c r="W251" s="402">
        <f t="shared" si="86"/>
        <v>34.654075199511112</v>
      </c>
      <c r="X251" s="157">
        <f t="shared" si="87"/>
        <v>45163</v>
      </c>
      <c r="Y251" s="385">
        <f t="shared" si="88"/>
        <v>31.536572348375678</v>
      </c>
      <c r="Z251" s="385">
        <f t="shared" si="89"/>
        <v>32.923958114471468</v>
      </c>
      <c r="AA251" s="386">
        <f t="shared" si="90"/>
        <v>37.659685342516525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0.12575057876807524</v>
      </c>
      <c r="AD251" s="231">
        <f>(INDEX(Models!$BJ251:$BT251,,AH251)*(1-AF251)+INDEX(Models!$BJ251:$BT251,,AH251+1)*AF251-ERP_i)*AE251*Ramure*Pc/MaxiM</f>
        <v>7.4760391010732241E-4</v>
      </c>
      <c r="AE251" s="305">
        <f t="shared" si="92"/>
        <v>0.7</v>
      </c>
      <c r="AF251" s="177">
        <f t="shared" si="93"/>
        <v>0.7825304104168298</v>
      </c>
      <c r="AG251" s="810">
        <f t="shared" si="99"/>
        <v>0</v>
      </c>
      <c r="AH251" s="176">
        <f t="shared" si="94"/>
        <v>6</v>
      </c>
      <c r="AI251" s="225">
        <f t="shared" si="95"/>
        <v>0.7825304104168298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43.464852160582815</v>
      </c>
      <c r="C252" s="840"/>
      <c r="D252" s="393">
        <f t="shared" si="77"/>
        <v>45.378053747488131</v>
      </c>
      <c r="E252" s="385">
        <f t="shared" si="100"/>
        <v>47.243634078157974</v>
      </c>
      <c r="F252" s="385">
        <f t="shared" si="78"/>
        <v>47.274874531350051</v>
      </c>
      <c r="G252" s="110">
        <f t="shared" si="101"/>
        <v>0.88094933145224308</v>
      </c>
      <c r="H252" s="414" t="b">
        <f>Wh_hp&gt;='2022'!Maxi_hp</f>
        <v>0</v>
      </c>
      <c r="I252" s="390">
        <f>IF(H252,Wh_hp,'2022'!Maxi_hp)</f>
        <v>51.84257425367344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4.2161384830463833E-2</v>
      </c>
      <c r="M252" s="844"/>
      <c r="N252" s="844"/>
      <c r="O252" s="48">
        <f>IF(t&lt;Tnet,'2022'!Resal+('2022'!Salim-'2022'!Resal)*(1-EXP(('2022'!Tnet-t)/('2022'!Tau_j))),Resal+(Salim-Resal)*(1-EXP((Tnet-t)/(Tau_j))))*Salcycl</f>
        <v>3.9488501828278136E-2</v>
      </c>
      <c r="P252" s="169">
        <f>(INDEX(Models!$BJ252:$BT252,,T252)*(1-R252)+INDEX(Models!$BJ252:$BT252,,T252+1)*R252-ERP_i)*Q252*Ramure*Pc/MaxiM</f>
        <v>7.9608160343891757E-4</v>
      </c>
      <c r="Q252" s="305">
        <f t="shared" si="80"/>
        <v>0.7</v>
      </c>
      <c r="R252" s="177">
        <f t="shared" si="81"/>
        <v>0.78318295921795267</v>
      </c>
      <c r="S252" s="810">
        <f t="shared" si="82"/>
        <v>0</v>
      </c>
      <c r="T252" s="176">
        <f t="shared" si="83"/>
        <v>6</v>
      </c>
      <c r="U252" s="251">
        <f t="shared" si="84"/>
        <v>0.78318295921795267</v>
      </c>
      <c r="V252" s="383">
        <f t="shared" si="85"/>
        <v>49.331973865804308</v>
      </c>
      <c r="W252" s="402">
        <f t="shared" si="86"/>
        <v>43.464852160582815</v>
      </c>
      <c r="X252" s="157">
        <f t="shared" si="87"/>
        <v>45164</v>
      </c>
      <c r="Y252" s="385">
        <f t="shared" si="88"/>
        <v>39.558663692540755</v>
      </c>
      <c r="Z252" s="385">
        <f t="shared" si="89"/>
        <v>41.299925755800651</v>
      </c>
      <c r="AA252" s="386">
        <f t="shared" si="90"/>
        <v>47.243634078157974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0.1258097188824274</v>
      </c>
      <c r="AD252" s="231">
        <f>(INDEX(Models!$BJ252:$BT252,,AH252)*(1-AF252)+INDEX(Models!$BJ252:$BT252,,AH252+1)*AF252-ERP_i)*AE252*Ramure*Pc/MaxiM</f>
        <v>7.9608160343891757E-4</v>
      </c>
      <c r="AE252" s="305">
        <f t="shared" si="92"/>
        <v>0.7</v>
      </c>
      <c r="AF252" s="177">
        <f t="shared" si="93"/>
        <v>0.78318295921795267</v>
      </c>
      <c r="AG252" s="810">
        <f t="shared" si="99"/>
        <v>0</v>
      </c>
      <c r="AH252" s="176">
        <f t="shared" si="94"/>
        <v>6</v>
      </c>
      <c r="AI252" s="225">
        <f t="shared" si="95"/>
        <v>0.78318295921795267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48.153023241773958</v>
      </c>
      <c r="C253" s="840"/>
      <c r="D253" s="393">
        <f t="shared" si="77"/>
        <v>50.273754990058542</v>
      </c>
      <c r="E253" s="385">
        <f t="shared" si="100"/>
        <v>52.349340686309084</v>
      </c>
      <c r="F253" s="385">
        <f t="shared" si="78"/>
        <v>52.392588178181477</v>
      </c>
      <c r="G253" s="110">
        <f t="shared" si="101"/>
        <v>0.98159415791189042</v>
      </c>
      <c r="H253" s="414" t="b">
        <f>Wh_hp&gt;='2022'!Maxi_hp</f>
        <v>0</v>
      </c>
      <c r="I253" s="390">
        <f>IF(H253,Wh_hp,'2022'!Maxi_hp)</f>
        <v>52.392884111456645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4.2183675134350951E-2</v>
      </c>
      <c r="M253" s="844"/>
      <c r="N253" s="844"/>
      <c r="O253" s="48">
        <f>IF(t&lt;Tnet,'2022'!Resal+('2022'!Salim-'2022'!Resal)*(1-EXP(('2022'!Tnet-t)/('2022'!Tau_j))),Resal+(Salim-Resal)*(1-EXP((Tnet-t)/(Tau_j))))*Salcycl</f>
        <v>3.9648745696492974E-2</v>
      </c>
      <c r="P253" s="169">
        <f>(INDEX(Models!$BJ253:$BT253,,T253)*(1-R253)+INDEX(Models!$BJ253:$BT253,,T253+1)*R253-ERP_i)*Q253*Ramure*Pc/MaxiM</f>
        <v>8.4771392519788125E-4</v>
      </c>
      <c r="Q253" s="305">
        <f t="shared" si="80"/>
        <v>0.7</v>
      </c>
      <c r="R253" s="177">
        <f t="shared" si="81"/>
        <v>0.78381132468615045</v>
      </c>
      <c r="S253" s="810">
        <f t="shared" si="82"/>
        <v>0</v>
      </c>
      <c r="T253" s="176">
        <f t="shared" si="83"/>
        <v>6</v>
      </c>
      <c r="U253" s="251">
        <f t="shared" si="84"/>
        <v>0.78381132468615045</v>
      </c>
      <c r="V253" s="383">
        <f t="shared" si="85"/>
        <v>49.054846058559633</v>
      </c>
      <c r="W253" s="402">
        <f t="shared" si="86"/>
        <v>48.153023241773958</v>
      </c>
      <c r="X253" s="157">
        <f t="shared" si="87"/>
        <v>45165</v>
      </c>
      <c r="Y253" s="385">
        <f t="shared" si="88"/>
        <v>43.829884641761637</v>
      </c>
      <c r="Z253" s="385">
        <f t="shared" si="89"/>
        <v>45.760218847710249</v>
      </c>
      <c r="AA253" s="386">
        <f t="shared" si="90"/>
        <v>52.349340686309084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0.12586828701592584</v>
      </c>
      <c r="AD253" s="231">
        <f>(INDEX(Models!$BJ253:$BT253,,AH253)*(1-AF253)+INDEX(Models!$BJ253:$BT253,,AH253+1)*AF253-ERP_i)*AE253*Ramure*Pc/MaxiM</f>
        <v>8.4771392519788125E-4</v>
      </c>
      <c r="AE253" s="305">
        <f t="shared" si="92"/>
        <v>0.7</v>
      </c>
      <c r="AF253" s="177">
        <f t="shared" si="93"/>
        <v>0.78381132468615045</v>
      </c>
      <c r="AG253" s="810">
        <f t="shared" si="99"/>
        <v>0</v>
      </c>
      <c r="AH253" s="176">
        <f t="shared" si="94"/>
        <v>6</v>
      </c>
      <c r="AI253" s="225">
        <f t="shared" si="95"/>
        <v>0.78381132468615045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45.782858428615597</v>
      </c>
      <c r="C254" s="840"/>
      <c r="D254" s="393">
        <f t="shared" si="77"/>
        <v>47.800316928021125</v>
      </c>
      <c r="E254" s="385">
        <f t="shared" si="100"/>
        <v>49.78207273715271</v>
      </c>
      <c r="F254" s="385">
        <f t="shared" si="78"/>
        <v>49.823134695816258</v>
      </c>
      <c r="G254" s="110">
        <f t="shared" si="101"/>
        <v>0.93861861166820071</v>
      </c>
      <c r="H254" s="414" t="b">
        <f>Wh_hp&gt;='2022'!Maxi_hp</f>
        <v>0</v>
      </c>
      <c r="I254" s="390">
        <f>IF(H254,Wh_hp,'2022'!Maxi_hp)</f>
        <v>52.208096554658312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4.220596491951023E-2</v>
      </c>
      <c r="M254" s="844"/>
      <c r="N254" s="844"/>
      <c r="O254" s="48">
        <f>IF(t&lt;Tnet,'2022'!Resal+('2022'!Salim-'2022'!Resal)*(1-EXP(('2022'!Tnet-t)/('2022'!Tau_j))),Resal+(Salim-Resal)*(1-EXP((Tnet-t)/(Tau_j))))*Salcycl</f>
        <v>3.9808623871391897E-2</v>
      </c>
      <c r="P254" s="169">
        <f>(INDEX(Models!$BJ254:$BT254,,T254)*(1-R254)+INDEX(Models!$BJ254:$BT254,,T254+1)*R254-ERP_i)*Q254*Ramure*Pc/MaxiM</f>
        <v>9.0326366996618958E-4</v>
      </c>
      <c r="Q254" s="305">
        <f t="shared" si="80"/>
        <v>0.7</v>
      </c>
      <c r="R254" s="177">
        <f t="shared" si="81"/>
        <v>0.78441632504819836</v>
      </c>
      <c r="S254" s="810">
        <f t="shared" si="82"/>
        <v>0</v>
      </c>
      <c r="T254" s="176">
        <f t="shared" si="83"/>
        <v>6</v>
      </c>
      <c r="U254" s="251">
        <f t="shared" si="84"/>
        <v>0.78441632504819836</v>
      </c>
      <c r="V254" s="383">
        <f t="shared" si="85"/>
        <v>48.772987266961536</v>
      </c>
      <c r="W254" s="402">
        <f t="shared" si="86"/>
        <v>45.782858428615597</v>
      </c>
      <c r="X254" s="157">
        <f t="shared" si="87"/>
        <v>45166</v>
      </c>
      <c r="Y254" s="385">
        <f t="shared" si="88"/>
        <v>41.676685641302221</v>
      </c>
      <c r="Z254" s="385">
        <f t="shared" si="89"/>
        <v>43.513202332482528</v>
      </c>
      <c r="AA254" s="386">
        <f t="shared" si="90"/>
        <v>49.78207273715271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0.12592626341152077</v>
      </c>
      <c r="AD254" s="231">
        <f>(INDEX(Models!$BJ254:$BT254,,AH254)*(1-AF254)+INDEX(Models!$BJ254:$BT254,,AH254+1)*AF254-ERP_i)*AE254*Ramure*Pc/MaxiM</f>
        <v>9.0326366996618958E-4</v>
      </c>
      <c r="AE254" s="305">
        <f t="shared" si="92"/>
        <v>0.7</v>
      </c>
      <c r="AF254" s="177">
        <f t="shared" si="93"/>
        <v>0.78441632504819836</v>
      </c>
      <c r="AG254" s="810">
        <f t="shared" si="99"/>
        <v>0</v>
      </c>
      <c r="AH254" s="176">
        <f t="shared" si="94"/>
        <v>6</v>
      </c>
      <c r="AI254" s="225">
        <f t="shared" si="95"/>
        <v>0.78441632504819836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32.202703995878274</v>
      </c>
      <c r="C255" s="840"/>
      <c r="D255" s="393">
        <f t="shared" si="77"/>
        <v>33.622524507139204</v>
      </c>
      <c r="E255" s="385">
        <f t="shared" si="100"/>
        <v>35.022300301619609</v>
      </c>
      <c r="F255" s="385">
        <f t="shared" si="78"/>
        <v>35.039833442956024</v>
      </c>
      <c r="G255" s="110">
        <f t="shared" si="101"/>
        <v>0.66385497801156423</v>
      </c>
      <c r="H255" s="414" t="b">
        <f>Wh_hp&gt;='2022'!Maxi_hp</f>
        <v>0</v>
      </c>
      <c r="I255" s="390">
        <f>IF(H255,Wh_hp,'2022'!Maxi_hp)</f>
        <v>51.532555468070449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4.2228254185953551E-2</v>
      </c>
      <c r="M255" s="844"/>
      <c r="N255" s="844"/>
      <c r="O255" s="48">
        <f>IF(t&lt;Tnet,'2022'!Resal+('2022'!Salim-'2022'!Resal)*(1-EXP(('2022'!Tnet-t)/('2022'!Tau_j))),Resal+(Salim-Resal)*(1-EXP((Tnet-t)/(Tau_j))))*Salcycl</f>
        <v>3.9968128376069993E-2</v>
      </c>
      <c r="P255" s="169">
        <f>(INDEX(Models!$BJ255:$BT255,,T255)*(1-R255)+INDEX(Models!$BJ255:$BT255,,T255+1)*R255-ERP_i)*Q255*Ramure*Pc/MaxiM</f>
        <v>9.6183720875741695E-4</v>
      </c>
      <c r="Q255" s="305">
        <f t="shared" si="80"/>
        <v>0.7</v>
      </c>
      <c r="R255" s="177">
        <f t="shared" si="81"/>
        <v>0.78499875681003406</v>
      </c>
      <c r="S255" s="810">
        <f t="shared" si="82"/>
        <v>0</v>
      </c>
      <c r="T255" s="176">
        <f t="shared" si="83"/>
        <v>6</v>
      </c>
      <c r="U255" s="251">
        <f t="shared" si="84"/>
        <v>0.78499875681003406</v>
      </c>
      <c r="V255" s="383">
        <f t="shared" si="85"/>
        <v>48.486246800076351</v>
      </c>
      <c r="W255" s="402">
        <f t="shared" si="86"/>
        <v>32.202703995878274</v>
      </c>
      <c r="X255" s="157">
        <f t="shared" si="87"/>
        <v>45167</v>
      </c>
      <c r="Y255" s="385">
        <f t="shared" si="88"/>
        <v>29.317454304444926</v>
      </c>
      <c r="Z255" s="385">
        <f t="shared" si="89"/>
        <v>30.610063861851462</v>
      </c>
      <c r="AA255" s="386">
        <f t="shared" si="90"/>
        <v>35.022300301619609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0.12598362762494214</v>
      </c>
      <c r="AD255" s="231">
        <f>(INDEX(Models!$BJ255:$BT255,,AH255)*(1-AF255)+INDEX(Models!$BJ255:$BT255,,AH255+1)*AF255-ERP_i)*AE255*Ramure*Pc/MaxiM</f>
        <v>9.6183720875741695E-4</v>
      </c>
      <c r="AE255" s="305">
        <f t="shared" si="92"/>
        <v>0.7</v>
      </c>
      <c r="AF255" s="177">
        <f t="shared" si="93"/>
        <v>0.78499875681003406</v>
      </c>
      <c r="AG255" s="810">
        <f t="shared" si="99"/>
        <v>0</v>
      </c>
      <c r="AH255" s="176">
        <f t="shared" si="94"/>
        <v>6</v>
      </c>
      <c r="AI255" s="225">
        <f t="shared" si="95"/>
        <v>0.78499875681003406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45.623411203283432</v>
      </c>
      <c r="C256" s="840"/>
      <c r="D256" s="393">
        <f t="shared" si="77"/>
        <v>47.636060628040461</v>
      </c>
      <c r="E256" s="385">
        <f t="shared" si="100"/>
        <v>49.627474760198815</v>
      </c>
      <c r="F256" s="385">
        <f t="shared" si="78"/>
        <v>49.674441947381034</v>
      </c>
      <c r="G256" s="110">
        <f t="shared" si="101"/>
        <v>0.94657934700085866</v>
      </c>
      <c r="H256" s="414" t="b">
        <f>Wh_hp&gt;='2022'!Maxi_hp</f>
        <v>0</v>
      </c>
      <c r="I256" s="390">
        <f>IF(H256,Wh_hp,'2022'!Maxi_hp)</f>
        <v>50.059646058487751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4.2250542933693125E-2</v>
      </c>
      <c r="M256" s="844"/>
      <c r="N256" s="844"/>
      <c r="O256" s="48">
        <f>IF(t&lt;Tnet,'2022'!Resal+('2022'!Salim-'2022'!Resal)*(1-EXP(('2022'!Tnet-t)/('2022'!Tau_j))),Resal+(Salim-Resal)*(1-EXP((Tnet-t)/(Tau_j))))*Salcycl</f>
        <v>4.0127250918587321E-2</v>
      </c>
      <c r="P256" s="169">
        <f>(INDEX(Models!$BJ256:$BT256,,T256)*(1-R256)+INDEX(Models!$BJ256:$BT256,,T256+1)*R256-ERP_i)*Q256*Ramure*Pc/MaxiM</f>
        <v>1.0235006568697757E-3</v>
      </c>
      <c r="Q256" s="305">
        <f t="shared" si="80"/>
        <v>0.7</v>
      </c>
      <c r="R256" s="177">
        <f t="shared" si="81"/>
        <v>0.78555939485897375</v>
      </c>
      <c r="S256" s="810">
        <f t="shared" si="82"/>
        <v>0</v>
      </c>
      <c r="T256" s="176">
        <f t="shared" si="83"/>
        <v>6</v>
      </c>
      <c r="U256" s="251">
        <f t="shared" si="84"/>
        <v>0.78555939485897375</v>
      </c>
      <c r="V256" s="383">
        <f t="shared" si="85"/>
        <v>48.194426939508816</v>
      </c>
      <c r="W256" s="402">
        <f t="shared" si="86"/>
        <v>45.623411203283432</v>
      </c>
      <c r="X256" s="157">
        <f t="shared" si="87"/>
        <v>45168</v>
      </c>
      <c r="Y256" s="385">
        <f t="shared" si="88"/>
        <v>41.539902177549273</v>
      </c>
      <c r="Z256" s="385">
        <f t="shared" si="89"/>
        <v>43.372410050526796</v>
      </c>
      <c r="AA256" s="386">
        <f t="shared" si="90"/>
        <v>49.627474760198815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0.12604035848885409</v>
      </c>
      <c r="AD256" s="231">
        <f>(INDEX(Models!$BJ256:$BT256,,AH256)*(1-AF256)+INDEX(Models!$BJ256:$BT256,,AH256+1)*AF256-ERP_i)*AE256*Ramure*Pc/MaxiM</f>
        <v>1.0235006568697757E-3</v>
      </c>
      <c r="AE256" s="305">
        <f t="shared" si="92"/>
        <v>0.7</v>
      </c>
      <c r="AF256" s="177">
        <f t="shared" si="93"/>
        <v>0.78555939485897375</v>
      </c>
      <c r="AG256" s="810">
        <f t="shared" si="99"/>
        <v>0</v>
      </c>
      <c r="AH256" s="176">
        <f t="shared" si="94"/>
        <v>6</v>
      </c>
      <c r="AI256" s="225">
        <f t="shared" si="95"/>
        <v>0.78555939485897375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24.205894785311212</v>
      </c>
      <c r="C257" s="840"/>
      <c r="D257" s="393">
        <f t="shared" si="77"/>
        <v>25.274311487580214</v>
      </c>
      <c r="E257" s="385">
        <f t="shared" si="100"/>
        <v>26.335253040561199</v>
      </c>
      <c r="F257" s="385">
        <f t="shared" si="78"/>
        <v>26.343664557438991</v>
      </c>
      <c r="G257" s="110">
        <f t="shared" si="101"/>
        <v>0.50498167310274755</v>
      </c>
      <c r="H257" s="414" t="b">
        <f>Wh_hp&gt;='2022'!Maxi_hp</f>
        <v>0</v>
      </c>
      <c r="I257" s="390">
        <f>IF(H257,Wh_hp,'2022'!Maxi_hp)</f>
        <v>49.645877215409939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4.2272831162740943E-2</v>
      </c>
      <c r="M257" s="844"/>
      <c r="N257" s="844"/>
      <c r="O257" s="48">
        <f>IF(t&lt;Tnet,'2022'!Resal+('2022'!Salim-'2022'!Resal)*(1-EXP(('2022'!Tnet-t)/('2022'!Tau_j))),Resal+(Salim-Resal)*(1-EXP((Tnet-t)/(Tau_j))))*Salcycl</f>
        <v>4.0285982874246118E-2</v>
      </c>
      <c r="P257" s="169">
        <f>(INDEX(Models!$BJ257:$BT257,,T257)*(1-R257)+INDEX(Models!$BJ257:$BT257,,T257+1)*R257-ERP_i)*Q257*Ramure*Pc/MaxiM</f>
        <v>1.0883240848565923E-3</v>
      </c>
      <c r="Q257" s="305">
        <f t="shared" si="80"/>
        <v>0.7</v>
      </c>
      <c r="R257" s="177">
        <f t="shared" si="81"/>
        <v>0.7860989926107339</v>
      </c>
      <c r="S257" s="810">
        <f t="shared" si="82"/>
        <v>0</v>
      </c>
      <c r="T257" s="176">
        <f t="shared" si="83"/>
        <v>6</v>
      </c>
      <c r="U257" s="251">
        <f t="shared" si="84"/>
        <v>0.7860989926107339</v>
      </c>
      <c r="V257" s="383">
        <f t="shared" si="85"/>
        <v>47.897330136749197</v>
      </c>
      <c r="W257" s="402">
        <f t="shared" si="86"/>
        <v>24.205894785311212</v>
      </c>
      <c r="X257" s="157">
        <f t="shared" si="87"/>
        <v>45169</v>
      </c>
      <c r="Y257" s="385">
        <f t="shared" si="88"/>
        <v>22.041584672064619</v>
      </c>
      <c r="Z257" s="385">
        <f t="shared" si="89"/>
        <v>23.01447154185308</v>
      </c>
      <c r="AA257" s="386">
        <f t="shared" si="90"/>
        <v>26.335253040561199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0.12609643406856566</v>
      </c>
      <c r="AD257" s="231">
        <f>(INDEX(Models!$BJ257:$BT257,,AH257)*(1-AF257)+INDEX(Models!$BJ257:$BT257,,AH257+1)*AF257-ERP_i)*AE257*Ramure*Pc/MaxiM</f>
        <v>1.0883240848565923E-3</v>
      </c>
      <c r="AE257" s="305">
        <f t="shared" si="92"/>
        <v>0.7</v>
      </c>
      <c r="AF257" s="177">
        <f t="shared" si="93"/>
        <v>0.7860989926107339</v>
      </c>
      <c r="AG257" s="810">
        <f t="shared" si="99"/>
        <v>0</v>
      </c>
      <c r="AH257" s="176">
        <f t="shared" si="94"/>
        <v>6</v>
      </c>
      <c r="AI257" s="225">
        <f t="shared" si="95"/>
        <v>0.7860989926107339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39.815328519368784</v>
      </c>
      <c r="C258" s="840"/>
      <c r="D258" s="393">
        <f t="shared" si="77"/>
        <v>41.573692798265547</v>
      </c>
      <c r="E258" s="385">
        <f t="shared" si="100"/>
        <v>43.325982493410592</v>
      </c>
      <c r="F258" s="385">
        <f t="shared" si="78"/>
        <v>43.364419167626153</v>
      </c>
      <c r="G258" s="110">
        <f t="shared" si="101"/>
        <v>0.83632250631587779</v>
      </c>
      <c r="H258" s="414" t="b">
        <f>Wh_hp&gt;='2022'!Maxi_hp</f>
        <v>0</v>
      </c>
      <c r="I258" s="390">
        <f>IF(H258,Wh_hp,'2022'!Maxi_hp)</f>
        <v>49.265411804235086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4.2295118873109105E-2</v>
      </c>
      <c r="M258" s="844"/>
      <c r="N258" s="844"/>
      <c r="O258" s="48">
        <f>IF(t&lt;Tnet,'2022'!Resal+('2022'!Salim-'2022'!Resal)*(1-EXP(('2022'!Tnet-t)/('2022'!Tau_j))),Resal+(Salim-Resal)*(1-EXP((Tnet-t)/(Tau_j))))*Salcycl</f>
        <v>4.0444315265361845E-2</v>
      </c>
      <c r="P258" s="169">
        <f>(INDEX(Models!$BJ258:$BT258,,T258)*(1-R258)+INDEX(Models!$BJ258:$BT258,,T258+1)*R258-ERP_i)*Q258*Ramure*Pc/MaxiM</f>
        <v>1.1563818098987004E-3</v>
      </c>
      <c r="Q258" s="305">
        <f t="shared" si="80"/>
        <v>0.7</v>
      </c>
      <c r="R258" s="177">
        <f t="shared" si="81"/>
        <v>0.78661828219683105</v>
      </c>
      <c r="S258" s="810">
        <f t="shared" si="82"/>
        <v>0</v>
      </c>
      <c r="T258" s="176">
        <f t="shared" si="83"/>
        <v>6</v>
      </c>
      <c r="U258" s="251">
        <f t="shared" si="84"/>
        <v>0.78661828219683105</v>
      </c>
      <c r="V258" s="383">
        <f t="shared" si="85"/>
        <v>47.594759015059658</v>
      </c>
      <c r="W258" s="402">
        <f t="shared" si="86"/>
        <v>39.815328519368784</v>
      </c>
      <c r="X258" s="157">
        <f t="shared" si="87"/>
        <v>45170</v>
      </c>
      <c r="Y258" s="385">
        <f t="shared" si="88"/>
        <v>36.25902326876156</v>
      </c>
      <c r="Z258" s="385">
        <f t="shared" si="89"/>
        <v>37.860330445530465</v>
      </c>
      <c r="AA258" s="386">
        <f t="shared" si="90"/>
        <v>43.325982493410592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0.12615183161077517</v>
      </c>
      <c r="AD258" s="231">
        <f>(INDEX(Models!$BJ258:$BT258,,AH258)*(1-AF258)+INDEX(Models!$BJ258:$BT258,,AH258+1)*AF258-ERP_i)*AE258*Ramure*Pc/MaxiM</f>
        <v>1.1563818098987004E-3</v>
      </c>
      <c r="AE258" s="305">
        <f t="shared" si="92"/>
        <v>0.7</v>
      </c>
      <c r="AF258" s="177">
        <f t="shared" si="93"/>
        <v>0.78661828219683105</v>
      </c>
      <c r="AG258" s="810">
        <f t="shared" si="99"/>
        <v>0</v>
      </c>
      <c r="AH258" s="176">
        <f t="shared" si="94"/>
        <v>6</v>
      </c>
      <c r="AI258" s="225">
        <f t="shared" si="95"/>
        <v>0.78661828219683105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38.962668440364062</v>
      </c>
      <c r="C259" s="840"/>
      <c r="D259" s="393">
        <f t="shared" si="77"/>
        <v>40.68432347743056</v>
      </c>
      <c r="E259" s="385">
        <f t="shared" si="100"/>
        <v>42.406106330659384</v>
      </c>
      <c r="F259" s="385">
        <f t="shared" si="78"/>
        <v>42.445113725025145</v>
      </c>
      <c r="G259" s="110">
        <f t="shared" si="101"/>
        <v>0.82371531750060456</v>
      </c>
      <c r="H259" s="414" t="b">
        <f>Wh_hp&gt;='2022'!Maxi_hp</f>
        <v>0</v>
      </c>
      <c r="I259" s="390">
        <f>IF(H259,Wh_hp,'2022'!Maxi_hp)</f>
        <v>50.515118630968004</v>
      </c>
      <c r="J259" s="85">
        <f>IF(H259,An,'2022'!An_max)</f>
        <v>2019</v>
      </c>
      <c r="K259" s="197">
        <f t="shared" si="79"/>
        <v>45171</v>
      </c>
      <c r="L259" s="147">
        <f>IF(t&lt;Tvie,1-EXP((T0-t)*PertePVj)+'2022'!Pspv,1-EXP((T0-t)*PertePVj)+Pspv)</f>
        <v>4.2317406064809715E-2</v>
      </c>
      <c r="M259" s="844"/>
      <c r="N259" s="844"/>
      <c r="O259" s="48">
        <f>IF(t&lt;Tnet,'2022'!Resal+('2022'!Salim-'2022'!Resal)*(1-EXP(('2022'!Tnet-t)/('2022'!Tau_j))),Resal+(Salim-Resal)*(1-EXP((Tnet-t)/(Tau_j))))*Salcycl</f>
        <v>4.0602238738999256E-2</v>
      </c>
      <c r="P259" s="169">
        <f>(INDEX(Models!$BJ259:$BT259,,T259)*(1-R259)+INDEX(Models!$BJ259:$BT259,,T259+1)*R259-ERP_i)*Q259*Ramure*Pc/MaxiM</f>
        <v>1.2277527076759056E-3</v>
      </c>
      <c r="Q259" s="305">
        <f t="shared" si="80"/>
        <v>0.7</v>
      </c>
      <c r="R259" s="177">
        <f t="shared" si="81"/>
        <v>0.78711797468819644</v>
      </c>
      <c r="S259" s="810">
        <f t="shared" si="82"/>
        <v>0</v>
      </c>
      <c r="T259" s="176">
        <f t="shared" si="83"/>
        <v>6</v>
      </c>
      <c r="U259" s="251">
        <f t="shared" si="84"/>
        <v>0.78711797468819644</v>
      </c>
      <c r="V259" s="383">
        <f t="shared" si="85"/>
        <v>47.286516379417264</v>
      </c>
      <c r="W259" s="402">
        <f t="shared" si="86"/>
        <v>38.962668440364062</v>
      </c>
      <c r="X259" s="157">
        <f t="shared" si="87"/>
        <v>45171</v>
      </c>
      <c r="Y259" s="385">
        <f t="shared" si="88"/>
        <v>35.486142171242236</v>
      </c>
      <c r="Z259" s="385">
        <f t="shared" si="89"/>
        <v>37.054178906423466</v>
      </c>
      <c r="AA259" s="386">
        <f t="shared" si="90"/>
        <v>42.406106330659384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0.12620652748697428</v>
      </c>
      <c r="AD259" s="231">
        <f>(INDEX(Models!$BJ259:$BT259,,AH259)*(1-AF259)+INDEX(Models!$BJ259:$BT259,,AH259+1)*AF259-ERP_i)*AE259*Ramure*Pc/MaxiM</f>
        <v>1.2277527076759056E-3</v>
      </c>
      <c r="AE259" s="305">
        <f t="shared" si="92"/>
        <v>0.7</v>
      </c>
      <c r="AF259" s="177">
        <f t="shared" si="93"/>
        <v>0.78711797468819644</v>
      </c>
      <c r="AG259" s="810">
        <f t="shared" si="99"/>
        <v>0</v>
      </c>
      <c r="AH259" s="176">
        <f t="shared" si="94"/>
        <v>6</v>
      </c>
      <c r="AI259" s="225">
        <f t="shared" si="95"/>
        <v>0.78711797468819644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36.730788036756053</v>
      </c>
      <c r="C260" s="840"/>
      <c r="D260" s="393">
        <f t="shared" si="77"/>
        <v>38.354714879815468</v>
      </c>
      <c r="E260" s="385">
        <f t="shared" si="100"/>
        <v>39.984471691678657</v>
      </c>
      <c r="F260" s="385">
        <f t="shared" si="78"/>
        <v>40.020362503134479</v>
      </c>
      <c r="G260" s="110">
        <f t="shared" si="101"/>
        <v>0.78164770513934523</v>
      </c>
      <c r="H260" s="414" t="b">
        <f>Wh_hp&gt;='2022'!Maxi_hp</f>
        <v>0</v>
      </c>
      <c r="I260" s="390">
        <f>IF(H260,Wh_hp,'2022'!Maxi_hp)</f>
        <v>52.304535343399913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4.2339692737854873E-2</v>
      </c>
      <c r="M260" s="844"/>
      <c r="N260" s="844"/>
      <c r="O260" s="48">
        <f>IF(t&lt;Tnet,'2022'!Resal+('2022'!Salim-'2022'!Resal)*(1-EXP(('2022'!Tnet-t)/('2022'!Tau_j))),Resal+(Salim-Resal)*(1-EXP((Tnet-t)/(Tau_j))))*Salcycl</f>
        <v>4.0759743543200659E-2</v>
      </c>
      <c r="P260" s="169">
        <f>(INDEX(Models!$BJ260:$BT260,,T260)*(1-R260)+INDEX(Models!$BJ260:$BT260,,T260+1)*R260-ERP_i)*Q260*Ramure*Pc/MaxiM</f>
        <v>1.302520547708822E-3</v>
      </c>
      <c r="Q260" s="305">
        <f t="shared" si="80"/>
        <v>0.7</v>
      </c>
      <c r="R260" s="177">
        <f t="shared" si="81"/>
        <v>0.78759876035109677</v>
      </c>
      <c r="S260" s="810">
        <f t="shared" si="82"/>
        <v>0</v>
      </c>
      <c r="T260" s="176">
        <f t="shared" si="83"/>
        <v>6</v>
      </c>
      <c r="U260" s="251">
        <f t="shared" si="84"/>
        <v>0.78759876035109677</v>
      </c>
      <c r="V260" s="383">
        <f t="shared" si="85"/>
        <v>46.972405200937821</v>
      </c>
      <c r="W260" s="402">
        <f t="shared" si="86"/>
        <v>36.730788036756053</v>
      </c>
      <c r="X260" s="157">
        <f t="shared" si="87"/>
        <v>45172</v>
      </c>
      <c r="Y260" s="385">
        <f t="shared" si="88"/>
        <v>33.456832387000624</v>
      </c>
      <c r="Z260" s="385">
        <f t="shared" si="89"/>
        <v>34.936012418276327</v>
      </c>
      <c r="AA260" s="386">
        <f t="shared" si="90"/>
        <v>39.984471691678657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0.12626049713326562</v>
      </c>
      <c r="AD260" s="231">
        <f>(INDEX(Models!$BJ260:$BT260,,AH260)*(1-AF260)+INDEX(Models!$BJ260:$BT260,,AH260+1)*AF260-ERP_i)*AE260*Ramure*Pc/MaxiM</f>
        <v>1.302520547708822E-3</v>
      </c>
      <c r="AE260" s="305">
        <f t="shared" si="92"/>
        <v>0.7</v>
      </c>
      <c r="AF260" s="177">
        <f t="shared" si="93"/>
        <v>0.78759876035109677</v>
      </c>
      <c r="AG260" s="810">
        <f t="shared" si="99"/>
        <v>0</v>
      </c>
      <c r="AH260" s="176">
        <f t="shared" si="94"/>
        <v>6</v>
      </c>
      <c r="AI260" s="225">
        <f t="shared" si="95"/>
        <v>0.78759876035109677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43.145591395741434</v>
      </c>
      <c r="C261" s="840"/>
      <c r="D261" s="393">
        <f t="shared" si="77"/>
        <v>45.054175424063637</v>
      </c>
      <c r="E261" s="385">
        <f t="shared" si="100"/>
        <v>46.976296050445583</v>
      </c>
      <c r="F261" s="385">
        <f t="shared" si="78"/>
        <v>47.034267287009676</v>
      </c>
      <c r="G261" s="110">
        <f t="shared" si="101"/>
        <v>0.9247045372466608</v>
      </c>
      <c r="H261" s="414" t="b">
        <f>Wh_hp&gt;='2022'!Maxi_hp</f>
        <v>0</v>
      </c>
      <c r="I261" s="390">
        <f>IF(H261,Wh_hp,'2022'!Maxi_hp)</f>
        <v>50.854678643962053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4.2361978892256458E-2</v>
      </c>
      <c r="M261" s="844"/>
      <c r="N261" s="844"/>
      <c r="O261" s="48">
        <f>IF(t&lt;Tnet,'2022'!Resal+('2022'!Salim-'2022'!Resal)*(1-EXP(('2022'!Tnet-t)/('2022'!Tau_j))),Resal+(Salim-Resal)*(1-EXP((Tnet-t)/(Tau_j))))*Salcycl</f>
        <v>4.0916819502284152E-2</v>
      </c>
      <c r="P261" s="169">
        <f>(INDEX(Models!$BJ261:$BT261,,T261)*(1-R261)+INDEX(Models!$BJ261:$BT261,,T261+1)*R261-ERP_i)*Q261*Ramure*Pc/MaxiM</f>
        <v>1.3807852355684836E-3</v>
      </c>
      <c r="Q261" s="305">
        <f t="shared" si="80"/>
        <v>0.7</v>
      </c>
      <c r="R261" s="177">
        <f t="shared" si="81"/>
        <v>0.78806130893170812</v>
      </c>
      <c r="S261" s="810">
        <f t="shared" si="82"/>
        <v>0</v>
      </c>
      <c r="T261" s="176">
        <f t="shared" si="83"/>
        <v>6</v>
      </c>
      <c r="U261" s="251">
        <f t="shared" si="84"/>
        <v>0.78806130893170812</v>
      </c>
      <c r="V261" s="383">
        <f t="shared" si="85"/>
        <v>46.651860446533405</v>
      </c>
      <c r="W261" s="402">
        <f t="shared" si="86"/>
        <v>43.145591395741434</v>
      </c>
      <c r="X261" s="157">
        <f t="shared" si="87"/>
        <v>45173</v>
      </c>
      <c r="Y261" s="385">
        <f t="shared" si="88"/>
        <v>39.303902130375363</v>
      </c>
      <c r="Z261" s="385">
        <f t="shared" si="89"/>
        <v>41.042545579916251</v>
      </c>
      <c r="AA261" s="386">
        <f t="shared" si="90"/>
        <v>46.976296050445583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0.12631371498845634</v>
      </c>
      <c r="AD261" s="231">
        <f>(INDEX(Models!$BJ261:$BT261,,AH261)*(1-AF261)+INDEX(Models!$BJ261:$BT261,,AH261+1)*AF261-ERP_i)*AE261*Ramure*Pc/MaxiM</f>
        <v>1.3807852355684836E-3</v>
      </c>
      <c r="AE261" s="305">
        <f t="shared" si="92"/>
        <v>0.7</v>
      </c>
      <c r="AF261" s="177">
        <f t="shared" si="93"/>
        <v>0.78806130893170812</v>
      </c>
      <c r="AG261" s="810">
        <f t="shared" si="99"/>
        <v>0</v>
      </c>
      <c r="AH261" s="176">
        <f t="shared" si="94"/>
        <v>6</v>
      </c>
      <c r="AI261" s="225">
        <f t="shared" si="95"/>
        <v>0.78806130893170812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37.607829267312347</v>
      </c>
      <c r="C262" s="840"/>
      <c r="D262" s="393">
        <f t="shared" si="77"/>
        <v>39.272359333962747</v>
      </c>
      <c r="E262" s="385">
        <f t="shared" si="100"/>
        <v>40.954502281071818</v>
      </c>
      <c r="F262" s="385">
        <f t="shared" si="78"/>
        <v>40.998301089257588</v>
      </c>
      <c r="G262" s="110">
        <f t="shared" si="101"/>
        <v>0.81151022717065457</v>
      </c>
      <c r="H262" s="414" t="b">
        <f>Wh_hp&gt;='2022'!Maxi_hp</f>
        <v>0</v>
      </c>
      <c r="I262" s="390">
        <f>IF(H262,Wh_hp,'2022'!Maxi_hp)</f>
        <v>50.429886494595955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4.2384264528026794E-2</v>
      </c>
      <c r="M262" s="844"/>
      <c r="N262" s="844"/>
      <c r="O262" s="48">
        <f>IF(t&lt;Tnet,'2022'!Resal+('2022'!Salim-'2022'!Resal)*(1-EXP(('2022'!Tnet-t)/('2022'!Tau_j))),Resal+(Salim-Resal)*(1-EXP((Tnet-t)/(Tau_j))))*Salcycl</f>
        <v>4.1073455991834026E-2</v>
      </c>
      <c r="P262" s="169">
        <f>(INDEX(Models!$BJ262:$BT262,,T262)*(1-R262)+INDEX(Models!$BJ262:$BT262,,T262+1)*R262-ERP_i)*Q262*Ramure*Pc/MaxiM</f>
        <v>1.4610639584336593E-3</v>
      </c>
      <c r="Q262" s="305">
        <f t="shared" si="80"/>
        <v>0.7</v>
      </c>
      <c r="R262" s="177">
        <f t="shared" si="81"/>
        <v>0.78850626996592565</v>
      </c>
      <c r="S262" s="810">
        <f t="shared" si="82"/>
        <v>0</v>
      </c>
      <c r="T262" s="176">
        <f t="shared" si="83"/>
        <v>6</v>
      </c>
      <c r="U262" s="251">
        <f t="shared" si="84"/>
        <v>0.78850626996592565</v>
      </c>
      <c r="V262" s="383">
        <f t="shared" si="85"/>
        <v>46.324792354577383</v>
      </c>
      <c r="W262" s="402">
        <f t="shared" si="86"/>
        <v>37.607829267312347</v>
      </c>
      <c r="X262" s="157">
        <f t="shared" si="87"/>
        <v>45174</v>
      </c>
      <c r="Y262" s="385">
        <f t="shared" si="88"/>
        <v>34.26276257712297</v>
      </c>
      <c r="Z262" s="385">
        <f t="shared" si="89"/>
        <v>35.77923932112094</v>
      </c>
      <c r="AA262" s="386">
        <f t="shared" si="90"/>
        <v>40.954502281071818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0.12636615443237259</v>
      </c>
      <c r="AD262" s="231">
        <f>(INDEX(Models!$BJ262:$BT262,,AH262)*(1-AF262)+INDEX(Models!$BJ262:$BT262,,AH262+1)*AF262-ERP_i)*AE262*Ramure*Pc/MaxiM</f>
        <v>1.4610639584336593E-3</v>
      </c>
      <c r="AE262" s="305">
        <f t="shared" si="92"/>
        <v>0.7</v>
      </c>
      <c r="AF262" s="177">
        <f t="shared" si="93"/>
        <v>0.78850626996592565</v>
      </c>
      <c r="AG262" s="810">
        <f t="shared" si="99"/>
        <v>0</v>
      </c>
      <c r="AH262" s="176">
        <f t="shared" si="94"/>
        <v>6</v>
      </c>
      <c r="AI262" s="225">
        <f t="shared" si="95"/>
        <v>0.78850626996592565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43.565332628696922</v>
      </c>
      <c r="C263" s="840"/>
      <c r="D263" s="393">
        <f t="shared" si="77"/>
        <v>45.494601714907745</v>
      </c>
      <c r="E263" s="385">
        <f t="shared" si="100"/>
        <v>47.450988999838223</v>
      </c>
      <c r="F263" s="385">
        <f t="shared" si="78"/>
        <v>47.518726314832705</v>
      </c>
      <c r="G263" s="110">
        <f t="shared" si="101"/>
        <v>0.94713342468475814</v>
      </c>
      <c r="H263" s="414" t="b">
        <f>Wh_hp&gt;='2022'!Maxi_hp</f>
        <v>0</v>
      </c>
      <c r="I263" s="390">
        <f>IF(H263,Wh_hp,'2022'!Maxi_hp)</f>
        <v>52.380979169463878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4.240654964517776E-2</v>
      </c>
      <c r="M263" s="844"/>
      <c r="N263" s="844"/>
      <c r="O263" s="48">
        <f>IF(t&lt;Tnet,'2022'!Resal+('2022'!Salim-'2022'!Resal)*(1-EXP(('2022'!Tnet-t)/('2022'!Tau_j))),Resal+(Salim-Resal)*(1-EXP((Tnet-t)/(Tau_j))))*Salcycl</f>
        <v>4.1229641914042103E-2</v>
      </c>
      <c r="P263" s="169">
        <f>(INDEX(Models!$BJ263:$BT263,,T263)*(1-R263)+INDEX(Models!$BJ263:$BT263,,T263+1)*R263-ERP_i)*Q263*Ramure*Pc/MaxiM</f>
        <v>1.5416771419533601E-3</v>
      </c>
      <c r="Q263" s="305">
        <f t="shared" si="80"/>
        <v>0.7</v>
      </c>
      <c r="R263" s="177">
        <f t="shared" si="81"/>
        <v>0.78893427311123099</v>
      </c>
      <c r="S263" s="810">
        <f t="shared" si="82"/>
        <v>0</v>
      </c>
      <c r="T263" s="176">
        <f t="shared" si="83"/>
        <v>6</v>
      </c>
      <c r="U263" s="251">
        <f t="shared" si="84"/>
        <v>0.78893427311123099</v>
      </c>
      <c r="V263" s="383">
        <f t="shared" si="85"/>
        <v>45.991686487490483</v>
      </c>
      <c r="W263" s="402">
        <f t="shared" si="86"/>
        <v>43.565332628696922</v>
      </c>
      <c r="X263" s="157">
        <f t="shared" si="87"/>
        <v>45175</v>
      </c>
      <c r="Y263" s="385">
        <f t="shared" si="88"/>
        <v>39.694489233260363</v>
      </c>
      <c r="Z263" s="385">
        <f t="shared" si="89"/>
        <v>41.452339945048863</v>
      </c>
      <c r="AA263" s="386">
        <f t="shared" si="90"/>
        <v>47.450988999838223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0.12641778772640155</v>
      </c>
      <c r="AD263" s="231">
        <f>(INDEX(Models!$BJ263:$BT263,,AH263)*(1-AF263)+INDEX(Models!$BJ263:$BT263,,AH263+1)*AF263-ERP_i)*AE263*Ramure*Pc/MaxiM</f>
        <v>1.5416771419533601E-3</v>
      </c>
      <c r="AE263" s="305">
        <f t="shared" si="92"/>
        <v>0.7</v>
      </c>
      <c r="AF263" s="177">
        <f t="shared" si="93"/>
        <v>0.78893427311123099</v>
      </c>
      <c r="AG263" s="810">
        <f t="shared" si="99"/>
        <v>0</v>
      </c>
      <c r="AH263" s="176">
        <f t="shared" si="94"/>
        <v>6</v>
      </c>
      <c r="AI263" s="225">
        <f t="shared" si="95"/>
        <v>0.78893427311123099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35.605920349211274</v>
      </c>
      <c r="C264" s="840"/>
      <c r="D264" s="393">
        <f t="shared" si="77"/>
        <v>37.183576137748609</v>
      </c>
      <c r="E264" s="385">
        <f t="shared" si="100"/>
        <v>38.788867607780382</v>
      </c>
      <c r="F264" s="385">
        <f t="shared" si="78"/>
        <v>38.832068174264258</v>
      </c>
      <c r="G264" s="110">
        <f t="shared" si="101"/>
        <v>0.77952766124907724</v>
      </c>
      <c r="H264" s="414" t="b">
        <f>Wh_hp&gt;='2022'!Maxi_hp</f>
        <v>0</v>
      </c>
      <c r="I264" s="390">
        <f>IF(H264,Wh_hp,'2022'!Maxi_hp)</f>
        <v>46.142327737727975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4.2428834243721569E-2</v>
      </c>
      <c r="M264" s="844"/>
      <c r="N264" s="844"/>
      <c r="O264" s="48">
        <f>IF(t&lt;Tnet,'2022'!Resal+('2022'!Salim-'2022'!Resal)*(1-EXP(('2022'!Tnet-t)/('2022'!Tau_j))),Resal+(Salim-Resal)*(1-EXP((Tnet-t)/(Tau_j))))*Salcycl</f>
        <v>4.1385365674087904E-2</v>
      </c>
      <c r="P264" s="169">
        <f>(INDEX(Models!$BJ264:$BT264,,T264)*(1-R264)+INDEX(Models!$BJ264:$BT264,,T264+1)*R264-ERP_i)*Q264*Ramure*Pc/MaxiM</f>
        <v>1.6226419528133347E-3</v>
      </c>
      <c r="Q264" s="305">
        <f t="shared" si="80"/>
        <v>0.7</v>
      </c>
      <c r="R264" s="177">
        <f t="shared" si="81"/>
        <v>0.78934592849766105</v>
      </c>
      <c r="S264" s="810">
        <f t="shared" si="82"/>
        <v>0</v>
      </c>
      <c r="T264" s="176">
        <f t="shared" si="83"/>
        <v>6</v>
      </c>
      <c r="U264" s="251">
        <f t="shared" si="84"/>
        <v>0.78934592849766105</v>
      </c>
      <c r="V264" s="383">
        <f t="shared" si="85"/>
        <v>45.652948207220462</v>
      </c>
      <c r="W264" s="402">
        <f t="shared" si="86"/>
        <v>35.605920349211274</v>
      </c>
      <c r="X264" s="157">
        <f t="shared" si="87"/>
        <v>45176</v>
      </c>
      <c r="Y264" s="385">
        <f t="shared" si="88"/>
        <v>32.445665690023418</v>
      </c>
      <c r="Z264" s="385">
        <f t="shared" si="89"/>
        <v>33.883294370500614</v>
      </c>
      <c r="AA264" s="386">
        <f t="shared" si="90"/>
        <v>38.788867607780382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0.12646858595830202</v>
      </c>
      <c r="AD264" s="231">
        <f>(INDEX(Models!$BJ264:$BT264,,AH264)*(1-AF264)+INDEX(Models!$BJ264:$BT264,,AH264+1)*AF264-ERP_i)*AE264*Ramure*Pc/MaxiM</f>
        <v>1.6226419528133347E-3</v>
      </c>
      <c r="AE264" s="305">
        <f t="shared" si="92"/>
        <v>0.7</v>
      </c>
      <c r="AF264" s="177">
        <f t="shared" si="93"/>
        <v>0.78934592849766105</v>
      </c>
      <c r="AG264" s="810">
        <f t="shared" si="99"/>
        <v>0</v>
      </c>
      <c r="AH264" s="176">
        <f t="shared" si="94"/>
        <v>6</v>
      </c>
      <c r="AI264" s="225">
        <f t="shared" si="95"/>
        <v>0.78934592849766105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33.42242162516493</v>
      </c>
      <c r="C265" s="840"/>
      <c r="D265" s="393">
        <f t="shared" si="77"/>
        <v>34.904141464458789</v>
      </c>
      <c r="E265" s="385">
        <f t="shared" si="100"/>
        <v>36.416922841464356</v>
      </c>
      <c r="F265" s="385">
        <f t="shared" si="78"/>
        <v>36.455761420964713</v>
      </c>
      <c r="G265" s="110">
        <f t="shared" si="101"/>
        <v>0.7371839539521704</v>
      </c>
      <c r="H265" s="414" t="b">
        <f>Wh_hp&gt;='2022'!Maxi_hp</f>
        <v>0</v>
      </c>
      <c r="I265" s="390">
        <f>IF(H265,Wh_hp,'2022'!Maxi_hp)</f>
        <v>44.813483820108679</v>
      </c>
      <c r="J265" s="85">
        <f>IF(H265,An,'2022'!An_max)</f>
        <v>2019</v>
      </c>
      <c r="K265" s="197">
        <f t="shared" si="79"/>
        <v>45177</v>
      </c>
      <c r="L265" s="147">
        <f>IF(t&lt;Tvie,1-EXP((T0-t)*PertePVj)+'2022'!Pspv,1-EXP((T0-t)*PertePVj)+Pspv)</f>
        <v>4.2451118323670101E-2</v>
      </c>
      <c r="M265" s="844"/>
      <c r="N265" s="844"/>
      <c r="O265" s="48">
        <f>IF(t&lt;Tnet,'2022'!Resal+('2022'!Salim-'2022'!Resal)*(1-EXP(('2022'!Tnet-t)/('2022'!Tau_j))),Resal+(Salim-Resal)*(1-EXP((Tnet-t)/(Tau_j))))*Salcycl</f>
        <v>4.1540615158266826E-2</v>
      </c>
      <c r="P265" s="169">
        <f>(INDEX(Models!$BJ265:$BT265,,T265)*(1-R265)+INDEX(Models!$BJ265:$BT265,,T265+1)*R265-ERP_i)*Q265*Ramure*Pc/MaxiM</f>
        <v>1.7039732870885573E-3</v>
      </c>
      <c r="Q265" s="305">
        <f t="shared" si="80"/>
        <v>0.7</v>
      </c>
      <c r="R265" s="177">
        <f t="shared" si="81"/>
        <v>0.78974182709513774</v>
      </c>
      <c r="S265" s="810">
        <f t="shared" si="82"/>
        <v>0</v>
      </c>
      <c r="T265" s="176">
        <f t="shared" si="83"/>
        <v>6</v>
      </c>
      <c r="U265" s="251">
        <f t="shared" si="84"/>
        <v>0.78974182709513774</v>
      </c>
      <c r="V265" s="383">
        <f t="shared" si="85"/>
        <v>45.30898257350578</v>
      </c>
      <c r="W265" s="402">
        <f t="shared" si="86"/>
        <v>33.42242162516493</v>
      </c>
      <c r="X265" s="157">
        <f t="shared" si="87"/>
        <v>45177</v>
      </c>
      <c r="Y265" s="385">
        <f t="shared" si="88"/>
        <v>30.459158522193338</v>
      </c>
      <c r="Z265" s="385">
        <f t="shared" si="89"/>
        <v>31.809507697267744</v>
      </c>
      <c r="AA265" s="386">
        <f t="shared" si="90"/>
        <v>36.416922841464356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0.12651851899333461</v>
      </c>
      <c r="AD265" s="231">
        <f>(INDEX(Models!$BJ265:$BT265,,AH265)*(1-AF265)+INDEX(Models!$BJ265:$BT265,,AH265+1)*AF265-ERP_i)*AE265*Ramure*Pc/MaxiM</f>
        <v>1.7039732870885573E-3</v>
      </c>
      <c r="AE265" s="305">
        <f t="shared" si="92"/>
        <v>0.7</v>
      </c>
      <c r="AF265" s="177">
        <f t="shared" si="93"/>
        <v>0.78974182709513774</v>
      </c>
      <c r="AG265" s="810">
        <f t="shared" si="99"/>
        <v>0</v>
      </c>
      <c r="AH265" s="176">
        <f t="shared" si="94"/>
        <v>6</v>
      </c>
      <c r="AI265" s="225">
        <f t="shared" si="95"/>
        <v>0.78974182709513774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24.783147317457733</v>
      </c>
      <c r="C266" s="840"/>
      <c r="D266" s="393">
        <f t="shared" si="77"/>
        <v>25.88246359552528</v>
      </c>
      <c r="E266" s="385">
        <f t="shared" si="100"/>
        <v>27.008597259814408</v>
      </c>
      <c r="F266" s="385">
        <f t="shared" si="78"/>
        <v>27.025917280398279</v>
      </c>
      <c r="G266" s="110">
        <f t="shared" si="101"/>
        <v>0.55059274820417081</v>
      </c>
      <c r="H266" s="414" t="b">
        <f>Wh_hp&gt;='2022'!Maxi_hp</f>
        <v>0</v>
      </c>
      <c r="I266" s="390">
        <f>IF(H266,Wh_hp,'2022'!Maxi_hp)</f>
        <v>47.032768626922746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4.2473401885035567E-2</v>
      </c>
      <c r="M266" s="844"/>
      <c r="N266" s="844"/>
      <c r="O266" s="48">
        <f>IF(t&lt;Tnet,'2022'!Resal+('2022'!Salim-'2022'!Resal)*(1-EXP(('2022'!Tnet-t)/('2022'!Tau_j))),Resal+(Salim-Resal)*(1-EXP((Tnet-t)/(Tau_j))))*Salcycl</f>
        <v>4.1695377714587305E-2</v>
      </c>
      <c r="P266" s="169">
        <f>(INDEX(Models!$BJ266:$BT266,,T266)*(1-R266)+INDEX(Models!$BJ266:$BT266,,T266+1)*R266-ERP_i)*Q266*Ramure*Pc/MaxiM</f>
        <v>1.7856836521921526E-3</v>
      </c>
      <c r="Q266" s="305">
        <f t="shared" si="80"/>
        <v>0.7</v>
      </c>
      <c r="R266" s="177">
        <f t="shared" si="81"/>
        <v>0.79012254109462188</v>
      </c>
      <c r="S266" s="810">
        <f t="shared" si="82"/>
        <v>0</v>
      </c>
      <c r="T266" s="176">
        <f t="shared" si="83"/>
        <v>6</v>
      </c>
      <c r="U266" s="251">
        <f t="shared" si="84"/>
        <v>0.79012254109462188</v>
      </c>
      <c r="V266" s="383">
        <f t="shared" si="85"/>
        <v>44.960194346724336</v>
      </c>
      <c r="W266" s="402">
        <f t="shared" si="86"/>
        <v>24.783147317457733</v>
      </c>
      <c r="X266" s="157">
        <f t="shared" si="87"/>
        <v>45178</v>
      </c>
      <c r="Y266" s="385">
        <f t="shared" si="88"/>
        <v>22.588229715421054</v>
      </c>
      <c r="Z266" s="385">
        <f t="shared" si="89"/>
        <v>23.59018512894513</v>
      </c>
      <c r="AA266" s="386">
        <f t="shared" si="90"/>
        <v>27.008597259814408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0.12656755543374584</v>
      </c>
      <c r="AD266" s="231">
        <f>(INDEX(Models!$BJ266:$BT266,,AH266)*(1-AF266)+INDEX(Models!$BJ266:$BT266,,AH266+1)*AF266-ERP_i)*AE266*Ramure*Pc/MaxiM</f>
        <v>1.7856836521921526E-3</v>
      </c>
      <c r="AE266" s="305">
        <f t="shared" si="92"/>
        <v>0.7</v>
      </c>
      <c r="AF266" s="177">
        <f t="shared" si="93"/>
        <v>0.79012254109462188</v>
      </c>
      <c r="AG266" s="810">
        <f t="shared" si="99"/>
        <v>0</v>
      </c>
      <c r="AH266" s="176">
        <f t="shared" si="94"/>
        <v>6</v>
      </c>
      <c r="AI266" s="225">
        <f t="shared" si="95"/>
        <v>0.79012254109462188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43.350391689701915</v>
      </c>
      <c r="C267" s="840"/>
      <c r="D267" s="393">
        <f t="shared" si="77"/>
        <v>45.27435647789688</v>
      </c>
      <c r="E267" s="385">
        <f t="shared" si="100"/>
        <v>47.251828496259868</v>
      </c>
      <c r="F267" s="385">
        <f t="shared" si="78"/>
        <v>47.336685045794361</v>
      </c>
      <c r="G267" s="110">
        <f t="shared" si="101"/>
        <v>0.97175642898022851</v>
      </c>
      <c r="H267" s="414" t="b">
        <f>Wh_hp&gt;='2022'!Maxi_hp</f>
        <v>0</v>
      </c>
      <c r="I267" s="390">
        <f>IF(H267,Wh_hp,'2022'!Maxi_hp)</f>
        <v>47.337511417487256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4.2495684927830069E-2</v>
      </c>
      <c r="M267" s="844"/>
      <c r="N267" s="844"/>
      <c r="O267" s="48">
        <f>IF(t&lt;Tnet,'2022'!Resal+('2022'!Salim-'2022'!Resal)*(1-EXP(('2022'!Tnet-t)/('2022'!Tau_j))),Resal+(Salim-Resal)*(1-EXP((Tnet-t)/(Tau_j))))*Salcycl</f>
        <v>4.1849640136561318E-2</v>
      </c>
      <c r="P267" s="169">
        <f>(INDEX(Models!$BJ267:$BT267,,T267)*(1-R267)+INDEX(Models!$BJ267:$BT267,,T267+1)*R267-ERP_i)*Q267*Ramure*Pc/MaxiM</f>
        <v>1.8677830376593743E-3</v>
      </c>
      <c r="Q267" s="305">
        <f t="shared" si="80"/>
        <v>0.7</v>
      </c>
      <c r="R267" s="177">
        <f t="shared" si="81"/>
        <v>0.79048862430075384</v>
      </c>
      <c r="S267" s="810">
        <f t="shared" si="82"/>
        <v>0</v>
      </c>
      <c r="T267" s="176">
        <f t="shared" si="83"/>
        <v>6</v>
      </c>
      <c r="U267" s="251">
        <f t="shared" si="84"/>
        <v>0.79048862430075384</v>
      </c>
      <c r="V267" s="383">
        <f t="shared" si="85"/>
        <v>44.606987997248076</v>
      </c>
      <c r="W267" s="402">
        <f t="shared" si="86"/>
        <v>43.350391689701915</v>
      </c>
      <c r="X267" s="157">
        <f t="shared" si="87"/>
        <v>45179</v>
      </c>
      <c r="Y267" s="385">
        <f t="shared" si="88"/>
        <v>39.515252207212356</v>
      </c>
      <c r="Z267" s="385">
        <f t="shared" si="89"/>
        <v>41.26900692268314</v>
      </c>
      <c r="AA267" s="386">
        <f t="shared" si="90"/>
        <v>47.251828496259868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0.12661566258859783</v>
      </c>
      <c r="AD267" s="231">
        <f>(INDEX(Models!$BJ267:$BT267,,AH267)*(1-AF267)+INDEX(Models!$BJ267:$BT267,,AH267+1)*AF267-ERP_i)*AE267*Ramure*Pc/MaxiM</f>
        <v>1.8677830376593743E-3</v>
      </c>
      <c r="AE267" s="305">
        <f t="shared" si="92"/>
        <v>0.7</v>
      </c>
      <c r="AF267" s="177">
        <f t="shared" si="93"/>
        <v>0.79048862430075384</v>
      </c>
      <c r="AG267" s="810">
        <f t="shared" si="99"/>
        <v>0</v>
      </c>
      <c r="AH267" s="176">
        <f t="shared" si="94"/>
        <v>6</v>
      </c>
      <c r="AI267" s="225">
        <f t="shared" si="95"/>
        <v>0.79048862430075384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42.065077776293542</v>
      </c>
      <c r="C268" s="840"/>
      <c r="D268" s="393">
        <f t="shared" si="77"/>
        <v>43.933020512515611</v>
      </c>
      <c r="E268" s="385">
        <f t="shared" si="100"/>
        <v>45.859265045465229</v>
      </c>
      <c r="F268" s="385">
        <f t="shared" si="78"/>
        <v>45.942400045117644</v>
      </c>
      <c r="G268" s="110">
        <f t="shared" si="101"/>
        <v>0.95049419238262089</v>
      </c>
      <c r="H268" s="414" t="b">
        <f>Wh_hp&gt;='2022'!Maxi_hp</f>
        <v>0</v>
      </c>
      <c r="I268" s="390">
        <f>IF(H268,Wh_hp,'2022'!Maxi_hp)</f>
        <v>47.199084138700862</v>
      </c>
      <c r="J268" s="85">
        <f>IF(H268,An,'2022'!An_max)</f>
        <v>2019</v>
      </c>
      <c r="K268" s="197">
        <f t="shared" si="79"/>
        <v>45180</v>
      </c>
      <c r="L268" s="147">
        <f>IF(t&lt;Tvie,1-EXP((T0-t)*PertePVj)+'2022'!Pspv,1-EXP((T0-t)*PertePVj)+Pspv)</f>
        <v>4.2517967452065597E-2</v>
      </c>
      <c r="M268" s="844"/>
      <c r="N268" s="844"/>
      <c r="O268" s="48">
        <f>IF(t&lt;Tnet,'2022'!Resal+('2022'!Salim-'2022'!Resal)*(1-EXP(('2022'!Tnet-t)/('2022'!Tau_j))),Resal+(Salim-Resal)*(1-EXP((Tnet-t)/(Tau_j))))*Salcycl</f>
        <v>4.2003388650906671E-2</v>
      </c>
      <c r="P268" s="169">
        <f>(INDEX(Models!$BJ268:$BT268,,T268)*(1-R268)+INDEX(Models!$BJ268:$BT268,,T268+1)*R268-ERP_i)*Q268*Ramure*Pc/MaxiM</f>
        <v>1.9468725934648986E-3</v>
      </c>
      <c r="Q268" s="305">
        <f t="shared" si="80"/>
        <v>0.7</v>
      </c>
      <c r="R268" s="177">
        <f t="shared" si="81"/>
        <v>0.79084061253382321</v>
      </c>
      <c r="S268" s="810">
        <f t="shared" si="82"/>
        <v>0</v>
      </c>
      <c r="T268" s="176">
        <f t="shared" si="83"/>
        <v>6</v>
      </c>
      <c r="U268" s="251">
        <f t="shared" si="84"/>
        <v>0.79084061253382321</v>
      </c>
      <c r="V268" s="383">
        <f t="shared" si="85"/>
        <v>44.249918717524771</v>
      </c>
      <c r="W268" s="402">
        <f t="shared" si="86"/>
        <v>42.065077776293542</v>
      </c>
      <c r="X268" s="157">
        <f t="shared" si="87"/>
        <v>45180</v>
      </c>
      <c r="Y268" s="385">
        <f t="shared" si="88"/>
        <v>38.347731647640451</v>
      </c>
      <c r="Z268" s="385">
        <f t="shared" si="89"/>
        <v>40.050601832803217</v>
      </c>
      <c r="AA268" s="386">
        <f t="shared" si="90"/>
        <v>45.859265045465229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0.12666280645586583</v>
      </c>
      <c r="AD268" s="231">
        <f>(INDEX(Models!$BJ268:$BT268,,AH268)*(1-AF268)+INDEX(Models!$BJ268:$BT268,,AH268+1)*AF268-ERP_i)*AE268*Ramure*Pc/MaxiM</f>
        <v>1.9468725934648986E-3</v>
      </c>
      <c r="AE268" s="305">
        <f t="shared" si="92"/>
        <v>0.7</v>
      </c>
      <c r="AF268" s="177">
        <f t="shared" si="93"/>
        <v>0.79084061253382321</v>
      </c>
      <c r="AG268" s="810">
        <f t="shared" si="99"/>
        <v>0</v>
      </c>
      <c r="AH268" s="176">
        <f t="shared" si="94"/>
        <v>6</v>
      </c>
      <c r="AI268" s="225">
        <f t="shared" si="95"/>
        <v>0.79084061253382321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29.872200530449284</v>
      </c>
      <c r="C269" s="840"/>
      <c r="D269" s="393">
        <f t="shared" si="77"/>
        <v>31.199432157363816</v>
      </c>
      <c r="E269" s="385">
        <f t="shared" si="100"/>
        <v>32.572581747267968</v>
      </c>
      <c r="F269" s="385">
        <f t="shared" si="78"/>
        <v>32.60843547580911</v>
      </c>
      <c r="G269" s="110">
        <f t="shared" si="101"/>
        <v>0.67999549301979378</v>
      </c>
      <c r="H269" s="414" t="b">
        <f>Wh_hp&gt;='2022'!Maxi_hp</f>
        <v>0</v>
      </c>
      <c r="I269" s="390">
        <f>IF(H269,Wh_hp,'2022'!Maxi_hp)</f>
        <v>47.524500971153024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4.2540249457754142E-2</v>
      </c>
      <c r="M269" s="844"/>
      <c r="N269" s="844"/>
      <c r="O269" s="48">
        <f>IF(t&lt;Tnet,'2022'!Resal+('2022'!Salim-'2022'!Resal)*(1-EXP(('2022'!Tnet-t)/('2022'!Tau_j))),Resal+(Salim-Resal)*(1-EXP((Tnet-t)/(Tau_j))))*Salcycl</f>
        <v>4.215660890986403E-2</v>
      </c>
      <c r="P269" s="169">
        <f>(INDEX(Models!$BJ269:$BT269,,T269)*(1-R269)+INDEX(Models!$BJ269:$BT269,,T269+1)*R269-ERP_i)*Q269*Ramure*Pc/MaxiM</f>
        <v>2.0221161330764431E-3</v>
      </c>
      <c r="Q269" s="305">
        <f t="shared" si="80"/>
        <v>0.7</v>
      </c>
      <c r="R269" s="177">
        <f t="shared" si="81"/>
        <v>0.79117902403909279</v>
      </c>
      <c r="S269" s="810">
        <f t="shared" si="82"/>
        <v>0</v>
      </c>
      <c r="T269" s="176">
        <f t="shared" si="83"/>
        <v>6</v>
      </c>
      <c r="U269" s="251">
        <f t="shared" si="84"/>
        <v>0.79117902403909279</v>
      </c>
      <c r="V269" s="383">
        <f t="shared" si="85"/>
        <v>43.889423705113366</v>
      </c>
      <c r="W269" s="402">
        <f t="shared" si="86"/>
        <v>29.872200530449284</v>
      </c>
      <c r="X269" s="157">
        <f t="shared" si="87"/>
        <v>45181</v>
      </c>
      <c r="Y269" s="385">
        <f t="shared" si="88"/>
        <v>27.235272027107811</v>
      </c>
      <c r="Z269" s="385">
        <f t="shared" si="89"/>
        <v>28.445344059302169</v>
      </c>
      <c r="AA269" s="386">
        <f t="shared" si="90"/>
        <v>32.572581747267968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0.12670895171863289</v>
      </c>
      <c r="AD269" s="231">
        <f>(INDEX(Models!$BJ269:$BT269,,AH269)*(1-AF269)+INDEX(Models!$BJ269:$BT269,,AH269+1)*AF269-ERP_i)*AE269*Ramure*Pc/MaxiM</f>
        <v>2.0221161330764431E-3</v>
      </c>
      <c r="AE269" s="305">
        <f t="shared" si="92"/>
        <v>0.7</v>
      </c>
      <c r="AF269" s="177">
        <f t="shared" si="93"/>
        <v>0.79117902403909279</v>
      </c>
      <c r="AG269" s="810">
        <f t="shared" si="99"/>
        <v>0</v>
      </c>
      <c r="AH269" s="176">
        <f t="shared" si="94"/>
        <v>6</v>
      </c>
      <c r="AI269" s="225">
        <f t="shared" si="95"/>
        <v>0.79117902403909279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14.034123738664876</v>
      </c>
      <c r="C270" s="840"/>
      <c r="D270" s="393">
        <f t="shared" si="77"/>
        <v>14.65800555363197</v>
      </c>
      <c r="E270" s="385">
        <f t="shared" si="100"/>
        <v>15.305573437418388</v>
      </c>
      <c r="F270" s="385">
        <f t="shared" si="78"/>
        <v>15.306600261268599</v>
      </c>
      <c r="G270" s="110">
        <f t="shared" si="101"/>
        <v>0.32177811423291275</v>
      </c>
      <c r="H270" s="414" t="b">
        <f>Wh_hp&gt;='2022'!Maxi_hp</f>
        <v>0</v>
      </c>
      <c r="I270" s="390">
        <f>IF(H270,Wh_hp,'2022'!Maxi_hp)</f>
        <v>45.574582062693615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4.2562530944908028E-2</v>
      </c>
      <c r="M270" s="844"/>
      <c r="N270" s="844"/>
      <c r="O270" s="48">
        <f>IF(t&lt;Tnet,'2022'!Resal+('2022'!Salim-'2022'!Resal)*(1-EXP(('2022'!Tnet-t)/('2022'!Tau_j))),Resal+(Salim-Resal)*(1-EXP((Tnet-t)/(Tau_j))))*Salcycl</f>
        <v>4.2309285988806802E-2</v>
      </c>
      <c r="P270" s="169">
        <f>(INDEX(Models!$BJ270:$BT270,,T270)*(1-R270)+INDEX(Models!$BJ270:$BT270,,T270+1)*R270-ERP_i)*Q270*Ramure*Pc/MaxiM</f>
        <v>2.0934214764880541E-3</v>
      </c>
      <c r="Q270" s="305">
        <f t="shared" si="80"/>
        <v>0.7</v>
      </c>
      <c r="R270" s="177">
        <f t="shared" si="81"/>
        <v>0.79150435990166079</v>
      </c>
      <c r="S270" s="810">
        <f t="shared" si="82"/>
        <v>0</v>
      </c>
      <c r="T270" s="176">
        <f t="shared" si="83"/>
        <v>6</v>
      </c>
      <c r="U270" s="251">
        <f t="shared" si="84"/>
        <v>0.79150435990166079</v>
      </c>
      <c r="V270" s="383">
        <f t="shared" si="85"/>
        <v>43.52590600994084</v>
      </c>
      <c r="W270" s="402">
        <f t="shared" si="86"/>
        <v>14.034123738664876</v>
      </c>
      <c r="X270" s="157">
        <f t="shared" si="87"/>
        <v>45182</v>
      </c>
      <c r="Y270" s="385">
        <f t="shared" si="88"/>
        <v>12.796659059434374</v>
      </c>
      <c r="Z270" s="385">
        <f t="shared" si="89"/>
        <v>13.365529836704187</v>
      </c>
      <c r="AA270" s="386">
        <f t="shared" si="90"/>
        <v>15.305573437418388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0.12675406175708964</v>
      </c>
      <c r="AD270" s="231">
        <f>(INDEX(Models!$BJ270:$BT270,,AH270)*(1-AF270)+INDEX(Models!$BJ270:$BT270,,AH270+1)*AF270-ERP_i)*AE270*Ramure*Pc/MaxiM</f>
        <v>2.0934214764880541E-3</v>
      </c>
      <c r="AE270" s="305">
        <f t="shared" si="92"/>
        <v>0.7</v>
      </c>
      <c r="AF270" s="177">
        <f t="shared" si="93"/>
        <v>0.79150435990166079</v>
      </c>
      <c r="AG270" s="810">
        <f t="shared" si="99"/>
        <v>0</v>
      </c>
      <c r="AH270" s="176">
        <f t="shared" si="94"/>
        <v>6</v>
      </c>
      <c r="AI270" s="225">
        <f t="shared" si="95"/>
        <v>0.79150435990166079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33.407140409918703</v>
      </c>
      <c r="C271" s="840"/>
      <c r="D271" s="393">
        <f t="shared" ref="D271:D334" si="102">Wh/(1-Ppv)</f>
        <v>34.893054576132144</v>
      </c>
      <c r="E271" s="385">
        <f t="shared" si="100"/>
        <v>36.440363590666344</v>
      </c>
      <c r="F271" s="385">
        <f t="shared" ref="F271:F334" si="103">Wh_sa/(1-Pvg*MEDIAN((-Sdif+Wh/Env_an)/Csdif,0,1))</f>
        <v>36.493761315899228</v>
      </c>
      <c r="G271" s="110">
        <f t="shared" si="101"/>
        <v>0.77349361363515579</v>
      </c>
      <c r="H271" s="414" t="b">
        <f>Wh_hp&gt;='2022'!Maxi_hp</f>
        <v>0</v>
      </c>
      <c r="I271" s="390">
        <f>IF(H271,Wh_hp,'2022'!Maxi_hp)</f>
        <v>44.733439415558536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4.2584811913539022E-2</v>
      </c>
      <c r="M271" s="844"/>
      <c r="N271" s="844"/>
      <c r="O271" s="48">
        <f>IF(t&lt;Tnet,'2022'!Resal+('2022'!Salim-'2022'!Resal)*(1-EXP(('2022'!Tnet-t)/('2022'!Tau_j))),Resal+(Salim-Resal)*(1-EXP((Tnet-t)/(Tau_j))))*Salcycl</f>
        <v>4.24614043897883E-2</v>
      </c>
      <c r="P271" s="169">
        <f>(INDEX(Models!$BJ271:$BT271,,T271)*(1-R271)+INDEX(Models!$BJ271:$BT271,,T271+1)*R271-ERP_i)*Q271*Ramure*Pc/MaxiM</f>
        <v>2.1606897704178961E-3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0.79181710446520925</v>
      </c>
      <c r="S271" s="810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0.79181710446520925</v>
      </c>
      <c r="V271" s="383">
        <f t="shared" ref="V271:V334" si="110">MaxiM*(1-Ppv)*(1-Pvg)*(1-Psa)</f>
        <v>43.159768339028332</v>
      </c>
      <c r="W271" s="402">
        <f t="shared" ref="W271:W334" si="111">Wh*(A271&gt;Tmaj)</f>
        <v>33.407140409918703</v>
      </c>
      <c r="X271" s="157">
        <f t="shared" ref="X271:X334" si="112">t</f>
        <v>45183</v>
      </c>
      <c r="Y271" s="385">
        <f t="shared" ref="Y271:Y334" si="113">Wh_pvt_s*(1-Ppv)</f>
        <v>30.464754796735079</v>
      </c>
      <c r="Z271" s="385">
        <f t="shared" ref="Z271:Z334" si="114">Wh_sa_s*(1-Psa_s)</f>
        <v>31.819794772238257</v>
      </c>
      <c r="AA271" s="386">
        <f t="shared" ref="AA271:AA334" si="115">Wh_hp*(1-Pvg_s*MEDIAN((-Sdif+Wh/Env_an)/Csdif,0,1))</f>
        <v>36.440363590666344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0.12679809867790606</v>
      </c>
      <c r="AD271" s="231">
        <f>(INDEX(Models!$BJ271:$BT271,,AH271)*(1-AF271)+INDEX(Models!$BJ271:$BT271,,AH271+1)*AF271-ERP_i)*AE271*Ramure*Pc/MaxiM</f>
        <v>2.1606897704178961E-3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0.79181710446520925</v>
      </c>
      <c r="AG271" s="810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0.79181710446520925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38.078258088785368</v>
      </c>
      <c r="C272" s="840"/>
      <c r="D272" s="393">
        <f t="shared" si="102"/>
        <v>39.772864186757836</v>
      </c>
      <c r="E272" s="385">
        <f t="shared" si="100"/>
        <v>41.543139846957722</v>
      </c>
      <c r="F272" s="385">
        <f t="shared" si="103"/>
        <v>41.621133939782624</v>
      </c>
      <c r="G272" s="110">
        <f t="shared" si="101"/>
        <v>0.88954550470955662</v>
      </c>
      <c r="H272" s="414" t="b">
        <f>Wh_hp&gt;='2022'!Maxi_hp</f>
        <v>0</v>
      </c>
      <c r="I272" s="390">
        <f>IF(H272,Wh_hp,'2022'!Maxi_hp)</f>
        <v>45.524121434792207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4.2607092363659338E-2</v>
      </c>
      <c r="M272" s="844"/>
      <c r="N272" s="844"/>
      <c r="O272" s="48">
        <f>IF(t&lt;Tnet,'2022'!Resal+('2022'!Salim-'2022'!Resal)*(1-EXP(('2022'!Tnet-t)/('2022'!Tau_j))),Resal+(Salim-Resal)*(1-EXP((Tnet-t)/(Tau_j))))*Salcycl</f>
        <v>4.2612948051627075E-2</v>
      </c>
      <c r="P272" s="169">
        <f>(INDEX(Models!$BJ272:$BT272,,T272)*(1-R272)+INDEX(Models!$BJ272:$BT272,,T272+1)*R272-ERP_i)*Q272*Ramure*Pc/MaxiM</f>
        <v>2.2238155738518541E-3</v>
      </c>
      <c r="Q272" s="305">
        <f t="shared" si="105"/>
        <v>0.7</v>
      </c>
      <c r="R272" s="177">
        <f t="shared" si="106"/>
        <v>0.79211772575312778</v>
      </c>
      <c r="S272" s="810">
        <f t="shared" si="107"/>
        <v>0</v>
      </c>
      <c r="T272" s="176">
        <f t="shared" si="108"/>
        <v>6</v>
      </c>
      <c r="U272" s="251">
        <f t="shared" si="109"/>
        <v>0.79211772575312778</v>
      </c>
      <c r="V272" s="383">
        <f t="shared" si="110"/>
        <v>42.791413059463821</v>
      </c>
      <c r="W272" s="402">
        <f t="shared" si="111"/>
        <v>38.078258088785368</v>
      </c>
      <c r="X272" s="157">
        <f t="shared" si="112"/>
        <v>45184</v>
      </c>
      <c r="Y272" s="385">
        <f t="shared" si="113"/>
        <v>34.728245799108755</v>
      </c>
      <c r="Z272" s="385">
        <f t="shared" si="114"/>
        <v>36.273765475083351</v>
      </c>
      <c r="AA272" s="386">
        <f t="shared" si="115"/>
        <v>41.543139846957722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0.12684102336237496</v>
      </c>
      <c r="AD272" s="231">
        <f>(INDEX(Models!$BJ272:$BT272,,AH272)*(1-AF272)+INDEX(Models!$BJ272:$BT272,,AH272+1)*AF272-ERP_i)*AE272*Ramure*Pc/MaxiM</f>
        <v>2.2238155738518541E-3</v>
      </c>
      <c r="AE272" s="305">
        <f t="shared" si="117"/>
        <v>0.7</v>
      </c>
      <c r="AF272" s="177">
        <f t="shared" si="118"/>
        <v>0.79211772575312778</v>
      </c>
      <c r="AG272" s="810">
        <f t="shared" ref="AG272:AG335" si="124">INDEX(Echel_vg,AH272)</f>
        <v>0</v>
      </c>
      <c r="AH272" s="176">
        <f t="shared" si="119"/>
        <v>6</v>
      </c>
      <c r="AI272" s="225">
        <f t="shared" si="120"/>
        <v>0.79211772575312778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32.666667738668266</v>
      </c>
      <c r="C273" s="840"/>
      <c r="D273" s="393">
        <f t="shared" si="102"/>
        <v>34.121234549451437</v>
      </c>
      <c r="E273" s="385">
        <f t="shared" si="100"/>
        <v>35.645578517709687</v>
      </c>
      <c r="F273" s="385">
        <f t="shared" si="103"/>
        <v>35.700301329039327</v>
      </c>
      <c r="G273" s="110">
        <f t="shared" si="101"/>
        <v>0.76947617300354754</v>
      </c>
      <c r="H273" s="414" t="b">
        <f>Wh_hp&gt;='2022'!Maxi_hp</f>
        <v>0</v>
      </c>
      <c r="I273" s="390">
        <f>IF(H273,Wh_hp,'2022'!Maxi_hp)</f>
        <v>41.220294819613947</v>
      </c>
      <c r="J273" s="85">
        <f>IF(H273,An,'2022'!An_max)</f>
        <v>2020</v>
      </c>
      <c r="K273" s="197">
        <f t="shared" si="104"/>
        <v>45185</v>
      </c>
      <c r="L273" s="147">
        <f>IF(t&lt;Tvie,1-EXP((T0-t)*PertePVj)+'2022'!Pspv,1-EXP((T0-t)*PertePVj)+Pspv)</f>
        <v>4.2629372295281076E-2</v>
      </c>
      <c r="M273" s="844"/>
      <c r="N273" s="844"/>
      <c r="O273" s="48">
        <f>IF(t&lt;Tnet,'2022'!Resal+('2022'!Salim-'2022'!Resal)*(1-EXP(('2022'!Tnet-t)/('2022'!Tau_j))),Resal+(Salim-Resal)*(1-EXP((Tnet-t)/(Tau_j))))*Salcycl</f>
        <v>4.2763900367079617E-2</v>
      </c>
      <c r="P273" s="169">
        <f>(INDEX(Models!$BJ273:$BT273,,T273)*(1-R273)+INDEX(Models!$BJ273:$BT273,,T273+1)*R273-ERP_i)*Q273*Ramure*Pc/MaxiM</f>
        <v>2.2826869693389909E-3</v>
      </c>
      <c r="Q273" s="305">
        <f t="shared" si="105"/>
        <v>0.7</v>
      </c>
      <c r="R273" s="177">
        <f t="shared" si="106"/>
        <v>0.79240667589064429</v>
      </c>
      <c r="S273" s="810">
        <f t="shared" si="107"/>
        <v>0</v>
      </c>
      <c r="T273" s="176">
        <f t="shared" si="108"/>
        <v>6</v>
      </c>
      <c r="U273" s="251">
        <f t="shared" si="109"/>
        <v>0.79240667589064429</v>
      </c>
      <c r="V273" s="383">
        <f t="shared" si="110"/>
        <v>42.421242193349372</v>
      </c>
      <c r="W273" s="402">
        <f t="shared" si="111"/>
        <v>32.666667738668266</v>
      </c>
      <c r="X273" s="157">
        <f t="shared" si="112"/>
        <v>45185</v>
      </c>
      <c r="Y273" s="385">
        <f t="shared" si="113"/>
        <v>29.796023808677443</v>
      </c>
      <c r="Z273" s="385">
        <f t="shared" si="114"/>
        <v>31.122767866936698</v>
      </c>
      <c r="AA273" s="386">
        <f t="shared" si="115"/>
        <v>35.645578517709687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0.12688279553454113</v>
      </c>
      <c r="AD273" s="231">
        <f>(INDEX(Models!$BJ273:$BT273,,AH273)*(1-AF273)+INDEX(Models!$BJ273:$BT273,,AH273+1)*AF273-ERP_i)*AE273*Ramure*Pc/MaxiM</f>
        <v>2.2826869693389909E-3</v>
      </c>
      <c r="AE273" s="305">
        <f t="shared" si="117"/>
        <v>0.7</v>
      </c>
      <c r="AF273" s="177">
        <f t="shared" si="118"/>
        <v>0.79240667589064429</v>
      </c>
      <c r="AG273" s="810">
        <f t="shared" si="124"/>
        <v>0</v>
      </c>
      <c r="AH273" s="176">
        <f t="shared" si="119"/>
        <v>6</v>
      </c>
      <c r="AI273" s="225">
        <f t="shared" si="120"/>
        <v>0.79240667589064429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42.678061895290085</v>
      </c>
      <c r="C274" s="840"/>
      <c r="D274" s="393">
        <f t="shared" si="102"/>
        <v>44.579449028611521</v>
      </c>
      <c r="E274" s="385">
        <f t="shared" si="100"/>
        <v>46.57832253673272</v>
      </c>
      <c r="F274" s="385">
        <f t="shared" si="103"/>
        <v>46.687439753460573</v>
      </c>
      <c r="G274" s="110">
        <f t="shared" si="101"/>
        <v>1.0149443424747537</v>
      </c>
      <c r="H274" s="414" t="b">
        <f>Wh_hp&gt;='2022'!Maxi_hp</f>
        <v>1</v>
      </c>
      <c r="I274" s="390">
        <f>IF(H274,Wh_hp,'2022'!Maxi_hp)</f>
        <v>46.687439753460573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4.2651651708416227E-2</v>
      </c>
      <c r="M274" s="844"/>
      <c r="N274" s="844"/>
      <c r="O274" s="48">
        <f>IF(t&lt;Tnet,'2022'!Resal+('2022'!Salim-'2022'!Resal)*(1-EXP(('2022'!Tnet-t)/('2022'!Tau_j))),Resal+(Salim-Resal)*(1-EXP((Tnet-t)/(Tau_j))))*Salcycl</f>
        <v>4.2914244207589082E-2</v>
      </c>
      <c r="P274" s="169">
        <f>(INDEX(Models!$BJ274:$BT274,,T274)*(1-R274)+INDEX(Models!$BJ274:$BT274,,T274+1)*R274-ERP_i)*Q274*Ramure*Pc/MaxiM</f>
        <v>2.3371857035652602E-3</v>
      </c>
      <c r="Q274" s="305">
        <f t="shared" si="105"/>
        <v>0.7</v>
      </c>
      <c r="R274" s="177">
        <f t="shared" si="106"/>
        <v>0.79268439152672288</v>
      </c>
      <c r="S274" s="810">
        <f t="shared" si="107"/>
        <v>0</v>
      </c>
      <c r="T274" s="176">
        <f t="shared" si="108"/>
        <v>6</v>
      </c>
      <c r="U274" s="251">
        <f t="shared" si="109"/>
        <v>0.79268439152672288</v>
      </c>
      <c r="V274" s="383">
        <f t="shared" si="110"/>
        <v>42.049657413949951</v>
      </c>
      <c r="W274" s="402">
        <f t="shared" si="111"/>
        <v>42.678061895290085</v>
      </c>
      <c r="X274" s="157">
        <f t="shared" si="112"/>
        <v>45186</v>
      </c>
      <c r="Y274" s="385">
        <f t="shared" si="113"/>
        <v>38.931953656855796</v>
      </c>
      <c r="Z274" s="385">
        <f t="shared" si="114"/>
        <v>40.666444692082052</v>
      </c>
      <c r="AA274" s="386">
        <f t="shared" si="115"/>
        <v>46.57832253673272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0.12692337385032335</v>
      </c>
      <c r="AD274" s="231">
        <f>(INDEX(Models!$BJ274:$BT274,,AH274)*(1-AF274)+INDEX(Models!$BJ274:$BT274,,AH274+1)*AF274-ERP_i)*AE274*Ramure*Pc/MaxiM</f>
        <v>2.3371857035652602E-3</v>
      </c>
      <c r="AE274" s="305">
        <f t="shared" si="117"/>
        <v>0.7</v>
      </c>
      <c r="AF274" s="177">
        <f t="shared" si="118"/>
        <v>0.79268439152672288</v>
      </c>
      <c r="AG274" s="810">
        <f t="shared" si="124"/>
        <v>0</v>
      </c>
      <c r="AH274" s="176">
        <f t="shared" si="119"/>
        <v>6</v>
      </c>
      <c r="AI274" s="225">
        <f t="shared" si="120"/>
        <v>0.79268439152672288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42.183288770014713</v>
      </c>
      <c r="C275" s="840"/>
      <c r="D275" s="393">
        <f t="shared" si="102"/>
        <v>44.063658264930034</v>
      </c>
      <c r="E275" s="385">
        <f t="shared" si="100"/>
        <v>46.04660762384767</v>
      </c>
      <c r="F275" s="385">
        <f t="shared" si="103"/>
        <v>46.156800921335289</v>
      </c>
      <c r="G275" s="110">
        <f t="shared" si="101"/>
        <v>1.0122234899029148</v>
      </c>
      <c r="H275" s="414" t="b">
        <f>Wh_hp&gt;='2022'!Maxi_hp</f>
        <v>1</v>
      </c>
      <c r="I275" s="390">
        <f>IF(H275,Wh_hp,'2022'!Maxi_hp)</f>
        <v>46.156800921335289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4.2673930603076893E-2</v>
      </c>
      <c r="M275" s="844"/>
      <c r="N275" s="844"/>
      <c r="O275" s="48">
        <f>IF(t&lt;Tnet,'2022'!Resal+('2022'!Salim-'2022'!Resal)*(1-EXP(('2022'!Tnet-t)/('2022'!Tau_j))),Resal+(Salim-Resal)*(1-EXP((Tnet-t)/(Tau_j))))*Salcycl</f>
        <v>4.306396195603051E-2</v>
      </c>
      <c r="P275" s="169">
        <f>(INDEX(Models!$BJ275:$BT275,,T275)*(1-R275)+INDEX(Models!$BJ275:$BT275,,T275+1)*R275-ERP_i)*Q275*Ramure*Pc/MaxiM</f>
        <v>2.3873686063170326E-3</v>
      </c>
      <c r="Q275" s="305">
        <f t="shared" si="105"/>
        <v>0.7</v>
      </c>
      <c r="R275" s="177">
        <f t="shared" si="106"/>
        <v>0.7929512942546092</v>
      </c>
      <c r="S275" s="810">
        <f t="shared" si="107"/>
        <v>0</v>
      </c>
      <c r="T275" s="176">
        <f t="shared" si="108"/>
        <v>6</v>
      </c>
      <c r="U275" s="251">
        <f t="shared" si="109"/>
        <v>0.7929512942546092</v>
      </c>
      <c r="V275" s="383">
        <f t="shared" si="110"/>
        <v>41.673888415749602</v>
      </c>
      <c r="W275" s="402">
        <f t="shared" si="111"/>
        <v>42.183288770014713</v>
      </c>
      <c r="X275" s="157">
        <f t="shared" si="112"/>
        <v>45187</v>
      </c>
      <c r="Y275" s="385">
        <f t="shared" si="113"/>
        <v>38.484895952799533</v>
      </c>
      <c r="Z275" s="385">
        <f t="shared" si="114"/>
        <v>40.200405256950191</v>
      </c>
      <c r="AA275" s="386">
        <f t="shared" si="115"/>
        <v>46.04660762384767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0.12696271600841486</v>
      </c>
      <c r="AD275" s="231">
        <f>(INDEX(Models!$BJ275:$BT275,,AH275)*(1-AF275)+INDEX(Models!$BJ275:$BT275,,AH275+1)*AF275-ERP_i)*AE275*Ramure*Pc/MaxiM</f>
        <v>2.3873686063170326E-3</v>
      </c>
      <c r="AE275" s="305">
        <f t="shared" si="117"/>
        <v>0.7</v>
      </c>
      <c r="AF275" s="177">
        <f t="shared" si="118"/>
        <v>0.7929512942546092</v>
      </c>
      <c r="AG275" s="810">
        <f t="shared" si="124"/>
        <v>0</v>
      </c>
      <c r="AH275" s="176">
        <f t="shared" si="119"/>
        <v>6</v>
      </c>
      <c r="AI275" s="225">
        <f t="shared" si="120"/>
        <v>0.7929512942546092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40.544191876214398</v>
      </c>
      <c r="C276" s="840"/>
      <c r="D276" s="393">
        <f t="shared" si="102"/>
        <v>42.352482311789622</v>
      </c>
      <c r="E276" s="385">
        <f t="shared" si="100"/>
        <v>44.265321210806896</v>
      </c>
      <c r="F276" s="385">
        <f t="shared" si="103"/>
        <v>44.37035024610816</v>
      </c>
      <c r="G276" s="110">
        <f t="shared" si="101"/>
        <v>0.98183490539410689</v>
      </c>
      <c r="H276" s="414" t="b">
        <f>Wh_hp&gt;='2022'!Maxi_hp</f>
        <v>0</v>
      </c>
      <c r="I276" s="390">
        <f>IF(H276,Wh_hp,'2022'!Maxi_hp)</f>
        <v>44.370974570384895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4.2696208979275174E-2</v>
      </c>
      <c r="M276" s="844"/>
      <c r="N276" s="844"/>
      <c r="O276" s="48">
        <f>IF(t&lt;Tnet,'2022'!Resal+('2022'!Salim-'2022'!Resal)*(1-EXP(('2022'!Tnet-t)/('2022'!Tau_j))),Resal+(Salim-Resal)*(1-EXP((Tnet-t)/(Tau_j))))*Salcycl</f>
        <v>4.3213035547797506E-2</v>
      </c>
      <c r="P276" s="169">
        <f>(INDEX(Models!$BJ276:$BT276,,T276)*(1-R276)+INDEX(Models!$BJ276:$BT276,,T276+1)*R276-ERP_i)*Q276*Ramure*Pc/MaxiM</f>
        <v>2.4299421517131907E-3</v>
      </c>
      <c r="Q276" s="305">
        <f t="shared" si="105"/>
        <v>0.7</v>
      </c>
      <c r="R276" s="177">
        <f t="shared" si="106"/>
        <v>0.79320779103001848</v>
      </c>
      <c r="S276" s="810">
        <f t="shared" si="107"/>
        <v>0</v>
      </c>
      <c r="T276" s="176">
        <f t="shared" si="108"/>
        <v>6</v>
      </c>
      <c r="U276" s="251">
        <f t="shared" si="109"/>
        <v>0.79320779103001848</v>
      </c>
      <c r="V276" s="383">
        <f t="shared" si="110"/>
        <v>41.291705667418462</v>
      </c>
      <c r="W276" s="402">
        <f t="shared" si="111"/>
        <v>40.544191876214398</v>
      </c>
      <c r="X276" s="157">
        <f t="shared" si="112"/>
        <v>45188</v>
      </c>
      <c r="Y276" s="385">
        <f t="shared" si="113"/>
        <v>36.993656105043002</v>
      </c>
      <c r="Z276" s="385">
        <f t="shared" si="114"/>
        <v>38.643590939505764</v>
      </c>
      <c r="AA276" s="386">
        <f t="shared" si="115"/>
        <v>44.265321210806896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0.12700077888350769</v>
      </c>
      <c r="AD276" s="231">
        <f>(INDEX(Models!$BJ276:$BT276,,AH276)*(1-AF276)+INDEX(Models!$BJ276:$BT276,,AH276+1)*AF276-ERP_i)*AE276*Ramure*Pc/MaxiM</f>
        <v>2.4299421517131907E-3</v>
      </c>
      <c r="AE276" s="305">
        <f t="shared" si="117"/>
        <v>0.7</v>
      </c>
      <c r="AF276" s="177">
        <f t="shared" si="118"/>
        <v>0.79320779103001848</v>
      </c>
      <c r="AG276" s="810">
        <f t="shared" si="124"/>
        <v>0</v>
      </c>
      <c r="AH276" s="176">
        <f t="shared" si="119"/>
        <v>6</v>
      </c>
      <c r="AI276" s="225">
        <f t="shared" si="120"/>
        <v>0.79320779103001848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42.244004093832508</v>
      </c>
      <c r="C277" s="840"/>
      <c r="D277" s="393">
        <f t="shared" si="102"/>
        <v>44.129133920337679</v>
      </c>
      <c r="E277" s="385">
        <f t="shared" si="100"/>
        <v>46.129370136537155</v>
      </c>
      <c r="F277" s="385">
        <f t="shared" si="103"/>
        <v>46.243426743251511</v>
      </c>
      <c r="G277" s="110">
        <f t="shared" si="101"/>
        <v>1.0327586983116739</v>
      </c>
      <c r="H277" s="414" t="b">
        <f>Wh_hp&gt;='2022'!Maxi_hp</f>
        <v>1</v>
      </c>
      <c r="I277" s="390">
        <f>IF(H277,Wh_hp,'2022'!Maxi_hp)</f>
        <v>46.243426743251511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4.2718486837023062E-2</v>
      </c>
      <c r="M277" s="844"/>
      <c r="N277" s="844"/>
      <c r="O277" s="48">
        <f>IF(t&lt;Tnet,'2022'!Resal+('2022'!Salim-'2022'!Resal)*(1-EXP(('2022'!Tnet-t)/('2022'!Tau_j))),Resal+(Salim-Resal)*(1-EXP((Tnet-t)/(Tau_j))))*Salcycl</f>
        <v>4.3361446520492911E-2</v>
      </c>
      <c r="P277" s="169">
        <f>(INDEX(Models!$BJ277:$BT277,,T277)*(1-R277)+INDEX(Models!$BJ277:$BT277,,T277+1)*R277-ERP_i)*Q277*Ramure*Pc/MaxiM</f>
        <v>2.4664393352078454E-3</v>
      </c>
      <c r="Q277" s="305">
        <f t="shared" si="105"/>
        <v>0.7</v>
      </c>
      <c r="R277" s="177">
        <f t="shared" si="106"/>
        <v>0.79345427458606543</v>
      </c>
      <c r="S277" s="810">
        <f t="shared" si="107"/>
        <v>0</v>
      </c>
      <c r="T277" s="176">
        <f t="shared" si="108"/>
        <v>6</v>
      </c>
      <c r="U277" s="251">
        <f t="shared" si="109"/>
        <v>0.79345427458606543</v>
      </c>
      <c r="V277" s="383">
        <f t="shared" si="110"/>
        <v>40.90404095641302</v>
      </c>
      <c r="W277" s="402">
        <f t="shared" si="111"/>
        <v>42.244004093832508</v>
      </c>
      <c r="X277" s="157">
        <f t="shared" si="112"/>
        <v>45189</v>
      </c>
      <c r="Y277" s="385">
        <f t="shared" si="113"/>
        <v>38.548969723645918</v>
      </c>
      <c r="Z277" s="385">
        <f t="shared" si="114"/>
        <v>40.26920941602156</v>
      </c>
      <c r="AA277" s="386">
        <f t="shared" si="115"/>
        <v>46.129370136537155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0.127037518682138</v>
      </c>
      <c r="AD277" s="231">
        <f>(INDEX(Models!$BJ277:$BT277,,AH277)*(1-AF277)+INDEX(Models!$BJ277:$BT277,,AH277+1)*AF277-ERP_i)*AE277*Ramure*Pc/MaxiM</f>
        <v>2.4664393352078454E-3</v>
      </c>
      <c r="AE277" s="305">
        <f t="shared" si="117"/>
        <v>0.7</v>
      </c>
      <c r="AF277" s="177">
        <f t="shared" si="118"/>
        <v>0.79345427458606543</v>
      </c>
      <c r="AG277" s="810">
        <f t="shared" si="124"/>
        <v>0</v>
      </c>
      <c r="AH277" s="176">
        <f t="shared" si="119"/>
        <v>6</v>
      </c>
      <c r="AI277" s="225">
        <f t="shared" si="120"/>
        <v>0.79345427458606543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40.840391666621322</v>
      </c>
      <c r="C278" s="840"/>
      <c r="D278" s="393">
        <f t="shared" si="102"/>
        <v>42.663878433599521</v>
      </c>
      <c r="E278" s="385">
        <f t="shared" si="100"/>
        <v>44.604587274983416</v>
      </c>
      <c r="F278" s="385">
        <f t="shared" si="103"/>
        <v>44.716228492902516</v>
      </c>
      <c r="G278" s="110">
        <f t="shared" si="101"/>
        <v>1.0081085802943182</v>
      </c>
      <c r="H278" s="414" t="b">
        <f>Wh_hp&gt;='2022'!Maxi_hp</f>
        <v>1</v>
      </c>
      <c r="I278" s="390">
        <f>IF(H278,Wh_hp,'2022'!Maxi_hp)</f>
        <v>44.716228492902516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4.2740764176332546E-2</v>
      </c>
      <c r="M278" s="844"/>
      <c r="N278" s="844"/>
      <c r="O278" s="48">
        <f>IF(t&lt;Tnet,'2022'!Resal+('2022'!Salim-'2022'!Resal)*(1-EXP(('2022'!Tnet-t)/('2022'!Tau_j))),Resal+(Salim-Resal)*(1-EXP((Tnet-t)/(Tau_j))))*Salcycl</f>
        <v>4.3509176072397945E-2</v>
      </c>
      <c r="P278" s="169">
        <f>(INDEX(Models!$BJ278:$BT278,,T278)*(1-R278)+INDEX(Models!$BJ278:$BT278,,T278+1)*R278-ERP_i)*Q278*Ramure*Pc/MaxiM</f>
        <v>2.4966599751769986E-3</v>
      </c>
      <c r="Q278" s="305">
        <f t="shared" si="105"/>
        <v>0.7</v>
      </c>
      <c r="R278" s="177">
        <f t="shared" si="106"/>
        <v>0.79369112384413554</v>
      </c>
      <c r="S278" s="810">
        <f t="shared" si="107"/>
        <v>0</v>
      </c>
      <c r="T278" s="176">
        <f t="shared" si="108"/>
        <v>6</v>
      </c>
      <c r="U278" s="251">
        <f t="shared" si="109"/>
        <v>0.79369112384413554</v>
      </c>
      <c r="V278" s="383">
        <f t="shared" si="110"/>
        <v>40.511897691316094</v>
      </c>
      <c r="W278" s="402">
        <f t="shared" si="111"/>
        <v>40.840391666621322</v>
      </c>
      <c r="X278" s="157">
        <f t="shared" si="112"/>
        <v>45190</v>
      </c>
      <c r="Y278" s="385">
        <f t="shared" si="113"/>
        <v>37.272375365433284</v>
      </c>
      <c r="Z278" s="385">
        <f t="shared" si="114"/>
        <v>38.936553412683985</v>
      </c>
      <c r="AA278" s="386">
        <f t="shared" si="115"/>
        <v>44.604587274983416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0.12707289112118661</v>
      </c>
      <c r="AD278" s="231">
        <f>(INDEX(Models!$BJ278:$BT278,,AH278)*(1-AF278)+INDEX(Models!$BJ278:$BT278,,AH278+1)*AF278-ERP_i)*AE278*Ramure*Pc/MaxiM</f>
        <v>2.4966599751769986E-3</v>
      </c>
      <c r="AE278" s="305">
        <f t="shared" si="117"/>
        <v>0.7</v>
      </c>
      <c r="AF278" s="177">
        <f t="shared" si="118"/>
        <v>0.79369112384413554</v>
      </c>
      <c r="AG278" s="810">
        <f t="shared" si="124"/>
        <v>0</v>
      </c>
      <c r="AH278" s="176">
        <f t="shared" si="119"/>
        <v>6</v>
      </c>
      <c r="AI278" s="225">
        <f t="shared" si="120"/>
        <v>0.79369112384413554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39.041286780892747</v>
      </c>
      <c r="C279" s="840"/>
      <c r="D279" s="393">
        <f t="shared" si="102"/>
        <v>40.785394268065659</v>
      </c>
      <c r="E279" s="385">
        <f t="shared" si="100"/>
        <v>42.647209598511928</v>
      </c>
      <c r="F279" s="385">
        <f t="shared" si="103"/>
        <v>42.750833647366633</v>
      </c>
      <c r="G279" s="110">
        <f t="shared" si="101"/>
        <v>0.97310897991645529</v>
      </c>
      <c r="H279" s="414" t="b">
        <f>Wh_hp&gt;='2022'!Maxi_hp</f>
        <v>0</v>
      </c>
      <c r="I279" s="390">
        <f>IF(H279,Wh_hp,'2022'!Maxi_hp)</f>
        <v>42.751746792119995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4.2763040997215951E-2</v>
      </c>
      <c r="M279" s="844"/>
      <c r="N279" s="844"/>
      <c r="O279" s="48">
        <f>IF(t&lt;Tnet,'2022'!Resal+('2022'!Salim-'2022'!Resal)*(1-EXP(('2022'!Tnet-t)/('2022'!Tau_j))),Resal+(Salim-Resal)*(1-EXP((Tnet-t)/(Tau_j))))*Salcycl</f>
        <v>4.3656205129801402E-2</v>
      </c>
      <c r="P279" s="169">
        <f>(INDEX(Models!$BJ279:$BT279,,T279)*(1-R279)+INDEX(Models!$BJ279:$BT279,,T279+1)*R279-ERP_i)*Q279*Ramure*Pc/MaxiM</f>
        <v>2.5203908718044372E-3</v>
      </c>
      <c r="Q279" s="305">
        <f t="shared" si="105"/>
        <v>0.7</v>
      </c>
      <c r="R279" s="177">
        <f t="shared" si="106"/>
        <v>0.79391870431998368</v>
      </c>
      <c r="S279" s="810">
        <f t="shared" si="107"/>
        <v>0</v>
      </c>
      <c r="T279" s="176">
        <f t="shared" si="108"/>
        <v>6</v>
      </c>
      <c r="U279" s="251">
        <f t="shared" si="109"/>
        <v>0.79391870431998368</v>
      </c>
      <c r="V279" s="383">
        <f t="shared" si="110"/>
        <v>40.116278426116523</v>
      </c>
      <c r="W279" s="402">
        <f t="shared" si="111"/>
        <v>39.041286780892747</v>
      </c>
      <c r="X279" s="157">
        <f t="shared" si="112"/>
        <v>45191</v>
      </c>
      <c r="Y279" s="385">
        <f t="shared" si="113"/>
        <v>35.634540546437769</v>
      </c>
      <c r="Z279" s="385">
        <f t="shared" si="114"/>
        <v>37.226457055691398</v>
      </c>
      <c r="AA279" s="386">
        <f t="shared" si="115"/>
        <v>42.647209598511928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0.12710685162880334</v>
      </c>
      <c r="AD279" s="231">
        <f>(INDEX(Models!$BJ279:$BT279,,AH279)*(1-AF279)+INDEX(Models!$BJ279:$BT279,,AH279+1)*AF279-ERP_i)*AE279*Ramure*Pc/MaxiM</f>
        <v>2.5203908718044372E-3</v>
      </c>
      <c r="AE279" s="305">
        <f t="shared" si="117"/>
        <v>0.7</v>
      </c>
      <c r="AF279" s="177">
        <f t="shared" si="118"/>
        <v>0.79391870431998368</v>
      </c>
      <c r="AG279" s="810">
        <f t="shared" si="124"/>
        <v>0</v>
      </c>
      <c r="AH279" s="176">
        <f t="shared" si="119"/>
        <v>6</v>
      </c>
      <c r="AI279" s="225">
        <f t="shared" si="120"/>
        <v>0.79391870431998368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24.505035345112201</v>
      </c>
      <c r="C280" s="840"/>
      <c r="D280" s="393">
        <f t="shared" si="102"/>
        <v>25.600354641430261</v>
      </c>
      <c r="E280" s="385">
        <f t="shared" si="100"/>
        <v>26.773082995493155</v>
      </c>
      <c r="F280" s="385">
        <f t="shared" si="103"/>
        <v>26.803880383025216</v>
      </c>
      <c r="G280" s="110">
        <f t="shared" si="101"/>
        <v>0.61611508913099089</v>
      </c>
      <c r="H280" s="414" t="b">
        <f>Wh_hp&gt;='2022'!Maxi_hp</f>
        <v>0</v>
      </c>
      <c r="I280" s="390">
        <f>IF(H280,Wh_hp,'2022'!Maxi_hp)</f>
        <v>39.201858465251448</v>
      </c>
      <c r="J280" s="85">
        <f>IF(H280,An,'2022'!An_max)</f>
        <v>2019</v>
      </c>
      <c r="K280" s="197">
        <f t="shared" si="104"/>
        <v>45192</v>
      </c>
      <c r="L280" s="147">
        <f>IF(t&lt;Tvie,1-EXP((T0-t)*PertePVj)+'2022'!Pspv,1-EXP((T0-t)*PertePVj)+Pspv)</f>
        <v>4.2785317299685155E-2</v>
      </c>
      <c r="M280" s="844"/>
      <c r="N280" s="844"/>
      <c r="O280" s="48">
        <f>IF(t&lt;Tnet,'2022'!Resal+('2022'!Salim-'2022'!Resal)*(1-EXP(('2022'!Tnet-t)/('2022'!Tau_j))),Resal+(Salim-Resal)*(1-EXP((Tnet-t)/(Tau_j))))*Salcycl</f>
        <v>4.3802514423172852E-2</v>
      </c>
      <c r="P280" s="169">
        <f>(INDEX(Models!$BJ280:$BT280,,T280)*(1-R280)+INDEX(Models!$BJ280:$BT280,,T280+1)*R280-ERP_i)*Q280*Ramure*Pc/MaxiM</f>
        <v>2.5374201839907695E-3</v>
      </c>
      <c r="Q280" s="305">
        <f t="shared" si="105"/>
        <v>0.7</v>
      </c>
      <c r="R280" s="177">
        <f t="shared" si="106"/>
        <v>0.79413736852443595</v>
      </c>
      <c r="S280" s="810">
        <f t="shared" si="107"/>
        <v>0</v>
      </c>
      <c r="T280" s="176">
        <f t="shared" si="108"/>
        <v>6</v>
      </c>
      <c r="U280" s="251">
        <f t="shared" si="109"/>
        <v>0.79413736852443595</v>
      </c>
      <c r="V280" s="383">
        <f t="shared" si="110"/>
        <v>39.718184322505699</v>
      </c>
      <c r="W280" s="402">
        <f t="shared" si="111"/>
        <v>24.505035345112201</v>
      </c>
      <c r="X280" s="157">
        <f t="shared" si="112"/>
        <v>45192</v>
      </c>
      <c r="Y280" s="385">
        <f t="shared" si="113"/>
        <v>22.369313103013173</v>
      </c>
      <c r="Z280" s="385">
        <f t="shared" si="114"/>
        <v>23.369170476897676</v>
      </c>
      <c r="AA280" s="386">
        <f t="shared" si="115"/>
        <v>26.773082995493155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0.12713935556724926</v>
      </c>
      <c r="AD280" s="231">
        <f>(INDEX(Models!$BJ280:$BT280,,AH280)*(1-AF280)+INDEX(Models!$BJ280:$BT280,,AH280+1)*AF280-ERP_i)*AE280*Ramure*Pc/MaxiM</f>
        <v>2.5374201839907695E-3</v>
      </c>
      <c r="AE280" s="305">
        <f t="shared" si="117"/>
        <v>0.7</v>
      </c>
      <c r="AF280" s="177">
        <f t="shared" si="118"/>
        <v>0.79413736852443595</v>
      </c>
      <c r="AG280" s="810">
        <f t="shared" si="124"/>
        <v>0</v>
      </c>
      <c r="AH280" s="176">
        <f t="shared" si="119"/>
        <v>6</v>
      </c>
      <c r="AI280" s="225">
        <f t="shared" si="120"/>
        <v>0.79413736852443595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15.949272995903819</v>
      </c>
      <c r="C281" s="840"/>
      <c r="D281" s="393">
        <f t="shared" si="102"/>
        <v>16.662556953713221</v>
      </c>
      <c r="E281" s="385">
        <f t="shared" si="100"/>
        <v>17.428506428183809</v>
      </c>
      <c r="F281" s="385">
        <f t="shared" si="103"/>
        <v>17.435209627496853</v>
      </c>
      <c r="G281" s="110">
        <f t="shared" si="101"/>
        <v>0.40476400760557035</v>
      </c>
      <c r="H281" s="414" t="b">
        <f>Wh_hp&gt;='2022'!Maxi_hp</f>
        <v>0</v>
      </c>
      <c r="I281" s="390">
        <f>IF(H281,Wh_hp,'2022'!Maxi_hp)</f>
        <v>36.19529357264706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4.280759308375226E-2</v>
      </c>
      <c r="M281" s="844"/>
      <c r="N281" s="844"/>
      <c r="O281" s="48">
        <f>IF(t&lt;Tnet,'2022'!Resal+('2022'!Salim-'2022'!Resal)*(1-EXP(('2022'!Tnet-t)/('2022'!Tau_j))),Resal+(Salim-Resal)*(1-EXP((Tnet-t)/(Tau_j))))*Salcycl</f>
        <v>4.3948084572064186E-2</v>
      </c>
      <c r="P281" s="169">
        <f>(INDEX(Models!$BJ281:$BT281,,T281)*(1-R281)+INDEX(Models!$BJ281:$BT281,,T281+1)*R281-ERP_i)*Q281*Ramure*Pc/MaxiM</f>
        <v>2.5475183926740204E-3</v>
      </c>
      <c r="Q281" s="305">
        <f t="shared" si="105"/>
        <v>0.7</v>
      </c>
      <c r="R281" s="177">
        <f t="shared" si="106"/>
        <v>0.79434745635814474</v>
      </c>
      <c r="S281" s="810">
        <f t="shared" si="107"/>
        <v>0</v>
      </c>
      <c r="T281" s="176">
        <f t="shared" si="108"/>
        <v>6</v>
      </c>
      <c r="U281" s="251">
        <f t="shared" si="109"/>
        <v>0.79434745635814474</v>
      </c>
      <c r="V281" s="383">
        <f t="shared" si="110"/>
        <v>39.318615966127574</v>
      </c>
      <c r="W281" s="402">
        <f t="shared" si="111"/>
        <v>15.949272995903819</v>
      </c>
      <c r="X281" s="157">
        <f t="shared" si="112"/>
        <v>45193</v>
      </c>
      <c r="Y281" s="385">
        <f t="shared" si="113"/>
        <v>14.560922902746325</v>
      </c>
      <c r="Z281" s="385">
        <f t="shared" si="114"/>
        <v>15.212117017995082</v>
      </c>
      <c r="AA281" s="386">
        <f t="shared" si="115"/>
        <v>17.428506428183809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0.1271703584768791</v>
      </c>
      <c r="AD281" s="231">
        <f>(INDEX(Models!$BJ281:$BT281,,AH281)*(1-AF281)+INDEX(Models!$BJ281:$BT281,,AH281+1)*AF281-ERP_i)*AE281*Ramure*Pc/MaxiM</f>
        <v>2.5475183926740204E-3</v>
      </c>
      <c r="AE281" s="305">
        <f t="shared" si="117"/>
        <v>0.7</v>
      </c>
      <c r="AF281" s="177">
        <f t="shared" si="118"/>
        <v>0.79434745635814474</v>
      </c>
      <c r="AG281" s="810">
        <f t="shared" si="124"/>
        <v>0</v>
      </c>
      <c r="AH281" s="176">
        <f t="shared" si="119"/>
        <v>6</v>
      </c>
      <c r="AI281" s="225">
        <f t="shared" si="120"/>
        <v>0.79434745635814474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32.545914488591016</v>
      </c>
      <c r="C282" s="840"/>
      <c r="D282" s="393">
        <f t="shared" si="102"/>
        <v>34.002225322752118</v>
      </c>
      <c r="E282" s="385">
        <f t="shared" si="100"/>
        <v>35.570637760530978</v>
      </c>
      <c r="F282" s="385">
        <f t="shared" si="103"/>
        <v>35.640287517054809</v>
      </c>
      <c r="G282" s="110">
        <f t="shared" si="101"/>
        <v>0.83575706695499652</v>
      </c>
      <c r="H282" s="414" t="b">
        <f>Wh_hp&gt;='2022'!Maxi_hp</f>
        <v>0</v>
      </c>
      <c r="I282" s="390">
        <f>IF(H282,Wh_hp,'2022'!Maxi_hp)</f>
        <v>35.644929578113675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4.2829868349429256E-2</v>
      </c>
      <c r="M282" s="844"/>
      <c r="N282" s="844"/>
      <c r="O282" s="48">
        <f>IF(t&lt;Tnet,'2022'!Resal+('2022'!Salim-'2022'!Resal)*(1-EXP(('2022'!Tnet-t)/('2022'!Tau_j))),Resal+(Salim-Resal)*(1-EXP((Tnet-t)/(Tau_j))))*Salcycl</f>
        <v>4.4092896178520607E-2</v>
      </c>
      <c r="P282" s="169">
        <f>(INDEX(Models!$BJ282:$BT282,,T282)*(1-R282)+INDEX(Models!$BJ282:$BT282,,T282+1)*R282-ERP_i)*Q282*Ramure*Pc/MaxiM</f>
        <v>2.5509586974691218E-3</v>
      </c>
      <c r="Q282" s="305">
        <f t="shared" si="105"/>
        <v>0.7</v>
      </c>
      <c r="R282" s="177">
        <f t="shared" si="106"/>
        <v>0.79454929549991937</v>
      </c>
      <c r="S282" s="810">
        <f t="shared" si="107"/>
        <v>0</v>
      </c>
      <c r="T282" s="176">
        <f t="shared" si="108"/>
        <v>6</v>
      </c>
      <c r="U282" s="251">
        <f t="shared" si="109"/>
        <v>0.79454929549991937</v>
      </c>
      <c r="V282" s="383">
        <f t="shared" si="110"/>
        <v>38.918553089087531</v>
      </c>
      <c r="W282" s="402">
        <f t="shared" si="111"/>
        <v>32.545914488591016</v>
      </c>
      <c r="X282" s="157">
        <f t="shared" si="112"/>
        <v>45194</v>
      </c>
      <c r="Y282" s="385">
        <f t="shared" si="113"/>
        <v>29.716360543255263</v>
      </c>
      <c r="Z282" s="385">
        <f t="shared" si="114"/>
        <v>31.046059170287258</v>
      </c>
      <c r="AA282" s="386">
        <f t="shared" si="115"/>
        <v>35.570637760530978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0.12719981634021113</v>
      </c>
      <c r="AD282" s="231">
        <f>(INDEX(Models!$BJ282:$BT282,,AH282)*(1-AF282)+INDEX(Models!$BJ282:$BT282,,AH282+1)*AF282-ERP_i)*AE282*Ramure*Pc/MaxiM</f>
        <v>2.5509586974691218E-3</v>
      </c>
      <c r="AE282" s="305">
        <f t="shared" si="117"/>
        <v>0.7</v>
      </c>
      <c r="AF282" s="177">
        <f t="shared" si="118"/>
        <v>0.79454929549991937</v>
      </c>
      <c r="AG282" s="810">
        <f t="shared" si="124"/>
        <v>0</v>
      </c>
      <c r="AH282" s="176">
        <f t="shared" si="119"/>
        <v>6</v>
      </c>
      <c r="AI282" s="225">
        <f t="shared" si="120"/>
        <v>0.79454929549991937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28.95772638695578</v>
      </c>
      <c r="C283" s="840"/>
      <c r="D283" s="393">
        <f t="shared" si="102"/>
        <v>30.25418296463074</v>
      </c>
      <c r="E283" s="385">
        <f t="shared" si="100"/>
        <v>31.654479977316051</v>
      </c>
      <c r="F283" s="385">
        <f t="shared" si="103"/>
        <v>31.706689290747367</v>
      </c>
      <c r="G283" s="110">
        <f t="shared" si="101"/>
        <v>0.75109946108072201</v>
      </c>
      <c r="H283" s="414" t="b">
        <f>Wh_hp&gt;='2022'!Maxi_hp</f>
        <v>0</v>
      </c>
      <c r="I283" s="390">
        <f>IF(H283,Wh_hp,'2022'!Maxi_hp)</f>
        <v>36.254189031669213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4.2852143096728357E-2</v>
      </c>
      <c r="M283" s="844"/>
      <c r="N283" s="844"/>
      <c r="O283" s="48">
        <f>IF(t&lt;Tnet,'2022'!Resal+('2022'!Salim-'2022'!Resal)*(1-EXP(('2022'!Tnet-t)/('2022'!Tau_j))),Resal+(Salim-Resal)*(1-EXP((Tnet-t)/(Tau_j))))*Salcycl</f>
        <v>4.4236929928679232E-2</v>
      </c>
      <c r="P283" s="169">
        <f>(INDEX(Models!$BJ283:$BT283,,T283)*(1-R283)+INDEX(Models!$BJ283:$BT283,,T283+1)*R283-ERP_i)*Q283*Ramure*Pc/MaxiM</f>
        <v>2.5513346821230236E-3</v>
      </c>
      <c r="Q283" s="305">
        <f t="shared" si="105"/>
        <v>0.7</v>
      </c>
      <c r="R283" s="177">
        <f t="shared" si="106"/>
        <v>0.79474320178822166</v>
      </c>
      <c r="S283" s="810">
        <f t="shared" si="107"/>
        <v>0</v>
      </c>
      <c r="T283" s="176">
        <f t="shared" si="108"/>
        <v>6</v>
      </c>
      <c r="U283" s="251">
        <f t="shared" si="109"/>
        <v>0.79474320178822166</v>
      </c>
      <c r="V283" s="383">
        <f t="shared" si="110"/>
        <v>38.518846840162226</v>
      </c>
      <c r="W283" s="402">
        <f t="shared" si="111"/>
        <v>28.95772638695578</v>
      </c>
      <c r="X283" s="157">
        <f t="shared" si="112"/>
        <v>45195</v>
      </c>
      <c r="Y283" s="385">
        <f t="shared" si="113"/>
        <v>26.443270997018509</v>
      </c>
      <c r="Z283" s="385">
        <f t="shared" si="114"/>
        <v>27.627153742549556</v>
      </c>
      <c r="AA283" s="386">
        <f t="shared" si="115"/>
        <v>31.654479977316051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0.1272276858647661</v>
      </c>
      <c r="AD283" s="231">
        <f>(INDEX(Models!$BJ283:$BT283,,AH283)*(1-AF283)+INDEX(Models!$BJ283:$BT283,,AH283+1)*AF283-ERP_i)*AE283*Ramure*Pc/MaxiM</f>
        <v>2.5513346821230236E-3</v>
      </c>
      <c r="AE283" s="305">
        <f t="shared" si="117"/>
        <v>0.7</v>
      </c>
      <c r="AF283" s="177">
        <f t="shared" si="118"/>
        <v>0.79474320178822166</v>
      </c>
      <c r="AG283" s="810">
        <f t="shared" si="124"/>
        <v>0</v>
      </c>
      <c r="AH283" s="176">
        <f t="shared" si="119"/>
        <v>6</v>
      </c>
      <c r="AI283" s="225">
        <f t="shared" si="120"/>
        <v>0.79474320178822166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17.374028853812121</v>
      </c>
      <c r="C284" s="840"/>
      <c r="D284" s="393">
        <f t="shared" si="102"/>
        <v>18.152298056088661</v>
      </c>
      <c r="E284" s="385">
        <f t="shared" si="100"/>
        <v>18.99531322350709</v>
      </c>
      <c r="F284" s="385">
        <f t="shared" si="103"/>
        <v>19.006091551562132</v>
      </c>
      <c r="G284" s="110">
        <f t="shared" si="101"/>
        <v>0.45486250364667746</v>
      </c>
      <c r="H284" s="414" t="b">
        <f>Wh_hp&gt;='2022'!Maxi_hp</f>
        <v>0</v>
      </c>
      <c r="I284" s="390">
        <f>IF(H284,Wh_hp,'2022'!Maxi_hp)</f>
        <v>33.919915372274694</v>
      </c>
      <c r="J284" s="85">
        <f>IF(H284,An,'2022'!An_max)</f>
        <v>2019</v>
      </c>
      <c r="K284" s="197">
        <f t="shared" si="104"/>
        <v>45196</v>
      </c>
      <c r="L284" s="147">
        <f>IF(t&lt;Tvie,1-EXP((T0-t)*PertePVj)+'2022'!Pspv,1-EXP((T0-t)*PertePVj)+Pspv)</f>
        <v>4.2874417325661551E-2</v>
      </c>
      <c r="M284" s="844"/>
      <c r="N284" s="844"/>
      <c r="O284" s="48">
        <f>IF(t&lt;Tnet,'2022'!Resal+('2022'!Salim-'2022'!Resal)*(1-EXP(('2022'!Tnet-t)/('2022'!Tau_j))),Resal+(Salim-Resal)*(1-EXP((Tnet-t)/(Tau_j))))*Salcycl</f>
        <v>4.4380166702130547E-2</v>
      </c>
      <c r="P284" s="169">
        <f>(INDEX(Models!$BJ284:$BT284,,T284)*(1-R284)+INDEX(Models!$BJ284:$BT284,,T284+1)*R284-ERP_i)*Q284*Ramure*Pc/MaxiM</f>
        <v>2.5484948505090452E-3</v>
      </c>
      <c r="Q284" s="305">
        <f t="shared" si="105"/>
        <v>0.7</v>
      </c>
      <c r="R284" s="177">
        <f t="shared" si="106"/>
        <v>0.79492947959547711</v>
      </c>
      <c r="S284" s="810">
        <f t="shared" si="107"/>
        <v>0</v>
      </c>
      <c r="T284" s="176">
        <f t="shared" si="108"/>
        <v>6</v>
      </c>
      <c r="U284" s="251">
        <f t="shared" si="109"/>
        <v>0.79492947959547711</v>
      </c>
      <c r="V284" s="383">
        <f t="shared" si="110"/>
        <v>38.120496514771894</v>
      </c>
      <c r="W284" s="402">
        <f t="shared" si="111"/>
        <v>17.374028853812121</v>
      </c>
      <c r="X284" s="157">
        <f t="shared" si="112"/>
        <v>45196</v>
      </c>
      <c r="Y284" s="385">
        <f t="shared" si="113"/>
        <v>15.867309325866007</v>
      </c>
      <c r="Z284" s="385">
        <f t="shared" si="114"/>
        <v>16.578085063331603</v>
      </c>
      <c r="AA284" s="386">
        <f t="shared" si="115"/>
        <v>18.99531322350709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0.12725392478309411</v>
      </c>
      <c r="AD284" s="231">
        <f>(INDEX(Models!$BJ284:$BT284,,AH284)*(1-AF284)+INDEX(Models!$BJ284:$BT284,,AH284+1)*AF284-ERP_i)*AE284*Ramure*Pc/MaxiM</f>
        <v>2.5484948505090452E-3</v>
      </c>
      <c r="AE284" s="305">
        <f t="shared" si="117"/>
        <v>0.7</v>
      </c>
      <c r="AF284" s="177">
        <f t="shared" si="118"/>
        <v>0.79492947959547711</v>
      </c>
      <c r="AG284" s="810">
        <f t="shared" si="124"/>
        <v>0</v>
      </c>
      <c r="AH284" s="176">
        <f t="shared" si="119"/>
        <v>6</v>
      </c>
      <c r="AI284" s="225">
        <f t="shared" si="120"/>
        <v>0.79492947959547711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19.608790565473541</v>
      </c>
      <c r="C285" s="840"/>
      <c r="D285" s="393">
        <f t="shared" si="102"/>
        <v>20.48764264194601</v>
      </c>
      <c r="E285" s="385">
        <f t="shared" si="100"/>
        <v>21.44230975840907</v>
      </c>
      <c r="F285" s="385">
        <f t="shared" si="103"/>
        <v>21.459439501252621</v>
      </c>
      <c r="G285" s="110">
        <f t="shared" si="101"/>
        <v>0.51888200775537785</v>
      </c>
      <c r="H285" s="414" t="b">
        <f>Wh_hp&gt;='2022'!Maxi_hp</f>
        <v>0</v>
      </c>
      <c r="I285" s="390">
        <f>IF(H285,Wh_hp,'2022'!Maxi_hp)</f>
        <v>35.820962356484351</v>
      </c>
      <c r="J285" s="85">
        <f>IF(H285,An,'2022'!An_max)</f>
        <v>2019</v>
      </c>
      <c r="K285" s="197">
        <f t="shared" si="104"/>
        <v>45197</v>
      </c>
      <c r="L285" s="147">
        <f>IF(t&lt;Tvie,1-EXP((T0-t)*PertePVj)+'2022'!Pspv,1-EXP((T0-t)*PertePVj)+Pspv)</f>
        <v>4.289669103624083E-2</v>
      </c>
      <c r="M285" s="844"/>
      <c r="N285" s="844"/>
      <c r="O285" s="48">
        <f>IF(t&lt;Tnet,'2022'!Resal+('2022'!Salim-'2022'!Resal)*(1-EXP(('2022'!Tnet-t)/('2022'!Tau_j))),Resal+(Salim-Resal)*(1-EXP((Tnet-t)/(Tau_j))))*Salcycl</f>
        <v>4.4522587688514602E-2</v>
      </c>
      <c r="P285" s="169">
        <f>(INDEX(Models!$BJ285:$BT285,,T285)*(1-R285)+INDEX(Models!$BJ285:$BT285,,T285+1)*R285-ERP_i)*Q285*Ramure*Pc/MaxiM</f>
        <v>2.5422837755306594E-3</v>
      </c>
      <c r="Q285" s="305">
        <f t="shared" si="105"/>
        <v>0.7</v>
      </c>
      <c r="R285" s="177">
        <f t="shared" si="106"/>
        <v>0.79510842219490641</v>
      </c>
      <c r="S285" s="810">
        <f t="shared" si="107"/>
        <v>0</v>
      </c>
      <c r="T285" s="176">
        <f t="shared" si="108"/>
        <v>6</v>
      </c>
      <c r="U285" s="251">
        <f t="shared" si="109"/>
        <v>0.79510842219490641</v>
      </c>
      <c r="V285" s="383">
        <f t="shared" si="110"/>
        <v>37.724500612156746</v>
      </c>
      <c r="W285" s="402">
        <f t="shared" si="111"/>
        <v>19.608790565473541</v>
      </c>
      <c r="X285" s="157">
        <f t="shared" si="112"/>
        <v>45197</v>
      </c>
      <c r="Y285" s="385">
        <f t="shared" si="113"/>
        <v>17.910432050569533</v>
      </c>
      <c r="Z285" s="385">
        <f t="shared" si="114"/>
        <v>18.713164903756187</v>
      </c>
      <c r="AA285" s="386">
        <f t="shared" si="115"/>
        <v>21.44230975840907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0.12727849216815781</v>
      </c>
      <c r="AD285" s="231">
        <f>(INDEX(Models!$BJ285:$BT285,,AH285)*(1-AF285)+INDEX(Models!$BJ285:$BT285,,AH285+1)*AF285-ERP_i)*AE285*Ramure*Pc/MaxiM</f>
        <v>2.5422837755306594E-3</v>
      </c>
      <c r="AE285" s="305">
        <f t="shared" si="117"/>
        <v>0.7</v>
      </c>
      <c r="AF285" s="177">
        <f t="shared" si="118"/>
        <v>0.79510842219490641</v>
      </c>
      <c r="AG285" s="810">
        <f t="shared" si="124"/>
        <v>0</v>
      </c>
      <c r="AH285" s="176">
        <f t="shared" si="119"/>
        <v>6</v>
      </c>
      <c r="AI285" s="225">
        <f t="shared" si="120"/>
        <v>0.79510842219490641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23.125353528729296</v>
      </c>
      <c r="C286" s="840"/>
      <c r="D286" s="393">
        <f t="shared" si="102"/>
        <v>24.162377755283281</v>
      </c>
      <c r="E286" s="385">
        <f t="shared" si="100"/>
        <v>25.292025181729727</v>
      </c>
      <c r="F286" s="385">
        <f t="shared" si="103"/>
        <v>25.321290443963274</v>
      </c>
      <c r="G286" s="110">
        <f t="shared" si="101"/>
        <v>0.61859976940183647</v>
      </c>
      <c r="H286" s="414" t="b">
        <f>Wh_hp&gt;='2022'!Maxi_hp</f>
        <v>0</v>
      </c>
      <c r="I286" s="390">
        <f>IF(H286,Wh_hp,'2022'!Maxi_hp)</f>
        <v>39.441971628235159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4.2918964228478407E-2</v>
      </c>
      <c r="M286" s="844"/>
      <c r="N286" s="844"/>
      <c r="O286" s="48">
        <f>IF(t&lt;Tnet,'2022'!Resal+('2022'!Salim-'2022'!Resal)*(1-EXP(('2022'!Tnet-t)/('2022'!Tau_j))),Resal+(Salim-Resal)*(1-EXP((Tnet-t)/(Tau_j))))*Salcycl</f>
        <v>4.4664174510725664E-2</v>
      </c>
      <c r="P286" s="169">
        <f>(INDEX(Models!$BJ286:$BT286,,T286)*(1-R286)+INDEX(Models!$BJ286:$BT286,,T286+1)*R286-ERP_i)*Q286*Ramure*Pc/MaxiM</f>
        <v>2.5325429730757476E-3</v>
      </c>
      <c r="Q286" s="305">
        <f t="shared" si="105"/>
        <v>0.7</v>
      </c>
      <c r="R286" s="177">
        <f t="shared" si="106"/>
        <v>0.79528031211963457</v>
      </c>
      <c r="S286" s="810">
        <f t="shared" si="107"/>
        <v>0</v>
      </c>
      <c r="T286" s="176">
        <f t="shared" si="108"/>
        <v>6</v>
      </c>
      <c r="U286" s="251">
        <f t="shared" si="109"/>
        <v>0.79528031211963457</v>
      </c>
      <c r="V286" s="383">
        <f t="shared" si="110"/>
        <v>37.33185683468438</v>
      </c>
      <c r="W286" s="402">
        <f t="shared" si="111"/>
        <v>23.125353528729296</v>
      </c>
      <c r="X286" s="157">
        <f t="shared" si="112"/>
        <v>45198</v>
      </c>
      <c r="Y286" s="385">
        <f t="shared" si="113"/>
        <v>21.124995311034201</v>
      </c>
      <c r="Z286" s="385">
        <f t="shared" si="114"/>
        <v>22.072316263172986</v>
      </c>
      <c r="AA286" s="386">
        <f t="shared" si="115"/>
        <v>25.292025181729727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0.12730134876200314</v>
      </c>
      <c r="AD286" s="231">
        <f>(INDEX(Models!$BJ286:$BT286,,AH286)*(1-AF286)+INDEX(Models!$BJ286:$BT286,,AH286+1)*AF286-ERP_i)*AE286*Ramure*Pc/MaxiM</f>
        <v>2.5325429730757476E-3</v>
      </c>
      <c r="AE286" s="305">
        <f t="shared" si="117"/>
        <v>0.7</v>
      </c>
      <c r="AF286" s="177">
        <f t="shared" si="118"/>
        <v>0.79528031211963457</v>
      </c>
      <c r="AG286" s="810">
        <f t="shared" si="124"/>
        <v>0</v>
      </c>
      <c r="AH286" s="176">
        <f t="shared" si="119"/>
        <v>6</v>
      </c>
      <c r="AI286" s="225">
        <f t="shared" si="120"/>
        <v>0.79528031211963457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26.447329518668869</v>
      </c>
      <c r="C287" s="840"/>
      <c r="D287" s="393">
        <f t="shared" si="102"/>
        <v>27.633966208166271</v>
      </c>
      <c r="E287" s="385">
        <f t="shared" si="100"/>
        <v>28.930180314764193</v>
      </c>
      <c r="F287" s="385">
        <f t="shared" si="103"/>
        <v>28.97354377644427</v>
      </c>
      <c r="G287" s="110">
        <f t="shared" si="101"/>
        <v>0.71515160675673284</v>
      </c>
      <c r="H287" s="414" t="b">
        <f>Wh_hp&gt;='2022'!Maxi_hp</f>
        <v>0</v>
      </c>
      <c r="I287" s="390">
        <f>IF(H287,Wh_hp,'2022'!Maxi_hp)</f>
        <v>33.387052918801814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4.294123690238616E-2</v>
      </c>
      <c r="M287" s="844"/>
      <c r="N287" s="844"/>
      <c r="O287" s="48">
        <f>IF(t&lt;Tnet,'2022'!Resal+('2022'!Salim-'2022'!Resal)*(1-EXP(('2022'!Tnet-t)/('2022'!Tau_j))),Resal+(Salim-Resal)*(1-EXP((Tnet-t)/(Tau_j))))*Salcycl</f>
        <v>4.4804909354001235E-2</v>
      </c>
      <c r="P287" s="169">
        <f>(INDEX(Models!$BJ287:$BT287,,T287)*(1-R287)+INDEX(Models!$BJ287:$BT287,,T287+1)*R287-ERP_i)*Q287*Ramure*Pc/MaxiM</f>
        <v>2.5191119130779844E-3</v>
      </c>
      <c r="Q287" s="305">
        <f t="shared" si="105"/>
        <v>0.7</v>
      </c>
      <c r="R287" s="177">
        <f t="shared" si="106"/>
        <v>0.79544542151388176</v>
      </c>
      <c r="S287" s="810">
        <f t="shared" si="107"/>
        <v>0</v>
      </c>
      <c r="T287" s="176">
        <f t="shared" si="108"/>
        <v>6</v>
      </c>
      <c r="U287" s="251">
        <f t="shared" si="109"/>
        <v>0.79544542151388176</v>
      </c>
      <c r="V287" s="383">
        <f t="shared" si="110"/>
        <v>36.943562091108575</v>
      </c>
      <c r="W287" s="402">
        <f t="shared" si="111"/>
        <v>26.447329518668869</v>
      </c>
      <c r="X287" s="157">
        <f t="shared" si="112"/>
        <v>45199</v>
      </c>
      <c r="Y287" s="385">
        <f t="shared" si="113"/>
        <v>24.162593339243543</v>
      </c>
      <c r="Z287" s="385">
        <f t="shared" si="114"/>
        <v>25.246718666510045</v>
      </c>
      <c r="AA287" s="386">
        <f t="shared" si="115"/>
        <v>28.930180314764193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0.12732245731542624</v>
      </c>
      <c r="AD287" s="231">
        <f>(INDEX(Models!$BJ287:$BT287,,AH287)*(1-AF287)+INDEX(Models!$BJ287:$BT287,,AH287+1)*AF287-ERP_i)*AE287*Ramure*Pc/MaxiM</f>
        <v>2.5191119130779844E-3</v>
      </c>
      <c r="AE287" s="305">
        <f t="shared" si="117"/>
        <v>0.7</v>
      </c>
      <c r="AF287" s="177">
        <f t="shared" si="118"/>
        <v>0.79544542151388176</v>
      </c>
      <c r="AG287" s="810">
        <f t="shared" si="124"/>
        <v>0</v>
      </c>
      <c r="AH287" s="176">
        <f t="shared" si="119"/>
        <v>6</v>
      </c>
      <c r="AI287" s="225">
        <f t="shared" si="120"/>
        <v>0.79544542151388176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33.228595106852232</v>
      </c>
      <c r="C288" s="840"/>
      <c r="D288" s="393">
        <f t="shared" si="102"/>
        <v>34.720301076654756</v>
      </c>
      <c r="E288" s="385">
        <f t="shared" si="100"/>
        <v>36.354233945260191</v>
      </c>
      <c r="F288" s="385">
        <f t="shared" si="103"/>
        <v>36.433517010532093</v>
      </c>
      <c r="G288" s="110">
        <f t="shared" si="101"/>
        <v>0.90856650899926583</v>
      </c>
      <c r="H288" s="414" t="b">
        <f>Wh_hp&gt;='2022'!Maxi_hp</f>
        <v>0</v>
      </c>
      <c r="I288" s="390">
        <f>IF(H288,Wh_hp,'2022'!Maxi_hp)</f>
        <v>39.381811318036526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4.2963509057976301E-2</v>
      </c>
      <c r="M288" s="844"/>
      <c r="N288" s="844"/>
      <c r="O288" s="48">
        <f>IF(t&lt;Tnet,'2022'!Resal+('2022'!Salim-'2022'!Resal)*(1-EXP(('2022'!Tnet-t)/('2022'!Tau_j))),Resal+(Salim-Resal)*(1-EXP((Tnet-t)/(Tau_j))))*Salcycl</f>
        <v>4.494477510008061E-2</v>
      </c>
      <c r="P288" s="169">
        <f>(INDEX(Models!$BJ288:$BT288,,T288)*(1-R288)+INDEX(Models!$BJ288:$BT288,,T288+1)*R288-ERP_i)*Q288*Ramure*Pc/MaxiM</f>
        <v>2.5018291777095876E-3</v>
      </c>
      <c r="Q288" s="305">
        <f t="shared" si="105"/>
        <v>0.7</v>
      </c>
      <c r="R288" s="177">
        <f t="shared" si="106"/>
        <v>0.79560401247608037</v>
      </c>
      <c r="S288" s="810">
        <f t="shared" si="107"/>
        <v>0</v>
      </c>
      <c r="T288" s="176">
        <f t="shared" si="108"/>
        <v>6</v>
      </c>
      <c r="U288" s="251">
        <f t="shared" si="109"/>
        <v>0.79560401247608037</v>
      </c>
      <c r="V288" s="383">
        <f t="shared" si="110"/>
        <v>36.560612494158612</v>
      </c>
      <c r="W288" s="402">
        <f t="shared" si="111"/>
        <v>33.228595106852232</v>
      </c>
      <c r="X288" s="157">
        <f t="shared" si="112"/>
        <v>45200</v>
      </c>
      <c r="Y288" s="385">
        <f t="shared" si="113"/>
        <v>30.361811343968256</v>
      </c>
      <c r="Z288" s="385">
        <f t="shared" si="114"/>
        <v>31.724820977393165</v>
      </c>
      <c r="AA288" s="386">
        <f t="shared" si="115"/>
        <v>36.354233945260191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0.12734178293614143</v>
      </c>
      <c r="AD288" s="231">
        <f>(INDEX(Models!$BJ288:$BT288,,AH288)*(1-AF288)+INDEX(Models!$BJ288:$BT288,,AH288+1)*AF288-ERP_i)*AE288*Ramure*Pc/MaxiM</f>
        <v>2.5018291777095876E-3</v>
      </c>
      <c r="AE288" s="305">
        <f t="shared" si="117"/>
        <v>0.7</v>
      </c>
      <c r="AF288" s="177">
        <f t="shared" si="118"/>
        <v>0.79560401247608037</v>
      </c>
      <c r="AG288" s="810">
        <f t="shared" si="124"/>
        <v>0</v>
      </c>
      <c r="AH288" s="176">
        <f t="shared" si="119"/>
        <v>6</v>
      </c>
      <c r="AI288" s="225">
        <f t="shared" si="120"/>
        <v>0.79560401247608037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35.007392948080287</v>
      </c>
      <c r="C289" s="840"/>
      <c r="D289" s="393">
        <f t="shared" si="102"/>
        <v>36.579804397799641</v>
      </c>
      <c r="E289" s="385">
        <f t="shared" si="100"/>
        <v>38.306819689335867</v>
      </c>
      <c r="F289" s="385">
        <f t="shared" si="103"/>
        <v>38.397659846247301</v>
      </c>
      <c r="G289" s="110">
        <f t="shared" si="101"/>
        <v>0.96744945393753001</v>
      </c>
      <c r="H289" s="414" t="b">
        <f>Wh_hp&gt;='2022'!Maxi_hp</f>
        <v>0</v>
      </c>
      <c r="I289" s="390">
        <f>IF(H289,Wh_hp,'2022'!Maxi_hp)</f>
        <v>38.398593862798243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4.2985780695260822E-2</v>
      </c>
      <c r="M289" s="844"/>
      <c r="N289" s="844"/>
      <c r="O289" s="48">
        <f>IF(t&lt;Tnet,'2022'!Resal+('2022'!Salim-'2022'!Resal)*(1-EXP(('2022'!Tnet-t)/('2022'!Tau_j))),Resal+(Salim-Resal)*(1-EXP((Tnet-t)/(Tau_j))))*Salcycl</f>
        <v>4.5083755465531547E-2</v>
      </c>
      <c r="P289" s="169">
        <f>(INDEX(Models!$BJ289:$BT289,,T289)*(1-R289)+INDEX(Models!$BJ289:$BT289,,T289+1)*R289-ERP_i)*Q289*Ramure*Pc/MaxiM</f>
        <v>2.4807342062444365E-3</v>
      </c>
      <c r="Q289" s="305">
        <f t="shared" si="105"/>
        <v>0.7</v>
      </c>
      <c r="R289" s="177">
        <f t="shared" si="106"/>
        <v>0.79575633739380547</v>
      </c>
      <c r="S289" s="810">
        <f t="shared" si="107"/>
        <v>0</v>
      </c>
      <c r="T289" s="176">
        <f t="shared" si="108"/>
        <v>6</v>
      </c>
      <c r="U289" s="251">
        <f t="shared" si="109"/>
        <v>0.79575633739380547</v>
      </c>
      <c r="V289" s="383">
        <f t="shared" si="110"/>
        <v>36.181072591447162</v>
      </c>
      <c r="W289" s="402">
        <f t="shared" si="111"/>
        <v>35.007392948080287</v>
      </c>
      <c r="X289" s="157">
        <f t="shared" si="112"/>
        <v>45201</v>
      </c>
      <c r="Y289" s="385">
        <f t="shared" si="113"/>
        <v>31.991157645278282</v>
      </c>
      <c r="Z289" s="385">
        <f t="shared" si="114"/>
        <v>33.428090199662364</v>
      </c>
      <c r="AA289" s="386">
        <f t="shared" si="115"/>
        <v>38.306819689335867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0.12735929344277253</v>
      </c>
      <c r="AD289" s="231">
        <f>(INDEX(Models!$BJ289:$BT289,,AH289)*(1-AF289)+INDEX(Models!$BJ289:$BT289,,AH289+1)*AF289-ERP_i)*AE289*Ramure*Pc/MaxiM</f>
        <v>2.4807342062444365E-3</v>
      </c>
      <c r="AE289" s="305">
        <f t="shared" si="117"/>
        <v>0.7</v>
      </c>
      <c r="AF289" s="177">
        <f t="shared" si="118"/>
        <v>0.79575633739380547</v>
      </c>
      <c r="AG289" s="810">
        <f t="shared" si="124"/>
        <v>0</v>
      </c>
      <c r="AH289" s="176">
        <f t="shared" si="119"/>
        <v>6</v>
      </c>
      <c r="AI289" s="225">
        <f t="shared" si="120"/>
        <v>0.79575633739380547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34.350326359345686</v>
      </c>
      <c r="C290" s="840"/>
      <c r="D290" s="393">
        <f t="shared" si="102"/>
        <v>35.894059949476642</v>
      </c>
      <c r="E290" s="385">
        <f t="shared" si="100"/>
        <v>37.594135759129486</v>
      </c>
      <c r="F290" s="385">
        <f t="shared" si="103"/>
        <v>37.681637596905588</v>
      </c>
      <c r="G290" s="110">
        <f t="shared" si="101"/>
        <v>0.95931134089210979</v>
      </c>
      <c r="H290" s="414" t="b">
        <f>Wh_hp&gt;='2022'!Maxi_hp</f>
        <v>0</v>
      </c>
      <c r="I290" s="390">
        <f>IF(H290,Wh_hp,'2022'!Maxi_hp)</f>
        <v>37.682771188791072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4.3008051814251824E-2</v>
      </c>
      <c r="M290" s="844"/>
      <c r="N290" s="844"/>
      <c r="O290" s="48">
        <f>IF(t&lt;Tnet,'2022'!Resal+('2022'!Salim-'2022'!Resal)*(1-EXP(('2022'!Tnet-t)/('2022'!Tau_j))),Resal+(Salim-Resal)*(1-EXP((Tnet-t)/(Tau_j))))*Salcycl</f>
        <v>4.5221835143264028E-2</v>
      </c>
      <c r="P290" s="169">
        <f>(INDEX(Models!$BJ290:$BT290,,T290)*(1-R290)+INDEX(Models!$BJ290:$BT290,,T290+1)*R290-ERP_i)*Q290*Ramure*Pc/MaxiM</f>
        <v>2.4649292220153898E-3</v>
      </c>
      <c r="Q290" s="305">
        <f t="shared" si="105"/>
        <v>0.7</v>
      </c>
      <c r="R290" s="177">
        <f t="shared" si="106"/>
        <v>0.79590263927043603</v>
      </c>
      <c r="S290" s="810">
        <f t="shared" si="107"/>
        <v>0</v>
      </c>
      <c r="T290" s="176">
        <f t="shared" si="108"/>
        <v>6</v>
      </c>
      <c r="U290" s="251">
        <f t="shared" si="109"/>
        <v>0.79590263927043603</v>
      </c>
      <c r="V290" s="383">
        <f t="shared" si="110"/>
        <v>35.802151439072176</v>
      </c>
      <c r="W290" s="402">
        <f t="shared" si="111"/>
        <v>34.350326359345686</v>
      </c>
      <c r="X290" s="157">
        <f t="shared" si="112"/>
        <v>45202</v>
      </c>
      <c r="Y290" s="385">
        <f t="shared" si="113"/>
        <v>31.394679964628292</v>
      </c>
      <c r="Z290" s="385">
        <f t="shared" si="114"/>
        <v>32.805584231033379</v>
      </c>
      <c r="AA290" s="386">
        <f t="shared" si="115"/>
        <v>37.594135759129486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0.12737495972182952</v>
      </c>
      <c r="AD290" s="231">
        <f>(INDEX(Models!$BJ290:$BT290,,AH290)*(1-AF290)+INDEX(Models!$BJ290:$BT290,,AH290+1)*AF290-ERP_i)*AE290*Ramure*Pc/MaxiM</f>
        <v>2.4649292220153898E-3</v>
      </c>
      <c r="AE290" s="305">
        <f t="shared" si="117"/>
        <v>0.7</v>
      </c>
      <c r="AF290" s="177">
        <f t="shared" si="118"/>
        <v>0.79590263927043603</v>
      </c>
      <c r="AG290" s="810">
        <f t="shared" si="124"/>
        <v>0</v>
      </c>
      <c r="AH290" s="176">
        <f t="shared" si="119"/>
        <v>6</v>
      </c>
      <c r="AI290" s="225">
        <f t="shared" si="120"/>
        <v>0.79590263927043603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35.444777904920926</v>
      </c>
      <c r="C291" s="840"/>
      <c r="D291" s="393">
        <f t="shared" si="102"/>
        <v>37.038559042296527</v>
      </c>
      <c r="E291" s="385">
        <f t="shared" si="100"/>
        <v>38.798416410156634</v>
      </c>
      <c r="F291" s="385">
        <f t="shared" si="103"/>
        <v>38.894030832928976</v>
      </c>
      <c r="G291" s="110">
        <f t="shared" si="101"/>
        <v>1.0005889667390384</v>
      </c>
      <c r="H291" s="414" t="b">
        <f>Wh_hp&gt;='2022'!Maxi_hp</f>
        <v>1</v>
      </c>
      <c r="I291" s="390">
        <f>IF(H291,Wh_hp,'2022'!Maxi_hp)</f>
        <v>38.894030832928976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4.3030322414961408E-2</v>
      </c>
      <c r="M291" s="844"/>
      <c r="N291" s="844"/>
      <c r="O291" s="48">
        <f>IF(t&lt;Tnet,'2022'!Resal+('2022'!Salim-'2022'!Resal)*(1-EXP(('2022'!Tnet-t)/('2022'!Tau_j))),Resal+(Salim-Resal)*(1-EXP((Tnet-t)/(Tau_j))))*Salcycl</f>
        <v>4.5358999946178542E-2</v>
      </c>
      <c r="P291" s="169">
        <f>(INDEX(Models!$BJ291:$BT291,,T291)*(1-R291)+INDEX(Models!$BJ291:$BT291,,T291+1)*R291-ERP_i)*Q291*Ramure*Pc/MaxiM</f>
        <v>2.4583315414918069E-3</v>
      </c>
      <c r="Q291" s="305">
        <f t="shared" si="105"/>
        <v>0.7</v>
      </c>
      <c r="R291" s="177">
        <f t="shared" si="106"/>
        <v>0.79604315204350029</v>
      </c>
      <c r="S291" s="810">
        <f t="shared" si="107"/>
        <v>0</v>
      </c>
      <c r="T291" s="176">
        <f t="shared" si="108"/>
        <v>6</v>
      </c>
      <c r="U291" s="251">
        <f t="shared" si="109"/>
        <v>0.79604315204350029</v>
      </c>
      <c r="V291" s="383">
        <f t="shared" si="110"/>
        <v>35.423914397574201</v>
      </c>
      <c r="W291" s="402">
        <f t="shared" si="111"/>
        <v>35.444777904920926</v>
      </c>
      <c r="X291" s="157">
        <f t="shared" si="112"/>
        <v>45203</v>
      </c>
      <c r="Y291" s="385">
        <f t="shared" si="113"/>
        <v>32.399102632477458</v>
      </c>
      <c r="Z291" s="385">
        <f t="shared" si="114"/>
        <v>33.855934405610668</v>
      </c>
      <c r="AA291" s="386">
        <f t="shared" si="115"/>
        <v>38.798416410156634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0.12738875608469741</v>
      </c>
      <c r="AD291" s="231">
        <f>(INDEX(Models!$BJ291:$BT291,,AH291)*(1-AF291)+INDEX(Models!$BJ291:$BT291,,AH291+1)*AF291-ERP_i)*AE291*Ramure*Pc/MaxiM</f>
        <v>2.4583315414918069E-3</v>
      </c>
      <c r="AE291" s="305">
        <f t="shared" si="117"/>
        <v>0.7</v>
      </c>
      <c r="AF291" s="177">
        <f t="shared" si="118"/>
        <v>0.79604315204350029</v>
      </c>
      <c r="AG291" s="810">
        <f t="shared" si="124"/>
        <v>0</v>
      </c>
      <c r="AH291" s="176">
        <f t="shared" si="119"/>
        <v>6</v>
      </c>
      <c r="AI291" s="225">
        <f t="shared" si="120"/>
        <v>0.79604315204350029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36.481269229233135</v>
      </c>
      <c r="C292" s="840"/>
      <c r="D292" s="393">
        <f t="shared" si="102"/>
        <v>38.122543562180113</v>
      </c>
      <c r="E292" s="385">
        <f t="shared" si="100"/>
        <v>39.939605372358251</v>
      </c>
      <c r="F292" s="385">
        <f t="shared" si="103"/>
        <v>40.038145696846783</v>
      </c>
      <c r="G292" s="110">
        <f t="shared" si="101"/>
        <v>1.0409371616866425</v>
      </c>
      <c r="H292" s="414" t="b">
        <f>Wh_hp&gt;='2022'!Maxi_hp</f>
        <v>1</v>
      </c>
      <c r="I292" s="390">
        <f>IF(H292,Wh_hp,'2022'!Maxi_hp)</f>
        <v>40.038145696846783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4.3052592497401565E-2</v>
      </c>
      <c r="M292" s="844"/>
      <c r="N292" s="844"/>
      <c r="O292" s="48">
        <f>IF(t&lt;Tnet,'2022'!Resal+('2022'!Salim-'2022'!Resal)*(1-EXP(('2022'!Tnet-t)/('2022'!Tau_j))),Resal+(Salim-Resal)*(1-EXP((Tnet-t)/(Tau_j))))*Salcycl</f>
        <v>4.549523695183285E-2</v>
      </c>
      <c r="P292" s="169">
        <f>(INDEX(Models!$BJ292:$BT292,,T292)*(1-R292)+INDEX(Models!$BJ292:$BT292,,T292+1)*R292-ERP_i)*Q292*Ramure*Pc/MaxiM</f>
        <v>2.4611610446357963E-3</v>
      </c>
      <c r="Q292" s="305">
        <f t="shared" si="105"/>
        <v>0.7</v>
      </c>
      <c r="R292" s="177">
        <f t="shared" si="106"/>
        <v>0.79617810089468566</v>
      </c>
      <c r="S292" s="810">
        <f t="shared" si="107"/>
        <v>0</v>
      </c>
      <c r="T292" s="176">
        <f t="shared" si="108"/>
        <v>6</v>
      </c>
      <c r="U292" s="251">
        <f t="shared" si="109"/>
        <v>0.79617810089468566</v>
      </c>
      <c r="V292" s="383">
        <f t="shared" si="110"/>
        <v>35.046562436220562</v>
      </c>
      <c r="W292" s="402">
        <f t="shared" si="111"/>
        <v>36.481269229233135</v>
      </c>
      <c r="X292" s="157">
        <f t="shared" si="112"/>
        <v>45204</v>
      </c>
      <c r="Y292" s="385">
        <f t="shared" si="113"/>
        <v>33.35083559714991</v>
      </c>
      <c r="Z292" s="385">
        <f t="shared" si="114"/>
        <v>34.851273262955523</v>
      </c>
      <c r="AA292" s="386">
        <f t="shared" si="115"/>
        <v>39.939605372358251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0.127400660621557</v>
      </c>
      <c r="AD292" s="231">
        <f>(INDEX(Models!$BJ292:$BT292,,AH292)*(1-AF292)+INDEX(Models!$BJ292:$BT292,,AH292+1)*AF292-ERP_i)*AE292*Ramure*Pc/MaxiM</f>
        <v>2.4611610446357963E-3</v>
      </c>
      <c r="AE292" s="305">
        <f t="shared" si="117"/>
        <v>0.7</v>
      </c>
      <c r="AF292" s="177">
        <f t="shared" si="118"/>
        <v>0.79617810089468566</v>
      </c>
      <c r="AG292" s="810">
        <f t="shared" si="124"/>
        <v>0</v>
      </c>
      <c r="AH292" s="176">
        <f t="shared" si="119"/>
        <v>6</v>
      </c>
      <c r="AI292" s="225">
        <f t="shared" si="120"/>
        <v>0.79617810089468566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11.428165378132494</v>
      </c>
      <c r="C293" s="840"/>
      <c r="D293" s="393">
        <f t="shared" si="102"/>
        <v>11.942590830828367</v>
      </c>
      <c r="E293" s="385">
        <f t="shared" si="100"/>
        <v>12.513592758765112</v>
      </c>
      <c r="F293" s="385">
        <f t="shared" si="103"/>
        <v>12.514902879362053</v>
      </c>
      <c r="G293" s="110">
        <f t="shared" si="101"/>
        <v>0.32884315624825555</v>
      </c>
      <c r="H293" s="414" t="b">
        <f>Wh_hp&gt;='2022'!Maxi_hp</f>
        <v>0</v>
      </c>
      <c r="I293" s="390">
        <f>IF(H293,Wh_hp,'2022'!Maxi_hp)</f>
        <v>33.540700247739295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4.3074862061584285E-2</v>
      </c>
      <c r="M293" s="844"/>
      <c r="N293" s="844"/>
      <c r="O293" s="48">
        <f>IF(t&lt;Tnet,'2022'!Resal+('2022'!Salim-'2022'!Resal)*(1-EXP(('2022'!Tnet-t)/('2022'!Tau_j))),Resal+(Salim-Resal)*(1-EXP((Tnet-t)/(Tau_j))))*Salcycl</f>
        <v>4.5630534646957252E-2</v>
      </c>
      <c r="P293" s="169">
        <f>(INDEX(Models!$BJ293:$BT293,,T293)*(1-R293)+INDEX(Models!$BJ293:$BT293,,T293+1)*R293-ERP_i)*Q293*Ramure*Pc/MaxiM</f>
        <v>2.4736407248241417E-3</v>
      </c>
      <c r="Q293" s="305">
        <f t="shared" si="105"/>
        <v>0.7</v>
      </c>
      <c r="R293" s="177">
        <f t="shared" si="106"/>
        <v>0.79630770255151706</v>
      </c>
      <c r="S293" s="810">
        <f t="shared" si="107"/>
        <v>0</v>
      </c>
      <c r="T293" s="176">
        <f t="shared" si="108"/>
        <v>6</v>
      </c>
      <c r="U293" s="251">
        <f t="shared" si="109"/>
        <v>0.79630770255151706</v>
      </c>
      <c r="V293" s="383">
        <f t="shared" si="110"/>
        <v>34.670296484691882</v>
      </c>
      <c r="W293" s="402">
        <f t="shared" si="111"/>
        <v>11.428165378132494</v>
      </c>
      <c r="X293" s="157">
        <f t="shared" si="112"/>
        <v>45205</v>
      </c>
      <c r="Y293" s="385">
        <f t="shared" si="113"/>
        <v>10.448883475009836</v>
      </c>
      <c r="Z293" s="385">
        <f t="shared" si="114"/>
        <v>10.919227702096681</v>
      </c>
      <c r="AA293" s="386">
        <f t="shared" si="115"/>
        <v>12.513592758765112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0.12741065554907585</v>
      </c>
      <c r="AD293" s="231">
        <f>(INDEX(Models!$BJ293:$BT293,,AH293)*(1-AF293)+INDEX(Models!$BJ293:$BT293,,AH293+1)*AF293-ERP_i)*AE293*Ramure*Pc/MaxiM</f>
        <v>2.4736407248241417E-3</v>
      </c>
      <c r="AE293" s="305">
        <f t="shared" si="117"/>
        <v>0.7</v>
      </c>
      <c r="AF293" s="177">
        <f t="shared" si="118"/>
        <v>0.79630770255151706</v>
      </c>
      <c r="AG293" s="810">
        <f t="shared" si="124"/>
        <v>0</v>
      </c>
      <c r="AH293" s="176">
        <f t="shared" si="119"/>
        <v>6</v>
      </c>
      <c r="AI293" s="225">
        <f t="shared" si="120"/>
        <v>0.79630770255151706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25.470529573597123</v>
      </c>
      <c r="C294" s="840"/>
      <c r="D294" s="393">
        <f t="shared" si="102"/>
        <v>26.617675002977865</v>
      </c>
      <c r="E294" s="385">
        <f t="shared" si="100"/>
        <v>27.894252192929223</v>
      </c>
      <c r="F294" s="385">
        <f t="shared" si="103"/>
        <v>27.938352227080522</v>
      </c>
      <c r="G294" s="110">
        <f t="shared" si="101"/>
        <v>0.74199992364525724</v>
      </c>
      <c r="H294" s="414" t="b">
        <f>Wh_hp&gt;='2022'!Maxi_hp</f>
        <v>0</v>
      </c>
      <c r="I294" s="390">
        <f>IF(H294,Wh_hp,'2022'!Maxi_hp)</f>
        <v>37.78874890553454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4.309713110752178E-2</v>
      </c>
      <c r="M294" s="844"/>
      <c r="N294" s="844"/>
      <c r="O294" s="48">
        <f>IF(t&lt;Tnet,'2022'!Resal+('2022'!Salim-'2022'!Resal)*(1-EXP(('2022'!Tnet-t)/('2022'!Tau_j))),Resal+(Salim-Resal)*(1-EXP((Tnet-t)/(Tau_j))))*Salcycl</f>
        <v>4.5764883070604487E-2</v>
      </c>
      <c r="P294" s="169">
        <f>(INDEX(Models!$BJ294:$BT294,,T294)*(1-R294)+INDEX(Models!$BJ294:$BT294,,T294+1)*R294-ERP_i)*Q294*Ramure*Pc/MaxiM</f>
        <v>2.4959960607941908E-3</v>
      </c>
      <c r="Q294" s="305">
        <f t="shared" si="105"/>
        <v>0.7</v>
      </c>
      <c r="R294" s="177">
        <f t="shared" si="106"/>
        <v>0.79643216558073526</v>
      </c>
      <c r="S294" s="810">
        <f t="shared" si="107"/>
        <v>0</v>
      </c>
      <c r="T294" s="176">
        <f t="shared" si="108"/>
        <v>6</v>
      </c>
      <c r="U294" s="251">
        <f t="shared" si="109"/>
        <v>0.79643216558073526</v>
      </c>
      <c r="V294" s="383">
        <f t="shared" si="110"/>
        <v>34.295317436395216</v>
      </c>
      <c r="W294" s="402">
        <f t="shared" si="111"/>
        <v>25.470529573597123</v>
      </c>
      <c r="X294" s="157">
        <f t="shared" si="112"/>
        <v>45206</v>
      </c>
      <c r="Y294" s="385">
        <f t="shared" si="113"/>
        <v>23.291017812105238</v>
      </c>
      <c r="Z294" s="385">
        <f t="shared" si="114"/>
        <v>24.340002072584777</v>
      </c>
      <c r="AA294" s="386">
        <f t="shared" si="115"/>
        <v>27.894252192929223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0.12741872754865949</v>
      </c>
      <c r="AD294" s="231">
        <f>(INDEX(Models!$BJ294:$BT294,,AH294)*(1-AF294)+INDEX(Models!$BJ294:$BT294,,AH294+1)*AF294-ERP_i)*AE294*Ramure*Pc/MaxiM</f>
        <v>2.4959960607941908E-3</v>
      </c>
      <c r="AE294" s="305">
        <f t="shared" si="117"/>
        <v>0.7</v>
      </c>
      <c r="AF294" s="177">
        <f t="shared" si="118"/>
        <v>0.79643216558073526</v>
      </c>
      <c r="AG294" s="810">
        <f t="shared" si="124"/>
        <v>0</v>
      </c>
      <c r="AH294" s="176">
        <f t="shared" si="119"/>
        <v>6</v>
      </c>
      <c r="AI294" s="225">
        <f t="shared" si="120"/>
        <v>0.79643216558073526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16.864562943718973</v>
      </c>
      <c r="C295" s="840"/>
      <c r="D295" s="393">
        <f t="shared" si="102"/>
        <v>17.624521740006021</v>
      </c>
      <c r="E295" s="385">
        <f t="shared" si="100"/>
        <v>18.47237171769774</v>
      </c>
      <c r="F295" s="385">
        <f t="shared" si="103"/>
        <v>18.485536302090754</v>
      </c>
      <c r="G295" s="110">
        <f t="shared" si="101"/>
        <v>0.49625600811105963</v>
      </c>
      <c r="H295" s="414" t="b">
        <f>Wh_hp&gt;='2022'!Maxi_hp</f>
        <v>0</v>
      </c>
      <c r="I295" s="390">
        <f>IF(H295,Wh_hp,'2022'!Maxi_hp)</f>
        <v>35.15889638578107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4.3119399635226041E-2</v>
      </c>
      <c r="M295" s="844"/>
      <c r="N295" s="844"/>
      <c r="O295" s="48">
        <f>IF(t&lt;Tnet,'2022'!Resal+('2022'!Salim-'2022'!Resal)*(1-EXP(('2022'!Tnet-t)/('2022'!Tau_j))),Resal+(Salim-Resal)*(1-EXP((Tnet-t)/(Tau_j))))*Salcycl</f>
        <v>4.5898273954687908E-2</v>
      </c>
      <c r="P295" s="169">
        <f>(INDEX(Models!$BJ295:$BT295,,T295)*(1-R295)+INDEX(Models!$BJ295:$BT295,,T295+1)*R295-ERP_i)*Q295*Ramure*Pc/MaxiM</f>
        <v>2.5284543520973199E-3</v>
      </c>
      <c r="Q295" s="305">
        <f t="shared" si="105"/>
        <v>0.7</v>
      </c>
      <c r="R295" s="177">
        <f t="shared" si="106"/>
        <v>0.79655169067342424</v>
      </c>
      <c r="S295" s="810">
        <f t="shared" si="107"/>
        <v>0</v>
      </c>
      <c r="T295" s="176">
        <f t="shared" si="108"/>
        <v>6</v>
      </c>
      <c r="U295" s="251">
        <f t="shared" si="109"/>
        <v>0.79655169067342424</v>
      </c>
      <c r="V295" s="383">
        <f t="shared" si="110"/>
        <v>33.921826154142174</v>
      </c>
      <c r="W295" s="402">
        <f t="shared" si="111"/>
        <v>16.864562943718973</v>
      </c>
      <c r="X295" s="157">
        <f t="shared" si="112"/>
        <v>45207</v>
      </c>
      <c r="Y295" s="385">
        <f t="shared" si="113"/>
        <v>15.423510757265877</v>
      </c>
      <c r="Z295" s="385">
        <f t="shared" si="114"/>
        <v>16.118532188223124</v>
      </c>
      <c r="AA295" s="386">
        <f t="shared" si="115"/>
        <v>18.47237171769774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0.12742486809203199</v>
      </c>
      <c r="AD295" s="231">
        <f>(INDEX(Models!$BJ295:$BT295,,AH295)*(1-AF295)+INDEX(Models!$BJ295:$BT295,,AH295+1)*AF295-ERP_i)*AE295*Ramure*Pc/MaxiM</f>
        <v>2.5284543520973199E-3</v>
      </c>
      <c r="AE295" s="305">
        <f t="shared" si="117"/>
        <v>0.7</v>
      </c>
      <c r="AF295" s="177">
        <f t="shared" si="118"/>
        <v>0.79655169067342424</v>
      </c>
      <c r="AG295" s="810">
        <f t="shared" si="124"/>
        <v>0</v>
      </c>
      <c r="AH295" s="176">
        <f t="shared" si="119"/>
        <v>6</v>
      </c>
      <c r="AI295" s="225">
        <f t="shared" si="120"/>
        <v>0.79655169067342424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33.0560884516089</v>
      </c>
      <c r="C296" s="840"/>
      <c r="D296" s="393">
        <f t="shared" si="102"/>
        <v>34.546481264621363</v>
      </c>
      <c r="E296" s="385">
        <f t="shared" si="100"/>
        <v>36.21340990301055</v>
      </c>
      <c r="F296" s="385">
        <f t="shared" si="103"/>
        <v>36.304947223220744</v>
      </c>
      <c r="G296" s="110">
        <f t="shared" si="101"/>
        <v>0.98522836688884019</v>
      </c>
      <c r="H296" s="414" t="b">
        <f>Wh_hp&gt;='2022'!Maxi_hp</f>
        <v>0</v>
      </c>
      <c r="I296" s="390">
        <f>IF(H296,Wh_hp,'2022'!Maxi_hp)</f>
        <v>36.30535687657288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4.3141667644709059E-2</v>
      </c>
      <c r="M296" s="844"/>
      <c r="N296" s="844"/>
      <c r="O296" s="48">
        <f>IF(t&lt;Tnet,'2022'!Resal+('2022'!Salim-'2022'!Resal)*(1-EXP(('2022'!Tnet-t)/('2022'!Tau_j))),Resal+(Salim-Resal)*(1-EXP((Tnet-t)/(Tau_j))))*Salcycl</f>
        <v>4.6030700860639165E-2</v>
      </c>
      <c r="P296" s="169">
        <f>(INDEX(Models!$BJ296:$BT296,,T296)*(1-R296)+INDEX(Models!$BJ296:$BT296,,T296+1)*R296-ERP_i)*Q296*Ramure*Pc/MaxiM</f>
        <v>2.575497843137473E-3</v>
      </c>
      <c r="Q296" s="305">
        <f t="shared" si="105"/>
        <v>0.7</v>
      </c>
      <c r="R296" s="177">
        <f t="shared" si="106"/>
        <v>0.79666647092195431</v>
      </c>
      <c r="S296" s="810">
        <f t="shared" si="107"/>
        <v>0</v>
      </c>
      <c r="T296" s="176">
        <f t="shared" si="108"/>
        <v>6</v>
      </c>
      <c r="U296" s="251">
        <f t="shared" si="109"/>
        <v>0.79666647092195431</v>
      </c>
      <c r="V296" s="383">
        <f t="shared" si="110"/>
        <v>33.54988039071285</v>
      </c>
      <c r="W296" s="402">
        <f t="shared" si="111"/>
        <v>33.0560884516089</v>
      </c>
      <c r="X296" s="157">
        <f t="shared" si="112"/>
        <v>45208</v>
      </c>
      <c r="Y296" s="385">
        <f t="shared" si="113"/>
        <v>30.235545047847499</v>
      </c>
      <c r="Z296" s="385">
        <f t="shared" si="114"/>
        <v>31.598768621707254</v>
      </c>
      <c r="AA296" s="386">
        <f t="shared" si="115"/>
        <v>36.21340990301055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0.12742907375092741</v>
      </c>
      <c r="AD296" s="231">
        <f>(INDEX(Models!$BJ296:$BT296,,AH296)*(1-AF296)+INDEX(Models!$BJ296:$BT296,,AH296+1)*AF296-ERP_i)*AE296*Ramure*Pc/MaxiM</f>
        <v>2.575497843137473E-3</v>
      </c>
      <c r="AE296" s="305">
        <f t="shared" si="117"/>
        <v>0.7</v>
      </c>
      <c r="AF296" s="177">
        <f t="shared" si="118"/>
        <v>0.79666647092195431</v>
      </c>
      <c r="AG296" s="810">
        <f t="shared" si="124"/>
        <v>0</v>
      </c>
      <c r="AH296" s="176">
        <f t="shared" si="119"/>
        <v>6</v>
      </c>
      <c r="AI296" s="225">
        <f t="shared" si="120"/>
        <v>0.79666647092195431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26.535824607811648</v>
      </c>
      <c r="C297" s="840"/>
      <c r="D297" s="393">
        <f t="shared" si="102"/>
        <v>27.732885059660507</v>
      </c>
      <c r="E297" s="385">
        <f t="shared" ref="E297:E360" si="125">Wh_pvt/(1-Psa)</f>
        <v>29.075052253772103</v>
      </c>
      <c r="F297" s="385">
        <f t="shared" si="103"/>
        <v>29.129891412248096</v>
      </c>
      <c r="G297" s="110">
        <f t="shared" ref="G297:G360" si="126">+Wh_hp/MaxiM</f>
        <v>0.79915639751261736</v>
      </c>
      <c r="H297" s="414" t="b">
        <f>Wh_hp&gt;='2022'!Maxi_hp</f>
        <v>0</v>
      </c>
      <c r="I297" s="390">
        <f>IF(H297,Wh_hp,'2022'!Maxi_hp)</f>
        <v>30.260941693493162</v>
      </c>
      <c r="J297" s="85">
        <f>IF(H297,An,'2022'!An_max)</f>
        <v>2021</v>
      </c>
      <c r="K297" s="197">
        <f t="shared" si="104"/>
        <v>45209</v>
      </c>
      <c r="L297" s="147">
        <f>IF(t&lt;Tvie,1-EXP((T0-t)*PertePVj)+'2022'!Pspv,1-EXP((T0-t)*PertePVj)+Pspv)</f>
        <v>4.3163935135983045E-2</v>
      </c>
      <c r="M297" s="844"/>
      <c r="N297" s="844"/>
      <c r="O297" s="48">
        <f>IF(t&lt;Tnet,'2022'!Resal+('2022'!Salim-'2022'!Resal)*(1-EXP(('2022'!Tnet-t)/('2022'!Tau_j))),Resal+(Salim-Resal)*(1-EXP((Tnet-t)/(Tau_j))))*Salcycl</f>
        <v>4.6162159310907724E-2</v>
      </c>
      <c r="P297" s="169">
        <f>(INDEX(Models!$BJ297:$BT297,,T297)*(1-R297)+INDEX(Models!$BJ297:$BT297,,T297+1)*R297-ERP_i)*Q297*Ramure*Pc/MaxiM</f>
        <v>2.6368642896384634E-3</v>
      </c>
      <c r="Q297" s="305">
        <f t="shared" si="105"/>
        <v>0.7</v>
      </c>
      <c r="R297" s="177">
        <f t="shared" si="106"/>
        <v>0.79677669208882718</v>
      </c>
      <c r="S297" s="810">
        <f t="shared" si="107"/>
        <v>0</v>
      </c>
      <c r="T297" s="176">
        <f t="shared" si="108"/>
        <v>6</v>
      </c>
      <c r="U297" s="251">
        <f t="shared" si="109"/>
        <v>0.79677669208882718</v>
      </c>
      <c r="V297" s="383">
        <f t="shared" si="110"/>
        <v>33.179702004786208</v>
      </c>
      <c r="W297" s="402">
        <f t="shared" si="111"/>
        <v>26.535824607811648</v>
      </c>
      <c r="X297" s="157">
        <f t="shared" si="112"/>
        <v>45209</v>
      </c>
      <c r="Y297" s="385">
        <f t="shared" si="113"/>
        <v>24.274911059461282</v>
      </c>
      <c r="Z297" s="385">
        <f t="shared" si="114"/>
        <v>25.369979195873192</v>
      </c>
      <c r="AA297" s="386">
        <f t="shared" si="115"/>
        <v>29.075052253772103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0.12743134648771703</v>
      </c>
      <c r="AD297" s="231">
        <f>(INDEX(Models!$BJ297:$BT297,,AH297)*(1-AF297)+INDEX(Models!$BJ297:$BT297,,AH297+1)*AF297-ERP_i)*AE297*Ramure*Pc/MaxiM</f>
        <v>2.6368642896384634E-3</v>
      </c>
      <c r="AE297" s="305">
        <f t="shared" si="117"/>
        <v>0.7</v>
      </c>
      <c r="AF297" s="177">
        <f t="shared" si="118"/>
        <v>0.79677669208882718</v>
      </c>
      <c r="AG297" s="810">
        <f t="shared" si="124"/>
        <v>0</v>
      </c>
      <c r="AH297" s="176">
        <f t="shared" si="119"/>
        <v>6</v>
      </c>
      <c r="AI297" s="225">
        <f t="shared" si="120"/>
        <v>0.79677669208882718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20.623629525270871</v>
      </c>
      <c r="C298" s="840"/>
      <c r="D298" s="393">
        <f t="shared" si="102"/>
        <v>21.554485910143203</v>
      </c>
      <c r="E298" s="385">
        <f t="shared" si="125"/>
        <v>22.60073369508784</v>
      </c>
      <c r="F298" s="385">
        <f t="shared" si="103"/>
        <v>22.629547936535364</v>
      </c>
      <c r="G298" s="110">
        <f t="shared" si="126"/>
        <v>0.62764295874703224</v>
      </c>
      <c r="H298" s="414" t="b">
        <f>Wh_hp&gt;='2022'!Maxi_hp</f>
        <v>0</v>
      </c>
      <c r="I298" s="390">
        <f>IF(H298,Wh_hp,'2022'!Maxi_hp)</f>
        <v>36.235632696328913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4.318620210905999E-2</v>
      </c>
      <c r="M298" s="844"/>
      <c r="N298" s="844"/>
      <c r="O298" s="48">
        <f>IF(t&lt;Tnet,'2022'!Resal+('2022'!Salim-'2022'!Resal)*(1-EXP(('2022'!Tnet-t)/('2022'!Tau_j))),Resal+(Salim-Resal)*(1-EXP((Tnet-t)/(Tau_j))))*Salcycl</f>
        <v>4.6292646914026236E-2</v>
      </c>
      <c r="P298" s="169">
        <f>(INDEX(Models!$BJ298:$BT298,,T298)*(1-R298)+INDEX(Models!$BJ298:$BT298,,T298+1)*R298-ERP_i)*Q298*Ramure*Pc/MaxiM</f>
        <v>2.7128717659965114E-3</v>
      </c>
      <c r="Q298" s="305">
        <f t="shared" si="105"/>
        <v>0.7</v>
      </c>
      <c r="R298" s="177">
        <f t="shared" si="106"/>
        <v>0.7968825328675202</v>
      </c>
      <c r="S298" s="810">
        <f t="shared" si="107"/>
        <v>0</v>
      </c>
      <c r="T298" s="176">
        <f t="shared" si="108"/>
        <v>6</v>
      </c>
      <c r="U298" s="251">
        <f t="shared" si="109"/>
        <v>0.7968825328675202</v>
      </c>
      <c r="V298" s="383">
        <f t="shared" si="110"/>
        <v>32.811492946305187</v>
      </c>
      <c r="W298" s="402">
        <f t="shared" si="111"/>
        <v>20.623629525270871</v>
      </c>
      <c r="X298" s="157">
        <f t="shared" si="112"/>
        <v>45210</v>
      </c>
      <c r="Y298" s="385">
        <f t="shared" si="113"/>
        <v>18.8690224750579</v>
      </c>
      <c r="Z298" s="385">
        <f t="shared" si="114"/>
        <v>19.720683916400457</v>
      </c>
      <c r="AA298" s="386">
        <f t="shared" si="115"/>
        <v>22.60073369508784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0.12743169392387232</v>
      </c>
      <c r="AD298" s="231">
        <f>(INDEX(Models!$BJ298:$BT298,,AH298)*(1-AF298)+INDEX(Models!$BJ298:$BT298,,AH298+1)*AF298-ERP_i)*AE298*Ramure*Pc/MaxiM</f>
        <v>2.7128717659965114E-3</v>
      </c>
      <c r="AE298" s="305">
        <f t="shared" si="117"/>
        <v>0.7</v>
      </c>
      <c r="AF298" s="177">
        <f t="shared" si="118"/>
        <v>0.7968825328675202</v>
      </c>
      <c r="AG298" s="810">
        <f t="shared" si="124"/>
        <v>0</v>
      </c>
      <c r="AH298" s="176">
        <f t="shared" si="119"/>
        <v>6</v>
      </c>
      <c r="AI298" s="225">
        <f t="shared" si="120"/>
        <v>0.7968825328675202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24.87133803022892</v>
      </c>
      <c r="C299" s="840"/>
      <c r="D299" s="393">
        <f t="shared" si="102"/>
        <v>25.994521495084239</v>
      </c>
      <c r="E299" s="385">
        <f t="shared" si="125"/>
        <v>27.259989168795077</v>
      </c>
      <c r="F299" s="385">
        <f t="shared" si="103"/>
        <v>27.311027779403123</v>
      </c>
      <c r="G299" s="110">
        <f t="shared" si="126"/>
        <v>0.7658403460044968</v>
      </c>
      <c r="H299" s="414" t="b">
        <f>Wh_hp&gt;='2022'!Maxi_hp</f>
        <v>0</v>
      </c>
      <c r="I299" s="390">
        <f>IF(H299,Wh_hp,'2022'!Maxi_hp)</f>
        <v>34.453612542643434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4.3208468563951885E-2</v>
      </c>
      <c r="M299" s="844"/>
      <c r="N299" s="844"/>
      <c r="O299" s="48">
        <f>IF(t&lt;Tnet,'2022'!Resal+('2022'!Salim-'2022'!Resal)*(1-EXP(('2022'!Tnet-t)/('2022'!Tau_j))),Resal+(Salim-Resal)*(1-EXP((Tnet-t)/(Tau_j))))*Salcycl</f>
        <v>4.6422163481981027E-2</v>
      </c>
      <c r="P299" s="169">
        <f>(INDEX(Models!$BJ299:$BT299,,T299)*(1-R299)+INDEX(Models!$BJ299:$BT299,,T299+1)*R299-ERP_i)*Q299*Ramure*Pc/MaxiM</f>
        <v>2.8038370806934333E-3</v>
      </c>
      <c r="Q299" s="305">
        <f t="shared" si="105"/>
        <v>0.7</v>
      </c>
      <c r="R299" s="177">
        <f t="shared" si="106"/>
        <v>0.79698416513544135</v>
      </c>
      <c r="S299" s="810">
        <f t="shared" si="107"/>
        <v>0</v>
      </c>
      <c r="T299" s="176">
        <f t="shared" si="108"/>
        <v>6</v>
      </c>
      <c r="U299" s="251">
        <f t="shared" si="109"/>
        <v>0.79698416513544135</v>
      </c>
      <c r="V299" s="383">
        <f t="shared" si="110"/>
        <v>32.44545521536228</v>
      </c>
      <c r="W299" s="402">
        <f t="shared" si="111"/>
        <v>24.87133803022892</v>
      </c>
      <c r="X299" s="157">
        <f t="shared" si="112"/>
        <v>45211</v>
      </c>
      <c r="Y299" s="385">
        <f t="shared" si="113"/>
        <v>22.75847798788206</v>
      </c>
      <c r="Z299" s="385">
        <f t="shared" si="114"/>
        <v>23.786245216576976</v>
      </c>
      <c r="AA299" s="386">
        <f t="shared" si="115"/>
        <v>27.259989168795077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0.12743012958327032</v>
      </c>
      <c r="AD299" s="231">
        <f>(INDEX(Models!$BJ299:$BT299,,AH299)*(1-AF299)+INDEX(Models!$BJ299:$BT299,,AH299+1)*AF299-ERP_i)*AE299*Ramure*Pc/MaxiM</f>
        <v>2.8038370806934333E-3</v>
      </c>
      <c r="AE299" s="305">
        <f t="shared" si="117"/>
        <v>0.7</v>
      </c>
      <c r="AF299" s="177">
        <f t="shared" si="118"/>
        <v>0.79698416513544135</v>
      </c>
      <c r="AG299" s="810">
        <f t="shared" si="124"/>
        <v>0</v>
      </c>
      <c r="AH299" s="176">
        <f t="shared" si="119"/>
        <v>6</v>
      </c>
      <c r="AI299" s="225">
        <f t="shared" si="120"/>
        <v>0.79698416513544135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21.390543893130957</v>
      </c>
      <c r="C300" s="840"/>
      <c r="D300" s="393">
        <f t="shared" si="102"/>
        <v>22.357055838292872</v>
      </c>
      <c r="E300" s="385">
        <f t="shared" si="125"/>
        <v>23.448605079975167</v>
      </c>
      <c r="F300" s="385">
        <f t="shared" si="103"/>
        <v>23.484411116313911</v>
      </c>
      <c r="G300" s="110">
        <f t="shared" si="126"/>
        <v>0.6658251787751186</v>
      </c>
      <c r="H300" s="414" t="b">
        <f>Wh_hp&gt;='2022'!Maxi_hp</f>
        <v>0</v>
      </c>
      <c r="I300" s="390">
        <f>IF(H300,Wh_hp,'2022'!Maxi_hp)</f>
        <v>34.605373713118908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4.3230734500670942E-2</v>
      </c>
      <c r="M300" s="844"/>
      <c r="N300" s="844"/>
      <c r="O300" s="48">
        <f>IF(t&lt;Tnet,'2022'!Resal+('2022'!Salim-'2022'!Resal)*(1-EXP(('2022'!Tnet-t)/('2022'!Tau_j))),Resal+(Salim-Resal)*(1-EXP((Tnet-t)/(Tau_j))))*Salcycl</f>
        <v>4.6550711138653812E-2</v>
      </c>
      <c r="P300" s="169">
        <f>(INDEX(Models!$BJ300:$BT300,,T300)*(1-R300)+INDEX(Models!$BJ300:$BT300,,T300+1)*R300-ERP_i)*Q300*Ramure*Pc/MaxiM</f>
        <v>2.9100746384843118E-3</v>
      </c>
      <c r="Q300" s="305">
        <f t="shared" si="105"/>
        <v>0.7</v>
      </c>
      <c r="R300" s="177">
        <f t="shared" si="106"/>
        <v>0.79708175419911664</v>
      </c>
      <c r="S300" s="810">
        <f t="shared" si="107"/>
        <v>0</v>
      </c>
      <c r="T300" s="176">
        <f t="shared" si="108"/>
        <v>6</v>
      </c>
      <c r="U300" s="251">
        <f t="shared" si="109"/>
        <v>0.79708175419911664</v>
      </c>
      <c r="V300" s="383">
        <f t="shared" si="110"/>
        <v>32.081790862503333</v>
      </c>
      <c r="W300" s="402">
        <f t="shared" si="111"/>
        <v>21.390543893130957</v>
      </c>
      <c r="X300" s="157">
        <f t="shared" si="112"/>
        <v>45212</v>
      </c>
      <c r="Y300" s="385">
        <f t="shared" si="113"/>
        <v>19.576099397126875</v>
      </c>
      <c r="Z300" s="385">
        <f t="shared" si="114"/>
        <v>20.460627345622655</v>
      </c>
      <c r="AA300" s="386">
        <f t="shared" si="115"/>
        <v>23.448605079975167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0.12742667310748526</v>
      </c>
      <c r="AD300" s="231">
        <f>(INDEX(Models!$BJ300:$BT300,,AH300)*(1-AF300)+INDEX(Models!$BJ300:$BT300,,AH300+1)*AF300-ERP_i)*AE300*Ramure*Pc/MaxiM</f>
        <v>2.9100746384843118E-3</v>
      </c>
      <c r="AE300" s="305">
        <f t="shared" si="117"/>
        <v>0.7</v>
      </c>
      <c r="AF300" s="177">
        <f t="shared" si="118"/>
        <v>0.79708175419911664</v>
      </c>
      <c r="AG300" s="810">
        <f t="shared" si="124"/>
        <v>0</v>
      </c>
      <c r="AH300" s="176">
        <f t="shared" si="119"/>
        <v>6</v>
      </c>
      <c r="AI300" s="225">
        <f t="shared" si="120"/>
        <v>0.79708175419911664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17.903095834874442</v>
      </c>
      <c r="C301" s="840"/>
      <c r="D301" s="393">
        <f t="shared" si="102"/>
        <v>18.712466130923868</v>
      </c>
      <c r="E301" s="385">
        <f t="shared" si="125"/>
        <v>19.628700386615797</v>
      </c>
      <c r="F301" s="385">
        <f t="shared" si="103"/>
        <v>19.651204569139061</v>
      </c>
      <c r="G301" s="110">
        <f t="shared" si="126"/>
        <v>0.56333176633587867</v>
      </c>
      <c r="H301" s="414" t="b">
        <f>Wh_hp&gt;='2022'!Maxi_hp</f>
        <v>0</v>
      </c>
      <c r="I301" s="390">
        <f>IF(H301,Wh_hp,'2022'!Maxi_hp)</f>
        <v>35.94304448551074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4.325299991922904E-2</v>
      </c>
      <c r="M301" s="844"/>
      <c r="N301" s="844"/>
      <c r="O301" s="48">
        <f>IF(t&lt;Tnet,'2022'!Resal+('2022'!Salim-'2022'!Resal)*(1-EXP(('2022'!Tnet-t)/('2022'!Tau_j))),Resal+(Salim-Resal)*(1-EXP((Tnet-t)/(Tau_j))))*Salcycl</f>
        <v>4.6678294418140864E-2</v>
      </c>
      <c r="P301" s="169">
        <f>(INDEX(Models!$BJ301:$BT301,,T301)*(1-R301)+INDEX(Models!$BJ301:$BT301,,T301+1)*R301-ERP_i)*Q301*Ramure*Pc/MaxiM</f>
        <v>3.0318952612851226E-3</v>
      </c>
      <c r="Q301" s="305">
        <f t="shared" si="105"/>
        <v>0.7</v>
      </c>
      <c r="R301" s="177">
        <f t="shared" si="106"/>
        <v>0.79717545903174136</v>
      </c>
      <c r="S301" s="810">
        <f t="shared" si="107"/>
        <v>0</v>
      </c>
      <c r="T301" s="176">
        <f t="shared" si="108"/>
        <v>6</v>
      </c>
      <c r="U301" s="251">
        <f t="shared" si="109"/>
        <v>0.79717545903174136</v>
      </c>
      <c r="V301" s="383">
        <f t="shared" si="110"/>
        <v>31.720701985815207</v>
      </c>
      <c r="W301" s="402">
        <f t="shared" si="111"/>
        <v>17.903095834874442</v>
      </c>
      <c r="X301" s="157">
        <f t="shared" si="112"/>
        <v>45213</v>
      </c>
      <c r="Y301" s="385">
        <f t="shared" si="113"/>
        <v>16.386765448706996</v>
      </c>
      <c r="Z301" s="385">
        <f t="shared" si="114"/>
        <v>17.127584875963638</v>
      </c>
      <c r="AA301" s="386">
        <f t="shared" si="115"/>
        <v>19.628700386615797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0.12742135044037814</v>
      </c>
      <c r="AD301" s="231">
        <f>(INDEX(Models!$BJ301:$BT301,,AH301)*(1-AF301)+INDEX(Models!$BJ301:$BT301,,AH301+1)*AF301-ERP_i)*AE301*Ramure*Pc/MaxiM</f>
        <v>3.0318952612851226E-3</v>
      </c>
      <c r="AE301" s="305">
        <f t="shared" si="117"/>
        <v>0.7</v>
      </c>
      <c r="AF301" s="177">
        <f t="shared" si="118"/>
        <v>0.79717545903174136</v>
      </c>
      <c r="AG301" s="810">
        <f t="shared" si="124"/>
        <v>0</v>
      </c>
      <c r="AH301" s="176">
        <f t="shared" si="119"/>
        <v>6</v>
      </c>
      <c r="AI301" s="225">
        <f t="shared" si="120"/>
        <v>0.79717545903174136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31.514855701258917</v>
      </c>
      <c r="C302" s="840"/>
      <c r="D302" s="393">
        <f t="shared" si="102"/>
        <v>32.940358435822958</v>
      </c>
      <c r="E302" s="385">
        <f t="shared" si="125"/>
        <v>34.557835157920309</v>
      </c>
      <c r="F302" s="385">
        <f t="shared" si="103"/>
        <v>34.667718129557933</v>
      </c>
      <c r="G302" s="110">
        <f t="shared" si="126"/>
        <v>1.0048613950705008</v>
      </c>
      <c r="H302" s="414" t="b">
        <f>Wh_hp&gt;='2022'!Maxi_hp</f>
        <v>1</v>
      </c>
      <c r="I302" s="390">
        <f>IF(H302,Wh_hp,'2022'!Maxi_hp)</f>
        <v>34.667718129557933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4.3275264819638282E-2</v>
      </c>
      <c r="M302" s="844"/>
      <c r="N302" s="844"/>
      <c r="O302" s="48">
        <f>IF(t&lt;Tnet,'2022'!Resal+('2022'!Salim-'2022'!Resal)*(1-EXP(('2022'!Tnet-t)/('2022'!Tau_j))),Resal+(Salim-Resal)*(1-EXP((Tnet-t)/(Tau_j))))*Salcycl</f>
        <v>4.6804920351807541E-2</v>
      </c>
      <c r="P302" s="169">
        <f>(INDEX(Models!$BJ302:$BT302,,T302)*(1-R302)+INDEX(Models!$BJ302:$BT302,,T302+1)*R302-ERP_i)*Q302*Ramure*Pc/MaxiM</f>
        <v>3.1696049687198668E-3</v>
      </c>
      <c r="Q302" s="305">
        <f t="shared" si="105"/>
        <v>0.7</v>
      </c>
      <c r="R302" s="177">
        <f t="shared" si="106"/>
        <v>0.79726543250323412</v>
      </c>
      <c r="S302" s="810">
        <f t="shared" si="107"/>
        <v>0</v>
      </c>
      <c r="T302" s="176">
        <f t="shared" si="108"/>
        <v>6</v>
      </c>
      <c r="U302" s="251">
        <f t="shared" si="109"/>
        <v>0.79726543250323412</v>
      </c>
      <c r="V302" s="383">
        <f t="shared" si="110"/>
        <v>31.362390729567075</v>
      </c>
      <c r="W302" s="402">
        <f t="shared" si="111"/>
        <v>31.514855701258917</v>
      </c>
      <c r="X302" s="157">
        <f t="shared" si="112"/>
        <v>45214</v>
      </c>
      <c r="Y302" s="385">
        <f t="shared" si="113"/>
        <v>28.849724836864002</v>
      </c>
      <c r="Z302" s="385">
        <f t="shared" si="114"/>
        <v>30.154676445597755</v>
      </c>
      <c r="AA302" s="386">
        <f t="shared" si="115"/>
        <v>34.557835157920309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0.12741419397949161</v>
      </c>
      <c r="AD302" s="231">
        <f>(INDEX(Models!$BJ302:$BT302,,AH302)*(1-AF302)+INDEX(Models!$BJ302:$BT302,,AH302+1)*AF302-ERP_i)*AE302*Ramure*Pc/MaxiM</f>
        <v>3.1696049687198668E-3</v>
      </c>
      <c r="AE302" s="305">
        <f t="shared" si="117"/>
        <v>0.7</v>
      </c>
      <c r="AF302" s="177">
        <f t="shared" si="118"/>
        <v>0.79726543250323412</v>
      </c>
      <c r="AG302" s="810">
        <f t="shared" si="124"/>
        <v>0</v>
      </c>
      <c r="AH302" s="176">
        <f t="shared" si="119"/>
        <v>6</v>
      </c>
      <c r="AI302" s="225">
        <f t="shared" si="120"/>
        <v>0.79726543250323412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28.796814980901029</v>
      </c>
      <c r="C303" s="840"/>
      <c r="D303" s="393">
        <f t="shared" si="102"/>
        <v>30.100073805473173</v>
      </c>
      <c r="E303" s="385">
        <f t="shared" si="125"/>
        <v>31.582247588116708</v>
      </c>
      <c r="F303" s="385">
        <f t="shared" si="103"/>
        <v>31.676808736233763</v>
      </c>
      <c r="G303" s="110">
        <f t="shared" si="126"/>
        <v>0.92841776074898197</v>
      </c>
      <c r="H303" s="414" t="b">
        <f>Wh_hp&gt;='2022'!Maxi_hp</f>
        <v>0</v>
      </c>
      <c r="I303" s="390">
        <f>IF(H303,Wh_hp,'2022'!Maxi_hp)</f>
        <v>32.78605431375631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4.3297529201910767E-2</v>
      </c>
      <c r="M303" s="844"/>
      <c r="N303" s="844"/>
      <c r="O303" s="48">
        <f>IF(t&lt;Tnet,'2022'!Resal+('2022'!Salim-'2022'!Resal)*(1-EXP(('2022'!Tnet-t)/('2022'!Tau_j))),Resal+(Salim-Resal)*(1-EXP((Tnet-t)/(Tau_j))))*Salcycl</f>
        <v>4.6930598543000024E-2</v>
      </c>
      <c r="P303" s="169">
        <f>(INDEX(Models!$BJ303:$BT303,,T303)*(1-R303)+INDEX(Models!$BJ303:$BT303,,T303+1)*R303-ERP_i)*Q303*Ramure*Pc/MaxiM</f>
        <v>3.3235569687786229E-3</v>
      </c>
      <c r="Q303" s="305">
        <f t="shared" si="105"/>
        <v>0.7</v>
      </c>
      <c r="R303" s="177">
        <f t="shared" si="106"/>
        <v>0.79735182160294049</v>
      </c>
      <c r="S303" s="810">
        <f t="shared" si="107"/>
        <v>0</v>
      </c>
      <c r="T303" s="176">
        <f t="shared" si="108"/>
        <v>6</v>
      </c>
      <c r="U303" s="251">
        <f t="shared" si="109"/>
        <v>0.79735182160294049</v>
      </c>
      <c r="V303" s="383">
        <f t="shared" si="110"/>
        <v>31.006560840094714</v>
      </c>
      <c r="W303" s="402">
        <f t="shared" si="111"/>
        <v>28.796814980901029</v>
      </c>
      <c r="X303" s="157">
        <f t="shared" si="112"/>
        <v>45215</v>
      </c>
      <c r="Y303" s="385">
        <f t="shared" si="113"/>
        <v>26.365288552007886</v>
      </c>
      <c r="Z303" s="385">
        <f t="shared" si="114"/>
        <v>27.558503669394458</v>
      </c>
      <c r="AA303" s="386">
        <f t="shared" si="115"/>
        <v>31.582247588116708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0.12740524269198131</v>
      </c>
      <c r="AD303" s="231">
        <f>(INDEX(Models!$BJ303:$BT303,,AH303)*(1-AF303)+INDEX(Models!$BJ303:$BT303,,AH303+1)*AF303-ERP_i)*AE303*Ramure*Pc/MaxiM</f>
        <v>3.3235569687786229E-3</v>
      </c>
      <c r="AE303" s="305">
        <f t="shared" si="117"/>
        <v>0.7</v>
      </c>
      <c r="AF303" s="177">
        <f t="shared" si="118"/>
        <v>0.79735182160294049</v>
      </c>
      <c r="AG303" s="810">
        <f t="shared" si="124"/>
        <v>0</v>
      </c>
      <c r="AH303" s="176">
        <f t="shared" si="119"/>
        <v>6</v>
      </c>
      <c r="AI303" s="225">
        <f t="shared" si="120"/>
        <v>0.79735182160294049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18.608986590575945</v>
      </c>
      <c r="C304" s="840"/>
      <c r="D304" s="393">
        <f t="shared" si="102"/>
        <v>19.451627049142967</v>
      </c>
      <c r="E304" s="385">
        <f t="shared" si="125"/>
        <v>20.412126633059124</v>
      </c>
      <c r="F304" s="385">
        <f t="shared" si="103"/>
        <v>20.443345093726343</v>
      </c>
      <c r="G304" s="110">
        <f t="shared" si="126"/>
        <v>0.60589361253157881</v>
      </c>
      <c r="H304" s="414" t="b">
        <f>Wh_hp&gt;='2022'!Maxi_hp</f>
        <v>0</v>
      </c>
      <c r="I304" s="390">
        <f>IF(H304,Wh_hp,'2022'!Maxi_hp)</f>
        <v>30.316240270106746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4.3319793066058598E-2</v>
      </c>
      <c r="M304" s="844"/>
      <c r="N304" s="844"/>
      <c r="O304" s="48">
        <f>IF(t&lt;Tnet,'2022'!Resal+('2022'!Salim-'2022'!Resal)*(1-EXP(('2022'!Tnet-t)/('2022'!Tau_j))),Resal+(Salim-Resal)*(1-EXP((Tnet-t)/(Tau_j))))*Salcycl</f>
        <v>4.7055341228412144E-2</v>
      </c>
      <c r="P304" s="169">
        <f>(INDEX(Models!$BJ304:$BT304,,T304)*(1-R304)+INDEX(Models!$BJ304:$BT304,,T304+1)*R304-ERP_i)*Q304*Ramure*Pc/MaxiM</f>
        <v>3.4809977560802874E-3</v>
      </c>
      <c r="Q304" s="305">
        <f t="shared" si="105"/>
        <v>0.7</v>
      </c>
      <c r="R304" s="177">
        <f t="shared" si="106"/>
        <v>0.79743476765513643</v>
      </c>
      <c r="S304" s="810">
        <f t="shared" si="107"/>
        <v>0</v>
      </c>
      <c r="T304" s="176">
        <f t="shared" si="108"/>
        <v>6</v>
      </c>
      <c r="U304" s="251">
        <f t="shared" si="109"/>
        <v>0.79743476765513643</v>
      </c>
      <c r="V304" s="383">
        <f t="shared" si="110"/>
        <v>30.653187323359905</v>
      </c>
      <c r="W304" s="402">
        <f t="shared" si="111"/>
        <v>18.608986590575945</v>
      </c>
      <c r="X304" s="157">
        <f t="shared" si="112"/>
        <v>45216</v>
      </c>
      <c r="Y304" s="385">
        <f t="shared" si="113"/>
        <v>17.040132513177603</v>
      </c>
      <c r="Z304" s="385">
        <f t="shared" si="114"/>
        <v>17.811733105453722</v>
      </c>
      <c r="AA304" s="386">
        <f t="shared" si="115"/>
        <v>20.412126633059124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0.12739454219306334</v>
      </c>
      <c r="AD304" s="231">
        <f>(INDEX(Models!$BJ304:$BT304,,AH304)*(1-AF304)+INDEX(Models!$BJ304:$BT304,,AH304+1)*AF304-ERP_i)*AE304*Ramure*Pc/MaxiM</f>
        <v>3.4809977560802874E-3</v>
      </c>
      <c r="AE304" s="305">
        <f t="shared" si="117"/>
        <v>0.7</v>
      </c>
      <c r="AF304" s="177">
        <f t="shared" si="118"/>
        <v>0.79743476765513643</v>
      </c>
      <c r="AG304" s="810">
        <f t="shared" si="124"/>
        <v>0</v>
      </c>
      <c r="AH304" s="176">
        <f t="shared" si="119"/>
        <v>6</v>
      </c>
      <c r="AI304" s="225">
        <f t="shared" si="120"/>
        <v>0.79743476765513643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29.370111998925459</v>
      </c>
      <c r="C305" s="840"/>
      <c r="D305" s="393">
        <f t="shared" si="102"/>
        <v>30.70074543966474</v>
      </c>
      <c r="E305" s="385">
        <f t="shared" si="125"/>
        <v>32.22090057014853</v>
      </c>
      <c r="F305" s="385">
        <f t="shared" si="103"/>
        <v>32.333165494159275</v>
      </c>
      <c r="G305" s="110">
        <f t="shared" si="126"/>
        <v>0.96907286232746248</v>
      </c>
      <c r="H305" s="414" t="b">
        <f>Wh_hp&gt;='2022'!Maxi_hp</f>
        <v>0</v>
      </c>
      <c r="I305" s="390">
        <f>IF(H305,Wh_hp,'2022'!Maxi_hp)</f>
        <v>34.363592336640075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4.3342056412093766E-2</v>
      </c>
      <c r="M305" s="844"/>
      <c r="N305" s="844"/>
      <c r="O305" s="48">
        <f>IF(t&lt;Tnet,'2022'!Resal+('2022'!Salim-'2022'!Resal)*(1-EXP(('2022'!Tnet-t)/('2022'!Tau_j))),Resal+(Salim-Resal)*(1-EXP((Tnet-t)/(Tau_j))))*Salcycl</f>
        <v>4.7179163325191453E-2</v>
      </c>
      <c r="P305" s="169">
        <f>(INDEX(Models!$BJ305:$BT305,,T305)*(1-R305)+INDEX(Models!$BJ305:$BT305,,T305+1)*R305-ERP_i)*Q305*Ramure*Pc/MaxiM</f>
        <v>3.631781456349144E-3</v>
      </c>
      <c r="Q305" s="305">
        <f t="shared" si="105"/>
        <v>0.7</v>
      </c>
      <c r="R305" s="177">
        <f t="shared" si="106"/>
        <v>0.79751440652748884</v>
      </c>
      <c r="S305" s="810">
        <f t="shared" si="107"/>
        <v>0</v>
      </c>
      <c r="T305" s="176">
        <f t="shared" si="108"/>
        <v>6</v>
      </c>
      <c r="U305" s="251">
        <f t="shared" si="109"/>
        <v>0.79751440652748884</v>
      </c>
      <c r="V305" s="383">
        <f t="shared" si="110"/>
        <v>30.302578675579259</v>
      </c>
      <c r="W305" s="402">
        <f t="shared" si="111"/>
        <v>29.370111998925459</v>
      </c>
      <c r="X305" s="157">
        <f t="shared" si="112"/>
        <v>45217</v>
      </c>
      <c r="Y305" s="385">
        <f t="shared" si="113"/>
        <v>26.897904782771761</v>
      </c>
      <c r="Z305" s="385">
        <f t="shared" si="114"/>
        <v>28.116533148611378</v>
      </c>
      <c r="AA305" s="386">
        <f t="shared" si="115"/>
        <v>32.22090057014853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0.12738214478522983</v>
      </c>
      <c r="AD305" s="231">
        <f>(INDEX(Models!$BJ305:$BT305,,AH305)*(1-AF305)+INDEX(Models!$BJ305:$BT305,,AH305+1)*AF305-ERP_i)*AE305*Ramure*Pc/MaxiM</f>
        <v>3.631781456349144E-3</v>
      </c>
      <c r="AE305" s="305">
        <f t="shared" si="117"/>
        <v>0.7</v>
      </c>
      <c r="AF305" s="177">
        <f t="shared" si="118"/>
        <v>0.79751440652748884</v>
      </c>
      <c r="AG305" s="810">
        <f t="shared" si="124"/>
        <v>0</v>
      </c>
      <c r="AH305" s="176">
        <f t="shared" si="119"/>
        <v>6</v>
      </c>
      <c r="AI305" s="225">
        <f t="shared" si="120"/>
        <v>0.79751440652748884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14.759240648820628</v>
      </c>
      <c r="C306" s="840"/>
      <c r="D306" s="393">
        <f t="shared" si="102"/>
        <v>15.428277395105704</v>
      </c>
      <c r="E306" s="385">
        <f t="shared" si="125"/>
        <v>16.1943015840653</v>
      </c>
      <c r="F306" s="385">
        <f t="shared" si="103"/>
        <v>16.211153043257823</v>
      </c>
      <c r="G306" s="110">
        <f t="shared" si="126"/>
        <v>0.49136861259240849</v>
      </c>
      <c r="H306" s="414" t="b">
        <f>Wh_hp&gt;='2022'!Maxi_hp</f>
        <v>0</v>
      </c>
      <c r="I306" s="390">
        <f>IF(H306,Wh_hp,'2022'!Maxi_hp)</f>
        <v>32.663950512475992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4.3364319240028371E-2</v>
      </c>
      <c r="M306" s="844"/>
      <c r="N306" s="844"/>
      <c r="O306" s="48">
        <f>IF(t&lt;Tnet,'2022'!Resal+('2022'!Salim-'2022'!Resal)*(1-EXP(('2022'!Tnet-t)/('2022'!Tau_j))),Resal+(Salim-Resal)*(1-EXP((Tnet-t)/(Tau_j))))*Salcycl</f>
        <v>4.7302082462965904E-2</v>
      </c>
      <c r="P306" s="169">
        <f>(INDEX(Models!$BJ306:$BT306,,T306)*(1-R306)+INDEX(Models!$BJ306:$BT306,,T306+1)*R306-ERP_i)*Q306*Ramure*Pc/MaxiM</f>
        <v>3.7757125245292899E-3</v>
      </c>
      <c r="Q306" s="305">
        <f t="shared" si="105"/>
        <v>0.7</v>
      </c>
      <c r="R306" s="177">
        <f t="shared" si="106"/>
        <v>0.79759086883263286</v>
      </c>
      <c r="S306" s="810">
        <f t="shared" si="107"/>
        <v>0</v>
      </c>
      <c r="T306" s="176">
        <f t="shared" si="108"/>
        <v>6</v>
      </c>
      <c r="U306" s="251">
        <f t="shared" si="109"/>
        <v>0.79759086883263286</v>
      </c>
      <c r="V306" s="383">
        <f t="shared" si="110"/>
        <v>29.954730110865103</v>
      </c>
      <c r="W306" s="402">
        <f t="shared" si="111"/>
        <v>14.759240648820628</v>
      </c>
      <c r="X306" s="157">
        <f t="shared" si="112"/>
        <v>45218</v>
      </c>
      <c r="Y306" s="385">
        <f t="shared" si="113"/>
        <v>13.518854017923321</v>
      </c>
      <c r="Z306" s="385">
        <f t="shared" si="114"/>
        <v>14.131664007329997</v>
      </c>
      <c r="AA306" s="386">
        <f t="shared" si="115"/>
        <v>16.1943015840653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0.12736810945677804</v>
      </c>
      <c r="AD306" s="231">
        <f>(INDEX(Models!$BJ306:$BT306,,AH306)*(1-AF306)+INDEX(Models!$BJ306:$BT306,,AH306+1)*AF306-ERP_i)*AE306*Ramure*Pc/MaxiM</f>
        <v>3.7757125245292899E-3</v>
      </c>
      <c r="AE306" s="305">
        <f t="shared" si="117"/>
        <v>0.7</v>
      </c>
      <c r="AF306" s="177">
        <f t="shared" si="118"/>
        <v>0.79759086883263286</v>
      </c>
      <c r="AG306" s="810">
        <f t="shared" si="124"/>
        <v>0</v>
      </c>
      <c r="AH306" s="176">
        <f t="shared" si="119"/>
        <v>6</v>
      </c>
      <c r="AI306" s="225">
        <f t="shared" si="120"/>
        <v>0.79759086883263286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6.5044472685657615</v>
      </c>
      <c r="C307" s="840"/>
      <c r="D307" s="393">
        <f t="shared" si="102"/>
        <v>6.7994522584724555</v>
      </c>
      <c r="E307" s="385">
        <f t="shared" si="125"/>
        <v>7.1379639082768467</v>
      </c>
      <c r="F307" s="385">
        <f t="shared" si="103"/>
        <v>7.1379639082768467</v>
      </c>
      <c r="G307" s="110">
        <f t="shared" si="126"/>
        <v>0.21881383007234151</v>
      </c>
      <c r="H307" s="414" t="b">
        <f>Wh_hp&gt;='2022'!Maxi_hp</f>
        <v>0</v>
      </c>
      <c r="I307" s="390">
        <f>IF(H307,Wh_hp,'2022'!Maxi_hp)</f>
        <v>26.876972034227109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4.3386581549874514E-2</v>
      </c>
      <c r="M307" s="844"/>
      <c r="N307" s="844"/>
      <c r="O307" s="48">
        <f>IF(t&lt;Tnet,'2022'!Resal+('2022'!Salim-'2022'!Resal)*(1-EXP(('2022'!Tnet-t)/('2022'!Tau_j))),Resal+(Salim-Resal)*(1-EXP((Tnet-t)/(Tau_j))))*Salcycl</f>
        <v>4.7424119000079111E-2</v>
      </c>
      <c r="P307" s="169">
        <f>(INDEX(Models!$BJ307:$BT307,,T307)*(1-R307)+INDEX(Models!$BJ307:$BT307,,T307+1)*R307-ERP_i)*Q307*Ramure*Pc/MaxiM</f>
        <v>3.9125972924396882E-3</v>
      </c>
      <c r="Q307" s="305">
        <f t="shared" si="105"/>
        <v>0.7</v>
      </c>
      <c r="R307" s="177">
        <f t="shared" si="106"/>
        <v>0.79766428012302759</v>
      </c>
      <c r="S307" s="810">
        <f t="shared" si="107"/>
        <v>0</v>
      </c>
      <c r="T307" s="176">
        <f t="shared" si="108"/>
        <v>6</v>
      </c>
      <c r="U307" s="251">
        <f t="shared" si="109"/>
        <v>0.79766428012302759</v>
      </c>
      <c r="V307" s="383">
        <f t="shared" si="110"/>
        <v>29.609636573940271</v>
      </c>
      <c r="W307" s="402">
        <f t="shared" si="111"/>
        <v>6.5044472685657615</v>
      </c>
      <c r="X307" s="157">
        <f t="shared" si="112"/>
        <v>45219</v>
      </c>
      <c r="Y307" s="385">
        <f t="shared" si="113"/>
        <v>5.9586745256231408</v>
      </c>
      <c r="Z307" s="385">
        <f t="shared" si="114"/>
        <v>6.2289263465248013</v>
      </c>
      <c r="AA307" s="386">
        <f t="shared" si="115"/>
        <v>7.1379639082768467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0.12735250183850993</v>
      </c>
      <c r="AD307" s="231">
        <f>(INDEX(Models!$BJ307:$BT307,,AH307)*(1-AF307)+INDEX(Models!$BJ307:$BT307,,AH307+1)*AF307-ERP_i)*AE307*Ramure*Pc/MaxiM</f>
        <v>3.9125972924396882E-3</v>
      </c>
      <c r="AE307" s="305">
        <f t="shared" si="117"/>
        <v>0.7</v>
      </c>
      <c r="AF307" s="177">
        <f t="shared" si="118"/>
        <v>0.79766428012302759</v>
      </c>
      <c r="AG307" s="810">
        <f t="shared" si="124"/>
        <v>0</v>
      </c>
      <c r="AH307" s="176">
        <f t="shared" si="119"/>
        <v>6</v>
      </c>
      <c r="AI307" s="225">
        <f t="shared" si="120"/>
        <v>0.79766428012302759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14.931698447582612</v>
      </c>
      <c r="C308" s="840"/>
      <c r="D308" s="393">
        <f t="shared" si="102"/>
        <v>15.609279203189864</v>
      </c>
      <c r="E308" s="385">
        <f t="shared" si="125"/>
        <v>16.388474053432766</v>
      </c>
      <c r="F308" s="385">
        <f t="shared" si="103"/>
        <v>16.408389483532815</v>
      </c>
      <c r="G308" s="110">
        <f t="shared" si="126"/>
        <v>0.50873898045154142</v>
      </c>
      <c r="H308" s="414" t="b">
        <f>Wh_hp&gt;='2022'!Maxi_hp</f>
        <v>0</v>
      </c>
      <c r="I308" s="390">
        <f>IF(H308,Wh_hp,'2022'!Maxi_hp)</f>
        <v>23.519569000870998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4.3408843341644077E-2</v>
      </c>
      <c r="M308" s="844"/>
      <c r="N308" s="844"/>
      <c r="O308" s="48">
        <f>IF(t&lt;Tnet,'2022'!Resal+('2022'!Salim-'2022'!Resal)*(1-EXP(('2022'!Tnet-t)/('2022'!Tau_j))),Resal+(Salim-Resal)*(1-EXP((Tnet-t)/(Tau_j))))*Salcycl</f>
        <v>4.7545296023438537E-2</v>
      </c>
      <c r="P308" s="169">
        <f>(INDEX(Models!$BJ308:$BT308,,T308)*(1-R308)+INDEX(Models!$BJ308:$BT308,,T308+1)*R308-ERP_i)*Q308*Ramure*Pc/MaxiM</f>
        <v>4.0422442035327561E-3</v>
      </c>
      <c r="Q308" s="305">
        <f t="shared" si="105"/>
        <v>0.7</v>
      </c>
      <c r="R308" s="177">
        <f t="shared" si="106"/>
        <v>0.79773476107925578</v>
      </c>
      <c r="S308" s="810">
        <f t="shared" si="107"/>
        <v>0</v>
      </c>
      <c r="T308" s="176">
        <f t="shared" si="108"/>
        <v>6</v>
      </c>
      <c r="U308" s="251">
        <f t="shared" si="109"/>
        <v>0.79773476107925578</v>
      </c>
      <c r="V308" s="383">
        <f t="shared" si="110"/>
        <v>29.267292744602074</v>
      </c>
      <c r="W308" s="402">
        <f t="shared" si="111"/>
        <v>14.931698447582612</v>
      </c>
      <c r="X308" s="157">
        <f t="shared" si="112"/>
        <v>45220</v>
      </c>
      <c r="Y308" s="385">
        <f t="shared" si="113"/>
        <v>13.680823546263248</v>
      </c>
      <c r="Z308" s="385">
        <f t="shared" si="114"/>
        <v>14.30164125084978</v>
      </c>
      <c r="AA308" s="386">
        <f t="shared" si="115"/>
        <v>16.388474053432766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0.12733539411778694</v>
      </c>
      <c r="AD308" s="231">
        <f>(INDEX(Models!$BJ308:$BT308,,AH308)*(1-AF308)+INDEX(Models!$BJ308:$BT308,,AH308+1)*AF308-ERP_i)*AE308*Ramure*Pc/MaxiM</f>
        <v>4.0422442035327561E-3</v>
      </c>
      <c r="AE308" s="305">
        <f t="shared" si="117"/>
        <v>0.7</v>
      </c>
      <c r="AF308" s="177">
        <f t="shared" si="118"/>
        <v>0.79773476107925578</v>
      </c>
      <c r="AG308" s="810">
        <f t="shared" si="124"/>
        <v>0</v>
      </c>
      <c r="AH308" s="176">
        <f t="shared" si="119"/>
        <v>6</v>
      </c>
      <c r="AI308" s="225">
        <f t="shared" si="120"/>
        <v>0.79773476107925578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28.285549168093297</v>
      </c>
      <c r="C309" s="840"/>
      <c r="D309" s="393">
        <f t="shared" si="102"/>
        <v>29.569798165681785</v>
      </c>
      <c r="E309" s="385">
        <f t="shared" si="125"/>
        <v>31.049807070832848</v>
      </c>
      <c r="F309" s="385">
        <f t="shared" si="103"/>
        <v>31.175519280466876</v>
      </c>
      <c r="G309" s="110">
        <f t="shared" si="126"/>
        <v>0.97767210601800025</v>
      </c>
      <c r="H309" s="414" t="b">
        <f>Wh_hp&gt;='2022'!Maxi_hp</f>
        <v>0</v>
      </c>
      <c r="I309" s="390">
        <f>IF(H309,Wh_hp,'2022'!Maxi_hp)</f>
        <v>31.176364576102721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4.343110461534927E-2</v>
      </c>
      <c r="M309" s="844"/>
      <c r="N309" s="844"/>
      <c r="O309" s="48">
        <f>IF(t&lt;Tnet,'2022'!Resal+('2022'!Salim-'2022'!Resal)*(1-EXP(('2022'!Tnet-t)/('2022'!Tau_j))),Resal+(Salim-Resal)*(1-EXP((Tnet-t)/(Tau_j))))*Salcycl</f>
        <v>4.7665639331502779E-2</v>
      </c>
      <c r="P309" s="169">
        <f>(INDEX(Models!$BJ309:$BT309,,T309)*(1-R309)+INDEX(Models!$BJ309:$BT309,,T309+1)*R309-ERP_i)*Q309*Ramure*Pc/MaxiM</f>
        <v>4.1644639970191176E-3</v>
      </c>
      <c r="Q309" s="305">
        <f t="shared" si="105"/>
        <v>0.7</v>
      </c>
      <c r="R309" s="177">
        <f t="shared" si="106"/>
        <v>0.79780242769193255</v>
      </c>
      <c r="S309" s="810">
        <f t="shared" si="107"/>
        <v>0</v>
      </c>
      <c r="T309" s="176">
        <f t="shared" si="108"/>
        <v>6</v>
      </c>
      <c r="U309" s="251">
        <f t="shared" si="109"/>
        <v>0.79780242769193255</v>
      </c>
      <c r="V309" s="383">
        <f t="shared" si="110"/>
        <v>28.927693046485455</v>
      </c>
      <c r="W309" s="402">
        <f t="shared" si="111"/>
        <v>28.285549168093297</v>
      </c>
      <c r="X309" s="157">
        <f t="shared" si="112"/>
        <v>45221</v>
      </c>
      <c r="Y309" s="385">
        <f t="shared" si="113"/>
        <v>25.919805842605335</v>
      </c>
      <c r="Z309" s="385">
        <f t="shared" si="114"/>
        <v>27.096642978530671</v>
      </c>
      <c r="AA309" s="386">
        <f t="shared" si="115"/>
        <v>31.049807070832848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0.12731686490946501</v>
      </c>
      <c r="AD309" s="231">
        <f>(INDEX(Models!$BJ309:$BT309,,AH309)*(1-AF309)+INDEX(Models!$BJ309:$BT309,,AH309+1)*AF309-ERP_i)*AE309*Ramure*Pc/MaxiM</f>
        <v>4.1644639970191176E-3</v>
      </c>
      <c r="AE309" s="305">
        <f t="shared" si="117"/>
        <v>0.7</v>
      </c>
      <c r="AF309" s="177">
        <f t="shared" si="118"/>
        <v>0.79780242769193255</v>
      </c>
      <c r="AG309" s="810">
        <f t="shared" si="124"/>
        <v>0</v>
      </c>
      <c r="AH309" s="176">
        <f t="shared" si="119"/>
        <v>6</v>
      </c>
      <c r="AI309" s="225">
        <f t="shared" si="120"/>
        <v>0.79780242769193255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16.237799356915495</v>
      </c>
      <c r="C310" s="840"/>
      <c r="D310" s="393">
        <f t="shared" si="102"/>
        <v>16.975439324203382</v>
      </c>
      <c r="E310" s="385">
        <f t="shared" si="125"/>
        <v>17.827321021797921</v>
      </c>
      <c r="F310" s="385">
        <f t="shared" si="103"/>
        <v>17.856498240773277</v>
      </c>
      <c r="G310" s="110">
        <f t="shared" si="126"/>
        <v>0.56643258484039283</v>
      </c>
      <c r="H310" s="414" t="b">
        <f>Wh_hp&gt;='2022'!Maxi_hp</f>
        <v>0</v>
      </c>
      <c r="I310" s="390">
        <f>IF(H310,Wh_hp,'2022'!Maxi_hp)</f>
        <v>32.867779364445255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4.3453365371002084E-2</v>
      </c>
      <c r="M310" s="844"/>
      <c r="N310" s="844"/>
      <c r="O310" s="48">
        <f>IF(t&lt;Tnet,'2022'!Resal+('2022'!Salim-'2022'!Resal)*(1-EXP(('2022'!Tnet-t)/('2022'!Tau_j))),Resal+(Salim-Resal)*(1-EXP((Tnet-t)/(Tau_j))))*Salcycl</f>
        <v>4.7785177400065916E-2</v>
      </c>
      <c r="P310" s="169">
        <f>(INDEX(Models!$BJ310:$BT310,,T310)*(1-R310)+INDEX(Models!$BJ310:$BT310,,T310+1)*R310-ERP_i)*Q310*Ramure*Pc/MaxiM</f>
        <v>4.2689575198123862E-3</v>
      </c>
      <c r="Q310" s="305">
        <f t="shared" si="105"/>
        <v>0.7</v>
      </c>
      <c r="R310" s="177">
        <f t="shared" si="106"/>
        <v>0.79786739143738994</v>
      </c>
      <c r="S310" s="810">
        <f t="shared" si="107"/>
        <v>0</v>
      </c>
      <c r="T310" s="176">
        <f t="shared" si="108"/>
        <v>6</v>
      </c>
      <c r="U310" s="251">
        <f t="shared" si="109"/>
        <v>0.79786739143738994</v>
      </c>
      <c r="V310" s="383">
        <f t="shared" si="110"/>
        <v>28.591122016042149</v>
      </c>
      <c r="W310" s="402">
        <f t="shared" si="111"/>
        <v>16.237799356915495</v>
      </c>
      <c r="X310" s="157">
        <f t="shared" si="112"/>
        <v>45222</v>
      </c>
      <c r="Y310" s="385">
        <f t="shared" si="113"/>
        <v>14.88191098345518</v>
      </c>
      <c r="Z310" s="385">
        <f t="shared" si="114"/>
        <v>15.557956554023333</v>
      </c>
      <c r="AA310" s="386">
        <f t="shared" si="115"/>
        <v>17.827321021797921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0.12729699908358519</v>
      </c>
      <c r="AD310" s="231">
        <f>(INDEX(Models!$BJ310:$BT310,,AH310)*(1-AF310)+INDEX(Models!$BJ310:$BT310,,AH310+1)*AF310-ERP_i)*AE310*Ramure*Pc/MaxiM</f>
        <v>4.2689575198123862E-3</v>
      </c>
      <c r="AE310" s="305">
        <f t="shared" si="117"/>
        <v>0.7</v>
      </c>
      <c r="AF310" s="177">
        <f t="shared" si="118"/>
        <v>0.79786739143738994</v>
      </c>
      <c r="AG310" s="810">
        <f t="shared" si="124"/>
        <v>0</v>
      </c>
      <c r="AH310" s="176">
        <f t="shared" si="119"/>
        <v>6</v>
      </c>
      <c r="AI310" s="225">
        <f t="shared" si="120"/>
        <v>0.79786739143738994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20.134712011575008</v>
      </c>
      <c r="C311" s="840"/>
      <c r="D311" s="393">
        <f t="shared" si="102"/>
        <v>21.04986820057384</v>
      </c>
      <c r="E311" s="385">
        <f t="shared" si="125"/>
        <v>22.108975254022944</v>
      </c>
      <c r="F311" s="385">
        <f t="shared" si="103"/>
        <v>22.165808104992802</v>
      </c>
      <c r="G311" s="110">
        <f t="shared" si="126"/>
        <v>0.71126255717218934</v>
      </c>
      <c r="H311" s="414" t="b">
        <f>Wh_hp&gt;='2022'!Maxi_hp</f>
        <v>0</v>
      </c>
      <c r="I311" s="390">
        <f>IF(H311,Wh_hp,'2022'!Maxi_hp)</f>
        <v>32.024891553571138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4.3475625608614621E-2</v>
      </c>
      <c r="M311" s="844"/>
      <c r="N311" s="844"/>
      <c r="O311" s="48">
        <f>IF(t&lt;Tnet,'2022'!Resal+('2022'!Salim-'2022'!Resal)*(1-EXP(('2022'!Tnet-t)/('2022'!Tau_j))),Resal+(Salim-Resal)*(1-EXP((Tnet-t)/(Tau_j))))*Salcycl</f>
        <v>4.7903941330631736E-2</v>
      </c>
      <c r="P311" s="169">
        <f>(INDEX(Models!$BJ311:$BT311,,T311)*(1-R311)+INDEX(Models!$BJ311:$BT311,,T311+1)*R311-ERP_i)*Q311*Ramure*Pc/MaxiM</f>
        <v>4.3505989386893032E-3</v>
      </c>
      <c r="Q311" s="305">
        <f t="shared" si="105"/>
        <v>0.7</v>
      </c>
      <c r="R311" s="177">
        <f t="shared" si="106"/>
        <v>0.79792975944730415</v>
      </c>
      <c r="S311" s="810">
        <f t="shared" si="107"/>
        <v>0</v>
      </c>
      <c r="T311" s="176">
        <f t="shared" si="108"/>
        <v>6</v>
      </c>
      <c r="U311" s="251">
        <f t="shared" si="109"/>
        <v>0.79792975944730415</v>
      </c>
      <c r="V311" s="383">
        <f t="shared" si="110"/>
        <v>28.257703751381133</v>
      </c>
      <c r="W311" s="402">
        <f t="shared" si="111"/>
        <v>20.134712011575008</v>
      </c>
      <c r="X311" s="157">
        <f t="shared" si="112"/>
        <v>45223</v>
      </c>
      <c r="Y311" s="385">
        <f t="shared" si="113"/>
        <v>18.456172052949654</v>
      </c>
      <c r="Z311" s="385">
        <f t="shared" si="114"/>
        <v>19.295035805745041</v>
      </c>
      <c r="AA311" s="386">
        <f t="shared" si="115"/>
        <v>22.108975254022944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0.12727588755005192</v>
      </c>
      <c r="AD311" s="231">
        <f>(INDEX(Models!$BJ311:$BT311,,AH311)*(1-AF311)+INDEX(Models!$BJ311:$BT311,,AH311+1)*AF311-ERP_i)*AE311*Ramure*Pc/MaxiM</f>
        <v>4.3505989386893032E-3</v>
      </c>
      <c r="AE311" s="305">
        <f t="shared" si="117"/>
        <v>0.7</v>
      </c>
      <c r="AF311" s="177">
        <f t="shared" si="118"/>
        <v>0.79792975944730415</v>
      </c>
      <c r="AG311" s="810">
        <f t="shared" si="124"/>
        <v>0</v>
      </c>
      <c r="AH311" s="176">
        <f t="shared" si="119"/>
        <v>6</v>
      </c>
      <c r="AI311" s="225">
        <f t="shared" si="120"/>
        <v>0.79792975944730415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19.983031351686495</v>
      </c>
      <c r="C312" s="840"/>
      <c r="D312" s="393">
        <f t="shared" si="102"/>
        <v>20.891779584348491</v>
      </c>
      <c r="E312" s="385">
        <f t="shared" si="125"/>
        <v>21.945652957790369</v>
      </c>
      <c r="F312" s="385">
        <f t="shared" si="103"/>
        <v>22.003240385408755</v>
      </c>
      <c r="G312" s="110">
        <f t="shared" si="126"/>
        <v>0.71424894262485139</v>
      </c>
      <c r="H312" s="414" t="b">
        <f>Wh_hp&gt;='2022'!Maxi_hp</f>
        <v>0</v>
      </c>
      <c r="I312" s="390">
        <f>IF(H312,Wh_hp,'2022'!Maxi_hp)</f>
        <v>30.314275892312452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4.3497885328198871E-2</v>
      </c>
      <c r="M312" s="844"/>
      <c r="N312" s="844"/>
      <c r="O312" s="48">
        <f>IF(t&lt;Tnet,'2022'!Resal+('2022'!Salim-'2022'!Resal)*(1-EXP(('2022'!Tnet-t)/('2022'!Tau_j))),Resal+(Salim-Resal)*(1-EXP((Tnet-t)/(Tau_j))))*Salcycl</f>
        <v>4.8021964781310697E-2</v>
      </c>
      <c r="P312" s="169">
        <f>(INDEX(Models!$BJ312:$BT312,,T312)*(1-R312)+INDEX(Models!$BJ312:$BT312,,T312+1)*R312-ERP_i)*Q312*Ramure*Pc/MaxiM</f>
        <v>4.4089195151905637E-3</v>
      </c>
      <c r="Q312" s="305">
        <f t="shared" si="105"/>
        <v>0.7</v>
      </c>
      <c r="R312" s="177">
        <f t="shared" si="106"/>
        <v>0.79798963467243067</v>
      </c>
      <c r="S312" s="810">
        <f t="shared" si="107"/>
        <v>0</v>
      </c>
      <c r="T312" s="176">
        <f t="shared" si="108"/>
        <v>6</v>
      </c>
      <c r="U312" s="251">
        <f t="shared" si="109"/>
        <v>0.79798963467243067</v>
      </c>
      <c r="V312" s="383">
        <f t="shared" si="110"/>
        <v>27.927425186137206</v>
      </c>
      <c r="W312" s="402">
        <f t="shared" si="111"/>
        <v>19.983031351686495</v>
      </c>
      <c r="X312" s="157">
        <f t="shared" si="112"/>
        <v>45224</v>
      </c>
      <c r="Y312" s="385">
        <f t="shared" si="113"/>
        <v>18.319874501837123</v>
      </c>
      <c r="Z312" s="385">
        <f t="shared" si="114"/>
        <v>19.152989022008711</v>
      </c>
      <c r="AA312" s="386">
        <f t="shared" si="115"/>
        <v>21.945652957790369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0.1272536270008911</v>
      </c>
      <c r="AD312" s="231">
        <f>(INDEX(Models!$BJ312:$BT312,,AH312)*(1-AF312)+INDEX(Models!$BJ312:$BT312,,AH312+1)*AF312-ERP_i)*AE312*Ramure*Pc/MaxiM</f>
        <v>4.4089195151905637E-3</v>
      </c>
      <c r="AE312" s="305">
        <f t="shared" si="117"/>
        <v>0.7</v>
      </c>
      <c r="AF312" s="177">
        <f t="shared" si="118"/>
        <v>0.79798963467243067</v>
      </c>
      <c r="AG312" s="810">
        <f t="shared" si="124"/>
        <v>0</v>
      </c>
      <c r="AH312" s="176">
        <f t="shared" si="119"/>
        <v>6</v>
      </c>
      <c r="AI312" s="225">
        <f t="shared" si="120"/>
        <v>0.79798963467243067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11.874610982276613</v>
      </c>
      <c r="C313" s="840"/>
      <c r="D313" s="393">
        <f t="shared" si="102"/>
        <v>12.414909644321481</v>
      </c>
      <c r="E313" s="385">
        <f t="shared" si="125"/>
        <v>13.042779719843464</v>
      </c>
      <c r="F313" s="385">
        <f t="shared" si="103"/>
        <v>13.053571091929941</v>
      </c>
      <c r="G313" s="110">
        <f t="shared" si="126"/>
        <v>0.42867793176675439</v>
      </c>
      <c r="H313" s="414" t="b">
        <f>Wh_hp&gt;='2022'!Maxi_hp</f>
        <v>0</v>
      </c>
      <c r="I313" s="390">
        <f>IF(H313,Wh_hp,'2022'!Maxi_hp)</f>
        <v>30.638103345226707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4.3520144529766935E-2</v>
      </c>
      <c r="M313" s="844"/>
      <c r="N313" s="844"/>
      <c r="O313" s="48">
        <f>IF(t&lt;Tnet,'2022'!Resal+('2022'!Salim-'2022'!Resal)*(1-EXP(('2022'!Tnet-t)/('2022'!Tau_j))),Resal+(Salim-Resal)*(1-EXP((Tnet-t)/(Tau_j))))*Salcycl</f>
        <v>4.8139283880316741E-2</v>
      </c>
      <c r="P313" s="169">
        <f>(INDEX(Models!$BJ313:$BT313,,T313)*(1-R313)+INDEX(Models!$BJ313:$BT313,,T313+1)*R313-ERP_i)*Q313*Ramure*Pc/MaxiM</f>
        <v>4.4434141628893198E-3</v>
      </c>
      <c r="Q313" s="305">
        <f t="shared" si="105"/>
        <v>0.7</v>
      </c>
      <c r="R313" s="177">
        <f t="shared" si="106"/>
        <v>0.79804711604061429</v>
      </c>
      <c r="S313" s="810">
        <f t="shared" si="107"/>
        <v>0</v>
      </c>
      <c r="T313" s="176">
        <f t="shared" si="108"/>
        <v>6</v>
      </c>
      <c r="U313" s="251">
        <f t="shared" si="109"/>
        <v>0.79804711604061429</v>
      </c>
      <c r="V313" s="383">
        <f t="shared" si="110"/>
        <v>27.600273968720458</v>
      </c>
      <c r="W313" s="402">
        <f t="shared" si="111"/>
        <v>11.874610982276613</v>
      </c>
      <c r="X313" s="157">
        <f t="shared" si="112"/>
        <v>45225</v>
      </c>
      <c r="Y313" s="385">
        <f t="shared" si="113"/>
        <v>10.887937968480768</v>
      </c>
      <c r="Z313" s="385">
        <f t="shared" si="114"/>
        <v>11.383342687471389</v>
      </c>
      <c r="AA313" s="386">
        <f t="shared" si="115"/>
        <v>13.042779719843464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0.12723031961103998</v>
      </c>
      <c r="AD313" s="231">
        <f>(INDEX(Models!$BJ313:$BT313,,AH313)*(1-AF313)+INDEX(Models!$BJ313:$BT313,,AH313+1)*AF313-ERP_i)*AE313*Ramure*Pc/MaxiM</f>
        <v>4.4434141628893198E-3</v>
      </c>
      <c r="AE313" s="305">
        <f t="shared" si="117"/>
        <v>0.7</v>
      </c>
      <c r="AF313" s="177">
        <f t="shared" si="118"/>
        <v>0.79804711604061429</v>
      </c>
      <c r="AG313" s="810">
        <f t="shared" si="124"/>
        <v>0</v>
      </c>
      <c r="AH313" s="176">
        <f t="shared" si="119"/>
        <v>6</v>
      </c>
      <c r="AI313" s="225">
        <f t="shared" si="120"/>
        <v>0.79804711604061429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12.060822775490932</v>
      </c>
      <c r="C314" s="840"/>
      <c r="D314" s="393">
        <f t="shared" si="102"/>
        <v>12.609887585200507</v>
      </c>
      <c r="E314" s="385">
        <f t="shared" si="125"/>
        <v>13.249242182896278</v>
      </c>
      <c r="F314" s="385">
        <f t="shared" si="103"/>
        <v>13.261237526653856</v>
      </c>
      <c r="G314" s="110">
        <f t="shared" si="126"/>
        <v>0.44060254869545118</v>
      </c>
      <c r="H314" s="414" t="b">
        <f>Wh_hp&gt;='2022'!Maxi_hp</f>
        <v>0</v>
      </c>
      <c r="I314" s="390">
        <f>IF(H314,Wh_hp,'2022'!Maxi_hp)</f>
        <v>28.51542722480329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4.3542403213330805E-2</v>
      </c>
      <c r="M314" s="844"/>
      <c r="N314" s="844"/>
      <c r="O314" s="48">
        <f>IF(t&lt;Tnet,'2022'!Resal+('2022'!Salim-'2022'!Resal)*(1-EXP(('2022'!Tnet-t)/('2022'!Tau_j))),Resal+(Salim-Resal)*(1-EXP((Tnet-t)/(Tau_j))))*Salcycl</f>
        <v>4.8255937122285132E-2</v>
      </c>
      <c r="P314" s="169">
        <f>(INDEX(Models!$BJ314:$BT314,,T314)*(1-R314)+INDEX(Models!$BJ314:$BT314,,T314+1)*R314-ERP_i)*Q314*Ramure*Pc/MaxiM</f>
        <v>4.4535750126488078E-3</v>
      </c>
      <c r="Q314" s="305">
        <f t="shared" si="105"/>
        <v>0.7</v>
      </c>
      <c r="R314" s="177">
        <f t="shared" si="106"/>
        <v>0.79810229860923609</v>
      </c>
      <c r="S314" s="810">
        <f t="shared" si="107"/>
        <v>0</v>
      </c>
      <c r="T314" s="176">
        <f t="shared" si="108"/>
        <v>6</v>
      </c>
      <c r="U314" s="251">
        <f t="shared" si="109"/>
        <v>0.79810229860923609</v>
      </c>
      <c r="V314" s="383">
        <f t="shared" si="110"/>
        <v>27.276237500807209</v>
      </c>
      <c r="W314" s="402">
        <f t="shared" si="111"/>
        <v>12.060822775490932</v>
      </c>
      <c r="X314" s="157">
        <f t="shared" si="112"/>
        <v>45226</v>
      </c>
      <c r="Y314" s="385">
        <f t="shared" si="113"/>
        <v>11.060339945671782</v>
      </c>
      <c r="Z314" s="385">
        <f t="shared" si="114"/>
        <v>11.56385811857241</v>
      </c>
      <c r="AA314" s="386">
        <f t="shared" si="115"/>
        <v>13.249242182896278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0.12720607269897791</v>
      </c>
      <c r="AD314" s="231">
        <f>(INDEX(Models!$BJ314:$BT314,,AH314)*(1-AF314)+INDEX(Models!$BJ314:$BT314,,AH314+1)*AF314-ERP_i)*AE314*Ramure*Pc/MaxiM</f>
        <v>4.4535750126488078E-3</v>
      </c>
      <c r="AE314" s="305">
        <f t="shared" si="117"/>
        <v>0.7</v>
      </c>
      <c r="AF314" s="177">
        <f t="shared" si="118"/>
        <v>0.79810229860923609</v>
      </c>
      <c r="AG314" s="810">
        <f t="shared" si="124"/>
        <v>0</v>
      </c>
      <c r="AH314" s="176">
        <f t="shared" si="119"/>
        <v>6</v>
      </c>
      <c r="AI314" s="225">
        <f t="shared" si="120"/>
        <v>0.79810229860923609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16.323143154965155</v>
      </c>
      <c r="C315" s="840"/>
      <c r="D315" s="393">
        <f t="shared" si="102"/>
        <v>17.066645800121101</v>
      </c>
      <c r="E315" s="385">
        <f t="shared" si="125"/>
        <v>17.934156179588395</v>
      </c>
      <c r="F315" s="385">
        <f t="shared" si="103"/>
        <v>17.968973945005292</v>
      </c>
      <c r="G315" s="110">
        <f t="shared" si="126"/>
        <v>0.60404574067723393</v>
      </c>
      <c r="H315" s="414" t="b">
        <f>Wh_hp&gt;='2022'!Maxi_hp</f>
        <v>0</v>
      </c>
      <c r="I315" s="390">
        <f>IF(H315,Wh_hp,'2022'!Maxi_hp)</f>
        <v>29.596972349647235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4.3564661378902692E-2</v>
      </c>
      <c r="M315" s="844"/>
      <c r="N315" s="844"/>
      <c r="O315" s="48">
        <f>IF(t&lt;Tnet,'2022'!Resal+('2022'!Salim-'2022'!Resal)*(1-EXP(('2022'!Tnet-t)/('2022'!Tau_j))),Resal+(Salim-Resal)*(1-EXP((Tnet-t)/(Tau_j))))*Salcycl</f>
        <v>4.8371965247779147E-2</v>
      </c>
      <c r="P315" s="169">
        <f>(INDEX(Models!$BJ315:$BT315,,T315)*(1-R315)+INDEX(Models!$BJ315:$BT315,,T315+1)*R315-ERP_i)*Q315*Ramure*Pc/MaxiM</f>
        <v>4.4388903305596465E-3</v>
      </c>
      <c r="Q315" s="305">
        <f t="shared" si="105"/>
        <v>0.7</v>
      </c>
      <c r="R315" s="177">
        <f t="shared" si="106"/>
        <v>0.7981552737122618</v>
      </c>
      <c r="S315" s="810">
        <f t="shared" si="107"/>
        <v>0</v>
      </c>
      <c r="T315" s="176">
        <f t="shared" si="108"/>
        <v>6</v>
      </c>
      <c r="U315" s="251">
        <f t="shared" si="109"/>
        <v>0.7981552737122618</v>
      </c>
      <c r="V315" s="383">
        <f t="shared" si="110"/>
        <v>26.955302978808984</v>
      </c>
      <c r="W315" s="402">
        <f t="shared" si="111"/>
        <v>16.323143154965155</v>
      </c>
      <c r="X315" s="157">
        <f t="shared" si="112"/>
        <v>45227</v>
      </c>
      <c r="Y315" s="385">
        <f t="shared" si="113"/>
        <v>14.97134278524589</v>
      </c>
      <c r="Z315" s="385">
        <f t="shared" si="114"/>
        <v>15.653272292124033</v>
      </c>
      <c r="AA315" s="386">
        <f t="shared" si="115"/>
        <v>17.934156179588395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0.12718099834885629</v>
      </c>
      <c r="AD315" s="231">
        <f>(INDEX(Models!$BJ315:$BT315,,AH315)*(1-AF315)+INDEX(Models!$BJ315:$BT315,,AH315+1)*AF315-ERP_i)*AE315*Ramure*Pc/MaxiM</f>
        <v>4.4388903305596465E-3</v>
      </c>
      <c r="AE315" s="305">
        <f t="shared" si="117"/>
        <v>0.7</v>
      </c>
      <c r="AF315" s="177">
        <f t="shared" si="118"/>
        <v>0.7981552737122618</v>
      </c>
      <c r="AG315" s="810">
        <f t="shared" si="124"/>
        <v>0</v>
      </c>
      <c r="AH315" s="176">
        <f t="shared" si="119"/>
        <v>6</v>
      </c>
      <c r="AI315" s="225">
        <f t="shared" si="120"/>
        <v>0.7981552737122618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22.978409433936143</v>
      </c>
      <c r="C316" s="840"/>
      <c r="D316" s="393">
        <f t="shared" si="102"/>
        <v>24.025611831393061</v>
      </c>
      <c r="E316" s="385">
        <f t="shared" si="125"/>
        <v>25.249914832269354</v>
      </c>
      <c r="F316" s="385">
        <f t="shared" si="103"/>
        <v>25.339506066535328</v>
      </c>
      <c r="G316" s="110">
        <f t="shared" si="126"/>
        <v>0.86188796146862201</v>
      </c>
      <c r="H316" s="414" t="b">
        <f>Wh_hp&gt;='2022'!Maxi_hp</f>
        <v>0</v>
      </c>
      <c r="I316" s="390">
        <f>IF(H316,Wh_hp,'2022'!Maxi_hp)</f>
        <v>26.808132600527212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4.3586919026494475E-2</v>
      </c>
      <c r="M316" s="844"/>
      <c r="N316" s="844"/>
      <c r="O316" s="48">
        <f>IF(t&lt;Tnet,'2022'!Resal+('2022'!Salim-'2022'!Resal)*(1-EXP(('2022'!Tnet-t)/('2022'!Tau_j))),Resal+(Salim-Resal)*(1-EXP((Tnet-t)/(Tau_j))))*Salcycl</f>
        <v>4.848741110649743E-2</v>
      </c>
      <c r="P316" s="169">
        <f>(INDEX(Models!$BJ316:$BT316,,T316)*(1-R316)+INDEX(Models!$BJ316:$BT316,,T316+1)*R316-ERP_i)*Q316*Ramure*Pc/MaxiM</f>
        <v>4.3988432474348733E-3</v>
      </c>
      <c r="Q316" s="305">
        <f t="shared" si="105"/>
        <v>0.7</v>
      </c>
      <c r="R316" s="177">
        <f t="shared" si="106"/>
        <v>0.7982061291020508</v>
      </c>
      <c r="S316" s="810">
        <f t="shared" si="107"/>
        <v>0</v>
      </c>
      <c r="T316" s="176">
        <f t="shared" si="108"/>
        <v>6</v>
      </c>
      <c r="U316" s="251">
        <f t="shared" si="109"/>
        <v>0.7982061291020508</v>
      </c>
      <c r="V316" s="383">
        <f t="shared" si="110"/>
        <v>26.637457441977244</v>
      </c>
      <c r="W316" s="402">
        <f t="shared" si="111"/>
        <v>22.978409433936143</v>
      </c>
      <c r="X316" s="157">
        <f t="shared" si="112"/>
        <v>45228</v>
      </c>
      <c r="Y316" s="385">
        <f t="shared" si="113"/>
        <v>21.078633243702292</v>
      </c>
      <c r="Z316" s="385">
        <f t="shared" si="114"/>
        <v>22.039256533638117</v>
      </c>
      <c r="AA316" s="386">
        <f t="shared" si="115"/>
        <v>25.249914832269354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0.12715521299612545</v>
      </c>
      <c r="AD316" s="231">
        <f>(INDEX(Models!$BJ316:$BT316,,AH316)*(1-AF316)+INDEX(Models!$BJ316:$BT316,,AH316+1)*AF316-ERP_i)*AE316*Ramure*Pc/MaxiM</f>
        <v>4.3988432474348733E-3</v>
      </c>
      <c r="AE316" s="305">
        <f t="shared" si="117"/>
        <v>0.7</v>
      </c>
      <c r="AF316" s="177">
        <f t="shared" si="118"/>
        <v>0.7982061291020508</v>
      </c>
      <c r="AG316" s="810">
        <f t="shared" si="124"/>
        <v>0</v>
      </c>
      <c r="AH316" s="176">
        <f t="shared" si="119"/>
        <v>6</v>
      </c>
      <c r="AI316" s="225">
        <f t="shared" si="120"/>
        <v>0.7982061291020508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18.990165631157211</v>
      </c>
      <c r="C317" s="840"/>
      <c r="D317" s="393">
        <f t="shared" si="102"/>
        <v>19.856072598890922</v>
      </c>
      <c r="E317" s="385">
        <f t="shared" si="125"/>
        <v>20.870423594638851</v>
      </c>
      <c r="F317" s="385">
        <f t="shared" si="103"/>
        <v>20.925015522997981</v>
      </c>
      <c r="G317" s="110">
        <f t="shared" si="126"/>
        <v>0.72021954192893922</v>
      </c>
      <c r="H317" s="414" t="b">
        <f>Wh_hp&gt;='2022'!Maxi_hp</f>
        <v>0</v>
      </c>
      <c r="I317" s="390">
        <f>IF(H317,Wh_hp,'2022'!Maxi_hp)</f>
        <v>25.646872317786048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4.3609176156118368E-2</v>
      </c>
      <c r="M317" s="844"/>
      <c r="N317" s="844"/>
      <c r="O317" s="48">
        <f>IF(t&lt;Tnet,'2022'!Resal+('2022'!Salim-'2022'!Resal)*(1-EXP(('2022'!Tnet-t)/('2022'!Tau_j))),Resal+(Salim-Resal)*(1-EXP((Tnet-t)/(Tau_j))))*Salcycl</f>
        <v>4.8602319504837121E-2</v>
      </c>
      <c r="P317" s="169">
        <f>(INDEX(Models!$BJ317:$BT317,,T317)*(1-R317)+INDEX(Models!$BJ317:$BT317,,T317+1)*R317-ERP_i)*Q317*Ramure*Pc/MaxiM</f>
        <v>4.3330869358541475E-3</v>
      </c>
      <c r="Q317" s="305">
        <f t="shared" si="105"/>
        <v>0.7</v>
      </c>
      <c r="R317" s="177">
        <f t="shared" si="106"/>
        <v>0.79825494908608485</v>
      </c>
      <c r="S317" s="810">
        <f t="shared" si="107"/>
        <v>0</v>
      </c>
      <c r="T317" s="176">
        <f t="shared" si="108"/>
        <v>6</v>
      </c>
      <c r="U317" s="251">
        <f t="shared" si="109"/>
        <v>0.79825494908608485</v>
      </c>
      <c r="V317" s="383">
        <f t="shared" si="110"/>
        <v>26.321610122634052</v>
      </c>
      <c r="W317" s="402">
        <f t="shared" si="111"/>
        <v>18.990165631157211</v>
      </c>
      <c r="X317" s="157">
        <f t="shared" si="112"/>
        <v>45229</v>
      </c>
      <c r="Y317" s="385">
        <f t="shared" si="113"/>
        <v>17.422754228077181</v>
      </c>
      <c r="Z317" s="385">
        <f t="shared" si="114"/>
        <v>18.217190915793665</v>
      </c>
      <c r="AA317" s="386">
        <f t="shared" si="115"/>
        <v>20.870423594638851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0.12712883697898397</v>
      </c>
      <c r="AD317" s="231">
        <f>(INDEX(Models!$BJ317:$BT317,,AH317)*(1-AF317)+INDEX(Models!$BJ317:$BT317,,AH317+1)*AF317-ERP_i)*AE317*Ramure*Pc/MaxiM</f>
        <v>4.3330869358541475E-3</v>
      </c>
      <c r="AE317" s="305">
        <f t="shared" si="117"/>
        <v>0.7</v>
      </c>
      <c r="AF317" s="177">
        <f t="shared" si="118"/>
        <v>0.79825494908608485</v>
      </c>
      <c r="AG317" s="810">
        <f t="shared" si="124"/>
        <v>0</v>
      </c>
      <c r="AH317" s="176">
        <f t="shared" si="119"/>
        <v>6</v>
      </c>
      <c r="AI317" s="225">
        <f t="shared" si="120"/>
        <v>0.79825494908608485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17.949124276650167</v>
      </c>
      <c r="C318" s="840"/>
      <c r="D318" s="393">
        <f t="shared" si="102"/>
        <v>18.767998961525866</v>
      </c>
      <c r="E318" s="385">
        <f t="shared" si="125"/>
        <v>19.72913819917331</v>
      </c>
      <c r="F318" s="385">
        <f t="shared" si="103"/>
        <v>19.775915912636457</v>
      </c>
      <c r="G318" s="110">
        <f t="shared" si="126"/>
        <v>0.68886736382544822</v>
      </c>
      <c r="H318" s="414" t="b">
        <f>Wh_hp&gt;='2022'!Maxi_hp</f>
        <v>0</v>
      </c>
      <c r="I318" s="390">
        <f>IF(H318,Wh_hp,'2022'!Maxi_hp)</f>
        <v>29.156794138449072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4.3631432767786249E-2</v>
      </c>
      <c r="M318" s="844"/>
      <c r="N318" s="844"/>
      <c r="O318" s="48">
        <f>IF(t&lt;Tnet,'2022'!Resal+('2022'!Salim-'2022'!Resal)*(1-EXP(('2022'!Tnet-t)/('2022'!Tau_j))),Resal+(Salim-Resal)*(1-EXP((Tnet-t)/(Tau_j))))*Salcycl</f>
        <v>4.8716737038605976E-2</v>
      </c>
      <c r="P318" s="169">
        <f>(INDEX(Models!$BJ318:$BT318,,T318)*(1-R318)+INDEX(Models!$BJ318:$BT318,,T318+1)*R318-ERP_i)*Q318*Ramure*Pc/MaxiM</f>
        <v>4.2437528719061696E-3</v>
      </c>
      <c r="Q318" s="305">
        <f t="shared" si="105"/>
        <v>0.7</v>
      </c>
      <c r="R318" s="177">
        <f t="shared" si="106"/>
        <v>0.79830181465877359</v>
      </c>
      <c r="S318" s="810">
        <f t="shared" si="107"/>
        <v>0</v>
      </c>
      <c r="T318" s="176">
        <f t="shared" si="108"/>
        <v>6</v>
      </c>
      <c r="U318" s="251">
        <f t="shared" si="109"/>
        <v>0.79830181465877359</v>
      </c>
      <c r="V318" s="383">
        <f t="shared" si="110"/>
        <v>26.006935840055593</v>
      </c>
      <c r="W318" s="402">
        <f t="shared" si="111"/>
        <v>17.949124276650167</v>
      </c>
      <c r="X318" s="157">
        <f t="shared" si="112"/>
        <v>45230</v>
      </c>
      <c r="Y318" s="385">
        <f t="shared" si="113"/>
        <v>16.470125565663228</v>
      </c>
      <c r="Z318" s="385">
        <f t="shared" si="114"/>
        <v>17.221525393006935</v>
      </c>
      <c r="AA318" s="386">
        <f t="shared" si="115"/>
        <v>19.72913819917331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0.12710199405828329</v>
      </c>
      <c r="AD318" s="231">
        <f>(INDEX(Models!$BJ318:$BT318,,AH318)*(1-AF318)+INDEX(Models!$BJ318:$BT318,,AH318+1)*AF318-ERP_i)*AE318*Ramure*Pc/MaxiM</f>
        <v>4.2437528719061696E-3</v>
      </c>
      <c r="AE318" s="305">
        <f t="shared" si="117"/>
        <v>0.7</v>
      </c>
      <c r="AF318" s="177">
        <f t="shared" si="118"/>
        <v>0.79830181465877359</v>
      </c>
      <c r="AG318" s="810">
        <f t="shared" si="124"/>
        <v>0</v>
      </c>
      <c r="AH318" s="176">
        <f t="shared" si="119"/>
        <v>6</v>
      </c>
      <c r="AI318" s="225">
        <f t="shared" si="120"/>
        <v>0.79830181465877359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18.032607291636907</v>
      </c>
      <c r="C319" s="840"/>
      <c r="D319" s="393">
        <f t="shared" si="102"/>
        <v>18.855729437770147</v>
      </c>
      <c r="E319" s="385">
        <f t="shared" si="125"/>
        <v>19.823736609147037</v>
      </c>
      <c r="F319" s="385">
        <f t="shared" si="103"/>
        <v>19.871017419708846</v>
      </c>
      <c r="G319" s="110">
        <f t="shared" si="126"/>
        <v>0.70059215803020602</v>
      </c>
      <c r="H319" s="414" t="b">
        <f>Wh_hp&gt;='2022'!Maxi_hp</f>
        <v>0</v>
      </c>
      <c r="I319" s="390">
        <f>IF(H319,Wh_hp,'2022'!Maxi_hp)</f>
        <v>28.781907422136918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4.3653688861510331E-2</v>
      </c>
      <c r="M319" s="844"/>
      <c r="N319" s="844"/>
      <c r="O319" s="48">
        <f>IF(t&lt;Tnet,'2022'!Resal+('2022'!Salim-'2022'!Resal)*(1-EXP(('2022'!Tnet-t)/('2022'!Tau_j))),Resal+(Salim-Resal)*(1-EXP((Tnet-t)/(Tau_j))))*Salcycl</f>
        <v>4.8830711911811479E-2</v>
      </c>
      <c r="P319" s="169">
        <f>(INDEX(Models!$BJ319:$BT319,,T319)*(1-R319)+INDEX(Models!$BJ319:$BT319,,T319+1)*R319-ERP_i)*Q319*Ramure*Pc/MaxiM</f>
        <v>4.1449178375031395E-3</v>
      </c>
      <c r="Q319" s="305">
        <f t="shared" si="105"/>
        <v>0.7</v>
      </c>
      <c r="R319" s="177">
        <f t="shared" si="106"/>
        <v>0.79834680362848698</v>
      </c>
      <c r="S319" s="810">
        <f t="shared" si="107"/>
        <v>0</v>
      </c>
      <c r="T319" s="176">
        <f t="shared" si="108"/>
        <v>6</v>
      </c>
      <c r="U319" s="251">
        <f t="shared" si="109"/>
        <v>0.79834680362848698</v>
      </c>
      <c r="V319" s="383">
        <f t="shared" si="110"/>
        <v>25.693542241853283</v>
      </c>
      <c r="W319" s="402">
        <f t="shared" si="111"/>
        <v>18.032607291636907</v>
      </c>
      <c r="X319" s="157">
        <f t="shared" si="112"/>
        <v>45231</v>
      </c>
      <c r="Y319" s="385">
        <f t="shared" si="113"/>
        <v>16.549227700043041</v>
      </c>
      <c r="Z319" s="385">
        <f t="shared" si="114"/>
        <v>17.304639028033566</v>
      </c>
      <c r="AA319" s="386">
        <f t="shared" si="115"/>
        <v>19.823736609147037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0.12707481090881292</v>
      </c>
      <c r="AD319" s="231">
        <f>(INDEX(Models!$BJ319:$BT319,,AH319)*(1-AF319)+INDEX(Models!$BJ319:$BT319,,AH319+1)*AF319-ERP_i)*AE319*Ramure*Pc/MaxiM</f>
        <v>4.1449178375031395E-3</v>
      </c>
      <c r="AE319" s="305">
        <f t="shared" si="117"/>
        <v>0.7</v>
      </c>
      <c r="AF319" s="177">
        <f t="shared" si="118"/>
        <v>0.79834680362848698</v>
      </c>
      <c r="AG319" s="810">
        <f t="shared" si="124"/>
        <v>0</v>
      </c>
      <c r="AH319" s="176">
        <f t="shared" si="119"/>
        <v>6</v>
      </c>
      <c r="AI319" s="225">
        <f t="shared" si="120"/>
        <v>0.79834680362848698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24.434043810444695</v>
      </c>
      <c r="C320" s="840"/>
      <c r="D320" s="393">
        <f t="shared" si="102"/>
        <v>25.549962555389026</v>
      </c>
      <c r="E320" s="385">
        <f t="shared" si="125"/>
        <v>26.864843339127741</v>
      </c>
      <c r="F320" s="385">
        <f t="shared" si="103"/>
        <v>26.967887079732975</v>
      </c>
      <c r="G320" s="110">
        <f t="shared" si="126"/>
        <v>0.96244735338536203</v>
      </c>
      <c r="H320" s="414" t="b">
        <f>Wh_hp&gt;='2022'!Maxi_hp</f>
        <v>0</v>
      </c>
      <c r="I320" s="390">
        <f>IF(H320,Wh_hp,'2022'!Maxi_hp)</f>
        <v>26.969006906693245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4.3675944437302494E-2</v>
      </c>
      <c r="M320" s="844"/>
      <c r="N320" s="844"/>
      <c r="O320" s="48">
        <f>IF(t&lt;Tnet,'2022'!Resal+('2022'!Salim-'2022'!Resal)*(1-EXP(('2022'!Tnet-t)/('2022'!Tau_j))),Resal+(Salim-Resal)*(1-EXP((Tnet-t)/(Tau_j))))*Salcycl</f>
        <v>4.8944293742581989E-2</v>
      </c>
      <c r="P320" s="169">
        <f>(INDEX(Models!$BJ320:$BT320,,T320)*(1-R320)+INDEX(Models!$BJ320:$BT320,,T320+1)*R320-ERP_i)*Q320*Ramure*Pc/MaxiM</f>
        <v>4.0363142012281635E-3</v>
      </c>
      <c r="Q320" s="305">
        <f t="shared" si="105"/>
        <v>0.7</v>
      </c>
      <c r="R320" s="177">
        <f t="shared" si="106"/>
        <v>0.7983899907399703</v>
      </c>
      <c r="S320" s="810">
        <f t="shared" si="107"/>
        <v>0</v>
      </c>
      <c r="T320" s="176">
        <f t="shared" si="108"/>
        <v>6</v>
      </c>
      <c r="U320" s="251">
        <f t="shared" si="109"/>
        <v>0.7983899907399703</v>
      </c>
      <c r="V320" s="383">
        <f t="shared" si="110"/>
        <v>25.381920416740606</v>
      </c>
      <c r="W320" s="402">
        <f t="shared" si="111"/>
        <v>24.434043810444695</v>
      </c>
      <c r="X320" s="157">
        <f t="shared" si="112"/>
        <v>45232</v>
      </c>
      <c r="Y320" s="385">
        <f t="shared" si="113"/>
        <v>22.427457747491701</v>
      </c>
      <c r="Z320" s="385">
        <f t="shared" si="114"/>
        <v>23.451734395926565</v>
      </c>
      <c r="AA320" s="386">
        <f t="shared" si="115"/>
        <v>26.864843339127741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0.12704741658515825</v>
      </c>
      <c r="AD320" s="231">
        <f>(INDEX(Models!$BJ320:$BT320,,AH320)*(1-AF320)+INDEX(Models!$BJ320:$BT320,,AH320+1)*AF320-ERP_i)*AE320*Ramure*Pc/MaxiM</f>
        <v>4.0363142012281635E-3</v>
      </c>
      <c r="AE320" s="305">
        <f t="shared" si="117"/>
        <v>0.7</v>
      </c>
      <c r="AF320" s="177">
        <f t="shared" si="118"/>
        <v>0.7983899907399703</v>
      </c>
      <c r="AG320" s="810">
        <f t="shared" si="124"/>
        <v>0</v>
      </c>
      <c r="AH320" s="176">
        <f t="shared" si="119"/>
        <v>6</v>
      </c>
      <c r="AI320" s="225">
        <f t="shared" si="120"/>
        <v>0.7983899907399703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9.9484522215976128</v>
      </c>
      <c r="C321" s="840"/>
      <c r="D321" s="393">
        <f t="shared" si="102"/>
        <v>10.403046628528667</v>
      </c>
      <c r="E321" s="385">
        <f t="shared" si="125"/>
        <v>10.939722426381527</v>
      </c>
      <c r="F321" s="385">
        <f t="shared" si="103"/>
        <v>10.945651487511492</v>
      </c>
      <c r="G321" s="110">
        <f t="shared" si="126"/>
        <v>0.39544616335893712</v>
      </c>
      <c r="H321" s="414" t="b">
        <f>Wh_hp&gt;='2022'!Maxi_hp</f>
        <v>0</v>
      </c>
      <c r="I321" s="390">
        <f>IF(H321,Wh_hp,'2022'!Maxi_hp)</f>
        <v>25.62517790632015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4.3698199495175061E-2</v>
      </c>
      <c r="M321" s="844"/>
      <c r="N321" s="844"/>
      <c r="O321" s="48">
        <f>IF(t&lt;Tnet,'2022'!Resal+('2022'!Salim-'2022'!Resal)*(1-EXP(('2022'!Tnet-t)/('2022'!Tau_j))),Resal+(Salim-Resal)*(1-EXP((Tnet-t)/(Tau_j))))*Salcycl</f>
        <v>4.9057533357395489E-2</v>
      </c>
      <c r="P321" s="169">
        <f>(INDEX(Models!$BJ321:$BT321,,T321)*(1-R321)+INDEX(Models!$BJ321:$BT321,,T321+1)*R321-ERP_i)*Q321*Ramure*Pc/MaxiM</f>
        <v>3.9176700418994022E-3</v>
      </c>
      <c r="Q321" s="305">
        <f t="shared" si="105"/>
        <v>0.7</v>
      </c>
      <c r="R321" s="177">
        <f t="shared" si="106"/>
        <v>0.79843144779228481</v>
      </c>
      <c r="S321" s="810">
        <f t="shared" si="107"/>
        <v>0</v>
      </c>
      <c r="T321" s="176">
        <f t="shared" si="108"/>
        <v>6</v>
      </c>
      <c r="U321" s="251">
        <f t="shared" si="109"/>
        <v>0.79843144779228481</v>
      </c>
      <c r="V321" s="383">
        <f t="shared" si="110"/>
        <v>25.07256127557342</v>
      </c>
      <c r="W321" s="402">
        <f t="shared" si="111"/>
        <v>9.9484522215976128</v>
      </c>
      <c r="X321" s="157">
        <f t="shared" si="112"/>
        <v>45233</v>
      </c>
      <c r="Y321" s="385">
        <f t="shared" si="113"/>
        <v>9.1328347428058603</v>
      </c>
      <c r="Z321" s="385">
        <f t="shared" si="114"/>
        <v>9.5501595186631469</v>
      </c>
      <c r="AA321" s="386">
        <f t="shared" si="115"/>
        <v>10.939722426381527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0.12701994196556585</v>
      </c>
      <c r="AD321" s="231">
        <f>(INDEX(Models!$BJ321:$BT321,,AH321)*(1-AF321)+INDEX(Models!$BJ321:$BT321,,AH321+1)*AF321-ERP_i)*AE321*Ramure*Pc/MaxiM</f>
        <v>3.9176700418994022E-3</v>
      </c>
      <c r="AE321" s="305">
        <f t="shared" si="117"/>
        <v>0.7</v>
      </c>
      <c r="AF321" s="177">
        <f t="shared" si="118"/>
        <v>0.79843144779228481</v>
      </c>
      <c r="AG321" s="810">
        <f t="shared" si="124"/>
        <v>0</v>
      </c>
      <c r="AH321" s="176">
        <f t="shared" si="119"/>
        <v>6</v>
      </c>
      <c r="AI321" s="225">
        <f t="shared" si="120"/>
        <v>0.79843144779228481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16.476157499318077</v>
      </c>
      <c r="C322" s="840"/>
      <c r="D322" s="393">
        <f t="shared" si="102"/>
        <v>17.229436276077703</v>
      </c>
      <c r="E322" s="385">
        <f t="shared" si="125"/>
        <v>18.120426385937243</v>
      </c>
      <c r="F322" s="385">
        <f t="shared" si="103"/>
        <v>18.156321928836114</v>
      </c>
      <c r="G322" s="110">
        <f t="shared" si="126"/>
        <v>0.66406679694393334</v>
      </c>
      <c r="H322" s="414" t="b">
        <f>Wh_hp&gt;='2022'!Maxi_hp</f>
        <v>0</v>
      </c>
      <c r="I322" s="390">
        <f>IF(H322,Wh_hp,'2022'!Maxi_hp)</f>
        <v>21.931273937161258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4.37204540351398E-2</v>
      </c>
      <c r="M322" s="844"/>
      <c r="N322" s="844"/>
      <c r="O322" s="48">
        <f>IF(t&lt;Tnet,'2022'!Resal+('2022'!Salim-'2022'!Resal)*(1-EXP(('2022'!Tnet-t)/('2022'!Tau_j))),Resal+(Salim-Resal)*(1-EXP((Tnet-t)/(Tau_j))))*Salcycl</f>
        <v>4.9170482574902925E-2</v>
      </c>
      <c r="P322" s="169">
        <f>(INDEX(Models!$BJ322:$BT322,,T322)*(1-R322)+INDEX(Models!$BJ322:$BT322,,T322+1)*R322-ERP_i)*Q322*Ramure*Pc/MaxiM</f>
        <v>3.7887102678670062E-3</v>
      </c>
      <c r="Q322" s="305">
        <f t="shared" si="105"/>
        <v>0.7</v>
      </c>
      <c r="R322" s="177">
        <f t="shared" si="106"/>
        <v>0.79847124375242273</v>
      </c>
      <c r="S322" s="810">
        <f t="shared" si="107"/>
        <v>0</v>
      </c>
      <c r="T322" s="176">
        <f t="shared" si="108"/>
        <v>6</v>
      </c>
      <c r="U322" s="251">
        <f t="shared" si="109"/>
        <v>0.79847124375242273</v>
      </c>
      <c r="V322" s="383">
        <f t="shared" si="110"/>
        <v>24.765955578042998</v>
      </c>
      <c r="W322" s="402">
        <f t="shared" si="111"/>
        <v>16.476157499318077</v>
      </c>
      <c r="X322" s="157">
        <f t="shared" si="112"/>
        <v>45234</v>
      </c>
      <c r="Y322" s="385">
        <f t="shared" si="113"/>
        <v>15.127642220307978</v>
      </c>
      <c r="Z322" s="385">
        <f t="shared" si="114"/>
        <v>15.819267790617227</v>
      </c>
      <c r="AA322" s="386">
        <f t="shared" si="115"/>
        <v>18.120426385937243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0.12699251917746712</v>
      </c>
      <c r="AD322" s="231">
        <f>(INDEX(Models!$BJ322:$BT322,,AH322)*(1-AF322)+INDEX(Models!$BJ322:$BT322,,AH322+1)*AF322-ERP_i)*AE322*Ramure*Pc/MaxiM</f>
        <v>3.7887102678670062E-3</v>
      </c>
      <c r="AE322" s="305">
        <f t="shared" si="117"/>
        <v>0.7</v>
      </c>
      <c r="AF322" s="177">
        <f t="shared" si="118"/>
        <v>0.79847124375242273</v>
      </c>
      <c r="AG322" s="810">
        <f t="shared" si="124"/>
        <v>0</v>
      </c>
      <c r="AH322" s="176">
        <f t="shared" si="119"/>
        <v>6</v>
      </c>
      <c r="AI322" s="225">
        <f t="shared" si="120"/>
        <v>0.79847124375242273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24.943766056587183</v>
      </c>
      <c r="C323" s="840"/>
      <c r="D323" s="393">
        <f t="shared" si="102"/>
        <v>26.08478520034069</v>
      </c>
      <c r="E323" s="385">
        <f t="shared" si="125"/>
        <v>27.436966544811551</v>
      </c>
      <c r="F323" s="385">
        <f t="shared" si="103"/>
        <v>27.537455067889496</v>
      </c>
      <c r="G323" s="110">
        <f t="shared" si="126"/>
        <v>1.0196697086355617</v>
      </c>
      <c r="H323" s="414" t="b">
        <f>Wh_hp&gt;='2022'!Maxi_hp</f>
        <v>1</v>
      </c>
      <c r="I323" s="390">
        <f>IF(H323,Wh_hp,'2022'!Maxi_hp)</f>
        <v>27.537455067889496</v>
      </c>
      <c r="J323" s="85">
        <f>IF(H323,An,'2022'!An_max)</f>
        <v>2023</v>
      </c>
      <c r="K323" s="197">
        <f t="shared" si="104"/>
        <v>45235</v>
      </c>
      <c r="L323" s="147">
        <f>IF(t&lt;Tvie,1-EXP((T0-t)*PertePVj)+'2022'!Pspv,1-EXP((T0-t)*PertePVj)+Pspv)</f>
        <v>4.3742708057208923E-2</v>
      </c>
      <c r="M323" s="844"/>
      <c r="N323" s="844"/>
      <c r="O323" s="48">
        <f>IF(t&lt;Tnet,'2022'!Resal+('2022'!Salim-'2022'!Resal)*(1-EXP(('2022'!Tnet-t)/('2022'!Tau_j))),Resal+(Salim-Resal)*(1-EXP((Tnet-t)/(Tau_j))))*Salcycl</f>
        <v>4.9283193980734115E-2</v>
      </c>
      <c r="P323" s="169">
        <f>(INDEX(Models!$BJ323:$BT323,,T323)*(1-R323)+INDEX(Models!$BJ323:$BT323,,T323+1)*R323-ERP_i)*Q323*Ramure*Pc/MaxiM</f>
        <v>3.6491579497889177E-3</v>
      </c>
      <c r="Q323" s="305">
        <f t="shared" si="105"/>
        <v>0.7</v>
      </c>
      <c r="R323" s="177">
        <f t="shared" si="106"/>
        <v>0.7985094448647343</v>
      </c>
      <c r="S323" s="810">
        <f t="shared" si="107"/>
        <v>0</v>
      </c>
      <c r="T323" s="176">
        <f t="shared" si="108"/>
        <v>6</v>
      </c>
      <c r="U323" s="251">
        <f t="shared" si="109"/>
        <v>0.7985094448647343</v>
      </c>
      <c r="V323" s="383">
        <f t="shared" si="110"/>
        <v>24.462593960906112</v>
      </c>
      <c r="W323" s="402">
        <f t="shared" si="111"/>
        <v>24.943766056587183</v>
      </c>
      <c r="X323" s="157">
        <f t="shared" si="112"/>
        <v>45235</v>
      </c>
      <c r="Y323" s="385">
        <f t="shared" si="113"/>
        <v>22.905636727916537</v>
      </c>
      <c r="Z323" s="385">
        <f t="shared" si="114"/>
        <v>23.953424377428838</v>
      </c>
      <c r="AA323" s="386">
        <f t="shared" si="115"/>
        <v>27.436966544811551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0.12696528100849638</v>
      </c>
      <c r="AD323" s="231">
        <f>(INDEX(Models!$BJ323:$BT323,,AH323)*(1-AF323)+INDEX(Models!$BJ323:$BT323,,AH323+1)*AF323-ERP_i)*AE323*Ramure*Pc/MaxiM</f>
        <v>3.6491579497889177E-3</v>
      </c>
      <c r="AE323" s="305">
        <f t="shared" si="117"/>
        <v>0.7</v>
      </c>
      <c r="AF323" s="177">
        <f t="shared" si="118"/>
        <v>0.7985094448647343</v>
      </c>
      <c r="AG323" s="810">
        <f t="shared" si="124"/>
        <v>0</v>
      </c>
      <c r="AH323" s="176">
        <f t="shared" si="119"/>
        <v>6</v>
      </c>
      <c r="AI323" s="225">
        <f t="shared" si="120"/>
        <v>0.7985094448647343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24.316954222305178</v>
      </c>
      <c r="C324" s="840"/>
      <c r="D324" s="393">
        <f t="shared" si="102"/>
        <v>25.429892489623963</v>
      </c>
      <c r="E324" s="385">
        <f t="shared" si="125"/>
        <v>26.751291829035157</v>
      </c>
      <c r="F324" s="385">
        <f t="shared" si="103"/>
        <v>26.845351396055356</v>
      </c>
      <c r="G324" s="110">
        <f t="shared" si="126"/>
        <v>1.0063779322927229</v>
      </c>
      <c r="H324" s="414" t="b">
        <f>Wh_hp&gt;='2022'!Maxi_hp</f>
        <v>1</v>
      </c>
      <c r="I324" s="390">
        <f>IF(H324,Wh_hp,'2022'!Maxi_hp)</f>
        <v>26.845351396055356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4.3764961561394422E-2</v>
      </c>
      <c r="M324" s="844"/>
      <c r="N324" s="844"/>
      <c r="O324" s="48">
        <f>IF(t&lt;Tnet,'2022'!Resal+('2022'!Salim-'2022'!Resal)*(1-EXP(('2022'!Tnet-t)/('2022'!Tau_j))),Resal+(Salim-Resal)*(1-EXP((Tnet-t)/(Tau_j))))*Salcycl</f>
        <v>4.9395720694765936E-2</v>
      </c>
      <c r="P324" s="169">
        <f>(INDEX(Models!$BJ324:$BT324,,T324)*(1-R324)+INDEX(Models!$BJ324:$BT324,,T324+1)*R324-ERP_i)*Q324*Ramure*Pc/MaxiM</f>
        <v>3.5037562232848843E-3</v>
      </c>
      <c r="Q324" s="305">
        <f t="shared" si="105"/>
        <v>0.7</v>
      </c>
      <c r="R324" s="177">
        <f t="shared" si="106"/>
        <v>0.79854611475630954</v>
      </c>
      <c r="S324" s="810">
        <f t="shared" si="107"/>
        <v>0</v>
      </c>
      <c r="T324" s="176">
        <f t="shared" si="108"/>
        <v>6</v>
      </c>
      <c r="U324" s="251">
        <f t="shared" si="109"/>
        <v>0.79854611475630954</v>
      </c>
      <c r="V324" s="383">
        <f t="shared" si="110"/>
        <v>24.162845231419642</v>
      </c>
      <c r="W324" s="402">
        <f t="shared" si="111"/>
        <v>24.316954222305178</v>
      </c>
      <c r="X324" s="157">
        <f t="shared" si="112"/>
        <v>45236</v>
      </c>
      <c r="Y324" s="385">
        <f t="shared" si="113"/>
        <v>22.333372979534655</v>
      </c>
      <c r="Z324" s="385">
        <f t="shared" si="114"/>
        <v>23.355526708163552</v>
      </c>
      <c r="AA324" s="386">
        <f t="shared" si="115"/>
        <v>26.751291829035157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0.1269383603069939</v>
      </c>
      <c r="AD324" s="231">
        <f>(INDEX(Models!$BJ324:$BT324,,AH324)*(1-AF324)+INDEX(Models!$BJ324:$BT324,,AH324+1)*AF324-ERP_i)*AE324*Ramure*Pc/MaxiM</f>
        <v>3.5037562232848843E-3</v>
      </c>
      <c r="AE324" s="305">
        <f t="shared" si="117"/>
        <v>0.7</v>
      </c>
      <c r="AF324" s="177">
        <f t="shared" si="118"/>
        <v>0.79854611475630954</v>
      </c>
      <c r="AG324" s="810">
        <f t="shared" si="124"/>
        <v>0</v>
      </c>
      <c r="AH324" s="176">
        <f t="shared" si="119"/>
        <v>6</v>
      </c>
      <c r="AI324" s="225">
        <f t="shared" si="120"/>
        <v>0.79854611475630954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22.279788631900459</v>
      </c>
      <c r="C325" s="840"/>
      <c r="D325" s="393">
        <f t="shared" si="102"/>
        <v>23.30003213809994</v>
      </c>
      <c r="E325" s="385">
        <f t="shared" si="125"/>
        <v>24.51365712171172</v>
      </c>
      <c r="F325" s="385">
        <f t="shared" si="103"/>
        <v>24.588506936007153</v>
      </c>
      <c r="G325" s="110">
        <f t="shared" si="126"/>
        <v>0.93320114930985953</v>
      </c>
      <c r="H325" s="414" t="b">
        <f>Wh_hp&gt;='2022'!Maxi_hp</f>
        <v>0</v>
      </c>
      <c r="I325" s="390">
        <f>IF(H325,Wh_hp,'2022'!Maxi_hp)</f>
        <v>24.589985163206897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4.3787214547708286E-2</v>
      </c>
      <c r="M325" s="844"/>
      <c r="N325" s="844"/>
      <c r="O325" s="48">
        <f>IF(t&lt;Tnet,'2022'!Resal+('2022'!Salim-'2022'!Resal)*(1-EXP(('2022'!Tnet-t)/('2022'!Tau_j))),Resal+(Salim-Resal)*(1-EXP((Tnet-t)/(Tau_j))))*Salcycl</f>
        <v>4.9508116132409866E-2</v>
      </c>
      <c r="P325" s="169">
        <f>(INDEX(Models!$BJ325:$BT325,,T325)*(1-R325)+INDEX(Models!$BJ325:$BT325,,T325+1)*R325-ERP_i)*Q325*Ramure*Pc/MaxiM</f>
        <v>3.3636418435182653E-3</v>
      </c>
      <c r="Q325" s="305">
        <f t="shared" si="105"/>
        <v>0.7</v>
      </c>
      <c r="R325" s="177">
        <f t="shared" si="106"/>
        <v>0.7985813145384465</v>
      </c>
      <c r="S325" s="810">
        <f t="shared" si="107"/>
        <v>0</v>
      </c>
      <c r="T325" s="176">
        <f t="shared" si="108"/>
        <v>6</v>
      </c>
      <c r="U325" s="251">
        <f t="shared" si="109"/>
        <v>0.7985813145384465</v>
      </c>
      <c r="V325" s="383">
        <f t="shared" si="110"/>
        <v>23.866931080524619</v>
      </c>
      <c r="W325" s="402">
        <f t="shared" si="111"/>
        <v>22.279788631900459</v>
      </c>
      <c r="X325" s="157">
        <f t="shared" si="112"/>
        <v>45237</v>
      </c>
      <c r="Y325" s="385">
        <f t="shared" si="113"/>
        <v>20.465423105533329</v>
      </c>
      <c r="Z325" s="385">
        <f t="shared" si="114"/>
        <v>21.402582580877244</v>
      </c>
      <c r="AA325" s="386">
        <f t="shared" si="115"/>
        <v>24.51365712171172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0.1269118893761062</v>
      </c>
      <c r="AD325" s="231">
        <f>(INDEX(Models!$BJ325:$BT325,,AH325)*(1-AF325)+INDEX(Models!$BJ325:$BT325,,AH325+1)*AF325-ERP_i)*AE325*Ramure*Pc/MaxiM</f>
        <v>3.3636418435182653E-3</v>
      </c>
      <c r="AE325" s="305">
        <f t="shared" si="117"/>
        <v>0.7</v>
      </c>
      <c r="AF325" s="177">
        <f t="shared" si="118"/>
        <v>0.7985813145384465</v>
      </c>
      <c r="AG325" s="810">
        <f t="shared" si="124"/>
        <v>0</v>
      </c>
      <c r="AH325" s="176">
        <f t="shared" si="119"/>
        <v>6</v>
      </c>
      <c r="AI325" s="225">
        <f t="shared" si="120"/>
        <v>0.7985813145384465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16.46358512229596</v>
      </c>
      <c r="C326" s="840"/>
      <c r="D326" s="393">
        <f t="shared" si="102"/>
        <v>17.217891784517644</v>
      </c>
      <c r="E326" s="385">
        <f t="shared" si="125"/>
        <v>18.116858144020281</v>
      </c>
      <c r="F326" s="385">
        <f t="shared" si="103"/>
        <v>18.150207927767163</v>
      </c>
      <c r="G326" s="110">
        <f t="shared" si="126"/>
        <v>0.6973655031233631</v>
      </c>
      <c r="H326" s="414" t="b">
        <f>Wh_hp&gt;='2022'!Maxi_hp</f>
        <v>0</v>
      </c>
      <c r="I326" s="390">
        <f>IF(H326,Wh_hp,'2022'!Maxi_hp)</f>
        <v>19.495056583324676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4.3809467016162729E-2</v>
      </c>
      <c r="M326" s="844"/>
      <c r="N326" s="844"/>
      <c r="O326" s="48">
        <f>IF(t&lt;Tnet,'2022'!Resal+('2022'!Salim-'2022'!Resal)*(1-EXP(('2022'!Tnet-t)/('2022'!Tau_j))),Resal+(Salim-Resal)*(1-EXP((Tnet-t)/(Tau_j))))*Salcycl</f>
        <v>4.9620433761543306E-2</v>
      </c>
      <c r="P326" s="169">
        <f>(INDEX(Models!$BJ326:$BT326,,T326)*(1-R326)+INDEX(Models!$BJ326:$BT326,,T326+1)*R326-ERP_i)*Q326*Ramure*Pc/MaxiM</f>
        <v>3.2289149718425138E-3</v>
      </c>
      <c r="Q326" s="305">
        <f t="shared" si="105"/>
        <v>0.7</v>
      </c>
      <c r="R326" s="177">
        <f t="shared" si="106"/>
        <v>0.79861510290433935</v>
      </c>
      <c r="S326" s="810">
        <f t="shared" si="107"/>
        <v>0</v>
      </c>
      <c r="T326" s="176">
        <f t="shared" si="108"/>
        <v>6</v>
      </c>
      <c r="U326" s="251">
        <f t="shared" si="109"/>
        <v>0.79861510290433935</v>
      </c>
      <c r="V326" s="383">
        <f t="shared" si="110"/>
        <v>23.575347632409439</v>
      </c>
      <c r="W326" s="402">
        <f t="shared" si="111"/>
        <v>16.46358512229596</v>
      </c>
      <c r="X326" s="157">
        <f t="shared" si="112"/>
        <v>45238</v>
      </c>
      <c r="Y326" s="385">
        <f t="shared" si="113"/>
        <v>15.125100729811773</v>
      </c>
      <c r="Z326" s="385">
        <f t="shared" si="114"/>
        <v>15.818082493049989</v>
      </c>
      <c r="AA326" s="386">
        <f t="shared" si="115"/>
        <v>18.116858144020281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0.12688599936568112</v>
      </c>
      <c r="AD326" s="231">
        <f>(INDEX(Models!$BJ326:$BT326,,AH326)*(1-AF326)+INDEX(Models!$BJ326:$BT326,,AH326+1)*AF326-ERP_i)*AE326*Ramure*Pc/MaxiM</f>
        <v>3.2289149718425138E-3</v>
      </c>
      <c r="AE326" s="305">
        <f t="shared" si="117"/>
        <v>0.7</v>
      </c>
      <c r="AF326" s="177">
        <f t="shared" si="118"/>
        <v>0.79861510290433935</v>
      </c>
      <c r="AG326" s="810">
        <f t="shared" si="124"/>
        <v>0</v>
      </c>
      <c r="AH326" s="176">
        <f t="shared" si="119"/>
        <v>6</v>
      </c>
      <c r="AI326" s="225">
        <f t="shared" si="120"/>
        <v>0.79861510290433935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8.8114162058881416</v>
      </c>
      <c r="C327" s="840"/>
      <c r="D327" s="393">
        <f t="shared" si="102"/>
        <v>9.2153404172397071</v>
      </c>
      <c r="E327" s="385">
        <f t="shared" si="125"/>
        <v>9.6976300012497934</v>
      </c>
      <c r="F327" s="385">
        <f t="shared" si="103"/>
        <v>9.7009960226998775</v>
      </c>
      <c r="G327" s="110">
        <f t="shared" si="126"/>
        <v>0.37731576777579079</v>
      </c>
      <c r="H327" s="414" t="b">
        <f>Wh_hp&gt;='2022'!Maxi_hp</f>
        <v>0</v>
      </c>
      <c r="I327" s="390">
        <f>IF(H327,Wh_hp,'2022'!Maxi_hp)</f>
        <v>19.997041581744018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4.3831718966769739E-2</v>
      </c>
      <c r="M327" s="844"/>
      <c r="N327" s="844"/>
      <c r="O327" s="48">
        <f>IF(t&lt;Tnet,'2022'!Resal+('2022'!Salim-'2022'!Resal)*(1-EXP(('2022'!Tnet-t)/('2022'!Tau_j))),Resal+(Salim-Resal)*(1-EXP((Tnet-t)/(Tau_j))))*Salcycl</f>
        <v>4.9732726856760986E-2</v>
      </c>
      <c r="P327" s="169">
        <f>(INDEX(Models!$BJ327:$BT327,,T327)*(1-R327)+INDEX(Models!$BJ327:$BT327,,T327+1)*R327-ERP_i)*Q327*Ramure*Pc/MaxiM</f>
        <v>3.0996828766774128E-3</v>
      </c>
      <c r="Q327" s="305">
        <f t="shared" si="105"/>
        <v>0.7</v>
      </c>
      <c r="R327" s="177">
        <f t="shared" si="106"/>
        <v>0.79864753622311491</v>
      </c>
      <c r="S327" s="810">
        <f t="shared" si="107"/>
        <v>0</v>
      </c>
      <c r="T327" s="176">
        <f t="shared" si="108"/>
        <v>6</v>
      </c>
      <c r="U327" s="251">
        <f t="shared" si="109"/>
        <v>0.79864753622311491</v>
      </c>
      <c r="V327" s="383">
        <f t="shared" si="110"/>
        <v>23.288590881414372</v>
      </c>
      <c r="W327" s="402">
        <f t="shared" si="111"/>
        <v>8.8114162058881416</v>
      </c>
      <c r="X327" s="157">
        <f t="shared" si="112"/>
        <v>45239</v>
      </c>
      <c r="Y327" s="385">
        <f t="shared" si="113"/>
        <v>8.0962408587855865</v>
      </c>
      <c r="Z327" s="385">
        <f t="shared" si="114"/>
        <v>8.467380710471625</v>
      </c>
      <c r="AA327" s="386">
        <f t="shared" si="115"/>
        <v>9.6976300012497934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0.12686081966620913</v>
      </c>
      <c r="AD327" s="231">
        <f>(INDEX(Models!$BJ327:$BT327,,AH327)*(1-AF327)+INDEX(Models!$BJ327:$BT327,,AH327+1)*AF327-ERP_i)*AE327*Ramure*Pc/MaxiM</f>
        <v>3.0996828766774128E-3</v>
      </c>
      <c r="AE327" s="305">
        <f t="shared" si="117"/>
        <v>0.7</v>
      </c>
      <c r="AF327" s="177">
        <f t="shared" si="118"/>
        <v>0.79864753622311491</v>
      </c>
      <c r="AG327" s="810">
        <f t="shared" si="124"/>
        <v>0</v>
      </c>
      <c r="AH327" s="176">
        <f t="shared" si="119"/>
        <v>6</v>
      </c>
      <c r="AI327" s="225">
        <f t="shared" si="120"/>
        <v>0.79864753622311491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18.671089853885146</v>
      </c>
      <c r="C328" s="840"/>
      <c r="D328" s="393">
        <f t="shared" si="102"/>
        <v>19.52744588782863</v>
      </c>
      <c r="E328" s="385">
        <f t="shared" si="125"/>
        <v>20.551854044350957</v>
      </c>
      <c r="F328" s="385">
        <f t="shared" si="103"/>
        <v>20.596647504484203</v>
      </c>
      <c r="G328" s="110">
        <f t="shared" si="126"/>
        <v>0.81088232663172477</v>
      </c>
      <c r="H328" s="414" t="b">
        <f>Wh_hp&gt;='2022'!Maxi_hp</f>
        <v>0</v>
      </c>
      <c r="I328" s="390">
        <f>IF(H328,Wh_hp,'2022'!Maxi_hp)</f>
        <v>20.599757890321698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4.385397039954142E-2</v>
      </c>
      <c r="M328" s="844"/>
      <c r="N328" s="844"/>
      <c r="O328" s="48">
        <f>IF(t&lt;Tnet,'2022'!Resal+('2022'!Salim-'2022'!Resal)*(1-EXP(('2022'!Tnet-t)/('2022'!Tau_j))),Resal+(Salim-Resal)*(1-EXP((Tnet-t)/(Tau_j))))*Salcycl</f>
        <v>4.9845048252661298E-2</v>
      </c>
      <c r="P328" s="169">
        <f>(INDEX(Models!$BJ328:$BT328,,T328)*(1-R328)+INDEX(Models!$BJ328:$BT328,,T328+1)*R328-ERP_i)*Q328*Ramure*Pc/MaxiM</f>
        <v>2.9760595104949515E-3</v>
      </c>
      <c r="Q328" s="305">
        <f t="shared" si="105"/>
        <v>0.7</v>
      </c>
      <c r="R328" s="177">
        <f t="shared" si="106"/>
        <v>0.79867866863034309</v>
      </c>
      <c r="S328" s="810">
        <f t="shared" si="107"/>
        <v>0</v>
      </c>
      <c r="T328" s="176">
        <f t="shared" si="108"/>
        <v>6</v>
      </c>
      <c r="U328" s="251">
        <f t="shared" si="109"/>
        <v>0.79867866863034309</v>
      </c>
      <c r="V328" s="383">
        <f t="shared" si="110"/>
        <v>23.007156684896536</v>
      </c>
      <c r="W328" s="402">
        <f t="shared" si="111"/>
        <v>18.671089853885146</v>
      </c>
      <c r="X328" s="157">
        <f t="shared" si="112"/>
        <v>45240</v>
      </c>
      <c r="Y328" s="385">
        <f t="shared" si="113"/>
        <v>17.158164107144884</v>
      </c>
      <c r="Z328" s="385">
        <f t="shared" si="114"/>
        <v>17.945129275195239</v>
      </c>
      <c r="AA328" s="386">
        <f t="shared" si="115"/>
        <v>20.551854044350957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0.12683647730907388</v>
      </c>
      <c r="AD328" s="231">
        <f>(INDEX(Models!$BJ328:$BT328,,AH328)*(1-AF328)+INDEX(Models!$BJ328:$BT328,,AH328+1)*AF328-ERP_i)*AE328*Ramure*Pc/MaxiM</f>
        <v>2.9760595104949515E-3</v>
      </c>
      <c r="AE328" s="305">
        <f t="shared" si="117"/>
        <v>0.7</v>
      </c>
      <c r="AF328" s="177">
        <f t="shared" si="118"/>
        <v>0.79867866863034309</v>
      </c>
      <c r="AG328" s="810">
        <f t="shared" si="124"/>
        <v>0</v>
      </c>
      <c r="AH328" s="176">
        <f t="shared" si="119"/>
        <v>6</v>
      </c>
      <c r="AI328" s="225">
        <f t="shared" si="120"/>
        <v>0.79867866863034309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21.99775410058534</v>
      </c>
      <c r="C329" s="840"/>
      <c r="D329" s="393">
        <f t="shared" si="102"/>
        <v>23.007224159646043</v>
      </c>
      <c r="E329" s="385">
        <f t="shared" si="125"/>
        <v>24.217046028114282</v>
      </c>
      <c r="F329" s="385">
        <f t="shared" si="103"/>
        <v>24.283250924765266</v>
      </c>
      <c r="G329" s="110">
        <f t="shared" si="126"/>
        <v>0.96759155103259609</v>
      </c>
      <c r="H329" s="414" t="b">
        <f>Wh_hp&gt;='2022'!Maxi_hp</f>
        <v>0</v>
      </c>
      <c r="I329" s="390">
        <f>IF(H329,Wh_hp,'2022'!Maxi_hp)</f>
        <v>24.283857705255858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4.387622131448965E-2</v>
      </c>
      <c r="M329" s="844"/>
      <c r="N329" s="844"/>
      <c r="O329" s="48">
        <f>IF(t&lt;Tnet,'2022'!Resal+('2022'!Salim-'2022'!Resal)*(1-EXP(('2022'!Tnet-t)/('2022'!Tau_j))),Resal+(Salim-Resal)*(1-EXP((Tnet-t)/(Tau_j))))*Salcycl</f>
        <v>4.9957450097907197E-2</v>
      </c>
      <c r="P329" s="169">
        <f>(INDEX(Models!$BJ329:$BT329,,T329)*(1-R329)+INDEX(Models!$BJ329:$BT329,,T329+1)*R329-ERP_i)*Q329*Ramure*Pc/MaxiM</f>
        <v>2.8581650068475674E-3</v>
      </c>
      <c r="Q329" s="305">
        <f t="shared" si="105"/>
        <v>0.7</v>
      </c>
      <c r="R329" s="177">
        <f t="shared" si="106"/>
        <v>0.79870855211514069</v>
      </c>
      <c r="S329" s="810">
        <f t="shared" si="107"/>
        <v>0</v>
      </c>
      <c r="T329" s="176">
        <f t="shared" si="108"/>
        <v>6</v>
      </c>
      <c r="U329" s="251">
        <f t="shared" si="109"/>
        <v>0.79870855211514069</v>
      </c>
      <c r="V329" s="383">
        <f t="shared" si="110"/>
        <v>22.731540749838047</v>
      </c>
      <c r="W329" s="402">
        <f t="shared" si="111"/>
        <v>21.99775410058534</v>
      </c>
      <c r="X329" s="157">
        <f t="shared" si="112"/>
        <v>45241</v>
      </c>
      <c r="Y329" s="385">
        <f t="shared" si="113"/>
        <v>20.218200533988604</v>
      </c>
      <c r="Z329" s="385">
        <f t="shared" si="114"/>
        <v>21.146007436176109</v>
      </c>
      <c r="AA329" s="386">
        <f t="shared" si="115"/>
        <v>24.217046028114282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0.12681309637735805</v>
      </c>
      <c r="AD329" s="231">
        <f>(INDEX(Models!$BJ329:$BT329,,AH329)*(1-AF329)+INDEX(Models!$BJ329:$BT329,,AH329+1)*AF329-ERP_i)*AE329*Ramure*Pc/MaxiM</f>
        <v>2.8581650068475674E-3</v>
      </c>
      <c r="AE329" s="305">
        <f t="shared" si="117"/>
        <v>0.7</v>
      </c>
      <c r="AF329" s="177">
        <f t="shared" si="118"/>
        <v>0.79870855211514069</v>
      </c>
      <c r="AG329" s="810">
        <f t="shared" si="124"/>
        <v>0</v>
      </c>
      <c r="AH329" s="176">
        <f t="shared" si="119"/>
        <v>6</v>
      </c>
      <c r="AI329" s="225">
        <f t="shared" si="120"/>
        <v>0.79870855211514069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21.793398434173994</v>
      </c>
      <c r="C330" s="840"/>
      <c r="D330" s="393">
        <f t="shared" si="102"/>
        <v>22.794021125757268</v>
      </c>
      <c r="E330" s="385">
        <f t="shared" si="125"/>
        <v>23.995474121793052</v>
      </c>
      <c r="F330" s="385">
        <f t="shared" si="103"/>
        <v>24.058732033825663</v>
      </c>
      <c r="G330" s="110">
        <f t="shared" si="126"/>
        <v>0.97011016271255002</v>
      </c>
      <c r="H330" s="414" t="b">
        <f>Wh_hp&gt;='2022'!Maxi_hp</f>
        <v>0</v>
      </c>
      <c r="I330" s="390">
        <f>IF(H330,Wh_hp,'2022'!Maxi_hp)</f>
        <v>24.059269183157991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4.389847171162653E-2</v>
      </c>
      <c r="M330" s="844"/>
      <c r="N330" s="844"/>
      <c r="O330" s="48">
        <f>IF(t&lt;Tnet,'2022'!Resal+('2022'!Salim-'2022'!Resal)*(1-EXP(('2022'!Tnet-t)/('2022'!Tau_j))),Resal+(Salim-Resal)*(1-EXP((Tnet-t)/(Tau_j))))*Salcycl</f>
        <v>5.0069983611809664E-2</v>
      </c>
      <c r="P330" s="169">
        <f>(INDEX(Models!$BJ330:$BT330,,T330)*(1-R330)+INDEX(Models!$BJ330:$BT330,,T330+1)*R330-ERP_i)*Q330*Ramure*Pc/MaxiM</f>
        <v>2.7461250801356233E-3</v>
      </c>
      <c r="Q330" s="305">
        <f t="shared" si="105"/>
        <v>0.7</v>
      </c>
      <c r="R330" s="177">
        <f t="shared" si="106"/>
        <v>0.79873723660399132</v>
      </c>
      <c r="S330" s="810">
        <f t="shared" si="107"/>
        <v>0</v>
      </c>
      <c r="T330" s="176">
        <f t="shared" si="108"/>
        <v>6</v>
      </c>
      <c r="U330" s="251">
        <f t="shared" si="109"/>
        <v>0.79873723660399132</v>
      </c>
      <c r="V330" s="383">
        <f t="shared" si="110"/>
        <v>22.462238625853043</v>
      </c>
      <c r="W330" s="402">
        <f t="shared" si="111"/>
        <v>21.793398434173994</v>
      </c>
      <c r="X330" s="157">
        <f t="shared" si="112"/>
        <v>45242</v>
      </c>
      <c r="Y330" s="385">
        <f t="shared" si="113"/>
        <v>20.033261124141973</v>
      </c>
      <c r="Z330" s="385">
        <f t="shared" si="114"/>
        <v>20.953068823146641</v>
      </c>
      <c r="AA330" s="386">
        <f t="shared" si="115"/>
        <v>23.995474121793052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0.12679079743138952</v>
      </c>
      <c r="AD330" s="231">
        <f>(INDEX(Models!$BJ330:$BT330,,AH330)*(1-AF330)+INDEX(Models!$BJ330:$BT330,,AH330+1)*AF330-ERP_i)*AE330*Ramure*Pc/MaxiM</f>
        <v>2.7461250801356233E-3</v>
      </c>
      <c r="AE330" s="305">
        <f t="shared" si="117"/>
        <v>0.7</v>
      </c>
      <c r="AF330" s="177">
        <f t="shared" si="118"/>
        <v>0.79873723660399132</v>
      </c>
      <c r="AG330" s="810">
        <f t="shared" si="124"/>
        <v>0</v>
      </c>
      <c r="AH330" s="176">
        <f t="shared" si="119"/>
        <v>6</v>
      </c>
      <c r="AI330" s="225">
        <f t="shared" si="120"/>
        <v>0.79873723660399132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20.809413495328901</v>
      </c>
      <c r="C331" s="840"/>
      <c r="D331" s="393">
        <f t="shared" si="102"/>
        <v>21.765363987342994</v>
      </c>
      <c r="E331" s="385">
        <f t="shared" si="125"/>
        <v>22.915316409671469</v>
      </c>
      <c r="F331" s="385">
        <f t="shared" si="103"/>
        <v>22.970550075891474</v>
      </c>
      <c r="G331" s="110">
        <f t="shared" si="126"/>
        <v>0.93725700122222211</v>
      </c>
      <c r="H331" s="414" t="b">
        <f>Wh_hp&gt;='2022'!Maxi_hp</f>
        <v>0</v>
      </c>
      <c r="I331" s="390">
        <f>IF(H331,Wh_hp,'2022'!Maxi_hp)</f>
        <v>24.534938344101679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4.3920721590964273E-2</v>
      </c>
      <c r="M331" s="844"/>
      <c r="N331" s="844"/>
      <c r="O331" s="48">
        <f>IF(t&lt;Tnet,'2022'!Resal+('2022'!Salim-'2022'!Resal)*(1-EXP(('2022'!Tnet-t)/('2022'!Tau_j))),Resal+(Salim-Resal)*(1-EXP((Tnet-t)/(Tau_j))))*Salcycl</f>
        <v>5.018269884517642E-2</v>
      </c>
      <c r="P331" s="169">
        <f>(INDEX(Models!$BJ331:$BT331,,T331)*(1-R331)+INDEX(Models!$BJ331:$BT331,,T331+1)*R331-ERP_i)*Q331*Ramure*Pc/MaxiM</f>
        <v>2.6403706311144059E-3</v>
      </c>
      <c r="Q331" s="305">
        <f t="shared" si="105"/>
        <v>0.7</v>
      </c>
      <c r="R331" s="177">
        <f t="shared" si="106"/>
        <v>0.7987647700413919</v>
      </c>
      <c r="S331" s="810">
        <f t="shared" si="107"/>
        <v>0</v>
      </c>
      <c r="T331" s="176">
        <f t="shared" si="108"/>
        <v>6</v>
      </c>
      <c r="U331" s="251">
        <f t="shared" si="109"/>
        <v>0.7987647700413919</v>
      </c>
      <c r="V331" s="383">
        <f t="shared" si="110"/>
        <v>22.197213994243942</v>
      </c>
      <c r="W331" s="402">
        <f t="shared" si="111"/>
        <v>20.809413495328901</v>
      </c>
      <c r="X331" s="157">
        <f t="shared" si="112"/>
        <v>45243</v>
      </c>
      <c r="Y331" s="385">
        <f t="shared" si="113"/>
        <v>19.131479738956518</v>
      </c>
      <c r="Z331" s="385">
        <f t="shared" si="114"/>
        <v>20.01034869283253</v>
      </c>
      <c r="AA331" s="386">
        <f t="shared" si="115"/>
        <v>22.915316409671469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0.12676969695312121</v>
      </c>
      <c r="AD331" s="231">
        <f>(INDEX(Models!$BJ331:$BT331,,AH331)*(1-AF331)+INDEX(Models!$BJ331:$BT331,,AH331+1)*AF331-ERP_i)*AE331*Ramure*Pc/MaxiM</f>
        <v>2.6403706311144059E-3</v>
      </c>
      <c r="AE331" s="305">
        <f t="shared" si="117"/>
        <v>0.7</v>
      </c>
      <c r="AF331" s="177">
        <f t="shared" si="118"/>
        <v>0.7987647700413919</v>
      </c>
      <c r="AG331" s="810">
        <f t="shared" si="124"/>
        <v>0</v>
      </c>
      <c r="AH331" s="176">
        <f t="shared" si="119"/>
        <v>6</v>
      </c>
      <c r="AI331" s="225">
        <f t="shared" si="120"/>
        <v>0.7987647700413919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8.3588690134490964</v>
      </c>
      <c r="C332" s="840"/>
      <c r="D332" s="393">
        <f t="shared" si="102"/>
        <v>8.7430652769500536</v>
      </c>
      <c r="E332" s="385">
        <f t="shared" si="125"/>
        <v>9.206091586113077</v>
      </c>
      <c r="F332" s="385">
        <f t="shared" si="103"/>
        <v>9.2088057603424964</v>
      </c>
      <c r="G332" s="110">
        <f t="shared" si="126"/>
        <v>0.38022683647187039</v>
      </c>
      <c r="H332" s="414" t="b">
        <f>Wh_hp&gt;='2022'!Maxi_hp</f>
        <v>0</v>
      </c>
      <c r="I332" s="390">
        <f>IF(H332,Wh_hp,'2022'!Maxi_hp)</f>
        <v>18.564263652887913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4.3942970952514759E-2</v>
      </c>
      <c r="M332" s="844"/>
      <c r="N332" s="844"/>
      <c r="O332" s="48">
        <f>IF(t&lt;Tnet,'2022'!Resal+('2022'!Salim-'2022'!Resal)*(1-EXP(('2022'!Tnet-t)/('2022'!Tau_j))),Resal+(Salim-Resal)*(1-EXP((Tnet-t)/(Tau_j))))*Salcycl</f>
        <v>5.0295644447147847E-2</v>
      </c>
      <c r="P332" s="169">
        <f>(INDEX(Models!$BJ332:$BT332,,T332)*(1-R332)+INDEX(Models!$BJ332:$BT332,,T332+1)*R332-ERP_i)*Q332*Ramure*Pc/MaxiM</f>
        <v>2.5444564557375064E-3</v>
      </c>
      <c r="Q332" s="305">
        <f t="shared" si="105"/>
        <v>0.7</v>
      </c>
      <c r="R332" s="177">
        <f t="shared" si="106"/>
        <v>0.79879119846744118</v>
      </c>
      <c r="S332" s="810">
        <f t="shared" si="107"/>
        <v>0</v>
      </c>
      <c r="T332" s="176">
        <f t="shared" si="108"/>
        <v>6</v>
      </c>
      <c r="U332" s="251">
        <f t="shared" si="109"/>
        <v>0.79879119846744118</v>
      </c>
      <c r="V332" s="383">
        <f t="shared" si="110"/>
        <v>21.934428497960443</v>
      </c>
      <c r="W332" s="402">
        <f t="shared" si="111"/>
        <v>8.3588690134490964</v>
      </c>
      <c r="X332" s="157">
        <f t="shared" si="112"/>
        <v>45244</v>
      </c>
      <c r="Y332" s="385">
        <f t="shared" si="113"/>
        <v>7.6859531097765403</v>
      </c>
      <c r="Z332" s="385">
        <f t="shared" si="114"/>
        <v>8.0392203354584577</v>
      </c>
      <c r="AA332" s="386">
        <f t="shared" si="115"/>
        <v>9.206091586113077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0.12674990681330892</v>
      </c>
      <c r="AD332" s="231">
        <f>(INDEX(Models!$BJ332:$BT332,,AH332)*(1-AF332)+INDEX(Models!$BJ332:$BT332,,AH332+1)*AF332-ERP_i)*AE332*Ramure*Pc/MaxiM</f>
        <v>2.5444564557375064E-3</v>
      </c>
      <c r="AE332" s="305">
        <f t="shared" si="117"/>
        <v>0.7</v>
      </c>
      <c r="AF332" s="177">
        <f t="shared" si="118"/>
        <v>0.79879119846744118</v>
      </c>
      <c r="AG332" s="810">
        <f t="shared" si="124"/>
        <v>0</v>
      </c>
      <c r="AH332" s="176">
        <f t="shared" si="119"/>
        <v>6</v>
      </c>
      <c r="AI332" s="225">
        <f t="shared" si="120"/>
        <v>0.79879119846744118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11.26620981662831</v>
      </c>
      <c r="C333" s="840"/>
      <c r="D333" s="393">
        <f t="shared" si="102"/>
        <v>11.784309577343755</v>
      </c>
      <c r="E333" s="385">
        <f t="shared" si="125"/>
        <v>12.409877444380522</v>
      </c>
      <c r="F333" s="385">
        <f t="shared" si="103"/>
        <v>12.419453472902664</v>
      </c>
      <c r="G333" s="110">
        <f t="shared" si="126"/>
        <v>0.51891366453903531</v>
      </c>
      <c r="H333" s="414" t="b">
        <f>Wh_hp&gt;='2022'!Maxi_hp</f>
        <v>0</v>
      </c>
      <c r="I333" s="390">
        <f>IF(H333,Wh_hp,'2022'!Maxi_hp)</f>
        <v>23.679818202153843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4.39652197962902E-2</v>
      </c>
      <c r="M333" s="844"/>
      <c r="N333" s="844"/>
      <c r="O333" s="48">
        <f>IF(t&lt;Tnet,'2022'!Resal+('2022'!Salim-'2022'!Resal)*(1-EXP(('2022'!Tnet-t)/('2022'!Tau_j))),Resal+(Salim-Resal)*(1-EXP((Tnet-t)/(Tau_j))))*Salcycl</f>
        <v>5.0408867439705282E-2</v>
      </c>
      <c r="P333" s="169">
        <f>(INDEX(Models!$BJ333:$BT333,,T333)*(1-R333)+INDEX(Models!$BJ333:$BT333,,T333+1)*R333-ERP_i)*Q333*Ramure*Pc/MaxiM</f>
        <v>2.4556872881674775E-3</v>
      </c>
      <c r="Q333" s="305">
        <f t="shared" si="105"/>
        <v>0.7</v>
      </c>
      <c r="R333" s="177">
        <f t="shared" si="106"/>
        <v>0.79881656609247731</v>
      </c>
      <c r="S333" s="810">
        <f t="shared" si="107"/>
        <v>0</v>
      </c>
      <c r="T333" s="176">
        <f t="shared" si="108"/>
        <v>6</v>
      </c>
      <c r="U333" s="251">
        <f t="shared" si="109"/>
        <v>0.79881656609247731</v>
      </c>
      <c r="V333" s="383">
        <f t="shared" si="110"/>
        <v>21.674541394345187</v>
      </c>
      <c r="W333" s="402">
        <f t="shared" si="111"/>
        <v>11.26620981662831</v>
      </c>
      <c r="X333" s="157">
        <f t="shared" si="112"/>
        <v>45245</v>
      </c>
      <c r="Y333" s="385">
        <f t="shared" si="113"/>
        <v>10.360696756212361</v>
      </c>
      <c r="Z333" s="385">
        <f t="shared" si="114"/>
        <v>10.837154642014934</v>
      </c>
      <c r="AA333" s="386">
        <f t="shared" si="115"/>
        <v>12.409877444380522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0.12673153376528734</v>
      </c>
      <c r="AD333" s="231">
        <f>(INDEX(Models!$BJ333:$BT333,,AH333)*(1-AF333)+INDEX(Models!$BJ333:$BT333,,AH333+1)*AF333-ERP_i)*AE333*Ramure*Pc/MaxiM</f>
        <v>2.4556872881674775E-3</v>
      </c>
      <c r="AE333" s="305">
        <f t="shared" si="117"/>
        <v>0.7</v>
      </c>
      <c r="AF333" s="177">
        <f t="shared" si="118"/>
        <v>0.79881656609247731</v>
      </c>
      <c r="AG333" s="810">
        <f t="shared" si="124"/>
        <v>0</v>
      </c>
      <c r="AH333" s="176">
        <f t="shared" si="119"/>
        <v>6</v>
      </c>
      <c r="AI333" s="225">
        <f t="shared" si="120"/>
        <v>0.79881656609247731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21.375102025591186</v>
      </c>
      <c r="C334" s="840"/>
      <c r="D334" s="393">
        <f t="shared" si="102"/>
        <v>22.358600240949244</v>
      </c>
      <c r="E334" s="385">
        <f t="shared" si="125"/>
        <v>23.548318093141326</v>
      </c>
      <c r="F334" s="385">
        <f t="shared" si="103"/>
        <v>23.604197440370594</v>
      </c>
      <c r="G334" s="110">
        <f t="shared" si="126"/>
        <v>0.99798334963029067</v>
      </c>
      <c r="H334" s="414" t="b">
        <f>Wh_hp&gt;='2022'!Maxi_hp</f>
        <v>0</v>
      </c>
      <c r="I334" s="390">
        <f>IF(H334,Wh_hp,'2022'!Maxi_hp)</f>
        <v>23.604229885509767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4.3987468122302364E-2</v>
      </c>
      <c r="M334" s="844"/>
      <c r="N334" s="844"/>
      <c r="O334" s="48">
        <f>IF(t&lt;Tnet,'2022'!Resal+('2022'!Salim-'2022'!Resal)*(1-EXP(('2022'!Tnet-t)/('2022'!Tau_j))),Resal+(Salim-Resal)*(1-EXP((Tnet-t)/(Tau_j))))*Salcycl</f>
        <v>5.0522413001487271E-2</v>
      </c>
      <c r="P334" s="169">
        <f>(INDEX(Models!$BJ334:$BT334,,T334)*(1-R334)+INDEX(Models!$BJ334:$BT334,,T334+1)*R334-ERP_i)*Q334*Ramure*Pc/MaxiM</f>
        <v>2.3741645711327654E-3</v>
      </c>
      <c r="Q334" s="305">
        <f t="shared" si="105"/>
        <v>0.7</v>
      </c>
      <c r="R334" s="177">
        <f t="shared" si="106"/>
        <v>0.79884091536886892</v>
      </c>
      <c r="S334" s="810">
        <f t="shared" si="107"/>
        <v>0</v>
      </c>
      <c r="T334" s="176">
        <f t="shared" si="108"/>
        <v>6</v>
      </c>
      <c r="U334" s="251">
        <f t="shared" si="109"/>
        <v>0.79884091536886892</v>
      </c>
      <c r="V334" s="383">
        <f t="shared" si="110"/>
        <v>21.418148890660063</v>
      </c>
      <c r="W334" s="402">
        <f t="shared" si="111"/>
        <v>21.375102025591186</v>
      </c>
      <c r="X334" s="157">
        <f t="shared" si="112"/>
        <v>45246</v>
      </c>
      <c r="Y334" s="385">
        <f t="shared" si="113"/>
        <v>19.659824613131264</v>
      </c>
      <c r="Z334" s="385">
        <f t="shared" si="114"/>
        <v>20.564400525710198</v>
      </c>
      <c r="AA334" s="386">
        <f t="shared" si="115"/>
        <v>23.548318093141326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0.12671467896895042</v>
      </c>
      <c r="AD334" s="231">
        <f>(INDEX(Models!$BJ334:$BT334,,AH334)*(1-AF334)+INDEX(Models!$BJ334:$BT334,,AH334+1)*AF334-ERP_i)*AE334*Ramure*Pc/MaxiM</f>
        <v>2.3741645711327654E-3</v>
      </c>
      <c r="AE334" s="305">
        <f t="shared" si="117"/>
        <v>0.7</v>
      </c>
      <c r="AF334" s="177">
        <f t="shared" si="118"/>
        <v>0.79884091536886892</v>
      </c>
      <c r="AG334" s="810">
        <f t="shared" si="124"/>
        <v>0</v>
      </c>
      <c r="AH334" s="176">
        <f t="shared" si="119"/>
        <v>6</v>
      </c>
      <c r="AI334" s="225">
        <f t="shared" si="120"/>
        <v>0.79884091536886892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12.476375676890227</v>
      </c>
      <c r="C335" s="840"/>
      <c r="D335" s="393">
        <f t="shared" ref="D335:D379" si="127">Wh/(1-Ppv)</f>
        <v>13.050734808497312</v>
      </c>
      <c r="E335" s="385">
        <f t="shared" si="125"/>
        <v>13.746823416599337</v>
      </c>
      <c r="F335" s="385">
        <f t="shared" ref="F335:F379" si="128">Wh_sa/(1-Pvg*MEDIAN((-Sdif+Wh/Env_an)/Csdif,0,1))</f>
        <v>13.759910125180182</v>
      </c>
      <c r="G335" s="110">
        <f t="shared" si="126"/>
        <v>0.58866200999832652</v>
      </c>
      <c r="H335" s="414" t="b">
        <f>Wh_hp&gt;='2022'!Maxi_hp</f>
        <v>0</v>
      </c>
      <c r="I335" s="390">
        <f>IF(H335,Wh_hp,'2022'!Maxi_hp)</f>
        <v>21.890995839338444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4.4009715930563575E-2</v>
      </c>
      <c r="M335" s="844"/>
      <c r="N335" s="844"/>
      <c r="O335" s="48">
        <f>IF(t&lt;Tnet,'2022'!Resal+('2022'!Salim-'2022'!Resal)*(1-EXP(('2022'!Tnet-t)/('2022'!Tau_j))),Resal+(Salim-Resal)*(1-EXP((Tnet-t)/(Tau_j))))*Salcycl</f>
        <v>5.063632426248342E-2</v>
      </c>
      <c r="P335" s="169">
        <f>(INDEX(Models!$BJ335:$BT335,,T335)*(1-R335)+INDEX(Models!$BJ335:$BT335,,T335+1)*R335-ERP_i)*Q335*Ramure*Pc/MaxiM</f>
        <v>2.2999980454695003E-3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0.7988642870600644</v>
      </c>
      <c r="S335" s="810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0.7988642870600644</v>
      </c>
      <c r="V335" s="383">
        <f t="shared" ref="V335:V379" si="135">MaxiM*(1-Ppv)*(1-Pvg)*(1-Psa)</f>
        <v>21.165846912050984</v>
      </c>
      <c r="W335" s="402">
        <f t="shared" ref="W335:W379" si="136">Wh*(A335&gt;Tmaj)</f>
        <v>12.476375676890227</v>
      </c>
      <c r="X335" s="157">
        <f t="shared" ref="X335:X379" si="137">t</f>
        <v>45247</v>
      </c>
      <c r="Y335" s="385">
        <f t="shared" ref="Y335:Y379" si="138">Wh_pvt_s*(1-Ppv)</f>
        <v>11.476767201486291</v>
      </c>
      <c r="Z335" s="385">
        <f t="shared" ref="Z335:Z379" si="139">Wh_sa_s*(1-Psa_s)</f>
        <v>12.005108621640238</v>
      </c>
      <c r="AA335" s="386">
        <f t="shared" ref="AA335:AA379" si="140">Wh_hp*(1-Pvg_s*MEDIAN((-Sdif+Wh/Env_an)/Csdif,0,1))</f>
        <v>13.746823416599337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0.12669943754831195</v>
      </c>
      <c r="AD335" s="231">
        <f>(INDEX(Models!$BJ335:$BT335,,AH335)*(1-AF335)+INDEX(Models!$BJ335:$BT335,,AH335+1)*AF335-ERP_i)*AE335*Ramure*Pc/MaxiM</f>
        <v>2.2999980454695003E-3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0.7988642870600644</v>
      </c>
      <c r="AG335" s="810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0.7988642870600644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13.187867200562094</v>
      </c>
      <c r="C336" s="840"/>
      <c r="D336" s="393">
        <f t="shared" si="127"/>
        <v>13.795301404634765</v>
      </c>
      <c r="E336" s="385">
        <f t="shared" si="125"/>
        <v>14.532853027485869</v>
      </c>
      <c r="F336" s="385">
        <f t="shared" si="128"/>
        <v>14.54819081340867</v>
      </c>
      <c r="G336" s="110">
        <f t="shared" si="126"/>
        <v>0.62970438758286318</v>
      </c>
      <c r="H336" s="414" t="b">
        <f>Wh_hp&gt;='2022'!Maxi_hp</f>
        <v>0</v>
      </c>
      <c r="I336" s="390">
        <f>IF(H336,Wh_hp,'2022'!Maxi_hp)</f>
        <v>21.900036147132251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4.4031963221085824E-2</v>
      </c>
      <c r="M336" s="844"/>
      <c r="N336" s="844"/>
      <c r="O336" s="48">
        <f>IF(t&lt;Tnet,'2022'!Resal+('2022'!Salim-'2022'!Resal)*(1-EXP(('2022'!Tnet-t)/('2022'!Tau_j))),Resal+(Salim-Resal)*(1-EXP((Tnet-t)/(Tau_j))))*Salcycl</f>
        <v>5.0750642111096707E-2</v>
      </c>
      <c r="P336" s="169">
        <f>(INDEX(Models!$BJ336:$BT336,,T336)*(1-R336)+INDEX(Models!$BJ336:$BT336,,T336+1)*R336-ERP_i)*Q336*Ramure*Pc/MaxiM</f>
        <v>2.2333045553607719E-3</v>
      </c>
      <c r="Q336" s="305">
        <f t="shared" si="130"/>
        <v>0.7</v>
      </c>
      <c r="R336" s="177">
        <f t="shared" si="131"/>
        <v>0.79888672030699504</v>
      </c>
      <c r="S336" s="810">
        <f t="shared" si="132"/>
        <v>0</v>
      </c>
      <c r="T336" s="176">
        <f t="shared" si="133"/>
        <v>6</v>
      </c>
      <c r="U336" s="251">
        <f t="shared" si="134"/>
        <v>0.79888672030699504</v>
      </c>
      <c r="V336" s="383">
        <f t="shared" si="135"/>
        <v>20.918231090334253</v>
      </c>
      <c r="W336" s="402">
        <f t="shared" si="136"/>
        <v>13.187867200562094</v>
      </c>
      <c r="X336" s="157">
        <f t="shared" si="137"/>
        <v>45248</v>
      </c>
      <c r="Y336" s="385">
        <f t="shared" si="138"/>
        <v>12.132903017936158</v>
      </c>
      <c r="Z336" s="385">
        <f t="shared" si="139"/>
        <v>12.691745488497041</v>
      </c>
      <c r="AA336" s="386">
        <f t="shared" si="140"/>
        <v>14.532853027485869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0.12668589818576959</v>
      </c>
      <c r="AD336" s="231">
        <f>(INDEX(Models!$BJ336:$BT336,,AH336)*(1-AF336)+INDEX(Models!$BJ336:$BT336,,AH336+1)*AF336-ERP_i)*AE336*Ramure*Pc/MaxiM</f>
        <v>2.2333045553607719E-3</v>
      </c>
      <c r="AE336" s="305">
        <f t="shared" si="142"/>
        <v>0.7</v>
      </c>
      <c r="AF336" s="177">
        <f t="shared" si="143"/>
        <v>0.79888672030699504</v>
      </c>
      <c r="AG336" s="810">
        <f t="shared" ref="AG336:AG379" si="149">INDEX(Echel_vg,AH336)</f>
        <v>0</v>
      </c>
      <c r="AH336" s="176">
        <f t="shared" si="144"/>
        <v>6</v>
      </c>
      <c r="AI336" s="225">
        <f t="shared" si="145"/>
        <v>0.79888672030699504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7.3162708527274445</v>
      </c>
      <c r="C337" s="840"/>
      <c r="D337" s="393">
        <f t="shared" si="127"/>
        <v>7.653436972279164</v>
      </c>
      <c r="E337" s="385">
        <f t="shared" si="125"/>
        <v>8.0635949977146293</v>
      </c>
      <c r="F337" s="385">
        <f t="shared" si="128"/>
        <v>8.0649440560169197</v>
      </c>
      <c r="G337" s="110">
        <f t="shared" si="126"/>
        <v>0.35314478623990392</v>
      </c>
      <c r="H337" s="414" t="b">
        <f>Wh_hp&gt;='2022'!Maxi_hp</f>
        <v>0</v>
      </c>
      <c r="I337" s="390">
        <f>IF(H337,Wh_hp,'2022'!Maxi_hp)</f>
        <v>22.404148660513918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4.4054209993881099E-2</v>
      </c>
      <c r="M337" s="844"/>
      <c r="N337" s="844"/>
      <c r="O337" s="48">
        <f>IF(t&lt;Tnet,'2022'!Resal+('2022'!Salim-'2022'!Resal)*(1-EXP(('2022'!Tnet-t)/('2022'!Tau_j))),Resal+(Salim-Resal)*(1-EXP((Tnet-t)/(Tau_j))))*Salcycl</f>
        <v>5.0865405014973053E-2</v>
      </c>
      <c r="P337" s="169">
        <f>(INDEX(Models!$BJ337:$BT337,,T337)*(1-R337)+INDEX(Models!$BJ337:$BT337,,T337+1)*R337-ERP_i)*Q337*Ramure*Pc/MaxiM</f>
        <v>2.174206648847943E-3</v>
      </c>
      <c r="Q337" s="305">
        <f t="shared" si="130"/>
        <v>0.7</v>
      </c>
      <c r="R337" s="177">
        <f t="shared" si="131"/>
        <v>0.79890825269193144</v>
      </c>
      <c r="S337" s="810">
        <f t="shared" si="132"/>
        <v>0</v>
      </c>
      <c r="T337" s="176">
        <f t="shared" si="133"/>
        <v>6</v>
      </c>
      <c r="U337" s="251">
        <f t="shared" si="134"/>
        <v>0.79890825269193144</v>
      </c>
      <c r="V337" s="383">
        <f t="shared" si="135"/>
        <v>20.675896743855514</v>
      </c>
      <c r="W337" s="402">
        <f t="shared" si="136"/>
        <v>7.3162708527274445</v>
      </c>
      <c r="X337" s="157">
        <f t="shared" si="137"/>
        <v>45249</v>
      </c>
      <c r="Y337" s="385">
        <f t="shared" si="138"/>
        <v>6.7319098345466539</v>
      </c>
      <c r="Z337" s="385">
        <f t="shared" si="139"/>
        <v>7.0421460138482992</v>
      </c>
      <c r="AA337" s="386">
        <f t="shared" si="140"/>
        <v>8.0635949977146293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0.12667414275590813</v>
      </c>
      <c r="AD337" s="231">
        <f>(INDEX(Models!$BJ337:$BT337,,AH337)*(1-AF337)+INDEX(Models!$BJ337:$BT337,,AH337+1)*AF337-ERP_i)*AE337*Ramure*Pc/MaxiM</f>
        <v>2.174206648847943E-3</v>
      </c>
      <c r="AE337" s="305">
        <f t="shared" si="142"/>
        <v>0.7</v>
      </c>
      <c r="AF337" s="177">
        <f t="shared" si="143"/>
        <v>0.79890825269193144</v>
      </c>
      <c r="AG337" s="810">
        <f t="shared" si="149"/>
        <v>0</v>
      </c>
      <c r="AH337" s="176">
        <f t="shared" si="144"/>
        <v>6</v>
      </c>
      <c r="AI337" s="225">
        <f t="shared" si="145"/>
        <v>0.79890825269193144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13.538842433328986</v>
      </c>
      <c r="C338" s="840"/>
      <c r="D338" s="393">
        <f t="shared" si="127"/>
        <v>14.163101768790677</v>
      </c>
      <c r="E338" s="385">
        <f t="shared" si="125"/>
        <v>14.92393358652909</v>
      </c>
      <c r="F338" s="385">
        <f t="shared" si="128"/>
        <v>14.940358645209651</v>
      </c>
      <c r="G338" s="110">
        <f t="shared" si="126"/>
        <v>0.66170949529824963</v>
      </c>
      <c r="H338" s="414" t="b">
        <f>Wh_hp&gt;='2022'!Maxi_hp</f>
        <v>0</v>
      </c>
      <c r="I338" s="390">
        <f>IF(H338,Wh_hp,'2022'!Maxi_hp)</f>
        <v>23.081621560560357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4.4076456248961504E-2</v>
      </c>
      <c r="M338" s="844"/>
      <c r="N338" s="844"/>
      <c r="O338" s="48">
        <f>IF(t&lt;Tnet,'2022'!Resal+('2022'!Salim-'2022'!Resal)*(1-EXP(('2022'!Tnet-t)/('2022'!Tau_j))),Resal+(Salim-Resal)*(1-EXP((Tnet-t)/(Tau_j))))*Salcycl</f>
        <v>5.0980648856891853E-2</v>
      </c>
      <c r="P338" s="169">
        <f>(INDEX(Models!$BJ338:$BT338,,T338)*(1-R338)+INDEX(Models!$BJ338:$BT338,,T338+1)*R338-ERP_i)*Q338*Ramure*Pc/MaxiM</f>
        <v>2.1235834920954144E-3</v>
      </c>
      <c r="Q338" s="305">
        <f t="shared" si="130"/>
        <v>0.7</v>
      </c>
      <c r="R338" s="177">
        <f t="shared" si="131"/>
        <v>0.79892892029988272</v>
      </c>
      <c r="S338" s="810">
        <f t="shared" si="132"/>
        <v>0</v>
      </c>
      <c r="T338" s="176">
        <f t="shared" si="133"/>
        <v>6</v>
      </c>
      <c r="U338" s="251">
        <f t="shared" si="134"/>
        <v>0.79892892029988272</v>
      </c>
      <c r="V338" s="383">
        <f t="shared" si="135"/>
        <v>20.439423451507899</v>
      </c>
      <c r="W338" s="402">
        <f t="shared" si="136"/>
        <v>13.538842433328986</v>
      </c>
      <c r="X338" s="157">
        <f t="shared" si="137"/>
        <v>45250</v>
      </c>
      <c r="Y338" s="385">
        <f t="shared" si="138"/>
        <v>12.459129680061681</v>
      </c>
      <c r="Z338" s="385">
        <f t="shared" si="139"/>
        <v>13.033604791416819</v>
      </c>
      <c r="AA338" s="386">
        <f t="shared" si="140"/>
        <v>14.92393358652909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0.1266642460013728</v>
      </c>
      <c r="AD338" s="231">
        <f>(INDEX(Models!$BJ338:$BT338,,AH338)*(1-AF338)+INDEX(Models!$BJ338:$BT338,,AH338+1)*AF338-ERP_i)*AE338*Ramure*Pc/MaxiM</f>
        <v>2.1235834920954144E-3</v>
      </c>
      <c r="AE338" s="305">
        <f t="shared" si="142"/>
        <v>0.7</v>
      </c>
      <c r="AF338" s="177">
        <f t="shared" si="143"/>
        <v>0.79892892029988272</v>
      </c>
      <c r="AG338" s="810">
        <f t="shared" si="149"/>
        <v>0</v>
      </c>
      <c r="AH338" s="176">
        <f t="shared" si="144"/>
        <v>6</v>
      </c>
      <c r="AI338" s="225">
        <f t="shared" si="145"/>
        <v>0.79892892029988272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3.1698190820562231</v>
      </c>
      <c r="C339" s="840"/>
      <c r="D339" s="393">
        <f t="shared" si="127"/>
        <v>3.3160527019296109</v>
      </c>
      <c r="E339" s="385">
        <f t="shared" si="125"/>
        <v>3.4946149700003204</v>
      </c>
      <c r="F339" s="385">
        <f t="shared" si="128"/>
        <v>3.4946149700003204</v>
      </c>
      <c r="G339" s="110">
        <f t="shared" si="126"/>
        <v>0.15652220751044985</v>
      </c>
      <c r="H339" s="414" t="b">
        <f>Wh_hp&gt;='2022'!Maxi_hp</f>
        <v>0</v>
      </c>
      <c r="I339" s="390">
        <f>IF(H339,Wh_hp,'2022'!Maxi_hp)</f>
        <v>22.83442232679824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4.4098701986338917E-2</v>
      </c>
      <c r="M339" s="844"/>
      <c r="N339" s="844"/>
      <c r="O339" s="48">
        <f>IF(t&lt;Tnet,'2022'!Resal+('2022'!Salim-'2022'!Resal)*(1-EXP(('2022'!Tnet-t)/('2022'!Tau_j))),Resal+(Salim-Resal)*(1-EXP((Tnet-t)/(Tau_j))))*Salcycl</f>
        <v>5.1096406786895143E-2</v>
      </c>
      <c r="P339" s="169">
        <f>(INDEX(Models!$BJ339:$BT339,,T339)*(1-R339)+INDEX(Models!$BJ339:$BT339,,T339+1)*R339-ERP_i)*Q339*Ramure*Pc/MaxiM</f>
        <v>2.0759714679304394E-3</v>
      </c>
      <c r="Q339" s="305">
        <f t="shared" si="130"/>
        <v>0.7</v>
      </c>
      <c r="R339" s="177">
        <f t="shared" si="131"/>
        <v>0.79894875777763075</v>
      </c>
      <c r="S339" s="810">
        <f t="shared" si="132"/>
        <v>0</v>
      </c>
      <c r="T339" s="176">
        <f t="shared" si="133"/>
        <v>6</v>
      </c>
      <c r="U339" s="251">
        <f t="shared" si="134"/>
        <v>0.79894875777763075</v>
      </c>
      <c r="V339" s="383">
        <f t="shared" si="135"/>
        <v>20.209519648336073</v>
      </c>
      <c r="W339" s="402">
        <f t="shared" si="136"/>
        <v>3.1698190820562231</v>
      </c>
      <c r="X339" s="157">
        <f t="shared" si="137"/>
        <v>45251</v>
      </c>
      <c r="Y339" s="385">
        <f t="shared" si="138"/>
        <v>2.9174108135928907</v>
      </c>
      <c r="Z339" s="385">
        <f t="shared" si="139"/>
        <v>3.0520000544566654</v>
      </c>
      <c r="AA339" s="386">
        <f t="shared" si="140"/>
        <v>3.4946149700003204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0.12665627525301149</v>
      </c>
      <c r="AD339" s="231">
        <f>(INDEX(Models!$BJ339:$BT339,,AH339)*(1-AF339)+INDEX(Models!$BJ339:$BT339,,AH339+1)*AF339-ERP_i)*AE339*Ramure*Pc/MaxiM</f>
        <v>2.0759714679304394E-3</v>
      </c>
      <c r="AE339" s="305">
        <f t="shared" si="142"/>
        <v>0.7</v>
      </c>
      <c r="AF339" s="177">
        <f t="shared" si="143"/>
        <v>0.79894875777763075</v>
      </c>
      <c r="AG339" s="810">
        <f t="shared" si="149"/>
        <v>0</v>
      </c>
      <c r="AH339" s="176">
        <f t="shared" si="144"/>
        <v>6</v>
      </c>
      <c r="AI339" s="225">
        <f t="shared" si="145"/>
        <v>0.79894875777763075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7.5088137410768949</v>
      </c>
      <c r="C340" s="840"/>
      <c r="D340" s="393">
        <f t="shared" si="127"/>
        <v>7.8554014957531546</v>
      </c>
      <c r="E340" s="385">
        <f t="shared" si="125"/>
        <v>8.2794126470992424</v>
      </c>
      <c r="F340" s="385">
        <f t="shared" si="128"/>
        <v>8.2812316126912275</v>
      </c>
      <c r="G340" s="110">
        <f t="shared" si="126"/>
        <v>0.37500824397160992</v>
      </c>
      <c r="H340" s="414" t="b">
        <f>Wh_hp&gt;='2022'!Maxi_hp</f>
        <v>0</v>
      </c>
      <c r="I340" s="390">
        <f>IF(H340,Wh_hp,'2022'!Maxi_hp)</f>
        <v>22.832707218785405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4.4120947206025662E-2</v>
      </c>
      <c r="M340" s="844"/>
      <c r="N340" s="844"/>
      <c r="O340" s="48">
        <f>IF(t&lt;Tnet,'2022'!Resal+('2022'!Salim-'2022'!Resal)*(1-EXP(('2022'!Tnet-t)/('2022'!Tau_j))),Resal+(Salim-Resal)*(1-EXP((Tnet-t)/(Tau_j))))*Salcycl</f>
        <v>5.1212709091706304E-2</v>
      </c>
      <c r="P340" s="169">
        <f>(INDEX(Models!$BJ340:$BT340,,T340)*(1-R340)+INDEX(Models!$BJ340:$BT340,,T340+1)*R340-ERP_i)*Q340*Ramure*Pc/MaxiM</f>
        <v>2.0313958279773755E-3</v>
      </c>
      <c r="Q340" s="305">
        <f t="shared" si="130"/>
        <v>0.7</v>
      </c>
      <c r="R340" s="177">
        <f t="shared" si="131"/>
        <v>0.79896779839048571</v>
      </c>
      <c r="S340" s="810">
        <f t="shared" si="132"/>
        <v>0</v>
      </c>
      <c r="T340" s="176">
        <f t="shared" si="133"/>
        <v>6</v>
      </c>
      <c r="U340" s="251">
        <f t="shared" si="134"/>
        <v>0.79896779839048571</v>
      </c>
      <c r="V340" s="383">
        <f t="shared" si="135"/>
        <v>19.986778436294809</v>
      </c>
      <c r="W340" s="402">
        <f t="shared" si="136"/>
        <v>7.5088137410768949</v>
      </c>
      <c r="X340" s="157">
        <f t="shared" si="137"/>
        <v>45252</v>
      </c>
      <c r="Y340" s="385">
        <f t="shared" si="138"/>
        <v>6.9117918890574748</v>
      </c>
      <c r="Z340" s="385">
        <f t="shared" si="139"/>
        <v>7.2308226326905505</v>
      </c>
      <c r="AA340" s="386">
        <f t="shared" si="140"/>
        <v>8.2794126470992424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0.12665029019613777</v>
      </c>
      <c r="AD340" s="231">
        <f>(INDEX(Models!$BJ340:$BT340,,AH340)*(1-AF340)+INDEX(Models!$BJ340:$BT340,,AH340+1)*AF340-ERP_i)*AE340*Ramure*Pc/MaxiM</f>
        <v>2.0313958279773755E-3</v>
      </c>
      <c r="AE340" s="305">
        <f t="shared" si="142"/>
        <v>0.7</v>
      </c>
      <c r="AF340" s="177">
        <f t="shared" si="143"/>
        <v>0.79896779839048571</v>
      </c>
      <c r="AG340" s="810">
        <f t="shared" si="149"/>
        <v>0</v>
      </c>
      <c r="AH340" s="176">
        <f t="shared" si="144"/>
        <v>6</v>
      </c>
      <c r="AI340" s="225">
        <f t="shared" si="145"/>
        <v>0.79896779839048571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12.006925560348794</v>
      </c>
      <c r="C341" s="840"/>
      <c r="D341" s="393">
        <f t="shared" si="127"/>
        <v>12.561427045036609</v>
      </c>
      <c r="E341" s="385">
        <f t="shared" si="125"/>
        <v>13.241086494348906</v>
      </c>
      <c r="F341" s="385">
        <f t="shared" si="128"/>
        <v>13.252662477156971</v>
      </c>
      <c r="G341" s="110">
        <f t="shared" si="126"/>
        <v>0.60659696109816874</v>
      </c>
      <c r="H341" s="414" t="b">
        <f>Wh_hp&gt;='2022'!Maxi_hp</f>
        <v>0</v>
      </c>
      <c r="I341" s="390">
        <f>IF(H341,Wh_hp,'2022'!Maxi_hp)</f>
        <v>22.481417216990419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4.4143191908033619E-2</v>
      </c>
      <c r="M341" s="844"/>
      <c r="N341" s="844"/>
      <c r="O341" s="48">
        <f>IF(t&lt;Tnet,'2022'!Resal+('2022'!Salim-'2022'!Resal)*(1-EXP(('2022'!Tnet-t)/('2022'!Tau_j))),Resal+(Salim-Resal)*(1-EXP((Tnet-t)/(Tau_j))))*Salcycl</f>
        <v>5.1329583082352408E-2</v>
      </c>
      <c r="P341" s="169">
        <f>(INDEX(Models!$BJ341:$BT341,,T341)*(1-R341)+INDEX(Models!$BJ341:$BT341,,T341+1)*R341-ERP_i)*Q341*Ramure*Pc/MaxiM</f>
        <v>1.9898705751979278E-3</v>
      </c>
      <c r="Q341" s="305">
        <f t="shared" si="130"/>
        <v>0.7</v>
      </c>
      <c r="R341" s="177">
        <f t="shared" si="131"/>
        <v>0.79898607407684541</v>
      </c>
      <c r="S341" s="810">
        <f t="shared" si="132"/>
        <v>0</v>
      </c>
      <c r="T341" s="176">
        <f t="shared" si="133"/>
        <v>6</v>
      </c>
      <c r="U341" s="251">
        <f t="shared" si="134"/>
        <v>0.79898607407684541</v>
      </c>
      <c r="V341" s="383">
        <f t="shared" si="135"/>
        <v>19.771792862458931</v>
      </c>
      <c r="W341" s="402">
        <f t="shared" si="136"/>
        <v>12.006925560348794</v>
      </c>
      <c r="X341" s="157">
        <f t="shared" si="137"/>
        <v>45253</v>
      </c>
      <c r="Y341" s="385">
        <f t="shared" si="138"/>
        <v>11.053672765846422</v>
      </c>
      <c r="Z341" s="385">
        <f t="shared" si="139"/>
        <v>11.564151316671804</v>
      </c>
      <c r="AA341" s="386">
        <f t="shared" si="140"/>
        <v>13.241086494348906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0.12664634268440081</v>
      </c>
      <c r="AD341" s="231">
        <f>(INDEX(Models!$BJ341:$BT341,,AH341)*(1-AF341)+INDEX(Models!$BJ341:$BT341,,AH341+1)*AF341-ERP_i)*AE341*Ramure*Pc/MaxiM</f>
        <v>1.9898705751979278E-3</v>
      </c>
      <c r="AE341" s="305">
        <f t="shared" si="142"/>
        <v>0.7</v>
      </c>
      <c r="AF341" s="177">
        <f t="shared" si="143"/>
        <v>0.79898607407684541</v>
      </c>
      <c r="AG341" s="810">
        <f t="shared" si="149"/>
        <v>0</v>
      </c>
      <c r="AH341" s="176">
        <f t="shared" si="144"/>
        <v>6</v>
      </c>
      <c r="AI341" s="225">
        <f t="shared" si="145"/>
        <v>0.79898607407684541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12.089561653195753</v>
      </c>
      <c r="C342" s="840"/>
      <c r="D342" s="393">
        <f t="shared" si="127"/>
        <v>12.648173763220521</v>
      </c>
      <c r="E342" s="385">
        <f t="shared" si="125"/>
        <v>13.334177921467848</v>
      </c>
      <c r="F342" s="385">
        <f t="shared" si="128"/>
        <v>13.346005939248936</v>
      </c>
      <c r="G342" s="110">
        <f t="shared" si="126"/>
        <v>0.61725412437935478</v>
      </c>
      <c r="H342" s="414" t="b">
        <f>Wh_hp&gt;='2022'!Maxi_hp</f>
        <v>0</v>
      </c>
      <c r="I342" s="390">
        <f>IF(H342,Wh_hp,'2022'!Maxi_hp)</f>
        <v>21.083338860152271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4.4165436092374777E-2</v>
      </c>
      <c r="M342" s="844"/>
      <c r="N342" s="844"/>
      <c r="O342" s="48">
        <f>IF(t&lt;Tnet,'2022'!Resal+('2022'!Salim-'2022'!Resal)*(1-EXP(('2022'!Tnet-t)/('2022'!Tau_j))),Resal+(Salim-Resal)*(1-EXP((Tnet-t)/(Tau_j))))*Salcycl</f>
        <v>5.1447053000760502E-2</v>
      </c>
      <c r="P342" s="169">
        <f>(INDEX(Models!$BJ342:$BT342,,T342)*(1-R342)+INDEX(Models!$BJ342:$BT342,,T342+1)*R342-ERP_i)*Q342*Ramure*Pc/MaxiM</f>
        <v>1.9514191634402939E-3</v>
      </c>
      <c r="Q342" s="305">
        <f t="shared" si="130"/>
        <v>0.7</v>
      </c>
      <c r="R342" s="177">
        <f t="shared" si="131"/>
        <v>0.7990036155006438</v>
      </c>
      <c r="S342" s="810">
        <f t="shared" si="132"/>
        <v>0</v>
      </c>
      <c r="T342" s="176">
        <f t="shared" si="133"/>
        <v>6</v>
      </c>
      <c r="U342" s="251">
        <f t="shared" si="134"/>
        <v>0.7990036155006438</v>
      </c>
      <c r="V342" s="383">
        <f t="shared" si="135"/>
        <v>19.565155474693704</v>
      </c>
      <c r="W342" s="402">
        <f t="shared" si="136"/>
        <v>12.089561653195753</v>
      </c>
      <c r="X342" s="157">
        <f t="shared" si="137"/>
        <v>45254</v>
      </c>
      <c r="Y342" s="385">
        <f t="shared" si="138"/>
        <v>11.131150326058851</v>
      </c>
      <c r="Z342" s="385">
        <f t="shared" si="139"/>
        <v>11.645477937680646</v>
      </c>
      <c r="AA342" s="386">
        <f t="shared" si="140"/>
        <v>13.334177921467848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0.12664447660237219</v>
      </c>
      <c r="AD342" s="231">
        <f>(INDEX(Models!$BJ342:$BT342,,AH342)*(1-AF342)+INDEX(Models!$BJ342:$BT342,,AH342+1)*AF342-ERP_i)*AE342*Ramure*Pc/MaxiM</f>
        <v>1.9514191634402939E-3</v>
      </c>
      <c r="AE342" s="305">
        <f t="shared" si="142"/>
        <v>0.7</v>
      </c>
      <c r="AF342" s="177">
        <f t="shared" si="143"/>
        <v>0.7990036155006438</v>
      </c>
      <c r="AG342" s="810">
        <f t="shared" si="149"/>
        <v>0</v>
      </c>
      <c r="AH342" s="176">
        <f t="shared" si="144"/>
        <v>6</v>
      </c>
      <c r="AI342" s="225">
        <f t="shared" si="145"/>
        <v>0.7990036155006438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4.9187872690112098</v>
      </c>
      <c r="C343" s="840"/>
      <c r="D343" s="393">
        <f t="shared" si="127"/>
        <v>5.1461852550418001</v>
      </c>
      <c r="E343" s="385">
        <f t="shared" si="125"/>
        <v>5.4259764922058062</v>
      </c>
      <c r="F343" s="385">
        <f t="shared" si="128"/>
        <v>5.4259764922058062</v>
      </c>
      <c r="G343" s="110">
        <f t="shared" si="126"/>
        <v>0.25348512081684249</v>
      </c>
      <c r="H343" s="414" t="b">
        <f>Wh_hp&gt;='2022'!Maxi_hp</f>
        <v>0</v>
      </c>
      <c r="I343" s="390">
        <f>IF(H343,Wh_hp,'2022'!Maxi_hp)</f>
        <v>19.914924416032331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4.4187679759061349E-2</v>
      </c>
      <c r="M343" s="844"/>
      <c r="N343" s="844"/>
      <c r="O343" s="48">
        <f>IF(t&lt;Tnet,'2022'!Resal+('2022'!Salim-'2022'!Resal)*(1-EXP(('2022'!Tnet-t)/('2022'!Tau_j))),Resal+(Salim-Resal)*(1-EXP((Tnet-t)/(Tau_j))))*Salcycl</f>
        <v>5.1565139945946074E-2</v>
      </c>
      <c r="P343" s="169">
        <f>(INDEX(Models!$BJ343:$BT343,,T343)*(1-R343)+INDEX(Models!$BJ343:$BT343,,T343+1)*R343-ERP_i)*Q343*Ramure*Pc/MaxiM</f>
        <v>1.9160746279916969E-3</v>
      </c>
      <c r="Q343" s="305">
        <f t="shared" si="130"/>
        <v>0.7</v>
      </c>
      <c r="R343" s="177">
        <f t="shared" si="131"/>
        <v>0.79902045210176165</v>
      </c>
      <c r="S343" s="810">
        <f t="shared" si="132"/>
        <v>0</v>
      </c>
      <c r="T343" s="176">
        <f t="shared" si="133"/>
        <v>6</v>
      </c>
      <c r="U343" s="251">
        <f t="shared" si="134"/>
        <v>0.79902045210176165</v>
      </c>
      <c r="V343" s="383">
        <f t="shared" si="135"/>
        <v>19.367458293821766</v>
      </c>
      <c r="W343" s="402">
        <f t="shared" si="136"/>
        <v>4.9187872690112098</v>
      </c>
      <c r="X343" s="157">
        <f t="shared" si="137"/>
        <v>45255</v>
      </c>
      <c r="Y343" s="385">
        <f t="shared" si="138"/>
        <v>4.5294083708465287</v>
      </c>
      <c r="Z343" s="385">
        <f t="shared" si="139"/>
        <v>4.7388051764228853</v>
      </c>
      <c r="AA343" s="386">
        <f t="shared" si="140"/>
        <v>5.4259764922058062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0.1266447277775741</v>
      </c>
      <c r="AD343" s="231">
        <f>(INDEX(Models!$BJ343:$BT343,,AH343)*(1-AF343)+INDEX(Models!$BJ343:$BT343,,AH343+1)*AF343-ERP_i)*AE343*Ramure*Pc/MaxiM</f>
        <v>1.9160746279916969E-3</v>
      </c>
      <c r="AE343" s="305">
        <f t="shared" si="142"/>
        <v>0.7</v>
      </c>
      <c r="AF343" s="177">
        <f t="shared" si="143"/>
        <v>0.79902045210176165</v>
      </c>
      <c r="AG343" s="810">
        <f t="shared" si="149"/>
        <v>0</v>
      </c>
      <c r="AH343" s="176">
        <f t="shared" si="144"/>
        <v>6</v>
      </c>
      <c r="AI343" s="225">
        <f t="shared" si="145"/>
        <v>0.79902045210176165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11.040625482962657</v>
      </c>
      <c r="C344" s="840"/>
      <c r="D344" s="393">
        <f t="shared" si="127"/>
        <v>11.551307915389827</v>
      </c>
      <c r="E344" s="385">
        <f t="shared" si="125"/>
        <v>12.180861898609155</v>
      </c>
      <c r="F344" s="385">
        <f t="shared" si="128"/>
        <v>12.189904973963465</v>
      </c>
      <c r="G344" s="110">
        <f t="shared" si="126"/>
        <v>0.57499551759937051</v>
      </c>
      <c r="H344" s="414" t="b">
        <f>Wh_hp&gt;='2022'!Maxi_hp</f>
        <v>0</v>
      </c>
      <c r="I344" s="390">
        <f>IF(H344,Wh_hp,'2022'!Maxi_hp)</f>
        <v>21.504267084607424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4.4209922908105326E-2</v>
      </c>
      <c r="M344" s="844"/>
      <c r="N344" s="844"/>
      <c r="O344" s="48">
        <f>IF(t&lt;Tnet,'2022'!Resal+('2022'!Salim-'2022'!Resal)*(1-EXP(('2022'!Tnet-t)/('2022'!Tau_j))),Resal+(Salim-Resal)*(1-EXP((Tnet-t)/(Tau_j))))*Salcycl</f>
        <v>5.1683861820255299E-2</v>
      </c>
      <c r="P344" s="169">
        <f>(INDEX(Models!$BJ344:$BT344,,T344)*(1-R344)+INDEX(Models!$BJ344:$BT344,,T344+1)*R344-ERP_i)*Q344*Ramure*Pc/MaxiM</f>
        <v>1.8838681179654839E-3</v>
      </c>
      <c r="Q344" s="305">
        <f t="shared" si="130"/>
        <v>0.7</v>
      </c>
      <c r="R344" s="177">
        <f t="shared" si="131"/>
        <v>0.79903661214448041</v>
      </c>
      <c r="S344" s="810">
        <f t="shared" si="132"/>
        <v>0</v>
      </c>
      <c r="T344" s="176">
        <f t="shared" si="133"/>
        <v>6</v>
      </c>
      <c r="U344" s="251">
        <f t="shared" si="134"/>
        <v>0.79903661214448041</v>
      </c>
      <c r="V344" s="383">
        <f t="shared" si="135"/>
        <v>19.17929302983805</v>
      </c>
      <c r="W344" s="402">
        <f t="shared" si="136"/>
        <v>11.040625482962657</v>
      </c>
      <c r="X344" s="157">
        <f t="shared" si="137"/>
        <v>45256</v>
      </c>
      <c r="Y344" s="385">
        <f t="shared" si="138"/>
        <v>10.16787717809982</v>
      </c>
      <c r="Z344" s="385">
        <f t="shared" si="139"/>
        <v>10.638190772012196</v>
      </c>
      <c r="AA344" s="386">
        <f t="shared" si="140"/>
        <v>12.180861898609155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0.12664712394228075</v>
      </c>
      <c r="AD344" s="231">
        <f>(INDEX(Models!$BJ344:$BT344,,AH344)*(1-AF344)+INDEX(Models!$BJ344:$BT344,,AH344+1)*AF344-ERP_i)*AE344*Ramure*Pc/MaxiM</f>
        <v>1.8838681179654839E-3</v>
      </c>
      <c r="AE344" s="305">
        <f t="shared" si="142"/>
        <v>0.7</v>
      </c>
      <c r="AF344" s="177">
        <f t="shared" si="143"/>
        <v>0.79903661214448041</v>
      </c>
      <c r="AG344" s="810">
        <f t="shared" si="149"/>
        <v>0</v>
      </c>
      <c r="AH344" s="176">
        <f t="shared" si="144"/>
        <v>6</v>
      </c>
      <c r="AI344" s="225">
        <f t="shared" si="145"/>
        <v>0.79903661214448041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12.441864553481009</v>
      </c>
      <c r="C345" s="840"/>
      <c r="D345" s="393">
        <f t="shared" si="127"/>
        <v>13.01766402350659</v>
      </c>
      <c r="E345" s="385">
        <f t="shared" si="125"/>
        <v>13.728863544595699</v>
      </c>
      <c r="F345" s="385">
        <f t="shared" si="128"/>
        <v>13.741787303334915</v>
      </c>
      <c r="G345" s="110">
        <f t="shared" si="126"/>
        <v>0.65428055720513323</v>
      </c>
      <c r="H345" s="414" t="b">
        <f>Wh_hp&gt;='2022'!Maxi_hp</f>
        <v>0</v>
      </c>
      <c r="I345" s="390">
        <f>IF(H345,Wh_hp,'2022'!Maxi_hp)</f>
        <v>18.227231813309963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4.4232165539518697E-2</v>
      </c>
      <c r="M345" s="844"/>
      <c r="N345" s="844"/>
      <c r="O345" s="48">
        <f>IF(t&lt;Tnet,'2022'!Resal+('2022'!Salim-'2022'!Resal)*(1-EXP(('2022'!Tnet-t)/('2022'!Tau_j))),Resal+(Salim-Resal)*(1-EXP((Tnet-t)/(Tau_j))))*Salcycl</f>
        <v>5.180323329596126E-2</v>
      </c>
      <c r="P345" s="169">
        <f>(INDEX(Models!$BJ345:$BT345,,T345)*(1-R345)+INDEX(Models!$BJ345:$BT345,,T345+1)*R345-ERP_i)*Q345*Ramure*Pc/MaxiM</f>
        <v>1.8550774214989205E-3</v>
      </c>
      <c r="Q345" s="305">
        <f t="shared" si="130"/>
        <v>0.7</v>
      </c>
      <c r="R345" s="177">
        <f t="shared" si="131"/>
        <v>0.7990521227640488</v>
      </c>
      <c r="S345" s="810">
        <f t="shared" si="132"/>
        <v>0</v>
      </c>
      <c r="T345" s="176">
        <f t="shared" si="133"/>
        <v>6</v>
      </c>
      <c r="U345" s="251">
        <f t="shared" si="134"/>
        <v>0.7990521227640488</v>
      </c>
      <c r="V345" s="383">
        <f t="shared" si="135"/>
        <v>18.998691464992021</v>
      </c>
      <c r="W345" s="402">
        <f t="shared" si="136"/>
        <v>12.441864553481009</v>
      </c>
      <c r="X345" s="157">
        <f t="shared" si="137"/>
        <v>45257</v>
      </c>
      <c r="Y345" s="385">
        <f t="shared" si="138"/>
        <v>11.459732650411761</v>
      </c>
      <c r="Z345" s="385">
        <f t="shared" si="139"/>
        <v>11.990079847037991</v>
      </c>
      <c r="AA345" s="386">
        <f t="shared" si="140"/>
        <v>13.728863544595699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0.12665168474503269</v>
      </c>
      <c r="AD345" s="231">
        <f>(INDEX(Models!$BJ345:$BT345,,AH345)*(1-AF345)+INDEX(Models!$BJ345:$BT345,,AH345+1)*AF345-ERP_i)*AE345*Ramure*Pc/MaxiM</f>
        <v>1.8550774214989205E-3</v>
      </c>
      <c r="AE345" s="305">
        <f t="shared" si="142"/>
        <v>0.7</v>
      </c>
      <c r="AF345" s="177">
        <f t="shared" si="143"/>
        <v>0.7990521227640488</v>
      </c>
      <c r="AG345" s="810">
        <f t="shared" si="149"/>
        <v>0</v>
      </c>
      <c r="AH345" s="176">
        <f t="shared" si="144"/>
        <v>6</v>
      </c>
      <c r="AI345" s="225">
        <f t="shared" si="145"/>
        <v>0.7990521227640488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10.563038086668058</v>
      </c>
      <c r="C346" s="840"/>
      <c r="D346" s="393">
        <f t="shared" si="127"/>
        <v>11.052144180683211</v>
      </c>
      <c r="E346" s="385">
        <f t="shared" si="125"/>
        <v>11.657436346686184</v>
      </c>
      <c r="F346" s="385">
        <f t="shared" si="128"/>
        <v>11.665403392016593</v>
      </c>
      <c r="G346" s="110">
        <f t="shared" si="126"/>
        <v>0.56051458475713367</v>
      </c>
      <c r="H346" s="414" t="b">
        <f>Wh_hp&gt;='2022'!Maxi_hp</f>
        <v>0</v>
      </c>
      <c r="I346" s="390">
        <f>IF(H346,Wh_hp,'2022'!Maxi_hp)</f>
        <v>13.863925920515646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4.4254407653313566E-2</v>
      </c>
      <c r="M346" s="844"/>
      <c r="N346" s="844"/>
      <c r="O346" s="48">
        <f>IF(t&lt;Tnet,'2022'!Resal+('2022'!Salim-'2022'!Resal)*(1-EXP(('2022'!Tnet-t)/('2022'!Tau_j))),Resal+(Salim-Resal)*(1-EXP((Tnet-t)/(Tau_j))))*Salcycl</f>
        <v>5.1923265802350974E-2</v>
      </c>
      <c r="P346" s="169">
        <f>(INDEX(Models!$BJ346:$BT346,,T346)*(1-R346)+INDEX(Models!$BJ346:$BT346,,T346+1)*R346-ERP_i)*Q346*Ramure*Pc/MaxiM</f>
        <v>1.8305876542374663E-3</v>
      </c>
      <c r="Q346" s="305">
        <f t="shared" si="130"/>
        <v>0.7</v>
      </c>
      <c r="R346" s="177">
        <f t="shared" si="131"/>
        <v>0.79906701001143665</v>
      </c>
      <c r="S346" s="810">
        <f t="shared" si="132"/>
        <v>0</v>
      </c>
      <c r="T346" s="176">
        <f t="shared" si="133"/>
        <v>6</v>
      </c>
      <c r="U346" s="251">
        <f t="shared" si="134"/>
        <v>0.79906701001143665</v>
      </c>
      <c r="V346" s="383">
        <f t="shared" si="135"/>
        <v>18.823609040110497</v>
      </c>
      <c r="W346" s="402">
        <f t="shared" si="136"/>
        <v>10.563038086668058</v>
      </c>
      <c r="X346" s="157">
        <f t="shared" si="137"/>
        <v>45258</v>
      </c>
      <c r="Y346" s="385">
        <f t="shared" si="138"/>
        <v>9.7303731020084943</v>
      </c>
      <c r="Z346" s="385">
        <f t="shared" si="139"/>
        <v>10.180923856647938</v>
      </c>
      <c r="AA346" s="386">
        <f t="shared" si="140"/>
        <v>11.657436346686184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0.12665842181141035</v>
      </c>
      <c r="AD346" s="231">
        <f>(INDEX(Models!$BJ346:$BT346,,AH346)*(1-AF346)+INDEX(Models!$BJ346:$BT346,,AH346+1)*AF346-ERP_i)*AE346*Ramure*Pc/MaxiM</f>
        <v>1.8305876542374663E-3</v>
      </c>
      <c r="AE346" s="305">
        <f t="shared" si="142"/>
        <v>0.7</v>
      </c>
      <c r="AF346" s="177">
        <f t="shared" si="143"/>
        <v>0.79906701001143665</v>
      </c>
      <c r="AG346" s="810">
        <f t="shared" si="149"/>
        <v>0</v>
      </c>
      <c r="AH346" s="176">
        <f t="shared" si="144"/>
        <v>6</v>
      </c>
      <c r="AI346" s="225">
        <f t="shared" si="145"/>
        <v>0.79906701001143665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14.194753073448274</v>
      </c>
      <c r="C347" s="840"/>
      <c r="D347" s="393">
        <f t="shared" si="127"/>
        <v>14.852366076753906</v>
      </c>
      <c r="E347" s="385">
        <f t="shared" si="125"/>
        <v>15.667779483512319</v>
      </c>
      <c r="F347" s="385">
        <f t="shared" si="128"/>
        <v>15.686443245663218</v>
      </c>
      <c r="G347" s="110">
        <f t="shared" si="126"/>
        <v>0.7604547200169699</v>
      </c>
      <c r="H347" s="414" t="b">
        <f>Wh_hp&gt;='2022'!Maxi_hp</f>
        <v>0</v>
      </c>
      <c r="I347" s="390">
        <f>IF(H347,Wh_hp,'2022'!Maxi_hp)</f>
        <v>20.020068183984399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4.4276649249501809E-2</v>
      </c>
      <c r="M347" s="844"/>
      <c r="N347" s="844"/>
      <c r="O347" s="48">
        <f>IF(t&lt;Tnet,'2022'!Resal+('2022'!Salim-'2022'!Resal)*(1-EXP(('2022'!Tnet-t)/('2022'!Tau_j))),Resal+(Salim-Resal)*(1-EXP((Tnet-t)/(Tau_j))))*Salcycl</f>
        <v>5.2043967533274109E-2</v>
      </c>
      <c r="P347" s="169">
        <f>(INDEX(Models!$BJ347:$BT347,,T347)*(1-R347)+INDEX(Models!$BJ347:$BT347,,T347+1)*R347-ERP_i)*Q347*Ramure*Pc/MaxiM</f>
        <v>1.8069353131805958E-3</v>
      </c>
      <c r="Q347" s="305">
        <f t="shared" si="130"/>
        <v>0.7</v>
      </c>
      <c r="R347" s="177">
        <f t="shared" si="131"/>
        <v>0.79908129889633994</v>
      </c>
      <c r="S347" s="810">
        <f t="shared" si="132"/>
        <v>0</v>
      </c>
      <c r="T347" s="176">
        <f t="shared" si="133"/>
        <v>6</v>
      </c>
      <c r="U347" s="251">
        <f t="shared" si="134"/>
        <v>0.79908129889633994</v>
      </c>
      <c r="V347" s="383">
        <f t="shared" si="135"/>
        <v>18.65460521244206</v>
      </c>
      <c r="W347" s="402">
        <f t="shared" si="136"/>
        <v>14.194753073448274</v>
      </c>
      <c r="X347" s="157">
        <f t="shared" si="137"/>
        <v>45259</v>
      </c>
      <c r="Y347" s="385">
        <f t="shared" si="138"/>
        <v>13.077338031910305</v>
      </c>
      <c r="Z347" s="385">
        <f t="shared" si="139"/>
        <v>13.683183550596624</v>
      </c>
      <c r="AA347" s="386">
        <f t="shared" si="140"/>
        <v>15.667779483512319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0.12666733885322709</v>
      </c>
      <c r="AD347" s="231">
        <f>(INDEX(Models!$BJ347:$BT347,,AH347)*(1-AF347)+INDEX(Models!$BJ347:$BT347,,AH347+1)*AF347-ERP_i)*AE347*Ramure*Pc/MaxiM</f>
        <v>1.8069353131805958E-3</v>
      </c>
      <c r="AE347" s="305">
        <f t="shared" si="142"/>
        <v>0.7</v>
      </c>
      <c r="AF347" s="177">
        <f t="shared" si="143"/>
        <v>0.79908129889633994</v>
      </c>
      <c r="AG347" s="810">
        <f t="shared" si="149"/>
        <v>0</v>
      </c>
      <c r="AH347" s="176">
        <f t="shared" si="144"/>
        <v>6</v>
      </c>
      <c r="AI347" s="225">
        <f t="shared" si="145"/>
        <v>0.79908129889633994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4.0027301597971938</v>
      </c>
      <c r="C348" s="840"/>
      <c r="D348" s="393">
        <f t="shared" si="127"/>
        <v>4.1882656819048227</v>
      </c>
      <c r="E348" s="385">
        <f t="shared" si="125"/>
        <v>4.418772465294615</v>
      </c>
      <c r="F348" s="385">
        <f t="shared" si="128"/>
        <v>4.418772465294615</v>
      </c>
      <c r="G348" s="110">
        <f t="shared" si="126"/>
        <v>0.21606919220448589</v>
      </c>
      <c r="H348" s="414" t="b">
        <f>Wh_hp&gt;='2022'!Maxi_hp</f>
        <v>0</v>
      </c>
      <c r="I348" s="390">
        <f>IF(H348,Wh_hp,'2022'!Maxi_hp)</f>
        <v>19.556605009076051</v>
      </c>
      <c r="J348" s="85">
        <f>IF(H348,An,'2022'!An_max)</f>
        <v>2021</v>
      </c>
      <c r="K348" s="197">
        <f t="shared" si="129"/>
        <v>45260</v>
      </c>
      <c r="L348" s="147">
        <f>IF(t&lt;Tvie,1-EXP((T0-t)*PertePVj)+'2022'!Pspv,1-EXP((T0-t)*PertePVj)+Pspv)</f>
        <v>4.4298890328095752E-2</v>
      </c>
      <c r="M348" s="844"/>
      <c r="N348" s="844"/>
      <c r="O348" s="48">
        <f>IF(t&lt;Tnet,'2022'!Resal+('2022'!Salim-'2022'!Resal)*(1-EXP(('2022'!Tnet-t)/('2022'!Tau_j))),Resal+(Salim-Resal)*(1-EXP((Tnet-t)/(Tau_j))))*Salcycl</f>
        <v>5.2165343474960678E-2</v>
      </c>
      <c r="P348" s="169">
        <f>(INDEX(Models!$BJ348:$BT348,,T348)*(1-R348)+INDEX(Models!$BJ348:$BT348,,T348+1)*R348-ERP_i)*Q348*Ramure*Pc/MaxiM</f>
        <v>1.7840950202398841E-3</v>
      </c>
      <c r="Q348" s="305">
        <f t="shared" si="130"/>
        <v>0.7</v>
      </c>
      <c r="R348" s="177">
        <f t="shared" si="131"/>
        <v>0.79909501342850719</v>
      </c>
      <c r="S348" s="810">
        <f t="shared" si="132"/>
        <v>0</v>
      </c>
      <c r="T348" s="176">
        <f t="shared" si="133"/>
        <v>6</v>
      </c>
      <c r="U348" s="251">
        <f t="shared" si="134"/>
        <v>0.79909501342850719</v>
      </c>
      <c r="V348" s="383">
        <f t="shared" si="135"/>
        <v>18.492173123275929</v>
      </c>
      <c r="W348" s="402">
        <f t="shared" si="136"/>
        <v>4.0027301597971938</v>
      </c>
      <c r="X348" s="157">
        <f t="shared" si="137"/>
        <v>45260</v>
      </c>
      <c r="Y348" s="385">
        <f t="shared" si="138"/>
        <v>3.6880594690973054</v>
      </c>
      <c r="Z348" s="385">
        <f t="shared" si="139"/>
        <v>3.859009298799946</v>
      </c>
      <c r="AA348" s="386">
        <f t="shared" si="140"/>
        <v>4.418772465294615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0.12667843182492261</v>
      </c>
      <c r="AD348" s="231">
        <f>(INDEX(Models!$BJ348:$BT348,,AH348)*(1-AF348)+INDEX(Models!$BJ348:$BT348,,AH348+1)*AF348-ERP_i)*AE348*Ramure*Pc/MaxiM</f>
        <v>1.7840950202398841E-3</v>
      </c>
      <c r="AE348" s="305">
        <f t="shared" si="142"/>
        <v>0.7</v>
      </c>
      <c r="AF348" s="177">
        <f t="shared" si="143"/>
        <v>0.79909501342850719</v>
      </c>
      <c r="AG348" s="810">
        <f t="shared" si="149"/>
        <v>0</v>
      </c>
      <c r="AH348" s="176">
        <f t="shared" si="144"/>
        <v>6</v>
      </c>
      <c r="AI348" s="225">
        <f t="shared" si="145"/>
        <v>0.79909501342850719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3.7926817673965711</v>
      </c>
      <c r="C349" s="840"/>
      <c r="D349" s="393">
        <f t="shared" si="127"/>
        <v>3.9685734298227802</v>
      </c>
      <c r="E349" s="385">
        <f t="shared" si="125"/>
        <v>4.1875283823231166</v>
      </c>
      <c r="F349" s="385">
        <f t="shared" si="128"/>
        <v>4.1875283823231166</v>
      </c>
      <c r="G349" s="110">
        <f t="shared" si="126"/>
        <v>0.20646992602920655</v>
      </c>
      <c r="H349" s="414" t="b">
        <f>Wh_hp&gt;='2022'!Maxi_hp</f>
        <v>0</v>
      </c>
      <c r="I349" s="390">
        <f>IF(H349,Wh_hp,'2022'!Maxi_hp)</f>
        <v>20.229052187489842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4.4321130889107274E-2</v>
      </c>
      <c r="M349" s="844"/>
      <c r="N349" s="844"/>
      <c r="O349" s="48">
        <f>IF(t&lt;Tnet,'2022'!Resal+('2022'!Salim-'2022'!Resal)*(1-EXP(('2022'!Tnet-t)/('2022'!Tau_j))),Resal+(Salim-Resal)*(1-EXP((Tnet-t)/(Tau_j))))*Salcycl</f>
        <v>5.2287395453751329E-2</v>
      </c>
      <c r="P349" s="169">
        <f>(INDEX(Models!$BJ349:$BT349,,T349)*(1-R349)+INDEX(Models!$BJ349:$BT349,,T349+1)*R349-ERP_i)*Q349*Ramure*Pc/MaxiM</f>
        <v>1.7620411948109356E-3</v>
      </c>
      <c r="Q349" s="305">
        <f t="shared" si="130"/>
        <v>0.7</v>
      </c>
      <c r="R349" s="177">
        <f t="shared" si="131"/>
        <v>0.7991081766574476</v>
      </c>
      <c r="S349" s="810">
        <f t="shared" si="132"/>
        <v>0</v>
      </c>
      <c r="T349" s="176">
        <f t="shared" si="133"/>
        <v>6</v>
      </c>
      <c r="U349" s="251">
        <f t="shared" si="134"/>
        <v>0.7991081766574476</v>
      </c>
      <c r="V349" s="383">
        <f t="shared" si="135"/>
        <v>18.336805648625337</v>
      </c>
      <c r="W349" s="402">
        <f t="shared" si="136"/>
        <v>3.7926817673965711</v>
      </c>
      <c r="X349" s="157">
        <f t="shared" si="137"/>
        <v>45261</v>
      </c>
      <c r="Y349" s="385">
        <f t="shared" si="138"/>
        <v>3.4949208146863975</v>
      </c>
      <c r="Z349" s="385">
        <f t="shared" si="139"/>
        <v>3.6570033383053304</v>
      </c>
      <c r="AA349" s="386">
        <f t="shared" si="140"/>
        <v>4.1875283823231166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0.12669168912557116</v>
      </c>
      <c r="AD349" s="231">
        <f>(INDEX(Models!$BJ349:$BT349,,AH349)*(1-AF349)+INDEX(Models!$BJ349:$BT349,,AH349+1)*AF349-ERP_i)*AE349*Ramure*Pc/MaxiM</f>
        <v>1.7620411948109356E-3</v>
      </c>
      <c r="AE349" s="305">
        <f t="shared" si="142"/>
        <v>0.7</v>
      </c>
      <c r="AF349" s="177">
        <f t="shared" si="143"/>
        <v>0.7991081766574476</v>
      </c>
      <c r="AG349" s="810">
        <f t="shared" si="149"/>
        <v>0</v>
      </c>
      <c r="AH349" s="176">
        <f t="shared" si="144"/>
        <v>6</v>
      </c>
      <c r="AI349" s="225">
        <f t="shared" si="145"/>
        <v>0.7991081766574476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5.7293429430654053</v>
      </c>
      <c r="C350" s="840"/>
      <c r="D350" s="393">
        <f t="shared" si="127"/>
        <v>5.9951898713413527</v>
      </c>
      <c r="E350" s="385">
        <f t="shared" si="125"/>
        <v>6.326777028560775</v>
      </c>
      <c r="F350" s="385">
        <f t="shared" si="128"/>
        <v>6.3270128722977494</v>
      </c>
      <c r="G350" s="110">
        <f t="shared" si="126"/>
        <v>0.31445292482543286</v>
      </c>
      <c r="H350" s="414" t="b">
        <f>Wh_hp&gt;='2022'!Maxi_hp</f>
        <v>0</v>
      </c>
      <c r="I350" s="390">
        <f>IF(H350,Wh_hp,'2022'!Maxi_hp)</f>
        <v>9.3592865081560959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4.4343370932548476E-2</v>
      </c>
      <c r="M350" s="844"/>
      <c r="N350" s="844"/>
      <c r="O350" s="48">
        <f>IF(t&lt;Tnet,'2022'!Resal+('2022'!Salim-'2022'!Resal)*(1-EXP(('2022'!Tnet-t)/('2022'!Tau_j))),Resal+(Salim-Resal)*(1-EXP((Tnet-t)/(Tau_j))))*Salcycl</f>
        <v>5.2410122203224309E-2</v>
      </c>
      <c r="P350" s="169">
        <f>(INDEX(Models!$BJ350:$BT350,,T350)*(1-R350)+INDEX(Models!$BJ350:$BT350,,T350+1)*R350-ERP_i)*Q350*Ramure*Pc/MaxiM</f>
        <v>1.7407480656144187E-3</v>
      </c>
      <c r="Q350" s="305">
        <f t="shared" si="130"/>
        <v>0.7</v>
      </c>
      <c r="R350" s="177">
        <f t="shared" si="131"/>
        <v>0.79912081071058516</v>
      </c>
      <c r="S350" s="810">
        <f t="shared" si="132"/>
        <v>0</v>
      </c>
      <c r="T350" s="176">
        <f t="shared" si="133"/>
        <v>6</v>
      </c>
      <c r="U350" s="251">
        <f t="shared" si="134"/>
        <v>0.79912081071058516</v>
      </c>
      <c r="V350" s="383">
        <f t="shared" si="135"/>
        <v>18.188995395607808</v>
      </c>
      <c r="W350" s="402">
        <f t="shared" si="136"/>
        <v>5.7293429430654053</v>
      </c>
      <c r="X350" s="157">
        <f t="shared" si="137"/>
        <v>45262</v>
      </c>
      <c r="Y350" s="385">
        <f t="shared" si="138"/>
        <v>5.2801266431873461</v>
      </c>
      <c r="Z350" s="385">
        <f t="shared" si="139"/>
        <v>5.52512951052283</v>
      </c>
      <c r="AA350" s="386">
        <f t="shared" si="140"/>
        <v>6.326777028560775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0.1267070918445668</v>
      </c>
      <c r="AD350" s="231">
        <f>(INDEX(Models!$BJ350:$BT350,,AH350)*(1-AF350)+INDEX(Models!$BJ350:$BT350,,AH350+1)*AF350-ERP_i)*AE350*Ramure*Pc/MaxiM</f>
        <v>1.7407480656144187E-3</v>
      </c>
      <c r="AE350" s="305">
        <f t="shared" si="142"/>
        <v>0.7</v>
      </c>
      <c r="AF350" s="177">
        <f t="shared" si="143"/>
        <v>0.79912081071058516</v>
      </c>
      <c r="AG350" s="810">
        <f t="shared" si="149"/>
        <v>0</v>
      </c>
      <c r="AH350" s="176">
        <f t="shared" si="144"/>
        <v>6</v>
      </c>
      <c r="AI350" s="225">
        <f t="shared" si="145"/>
        <v>0.79912081071058516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7.7847155923178235</v>
      </c>
      <c r="C351" s="840"/>
      <c r="D351" s="393">
        <f t="shared" si="127"/>
        <v>8.1461233265708053</v>
      </c>
      <c r="E351" s="385">
        <f t="shared" si="125"/>
        <v>8.5977957994275869</v>
      </c>
      <c r="F351" s="385">
        <f t="shared" si="128"/>
        <v>8.6005709406711972</v>
      </c>
      <c r="G351" s="110">
        <f t="shared" si="126"/>
        <v>0.43070151820388813</v>
      </c>
      <c r="H351" s="414" t="b">
        <f>Wh_hp&gt;='2022'!Maxi_hp</f>
        <v>0</v>
      </c>
      <c r="I351" s="390">
        <f>IF(H351,Wh_hp,'2022'!Maxi_hp)</f>
        <v>13.44927584857693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4.4365610458431348E-2</v>
      </c>
      <c r="M351" s="844"/>
      <c r="N351" s="844"/>
      <c r="O351" s="48">
        <f>IF(t&lt;Tnet,'2022'!Resal+('2022'!Salim-'2022'!Resal)*(1-EXP(('2022'!Tnet-t)/('2022'!Tau_j))),Resal+(Salim-Resal)*(1-EXP((Tnet-t)/(Tau_j))))*Salcycl</f>
        <v>5.2533519450049276E-2</v>
      </c>
      <c r="P351" s="169">
        <f>(INDEX(Models!$BJ351:$BT351,,T351)*(1-R351)+INDEX(Models!$BJ351:$BT351,,T351+1)*R351-ERP_i)*Q351*Ramure*Pc/MaxiM</f>
        <v>1.7201896888788977E-3</v>
      </c>
      <c r="Q351" s="305">
        <f t="shared" si="130"/>
        <v>0.7</v>
      </c>
      <c r="R351" s="177">
        <f t="shared" si="131"/>
        <v>0.79913293682991526</v>
      </c>
      <c r="S351" s="810">
        <f t="shared" si="132"/>
        <v>0</v>
      </c>
      <c r="T351" s="176">
        <f t="shared" si="133"/>
        <v>6</v>
      </c>
      <c r="U351" s="251">
        <f t="shared" si="134"/>
        <v>0.79913293682991526</v>
      </c>
      <c r="V351" s="383">
        <f t="shared" si="135"/>
        <v>18.0492346889434</v>
      </c>
      <c r="W351" s="402">
        <f t="shared" si="136"/>
        <v>7.7847155923178235</v>
      </c>
      <c r="X351" s="157">
        <f t="shared" si="137"/>
        <v>45263</v>
      </c>
      <c r="Y351" s="385">
        <f t="shared" si="138"/>
        <v>7.1751356411641698</v>
      </c>
      <c r="Z351" s="385">
        <f t="shared" si="139"/>
        <v>7.5082434450754585</v>
      </c>
      <c r="AA351" s="386">
        <f t="shared" si="140"/>
        <v>8.5977957994275869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0.12672461404871543</v>
      </c>
      <c r="AD351" s="231">
        <f>(INDEX(Models!$BJ351:$BT351,,AH351)*(1-AF351)+INDEX(Models!$BJ351:$BT351,,AH351+1)*AF351-ERP_i)*AE351*Ramure*Pc/MaxiM</f>
        <v>1.7201896888788977E-3</v>
      </c>
      <c r="AE351" s="305">
        <f t="shared" si="142"/>
        <v>0.7</v>
      </c>
      <c r="AF351" s="177">
        <f t="shared" si="143"/>
        <v>0.79913293682991526</v>
      </c>
      <c r="AG351" s="810">
        <f t="shared" si="149"/>
        <v>0</v>
      </c>
      <c r="AH351" s="176">
        <f t="shared" si="144"/>
        <v>6</v>
      </c>
      <c r="AI351" s="225">
        <f t="shared" si="145"/>
        <v>0.79913293682991526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14.484263818503759</v>
      </c>
      <c r="C352" s="840"/>
      <c r="D352" s="393">
        <f t="shared" si="127"/>
        <v>15.157052796389763</v>
      </c>
      <c r="E352" s="385">
        <f t="shared" si="125"/>
        <v>15.999550401927237</v>
      </c>
      <c r="F352" s="385">
        <f t="shared" si="128"/>
        <v>16.019348973277985</v>
      </c>
      <c r="G352" s="110">
        <f t="shared" si="126"/>
        <v>0.8079872798656097</v>
      </c>
      <c r="H352" s="414" t="b">
        <f>Wh_hp&gt;='2022'!Maxi_hp</f>
        <v>0</v>
      </c>
      <c r="I352" s="390">
        <f>IF(H352,Wh_hp,'2022'!Maxi_hp)</f>
        <v>16.021146633315308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4.4387849466767992E-2</v>
      </c>
      <c r="M352" s="844"/>
      <c r="N352" s="844"/>
      <c r="O352" s="48">
        <f>IF(t&lt;Tnet,'2022'!Resal+('2022'!Salim-'2022'!Resal)*(1-EXP(('2022'!Tnet-t)/('2022'!Tau_j))),Resal+(Salim-Resal)*(1-EXP((Tnet-t)/(Tau_j))))*Salcycl</f>
        <v>5.2657580017747847E-2</v>
      </c>
      <c r="P352" s="169">
        <f>(INDEX(Models!$BJ352:$BT352,,T352)*(1-R352)+INDEX(Models!$BJ352:$BT352,,T352+1)*R352-ERP_i)*Q352*Ramure*Pc/MaxiM</f>
        <v>1.7018133819590164E-3</v>
      </c>
      <c r="Q352" s="305">
        <f t="shared" si="130"/>
        <v>0.7</v>
      </c>
      <c r="R352" s="177">
        <f t="shared" si="131"/>
        <v>0.79914457540722328</v>
      </c>
      <c r="S352" s="810">
        <f t="shared" si="132"/>
        <v>0</v>
      </c>
      <c r="T352" s="176">
        <f t="shared" si="133"/>
        <v>6</v>
      </c>
      <c r="U352" s="251">
        <f t="shared" si="134"/>
        <v>0.79914457540722328</v>
      </c>
      <c r="V352" s="383">
        <f t="shared" si="135"/>
        <v>17.91798911896586</v>
      </c>
      <c r="W352" s="402">
        <f t="shared" si="136"/>
        <v>14.484263818503759</v>
      </c>
      <c r="X352" s="157">
        <f t="shared" si="137"/>
        <v>45264</v>
      </c>
      <c r="Y352" s="385">
        <f t="shared" si="138"/>
        <v>13.351526107920918</v>
      </c>
      <c r="Z352" s="385">
        <f t="shared" si="139"/>
        <v>13.97169981615529</v>
      </c>
      <c r="AA352" s="386">
        <f t="shared" si="140"/>
        <v>15.999550401927236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0.12674422310814923</v>
      </c>
      <c r="AD352" s="231">
        <f>(INDEX(Models!$BJ352:$BT352,,AH352)*(1-AF352)+INDEX(Models!$BJ352:$BT352,,AH352+1)*AF352-ERP_i)*AE352*Ramure*Pc/MaxiM</f>
        <v>1.7018133819590164E-3</v>
      </c>
      <c r="AE352" s="305">
        <f t="shared" si="142"/>
        <v>0.7</v>
      </c>
      <c r="AF352" s="177">
        <f t="shared" si="143"/>
        <v>0.79914457540722328</v>
      </c>
      <c r="AG352" s="810">
        <f t="shared" si="149"/>
        <v>0</v>
      </c>
      <c r="AH352" s="176">
        <f t="shared" si="144"/>
        <v>6</v>
      </c>
      <c r="AI352" s="225">
        <f t="shared" si="145"/>
        <v>0.79914457540722328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18.079907230086523</v>
      </c>
      <c r="C353" s="840"/>
      <c r="D353" s="393">
        <f t="shared" si="127"/>
        <v>18.920152883828003</v>
      </c>
      <c r="E353" s="385">
        <f t="shared" si="125"/>
        <v>19.974450184926521</v>
      </c>
      <c r="F353" s="385">
        <f t="shared" si="128"/>
        <v>20.008159739519449</v>
      </c>
      <c r="G353" s="110">
        <f t="shared" si="126"/>
        <v>1.0159668303817044</v>
      </c>
      <c r="H353" s="414" t="b">
        <f>Wh_hp&gt;='2022'!Maxi_hp</f>
        <v>1</v>
      </c>
      <c r="I353" s="390">
        <f>IF(H353,Wh_hp,'2022'!Maxi_hp)</f>
        <v>20.008159739519449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4.4410087957570399E-2</v>
      </c>
      <c r="M353" s="844"/>
      <c r="N353" s="844"/>
      <c r="O353" s="48">
        <f>IF(t&lt;Tnet,'2022'!Resal+('2022'!Salim-'2022'!Resal)*(1-EXP(('2022'!Tnet-t)/('2022'!Tau_j))),Resal+(Salim-Resal)*(1-EXP((Tnet-t)/(Tau_j))))*Salcycl</f>
        <v>5.2782293947401401E-2</v>
      </c>
      <c r="P353" s="169">
        <f>(INDEX(Models!$BJ353:$BT353,,T353)*(1-R353)+INDEX(Models!$BJ353:$BT353,,T353+1)*R353-ERP_i)*Q353*Ramure*Pc/MaxiM</f>
        <v>1.6847903571234333E-3</v>
      </c>
      <c r="Q353" s="305">
        <f t="shared" si="130"/>
        <v>0.7</v>
      </c>
      <c r="R353" s="177">
        <f t="shared" si="131"/>
        <v>0.79915574601791839</v>
      </c>
      <c r="S353" s="810">
        <f t="shared" si="132"/>
        <v>0</v>
      </c>
      <c r="T353" s="176">
        <f t="shared" si="133"/>
        <v>6</v>
      </c>
      <c r="U353" s="251">
        <f t="shared" si="134"/>
        <v>0.79915574601791839</v>
      </c>
      <c r="V353" s="383">
        <f t="shared" si="135"/>
        <v>17.79576526459412</v>
      </c>
      <c r="W353" s="402">
        <f t="shared" si="136"/>
        <v>18.079907230086523</v>
      </c>
      <c r="X353" s="157">
        <f t="shared" si="137"/>
        <v>45265</v>
      </c>
      <c r="Y353" s="385">
        <f t="shared" si="138"/>
        <v>16.667754179225014</v>
      </c>
      <c r="Z353" s="385">
        <f t="shared" si="139"/>
        <v>17.442371428555788</v>
      </c>
      <c r="AA353" s="386">
        <f t="shared" si="140"/>
        <v>19.974450184926521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0.12676588005819239</v>
      </c>
      <c r="AD353" s="231">
        <f>(INDEX(Models!$BJ353:$BT353,,AH353)*(1-AF353)+INDEX(Models!$BJ353:$BT353,,AH353+1)*AF353-ERP_i)*AE353*Ramure*Pc/MaxiM</f>
        <v>1.6847903571234333E-3</v>
      </c>
      <c r="AE353" s="305">
        <f t="shared" si="142"/>
        <v>0.7</v>
      </c>
      <c r="AF353" s="177">
        <f t="shared" si="143"/>
        <v>0.79915574601791839</v>
      </c>
      <c r="AG353" s="810">
        <f t="shared" si="149"/>
        <v>0</v>
      </c>
      <c r="AH353" s="176">
        <f t="shared" si="144"/>
        <v>6</v>
      </c>
      <c r="AI353" s="225">
        <f t="shared" si="145"/>
        <v>0.79915574601791839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9.7749245481205964</v>
      </c>
      <c r="C354" s="840"/>
      <c r="D354" s="393">
        <f t="shared" si="127"/>
        <v>10.229442470040313</v>
      </c>
      <c r="E354" s="385">
        <f t="shared" si="125"/>
        <v>10.800892283934722</v>
      </c>
      <c r="F354" s="385">
        <f t="shared" si="128"/>
        <v>10.807406422093843</v>
      </c>
      <c r="G354" s="110">
        <f t="shared" si="126"/>
        <v>0.55219502212183835</v>
      </c>
      <c r="H354" s="414" t="b">
        <f>Wh_hp&gt;='2022'!Maxi_hp</f>
        <v>0</v>
      </c>
      <c r="I354" s="390">
        <f>IF(H354,Wh_hp,'2022'!Maxi_hp)</f>
        <v>14.0527233412349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4.4432325930850669E-2</v>
      </c>
      <c r="M354" s="844"/>
      <c r="N354" s="844"/>
      <c r="O354" s="48">
        <f>IF(t&lt;Tnet,'2022'!Resal+('2022'!Salim-'2022'!Resal)*(1-EXP(('2022'!Tnet-t)/('2022'!Tau_j))),Resal+(Salim-Resal)*(1-EXP((Tnet-t)/(Tau_j))))*Salcycl</f>
        <v>5.290764863421369E-2</v>
      </c>
      <c r="P354" s="169">
        <f>(INDEX(Models!$BJ354:$BT354,,T354)*(1-R354)+INDEX(Models!$BJ354:$BT354,,T354+1)*R354-ERP_i)*Q354*Ramure*Pc/MaxiM</f>
        <v>1.6691005270485012E-3</v>
      </c>
      <c r="Q354" s="305">
        <f t="shared" si="130"/>
        <v>0.7</v>
      </c>
      <c r="R354" s="177">
        <f t="shared" si="131"/>
        <v>0.79916646745353681</v>
      </c>
      <c r="S354" s="810">
        <f t="shared" si="132"/>
        <v>0</v>
      </c>
      <c r="T354" s="176">
        <f t="shared" si="133"/>
        <v>6</v>
      </c>
      <c r="U354" s="251">
        <f t="shared" si="134"/>
        <v>0.79916646745353681</v>
      </c>
      <c r="V354" s="383">
        <f t="shared" si="135"/>
        <v>17.683054629039983</v>
      </c>
      <c r="W354" s="402">
        <f t="shared" si="136"/>
        <v>9.7749245481205964</v>
      </c>
      <c r="X354" s="157">
        <f t="shared" si="137"/>
        <v>45266</v>
      </c>
      <c r="Y354" s="385">
        <f t="shared" si="138"/>
        <v>9.0123907651443904</v>
      </c>
      <c r="Z354" s="385">
        <f t="shared" si="139"/>
        <v>9.4314521197294212</v>
      </c>
      <c r="AA354" s="386">
        <f t="shared" si="140"/>
        <v>10.800892283934722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0.12678953999404388</v>
      </c>
      <c r="AD354" s="231">
        <f>(INDEX(Models!$BJ354:$BT354,,AH354)*(1-AF354)+INDEX(Models!$BJ354:$BT354,,AH354+1)*AF354-ERP_i)*AE354*Ramure*Pc/MaxiM</f>
        <v>1.6691005270485012E-3</v>
      </c>
      <c r="AE354" s="305">
        <f t="shared" si="142"/>
        <v>0.7</v>
      </c>
      <c r="AF354" s="177">
        <f t="shared" si="143"/>
        <v>0.79916646745353681</v>
      </c>
      <c r="AG354" s="810">
        <f t="shared" si="149"/>
        <v>0</v>
      </c>
      <c r="AH354" s="176">
        <f t="shared" si="144"/>
        <v>6</v>
      </c>
      <c r="AI354" s="225">
        <f t="shared" si="145"/>
        <v>0.79916646745353681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16.132985927222212</v>
      </c>
      <c r="C355" s="840"/>
      <c r="D355" s="393">
        <f t="shared" si="127"/>
        <v>16.883536155434268</v>
      </c>
      <c r="E355" s="385">
        <f t="shared" si="125"/>
        <v>17.82907679944924</v>
      </c>
      <c r="F355" s="385">
        <f t="shared" si="128"/>
        <v>17.855147220151547</v>
      </c>
      <c r="G355" s="110">
        <f t="shared" si="126"/>
        <v>0.91749271726760762</v>
      </c>
      <c r="H355" s="414" t="b">
        <f>Wh_hp&gt;='2022'!Maxi_hp</f>
        <v>0</v>
      </c>
      <c r="I355" s="390">
        <f>IF(H355,Wh_hp,'2022'!Maxi_hp)</f>
        <v>17.855995616436367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4.4454563386620793E-2</v>
      </c>
      <c r="M355" s="844"/>
      <c r="N355" s="844"/>
      <c r="O355" s="48">
        <f>IF(t&lt;Tnet,'2022'!Resal+('2022'!Salim-'2022'!Resal)*(1-EXP(('2022'!Tnet-t)/('2022'!Tau_j))),Resal+(Salim-Resal)*(1-EXP((Tnet-t)/(Tau_j))))*Salcycl</f>
        <v>5.3033628978712971E-2</v>
      </c>
      <c r="P355" s="169">
        <f>(INDEX(Models!$BJ355:$BT355,,T355)*(1-R355)+INDEX(Models!$BJ355:$BT355,,T355+1)*R355-ERP_i)*Q355*Ramure*Pc/MaxiM</f>
        <v>1.6547219618133692E-3</v>
      </c>
      <c r="Q355" s="305">
        <f t="shared" si="130"/>
        <v>0.7</v>
      </c>
      <c r="R355" s="177">
        <f t="shared" si="131"/>
        <v>0.79917675775296482</v>
      </c>
      <c r="S355" s="810">
        <f t="shared" si="132"/>
        <v>0</v>
      </c>
      <c r="T355" s="176">
        <f t="shared" si="133"/>
        <v>6</v>
      </c>
      <c r="U355" s="251">
        <f t="shared" si="134"/>
        <v>0.79917675775296482</v>
      </c>
      <c r="V355" s="383">
        <f t="shared" si="135"/>
        <v>17.580348386305612</v>
      </c>
      <c r="W355" s="402">
        <f t="shared" si="136"/>
        <v>16.132985927222212</v>
      </c>
      <c r="X355" s="157">
        <f t="shared" si="137"/>
        <v>45267</v>
      </c>
      <c r="Y355" s="385">
        <f t="shared" si="138"/>
        <v>14.876007520172685</v>
      </c>
      <c r="Z355" s="385">
        <f t="shared" si="139"/>
        <v>15.568079706283635</v>
      </c>
      <c r="AA355" s="386">
        <f t="shared" si="140"/>
        <v>17.82907679944924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0.12681515249490927</v>
      </c>
      <c r="AD355" s="231">
        <f>(INDEX(Models!$BJ355:$BT355,,AH355)*(1-AF355)+INDEX(Models!$BJ355:$BT355,,AH355+1)*AF355-ERP_i)*AE355*Ramure*Pc/MaxiM</f>
        <v>1.6547219618133692E-3</v>
      </c>
      <c r="AE355" s="305">
        <f t="shared" si="142"/>
        <v>0.7</v>
      </c>
      <c r="AF355" s="177">
        <f t="shared" si="143"/>
        <v>0.79917675775296482</v>
      </c>
      <c r="AG355" s="810">
        <f t="shared" si="149"/>
        <v>0</v>
      </c>
      <c r="AH355" s="176">
        <f t="shared" si="144"/>
        <v>6</v>
      </c>
      <c r="AI355" s="225">
        <f t="shared" si="145"/>
        <v>0.79917675775296482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4.0861992441679096</v>
      </c>
      <c r="C356" s="840"/>
      <c r="D356" s="393">
        <f t="shared" si="127"/>
        <v>4.2763998253075179</v>
      </c>
      <c r="E356" s="385">
        <f t="shared" si="125"/>
        <v>4.5164978326616447</v>
      </c>
      <c r="F356" s="385">
        <f t="shared" si="128"/>
        <v>4.5164978326616447</v>
      </c>
      <c r="G356" s="110">
        <f t="shared" si="126"/>
        <v>0.23327191038065401</v>
      </c>
      <c r="H356" s="414" t="b">
        <f>Wh_hp&gt;='2022'!Maxi_hp</f>
        <v>0</v>
      </c>
      <c r="I356" s="390">
        <f>IF(H356,Wh_hp,'2022'!Maxi_hp)</f>
        <v>14.230610193408706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4.4476800324892762E-2</v>
      </c>
      <c r="M356" s="844"/>
      <c r="N356" s="844"/>
      <c r="O356" s="48">
        <f>IF(t&lt;Tnet,'2022'!Resal+('2022'!Salim-'2022'!Resal)*(1-EXP(('2022'!Tnet-t)/('2022'!Tau_j))),Resal+(Salim-Resal)*(1-EXP((Tnet-t)/(Tau_j))))*Salcycl</f>
        <v>5.3160217551268776E-2</v>
      </c>
      <c r="P356" s="169">
        <f>(INDEX(Models!$BJ356:$BT356,,T356)*(1-R356)+INDEX(Models!$BJ356:$BT356,,T356+1)*R356-ERP_i)*Q356*Ramure*Pc/MaxiM</f>
        <v>1.641630648172033E-3</v>
      </c>
      <c r="Q356" s="305">
        <f t="shared" si="130"/>
        <v>0.7</v>
      </c>
      <c r="R356" s="177">
        <f t="shared" si="131"/>
        <v>0.79918663423243208</v>
      </c>
      <c r="S356" s="810">
        <f t="shared" si="132"/>
        <v>0</v>
      </c>
      <c r="T356" s="176">
        <f t="shared" si="133"/>
        <v>6</v>
      </c>
      <c r="U356" s="251">
        <f t="shared" si="134"/>
        <v>0.79918663423243208</v>
      </c>
      <c r="V356" s="383">
        <f t="shared" si="135"/>
        <v>17.488137374093675</v>
      </c>
      <c r="W356" s="402">
        <f t="shared" si="136"/>
        <v>4.0861992441679096</v>
      </c>
      <c r="X356" s="157">
        <f t="shared" si="137"/>
        <v>45268</v>
      </c>
      <c r="Y356" s="385">
        <f t="shared" si="138"/>
        <v>3.7682139263788565</v>
      </c>
      <c r="Z356" s="385">
        <f t="shared" si="139"/>
        <v>3.9436132243153361</v>
      </c>
      <c r="AA356" s="386">
        <f t="shared" si="140"/>
        <v>4.5164978326616447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0.12684266207401196</v>
      </c>
      <c r="AD356" s="231">
        <f>(INDEX(Models!$BJ356:$BT356,,AH356)*(1-AF356)+INDEX(Models!$BJ356:$BT356,,AH356+1)*AF356-ERP_i)*AE356*Ramure*Pc/MaxiM</f>
        <v>1.641630648172033E-3</v>
      </c>
      <c r="AE356" s="305">
        <f t="shared" si="142"/>
        <v>0.7</v>
      </c>
      <c r="AF356" s="177">
        <f t="shared" si="143"/>
        <v>0.79918663423243208</v>
      </c>
      <c r="AG356" s="810">
        <f t="shared" si="149"/>
        <v>0</v>
      </c>
      <c r="AH356" s="176">
        <f t="shared" si="144"/>
        <v>6</v>
      </c>
      <c r="AI356" s="225">
        <f t="shared" si="145"/>
        <v>0.79918663423243208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4.9642658577627028</v>
      </c>
      <c r="C357" s="840"/>
      <c r="D357" s="393">
        <f t="shared" si="127"/>
        <v>5.1954587684087841</v>
      </c>
      <c r="E357" s="385">
        <f t="shared" si="125"/>
        <v>5.4878943617089861</v>
      </c>
      <c r="F357" s="385">
        <f t="shared" si="128"/>
        <v>5.4878943617089861</v>
      </c>
      <c r="G357" s="110">
        <f t="shared" si="126"/>
        <v>0.2847245432199903</v>
      </c>
      <c r="H357" s="414" t="b">
        <f>Wh_hp&gt;='2022'!Maxi_hp</f>
        <v>0</v>
      </c>
      <c r="I357" s="390">
        <f>IF(H357,Wh_hp,'2022'!Maxi_hp)</f>
        <v>10.283678349894517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4.4499036745678788E-2</v>
      </c>
      <c r="M357" s="844"/>
      <c r="N357" s="844"/>
      <c r="O357" s="48">
        <f>IF(t&lt;Tnet,'2022'!Resal+('2022'!Salim-'2022'!Resal)*(1-EXP(('2022'!Tnet-t)/('2022'!Tau_j))),Resal+(Salim-Resal)*(1-EXP((Tnet-t)/(Tau_j))))*Salcycl</f>
        <v>5.3287394768498156E-2</v>
      </c>
      <c r="P357" s="169">
        <f>(INDEX(Models!$BJ357:$BT357,,T357)*(1-R357)+INDEX(Models!$BJ357:$BT357,,T357+1)*R357-ERP_i)*Q357*Ramure*Pc/MaxiM</f>
        <v>1.6298002566511136E-3</v>
      </c>
      <c r="Q357" s="305">
        <f t="shared" si="130"/>
        <v>0.7</v>
      </c>
      <c r="R357" s="177">
        <f t="shared" si="131"/>
        <v>0.79919611351432007</v>
      </c>
      <c r="S357" s="810">
        <f t="shared" si="132"/>
        <v>0</v>
      </c>
      <c r="T357" s="176">
        <f t="shared" si="133"/>
        <v>6</v>
      </c>
      <c r="U357" s="251">
        <f t="shared" si="134"/>
        <v>0.79919611351432007</v>
      </c>
      <c r="V357" s="383">
        <f t="shared" si="135"/>
        <v>17.40691209807046</v>
      </c>
      <c r="W357" s="402">
        <f t="shared" si="136"/>
        <v>4.9642658577627028</v>
      </c>
      <c r="X357" s="157">
        <f t="shared" si="137"/>
        <v>45269</v>
      </c>
      <c r="Y357" s="385">
        <f t="shared" si="138"/>
        <v>4.5784110752936895</v>
      </c>
      <c r="Z357" s="385">
        <f t="shared" si="139"/>
        <v>4.791634180775886</v>
      </c>
      <c r="AA357" s="386">
        <f t="shared" si="140"/>
        <v>5.4878943617089861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0.12687200865074191</v>
      </c>
      <c r="AD357" s="231">
        <f>(INDEX(Models!$BJ357:$BT357,,AH357)*(1-AF357)+INDEX(Models!$BJ357:$BT357,,AH357+1)*AF357-ERP_i)*AE357*Ramure*Pc/MaxiM</f>
        <v>1.6298002566511136E-3</v>
      </c>
      <c r="AE357" s="305">
        <f t="shared" si="142"/>
        <v>0.7</v>
      </c>
      <c r="AF357" s="177">
        <f t="shared" si="143"/>
        <v>0.79919611351432007</v>
      </c>
      <c r="AG357" s="810">
        <f t="shared" si="149"/>
        <v>0</v>
      </c>
      <c r="AH357" s="176">
        <f t="shared" si="144"/>
        <v>6</v>
      </c>
      <c r="AI357" s="225">
        <f t="shared" si="145"/>
        <v>0.79919611351432007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11.265143762868767</v>
      </c>
      <c r="C358" s="840"/>
      <c r="D358" s="393">
        <f t="shared" si="127"/>
        <v>11.790051877031848</v>
      </c>
      <c r="E358" s="385">
        <f t="shared" si="125"/>
        <v>12.455356475460166</v>
      </c>
      <c r="F358" s="385">
        <f t="shared" si="128"/>
        <v>12.465441836604828</v>
      </c>
      <c r="G358" s="110">
        <f t="shared" si="126"/>
        <v>0.64924176237355591</v>
      </c>
      <c r="H358" s="414" t="b">
        <f>Wh_hp&gt;='2022'!Maxi_hp</f>
        <v>0</v>
      </c>
      <c r="I358" s="390">
        <f>IF(H358,Wh_hp,'2022'!Maxi_hp)</f>
        <v>16.477677553533571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4.4521272648990751E-2</v>
      </c>
      <c r="M358" s="844"/>
      <c r="N358" s="844"/>
      <c r="O358" s="48">
        <f>IF(t&lt;Tnet,'2022'!Resal+('2022'!Salim-'2022'!Resal)*(1-EXP(('2022'!Tnet-t)/('2022'!Tau_j))),Resal+(Salim-Resal)*(1-EXP((Tnet-t)/(Tau_j))))*Salcycl</f>
        <v>5.3415139080050945E-2</v>
      </c>
      <c r="P358" s="169">
        <f>(INDEX(Models!$BJ358:$BT358,,T358)*(1-R358)+INDEX(Models!$BJ358:$BT358,,T358+1)*R358-ERP_i)*Q358*Ramure*Pc/MaxiM</f>
        <v>1.6192019264082399E-3</v>
      </c>
      <c r="Q358" s="305">
        <f t="shared" si="130"/>
        <v>0.7</v>
      </c>
      <c r="R358" s="177">
        <f t="shared" si="131"/>
        <v>0.7992052115548357</v>
      </c>
      <c r="S358" s="810">
        <f t="shared" si="132"/>
        <v>0</v>
      </c>
      <c r="T358" s="176">
        <f t="shared" si="133"/>
        <v>6</v>
      </c>
      <c r="U358" s="251">
        <f t="shared" si="134"/>
        <v>0.7992052115548357</v>
      </c>
      <c r="V358" s="383">
        <f t="shared" si="135"/>
        <v>17.337162709081504</v>
      </c>
      <c r="W358" s="402">
        <f t="shared" si="136"/>
        <v>11.265143762868767</v>
      </c>
      <c r="X358" s="157">
        <f t="shared" si="137"/>
        <v>45270</v>
      </c>
      <c r="Y358" s="385">
        <f t="shared" si="138"/>
        <v>10.390575834869823</v>
      </c>
      <c r="Z358" s="385">
        <f t="shared" si="139"/>
        <v>10.874732777857744</v>
      </c>
      <c r="AA358" s="386">
        <f t="shared" si="140"/>
        <v>12.455356475460166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0.12690312804106441</v>
      </c>
      <c r="AD358" s="231">
        <f>(INDEX(Models!$BJ358:$BT358,,AH358)*(1-AF358)+INDEX(Models!$BJ358:$BT358,,AH358+1)*AF358-ERP_i)*AE358*Ramure*Pc/MaxiM</f>
        <v>1.6192019264082399E-3</v>
      </c>
      <c r="AE358" s="305">
        <f t="shared" si="142"/>
        <v>0.7</v>
      </c>
      <c r="AF358" s="177">
        <f t="shared" si="143"/>
        <v>0.7992052115548357</v>
      </c>
      <c r="AG358" s="810">
        <f t="shared" si="149"/>
        <v>0</v>
      </c>
      <c r="AH358" s="176">
        <f t="shared" si="144"/>
        <v>6</v>
      </c>
      <c r="AI358" s="225">
        <f t="shared" si="145"/>
        <v>0.7992052115548357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13.762468190257241</v>
      </c>
      <c r="C359" s="840"/>
      <c r="D359" s="393">
        <f t="shared" si="127"/>
        <v>14.404076277665913</v>
      </c>
      <c r="E359" s="385">
        <f t="shared" si="125"/>
        <v>15.218951076125855</v>
      </c>
      <c r="F359" s="385">
        <f t="shared" si="128"/>
        <v>15.236344963638446</v>
      </c>
      <c r="G359" s="110">
        <f t="shared" si="126"/>
        <v>0.79605914751271323</v>
      </c>
      <c r="H359" s="414" t="b">
        <f>Wh_hp&gt;='2022'!Maxi_hp</f>
        <v>0</v>
      </c>
      <c r="I359" s="390">
        <f>IF(H359,Wh_hp,'2022'!Maxi_hp)</f>
        <v>16.479573454056037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4.4543508034840862E-2</v>
      </c>
      <c r="M359" s="844"/>
      <c r="N359" s="844"/>
      <c r="O359" s="48">
        <f>IF(t&lt;Tnet,'2022'!Resal+('2022'!Salim-'2022'!Resal)*(1-EXP(('2022'!Tnet-t)/('2022'!Tau_j))),Resal+(Salim-Resal)*(1-EXP((Tnet-t)/(Tau_j))))*Salcycl</f>
        <v>5.3543427164191651E-2</v>
      </c>
      <c r="P359" s="169">
        <f>(INDEX(Models!$BJ359:$BT359,,T359)*(1-R359)+INDEX(Models!$BJ359:$BT359,,T359+1)*R359-ERP_i)*Q359*Ramure*Pc/MaxiM</f>
        <v>1.6097327392713533E-3</v>
      </c>
      <c r="Q359" s="305">
        <f t="shared" si="130"/>
        <v>0.7</v>
      </c>
      <c r="R359" s="177">
        <f t="shared" si="131"/>
        <v>0.79921394367058873</v>
      </c>
      <c r="S359" s="810">
        <f t="shared" si="132"/>
        <v>0</v>
      </c>
      <c r="T359" s="176">
        <f t="shared" si="133"/>
        <v>6</v>
      </c>
      <c r="U359" s="251">
        <f t="shared" si="134"/>
        <v>0.79921394367058873</v>
      </c>
      <c r="V359" s="383">
        <f t="shared" si="135"/>
        <v>17.280145924762937</v>
      </c>
      <c r="W359" s="402">
        <f t="shared" si="136"/>
        <v>13.762468190257241</v>
      </c>
      <c r="X359" s="157">
        <f t="shared" si="137"/>
        <v>45271</v>
      </c>
      <c r="Y359" s="385">
        <f t="shared" si="138"/>
        <v>12.695264132716371</v>
      </c>
      <c r="Z359" s="385">
        <f t="shared" si="139"/>
        <v>13.287119025802072</v>
      </c>
      <c r="AA359" s="386">
        <f t="shared" si="140"/>
        <v>15.218951076125855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0.12693595246220815</v>
      </c>
      <c r="AD359" s="231">
        <f>(INDEX(Models!$BJ359:$BT359,,AH359)*(1-AF359)+INDEX(Models!$BJ359:$BT359,,AH359+1)*AF359-ERP_i)*AE359*Ramure*Pc/MaxiM</f>
        <v>1.6097327392713533E-3</v>
      </c>
      <c r="AE359" s="305">
        <f t="shared" si="142"/>
        <v>0.7</v>
      </c>
      <c r="AF359" s="177">
        <f t="shared" si="143"/>
        <v>0.79921394367058873</v>
      </c>
      <c r="AG359" s="810">
        <f t="shared" si="149"/>
        <v>0</v>
      </c>
      <c r="AH359" s="176">
        <f t="shared" si="144"/>
        <v>6</v>
      </c>
      <c r="AI359" s="225">
        <f t="shared" si="145"/>
        <v>0.79921394367058873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4.3230046456004514</v>
      </c>
      <c r="C360" s="840"/>
      <c r="D360" s="393">
        <f t="shared" si="127"/>
        <v>4.5246489891796404</v>
      </c>
      <c r="E360" s="385">
        <f t="shared" si="125"/>
        <v>4.7812704565658635</v>
      </c>
      <c r="F360" s="385">
        <f t="shared" si="128"/>
        <v>4.7812704565658635</v>
      </c>
      <c r="G360" s="110">
        <f t="shared" si="126"/>
        <v>0.25040837934501231</v>
      </c>
      <c r="H360" s="414" t="b">
        <f>Wh_hp&gt;='2022'!Maxi_hp</f>
        <v>0</v>
      </c>
      <c r="I360" s="390">
        <f>IF(H360,Wh_hp,'2022'!Maxi_hp)</f>
        <v>18.530251867552792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4.456574290324089E-2</v>
      </c>
      <c r="M360" s="844"/>
      <c r="N360" s="844"/>
      <c r="O360" s="48">
        <f>IF(t&lt;Tnet,'2022'!Resal+('2022'!Salim-'2022'!Resal)*(1-EXP(('2022'!Tnet-t)/('2022'!Tau_j))),Resal+(Salim-Resal)*(1-EXP((Tnet-t)/(Tau_j))))*Salcycl</f>
        <v>5.3672234130537136E-2</v>
      </c>
      <c r="P360" s="169">
        <f>(INDEX(Models!$BJ360:$BT360,,T360)*(1-R360)+INDEX(Models!$BJ360:$BT360,,T360+1)*R360-ERP_i)*Q360*Ramure*Pc/MaxiM</f>
        <v>1.601375389369671E-3</v>
      </c>
      <c r="Q360" s="305">
        <f t="shared" si="130"/>
        <v>0.7</v>
      </c>
      <c r="R360" s="177">
        <f t="shared" si="131"/>
        <v>0.79922232456412057</v>
      </c>
      <c r="S360" s="810">
        <f t="shared" si="132"/>
        <v>0</v>
      </c>
      <c r="T360" s="176">
        <f t="shared" si="133"/>
        <v>6</v>
      </c>
      <c r="U360" s="251">
        <f t="shared" si="134"/>
        <v>0.79922232456412057</v>
      </c>
      <c r="V360" s="383">
        <f t="shared" si="135"/>
        <v>17.23617198291182</v>
      </c>
      <c r="W360" s="402">
        <f t="shared" si="136"/>
        <v>4.3230046456004514</v>
      </c>
      <c r="X360" s="157">
        <f t="shared" si="137"/>
        <v>45272</v>
      </c>
      <c r="Y360" s="385">
        <f t="shared" si="138"/>
        <v>3.9881646770877328</v>
      </c>
      <c r="Z360" s="385">
        <f t="shared" si="139"/>
        <v>4.1741905813660205</v>
      </c>
      <c r="AA360" s="386">
        <f t="shared" si="140"/>
        <v>4.7812704565658635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0.12697041104758522</v>
      </c>
      <c r="AD360" s="231">
        <f>(INDEX(Models!$BJ360:$BT360,,AH360)*(1-AF360)+INDEX(Models!$BJ360:$BT360,,AH360+1)*AF360-ERP_i)*AE360*Ramure*Pc/MaxiM</f>
        <v>1.601375389369671E-3</v>
      </c>
      <c r="AE360" s="305">
        <f t="shared" si="142"/>
        <v>0.7</v>
      </c>
      <c r="AF360" s="177">
        <f t="shared" si="143"/>
        <v>0.79922232456412057</v>
      </c>
      <c r="AG360" s="810">
        <f t="shared" si="149"/>
        <v>0</v>
      </c>
      <c r="AH360" s="176">
        <f t="shared" si="144"/>
        <v>6</v>
      </c>
      <c r="AI360" s="225">
        <f t="shared" si="145"/>
        <v>0.79922232456412057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5.336433842954837</v>
      </c>
      <c r="C361" s="840"/>
      <c r="D361" s="393">
        <f t="shared" si="127"/>
        <v>5.5854790560602812</v>
      </c>
      <c r="E361" s="385">
        <f t="shared" ref="E361:E379" si="150">Wh_pvt/(1-Psa)</f>
        <v>5.9030734620280203</v>
      </c>
      <c r="F361" s="385">
        <f t="shared" si="128"/>
        <v>5.9032102720468433</v>
      </c>
      <c r="G361" s="110">
        <f t="shared" ref="G361:G379" si="151">+Wh_hp/MaxiM</f>
        <v>0.30969271058119568</v>
      </c>
      <c r="H361" s="414" t="b">
        <f>Wh_hp&gt;='2022'!Maxi_hp</f>
        <v>0</v>
      </c>
      <c r="I361" s="390">
        <f>IF(H361,Wh_hp,'2022'!Maxi_hp)</f>
        <v>19.130983394548689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4.4587977254203159E-2</v>
      </c>
      <c r="M361" s="844"/>
      <c r="N361" s="844"/>
      <c r="O361" s="48">
        <f>IF(t&lt;Tnet,'2022'!Resal+('2022'!Salim-'2022'!Resal)*(1-EXP(('2022'!Tnet-t)/('2022'!Tau_j))),Resal+(Salim-Resal)*(1-EXP((Tnet-t)/(Tau_j))))*Salcycl</f>
        <v>5.3801533728267154E-2</v>
      </c>
      <c r="P361" s="169">
        <f>(INDEX(Models!$BJ361:$BT361,,T361)*(1-R361)+INDEX(Models!$BJ361:$BT361,,T361+1)*R361-ERP_i)*Q361*Ramure*Pc/MaxiM</f>
        <v>1.5936265676872012E-3</v>
      </c>
      <c r="Q361" s="305">
        <f t="shared" si="130"/>
        <v>0.7</v>
      </c>
      <c r="R361" s="177">
        <f t="shared" si="131"/>
        <v>0.79923036834842132</v>
      </c>
      <c r="S361" s="810">
        <f t="shared" si="132"/>
        <v>0</v>
      </c>
      <c r="T361" s="176">
        <f t="shared" si="133"/>
        <v>6</v>
      </c>
      <c r="U361" s="251">
        <f t="shared" si="134"/>
        <v>0.79923036834842132</v>
      </c>
      <c r="V361" s="383">
        <f t="shared" si="135"/>
        <v>17.204321763508243</v>
      </c>
      <c r="W361" s="402">
        <f t="shared" si="136"/>
        <v>5.336433842954837</v>
      </c>
      <c r="X361" s="157">
        <f t="shared" si="137"/>
        <v>45273</v>
      </c>
      <c r="Y361" s="385">
        <f t="shared" si="138"/>
        <v>4.9235679360412119</v>
      </c>
      <c r="Z361" s="385">
        <f t="shared" si="139"/>
        <v>5.1533451734165672</v>
      </c>
      <c r="AA361" s="386">
        <f t="shared" si="140"/>
        <v>5.9030734620280203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0.12700643036786499</v>
      </c>
      <c r="AD361" s="231">
        <f>(INDEX(Models!$BJ361:$BT361,,AH361)*(1-AF361)+INDEX(Models!$BJ361:$BT361,,AH361+1)*AF361-ERP_i)*AE361*Ramure*Pc/MaxiM</f>
        <v>1.5936265676872012E-3</v>
      </c>
      <c r="AE361" s="305">
        <f t="shared" si="142"/>
        <v>0.7</v>
      </c>
      <c r="AF361" s="177">
        <f t="shared" si="143"/>
        <v>0.79923036834842132</v>
      </c>
      <c r="AG361" s="810">
        <f t="shared" si="149"/>
        <v>0</v>
      </c>
      <c r="AH361" s="176">
        <f t="shared" si="144"/>
        <v>6</v>
      </c>
      <c r="AI361" s="225">
        <f t="shared" si="145"/>
        <v>0.79923036834842132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15.449420764678004</v>
      </c>
      <c r="C362" s="840"/>
      <c r="D362" s="393">
        <f t="shared" si="127"/>
        <v>16.170803732649926</v>
      </c>
      <c r="E362" s="385">
        <f t="shared" si="150"/>
        <v>17.092631547797751</v>
      </c>
      <c r="F362" s="385">
        <f t="shared" si="128"/>
        <v>17.115871960978769</v>
      </c>
      <c r="G362" s="110">
        <f t="shared" si="151"/>
        <v>0.89886998655166739</v>
      </c>
      <c r="H362" s="414" t="b">
        <f>Wh_hp&gt;='2022'!Maxi_hp</f>
        <v>0</v>
      </c>
      <c r="I362" s="390">
        <f>IF(H362,Wh_hp,'2022'!Maxi_hp)</f>
        <v>19.357739032195155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4.461021108773966E-2</v>
      </c>
      <c r="M362" s="844"/>
      <c r="N362" s="844"/>
      <c r="O362" s="48">
        <f>IF(t&lt;Tnet,'2022'!Resal+('2022'!Salim-'2022'!Resal)*(1-EXP(('2022'!Tnet-t)/('2022'!Tau_j))),Resal+(Salim-Resal)*(1-EXP((Tnet-t)/(Tau_j))))*Salcycl</f>
        <v>5.393129855809671E-2</v>
      </c>
      <c r="P362" s="169">
        <f>(INDEX(Models!$BJ362:$BT362,,T362)*(1-R362)+INDEX(Models!$BJ362:$BT362,,T362+1)*R362-ERP_i)*Q362*Ramure*Pc/MaxiM</f>
        <v>1.5865763878413228E-3</v>
      </c>
      <c r="Q362" s="305">
        <f t="shared" si="130"/>
        <v>0.7</v>
      </c>
      <c r="R362" s="177">
        <f t="shared" si="131"/>
        <v>0.79923808857047673</v>
      </c>
      <c r="S362" s="810">
        <f t="shared" si="132"/>
        <v>0</v>
      </c>
      <c r="T362" s="176">
        <f t="shared" si="133"/>
        <v>6</v>
      </c>
      <c r="U362" s="251">
        <f t="shared" si="134"/>
        <v>0.79923808857047673</v>
      </c>
      <c r="V362" s="383">
        <f t="shared" si="135"/>
        <v>17.183666340235217</v>
      </c>
      <c r="W362" s="402">
        <f t="shared" si="136"/>
        <v>15.449420764678004</v>
      </c>
      <c r="X362" s="157">
        <f t="shared" si="137"/>
        <v>45274</v>
      </c>
      <c r="Y362" s="385">
        <f t="shared" si="138"/>
        <v>14.255482225990862</v>
      </c>
      <c r="Z362" s="385">
        <f t="shared" si="139"/>
        <v>14.921116377244466</v>
      </c>
      <c r="AA362" s="386">
        <f t="shared" si="140"/>
        <v>17.092631547797751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0.1270439349541275</v>
      </c>
      <c r="AD362" s="231">
        <f>(INDEX(Models!$BJ362:$BT362,,AH362)*(1-AF362)+INDEX(Models!$BJ362:$BT362,,AH362+1)*AF362-ERP_i)*AE362*Ramure*Pc/MaxiM</f>
        <v>1.5865763878413228E-3</v>
      </c>
      <c r="AE362" s="305">
        <f t="shared" si="142"/>
        <v>0.7</v>
      </c>
      <c r="AF362" s="177">
        <f t="shared" si="143"/>
        <v>0.79923808857047673</v>
      </c>
      <c r="AG362" s="810">
        <f t="shared" si="149"/>
        <v>0</v>
      </c>
      <c r="AH362" s="176">
        <f t="shared" si="144"/>
        <v>6</v>
      </c>
      <c r="AI362" s="225">
        <f t="shared" si="145"/>
        <v>0.79923808857047673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5.8373876539509242</v>
      </c>
      <c r="C363" s="840"/>
      <c r="D363" s="393">
        <f t="shared" si="127"/>
        <v>6.1100961821007891</v>
      </c>
      <c r="E363" s="385">
        <f t="shared" si="150"/>
        <v>6.4592953812007901</v>
      </c>
      <c r="F363" s="385">
        <f t="shared" si="128"/>
        <v>6.4598774346365575</v>
      </c>
      <c r="G363" s="110">
        <f t="shared" si="151"/>
        <v>0.3394045191443632</v>
      </c>
      <c r="H363" s="414" t="b">
        <f>Wh_hp&gt;='2022'!Maxi_hp</f>
        <v>0</v>
      </c>
      <c r="I363" s="390">
        <f>IF(H363,Wh_hp,'2022'!Maxi_hp)</f>
        <v>18.722199127908961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4.463244440386227E-2</v>
      </c>
      <c r="M363" s="844"/>
      <c r="N363" s="844"/>
      <c r="O363" s="48">
        <f>IF(t&lt;Tnet,'2022'!Resal+('2022'!Salim-'2022'!Resal)*(1-EXP(('2022'!Tnet-t)/('2022'!Tau_j))),Resal+(Salim-Resal)*(1-EXP((Tnet-t)/(Tau_j))))*Salcycl</f>
        <v>5.4061500286287298E-2</v>
      </c>
      <c r="P363" s="169">
        <f>(INDEX(Models!$BJ363:$BT363,,T363)*(1-R363)+INDEX(Models!$BJ363:$BT363,,T363+1)*R363-ERP_i)*Q363*Ramure*Pc/MaxiM</f>
        <v>1.5803121662648714E-3</v>
      </c>
      <c r="Q363" s="305">
        <f t="shared" si="130"/>
        <v>0.7</v>
      </c>
      <c r="R363" s="177">
        <f t="shared" si="131"/>
        <v>0.79924549823388191</v>
      </c>
      <c r="S363" s="810">
        <f t="shared" si="132"/>
        <v>0</v>
      </c>
      <c r="T363" s="176">
        <f t="shared" si="133"/>
        <v>6</v>
      </c>
      <c r="U363" s="251">
        <f t="shared" si="134"/>
        <v>0.79924549823388191</v>
      </c>
      <c r="V363" s="383">
        <f t="shared" si="135"/>
        <v>17.173277348731457</v>
      </c>
      <c r="W363" s="402">
        <f t="shared" si="136"/>
        <v>5.8373876539509242</v>
      </c>
      <c r="X363" s="157">
        <f t="shared" si="137"/>
        <v>45275</v>
      </c>
      <c r="Y363" s="385">
        <f t="shared" si="138"/>
        <v>5.3867728278372891</v>
      </c>
      <c r="Z363" s="385">
        <f t="shared" si="139"/>
        <v>5.6384297292532697</v>
      </c>
      <c r="AA363" s="386">
        <f t="shared" si="140"/>
        <v>6.4592953812007901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0.12708284781906348</v>
      </c>
      <c r="AD363" s="231">
        <f>(INDEX(Models!$BJ363:$BT363,,AH363)*(1-AF363)+INDEX(Models!$BJ363:$BT363,,AH363+1)*AF363-ERP_i)*AE363*Ramure*Pc/MaxiM</f>
        <v>1.5803121662648714E-3</v>
      </c>
      <c r="AE363" s="305">
        <f t="shared" si="142"/>
        <v>0.7</v>
      </c>
      <c r="AF363" s="177">
        <f t="shared" si="143"/>
        <v>0.79924549823388191</v>
      </c>
      <c r="AG363" s="810">
        <f t="shared" si="149"/>
        <v>0</v>
      </c>
      <c r="AH363" s="176">
        <f t="shared" si="144"/>
        <v>6</v>
      </c>
      <c r="AI363" s="225">
        <f t="shared" si="145"/>
        <v>0.79924549823388191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5.2218608563349616</v>
      </c>
      <c r="C364" s="840"/>
      <c r="D364" s="393">
        <f t="shared" si="127"/>
        <v>5.4659406726820485</v>
      </c>
      <c r="E364" s="385">
        <f t="shared" si="150"/>
        <v>5.7791235721950445</v>
      </c>
      <c r="F364" s="385">
        <f t="shared" si="128"/>
        <v>5.7791767207750224</v>
      </c>
      <c r="G364" s="110">
        <f t="shared" si="151"/>
        <v>0.30361145387318916</v>
      </c>
      <c r="H364" s="414" t="b">
        <f>Wh_hp&gt;='2022'!Maxi_hp</f>
        <v>0</v>
      </c>
      <c r="I364" s="390">
        <f>IF(H364,Wh_hp,'2022'!Maxi_hp)</f>
        <v>18.52551005734108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4.4654677202583204E-2</v>
      </c>
      <c r="M364" s="844"/>
      <c r="N364" s="844"/>
      <c r="O364" s="48">
        <f>IF(t&lt;Tnet,'2022'!Resal+('2022'!Salim-'2022'!Resal)*(1-EXP(('2022'!Tnet-t)/('2022'!Tau_j))),Resal+(Salim-Resal)*(1-EXP((Tnet-t)/(Tau_j))))*Salcycl</f>
        <v>5.419210985897676E-2</v>
      </c>
      <c r="P364" s="169">
        <f>(INDEX(Models!$BJ364:$BT364,,T364)*(1-R364)+INDEX(Models!$BJ364:$BT364,,T364+1)*R364-ERP_i)*Q364*Ramure*Pc/MaxiM</f>
        <v>1.5749182698149254E-3</v>
      </c>
      <c r="Q364" s="305">
        <f t="shared" si="130"/>
        <v>0.7</v>
      </c>
      <c r="R364" s="177">
        <f t="shared" si="131"/>
        <v>0.79925260982055812</v>
      </c>
      <c r="S364" s="810">
        <f t="shared" si="132"/>
        <v>0</v>
      </c>
      <c r="T364" s="176">
        <f t="shared" si="133"/>
        <v>6</v>
      </c>
      <c r="U364" s="251">
        <f t="shared" si="134"/>
        <v>0.79925260982055812</v>
      </c>
      <c r="V364" s="383">
        <f t="shared" si="135"/>
        <v>17.172226982068128</v>
      </c>
      <c r="W364" s="402">
        <f t="shared" si="136"/>
        <v>5.2218608563349616</v>
      </c>
      <c r="X364" s="157">
        <f t="shared" si="137"/>
        <v>45276</v>
      </c>
      <c r="Y364" s="385">
        <f t="shared" si="138"/>
        <v>4.8192046304149319</v>
      </c>
      <c r="Z364" s="385">
        <f t="shared" si="139"/>
        <v>5.0444635205869481</v>
      </c>
      <c r="AA364" s="386">
        <f t="shared" si="140"/>
        <v>5.7791235721950445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0.12712309097226221</v>
      </c>
      <c r="AD364" s="231">
        <f>(INDEX(Models!$BJ364:$BT364,,AH364)*(1-AF364)+INDEX(Models!$BJ364:$BT364,,AH364+1)*AF364-ERP_i)*AE364*Ramure*Pc/MaxiM</f>
        <v>1.5749182698149254E-3</v>
      </c>
      <c r="AE364" s="305">
        <f t="shared" si="142"/>
        <v>0.7</v>
      </c>
      <c r="AF364" s="177">
        <f t="shared" si="143"/>
        <v>0.79925260982055812</v>
      </c>
      <c r="AG364" s="810">
        <f t="shared" si="149"/>
        <v>0</v>
      </c>
      <c r="AH364" s="176">
        <f t="shared" si="144"/>
        <v>6</v>
      </c>
      <c r="AI364" s="225">
        <f t="shared" si="145"/>
        <v>0.79925260982055812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3.4803494755258582</v>
      </c>
      <c r="C365" s="840"/>
      <c r="D365" s="393">
        <f t="shared" si="127"/>
        <v>3.6431124821296845</v>
      </c>
      <c r="E365" s="385">
        <f t="shared" si="150"/>
        <v>3.8523860245792956</v>
      </c>
      <c r="F365" s="385">
        <f t="shared" si="128"/>
        <v>3.8523860245792956</v>
      </c>
      <c r="G365" s="110">
        <f t="shared" si="151"/>
        <v>0.20226816092971281</v>
      </c>
      <c r="H365" s="414" t="b">
        <f>Wh_hp&gt;='2022'!Maxi_hp</f>
        <v>0</v>
      </c>
      <c r="I365" s="390">
        <f>IF(H365,Wh_hp,'2022'!Maxi_hp)</f>
        <v>18.608834058846831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4.467690948391434E-2</v>
      </c>
      <c r="M365" s="844"/>
      <c r="N365" s="844"/>
      <c r="O365" s="48">
        <f>IF(t&lt;Tnet,'2022'!Resal+('2022'!Salim-'2022'!Resal)*(1-EXP(('2022'!Tnet-t)/('2022'!Tau_j))),Resal+(Salim-Resal)*(1-EXP((Tnet-t)/(Tau_j))))*Salcycl</f>
        <v>5.4323097715127118E-2</v>
      </c>
      <c r="P365" s="169">
        <f>(INDEX(Models!$BJ365:$BT365,,T365)*(1-R365)+INDEX(Models!$BJ365:$BT365,,T365+1)*R365-ERP_i)*Q365*Ramure*Pc/MaxiM</f>
        <v>1.5704760759499144E-3</v>
      </c>
      <c r="Q365" s="305">
        <f t="shared" si="130"/>
        <v>0.7</v>
      </c>
      <c r="R365" s="177">
        <f t="shared" si="131"/>
        <v>0.79925943531160804</v>
      </c>
      <c r="S365" s="810">
        <f t="shared" si="132"/>
        <v>0</v>
      </c>
      <c r="T365" s="176">
        <f t="shared" si="133"/>
        <v>6</v>
      </c>
      <c r="U365" s="251">
        <f t="shared" si="134"/>
        <v>0.79925943531160804</v>
      </c>
      <c r="V365" s="383">
        <f t="shared" si="135"/>
        <v>17.179587998261891</v>
      </c>
      <c r="W365" s="402">
        <f t="shared" si="136"/>
        <v>3.4803494755258582</v>
      </c>
      <c r="X365" s="157">
        <f t="shared" si="137"/>
        <v>45277</v>
      </c>
      <c r="Y365" s="385">
        <f t="shared" si="138"/>
        <v>3.2122728896667772</v>
      </c>
      <c r="Z365" s="385">
        <f t="shared" si="139"/>
        <v>3.3624989509375718</v>
      </c>
      <c r="AA365" s="386">
        <f t="shared" si="140"/>
        <v>3.8523860245792956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0.1271645859257374</v>
      </c>
      <c r="AD365" s="231">
        <f>(INDEX(Models!$BJ365:$BT365,,AH365)*(1-AF365)+INDEX(Models!$BJ365:$BT365,,AH365+1)*AF365-ERP_i)*AE365*Ramure*Pc/MaxiM</f>
        <v>1.5704760759499144E-3</v>
      </c>
      <c r="AE365" s="305">
        <f t="shared" si="142"/>
        <v>0.7</v>
      </c>
      <c r="AF365" s="177">
        <f t="shared" si="143"/>
        <v>0.79925943531160804</v>
      </c>
      <c r="AG365" s="810">
        <f t="shared" si="149"/>
        <v>0</v>
      </c>
      <c r="AH365" s="176">
        <f t="shared" si="144"/>
        <v>6</v>
      </c>
      <c r="AI365" s="225">
        <f t="shared" si="145"/>
        <v>0.79925943531160804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15.985985877153103</v>
      </c>
      <c r="C366" s="840"/>
      <c r="D366" s="393">
        <f t="shared" si="127"/>
        <v>16.733980432127844</v>
      </c>
      <c r="E366" s="385">
        <f t="shared" si="150"/>
        <v>17.697698591994165</v>
      </c>
      <c r="F366" s="385">
        <f t="shared" si="128"/>
        <v>17.722683474085493</v>
      </c>
      <c r="G366" s="110">
        <f t="shared" si="151"/>
        <v>0.92957221322639516</v>
      </c>
      <c r="H366" s="414" t="b">
        <f>Wh_hp&gt;='2022'!Maxi_hp</f>
        <v>0</v>
      </c>
      <c r="I366" s="390">
        <f>IF(H366,Wh_hp,'2022'!Maxi_hp)</f>
        <v>18.946814090960533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4.4699141247867891E-2</v>
      </c>
      <c r="M366" s="844"/>
      <c r="N366" s="844"/>
      <c r="O366" s="48">
        <f>IF(t&lt;Tnet,'2022'!Resal+('2022'!Salim-'2022'!Resal)*(1-EXP(('2022'!Tnet-t)/('2022'!Tau_j))),Resal+(Salim-Resal)*(1-EXP((Tnet-t)/(Tau_j))))*Salcycl</f>
        <v>5.4454433996422219E-2</v>
      </c>
      <c r="P366" s="169">
        <f>(INDEX(Models!$BJ366:$BT366,,T366)*(1-R366)+INDEX(Models!$BJ366:$BT366,,T366+1)*R366-ERP_i)*Q366*Ramure*Pc/MaxiM</f>
        <v>1.5671092402783542E-3</v>
      </c>
      <c r="Q366" s="305">
        <f t="shared" si="130"/>
        <v>0.7</v>
      </c>
      <c r="R366" s="177">
        <f t="shared" si="131"/>
        <v>0.79926598620734346</v>
      </c>
      <c r="S366" s="810">
        <f t="shared" si="132"/>
        <v>0</v>
      </c>
      <c r="T366" s="176">
        <f t="shared" si="133"/>
        <v>6</v>
      </c>
      <c r="U366" s="251">
        <f t="shared" si="134"/>
        <v>0.79926598620734346</v>
      </c>
      <c r="V366" s="383">
        <f t="shared" si="135"/>
        <v>17.194432937040737</v>
      </c>
      <c r="W366" s="402">
        <f t="shared" si="136"/>
        <v>15.985985877153103</v>
      </c>
      <c r="X366" s="157">
        <f t="shared" si="137"/>
        <v>45278</v>
      </c>
      <c r="Y366" s="385">
        <f t="shared" si="138"/>
        <v>14.755981107537384</v>
      </c>
      <c r="Z366" s="385">
        <f t="shared" si="139"/>
        <v>15.446422948695428</v>
      </c>
      <c r="AA366" s="386">
        <f t="shared" si="140"/>
        <v>17.697698591994165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0.12720725418598425</v>
      </c>
      <c r="AD366" s="231">
        <f>(INDEX(Models!$BJ366:$BT366,,AH366)*(1-AF366)+INDEX(Models!$BJ366:$BT366,,AH366+1)*AF366-ERP_i)*AE366*Ramure*Pc/MaxiM</f>
        <v>1.5671092402783542E-3</v>
      </c>
      <c r="AE366" s="305">
        <f t="shared" si="142"/>
        <v>0.7</v>
      </c>
      <c r="AF366" s="177">
        <f t="shared" si="143"/>
        <v>0.79926598620734346</v>
      </c>
      <c r="AG366" s="810">
        <f t="shared" si="149"/>
        <v>0</v>
      </c>
      <c r="AH366" s="176">
        <f t="shared" si="144"/>
        <v>6</v>
      </c>
      <c r="AI366" s="225">
        <f t="shared" si="145"/>
        <v>0.79926598620734346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13.243253792935596</v>
      </c>
      <c r="C367" s="840"/>
      <c r="D367" s="393">
        <f t="shared" si="127"/>
        <v>13.863236768435641</v>
      </c>
      <c r="E367" s="385">
        <f t="shared" si="150"/>
        <v>14.663669112021701</v>
      </c>
      <c r="F367" s="385">
        <f t="shared" si="128"/>
        <v>14.679053191261813</v>
      </c>
      <c r="G367" s="110">
        <f t="shared" si="151"/>
        <v>0.76885037076160379</v>
      </c>
      <c r="H367" s="414" t="b">
        <f>Wh_hp&gt;='2022'!Maxi_hp</f>
        <v>0</v>
      </c>
      <c r="I367" s="390">
        <f>IF(H367,Wh_hp,'2022'!Maxi_hp)</f>
        <v>18.60656481230383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4.4721372494455736E-2</v>
      </c>
      <c r="M367" s="844"/>
      <c r="N367" s="844"/>
      <c r="O367" s="48">
        <f>IF(t&lt;Tnet,'2022'!Resal+('2022'!Salim-'2022'!Resal)*(1-EXP(('2022'!Tnet-t)/('2022'!Tau_j))),Resal+(Salim-Resal)*(1-EXP((Tnet-t)/(Tau_j))))*Salcycl</f>
        <v>5.4586088752496577E-2</v>
      </c>
      <c r="P367" s="169">
        <f>(INDEX(Models!$BJ367:$BT367,,T367)*(1-R367)+INDEX(Models!$BJ367:$BT367,,T367+1)*R367-ERP_i)*Q367*Ramure*Pc/MaxiM</f>
        <v>1.5633988329187213E-3</v>
      </c>
      <c r="Q367" s="305">
        <f t="shared" si="130"/>
        <v>0.7</v>
      </c>
      <c r="R367" s="177">
        <f t="shared" si="131"/>
        <v>0.79927227354651653</v>
      </c>
      <c r="S367" s="810">
        <f t="shared" si="132"/>
        <v>0</v>
      </c>
      <c r="T367" s="176">
        <f t="shared" si="133"/>
        <v>6</v>
      </c>
      <c r="U367" s="251">
        <f t="shared" si="134"/>
        <v>0.79927227354651653</v>
      </c>
      <c r="V367" s="383">
        <f t="shared" si="135"/>
        <v>17.215861457000425</v>
      </c>
      <c r="W367" s="402">
        <f t="shared" si="136"/>
        <v>13.243253792935596</v>
      </c>
      <c r="X367" s="157">
        <f t="shared" si="137"/>
        <v>45279</v>
      </c>
      <c r="Y367" s="385">
        <f t="shared" si="138"/>
        <v>12.225371482517629</v>
      </c>
      <c r="Z367" s="385">
        <f t="shared" si="139"/>
        <v>12.797702293875171</v>
      </c>
      <c r="AA367" s="386">
        <f t="shared" si="140"/>
        <v>14.663669112021701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0.12725101772903194</v>
      </c>
      <c r="AD367" s="231">
        <f>(INDEX(Models!$BJ367:$BT367,,AH367)*(1-AF367)+INDEX(Models!$BJ367:$BT367,,AH367+1)*AF367-ERP_i)*AE367*Ramure*Pc/MaxiM</f>
        <v>1.5633988329187213E-3</v>
      </c>
      <c r="AE367" s="305">
        <f t="shared" si="142"/>
        <v>0.7</v>
      </c>
      <c r="AF367" s="177">
        <f t="shared" si="143"/>
        <v>0.79927227354651653</v>
      </c>
      <c r="AG367" s="810">
        <f t="shared" si="149"/>
        <v>0</v>
      </c>
      <c r="AH367" s="176">
        <f t="shared" si="144"/>
        <v>6</v>
      </c>
      <c r="AI367" s="225">
        <f t="shared" si="145"/>
        <v>0.79927227354651653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4.651514807711683</v>
      </c>
      <c r="C368" s="840"/>
      <c r="D368" s="393">
        <f t="shared" si="127"/>
        <v>4.8693888085011352</v>
      </c>
      <c r="E368" s="385">
        <f t="shared" si="150"/>
        <v>5.1512553651314272</v>
      </c>
      <c r="F368" s="385">
        <f t="shared" si="128"/>
        <v>5.1512553651314272</v>
      </c>
      <c r="G368" s="110">
        <f t="shared" si="151"/>
        <v>0.26934263884466003</v>
      </c>
      <c r="H368" s="414" t="b">
        <f>Wh_hp&gt;='2022'!Maxi_hp</f>
        <v>0</v>
      </c>
      <c r="I368" s="390">
        <f>IF(H368,Wh_hp,'2022'!Maxi_hp)</f>
        <v>19.171871090766793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4.4743603223690087E-2</v>
      </c>
      <c r="M368" s="844"/>
      <c r="N368" s="844"/>
      <c r="O368" s="48">
        <f>IF(t&lt;Tnet,'2022'!Resal+('2022'!Salim-'2022'!Resal)*(1-EXP(('2022'!Tnet-t)/('2022'!Tau_j))),Resal+(Salim-Resal)*(1-EXP((Tnet-t)/(Tau_j))))*Salcycl</f>
        <v>5.4718032139938498E-2</v>
      </c>
      <c r="P368" s="169">
        <f>(INDEX(Models!$BJ368:$BT368,,T368)*(1-R368)+INDEX(Models!$BJ368:$BT368,,T368+1)*R368-ERP_i)*Q368*Ramure*Pc/MaxiM</f>
        <v>1.5594286048124988E-3</v>
      </c>
      <c r="Q368" s="305">
        <f t="shared" si="130"/>
        <v>0.7</v>
      </c>
      <c r="R368" s="177">
        <f t="shared" si="131"/>
        <v>0.79927830792478716</v>
      </c>
      <c r="S368" s="810">
        <f t="shared" si="132"/>
        <v>0</v>
      </c>
      <c r="T368" s="176">
        <f t="shared" si="133"/>
        <v>6</v>
      </c>
      <c r="U368" s="251">
        <f t="shared" si="134"/>
        <v>0.79927830792478716</v>
      </c>
      <c r="V368" s="383">
        <f t="shared" si="135"/>
        <v>17.24294795055954</v>
      </c>
      <c r="W368" s="402">
        <f t="shared" si="136"/>
        <v>4.651514807711683</v>
      </c>
      <c r="X368" s="157">
        <f t="shared" si="137"/>
        <v>45280</v>
      </c>
      <c r="Y368" s="385">
        <f t="shared" si="138"/>
        <v>4.2943763338427106</v>
      </c>
      <c r="Z368" s="385">
        <f t="shared" si="139"/>
        <v>4.4955221952293449</v>
      </c>
      <c r="AA368" s="386">
        <f t="shared" si="140"/>
        <v>5.1512553651314272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0.12729579945515901</v>
      </c>
      <c r="AD368" s="231">
        <f>(INDEX(Models!$BJ368:$BT368,,AH368)*(1-AF368)+INDEX(Models!$BJ368:$BT368,,AH368+1)*AF368-ERP_i)*AE368*Ramure*Pc/MaxiM</f>
        <v>1.5594286048124988E-3</v>
      </c>
      <c r="AE368" s="305">
        <f t="shared" si="142"/>
        <v>0.7</v>
      </c>
      <c r="AF368" s="177">
        <f t="shared" si="143"/>
        <v>0.79927830792478716</v>
      </c>
      <c r="AG368" s="810">
        <f t="shared" si="149"/>
        <v>0</v>
      </c>
      <c r="AH368" s="176">
        <f t="shared" si="144"/>
        <v>6</v>
      </c>
      <c r="AI368" s="225">
        <f t="shared" si="145"/>
        <v>0.79927830792478716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16.581730792186782</v>
      </c>
      <c r="C369" s="840"/>
      <c r="D369" s="393">
        <f t="shared" si="127"/>
        <v>17.358812501257592</v>
      </c>
      <c r="E369" s="385">
        <f t="shared" si="150"/>
        <v>18.366203047366426</v>
      </c>
      <c r="F369" s="385">
        <f t="shared" si="128"/>
        <v>18.393170107579483</v>
      </c>
      <c r="G369" s="110">
        <f t="shared" si="151"/>
        <v>0.95979588076952427</v>
      </c>
      <c r="H369" s="414" t="b">
        <f>Wh_hp&gt;='2022'!Maxi_hp</f>
        <v>0</v>
      </c>
      <c r="I369" s="390">
        <f>IF(H369,Wh_hp,'2022'!Maxi_hp)</f>
        <v>18.393584426720921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4.4765833435582825E-2</v>
      </c>
      <c r="M369" s="844"/>
      <c r="N369" s="844"/>
      <c r="O369" s="48">
        <f>IF(t&lt;Tnet,'2022'!Resal+('2022'!Salim-'2022'!Resal)*(1-EXP(('2022'!Tnet-t)/('2022'!Tau_j))),Resal+(Salim-Resal)*(1-EXP((Tnet-t)/(Tau_j))))*Salcycl</f>
        <v>5.4850234613587505E-2</v>
      </c>
      <c r="P369" s="169">
        <f>(INDEX(Models!$BJ369:$BT369,,T369)*(1-R369)+INDEX(Models!$BJ369:$BT369,,T369+1)*R369-ERP_i)*Q369*Ramure*Pc/MaxiM</f>
        <v>1.5552816950837143E-3</v>
      </c>
      <c r="Q369" s="305">
        <f t="shared" si="130"/>
        <v>0.7</v>
      </c>
      <c r="R369" s="177">
        <f t="shared" si="131"/>
        <v>0.79928409951245671</v>
      </c>
      <c r="S369" s="810">
        <f t="shared" si="132"/>
        <v>0</v>
      </c>
      <c r="T369" s="176">
        <f t="shared" si="133"/>
        <v>6</v>
      </c>
      <c r="U369" s="251">
        <f t="shared" si="134"/>
        <v>0.79928409951245671</v>
      </c>
      <c r="V369" s="383">
        <f t="shared" si="135"/>
        <v>17.274767394570645</v>
      </c>
      <c r="W369" s="402">
        <f t="shared" si="136"/>
        <v>16.581730792186782</v>
      </c>
      <c r="X369" s="157">
        <f t="shared" si="137"/>
        <v>45281</v>
      </c>
      <c r="Y369" s="385">
        <f t="shared" si="138"/>
        <v>15.309941830154621</v>
      </c>
      <c r="Z369" s="385">
        <f t="shared" si="139"/>
        <v>16.027422768197415</v>
      </c>
      <c r="AA369" s="386">
        <f t="shared" si="140"/>
        <v>18.366203047366426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0.12734152362016779</v>
      </c>
      <c r="AD369" s="231">
        <f>(INDEX(Models!$BJ369:$BT369,,AH369)*(1-AF369)+INDEX(Models!$BJ369:$BT369,,AH369+1)*AF369-ERP_i)*AE369*Ramure*Pc/MaxiM</f>
        <v>1.5552816950837143E-3</v>
      </c>
      <c r="AE369" s="305">
        <f t="shared" si="142"/>
        <v>0.7</v>
      </c>
      <c r="AF369" s="177">
        <f t="shared" si="143"/>
        <v>0.79928409951245671</v>
      </c>
      <c r="AG369" s="810">
        <f t="shared" si="149"/>
        <v>0</v>
      </c>
      <c r="AH369" s="176">
        <f t="shared" si="144"/>
        <v>6</v>
      </c>
      <c r="AI369" s="225">
        <f t="shared" si="145"/>
        <v>0.79928409951245671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12.719944083053035</v>
      </c>
      <c r="C370" s="840"/>
      <c r="D370" s="393">
        <f t="shared" si="127"/>
        <v>13.316357964218057</v>
      </c>
      <c r="E370" s="385">
        <f t="shared" si="150"/>
        <v>14.091125634147753</v>
      </c>
      <c r="F370" s="385">
        <f t="shared" si="128"/>
        <v>14.104714844278405</v>
      </c>
      <c r="G370" s="110">
        <f t="shared" si="151"/>
        <v>0.73438315645295338</v>
      </c>
      <c r="H370" s="414" t="b">
        <f>Wh_hp&gt;='2022'!Maxi_hp</f>
        <v>0</v>
      </c>
      <c r="I370" s="390">
        <f>IF(H370,Wh_hp,'2022'!Maxi_hp)</f>
        <v>18.146352200038717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4.478806313014605E-2</v>
      </c>
      <c r="M370" s="844"/>
      <c r="N370" s="844"/>
      <c r="O370" s="48">
        <f>IF(t&lt;Tnet,'2022'!Resal+('2022'!Salim-'2022'!Resal)*(1-EXP(('2022'!Tnet-t)/('2022'!Tau_j))),Resal+(Salim-Resal)*(1-EXP((Tnet-t)/(Tau_j))))*Salcycl</f>
        <v>5.4982667108734111E-2</v>
      </c>
      <c r="P370" s="169">
        <f>(INDEX(Models!$BJ370:$BT370,,T370)*(1-R370)+INDEX(Models!$BJ370:$BT370,,T370+1)*R370-ERP_i)*Q370*Ramure*Pc/MaxiM</f>
        <v>1.5510403086070091E-3</v>
      </c>
      <c r="Q370" s="305">
        <f t="shared" si="130"/>
        <v>0.7</v>
      </c>
      <c r="R370" s="177">
        <f t="shared" si="131"/>
        <v>0.79928965807149455</v>
      </c>
      <c r="S370" s="810">
        <f t="shared" si="132"/>
        <v>0</v>
      </c>
      <c r="T370" s="176">
        <f t="shared" si="133"/>
        <v>6</v>
      </c>
      <c r="U370" s="251">
        <f t="shared" si="134"/>
        <v>0.79928965807149455</v>
      </c>
      <c r="V370" s="383">
        <f t="shared" si="135"/>
        <v>17.310395354251622</v>
      </c>
      <c r="W370" s="402">
        <f t="shared" si="136"/>
        <v>12.719944083053035</v>
      </c>
      <c r="X370" s="157">
        <f t="shared" si="137"/>
        <v>45282</v>
      </c>
      <c r="Y370" s="385">
        <f t="shared" si="138"/>
        <v>11.745365911618913</v>
      </c>
      <c r="Z370" s="385">
        <f t="shared" si="139"/>
        <v>12.296083683907312</v>
      </c>
      <c r="AA370" s="386">
        <f t="shared" si="140"/>
        <v>14.091125634147753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0.12738811624036789</v>
      </c>
      <c r="AD370" s="231">
        <f>(INDEX(Models!$BJ370:$BT370,,AH370)*(1-AF370)+INDEX(Models!$BJ370:$BT370,,AH370+1)*AF370-ERP_i)*AE370*Ramure*Pc/MaxiM</f>
        <v>1.5510403086070091E-3</v>
      </c>
      <c r="AE370" s="305">
        <f t="shared" si="142"/>
        <v>0.7</v>
      </c>
      <c r="AF370" s="177">
        <f t="shared" si="143"/>
        <v>0.79928965807149455</v>
      </c>
      <c r="AG370" s="810">
        <f t="shared" si="149"/>
        <v>0</v>
      </c>
      <c r="AH370" s="176">
        <f t="shared" si="144"/>
        <v>6</v>
      </c>
      <c r="AI370" s="225">
        <f t="shared" si="145"/>
        <v>0.79928965807149455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13.38114341735646</v>
      </c>
      <c r="C371" s="840"/>
      <c r="D371" s="393">
        <f t="shared" si="127"/>
        <v>14.008885679558304</v>
      </c>
      <c r="E371" s="385">
        <f t="shared" si="150"/>
        <v>14.826026601490376</v>
      </c>
      <c r="F371" s="385">
        <f t="shared" si="128"/>
        <v>14.841482773325348</v>
      </c>
      <c r="G371" s="110">
        <f t="shared" si="151"/>
        <v>0.77090581024850913</v>
      </c>
      <c r="H371" s="414" t="b">
        <f>Wh_hp&gt;='2022'!Maxi_hp</f>
        <v>0</v>
      </c>
      <c r="I371" s="390">
        <f>IF(H371,Wh_hp,'2022'!Maxi_hp)</f>
        <v>16.298095724245826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4.4810292307391864E-2</v>
      </c>
      <c r="M371" s="844"/>
      <c r="N371" s="844"/>
      <c r="O371" s="48">
        <f>IF(t&lt;Tnet,'2022'!Resal+('2022'!Salim-'2022'!Resal)*(1-EXP(('2022'!Tnet-t)/('2022'!Tau_j))),Resal+(Salim-Resal)*(1-EXP((Tnet-t)/(Tau_j))))*Salcycl</f>
        <v>5.5115301212931178E-2</v>
      </c>
      <c r="P371" s="169">
        <f>(INDEX(Models!$BJ371:$BT371,,T371)*(1-R371)+INDEX(Models!$BJ371:$BT371,,T371+1)*R371-ERP_i)*Q371*Ramure*Pc/MaxiM</f>
        <v>1.5467813581142556E-3</v>
      </c>
      <c r="Q371" s="305">
        <f t="shared" si="130"/>
        <v>0.7</v>
      </c>
      <c r="R371" s="177">
        <f t="shared" si="131"/>
        <v>0.79928965807149455</v>
      </c>
      <c r="S371" s="810">
        <f t="shared" si="132"/>
        <v>0</v>
      </c>
      <c r="T371" s="176">
        <f t="shared" si="133"/>
        <v>6</v>
      </c>
      <c r="U371" s="251">
        <f t="shared" si="134"/>
        <v>0.79928965807149455</v>
      </c>
      <c r="V371" s="383">
        <f t="shared" si="135"/>
        <v>17.348908045914737</v>
      </c>
      <c r="W371" s="402">
        <f t="shared" si="136"/>
        <v>13.38114341735646</v>
      </c>
      <c r="X371" s="157">
        <f t="shared" si="137"/>
        <v>45283</v>
      </c>
      <c r="Y371" s="385">
        <f t="shared" si="138"/>
        <v>12.356968693857242</v>
      </c>
      <c r="Z371" s="385">
        <f t="shared" si="139"/>
        <v>12.936664407437132</v>
      </c>
      <c r="AA371" s="386">
        <f t="shared" si="140"/>
        <v>14.826026601490376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0.12743550546869495</v>
      </c>
      <c r="AD371" s="231">
        <f>(INDEX(Models!$BJ371:$BT371,,AH371)*(1-AF371)+INDEX(Models!$BJ371:$BT371,,AH371+1)*AF371-ERP_i)*AE371*Ramure*Pc/MaxiM</f>
        <v>1.5467813581142556E-3</v>
      </c>
      <c r="AE371" s="305">
        <f t="shared" si="142"/>
        <v>0.7</v>
      </c>
      <c r="AF371" s="177">
        <f t="shared" si="143"/>
        <v>0.79928965807149455</v>
      </c>
      <c r="AG371" s="810">
        <f t="shared" si="149"/>
        <v>0</v>
      </c>
      <c r="AH371" s="176">
        <f t="shared" si="144"/>
        <v>6</v>
      </c>
      <c r="AI371" s="225">
        <f t="shared" si="145"/>
        <v>0.79928965807149455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17.193013096145211</v>
      </c>
      <c r="C372" s="840"/>
      <c r="D372" s="393">
        <f t="shared" si="127"/>
        <v>17.999998401910826</v>
      </c>
      <c r="E372" s="385">
        <f t="shared" si="150"/>
        <v>19.05261961325516</v>
      </c>
      <c r="F372" s="385">
        <f t="shared" si="128"/>
        <v>19.081579753872642</v>
      </c>
      <c r="G372" s="110">
        <f t="shared" si="151"/>
        <v>0.98868288880169131</v>
      </c>
      <c r="H372" s="414" t="b">
        <f>Wh_hp&gt;='2022'!Maxi_hp</f>
        <v>0</v>
      </c>
      <c r="I372" s="390">
        <f>IF(H372,Wh_hp,'2022'!Maxi_hp)</f>
        <v>19.0816996155081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4.4832520967332257E-2</v>
      </c>
      <c r="M372" s="844"/>
      <c r="N372" s="844"/>
      <c r="O372" s="48">
        <f>IF(t&lt;Tnet,'2022'!Resal+('2022'!Salim-'2022'!Resal)*(1-EXP(('2022'!Tnet-t)/('2022'!Tau_j))),Resal+(Salim-Resal)*(1-EXP((Tnet-t)/(Tau_j))))*Salcycl</f>
        <v>5.5248109326237319E-2</v>
      </c>
      <c r="P372" s="169">
        <f>(INDEX(Models!$BJ372:$BT372,,T372)*(1-R372)+INDEX(Models!$BJ372:$BT372,,T372+1)*R372-ERP_i)*Q372*Ramure*Pc/MaxiM</f>
        <v>1.5425865764373233E-3</v>
      </c>
      <c r="Q372" s="305">
        <f t="shared" si="130"/>
        <v>0.7</v>
      </c>
      <c r="R372" s="177">
        <f t="shared" si="131"/>
        <v>0.79928965807149455</v>
      </c>
      <c r="S372" s="810">
        <f t="shared" si="132"/>
        <v>0</v>
      </c>
      <c r="T372" s="176">
        <f t="shared" si="133"/>
        <v>6</v>
      </c>
      <c r="U372" s="251">
        <f t="shared" si="134"/>
        <v>0.79928965807149455</v>
      </c>
      <c r="V372" s="383">
        <f t="shared" si="135"/>
        <v>17.389382166572961</v>
      </c>
      <c r="W372" s="402">
        <f t="shared" si="136"/>
        <v>17.193013096145211</v>
      </c>
      <c r="X372" s="157">
        <f t="shared" si="137"/>
        <v>45284</v>
      </c>
      <c r="Y372" s="385">
        <f t="shared" si="138"/>
        <v>15.878439262919974</v>
      </c>
      <c r="Z372" s="385">
        <f t="shared" si="139"/>
        <v>16.623722657518279</v>
      </c>
      <c r="AA372" s="386">
        <f t="shared" si="140"/>
        <v>19.05261961325516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0.12748362193968665</v>
      </c>
      <c r="AD372" s="231">
        <f>(INDEX(Models!$BJ372:$BT372,,AH372)*(1-AF372)+INDEX(Models!$BJ372:$BT372,,AH372+1)*AF372-ERP_i)*AE372*Ramure*Pc/MaxiM</f>
        <v>1.5425865764373233E-3</v>
      </c>
      <c r="AE372" s="305">
        <f t="shared" si="142"/>
        <v>0.7</v>
      </c>
      <c r="AF372" s="177">
        <f t="shared" si="143"/>
        <v>0.79928965807149455</v>
      </c>
      <c r="AG372" s="810">
        <f t="shared" si="149"/>
        <v>0</v>
      </c>
      <c r="AH372" s="176">
        <f t="shared" si="144"/>
        <v>6</v>
      </c>
      <c r="AI372" s="225">
        <f t="shared" si="145"/>
        <v>0.79928965807149455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9.8456631071782272</v>
      </c>
      <c r="C373" s="840"/>
      <c r="D373" s="393">
        <f t="shared" si="127"/>
        <v>10.30802707546718</v>
      </c>
      <c r="E373" s="385">
        <f t="shared" si="150"/>
        <v>10.912365496231665</v>
      </c>
      <c r="F373" s="385">
        <f t="shared" si="128"/>
        <v>10.918719934434225</v>
      </c>
      <c r="G373" s="110">
        <f t="shared" si="151"/>
        <v>0.56426398271397582</v>
      </c>
      <c r="H373" s="414" t="b">
        <f>Wh_hp&gt;='2022'!Maxi_hp</f>
        <v>0</v>
      </c>
      <c r="I373" s="390">
        <f>IF(H373,Wh_hp,'2022'!Maxi_hp)</f>
        <v>15.376095224212161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4.4854749109979219E-2</v>
      </c>
      <c r="M373" s="844"/>
      <c r="N373" s="844"/>
      <c r="O373" s="48">
        <f>IF(t&lt;Tnet,'2022'!Resal+('2022'!Salim-'2022'!Resal)*(1-EXP(('2022'!Tnet-t)/('2022'!Tau_j))),Resal+(Salim-Resal)*(1-EXP((Tnet-t)/(Tau_j))))*Salcycl</f>
        <v>5.5381064808833508E-2</v>
      </c>
      <c r="P373" s="169">
        <f>(INDEX(Models!$BJ373:$BT373,,T373)*(1-R373)+INDEX(Models!$BJ373:$BT373,,T373+1)*R373-ERP_i)*Q373*Ramure*Pc/MaxiM</f>
        <v>1.5384312781615375E-3</v>
      </c>
      <c r="Q373" s="305">
        <f t="shared" si="130"/>
        <v>0.7</v>
      </c>
      <c r="R373" s="177">
        <f t="shared" si="131"/>
        <v>0.79928965807149455</v>
      </c>
      <c r="S373" s="810">
        <f t="shared" si="132"/>
        <v>0</v>
      </c>
      <c r="T373" s="176">
        <f t="shared" si="133"/>
        <v>6</v>
      </c>
      <c r="U373" s="251">
        <f t="shared" si="134"/>
        <v>0.79928965807149455</v>
      </c>
      <c r="V373" s="383">
        <f t="shared" si="135"/>
        <v>17.431983952851837</v>
      </c>
      <c r="W373" s="402">
        <f t="shared" si="136"/>
        <v>9.8456631071782272</v>
      </c>
      <c r="X373" s="157">
        <f t="shared" si="137"/>
        <v>45285</v>
      </c>
      <c r="Y373" s="385">
        <f t="shared" si="138"/>
        <v>9.0936373923466398</v>
      </c>
      <c r="Z373" s="385">
        <f t="shared" si="139"/>
        <v>9.5206853448447042</v>
      </c>
      <c r="AA373" s="386">
        <f t="shared" si="140"/>
        <v>10.912365496231665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0.12753239908134903</v>
      </c>
      <c r="AD373" s="231">
        <f>(INDEX(Models!$BJ373:$BT373,,AH373)*(1-AF373)+INDEX(Models!$BJ373:$BT373,,AH373+1)*AF373-ERP_i)*AE373*Ramure*Pc/MaxiM</f>
        <v>1.5384312781615375E-3</v>
      </c>
      <c r="AE373" s="305">
        <f t="shared" si="142"/>
        <v>0.7</v>
      </c>
      <c r="AF373" s="177">
        <f t="shared" si="143"/>
        <v>0.79928965807149455</v>
      </c>
      <c r="AG373" s="810">
        <f t="shared" si="149"/>
        <v>0</v>
      </c>
      <c r="AH373" s="176">
        <f t="shared" si="144"/>
        <v>6</v>
      </c>
      <c r="AI373" s="225">
        <f t="shared" si="145"/>
        <v>0.79928965807149455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16.746260140402075</v>
      </c>
      <c r="C374" s="840"/>
      <c r="D374" s="393">
        <f t="shared" si="127"/>
        <v>17.533092316383051</v>
      </c>
      <c r="E374" s="385">
        <f t="shared" si="150"/>
        <v>18.563636681280439</v>
      </c>
      <c r="F374" s="385">
        <f t="shared" si="128"/>
        <v>18.590452790481894</v>
      </c>
      <c r="G374" s="110">
        <f t="shared" si="151"/>
        <v>0.95805430427829197</v>
      </c>
      <c r="H374" s="414" t="b">
        <f>Wh_hp&gt;='2022'!Maxi_hp</f>
        <v>0</v>
      </c>
      <c r="I374" s="390">
        <f>IF(H374,Wh_hp,'2022'!Maxi_hp)</f>
        <v>18.590882091539495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4.4876976735344853E-2</v>
      </c>
      <c r="M374" s="844"/>
      <c r="N374" s="844"/>
      <c r="O374" s="48">
        <f>IF(t&lt;Tnet,'2022'!Resal+('2022'!Salim-'2022'!Resal)*(1-EXP(('2022'!Tnet-t)/('2022'!Tau_j))),Resal+(Salim-Resal)*(1-EXP((Tnet-t)/(Tau_j))))*Salcycl</f>
        <v>5.5514142115083986E-2</v>
      </c>
      <c r="P374" s="169">
        <f>(INDEX(Models!$BJ374:$BT374,,T374)*(1-R374)+INDEX(Models!$BJ374:$BT374,,T374+1)*R374-ERP_i)*Q374*Ramure*Pc/MaxiM</f>
        <v>1.5342071853508574E-3</v>
      </c>
      <c r="Q374" s="305">
        <f t="shared" si="130"/>
        <v>0.7</v>
      </c>
      <c r="R374" s="177">
        <f t="shared" si="131"/>
        <v>0.79928965807149455</v>
      </c>
      <c r="S374" s="810">
        <f t="shared" si="132"/>
        <v>0</v>
      </c>
      <c r="T374" s="176">
        <f t="shared" si="133"/>
        <v>6</v>
      </c>
      <c r="U374" s="251">
        <f t="shared" si="134"/>
        <v>0.79928965807149455</v>
      </c>
      <c r="V374" s="383">
        <f t="shared" si="135"/>
        <v>17.477841847188138</v>
      </c>
      <c r="W374" s="402">
        <f t="shared" si="136"/>
        <v>16.746260140402075</v>
      </c>
      <c r="X374" s="157">
        <f t="shared" si="137"/>
        <v>45286</v>
      </c>
      <c r="Y374" s="385">
        <f t="shared" si="138"/>
        <v>15.468460911334715</v>
      </c>
      <c r="Z374" s="385">
        <f t="shared" si="139"/>
        <v>16.195254992872847</v>
      </c>
      <c r="AA374" s="386">
        <f t="shared" si="140"/>
        <v>18.563636681280439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0.12758177339227217</v>
      </c>
      <c r="AD374" s="231">
        <f>(INDEX(Models!$BJ374:$BT374,,AH374)*(1-AF374)+INDEX(Models!$BJ374:$BT374,,AH374+1)*AF374-ERP_i)*AE374*Ramure*Pc/MaxiM</f>
        <v>1.5342071853508574E-3</v>
      </c>
      <c r="AE374" s="305">
        <f t="shared" si="142"/>
        <v>0.7</v>
      </c>
      <c r="AF374" s="177">
        <f t="shared" si="143"/>
        <v>0.79928965807149455</v>
      </c>
      <c r="AG374" s="810">
        <f t="shared" si="149"/>
        <v>0</v>
      </c>
      <c r="AH374" s="176">
        <f t="shared" si="144"/>
        <v>6</v>
      </c>
      <c r="AI374" s="225">
        <f t="shared" si="145"/>
        <v>0.79928965807149455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6.8048749733887135</v>
      </c>
      <c r="C375" s="840"/>
      <c r="D375" s="393">
        <f t="shared" si="127"/>
        <v>7.1247715432469052</v>
      </c>
      <c r="E375" s="385">
        <f t="shared" si="150"/>
        <v>7.5446087789559471</v>
      </c>
      <c r="F375" s="385">
        <f t="shared" si="128"/>
        <v>7.5460654441848831</v>
      </c>
      <c r="G375" s="110">
        <f t="shared" si="151"/>
        <v>0.38772132512844093</v>
      </c>
      <c r="H375" s="414" t="b">
        <f>Wh_hp&gt;='2022'!Maxi_hp</f>
        <v>0</v>
      </c>
      <c r="I375" s="390">
        <f>IF(H375,Wh_hp,'2022'!Maxi_hp)</f>
        <v>18.041116002865003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4.4899203843441149E-2</v>
      </c>
      <c r="M375" s="844"/>
      <c r="N375" s="844"/>
      <c r="O375" s="48">
        <f>IF(t&lt;Tnet,'2022'!Resal+('2022'!Salim-'2022'!Resal)*(1-EXP(('2022'!Tnet-t)/('2022'!Tau_j))),Resal+(Salim-Resal)*(1-EXP((Tnet-t)/(Tau_j))))*Salcycl</f>
        <v>5.5647316913248958E-2</v>
      </c>
      <c r="P375" s="169">
        <f>(INDEX(Models!$BJ375:$BT375,,T375)*(1-R375)+INDEX(Models!$BJ375:$BT375,,T375+1)*R375-ERP_i)*Q375*Ramure*Pc/MaxiM</f>
        <v>1.5313229436771524E-3</v>
      </c>
      <c r="Q375" s="305">
        <f t="shared" si="130"/>
        <v>0.7</v>
      </c>
      <c r="R375" s="177">
        <f t="shared" si="131"/>
        <v>0.79928965807149455</v>
      </c>
      <c r="S375" s="810">
        <f t="shared" si="132"/>
        <v>0</v>
      </c>
      <c r="T375" s="176">
        <f t="shared" si="133"/>
        <v>6</v>
      </c>
      <c r="U375" s="251">
        <f t="shared" si="134"/>
        <v>0.79928965807149455</v>
      </c>
      <c r="V375" s="383">
        <f t="shared" si="135"/>
        <v>17.527450521740288</v>
      </c>
      <c r="W375" s="402">
        <f t="shared" si="136"/>
        <v>6.8048749733887135</v>
      </c>
      <c r="X375" s="157">
        <f t="shared" si="137"/>
        <v>45287</v>
      </c>
      <c r="Y375" s="385">
        <f t="shared" si="138"/>
        <v>6.2861655637766649</v>
      </c>
      <c r="Z375" s="385">
        <f t="shared" si="139"/>
        <v>6.5816776502259824</v>
      </c>
      <c r="AA375" s="386">
        <f t="shared" si="140"/>
        <v>7.5446087789559471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0.12763168468269062</v>
      </c>
      <c r="AD375" s="231">
        <f>(INDEX(Models!$BJ375:$BT375,,AH375)*(1-AF375)+INDEX(Models!$BJ375:$BT375,,AH375+1)*AF375-ERP_i)*AE375*Ramure*Pc/MaxiM</f>
        <v>1.5313229436771524E-3</v>
      </c>
      <c r="AE375" s="305">
        <f t="shared" si="142"/>
        <v>0.7</v>
      </c>
      <c r="AF375" s="177">
        <f t="shared" si="143"/>
        <v>0.79928965807149455</v>
      </c>
      <c r="AG375" s="810">
        <f t="shared" si="149"/>
        <v>0</v>
      </c>
      <c r="AH375" s="176">
        <f t="shared" si="144"/>
        <v>6</v>
      </c>
      <c r="AI375" s="225">
        <f t="shared" si="145"/>
        <v>0.79928965807149455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16.193323693265576</v>
      </c>
      <c r="C376" s="840"/>
      <c r="D376" s="393">
        <f t="shared" si="127"/>
        <v>16.95496497280719</v>
      </c>
      <c r="E376" s="385">
        <f t="shared" si="150"/>
        <v>17.956593950196652</v>
      </c>
      <c r="F376" s="385">
        <f t="shared" si="128"/>
        <v>17.980996845845521</v>
      </c>
      <c r="G376" s="110">
        <f t="shared" si="151"/>
        <v>0.92089310415438808</v>
      </c>
      <c r="H376" s="414" t="b">
        <f>Wh_hp&gt;='2022'!Maxi_hp</f>
        <v>0</v>
      </c>
      <c r="I376" s="390">
        <f>IF(H376,Wh_hp,'2022'!Maxi_hp)</f>
        <v>17.981774315909167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4.4921430434280096E-2</v>
      </c>
      <c r="M376" s="844"/>
      <c r="N376" s="844"/>
      <c r="O376" s="48">
        <f>IF(t&lt;Tnet,'2022'!Resal+('2022'!Salim-'2022'!Resal)*(1-EXP(('2022'!Tnet-t)/('2022'!Tau_j))),Resal+(Salim-Resal)*(1-EXP((Tnet-t)/(Tau_j))))*Salcycl</f>
        <v>5.5780566190198388E-2</v>
      </c>
      <c r="P376" s="169">
        <f>(INDEX(Models!$BJ376:$BT376,,T376)*(1-R376)+INDEX(Models!$BJ376:$BT376,,T376+1)*R376-ERP_i)*Q376*Ramure*Pc/MaxiM</f>
        <v>1.5296691901080033E-3</v>
      </c>
      <c r="Q376" s="305">
        <f t="shared" si="130"/>
        <v>0.7</v>
      </c>
      <c r="R376" s="177">
        <f t="shared" si="131"/>
        <v>0.79928965807149455</v>
      </c>
      <c r="S376" s="810">
        <f t="shared" si="132"/>
        <v>0</v>
      </c>
      <c r="T376" s="176">
        <f t="shared" si="133"/>
        <v>6</v>
      </c>
      <c r="U376" s="251">
        <f t="shared" si="134"/>
        <v>0.79928965807149455</v>
      </c>
      <c r="V376" s="383">
        <f t="shared" si="135"/>
        <v>17.581330723129955</v>
      </c>
      <c r="W376" s="402">
        <f t="shared" si="136"/>
        <v>16.193323693265576</v>
      </c>
      <c r="X376" s="157">
        <f t="shared" si="137"/>
        <v>45288</v>
      </c>
      <c r="Y376" s="385">
        <f t="shared" si="138"/>
        <v>14.960215810496242</v>
      </c>
      <c r="Z376" s="385">
        <f t="shared" si="139"/>
        <v>15.663858751745151</v>
      </c>
      <c r="AA376" s="386">
        <f t="shared" si="140"/>
        <v>17.956593950196652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0.1276820762785246</v>
      </c>
      <c r="AD376" s="231">
        <f>(INDEX(Models!$BJ376:$BT376,,AH376)*(1-AF376)+INDEX(Models!$BJ376:$BT376,,AH376+1)*AF376-ERP_i)*AE376*Ramure*Pc/MaxiM</f>
        <v>1.5296691901080033E-3</v>
      </c>
      <c r="AE376" s="305">
        <f t="shared" si="142"/>
        <v>0.7</v>
      </c>
      <c r="AF376" s="177">
        <f t="shared" si="143"/>
        <v>0.79928965807149455</v>
      </c>
      <c r="AG376" s="810">
        <f t="shared" si="149"/>
        <v>0</v>
      </c>
      <c r="AH376" s="176">
        <f t="shared" si="144"/>
        <v>6</v>
      </c>
      <c r="AI376" s="225">
        <f t="shared" si="145"/>
        <v>0.79928965807149455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9.1642908454309406</v>
      </c>
      <c r="C377" s="840"/>
      <c r="D377" s="393">
        <f t="shared" si="127"/>
        <v>9.5955499462179059</v>
      </c>
      <c r="E377" s="385">
        <f t="shared" si="150"/>
        <v>10.163850123878269</v>
      </c>
      <c r="F377" s="385">
        <f t="shared" si="128"/>
        <v>10.168726494441646</v>
      </c>
      <c r="G377" s="110">
        <f t="shared" si="151"/>
        <v>0.51897199593892607</v>
      </c>
      <c r="H377" s="414" t="b">
        <f>Wh_hp&gt;='2022'!Maxi_hp</f>
        <v>0</v>
      </c>
      <c r="I377" s="390">
        <f>IF(H377,Wh_hp,'2022'!Maxi_hp)</f>
        <v>20.470863800267029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4.4943656507873908E-2</v>
      </c>
      <c r="M377" s="844"/>
      <c r="N377" s="844"/>
      <c r="O377" s="48">
        <f>IF(t&lt;Tnet,'2022'!Resal+('2022'!Salim-'2022'!Resal)*(1-EXP(('2022'!Tnet-t)/('2022'!Tau_j))),Resal+(Salim-Resal)*(1-EXP((Tnet-t)/(Tau_j))))*Salcycl</f>
        <v>5.5913868340623882E-2</v>
      </c>
      <c r="P377" s="169">
        <f>(INDEX(Models!$BJ377:$BT377,,T377)*(1-R377)+INDEX(Models!$BJ377:$BT377,,T377+1)*R377-ERP_i)*Q377*Ramure*Pc/MaxiM</f>
        <v>1.5291810408814095E-3</v>
      </c>
      <c r="Q377" s="305">
        <f t="shared" si="130"/>
        <v>0.7</v>
      </c>
      <c r="R377" s="177">
        <f t="shared" si="131"/>
        <v>0.79928965807149455</v>
      </c>
      <c r="S377" s="810">
        <f t="shared" si="132"/>
        <v>0</v>
      </c>
      <c r="T377" s="176">
        <f t="shared" si="133"/>
        <v>6</v>
      </c>
      <c r="U377" s="251">
        <f t="shared" si="134"/>
        <v>0.79928965807149455</v>
      </c>
      <c r="V377" s="383">
        <f t="shared" si="135"/>
        <v>17.640002042173524</v>
      </c>
      <c r="W377" s="402">
        <f t="shared" si="136"/>
        <v>9.1642908454309406</v>
      </c>
      <c r="X377" s="157">
        <f t="shared" si="137"/>
        <v>45289</v>
      </c>
      <c r="Y377" s="385">
        <f t="shared" si="138"/>
        <v>8.4671399942619168</v>
      </c>
      <c r="Z377" s="385">
        <f t="shared" si="139"/>
        <v>8.865592121300562</v>
      </c>
      <c r="AA377" s="386">
        <f t="shared" si="140"/>
        <v>10.163850123878269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0.12773289518778586</v>
      </c>
      <c r="AD377" s="231">
        <f>(INDEX(Models!$BJ377:$BT377,,AH377)*(1-AF377)+INDEX(Models!$BJ377:$BT377,,AH377+1)*AF377-ERP_i)*AE377*Ramure*Pc/MaxiM</f>
        <v>1.5291810408814095E-3</v>
      </c>
      <c r="AE377" s="305">
        <f t="shared" si="142"/>
        <v>0.7</v>
      </c>
      <c r="AF377" s="177">
        <f t="shared" si="143"/>
        <v>0.79928965807149455</v>
      </c>
      <c r="AG377" s="810">
        <f t="shared" si="149"/>
        <v>0</v>
      </c>
      <c r="AH377" s="176">
        <f t="shared" si="144"/>
        <v>6</v>
      </c>
      <c r="AI377" s="225">
        <f t="shared" si="145"/>
        <v>0.79928965807149455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12.147932782330392</v>
      </c>
      <c r="C378" s="840"/>
      <c r="D378" s="393">
        <f t="shared" si="127"/>
        <v>12.719894037489713</v>
      </c>
      <c r="E378" s="385">
        <f t="shared" si="150"/>
        <v>13.475137825910865</v>
      </c>
      <c r="F378" s="385">
        <f t="shared" si="128"/>
        <v>13.486519668283579</v>
      </c>
      <c r="G378" s="110">
        <f t="shared" si="151"/>
        <v>0.68569844413486336</v>
      </c>
      <c r="H378" s="414" t="b">
        <f>Wh_hp&gt;='2022'!Maxi_hp</f>
        <v>0</v>
      </c>
      <c r="I378" s="390">
        <f>IF(H378,Wh_hp,'2022'!Maxi_hp)</f>
        <v>18.88344038484756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4.4965882064234464E-2</v>
      </c>
      <c r="M378" s="844"/>
      <c r="N378" s="844"/>
      <c r="O378" s="48">
        <f>IF(t&lt;Tnet,'2022'!Resal+('2022'!Salim-'2022'!Resal)*(1-EXP(('2022'!Tnet-t)/('2022'!Tau_j))),Resal+(Salim-Resal)*(1-EXP((Tnet-t)/(Tau_j))))*Salcycl</f>
        <v>5.6047203240394403E-2</v>
      </c>
      <c r="P378" s="169">
        <f>(INDEX(Models!$BJ378:$BT378,,T378)*(1-R378)+INDEX(Models!$BJ378:$BT378,,T378+1)*R378-ERP_i)*Q378*Ramure*Pc/MaxiM</f>
        <v>1.5297934636881001E-3</v>
      </c>
      <c r="Q378" s="305">
        <f t="shared" si="130"/>
        <v>0.7</v>
      </c>
      <c r="R378" s="177">
        <f t="shared" si="131"/>
        <v>0.79928965807149455</v>
      </c>
      <c r="S378" s="810">
        <f t="shared" si="132"/>
        <v>0</v>
      </c>
      <c r="T378" s="176">
        <f t="shared" si="133"/>
        <v>6</v>
      </c>
      <c r="U378" s="251">
        <f t="shared" si="134"/>
        <v>0.79928965807149455</v>
      </c>
      <c r="V378" s="383">
        <f t="shared" si="135"/>
        <v>17.703983687127966</v>
      </c>
      <c r="W378" s="402">
        <f t="shared" si="136"/>
        <v>12.147932782330392</v>
      </c>
      <c r="X378" s="157">
        <f t="shared" si="137"/>
        <v>45290</v>
      </c>
      <c r="Y378" s="385">
        <f t="shared" si="138"/>
        <v>11.224735236394238</v>
      </c>
      <c r="Z378" s="385">
        <f t="shared" si="139"/>
        <v>11.753229571165122</v>
      </c>
      <c r="AA378" s="386">
        <f t="shared" si="140"/>
        <v>13.475137825910865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0.12778409222907883</v>
      </c>
      <c r="AD378" s="231">
        <f>(INDEX(Models!$BJ378:$BT378,,AH378)*(1-AF378)+INDEX(Models!$BJ378:$BT378,,AH378+1)*AF378-ERP_i)*AE378*Ramure*Pc/MaxiM</f>
        <v>1.5297934636881001E-3</v>
      </c>
      <c r="AE378" s="305">
        <f t="shared" si="142"/>
        <v>0.7</v>
      </c>
      <c r="AF378" s="177">
        <f t="shared" si="143"/>
        <v>0.79928965807149455</v>
      </c>
      <c r="AG378" s="810">
        <f t="shared" si="149"/>
        <v>0</v>
      </c>
      <c r="AH378" s="176">
        <f t="shared" si="144"/>
        <v>6</v>
      </c>
      <c r="AI378" s="225">
        <f t="shared" si="145"/>
        <v>0.79928965807149455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9.041464878249176</v>
      </c>
      <c r="C379" s="840"/>
      <c r="D379" s="393">
        <f t="shared" si="127"/>
        <v>9.4673845901810747</v>
      </c>
      <c r="E379" s="385">
        <f t="shared" si="150"/>
        <v>10.030927645420805</v>
      </c>
      <c r="F379" s="385">
        <f t="shared" si="128"/>
        <v>10.035509661320223</v>
      </c>
      <c r="G379" s="110">
        <f t="shared" si="151"/>
        <v>0.5081493502659099</v>
      </c>
      <c r="H379" s="414" t="b">
        <f>Wh_hp&gt;='2022'!Maxi_hp</f>
        <v>0</v>
      </c>
      <c r="I379" s="390">
        <f>IF(H379,Wh_hp,'2022'!Maxi_hp)</f>
        <v>18.889316634056641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4.4988107103373975E-2</v>
      </c>
      <c r="M379" s="844"/>
      <c r="N379" s="844"/>
      <c r="O379" s="48">
        <f>IF(t&lt;Tnet,'2022'!Resal+('2022'!Salim-'2022'!Resal)*(1-EXP(('2022'!Tnet-t)/('2022'!Tau_j))),Resal+(Salim-Resal)*(1-EXP((Tnet-t)/(Tau_j))))*Salcycl</f>
        <v>5.618055230385325E-2</v>
      </c>
      <c r="P379" s="169">
        <f>(INDEX(Models!$BJ379:$BT379,,T379)*(1-R379)+INDEX(Models!$BJ379:$BT379,,T379+1)*R379-ERP_i)*Q379*Ramure*Pc/MaxiM</f>
        <v>1.5314410605251016E-3</v>
      </c>
      <c r="Q379" s="306">
        <f t="shared" si="130"/>
        <v>0.7</v>
      </c>
      <c r="R379" s="177">
        <f t="shared" si="131"/>
        <v>0.79928965807149455</v>
      </c>
      <c r="S379" s="810">
        <f t="shared" si="132"/>
        <v>0</v>
      </c>
      <c r="T379" s="176">
        <f t="shared" si="133"/>
        <v>6</v>
      </c>
      <c r="U379" s="307">
        <f t="shared" si="134"/>
        <v>0.79928965807149455</v>
      </c>
      <c r="V379" s="383">
        <f t="shared" si="135"/>
        <v>17.773794492481468</v>
      </c>
      <c r="W379" s="402">
        <f t="shared" si="136"/>
        <v>9.041464878249176</v>
      </c>
      <c r="X379" s="157">
        <f t="shared" si="137"/>
        <v>45291</v>
      </c>
      <c r="Y379" s="385">
        <f t="shared" si="138"/>
        <v>8.3550340161884868</v>
      </c>
      <c r="Z379" s="385">
        <f t="shared" si="139"/>
        <v>8.7486177694049587</v>
      </c>
      <c r="AA379" s="386">
        <f t="shared" si="140"/>
        <v>10.030927645420805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0.12783562212227012</v>
      </c>
      <c r="AD379" s="231">
        <f>(INDEX(Models!$BJ379:$BT379,,AH379)*(1-AF379)+INDEX(Models!$BJ379:$BT379,,AH379+1)*AF379-ERP_i)*AE379*Ramure*Pc/MaxiM</f>
        <v>1.5314410605251016E-3</v>
      </c>
      <c r="AE379" s="306">
        <f t="shared" si="142"/>
        <v>0.7</v>
      </c>
      <c r="AF379" s="177">
        <f t="shared" si="143"/>
        <v>0.79928965807149455</v>
      </c>
      <c r="AG379" s="810">
        <f t="shared" si="149"/>
        <v>0</v>
      </c>
      <c r="AH379" s="176">
        <f t="shared" si="144"/>
        <v>6</v>
      </c>
      <c r="AI379" s="222">
        <f t="shared" si="145"/>
        <v>0.79928965807149455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8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11.874887310297245</v>
      </c>
      <c r="J380" s="85">
        <f>IF(H380,An,'2022'!An_max)</f>
        <v>2020</v>
      </c>
      <c r="K380" s="234"/>
      <c r="L380" s="214"/>
      <c r="M380" s="849"/>
      <c r="N380" s="849"/>
      <c r="O380" s="153"/>
      <c r="P380" s="322"/>
      <c r="Q380" s="229"/>
      <c r="R380" s="229"/>
      <c r="S380" s="229"/>
      <c r="T380" s="229"/>
      <c r="U380" s="323"/>
      <c r="V380" s="383">
        <f>(V379+V15)/2</f>
        <v>17.453523748081736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1.6251304430217521</v>
      </c>
      <c r="C381" s="375"/>
      <c r="D381" s="373">
        <f>MIN(D15:D380)</f>
        <v>1.687685571007032</v>
      </c>
      <c r="E381" s="373">
        <f>MIN(E15:E380)</f>
        <v>1.8813533958904893</v>
      </c>
      <c r="F381" s="374">
        <f>MIN(F15:F380)</f>
        <v>1.8813533958904893</v>
      </c>
      <c r="G381" s="125">
        <f>+MIN(G15:G380)</f>
        <v>8.941529670653009E-2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3.6863925964485622E-2</v>
      </c>
      <c r="M381" s="846"/>
      <c r="N381" s="846"/>
      <c r="O381" s="47">
        <f t="shared" si="152"/>
        <v>1.8199148020337074E-2</v>
      </c>
      <c r="P381" s="168">
        <f t="shared" si="152"/>
        <v>1.4492888388199982E-4</v>
      </c>
      <c r="Q381" s="310">
        <f t="shared" si="152"/>
        <v>0.7</v>
      </c>
      <c r="R381" s="311">
        <f t="shared" si="152"/>
        <v>0.39929067650043126</v>
      </c>
      <c r="S381" s="810">
        <f t="shared" si="152"/>
        <v>0</v>
      </c>
      <c r="T381" s="176">
        <f t="shared" si="152"/>
        <v>6</v>
      </c>
      <c r="U381" s="252">
        <f>+MIN(U15:U380)</f>
        <v>0.39929067650043126</v>
      </c>
      <c r="V381" s="57">
        <f>MIN(V15:V380)</f>
        <v>17.133253003682007</v>
      </c>
      <c r="W381" s="58"/>
      <c r="X381" s="112" t="s">
        <v>7</v>
      </c>
      <c r="Y381" s="373">
        <f>MIN(Y15:Y380)</f>
        <v>1.5390538182112368</v>
      </c>
      <c r="Z381" s="373">
        <f>MIN(Z15:Z380)</f>
        <v>1.5982956526054184</v>
      </c>
      <c r="AA381" s="373">
        <f>MIN(AA15:AA380)</f>
        <v>1.8813533958904893</v>
      </c>
      <c r="AB381" s="200" t="s">
        <v>7</v>
      </c>
      <c r="AC381" s="47">
        <f t="shared" ref="AC381:AH381" si="153">MIN(AC15:AC380)</f>
        <v>0.11290212760149075</v>
      </c>
      <c r="AD381" s="168">
        <f t="shared" si="153"/>
        <v>1.4492888388199982E-4</v>
      </c>
      <c r="AE381" s="310">
        <f t="shared" si="153"/>
        <v>0.7</v>
      </c>
      <c r="AF381" s="311">
        <f t="shared" si="153"/>
        <v>0.39929067650043126</v>
      </c>
      <c r="AG381" s="810">
        <f t="shared" si="153"/>
        <v>0</v>
      </c>
      <c r="AH381" s="176">
        <f t="shared" si="153"/>
        <v>6</v>
      </c>
      <c r="AI381" s="226">
        <f>MIN(AI15:AI380)</f>
        <v>0.39929067650043126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29.251406898356439</v>
      </c>
      <c r="C382" s="375"/>
      <c r="D382" s="375">
        <f>AVERAGE(D15:D380)</f>
        <v>30.497499843303057</v>
      </c>
      <c r="E382" s="375">
        <f>AVERAGE(E15:E380)</f>
        <v>32.217348940895533</v>
      </c>
      <c r="F382" s="376">
        <f>AVERAGE(F15:F380)</f>
        <v>32.240706119128909</v>
      </c>
      <c r="G382" s="126">
        <f>AVERAGE(G15:G380)</f>
        <v>0.71305020490948656</v>
      </c>
      <c r="H382" s="94"/>
      <c r="I382" s="376">
        <f>AVERAGE(I15:I380)</f>
        <v>41.217568322299591</v>
      </c>
      <c r="J382" s="59">
        <f>AVERAGE(J15:J380)</f>
        <v>2020.4453551912568</v>
      </c>
      <c r="K382" s="200" t="s">
        <v>8</v>
      </c>
      <c r="L382" s="147">
        <f t="shared" ref="L382:V382" si="154">AVERAGE(L15:L380)</f>
        <v>4.0931735705941018E-2</v>
      </c>
      <c r="M382" s="844"/>
      <c r="N382" s="844"/>
      <c r="O382" s="48">
        <f t="shared" si="154"/>
        <v>6.1245672391269136E-2</v>
      </c>
      <c r="P382" s="169">
        <f t="shared" si="154"/>
        <v>1.3778419528685426E-3</v>
      </c>
      <c r="Q382" s="312">
        <f t="shared" si="154"/>
        <v>0.69999999999999529</v>
      </c>
      <c r="R382" s="177">
        <f t="shared" si="154"/>
        <v>0.6231975540997462</v>
      </c>
      <c r="S382" s="810">
        <f t="shared" si="154"/>
        <v>0</v>
      </c>
      <c r="T382" s="176">
        <f t="shared" si="154"/>
        <v>6</v>
      </c>
      <c r="U382" s="251">
        <f t="shared" si="154"/>
        <v>0.6231975540997462</v>
      </c>
      <c r="V382" s="59">
        <f t="shared" si="154"/>
        <v>39.526511765002681</v>
      </c>
      <c r="X382" s="112" t="s">
        <v>8</v>
      </c>
      <c r="Y382" s="375">
        <f>AVERAGE(Y15:Y380)</f>
        <v>26.876643154521414</v>
      </c>
      <c r="Z382" s="375">
        <f>AVERAGE(Z15:Z380)</f>
        <v>28.020991852483757</v>
      </c>
      <c r="AA382" s="375">
        <f>AVERAGE(AA15:AA380)</f>
        <v>32.217348940895533</v>
      </c>
      <c r="AB382" s="200" t="s">
        <v>8</v>
      </c>
      <c r="AC382" s="48">
        <f t="shared" ref="AC382:AH382" si="155">AVERAGE(AC15:AC380)</f>
        <v>0.13309941232647851</v>
      </c>
      <c r="AD382" s="169">
        <f t="shared" si="155"/>
        <v>1.3778419528685426E-3</v>
      </c>
      <c r="AE382" s="312">
        <f t="shared" si="155"/>
        <v>0.69999999999999529</v>
      </c>
      <c r="AF382" s="177">
        <f t="shared" si="155"/>
        <v>0.6231975540997462</v>
      </c>
      <c r="AG382" s="810">
        <f t="shared" si="155"/>
        <v>0</v>
      </c>
      <c r="AH382" s="176">
        <f t="shared" si="155"/>
        <v>6</v>
      </c>
      <c r="AI382" s="225">
        <f>AVERAGE(AI15:AI380)</f>
        <v>0.6231975540997462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61.266209113541478</v>
      </c>
      <c r="C383" s="377"/>
      <c r="D383" s="377">
        <f>MAX(D15:D380)</f>
        <v>63.830634790819175</v>
      </c>
      <c r="E383" s="377">
        <f>MAX(E15:E380)</f>
        <v>65.3842152917573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2023</v>
      </c>
      <c r="K383" s="200" t="s">
        <v>9</v>
      </c>
      <c r="L383" s="148">
        <f t="shared" ref="L383:T383" si="156">MAX(L15:L380)</f>
        <v>4.4988107103373975E-2</v>
      </c>
      <c r="M383" s="847"/>
      <c r="N383" s="847"/>
      <c r="O383" s="49">
        <f t="shared" si="156"/>
        <v>0.11276994136905134</v>
      </c>
      <c r="P383" s="170">
        <f t="shared" si="156"/>
        <v>4.4535750126488078E-3</v>
      </c>
      <c r="Q383" s="313">
        <f t="shared" si="156"/>
        <v>0.7</v>
      </c>
      <c r="R383" s="314">
        <f t="shared" si="156"/>
        <v>0.79928965807149455</v>
      </c>
      <c r="S383" s="811">
        <f t="shared" si="156"/>
        <v>0</v>
      </c>
      <c r="T383" s="233">
        <f t="shared" si="156"/>
        <v>6</v>
      </c>
      <c r="U383" s="253">
        <f>+MAX(U15:U380)</f>
        <v>0.79928965807149455</v>
      </c>
      <c r="V383" s="60">
        <f>MAX(V15:V380)</f>
        <v>60.119124423583401</v>
      </c>
      <c r="X383" s="112" t="s">
        <v>9</v>
      </c>
      <c r="Y383" s="377">
        <f>MAX(Y15:Y380)</f>
        <v>55.400680531429586</v>
      </c>
      <c r="Z383" s="377">
        <f>MAX(Z15:Z380)</f>
        <v>57.719592208014042</v>
      </c>
      <c r="AA383" s="377">
        <f>MAX(AA15:AA380)</f>
        <v>65.3842152917573</v>
      </c>
      <c r="AB383" s="200" t="s">
        <v>9</v>
      </c>
      <c r="AC383" s="49">
        <f t="shared" ref="AC383:AH383" si="157">MAX(AC15:AC380)</f>
        <v>0.15536720233869103</v>
      </c>
      <c r="AD383" s="170">
        <f t="shared" si="157"/>
        <v>4.4535750126488078E-3</v>
      </c>
      <c r="AE383" s="313">
        <f t="shared" si="157"/>
        <v>0.7</v>
      </c>
      <c r="AF383" s="314">
        <f t="shared" si="157"/>
        <v>0.79928965807149455</v>
      </c>
      <c r="AG383" s="811">
        <f t="shared" si="157"/>
        <v>0</v>
      </c>
      <c r="AH383" s="233">
        <f t="shared" si="157"/>
        <v>6</v>
      </c>
      <c r="AI383" s="227">
        <f>MAX(AI15:AI380)</f>
        <v>0.79928965807149455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'2023'!An+1</f>
        <v>2024</v>
      </c>
      <c r="K1" s="1274"/>
      <c r="L1" s="113" t="str">
        <f>"Calcul pertes et enveloppes en "&amp;TEXT(An,0)</f>
        <v>Calcul pertes et enveloppes en 2024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680.2174657834687</v>
      </c>
      <c r="AK4" s="833">
        <f>AM12-AK12</f>
        <v>-0.62159364105042414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680.2174657834687</v>
      </c>
      <c r="AA5" s="237">
        <f>Wh_Pvg_s-Wh_Pvg</f>
        <v>-0.62159364105042414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10298.345723181492</v>
      </c>
      <c r="AK6" s="515">
        <f>SUMIF(AK15:AK380,"FAUX",Wh)</f>
        <v>10298.345723181492</v>
      </c>
      <c r="AL6" s="515">
        <f>SUMIF(AJ15:AJ380,"FAUX",Wh_s)</f>
        <v>9618.0243664474729</v>
      </c>
      <c r="AM6" s="515">
        <f>SUMIF(AK15:AK380,"FAUX",Wh_s)</f>
        <v>9618.0243664474729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10828.056127041245</v>
      </c>
      <c r="AK8" s="515">
        <f>SUMIF(AK15:AK380,"FAUX",Wh_sa)</f>
        <v>11769.928577725344</v>
      </c>
      <c r="AL8" s="515">
        <f>SUMIF(AJ15:AJ380,"FAUX",Wh_pvt_s)</f>
        <v>10112.835306489058</v>
      </c>
      <c r="AM8" s="515">
        <f>SUMIF(AK15:AK380,"FAUX",Wh_sa_s)</f>
        <v>11769.928577725344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10828.056127041245</v>
      </c>
      <c r="E9" s="184">
        <f>SUM(E$15:E$380)</f>
        <v>11769.928577725344</v>
      </c>
      <c r="F9" s="184">
        <f>SUM(F$15:F$380)</f>
        <v>11780.682484959205</v>
      </c>
      <c r="H9" s="1275">
        <f>+SUM(Wh)</f>
        <v>10298.345723181492</v>
      </c>
      <c r="I9" s="1276"/>
      <c r="J9" s="1277"/>
      <c r="K9" s="191"/>
      <c r="L9" s="232"/>
      <c r="M9" s="232"/>
      <c r="N9" s="232"/>
      <c r="O9" s="223">
        <f>Tnet_2024</f>
        <v>45046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9618.0243664474729</v>
      </c>
      <c r="Y9" s="1270"/>
      <c r="Z9" s="515">
        <f>SUM(Z$15:Z$380)</f>
        <v>10112.835306489058</v>
      </c>
      <c r="AA9" s="515">
        <f>SUM(AA$15:AA$380)</f>
        <v>11769.928577725344</v>
      </c>
      <c r="AB9" s="515">
        <f>F9</f>
        <v>11780.682484959205</v>
      </c>
      <c r="AC9" s="325">
        <f>IF(An_Tnet,Tnet,'2023'!Tnet_s)</f>
        <v>45046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1.7999999999999999E-2</v>
      </c>
      <c r="P10" s="420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0.39999999999999991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0.11166667222860432</v>
      </c>
      <c r="AD10" s="427"/>
      <c r="AE10" s="427"/>
      <c r="AF10" s="260"/>
      <c r="AG10" s="261"/>
      <c r="AH10" s="262"/>
      <c r="AI10" s="472"/>
      <c r="AJ10" s="515">
        <f>SUMIF(AJ15:AJ380,"FAUX",Wh_sa)</f>
        <v>11769.928577725344</v>
      </c>
      <c r="AK10" s="515">
        <f>SUMIF(AK15:AK380,"FAUX",Wh_hp)</f>
        <v>11780.682484959205</v>
      </c>
      <c r="AL10" s="515">
        <f>SUMIF(AJ15:AJ380,"FAUX",Wh_sa_s)</f>
        <v>11769.928577725344</v>
      </c>
      <c r="AM10" s="515">
        <f>SUMIF(AK15:AK380,"FAUX",Wh_hp)</f>
        <v>11780.682484959205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529.71040385975357</v>
      </c>
      <c r="E11" s="51">
        <f>(E$9-D$9)*Prod_an/D$9</f>
        <v>895.79588528929253</v>
      </c>
      <c r="F11" s="186">
        <f>(F$9-E$9)*Prod_an/E$9</f>
        <v>9.4093565511440236</v>
      </c>
      <c r="G11" s="185" t="s">
        <v>6</v>
      </c>
      <c r="K11" s="194"/>
      <c r="L11" s="211">
        <f>Tvie_2024</f>
        <v>43313</v>
      </c>
      <c r="M11" s="843"/>
      <c r="N11" s="843"/>
      <c r="O11" s="202">
        <f>IF(An_Tnet,Salim_2024,'2023'!Salim)</f>
        <v>0.18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1.1992896580714945</v>
      </c>
      <c r="V11" s="427"/>
      <c r="W11" s="518"/>
      <c r="X11" s="525" t="s">
        <v>43</v>
      </c>
      <c r="Y11" s="50">
        <f>Z$9-Prod_an_s</f>
        <v>494.81094004158513</v>
      </c>
      <c r="Z11" s="51">
        <f>(AA$9-Z$9)*Prod_an_s/Z$9</f>
        <v>1576.0133510727612</v>
      </c>
      <c r="AA11" s="186">
        <f>(AB$9-AA$9)*Prod_an_s/AA$9</f>
        <v>8.7877629100935994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0</v>
      </c>
      <c r="AK11" s="833">
        <f>IF($AK7=0,0,($AK9-$AK7)*$AK5/$AK7)</f>
        <v>0</v>
      </c>
      <c r="AL11" s="832">
        <f>IF($AL7=0,0,($AL9-$AL7)*$AL5/$AL7)</f>
        <v>0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Pspv_2024</f>
        <v>0</v>
      </c>
      <c r="M12" s="212"/>
      <c r="N12" s="212"/>
      <c r="O12" s="205">
        <f>IF(An_Tnet,Tau_2024*365,'2023'!Tau_j)</f>
        <v>912.5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0.79928965807149455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'2023'!Df_s</f>
        <v>0.7</v>
      </c>
      <c r="AF12" s="203"/>
      <c r="AG12" s="203"/>
      <c r="AH12" s="203"/>
      <c r="AI12" s="297">
        <f>'2023'!Hdf_s</f>
        <v>0.79928965807149455</v>
      </c>
      <c r="AJ12" s="832">
        <f>IF($AJ8=0,0,($AJ10-$AJ8)*$AJ6/$AJ8)</f>
        <v>895.79588528929253</v>
      </c>
      <c r="AK12" s="833">
        <f>IF($AK8=0,0,($AK10-$AK8)*$AK6/$AK8)</f>
        <v>9.4093565511440236</v>
      </c>
      <c r="AL12" s="832">
        <f>IF($AL8=0,0,($AL10-$AL8)*$AL6/$AL8)</f>
        <v>1576.0133510727612</v>
      </c>
      <c r="AM12" s="833">
        <f>IF($AM8=0,0,($AM10-$AM8)*$AM6/$AM8)</f>
        <v>8.7877629100935994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895.79588528929253</v>
      </c>
      <c r="AK13" s="73">
        <f>+AK11+AK12</f>
        <v>9.4093565511440236</v>
      </c>
      <c r="AL13" s="73">
        <f>+AL11+AL12</f>
        <v>1576.0133510727612</v>
      </c>
      <c r="AM13" s="73">
        <f>+AM11+AM12</f>
        <v>8.7877629100935994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2024</v>
      </c>
      <c r="W14" s="837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17.477772743038408</v>
      </c>
      <c r="C15" s="840"/>
      <c r="D15" s="393">
        <f t="shared" ref="D15:D78" si="0">Wh/(1-Ppv)</f>
        <v>18.301530709524808</v>
      </c>
      <c r="E15" s="400">
        <f t="shared" ref="E15:E79" si="1">Wh_pvt/(1-Psa)</f>
        <v>19.393663508362838</v>
      </c>
      <c r="F15" s="400">
        <f t="shared" ref="F15:F78" si="2">Wh_sa/(1-Pvg*MEDIAN((-Sdif+Wh/Env_an)/Csdif,0,1))</f>
        <v>19.422571378162008</v>
      </c>
      <c r="G15" s="123">
        <f>+Wh_hp/MaxiM</f>
        <v>0.97910470847719722</v>
      </c>
      <c r="H15" s="414" t="b">
        <f>Wh_hp&gt;='2023'!Maxi_hp</f>
        <v>0</v>
      </c>
      <c r="I15" s="396">
        <f>IF(H15,Wh_hp,'2023'!Maxi_hp)</f>
        <v>19.423010960329702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4.5010331625304212E-2</v>
      </c>
      <c r="M15" s="844"/>
      <c r="N15" s="844"/>
      <c r="O15" s="48">
        <f>IF(t&lt;Tnet,'2023'!Resal+('2023'!Salim-'2023'!Resal)*(1-EXP(('2023'!Tnet-t)/('2023'!Tau_j))),Resal+(Salim-Resal)*(1-EXP((Tnet-t)/(Tau_j))))*Salcycl</f>
        <v>5.6313898525004645E-2</v>
      </c>
      <c r="P15" s="302">
        <f>(INDEX(Models!$BJ15:$BT15,,T15)*(1-R15)+INDEX(Models!$BJ15:$BT15,,T15+1)*R15-ERP_i)*Q15*Ramure*Pc/MaxiM</f>
        <v>1.5340588059389387E-3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0.7992906144700781</v>
      </c>
      <c r="S15" s="809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0.7992906144700781</v>
      </c>
      <c r="V15" s="382">
        <f t="shared" ref="V15:V78" si="9">MaxiM*(1-Ppv)*(1-Pvg)*(1-Psa)</f>
        <v>17.849952890895615</v>
      </c>
      <c r="W15" s="402">
        <f t="shared" ref="W15:W78" si="10">Wh*(A15&gt;Tmaj)</f>
        <v>17.477772743038408</v>
      </c>
      <c r="X15" s="156">
        <f t="shared" ref="X15:X78" si="11">t</f>
        <v>45292</v>
      </c>
      <c r="Y15" s="385">
        <f t="shared" ref="Y15:Y78" si="12">Wh_pvt_s*(1-Ppv)</f>
        <v>16.152177132102871</v>
      </c>
      <c r="Z15" s="385">
        <f>Wh_sa_s*(1-Psa_s)</f>
        <v>16.913457461369592</v>
      </c>
      <c r="AA15" s="386">
        <f t="shared" ref="AA15:AA78" si="13">Wh_hp*(1-Pvg_s*MEDIAN((-Sdif+Wh/Env_an)/Csdif,0,1))</f>
        <v>19.393663508362838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0.12788744354173942</v>
      </c>
      <c r="AD15" s="231">
        <f>(INDEX(Models!$BJ15:$BT15,,AH15)*(1-AF15)+INDEX(Models!$BJ15:$BT15,,AH15+1)*AF15-ERP_i)*AE15*Ramure*Pc/MaxiM</f>
        <v>1.5340588059389387E-3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0.7992906144700781</v>
      </c>
      <c r="AG15" s="809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0.7992906144700781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13.839653166575038</v>
      </c>
      <c r="C16" s="840"/>
      <c r="D16" s="393">
        <f t="shared" si="0"/>
        <v>14.49227745738046</v>
      </c>
      <c r="E16" s="385">
        <f t="shared" si="1"/>
        <v>15.359265389750611</v>
      </c>
      <c r="F16" s="385">
        <f t="shared" si="2"/>
        <v>15.375203332511578</v>
      </c>
      <c r="G16" s="110">
        <f t="shared" ref="G16:G79" si="21">+Wh_hp/MaxiM</f>
        <v>0.7713561791706337</v>
      </c>
      <c r="H16" s="414" t="b">
        <f>Wh_hp&gt;='2023'!Maxi_hp</f>
        <v>0</v>
      </c>
      <c r="I16" s="390">
        <f>IF(H16,Wh_hp,'2023'!Maxi_hp)</f>
        <v>17.983399088358674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4.5032555630037385E-2</v>
      </c>
      <c r="M16" s="844"/>
      <c r="N16" s="844"/>
      <c r="O16" s="48">
        <f>IF(t&lt;Tnet,'2023'!Resal+('2023'!Salim-'2023'!Resal)*(1-EXP(('2023'!Tnet-t)/('2023'!Tau_j))),Resal+(Salim-Resal)*(1-EXP((Tnet-t)/(Tau_j))))*Salcycl</f>
        <v>5.6447226502688061E-2</v>
      </c>
      <c r="P16" s="169">
        <f>(INDEX(Models!$BJ16:$BT16,,T16)*(1-R16)+INDEX(Models!$BJ16:$BT16,,T16+1)*R16-ERP_i)*Q16*Ramure*Pc/MaxiM</f>
        <v>1.5381665460020282E-3</v>
      </c>
      <c r="Q16" s="305">
        <f t="shared" si="4"/>
        <v>0.7</v>
      </c>
      <c r="R16" s="177">
        <f t="shared" si="5"/>
        <v>0.79931398616127347</v>
      </c>
      <c r="S16" s="810">
        <f t="shared" si="6"/>
        <v>0</v>
      </c>
      <c r="T16" s="176">
        <f t="shared" si="7"/>
        <v>6</v>
      </c>
      <c r="U16" s="251">
        <f t="shared" si="8"/>
        <v>0.79931398616127347</v>
      </c>
      <c r="V16" s="383">
        <f t="shared" si="9"/>
        <v>17.932966425018662</v>
      </c>
      <c r="W16" s="402">
        <f t="shared" si="10"/>
        <v>13.839653166575038</v>
      </c>
      <c r="X16" s="157">
        <f t="shared" si="11"/>
        <v>45293</v>
      </c>
      <c r="Y16" s="385">
        <f t="shared" si="12"/>
        <v>12.791032928388699</v>
      </c>
      <c r="Z16" s="385">
        <f t="shared" ref="Z16:Z78" si="22">Wh_sa_s*(1-Psa_s)</f>
        <v>13.394208361550534</v>
      </c>
      <c r="AA16" s="386">
        <f t="shared" si="13"/>
        <v>15.359265389750611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0.12793951913295146</v>
      </c>
      <c r="AD16" s="231">
        <f>(INDEX(Models!$BJ16:$BT16,,AH16)*(1-AF16)+INDEX(Models!$BJ16:$BT16,,AH16+1)*AF16-ERP_i)*AE16*Ramure*Pc/MaxiM</f>
        <v>1.5381665460020282E-3</v>
      </c>
      <c r="AE16" s="305">
        <f t="shared" si="15"/>
        <v>0.7</v>
      </c>
      <c r="AF16" s="177">
        <f t="shared" ref="AF16:AF78" si="23">(Hp_vg_s-AG16)/(INDEX(Echel_vg,AH16+1)-AG16)</f>
        <v>0.79931398616127347</v>
      </c>
      <c r="AG16" s="810">
        <f t="shared" ref="AG16:AG79" si="24">INDEX(Echel_vg,AH16)</f>
        <v>0</v>
      </c>
      <c r="AH16" s="176">
        <f t="shared" si="16"/>
        <v>6</v>
      </c>
      <c r="AI16" s="225">
        <f t="shared" si="17"/>
        <v>0.79931398616127347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13.678681319511096</v>
      </c>
      <c r="C17" s="840"/>
      <c r="D17" s="393">
        <f t="shared" si="0"/>
        <v>14.324048144742111</v>
      </c>
      <c r="E17" s="385">
        <f t="shared" si="1"/>
        <v>15.183116827246904</v>
      </c>
      <c r="F17" s="385">
        <f t="shared" si="2"/>
        <v>15.198498886401278</v>
      </c>
      <c r="G17" s="110">
        <f t="shared" si="21"/>
        <v>0.7585382351510902</v>
      </c>
      <c r="H17" s="414" t="b">
        <f>Wh_hp&gt;='2023'!Maxi_hp</f>
        <v>0</v>
      </c>
      <c r="I17" s="390">
        <f>IF(H17,Wh_hp,'2023'!Maxi_hp)</f>
        <v>19.915594108485788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4.5054779117585486E-2</v>
      </c>
      <c r="M17" s="844"/>
      <c r="N17" s="844"/>
      <c r="O17" s="48">
        <f>IF(t&lt;Tnet,'2023'!Resal+('2023'!Salim-'2023'!Resal)*(1-EXP(('2023'!Tnet-t)/('2023'!Tau_j))),Resal+(Salim-Resal)*(1-EXP((Tnet-t)/(Tau_j))))*Salcycl</f>
        <v>5.6580522449985203E-2</v>
      </c>
      <c r="P17" s="169">
        <f>(INDEX(Models!$BJ17:$BT17,,T17)*(1-R17)+INDEX(Models!$BJ17:$BT17,,T17+1)*R17-ERP_i)*Q17*Ramure*Pc/MaxiM</f>
        <v>1.5436681080470069E-3</v>
      </c>
      <c r="Q17" s="305">
        <f t="shared" si="4"/>
        <v>0.7</v>
      </c>
      <c r="R17" s="177">
        <f t="shared" si="5"/>
        <v>0.79933833543766508</v>
      </c>
      <c r="S17" s="810">
        <f t="shared" si="6"/>
        <v>0</v>
      </c>
      <c r="T17" s="176">
        <f t="shared" si="7"/>
        <v>6</v>
      </c>
      <c r="U17" s="251">
        <f t="shared" si="8"/>
        <v>0.79933833543766508</v>
      </c>
      <c r="V17" s="383">
        <f t="shared" si="9"/>
        <v>18.023353156206866</v>
      </c>
      <c r="W17" s="402">
        <f t="shared" si="10"/>
        <v>13.678681319511096</v>
      </c>
      <c r="X17" s="157">
        <f t="shared" si="11"/>
        <v>45294</v>
      </c>
      <c r="Y17" s="385">
        <f t="shared" si="12"/>
        <v>12.643285778715301</v>
      </c>
      <c r="Z17" s="385">
        <f t="shared" si="22"/>
        <v>13.239802139679078</v>
      </c>
      <c r="AA17" s="386">
        <f t="shared" si="13"/>
        <v>15.183116827246904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0.12799181549340682</v>
      </c>
      <c r="AD17" s="231">
        <f>(INDEX(Models!$BJ17:$BT17,,AH17)*(1-AF17)+INDEX(Models!$BJ17:$BT17,,AH17+1)*AF17-ERP_i)*AE17*Ramure*Pc/MaxiM</f>
        <v>1.5436681080470069E-3</v>
      </c>
      <c r="AE17" s="305">
        <f t="shared" si="15"/>
        <v>0.7</v>
      </c>
      <c r="AF17" s="177">
        <f>(Hp_vg_s-AG17)/(INDEX(Echel_vg,AH17+1)-AG17)</f>
        <v>0.79933833543766508</v>
      </c>
      <c r="AG17" s="810">
        <f>INDEX(Echel_vg,AH17)</f>
        <v>0</v>
      </c>
      <c r="AH17" s="176">
        <f t="shared" si="16"/>
        <v>6</v>
      </c>
      <c r="AI17" s="225">
        <f t="shared" si="17"/>
        <v>0.79933833543766508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14.167473038228032</v>
      </c>
      <c r="C18" s="840"/>
      <c r="D18" s="393">
        <f t="shared" si="0"/>
        <v>14.836246555173066</v>
      </c>
      <c r="E18" s="385">
        <f t="shared" si="1"/>
        <v>15.728255273107179</v>
      </c>
      <c r="F18" s="385">
        <f t="shared" si="2"/>
        <v>15.745058005679436</v>
      </c>
      <c r="G18" s="110">
        <f t="shared" si="21"/>
        <v>0.78142077255966846</v>
      </c>
      <c r="H18" s="414" t="b">
        <f>Wh_hp&gt;='2023'!Maxi_hp</f>
        <v>0</v>
      </c>
      <c r="I18" s="390">
        <f>IF(H18,Wh_hp,'2023'!Maxi_hp)</f>
        <v>20.019430838359703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4.5077002087960616E-2</v>
      </c>
      <c r="M18" s="844"/>
      <c r="N18" s="844"/>
      <c r="O18" s="48">
        <f>IF(t&lt;Tnet,'2023'!Resal+('2023'!Salim-'2023'!Resal)*(1-EXP(('2023'!Tnet-t)/('2023'!Tau_j))),Resal+(Salim-Resal)*(1-EXP((Tnet-t)/(Tau_j))))*Salcycl</f>
        <v>5.6713774188247405E-2</v>
      </c>
      <c r="P18" s="169">
        <f>(INDEX(Models!$BJ18:$BT18,,T18)*(1-R18)+INDEX(Models!$BJ18:$BT18,,T18+1)*R18-ERP_i)*Q18*Ramure*Pc/MaxiM</f>
        <v>1.5504857204117475E-3</v>
      </c>
      <c r="Q18" s="305">
        <f t="shared" si="4"/>
        <v>0.7</v>
      </c>
      <c r="R18" s="177">
        <f t="shared" si="5"/>
        <v>0.79936370306270121</v>
      </c>
      <c r="S18" s="810">
        <f t="shared" si="6"/>
        <v>0</v>
      </c>
      <c r="T18" s="176">
        <f t="shared" si="7"/>
        <v>6</v>
      </c>
      <c r="U18" s="251">
        <f t="shared" si="8"/>
        <v>0.79936370306270121</v>
      </c>
      <c r="V18" s="383">
        <f t="shared" si="9"/>
        <v>18.121630405911677</v>
      </c>
      <c r="W18" s="402">
        <f t="shared" si="10"/>
        <v>14.167473038228032</v>
      </c>
      <c r="X18" s="157">
        <f t="shared" si="11"/>
        <v>45295</v>
      </c>
      <c r="Y18" s="385">
        <f t="shared" si="12"/>
        <v>13.096140373994535</v>
      </c>
      <c r="Z18" s="385">
        <f>Wh_sa_s*(1-Psa_s)</f>
        <v>13.714341787379235</v>
      </c>
      <c r="AA18" s="386">
        <f t="shared" si="13"/>
        <v>15.728255273107179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0.12804430311933046</v>
      </c>
      <c r="AD18" s="231">
        <f>(INDEX(Models!$BJ18:$BT18,,AH18)*(1-AF18)+INDEX(Models!$BJ18:$BT18,,AH18+1)*AF18-ERP_i)*AE18*Ramure*Pc/MaxiM</f>
        <v>1.5504857204117475E-3</v>
      </c>
      <c r="AE18" s="305">
        <f t="shared" si="15"/>
        <v>0.7</v>
      </c>
      <c r="AF18" s="177">
        <f t="shared" si="23"/>
        <v>0.79936370306270121</v>
      </c>
      <c r="AG18" s="810">
        <f t="shared" si="24"/>
        <v>0</v>
      </c>
      <c r="AH18" s="176">
        <f t="shared" si="16"/>
        <v>6</v>
      </c>
      <c r="AI18" s="225">
        <f t="shared" si="17"/>
        <v>0.79936370306270121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12.1243855136099</v>
      </c>
      <c r="C19" s="840"/>
      <c r="D19" s="393">
        <f t="shared" si="0"/>
        <v>12.697010857263354</v>
      </c>
      <c r="E19" s="385">
        <f t="shared" si="1"/>
        <v>13.462301947357911</v>
      </c>
      <c r="F19" s="385">
        <f t="shared" si="2"/>
        <v>13.473255424291102</v>
      </c>
      <c r="G19" s="110">
        <f t="shared" si="21"/>
        <v>0.66464391347611695</v>
      </c>
      <c r="H19" s="414" t="b">
        <f>Wh_hp&gt;='2023'!Maxi_hp</f>
        <v>0</v>
      </c>
      <c r="I19" s="390">
        <f>IF(H19,Wh_hp,'2023'!Maxi_hp)</f>
        <v>19.724952113879578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4.5099224541174765E-2</v>
      </c>
      <c r="M19" s="844"/>
      <c r="N19" s="844"/>
      <c r="O19" s="48">
        <f>IF(t&lt;Tnet,'2023'!Resal+('2023'!Salim-'2023'!Resal)*(1-EXP(('2023'!Tnet-t)/('2023'!Tau_j))),Resal+(Salim-Resal)*(1-EXP((Tnet-t)/(Tau_j))))*Salcycl</f>
        <v>5.6846971126268055E-2</v>
      </c>
      <c r="P19" s="169">
        <f>(INDEX(Models!$BJ19:$BT19,,T19)*(1-R19)+INDEX(Models!$BJ19:$BT19,,T19+1)*R19-ERP_i)*Q19*Ramure*Pc/MaxiM</f>
        <v>1.5585395338264592E-3</v>
      </c>
      <c r="Q19" s="305">
        <f t="shared" si="4"/>
        <v>0.7</v>
      </c>
      <c r="R19" s="177">
        <f t="shared" si="5"/>
        <v>0.79939013148875049</v>
      </c>
      <c r="S19" s="810">
        <f t="shared" si="6"/>
        <v>0</v>
      </c>
      <c r="T19" s="176">
        <f t="shared" si="7"/>
        <v>6</v>
      </c>
      <c r="U19" s="251">
        <f t="shared" si="8"/>
        <v>0.79939013148875049</v>
      </c>
      <c r="V19" s="383">
        <f t="shared" si="9"/>
        <v>18.228315121291569</v>
      </c>
      <c r="W19" s="402">
        <f t="shared" si="10"/>
        <v>12.1243855136099</v>
      </c>
      <c r="X19" s="157">
        <f t="shared" si="11"/>
        <v>45296</v>
      </c>
      <c r="Y19" s="385">
        <f t="shared" si="12"/>
        <v>11.208455370909482</v>
      </c>
      <c r="Z19" s="385">
        <f t="shared" si="22"/>
        <v>11.737822042844057</v>
      </c>
      <c r="AA19" s="386">
        <f t="shared" si="13"/>
        <v>13.462301947357911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0.12809695631973983</v>
      </c>
      <c r="AD19" s="231">
        <f>(INDEX(Models!$BJ19:$BT19,,AH19)*(1-AF19)+INDEX(Models!$BJ19:$BT19,,AH19+1)*AF19-ERP_i)*AE19*Ramure*Pc/MaxiM</f>
        <v>1.5585395338264592E-3</v>
      </c>
      <c r="AE19" s="305">
        <f t="shared" si="15"/>
        <v>0.7</v>
      </c>
      <c r="AF19" s="177">
        <f t="shared" si="23"/>
        <v>0.79939013148875049</v>
      </c>
      <c r="AG19" s="810">
        <f t="shared" si="24"/>
        <v>0</v>
      </c>
      <c r="AH19" s="176">
        <f t="shared" si="16"/>
        <v>6</v>
      </c>
      <c r="AI19" s="225">
        <f t="shared" si="17"/>
        <v>0.79939013148875049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15.575315526849076</v>
      </c>
      <c r="C20" s="840"/>
      <c r="D20" s="393">
        <f t="shared" si="0"/>
        <v>16.311305211943719</v>
      </c>
      <c r="E20" s="385">
        <f t="shared" si="1"/>
        <v>17.296883432711709</v>
      </c>
      <c r="F20" s="385">
        <f t="shared" si="2"/>
        <v>17.318180009305664</v>
      </c>
      <c r="G20" s="110">
        <f t="shared" si="21"/>
        <v>0.84878482472491412</v>
      </c>
      <c r="H20" s="414" t="b">
        <f>Wh_hp&gt;='2023'!Maxi_hp</f>
        <v>0</v>
      </c>
      <c r="I20" s="390">
        <f>IF(H20,Wh_hp,'2023'!Maxi_hp)</f>
        <v>19.527156693189088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4.5121446477239924E-2</v>
      </c>
      <c r="M20" s="844"/>
      <c r="N20" s="844"/>
      <c r="O20" s="48">
        <f>IF(t&lt;Tnet,'2023'!Resal+('2023'!Salim-'2023'!Resal)*(1-EXP(('2023'!Tnet-t)/('2023'!Tau_j))),Resal+(Salim-Resal)*(1-EXP((Tnet-t)/(Tau_j))))*Salcycl</f>
        <v>5.6980104225254492E-2</v>
      </c>
      <c r="P20" s="169">
        <f>(INDEX(Models!$BJ20:$BT20,,T20)*(1-R20)+INDEX(Models!$BJ20:$BT20,,T20+1)*R20-ERP_i)*Q20*Ramure*Pc/MaxiM</f>
        <v>1.5677475963522176E-3</v>
      </c>
      <c r="Q20" s="305">
        <f t="shared" si="4"/>
        <v>0.7</v>
      </c>
      <c r="R20" s="177">
        <f t="shared" si="5"/>
        <v>0.79941766492615107</v>
      </c>
      <c r="S20" s="810">
        <f t="shared" si="6"/>
        <v>0</v>
      </c>
      <c r="T20" s="176">
        <f t="shared" si="7"/>
        <v>6</v>
      </c>
      <c r="U20" s="251">
        <f t="shared" si="8"/>
        <v>0.79941766492615107</v>
      </c>
      <c r="V20" s="383">
        <f t="shared" si="9"/>
        <v>18.343923880794943</v>
      </c>
      <c r="W20" s="402">
        <f t="shared" si="10"/>
        <v>15.575315526849076</v>
      </c>
      <c r="X20" s="157">
        <f t="shared" si="11"/>
        <v>45297</v>
      </c>
      <c r="Y20" s="385">
        <f t="shared" si="12"/>
        <v>14.399847498949809</v>
      </c>
      <c r="Z20" s="385">
        <f t="shared" si="22"/>
        <v>15.080292091413675</v>
      </c>
      <c r="AA20" s="386">
        <f t="shared" si="13"/>
        <v>17.296883432711709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0.12814975309980051</v>
      </c>
      <c r="AD20" s="231">
        <f>(INDEX(Models!$BJ20:$BT20,,AH20)*(1-AF20)+INDEX(Models!$BJ20:$BT20,,AH20+1)*AF20-ERP_i)*AE20*Ramure*Pc/MaxiM</f>
        <v>1.5677475963522176E-3</v>
      </c>
      <c r="AE20" s="305">
        <f t="shared" si="15"/>
        <v>0.7</v>
      </c>
      <c r="AF20" s="177">
        <f t="shared" si="23"/>
        <v>0.79941766492615107</v>
      </c>
      <c r="AG20" s="810">
        <f t="shared" si="24"/>
        <v>0</v>
      </c>
      <c r="AH20" s="176">
        <f t="shared" si="16"/>
        <v>6</v>
      </c>
      <c r="AI20" s="225">
        <f t="shared" si="17"/>
        <v>0.79941766492615107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9.6738935258482446</v>
      </c>
      <c r="C21" s="840"/>
      <c r="D21" s="393">
        <f t="shared" si="0"/>
        <v>10.131255562325054</v>
      </c>
      <c r="E21" s="385">
        <f t="shared" si="1"/>
        <v>10.744932685942942</v>
      </c>
      <c r="F21" s="385">
        <f t="shared" si="2"/>
        <v>10.750356225241887</v>
      </c>
      <c r="G21" s="110">
        <f t="shared" si="21"/>
        <v>0.52322904743255327</v>
      </c>
      <c r="H21" s="414" t="b">
        <f>Wh_hp&gt;='2023'!Maxi_hp</f>
        <v>0</v>
      </c>
      <c r="I21" s="390">
        <f>IF(H21,Wh_hp,'2023'!Maxi_hp)</f>
        <v>12.454416389518343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4.5143667896168194E-2</v>
      </c>
      <c r="M21" s="844"/>
      <c r="N21" s="844"/>
      <c r="O21" s="48">
        <f>IF(t&lt;Tnet,'2023'!Resal+('2023'!Salim-'2023'!Resal)*(1-EXP(('2023'!Tnet-t)/('2023'!Tau_j))),Resal+(Salim-Resal)*(1-EXP((Tnet-t)/(Tau_j))))*Salcycl</f>
        <v>5.7113165950376972E-2</v>
      </c>
      <c r="P21" s="169">
        <f>(INDEX(Models!$BJ21:$BT21,,T21)*(1-R21)+INDEX(Models!$BJ21:$BT21,,T21+1)*R21-ERP_i)*Q21*Ramure*Pc/MaxiM</f>
        <v>1.5780258933595739E-3</v>
      </c>
      <c r="Q21" s="305">
        <f t="shared" si="4"/>
        <v>0.7</v>
      </c>
      <c r="R21" s="177">
        <f t="shared" si="5"/>
        <v>0.7994463494150017</v>
      </c>
      <c r="S21" s="810">
        <f t="shared" si="6"/>
        <v>0</v>
      </c>
      <c r="T21" s="176">
        <f t="shared" si="7"/>
        <v>6</v>
      </c>
      <c r="U21" s="251">
        <f t="shared" si="8"/>
        <v>0.7994463494150017</v>
      </c>
      <c r="V21" s="383">
        <f t="shared" si="9"/>
        <v>18.468972894846384</v>
      </c>
      <c r="W21" s="402">
        <f t="shared" si="10"/>
        <v>9.6738935258482446</v>
      </c>
      <c r="X21" s="157">
        <f t="shared" si="11"/>
        <v>45298</v>
      </c>
      <c r="Y21" s="385">
        <f t="shared" si="12"/>
        <v>8.9445246168050705</v>
      </c>
      <c r="Z21" s="385">
        <f t="shared" si="22"/>
        <v>9.3674035727423295</v>
      </c>
      <c r="AA21" s="386">
        <f t="shared" si="13"/>
        <v>10.744932685942942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0.12820267501561589</v>
      </c>
      <c r="AD21" s="231">
        <f>(INDEX(Models!$BJ21:$BT21,,AH21)*(1-AF21)+INDEX(Models!$BJ21:$BT21,,AH21+1)*AF21-ERP_i)*AE21*Ramure*Pc/MaxiM</f>
        <v>1.5780258933595739E-3</v>
      </c>
      <c r="AE21" s="305">
        <f t="shared" si="15"/>
        <v>0.7</v>
      </c>
      <c r="AF21" s="177">
        <f t="shared" si="23"/>
        <v>0.7994463494150017</v>
      </c>
      <c r="AG21" s="810">
        <f t="shared" si="24"/>
        <v>0</v>
      </c>
      <c r="AH21" s="176">
        <f t="shared" si="16"/>
        <v>6</v>
      </c>
      <c r="AI21" s="225">
        <f t="shared" si="17"/>
        <v>0.7994463494150017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7.0332357560100807</v>
      </c>
      <c r="C22" s="840"/>
      <c r="D22" s="393">
        <f t="shared" si="0"/>
        <v>7.3659242726006404</v>
      </c>
      <c r="E22" s="385">
        <f t="shared" si="1"/>
        <v>7.8131998869479276</v>
      </c>
      <c r="F22" s="385">
        <f t="shared" si="2"/>
        <v>7.8145846773850316</v>
      </c>
      <c r="G22" s="110">
        <f t="shared" si="21"/>
        <v>0.37751616798961507</v>
      </c>
      <c r="H22" s="414" t="b">
        <f>Wh_hp&gt;='2023'!Maxi_hp</f>
        <v>0</v>
      </c>
      <c r="I22" s="390">
        <f>IF(H22,Wh_hp,'2023'!Maxi_hp)</f>
        <v>15.458337172992977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4.5165888797971565E-2</v>
      </c>
      <c r="M22" s="844"/>
      <c r="N22" s="844"/>
      <c r="O22" s="48">
        <f>IF(t&lt;Tnet,'2023'!Resal+('2023'!Salim-'2023'!Resal)*(1-EXP(('2023'!Tnet-t)/('2023'!Tau_j))),Resal+(Salim-Resal)*(1-EXP((Tnet-t)/(Tau_j))))*Salcycl</f>
        <v>5.7246150209783894E-2</v>
      </c>
      <c r="P22" s="169">
        <f>(INDEX(Models!$BJ22:$BT22,,T22)*(1-R22)+INDEX(Models!$BJ22:$BT22,,T22+1)*R22-ERP_i)*Q22*Ramure*Pc/MaxiM</f>
        <v>1.5892884506504671E-3</v>
      </c>
      <c r="Q22" s="305">
        <f t="shared" si="4"/>
        <v>0.7</v>
      </c>
      <c r="R22" s="177">
        <f t="shared" si="5"/>
        <v>0.79947623289979941</v>
      </c>
      <c r="S22" s="810">
        <f t="shared" si="6"/>
        <v>0</v>
      </c>
      <c r="T22" s="176">
        <f t="shared" si="7"/>
        <v>6</v>
      </c>
      <c r="U22" s="251">
        <f t="shared" si="8"/>
        <v>0.79947623289979941</v>
      </c>
      <c r="V22" s="383">
        <f t="shared" si="9"/>
        <v>18.603978006095062</v>
      </c>
      <c r="W22" s="402">
        <f t="shared" si="10"/>
        <v>7.0332357560100807</v>
      </c>
      <c r="X22" s="157">
        <f t="shared" si="11"/>
        <v>45299</v>
      </c>
      <c r="Y22" s="385">
        <f t="shared" si="12"/>
        <v>6.5034824657251109</v>
      </c>
      <c r="Z22" s="385">
        <f t="shared" si="22"/>
        <v>6.8111124114930917</v>
      </c>
      <c r="AA22" s="386">
        <f t="shared" si="13"/>
        <v>7.8131998869479276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0.12825570700281702</v>
      </c>
      <c r="AD22" s="231">
        <f>(INDEX(Models!$BJ22:$BT22,,AH22)*(1-AF22)+INDEX(Models!$BJ22:$BT22,,AH22+1)*AF22-ERP_i)*AE22*Ramure*Pc/MaxiM</f>
        <v>1.5892884506504671E-3</v>
      </c>
      <c r="AE22" s="305">
        <f t="shared" si="15"/>
        <v>0.7</v>
      </c>
      <c r="AF22" s="177">
        <f t="shared" si="23"/>
        <v>0.79947623289979941</v>
      </c>
      <c r="AG22" s="810">
        <f t="shared" si="24"/>
        <v>0</v>
      </c>
      <c r="AH22" s="176">
        <f t="shared" si="16"/>
        <v>6</v>
      </c>
      <c r="AI22" s="225">
        <f t="shared" si="17"/>
        <v>0.79947623289979941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2.1176173087483225</v>
      </c>
      <c r="C23" s="840"/>
      <c r="D23" s="393">
        <f t="shared" si="0"/>
        <v>2.2178371772638905</v>
      </c>
      <c r="E23" s="385">
        <f t="shared" si="1"/>
        <v>2.3528409618237887</v>
      </c>
      <c r="F23" s="385">
        <f t="shared" si="2"/>
        <v>2.3528409618237887</v>
      </c>
      <c r="G23" s="110">
        <f t="shared" si="21"/>
        <v>0.11276480833873355</v>
      </c>
      <c r="H23" s="414" t="b">
        <f>Wh_hp&gt;='2023'!Maxi_hp</f>
        <v>0</v>
      </c>
      <c r="I23" s="390">
        <f>IF(H23,Wh_hp,'2023'!Maxi_hp)</f>
        <v>19.717901161584987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4.5188109182662139E-2</v>
      </c>
      <c r="M23" s="844"/>
      <c r="N23" s="844"/>
      <c r="O23" s="48">
        <f>IF(t&lt;Tnet,'2023'!Resal+('2023'!Salim-'2023'!Resal)*(1-EXP(('2023'!Tnet-t)/('2023'!Tau_j))),Resal+(Salim-Resal)*(1-EXP((Tnet-t)/(Tau_j))))*Salcycl</f>
        <v>5.737905228207639E-2</v>
      </c>
      <c r="P23" s="169">
        <f>(INDEX(Models!$BJ23:$BT23,,T23)*(1-R23)+INDEX(Models!$BJ23:$BT23,,T23+1)*R23-ERP_i)*Q23*Ramure*Pc/MaxiM</f>
        <v>1.6014873475013918E-3</v>
      </c>
      <c r="Q23" s="305">
        <f t="shared" si="4"/>
        <v>0.7</v>
      </c>
      <c r="R23" s="177">
        <f t="shared" si="5"/>
        <v>0.79950736530702748</v>
      </c>
      <c r="S23" s="810">
        <f t="shared" si="6"/>
        <v>0</v>
      </c>
      <c r="T23" s="176">
        <f t="shared" si="7"/>
        <v>6</v>
      </c>
      <c r="U23" s="251">
        <f t="shared" si="8"/>
        <v>0.79950736530702748</v>
      </c>
      <c r="V23" s="383">
        <f t="shared" si="9"/>
        <v>18.748987406342241</v>
      </c>
      <c r="W23" s="402">
        <f t="shared" si="10"/>
        <v>2.1176173087483225</v>
      </c>
      <c r="X23" s="157">
        <f t="shared" si="11"/>
        <v>45300</v>
      </c>
      <c r="Y23" s="385">
        <f t="shared" si="12"/>
        <v>1.9582720909569409</v>
      </c>
      <c r="Z23" s="385">
        <f t="shared" si="22"/>
        <v>2.0509506739391581</v>
      </c>
      <c r="AA23" s="386">
        <f t="shared" si="13"/>
        <v>2.3528409618237887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0.12830883718150779</v>
      </c>
      <c r="AD23" s="231">
        <f>(INDEX(Models!$BJ23:$BT23,,AH23)*(1-AF23)+INDEX(Models!$BJ23:$BT23,,AH23+1)*AF23-ERP_i)*AE23*Ramure*Pc/MaxiM</f>
        <v>1.6014873475013918E-3</v>
      </c>
      <c r="AE23" s="305">
        <f t="shared" si="15"/>
        <v>0.7</v>
      </c>
      <c r="AF23" s="177">
        <f t="shared" si="23"/>
        <v>0.79950736530702748</v>
      </c>
      <c r="AG23" s="810">
        <f t="shared" si="24"/>
        <v>0</v>
      </c>
      <c r="AH23" s="176">
        <f t="shared" si="16"/>
        <v>6</v>
      </c>
      <c r="AI23" s="225">
        <f t="shared" si="17"/>
        <v>0.79950736530702748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1.6923372434284072</v>
      </c>
      <c r="C24" s="840"/>
      <c r="D24" s="393">
        <f t="shared" si="0"/>
        <v>1.7724712519617078</v>
      </c>
      <c r="E24" s="385">
        <f t="shared" si="1"/>
        <v>1.8806297853104672</v>
      </c>
      <c r="F24" s="385">
        <f t="shared" si="2"/>
        <v>1.8806297853104672</v>
      </c>
      <c r="G24" s="110">
        <f t="shared" si="21"/>
        <v>8.9380905584238016E-2</v>
      </c>
      <c r="H24" s="414" t="b">
        <f>Wh_hp&gt;='2023'!Maxi_hp</f>
        <v>0</v>
      </c>
      <c r="I24" s="390">
        <f>IF(H24,Wh_hp,'2023'!Maxi_hp)</f>
        <v>10.382626561505731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4.5210329050251796E-2</v>
      </c>
      <c r="M24" s="844"/>
      <c r="N24" s="844"/>
      <c r="O24" s="48">
        <f>IF(t&lt;Tnet,'2023'!Resal+('2023'!Salim-'2023'!Resal)*(1-EXP(('2023'!Tnet-t)/('2023'!Tau_j))),Resal+(Salim-Resal)*(1-EXP((Tnet-t)/(Tau_j))))*Salcycl</f>
        <v>5.7511868733326352E-2</v>
      </c>
      <c r="P24" s="169">
        <f>(INDEX(Models!$BJ24:$BT24,,T24)*(1-R24)+INDEX(Models!$BJ24:$BT24,,T24+1)*R24-ERP_i)*Q24*Ramure*Pc/MaxiM</f>
        <v>1.6153785848140457E-3</v>
      </c>
      <c r="Q24" s="305">
        <f t="shared" si="4"/>
        <v>0.7</v>
      </c>
      <c r="R24" s="177">
        <f t="shared" si="5"/>
        <v>0.79953979862580316</v>
      </c>
      <c r="S24" s="810">
        <f t="shared" si="6"/>
        <v>0</v>
      </c>
      <c r="T24" s="176">
        <f t="shared" si="7"/>
        <v>6</v>
      </c>
      <c r="U24" s="251">
        <f t="shared" si="8"/>
        <v>0.79953979862580316</v>
      </c>
      <c r="V24" s="383">
        <f t="shared" si="9"/>
        <v>18.903405230043283</v>
      </c>
      <c r="W24" s="402">
        <f t="shared" si="10"/>
        <v>1.6923372434284072</v>
      </c>
      <c r="X24" s="157">
        <f t="shared" si="11"/>
        <v>45301</v>
      </c>
      <c r="Y24" s="385">
        <f t="shared" si="12"/>
        <v>1.5651182284391127</v>
      </c>
      <c r="Z24" s="385">
        <f t="shared" si="22"/>
        <v>1.6392282782890379</v>
      </c>
      <c r="AA24" s="386">
        <f t="shared" si="13"/>
        <v>1.8806297853104672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0.12836205664028494</v>
      </c>
      <c r="AD24" s="231">
        <f>(INDEX(Models!$BJ24:$BT24,,AH24)*(1-AF24)+INDEX(Models!$BJ24:$BT24,,AH24+1)*AF24-ERP_i)*AE24*Ramure*Pc/MaxiM</f>
        <v>1.6153785848140457E-3</v>
      </c>
      <c r="AE24" s="305">
        <f t="shared" si="15"/>
        <v>0.7</v>
      </c>
      <c r="AF24" s="177">
        <f t="shared" si="23"/>
        <v>0.79953979862580316</v>
      </c>
      <c r="AG24" s="810">
        <f t="shared" si="24"/>
        <v>0</v>
      </c>
      <c r="AH24" s="176">
        <f t="shared" si="16"/>
        <v>6</v>
      </c>
      <c r="AI24" s="225">
        <f t="shared" si="17"/>
        <v>0.79953979862580316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19.702012053497103</v>
      </c>
      <c r="C25" s="840"/>
      <c r="D25" s="393">
        <f t="shared" si="0"/>
        <v>20.63540396197628</v>
      </c>
      <c r="E25" s="385">
        <f t="shared" si="1"/>
        <v>21.897687330486615</v>
      </c>
      <c r="F25" s="385">
        <f t="shared" si="2"/>
        <v>21.9334298250009</v>
      </c>
      <c r="G25" s="110">
        <f t="shared" si="21"/>
        <v>1.033313558019227</v>
      </c>
      <c r="H25" s="414" t="b">
        <f>Wh_hp&gt;='2023'!Maxi_hp</f>
        <v>1</v>
      </c>
      <c r="I25" s="390">
        <f>IF(H25,Wh_hp,'2023'!Maxi_hp)</f>
        <v>21.9334298250009</v>
      </c>
      <c r="J25" s="85">
        <f>IF(H25,An,'2023'!An_max)</f>
        <v>2024</v>
      </c>
      <c r="K25" s="197">
        <f t="shared" si="3"/>
        <v>45302</v>
      </c>
      <c r="L25" s="147">
        <f>IF(t&lt;Tvie,1-EXP((T0-t)*PertePVj)+'2023'!Pspv,1-EXP((T0-t)*PertePVj)+Pspv)</f>
        <v>4.5232548400752748E-2</v>
      </c>
      <c r="M25" s="844"/>
      <c r="N25" s="844"/>
      <c r="O25" s="48">
        <f>IF(t&lt;Tnet,'2023'!Resal+('2023'!Salim-'2023'!Resal)*(1-EXP(('2023'!Tnet-t)/('2023'!Tau_j))),Resal+(Salim-Resal)*(1-EXP((Tnet-t)/(Tau_j))))*Salcycl</f>
        <v>5.7644597324802607E-2</v>
      </c>
      <c r="P25" s="169">
        <f>(INDEX(Models!$BJ25:$BT25,,T25)*(1-R25)+INDEX(Models!$BJ25:$BT25,,T25+1)*R25-ERP_i)*Q25*Ramure*Pc/MaxiM</f>
        <v>1.629589845248104E-3</v>
      </c>
      <c r="Q25" s="305">
        <f t="shared" si="4"/>
        <v>0.7</v>
      </c>
      <c r="R25" s="177">
        <f t="shared" si="5"/>
        <v>0.79957358699169589</v>
      </c>
      <c r="S25" s="810">
        <f t="shared" si="6"/>
        <v>0</v>
      </c>
      <c r="T25" s="176">
        <f t="shared" si="7"/>
        <v>6</v>
      </c>
      <c r="U25" s="251">
        <f t="shared" si="8"/>
        <v>0.79957358699169589</v>
      </c>
      <c r="V25" s="383">
        <f t="shared" si="9"/>
        <v>19.066828167109474</v>
      </c>
      <c r="W25" s="402">
        <f t="shared" si="10"/>
        <v>19.702012053497103</v>
      </c>
      <c r="X25" s="157">
        <f t="shared" si="11"/>
        <v>45302</v>
      </c>
      <c r="Y25" s="385">
        <f t="shared" si="12"/>
        <v>18.222393642454811</v>
      </c>
      <c r="Z25" s="385">
        <f t="shared" si="22"/>
        <v>19.085687946245002</v>
      </c>
      <c r="AA25" s="386">
        <f t="shared" si="13"/>
        <v>21.897687330486615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0.1284153592021868</v>
      </c>
      <c r="AD25" s="231">
        <f>(INDEX(Models!$BJ25:$BT25,,AH25)*(1-AF25)+INDEX(Models!$BJ25:$BT25,,AH25+1)*AF25-ERP_i)*AE25*Ramure*Pc/MaxiM</f>
        <v>1.629589845248104E-3</v>
      </c>
      <c r="AE25" s="305">
        <f t="shared" si="15"/>
        <v>0.7</v>
      </c>
      <c r="AF25" s="177">
        <f t="shared" si="23"/>
        <v>0.79957358699169589</v>
      </c>
      <c r="AG25" s="810">
        <f t="shared" si="24"/>
        <v>0</v>
      </c>
      <c r="AH25" s="176">
        <f t="shared" si="16"/>
        <v>6</v>
      </c>
      <c r="AI25" s="225">
        <f t="shared" si="17"/>
        <v>0.79957358699169589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16.717127117209117</v>
      </c>
      <c r="C26" s="840"/>
      <c r="D26" s="393">
        <f t="shared" si="0"/>
        <v>17.509516197091546</v>
      </c>
      <c r="E26" s="385">
        <f t="shared" si="1"/>
        <v>18.58320227768478</v>
      </c>
      <c r="F26" s="385">
        <f t="shared" si="2"/>
        <v>18.608067606979308</v>
      </c>
      <c r="G26" s="110">
        <f t="shared" si="21"/>
        <v>0.8686586376987453</v>
      </c>
      <c r="H26" s="414" t="b">
        <f>Wh_hp&gt;='2023'!Maxi_hp</f>
        <v>0</v>
      </c>
      <c r="I26" s="390">
        <f>IF(H26,Wh_hp,'2023'!Maxi_hp)</f>
        <v>20.947040284507079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4.5254767234176985E-2</v>
      </c>
      <c r="M26" s="844"/>
      <c r="N26" s="844"/>
      <c r="O26" s="48">
        <f>IF(t&lt;Tnet,'2023'!Resal+('2023'!Salim-'2023'!Resal)*(1-EXP(('2023'!Tnet-t)/('2023'!Tau_j))),Resal+(Salim-Resal)*(1-EXP((Tnet-t)/(Tau_j))))*Salcycl</f>
        <v>5.7777236912636275E-2</v>
      </c>
      <c r="P26" s="169">
        <f>(INDEX(Models!$BJ26:$BT26,,T26)*(1-R26)+INDEX(Models!$BJ26:$BT26,,T26+1)*R26-ERP_i)*Q26*Ramure*Pc/MaxiM</f>
        <v>1.644124930407299E-3</v>
      </c>
      <c r="Q26" s="305">
        <f t="shared" si="4"/>
        <v>0.7</v>
      </c>
      <c r="R26" s="177">
        <f t="shared" si="5"/>
        <v>0.79960878677383285</v>
      </c>
      <c r="S26" s="810">
        <f t="shared" si="6"/>
        <v>0</v>
      </c>
      <c r="T26" s="176">
        <f t="shared" si="7"/>
        <v>6</v>
      </c>
      <c r="U26" s="251">
        <f t="shared" si="8"/>
        <v>0.79960878677383285</v>
      </c>
      <c r="V26" s="383">
        <f t="shared" si="9"/>
        <v>19.23882753228991</v>
      </c>
      <c r="W26" s="402">
        <f t="shared" si="10"/>
        <v>16.717127117209117</v>
      </c>
      <c r="X26" s="157">
        <f t="shared" si="11"/>
        <v>45303</v>
      </c>
      <c r="Y26" s="385">
        <f t="shared" si="12"/>
        <v>15.46290262893921</v>
      </c>
      <c r="Z26" s="385">
        <f t="shared" si="22"/>
        <v>16.195841674060397</v>
      </c>
      <c r="AA26" s="386">
        <f t="shared" si="13"/>
        <v>18.58320227768478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0.1284687411755287</v>
      </c>
      <c r="AD26" s="231">
        <f>(INDEX(Models!$BJ26:$BT26,,AH26)*(1-AF26)+INDEX(Models!$BJ26:$BT26,,AH26+1)*AF26-ERP_i)*AE26*Ramure*Pc/MaxiM</f>
        <v>1.644124930407299E-3</v>
      </c>
      <c r="AE26" s="305">
        <f t="shared" si="15"/>
        <v>0.7</v>
      </c>
      <c r="AF26" s="177">
        <f t="shared" si="23"/>
        <v>0.79960878677383285</v>
      </c>
      <c r="AG26" s="810">
        <f t="shared" si="24"/>
        <v>0</v>
      </c>
      <c r="AH26" s="176">
        <f t="shared" si="16"/>
        <v>6</v>
      </c>
      <c r="AI26" s="225">
        <f t="shared" si="17"/>
        <v>0.79960878677383285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5.4718936808179217</v>
      </c>
      <c r="C27" s="840"/>
      <c r="D27" s="393">
        <f t="shared" si="0"/>
        <v>5.7313939205427689</v>
      </c>
      <c r="E27" s="385">
        <f t="shared" si="1"/>
        <v>6.0836996749647358</v>
      </c>
      <c r="F27" s="385">
        <f t="shared" si="2"/>
        <v>6.0836996749647358</v>
      </c>
      <c r="G27" s="110">
        <f t="shared" si="21"/>
        <v>0.28131329806944261</v>
      </c>
      <c r="H27" s="414" t="b">
        <f>Wh_hp&gt;='2023'!Maxi_hp</f>
        <v>0</v>
      </c>
      <c r="I27" s="390">
        <f>IF(H27,Wh_hp,'2023'!Maxi_hp)</f>
        <v>14.546314827403963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4.5276985550536386E-2</v>
      </c>
      <c r="M27" s="844"/>
      <c r="N27" s="844"/>
      <c r="O27" s="48">
        <f>IF(t&lt;Tnet,'2023'!Resal+('2023'!Salim-'2023'!Resal)*(1-EXP(('2023'!Tnet-t)/('2023'!Tau_j))),Resal+(Salim-Resal)*(1-EXP((Tnet-t)/(Tau_j))))*Salcycl</f>
        <v>5.7909787340712067E-2</v>
      </c>
      <c r="P27" s="169">
        <f>(INDEX(Models!$BJ27:$BT27,,T27)*(1-R27)+INDEX(Models!$BJ27:$BT27,,T27+1)*R27-ERP_i)*Q27*Ramure*Pc/MaxiM</f>
        <v>1.6589877823783106E-3</v>
      </c>
      <c r="Q27" s="305">
        <f t="shared" si="4"/>
        <v>0.7</v>
      </c>
      <c r="R27" s="177">
        <f t="shared" si="5"/>
        <v>0.79964545666540809</v>
      </c>
      <c r="S27" s="810">
        <f t="shared" si="6"/>
        <v>0</v>
      </c>
      <c r="T27" s="176">
        <f t="shared" si="7"/>
        <v>6</v>
      </c>
      <c r="U27" s="251">
        <f t="shared" si="8"/>
        <v>0.79964545666540809</v>
      </c>
      <c r="V27" s="383">
        <f t="shared" si="9"/>
        <v>19.418974906427877</v>
      </c>
      <c r="W27" s="402">
        <f t="shared" si="10"/>
        <v>5.4718936808179217</v>
      </c>
      <c r="X27" s="157">
        <f t="shared" si="11"/>
        <v>45304</v>
      </c>
      <c r="Y27" s="385">
        <f t="shared" si="12"/>
        <v>5.0617592633231103</v>
      </c>
      <c r="Z27" s="385">
        <f t="shared" si="22"/>
        <v>5.3018092019515723</v>
      </c>
      <c r="AA27" s="386">
        <f t="shared" si="13"/>
        <v>6.0836996749647358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0.12852220109265924</v>
      </c>
      <c r="AD27" s="231">
        <f>(INDEX(Models!$BJ27:$BT27,,AH27)*(1-AF27)+INDEX(Models!$BJ27:$BT27,,AH27+1)*AF27-ERP_i)*AE27*Ramure*Pc/MaxiM</f>
        <v>1.6589877823783106E-3</v>
      </c>
      <c r="AE27" s="305">
        <f t="shared" si="15"/>
        <v>0.7</v>
      </c>
      <c r="AF27" s="177">
        <f t="shared" si="23"/>
        <v>0.79964545666540809</v>
      </c>
      <c r="AG27" s="810">
        <f t="shared" si="24"/>
        <v>0</v>
      </c>
      <c r="AH27" s="176">
        <f t="shared" si="16"/>
        <v>6</v>
      </c>
      <c r="AI27" s="225">
        <f t="shared" si="17"/>
        <v>0.79964545666540809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20.134129466488613</v>
      </c>
      <c r="C28" s="840"/>
      <c r="D28" s="393">
        <f t="shared" si="0"/>
        <v>21.089465450468897</v>
      </c>
      <c r="E28" s="385">
        <f t="shared" si="1"/>
        <v>22.388971729810613</v>
      </c>
      <c r="F28" s="385">
        <f t="shared" si="2"/>
        <v>22.426517813211685</v>
      </c>
      <c r="G28" s="110">
        <f t="shared" si="21"/>
        <v>1.026893026787036</v>
      </c>
      <c r="H28" s="414" t="b">
        <f>Wh_hp&gt;='2023'!Maxi_hp</f>
        <v>1</v>
      </c>
      <c r="I28" s="390">
        <f>IF(H28,Wh_hp,'2023'!Maxi_hp)</f>
        <v>22.426517813211685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4.5299203349843276E-2</v>
      </c>
      <c r="M28" s="844"/>
      <c r="N28" s="844"/>
      <c r="O28" s="48">
        <f>IF(t&lt;Tnet,'2023'!Resal+('2023'!Salim-'2023'!Resal)*(1-EXP(('2023'!Tnet-t)/('2023'!Tau_j))),Resal+(Salim-Resal)*(1-EXP((Tnet-t)/(Tau_j))))*Salcycl</f>
        <v>5.8042249328111861E-2</v>
      </c>
      <c r="P28" s="169">
        <f>(INDEX(Models!$BJ28:$BT28,,T28)*(1-R28)+INDEX(Models!$BJ28:$BT28,,T28+1)*R28-ERP_i)*Q28*Ramure*Pc/MaxiM</f>
        <v>1.6741824885071167E-3</v>
      </c>
      <c r="Q28" s="305">
        <f t="shared" si="4"/>
        <v>0.7</v>
      </c>
      <c r="R28" s="177">
        <f t="shared" si="5"/>
        <v>0.79968365777771966</v>
      </c>
      <c r="S28" s="810">
        <f t="shared" si="6"/>
        <v>0</v>
      </c>
      <c r="T28" s="176">
        <f t="shared" si="7"/>
        <v>6</v>
      </c>
      <c r="U28" s="251">
        <f t="shared" si="8"/>
        <v>0.79968365777771966</v>
      </c>
      <c r="V28" s="383">
        <f t="shared" si="9"/>
        <v>19.606842135723422</v>
      </c>
      <c r="W28" s="402">
        <f t="shared" si="10"/>
        <v>20.134129466488613</v>
      </c>
      <c r="X28" s="157">
        <f t="shared" si="11"/>
        <v>45305</v>
      </c>
      <c r="Y28" s="385">
        <f t="shared" si="12"/>
        <v>18.626492398247159</v>
      </c>
      <c r="Z28" s="385">
        <f t="shared" si="22"/>
        <v>19.510293134355372</v>
      </c>
      <c r="AA28" s="386">
        <f t="shared" si="13"/>
        <v>22.388971729810613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0.12857573943971343</v>
      </c>
      <c r="AD28" s="231">
        <f>(INDEX(Models!$BJ28:$BT28,,AH28)*(1-AF28)+INDEX(Models!$BJ28:$BT28,,AH28+1)*AF28-ERP_i)*AE28*Ramure*Pc/MaxiM</f>
        <v>1.6741824885071167E-3</v>
      </c>
      <c r="AE28" s="305">
        <f t="shared" si="15"/>
        <v>0.7</v>
      </c>
      <c r="AF28" s="177">
        <f t="shared" si="23"/>
        <v>0.79968365777771966</v>
      </c>
      <c r="AG28" s="810">
        <f t="shared" si="24"/>
        <v>0</v>
      </c>
      <c r="AH28" s="176">
        <f t="shared" si="16"/>
        <v>6</v>
      </c>
      <c r="AI28" s="225">
        <f t="shared" si="17"/>
        <v>0.79968365777771966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20.085952544003948</v>
      </c>
      <c r="C29" s="840"/>
      <c r="D29" s="393">
        <f t="shared" si="0"/>
        <v>21.039492220830187</v>
      </c>
      <c r="E29" s="385">
        <f t="shared" si="1"/>
        <v>22.339058561004343</v>
      </c>
      <c r="F29" s="385">
        <f t="shared" si="2"/>
        <v>22.37686905391131</v>
      </c>
      <c r="G29" s="110">
        <f t="shared" si="21"/>
        <v>1.014339520461492</v>
      </c>
      <c r="H29" s="414" t="b">
        <f>Wh_hp&gt;='2023'!Maxi_hp</f>
        <v>1</v>
      </c>
      <c r="I29" s="390">
        <f>IF(H29,Wh_hp,'2023'!Maxi_hp)</f>
        <v>22.37686905391131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4.5321420632109422E-2</v>
      </c>
      <c r="M29" s="844"/>
      <c r="N29" s="844"/>
      <c r="O29" s="48">
        <f>IF(t&lt;Tnet,'2023'!Resal+('2023'!Salim-'2023'!Resal)*(1-EXP(('2023'!Tnet-t)/('2023'!Tau_j))),Resal+(Salim-Resal)*(1-EXP((Tnet-t)/(Tau_j))))*Salcycl</f>
        <v>5.8174624352465454E-2</v>
      </c>
      <c r="P29" s="169">
        <f>(INDEX(Models!$BJ29:$BT29,,T29)*(1-R29)+INDEX(Models!$BJ29:$BT29,,T29+1)*R29-ERP_i)*Q29*Ramure*Pc/MaxiM</f>
        <v>1.6897132845472068E-3</v>
      </c>
      <c r="Q29" s="305">
        <f t="shared" si="4"/>
        <v>0.7</v>
      </c>
      <c r="R29" s="177">
        <f t="shared" si="5"/>
        <v>0.79972345373785758</v>
      </c>
      <c r="S29" s="810">
        <f t="shared" si="6"/>
        <v>0</v>
      </c>
      <c r="T29" s="176">
        <f t="shared" si="7"/>
        <v>6</v>
      </c>
      <c r="U29" s="251">
        <f t="shared" si="8"/>
        <v>0.79972345373785758</v>
      </c>
      <c r="V29" s="383">
        <f t="shared" si="9"/>
        <v>19.802001340601894</v>
      </c>
      <c r="W29" s="402">
        <f t="shared" si="10"/>
        <v>20.085952544003948</v>
      </c>
      <c r="X29" s="157">
        <f t="shared" si="11"/>
        <v>45306</v>
      </c>
      <c r="Y29" s="385">
        <f t="shared" si="12"/>
        <v>18.583391155473038</v>
      </c>
      <c r="Z29" s="385">
        <f t="shared" si="22"/>
        <v>19.465599791478958</v>
      </c>
      <c r="AA29" s="386">
        <f t="shared" si="13"/>
        <v>22.339058561004343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0.12862935838045425</v>
      </c>
      <c r="AD29" s="231">
        <f>(INDEX(Models!$BJ29:$BT29,,AH29)*(1-AF29)+INDEX(Models!$BJ29:$BT29,,AH29+1)*AF29-ERP_i)*AE29*Ramure*Pc/MaxiM</f>
        <v>1.6897132845472068E-3</v>
      </c>
      <c r="AE29" s="305">
        <f t="shared" si="15"/>
        <v>0.7</v>
      </c>
      <c r="AF29" s="177">
        <f t="shared" si="23"/>
        <v>0.79972345373785758</v>
      </c>
      <c r="AG29" s="810">
        <f t="shared" si="24"/>
        <v>0</v>
      </c>
      <c r="AH29" s="176">
        <f t="shared" si="16"/>
        <v>6</v>
      </c>
      <c r="AI29" s="225">
        <f t="shared" si="17"/>
        <v>0.79972345373785758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19.810257926132479</v>
      </c>
      <c r="C30" s="840"/>
      <c r="D30" s="393">
        <f t="shared" si="0"/>
        <v>20.751192473199804</v>
      </c>
      <c r="E30" s="385">
        <f t="shared" si="1"/>
        <v>22.036046343969449</v>
      </c>
      <c r="F30" s="385">
        <f t="shared" si="2"/>
        <v>22.073241194571839</v>
      </c>
      <c r="G30" s="110">
        <f t="shared" si="21"/>
        <v>0.99029324520166739</v>
      </c>
      <c r="H30" s="414" t="b">
        <f>Wh_hp&gt;='2023'!Maxi_hp</f>
        <v>0</v>
      </c>
      <c r="I30" s="390">
        <f>IF(H30,Wh_hp,'2023'!Maxi_hp)</f>
        <v>22.073480721344577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4.5343637397346925E-2</v>
      </c>
      <c r="M30" s="844"/>
      <c r="N30" s="844"/>
      <c r="O30" s="48">
        <f>IF(t&lt;Tnet,'2023'!Resal+('2023'!Salim-'2023'!Resal)*(1-EXP(('2023'!Tnet-t)/('2023'!Tau_j))),Resal+(Salim-Resal)*(1-EXP((Tnet-t)/(Tau_j))))*Salcycl</f>
        <v>5.8306914530576237E-2</v>
      </c>
      <c r="P30" s="169">
        <f>(INDEX(Models!$BJ30:$BT30,,T30)*(1-R30)+INDEX(Models!$BJ30:$BT30,,T30+1)*R30-ERP_i)*Q30*Ramure*Pc/MaxiM</f>
        <v>1.7087021836991922E-3</v>
      </c>
      <c r="Q30" s="305">
        <f t="shared" si="4"/>
        <v>0.7</v>
      </c>
      <c r="R30" s="177">
        <f t="shared" si="5"/>
        <v>0.7997649107901722</v>
      </c>
      <c r="S30" s="810">
        <f t="shared" si="6"/>
        <v>0</v>
      </c>
      <c r="T30" s="176">
        <f t="shared" si="7"/>
        <v>6</v>
      </c>
      <c r="U30" s="251">
        <f t="shared" si="8"/>
        <v>0.7997649107901722</v>
      </c>
      <c r="V30" s="383">
        <f t="shared" si="9"/>
        <v>20.003962439424527</v>
      </c>
      <c r="W30" s="402">
        <f t="shared" si="10"/>
        <v>19.810257926132479</v>
      </c>
      <c r="X30" s="157">
        <f t="shared" si="11"/>
        <v>45307</v>
      </c>
      <c r="Y30" s="385">
        <f t="shared" si="12"/>
        <v>18.329765349119906</v>
      </c>
      <c r="Z30" s="385">
        <f t="shared" si="22"/>
        <v>19.200380437572299</v>
      </c>
      <c r="AA30" s="386">
        <f t="shared" si="13"/>
        <v>22.036046343969449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0.12868306147727715</v>
      </c>
      <c r="AD30" s="231">
        <f>(INDEX(Models!$BJ30:$BT30,,AH30)*(1-AF30)+INDEX(Models!$BJ30:$BT30,,AH30+1)*AF30-ERP_i)*AE30*Ramure*Pc/MaxiM</f>
        <v>1.7087021836991922E-3</v>
      </c>
      <c r="AE30" s="305">
        <f t="shared" si="15"/>
        <v>0.7</v>
      </c>
      <c r="AF30" s="177">
        <f t="shared" si="23"/>
        <v>0.7997649107901722</v>
      </c>
      <c r="AG30" s="810">
        <f t="shared" si="24"/>
        <v>0</v>
      </c>
      <c r="AH30" s="176">
        <f t="shared" si="16"/>
        <v>6</v>
      </c>
      <c r="AI30" s="225">
        <f t="shared" si="17"/>
        <v>0.7997649107901722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11.677404551365305</v>
      </c>
      <c r="C31" s="840"/>
      <c r="D31" s="393">
        <f t="shared" si="0"/>
        <v>12.232334864575201</v>
      </c>
      <c r="E31" s="385">
        <f t="shared" si="1"/>
        <v>12.991549624517171</v>
      </c>
      <c r="F31" s="385">
        <f t="shared" si="2"/>
        <v>13.000475916131386</v>
      </c>
      <c r="G31" s="110">
        <f t="shared" si="21"/>
        <v>0.57713376846011233</v>
      </c>
      <c r="H31" s="414" t="b">
        <f>Wh_hp&gt;='2023'!Maxi_hp</f>
        <v>0</v>
      </c>
      <c r="I31" s="390">
        <f>IF(H31,Wh_hp,'2023'!Maxi_hp)</f>
        <v>13.006645214490723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4.5365853645567888E-2</v>
      </c>
      <c r="M31" s="844"/>
      <c r="N31" s="844"/>
      <c r="O31" s="48">
        <f>IF(t&lt;Tnet,'2023'!Resal+('2023'!Salim-'2023'!Resal)*(1-EXP(('2023'!Tnet-t)/('2023'!Tau_j))),Resal+(Salim-Resal)*(1-EXP((Tnet-t)/(Tau_j))))*Salcycl</f>
        <v>5.8439122497689407E-2</v>
      </c>
      <c r="P31" s="169">
        <f>(INDEX(Models!$BJ31:$BT31,,T31)*(1-R31)+INDEX(Models!$BJ31:$BT31,,T31+1)*R31-ERP_i)*Q31*Ramure*Pc/MaxiM</f>
        <v>1.730516219684134E-3</v>
      </c>
      <c r="Q31" s="305">
        <f t="shared" si="4"/>
        <v>0.7</v>
      </c>
      <c r="R31" s="177">
        <f t="shared" si="5"/>
        <v>0.79980809790165552</v>
      </c>
      <c r="S31" s="810">
        <f t="shared" si="6"/>
        <v>0</v>
      </c>
      <c r="T31" s="176">
        <f t="shared" si="7"/>
        <v>6</v>
      </c>
      <c r="U31" s="251">
        <f t="shared" si="8"/>
        <v>0.79980809790165552</v>
      </c>
      <c r="V31" s="383">
        <f t="shared" si="9"/>
        <v>20.212309050865667</v>
      </c>
      <c r="W31" s="402">
        <f t="shared" si="10"/>
        <v>11.677404551365305</v>
      </c>
      <c r="X31" s="157">
        <f t="shared" si="11"/>
        <v>45308</v>
      </c>
      <c r="Y31" s="385">
        <f t="shared" si="12"/>
        <v>10.805559657903144</v>
      </c>
      <c r="Z31" s="385">
        <f t="shared" si="22"/>
        <v>11.319058404905732</v>
      </c>
      <c r="AA31" s="386">
        <f t="shared" si="13"/>
        <v>12.991549624517171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0.12873685341240407</v>
      </c>
      <c r="AD31" s="231">
        <f>(INDEX(Models!$BJ31:$BT31,,AH31)*(1-AF31)+INDEX(Models!$BJ31:$BT31,,AH31+1)*AF31-ERP_i)*AE31*Ramure*Pc/MaxiM</f>
        <v>1.730516219684134E-3</v>
      </c>
      <c r="AE31" s="305">
        <f t="shared" si="15"/>
        <v>0.7</v>
      </c>
      <c r="AF31" s="177">
        <f t="shared" si="23"/>
        <v>0.79980809790165552</v>
      </c>
      <c r="AG31" s="810">
        <f t="shared" si="24"/>
        <v>0</v>
      </c>
      <c r="AH31" s="176">
        <f t="shared" si="16"/>
        <v>6</v>
      </c>
      <c r="AI31" s="225">
        <f t="shared" si="17"/>
        <v>0.79980809790165552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3.8272346094032814</v>
      </c>
      <c r="C32" s="840"/>
      <c r="D32" s="393">
        <f t="shared" si="0"/>
        <v>4.0092046690686987</v>
      </c>
      <c r="E32" s="385">
        <f t="shared" si="1"/>
        <v>4.2586384519790066</v>
      </c>
      <c r="F32" s="385">
        <f t="shared" si="2"/>
        <v>4.2586384519790066</v>
      </c>
      <c r="G32" s="110">
        <f t="shared" si="21"/>
        <v>0.18703626005841112</v>
      </c>
      <c r="H32" s="414" t="b">
        <f>Wh_hp&gt;='2023'!Maxi_hp</f>
        <v>0</v>
      </c>
      <c r="I32" s="390">
        <f>IF(H32,Wh_hp,'2023'!Maxi_hp)</f>
        <v>22.54898457519629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4.5388069376784301E-2</v>
      </c>
      <c r="M32" s="844"/>
      <c r="N32" s="844"/>
      <c r="O32" s="48">
        <f>IF(t&lt;Tnet,'2023'!Resal+('2023'!Salim-'2023'!Resal)*(1-EXP(('2023'!Tnet-t)/('2023'!Tau_j))),Resal+(Salim-Resal)*(1-EXP((Tnet-t)/(Tau_j))))*Salcycl</f>
        <v>5.8571251286756942E-2</v>
      </c>
      <c r="P32" s="169">
        <f>(INDEX(Models!$BJ32:$BT32,,T32)*(1-R32)+INDEX(Models!$BJ32:$BT32,,T32+1)*R32-ERP_i)*Q32*Ramure*Pc/MaxiM</f>
        <v>1.7550785098634702E-3</v>
      </c>
      <c r="Q32" s="305">
        <f t="shared" si="4"/>
        <v>0.7</v>
      </c>
      <c r="R32" s="177">
        <f t="shared" si="5"/>
        <v>0.7998530868713688</v>
      </c>
      <c r="S32" s="810">
        <f t="shared" si="6"/>
        <v>0</v>
      </c>
      <c r="T32" s="176">
        <f t="shared" si="7"/>
        <v>6</v>
      </c>
      <c r="U32" s="251">
        <f t="shared" si="8"/>
        <v>0.7998530868713688</v>
      </c>
      <c r="V32" s="383">
        <f t="shared" si="9"/>
        <v>20.426614128164083</v>
      </c>
      <c r="W32" s="402">
        <f t="shared" si="10"/>
        <v>3.8272346094032814</v>
      </c>
      <c r="X32" s="157">
        <f t="shared" si="11"/>
        <v>45309</v>
      </c>
      <c r="Y32" s="385">
        <f t="shared" si="12"/>
        <v>3.5417680175620418</v>
      </c>
      <c r="Z32" s="385">
        <f t="shared" si="22"/>
        <v>3.7101652555817197</v>
      </c>
      <c r="AA32" s="386">
        <f t="shared" si="13"/>
        <v>4.2586384519790066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0.12879073971222163</v>
      </c>
      <c r="AD32" s="231">
        <f>(INDEX(Models!$BJ32:$BT32,,AH32)*(1-AF32)+INDEX(Models!$BJ32:$BT32,,AH32+1)*AF32-ERP_i)*AE32*Ramure*Pc/MaxiM</f>
        <v>1.7550785098634702E-3</v>
      </c>
      <c r="AE32" s="305">
        <f t="shared" si="15"/>
        <v>0.7</v>
      </c>
      <c r="AF32" s="177">
        <f t="shared" si="23"/>
        <v>0.7998530868713688</v>
      </c>
      <c r="AG32" s="810">
        <f t="shared" si="24"/>
        <v>0</v>
      </c>
      <c r="AH32" s="176">
        <f t="shared" si="16"/>
        <v>6</v>
      </c>
      <c r="AI32" s="225">
        <f t="shared" si="17"/>
        <v>0.7998530868713688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8.936601218770063</v>
      </c>
      <c r="C33" s="840"/>
      <c r="D33" s="393">
        <f t="shared" si="0"/>
        <v>9.3617195686433679</v>
      </c>
      <c r="E33" s="385">
        <f t="shared" si="1"/>
        <v>9.945556603464647</v>
      </c>
      <c r="F33" s="385">
        <f t="shared" si="2"/>
        <v>9.9489216348802429</v>
      </c>
      <c r="G33" s="110">
        <f t="shared" si="21"/>
        <v>0.43221431683564643</v>
      </c>
      <c r="H33" s="414" t="b">
        <f>Wh_hp&gt;='2023'!Maxi_hp</f>
        <v>0</v>
      </c>
      <c r="I33" s="390">
        <f>IF(H33,Wh_hp,'2023'!Maxi_hp)</f>
        <v>23.630965099383026</v>
      </c>
      <c r="J33" s="85">
        <f>IF(H33,An,'2023'!An_max)</f>
        <v>2020</v>
      </c>
      <c r="K33" s="197">
        <f t="shared" si="3"/>
        <v>45310</v>
      </c>
      <c r="L33" s="147">
        <f>IF(t&lt;Tvie,1-EXP((T0-t)*PertePVj)+'2023'!Pspv,1-EXP((T0-t)*PertePVj)+Pspv)</f>
        <v>4.5410284591008154E-2</v>
      </c>
      <c r="M33" s="844"/>
      <c r="N33" s="844"/>
      <c r="O33" s="48">
        <f>IF(t&lt;Tnet,'2023'!Resal+('2023'!Salim-'2023'!Resal)*(1-EXP(('2023'!Tnet-t)/('2023'!Tau_j))),Resal+(Salim-Resal)*(1-EXP((Tnet-t)/(Tau_j))))*Salcycl</f>
        <v>5.8703304209026655E-2</v>
      </c>
      <c r="P33" s="169">
        <f>(INDEX(Models!$BJ33:$BT33,,T33)*(1-R33)+INDEX(Models!$BJ33:$BT33,,T33+1)*R33-ERP_i)*Q33*Ramure*Pc/MaxiM</f>
        <v>1.7823116554971932E-3</v>
      </c>
      <c r="Q33" s="305">
        <f t="shared" si="4"/>
        <v>0.7</v>
      </c>
      <c r="R33" s="177">
        <f t="shared" si="5"/>
        <v>0.79989995244405754</v>
      </c>
      <c r="S33" s="810">
        <f t="shared" si="6"/>
        <v>0</v>
      </c>
      <c r="T33" s="176">
        <f t="shared" si="7"/>
        <v>6</v>
      </c>
      <c r="U33" s="251">
        <f t="shared" si="8"/>
        <v>0.79989995244405754</v>
      </c>
      <c r="V33" s="383">
        <f t="shared" si="9"/>
        <v>20.646450915112247</v>
      </c>
      <c r="W33" s="402">
        <f t="shared" si="10"/>
        <v>8.936601218770063</v>
      </c>
      <c r="X33" s="157">
        <f t="shared" si="11"/>
        <v>45310</v>
      </c>
      <c r="Y33" s="385">
        <f t="shared" si="12"/>
        <v>8.2706837428726256</v>
      </c>
      <c r="Z33" s="385">
        <f t="shared" si="22"/>
        <v>8.6641240832236175</v>
      </c>
      <c r="AA33" s="386">
        <f t="shared" si="13"/>
        <v>9.945556603464647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0.12884472647761391</v>
      </c>
      <c r="AD33" s="231">
        <f>(INDEX(Models!$BJ33:$BT33,,AH33)*(1-AF33)+INDEX(Models!$BJ33:$BT33,,AH33+1)*AF33-ERP_i)*AE33*Ramure*Pc/MaxiM</f>
        <v>1.7823116554971932E-3</v>
      </c>
      <c r="AE33" s="305">
        <f t="shared" si="15"/>
        <v>0.7</v>
      </c>
      <c r="AF33" s="177">
        <f t="shared" si="23"/>
        <v>0.79989995244405754</v>
      </c>
      <c r="AG33" s="810">
        <f t="shared" si="24"/>
        <v>0</v>
      </c>
      <c r="AH33" s="176">
        <f t="shared" si="16"/>
        <v>6</v>
      </c>
      <c r="AI33" s="225">
        <f t="shared" si="17"/>
        <v>0.79989995244405754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6.522995580463868</v>
      </c>
      <c r="C34" s="840"/>
      <c r="D34" s="393">
        <f t="shared" si="0"/>
        <v>6.8334565922264963</v>
      </c>
      <c r="E34" s="385">
        <f t="shared" si="1"/>
        <v>7.2606383148551279</v>
      </c>
      <c r="F34" s="385">
        <f t="shared" si="2"/>
        <v>7.2608738924781502</v>
      </c>
      <c r="G34" s="110">
        <f t="shared" si="21"/>
        <v>0.31197660298008972</v>
      </c>
      <c r="H34" s="414" t="b">
        <f>Wh_hp&gt;='2023'!Maxi_hp</f>
        <v>0</v>
      </c>
      <c r="I34" s="390">
        <f>IF(H34,Wh_hp,'2023'!Maxi_hp)</f>
        <v>11.506630779358042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4.5432499288251549E-2</v>
      </c>
      <c r="M34" s="844"/>
      <c r="N34" s="844"/>
      <c r="O34" s="48">
        <f>IF(t&lt;Tnet,'2023'!Resal+('2023'!Salim-'2023'!Resal)*(1-EXP(('2023'!Tnet-t)/('2023'!Tau_j))),Resal+(Salim-Resal)*(1-EXP((Tnet-t)/(Tau_j))))*Salcycl</f>
        <v>5.8835284737242192E-2</v>
      </c>
      <c r="P34" s="169">
        <f>(INDEX(Models!$BJ34:$BT34,,T34)*(1-R34)+INDEX(Models!$BJ34:$BT34,,T34+1)*R34-ERP_i)*Q34*Ramure*Pc/MaxiM</f>
        <v>1.8121485426433853E-3</v>
      </c>
      <c r="Q34" s="305">
        <f t="shared" si="4"/>
        <v>0.7</v>
      </c>
      <c r="R34" s="177">
        <f t="shared" si="5"/>
        <v>0.79994877242809159</v>
      </c>
      <c r="S34" s="810">
        <f t="shared" si="6"/>
        <v>0</v>
      </c>
      <c r="T34" s="176">
        <f t="shared" si="7"/>
        <v>6</v>
      </c>
      <c r="U34" s="251">
        <f t="shared" si="8"/>
        <v>0.79994877242809159</v>
      </c>
      <c r="V34" s="383">
        <f t="shared" si="9"/>
        <v>20.871392732573742</v>
      </c>
      <c r="W34" s="402">
        <f t="shared" si="10"/>
        <v>6.522995580463868</v>
      </c>
      <c r="X34" s="157">
        <f t="shared" si="11"/>
        <v>45311</v>
      </c>
      <c r="Y34" s="385">
        <f t="shared" si="12"/>
        <v>6.0374013754734515</v>
      </c>
      <c r="Z34" s="385">
        <f t="shared" si="22"/>
        <v>6.3247506027303677</v>
      </c>
      <c r="AA34" s="386">
        <f t="shared" si="13"/>
        <v>7.2606383148551279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0.12889882012301201</v>
      </c>
      <c r="AD34" s="231">
        <f>(INDEX(Models!$BJ34:$BT34,,AH34)*(1-AF34)+INDEX(Models!$BJ34:$BT34,,AH34+1)*AF34-ERP_i)*AE34*Ramure*Pc/MaxiM</f>
        <v>1.8121485426433853E-3</v>
      </c>
      <c r="AE34" s="305">
        <f t="shared" si="15"/>
        <v>0.7</v>
      </c>
      <c r="AF34" s="177">
        <f t="shared" si="23"/>
        <v>0.79994877242809159</v>
      </c>
      <c r="AG34" s="810">
        <f t="shared" si="24"/>
        <v>0</v>
      </c>
      <c r="AH34" s="176">
        <f t="shared" si="16"/>
        <v>6</v>
      </c>
      <c r="AI34" s="225">
        <f t="shared" si="17"/>
        <v>0.79994877242809159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17.70155141787486</v>
      </c>
      <c r="C35" s="840"/>
      <c r="D35" s="393">
        <f t="shared" si="0"/>
        <v>18.544485701874763</v>
      </c>
      <c r="E35" s="385">
        <f t="shared" si="1"/>
        <v>19.706524183628051</v>
      </c>
      <c r="F35" s="385">
        <f t="shared" si="2"/>
        <v>19.734547481387516</v>
      </c>
      <c r="G35" s="110">
        <f t="shared" si="21"/>
        <v>0.83853917694894475</v>
      </c>
      <c r="H35" s="414" t="b">
        <f>Wh_hp&gt;='2023'!Maxi_hp</f>
        <v>0</v>
      </c>
      <c r="I35" s="390">
        <f>IF(H35,Wh_hp,'2023'!Maxi_hp)</f>
        <v>19.738178741287463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4.5454713468526475E-2</v>
      </c>
      <c r="M35" s="844"/>
      <c r="N35" s="844"/>
      <c r="O35" s="48">
        <f>IF(t&lt;Tnet,'2023'!Resal+('2023'!Salim-'2023'!Resal)*(1-EXP(('2023'!Tnet-t)/('2023'!Tau_j))),Resal+(Salim-Resal)*(1-EXP((Tnet-t)/(Tau_j))))*Salcycl</f>
        <v>5.896719639268988E-2</v>
      </c>
      <c r="P35" s="169">
        <f>(INDEX(Models!$BJ35:$BT35,,T35)*(1-R35)+INDEX(Models!$BJ35:$BT35,,T35+1)*R35-ERP_i)*Q35*Ramure*Pc/MaxiM</f>
        <v>1.8445282185734942E-3</v>
      </c>
      <c r="Q35" s="305">
        <f t="shared" si="4"/>
        <v>0.7</v>
      </c>
      <c r="R35" s="177">
        <f t="shared" si="5"/>
        <v>0.79999962781788059</v>
      </c>
      <c r="S35" s="810">
        <f t="shared" si="6"/>
        <v>0</v>
      </c>
      <c r="T35" s="176">
        <f t="shared" si="7"/>
        <v>6</v>
      </c>
      <c r="U35" s="251">
        <f t="shared" si="8"/>
        <v>0.79999962781788059</v>
      </c>
      <c r="V35" s="383">
        <f t="shared" si="9"/>
        <v>21.101013078191368</v>
      </c>
      <c r="W35" s="402">
        <f t="shared" si="10"/>
        <v>17.70155141787486</v>
      </c>
      <c r="X35" s="157">
        <f t="shared" si="11"/>
        <v>45312</v>
      </c>
      <c r="Y35" s="385">
        <f t="shared" si="12"/>
        <v>16.385064068536614</v>
      </c>
      <c r="Z35" s="385">
        <f t="shared" si="22"/>
        <v>17.165308236003071</v>
      </c>
      <c r="AA35" s="386">
        <f t="shared" si="13"/>
        <v>19.706524183628051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0.12895302712673165</v>
      </c>
      <c r="AD35" s="231">
        <f>(INDEX(Models!$BJ35:$BT35,,AH35)*(1-AF35)+INDEX(Models!$BJ35:$BT35,,AH35+1)*AF35-ERP_i)*AE35*Ramure*Pc/MaxiM</f>
        <v>1.8445282185734942E-3</v>
      </c>
      <c r="AE35" s="305">
        <f t="shared" si="15"/>
        <v>0.7</v>
      </c>
      <c r="AF35" s="177">
        <f t="shared" si="23"/>
        <v>0.79999962781788059</v>
      </c>
      <c r="AG35" s="810">
        <f t="shared" si="24"/>
        <v>0</v>
      </c>
      <c r="AH35" s="176">
        <f t="shared" si="16"/>
        <v>6</v>
      </c>
      <c r="AI35" s="225">
        <f t="shared" si="17"/>
        <v>0.79999962781788059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21.263111139371826</v>
      </c>
      <c r="C36" s="840"/>
      <c r="D36" s="393">
        <f t="shared" si="0"/>
        <v>22.276162560932484</v>
      </c>
      <c r="E36" s="385">
        <f t="shared" si="1"/>
        <v>23.675353273495052</v>
      </c>
      <c r="F36" s="385">
        <f t="shared" si="2"/>
        <v>23.719717490974396</v>
      </c>
      <c r="G36" s="110">
        <f t="shared" si="21"/>
        <v>0.99662678533505866</v>
      </c>
      <c r="H36" s="414" t="b">
        <f>Wh_hp&gt;='2023'!Maxi_hp</f>
        <v>0</v>
      </c>
      <c r="I36" s="390">
        <f>IF(H36,Wh_hp,'2023'!Maxi_hp)</f>
        <v>23.719809070516359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4.5476927131844924E-2</v>
      </c>
      <c r="M36" s="844"/>
      <c r="N36" s="844"/>
      <c r="O36" s="48">
        <f>IF(t&lt;Tnet,'2023'!Resal+('2023'!Salim-'2023'!Resal)*(1-EXP(('2023'!Tnet-t)/('2023'!Tau_j))),Resal+(Salim-Resal)*(1-EXP((Tnet-t)/(Tau_j))))*Salcycl</f>
        <v>5.9099042637263795E-2</v>
      </c>
      <c r="P36" s="169">
        <f>(INDEX(Models!$BJ36:$BT36,,T36)*(1-R36)+INDEX(Models!$BJ36:$BT36,,T36+1)*R36-ERP_i)*Q36*Ramure*Pc/MaxiM</f>
        <v>1.8793841587091483E-3</v>
      </c>
      <c r="Q36" s="305">
        <f t="shared" si="4"/>
        <v>0.7</v>
      </c>
      <c r="R36" s="177">
        <f t="shared" si="5"/>
        <v>0.8000526029209063</v>
      </c>
      <c r="S36" s="810">
        <f t="shared" si="6"/>
        <v>0</v>
      </c>
      <c r="T36" s="176">
        <f t="shared" si="7"/>
        <v>6</v>
      </c>
      <c r="U36" s="251">
        <f t="shared" si="8"/>
        <v>0.8000526029209063</v>
      </c>
      <c r="V36" s="383">
        <f t="shared" si="9"/>
        <v>21.334885874400555</v>
      </c>
      <c r="W36" s="402">
        <f t="shared" si="10"/>
        <v>21.263111139371826</v>
      </c>
      <c r="X36" s="157">
        <f t="shared" si="11"/>
        <v>45313</v>
      </c>
      <c r="Y36" s="385">
        <f t="shared" si="12"/>
        <v>19.683276218298925</v>
      </c>
      <c r="Z36" s="385">
        <f t="shared" si="22"/>
        <v>20.621058597519838</v>
      </c>
      <c r="AA36" s="386">
        <f t="shared" si="13"/>
        <v>23.675353273495052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0.12900735379499265</v>
      </c>
      <c r="AD36" s="231">
        <f>(INDEX(Models!$BJ36:$BT36,,AH36)*(1-AF36)+INDEX(Models!$BJ36:$BT36,,AH36+1)*AF36-ERP_i)*AE36*Ramure*Pc/MaxiM</f>
        <v>1.8793841587091483E-3</v>
      </c>
      <c r="AE36" s="305">
        <f t="shared" si="15"/>
        <v>0.7</v>
      </c>
      <c r="AF36" s="177">
        <f t="shared" si="23"/>
        <v>0.8000526029209063</v>
      </c>
      <c r="AG36" s="810">
        <f t="shared" si="24"/>
        <v>0</v>
      </c>
      <c r="AH36" s="176">
        <f t="shared" si="16"/>
        <v>6</v>
      </c>
      <c r="AI36" s="225">
        <f t="shared" si="17"/>
        <v>0.8000526029209063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21.484981903335004</v>
      </c>
      <c r="C37" s="840"/>
      <c r="D37" s="393">
        <f t="shared" si="0"/>
        <v>22.509127869824518</v>
      </c>
      <c r="E37" s="385">
        <f t="shared" si="1"/>
        <v>23.926302551540843</v>
      </c>
      <c r="F37" s="385">
        <f t="shared" si="2"/>
        <v>23.971972123535014</v>
      </c>
      <c r="G37" s="110">
        <f t="shared" si="21"/>
        <v>0.99583963254845098</v>
      </c>
      <c r="H37" s="414" t="b">
        <f>Wh_hp&gt;='2023'!Maxi_hp</f>
        <v>0</v>
      </c>
      <c r="I37" s="390">
        <f>IF(H37,Wh_hp,'2023'!Maxi_hp)</f>
        <v>23.972086810605997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4.5499140278218997E-2</v>
      </c>
      <c r="M37" s="844"/>
      <c r="N37" s="844"/>
      <c r="O37" s="48">
        <f>IF(t&lt;Tnet,'2023'!Resal+('2023'!Salim-'2023'!Resal)*(1-EXP(('2023'!Tnet-t)/('2023'!Tau_j))),Resal+(Salim-Resal)*(1-EXP((Tnet-t)/(Tau_j))))*Salcycl</f>
        <v>5.9230826771646795E-2</v>
      </c>
      <c r="P37" s="169">
        <f>(INDEX(Models!$BJ37:$BT37,,T37)*(1-R37)+INDEX(Models!$BJ37:$BT37,,T37+1)*R37-ERP_i)*Q37*Ramure*Pc/MaxiM</f>
        <v>1.9164830511309813E-3</v>
      </c>
      <c r="Q37" s="305">
        <f t="shared" si="4"/>
        <v>0.7</v>
      </c>
      <c r="R37" s="177">
        <f t="shared" si="5"/>
        <v>0.8001077854895281</v>
      </c>
      <c r="S37" s="810">
        <f t="shared" si="6"/>
        <v>0</v>
      </c>
      <c r="T37" s="176">
        <f t="shared" si="7"/>
        <v>6</v>
      </c>
      <c r="U37" s="251">
        <f t="shared" si="8"/>
        <v>0.8001077854895281</v>
      </c>
      <c r="V37" s="383">
        <f t="shared" si="9"/>
        <v>21.5744952094811</v>
      </c>
      <c r="W37" s="402">
        <f t="shared" si="10"/>
        <v>21.484981903335004</v>
      </c>
      <c r="X37" s="157">
        <f t="shared" si="11"/>
        <v>45314</v>
      </c>
      <c r="Y37" s="385">
        <f t="shared" si="12"/>
        <v>19.89020459918147</v>
      </c>
      <c r="Z37" s="385">
        <f t="shared" si="22"/>
        <v>20.838330732335944</v>
      </c>
      <c r="AA37" s="386">
        <f t="shared" si="13"/>
        <v>23.926302551540843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0.1290618060418213</v>
      </c>
      <c r="AD37" s="231">
        <f>(INDEX(Models!$BJ37:$BT37,,AH37)*(1-AF37)+INDEX(Models!$BJ37:$BT37,,AH37+1)*AF37-ERP_i)*AE37*Ramure*Pc/MaxiM</f>
        <v>1.9164830511309813E-3</v>
      </c>
      <c r="AE37" s="305">
        <f t="shared" si="15"/>
        <v>0.7</v>
      </c>
      <c r="AF37" s="177">
        <f t="shared" si="23"/>
        <v>0.8001077854895281</v>
      </c>
      <c r="AG37" s="810">
        <f t="shared" si="24"/>
        <v>0</v>
      </c>
      <c r="AH37" s="176">
        <f t="shared" si="16"/>
        <v>6</v>
      </c>
      <c r="AI37" s="225">
        <f t="shared" si="17"/>
        <v>0.8001077854895281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21.833436365589595</v>
      </c>
      <c r="C38" s="840"/>
      <c r="D38" s="393">
        <f t="shared" si="0"/>
        <v>22.87472478520241</v>
      </c>
      <c r="E38" s="385">
        <f t="shared" si="1"/>
        <v>24.318322463094802</v>
      </c>
      <c r="F38" s="385">
        <f t="shared" si="2"/>
        <v>24.366089837944379</v>
      </c>
      <c r="G38" s="110">
        <f t="shared" si="21"/>
        <v>1.0005589453397306</v>
      </c>
      <c r="H38" s="414" t="b">
        <f>Wh_hp&gt;='2023'!Maxi_hp</f>
        <v>1</v>
      </c>
      <c r="I38" s="390">
        <f>IF(H38,Wh_hp,'2023'!Maxi_hp)</f>
        <v>24.366089837944379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4.5521352907660795E-2</v>
      </c>
      <c r="M38" s="844"/>
      <c r="N38" s="844"/>
      <c r="O38" s="48">
        <f>IF(t&lt;Tnet,'2023'!Resal+('2023'!Salim-'2023'!Resal)*(1-EXP(('2023'!Tnet-t)/('2023'!Tau_j))),Resal+(Salim-Resal)*(1-EXP((Tnet-t)/(Tau_j))))*Salcycl</f>
        <v>5.9362551840620462E-2</v>
      </c>
      <c r="P38" s="169">
        <f>(INDEX(Models!$BJ38:$BT38,,T38)*(1-R38)+INDEX(Models!$BJ38:$BT38,,T38+1)*R38-ERP_i)*Q38*Ramure*Pc/MaxiM</f>
        <v>1.9604037893346813E-3</v>
      </c>
      <c r="Q38" s="305">
        <f t="shared" si="4"/>
        <v>0.7</v>
      </c>
      <c r="R38" s="177">
        <f t="shared" si="5"/>
        <v>0.80016526685771172</v>
      </c>
      <c r="S38" s="810">
        <f t="shared" si="6"/>
        <v>0</v>
      </c>
      <c r="T38" s="176">
        <f t="shared" si="7"/>
        <v>6</v>
      </c>
      <c r="U38" s="251">
        <f t="shared" si="8"/>
        <v>0.80016526685771172</v>
      </c>
      <c r="V38" s="383">
        <f t="shared" si="9"/>
        <v>21.821239485472052</v>
      </c>
      <c r="W38" s="402">
        <f t="shared" si="10"/>
        <v>21.833436365589595</v>
      </c>
      <c r="X38" s="157">
        <f t="shared" si="11"/>
        <v>45315</v>
      </c>
      <c r="Y38" s="385">
        <f t="shared" si="12"/>
        <v>20.21435775891273</v>
      </c>
      <c r="Z38" s="385">
        <f t="shared" si="22"/>
        <v>21.178428475579224</v>
      </c>
      <c r="AA38" s="386">
        <f t="shared" si="13"/>
        <v>24.318322463094802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0.12911638918682167</v>
      </c>
      <c r="AD38" s="231">
        <f>(INDEX(Models!$BJ38:$BT38,,AH38)*(1-AF38)+INDEX(Models!$BJ38:$BT38,,AH38+1)*AF38-ERP_i)*AE38*Ramure*Pc/MaxiM</f>
        <v>1.9604037893346813E-3</v>
      </c>
      <c r="AE38" s="305">
        <f t="shared" si="15"/>
        <v>0.7</v>
      </c>
      <c r="AF38" s="177">
        <f t="shared" si="23"/>
        <v>0.80016526685771172</v>
      </c>
      <c r="AG38" s="810">
        <f t="shared" si="24"/>
        <v>0</v>
      </c>
      <c r="AH38" s="176">
        <f t="shared" si="16"/>
        <v>6</v>
      </c>
      <c r="AI38" s="225">
        <f t="shared" si="17"/>
        <v>0.80016526685771172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21.793061259508789</v>
      </c>
      <c r="C39" s="840"/>
      <c r="D39" s="393">
        <f t="shared" si="0"/>
        <v>22.832955450679744</v>
      </c>
      <c r="E39" s="385">
        <f t="shared" si="1"/>
        <v>24.277315407828191</v>
      </c>
      <c r="F39" s="385">
        <f t="shared" si="2"/>
        <v>24.325324353338537</v>
      </c>
      <c r="G39" s="110">
        <f t="shared" si="21"/>
        <v>0.98720366709481122</v>
      </c>
      <c r="H39" s="414" t="b">
        <f>Wh_hp&gt;='2023'!Maxi_hp</f>
        <v>0</v>
      </c>
      <c r="I39" s="390">
        <f>IF(H39,Wh_hp,'2023'!Maxi_hp)</f>
        <v>24.325688614436949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4.5543565020182197E-2</v>
      </c>
      <c r="M39" s="844"/>
      <c r="N39" s="844"/>
      <c r="O39" s="48">
        <f>IF(t&lt;Tnet,'2023'!Resal+('2023'!Salim-'2023'!Resal)*(1-EXP(('2023'!Tnet-t)/('2023'!Tau_j))),Resal+(Salim-Resal)*(1-EXP((Tnet-t)/(Tau_j))))*Salcycl</f>
        <v>5.9494220546424739E-2</v>
      </c>
      <c r="P39" s="169">
        <f>(INDEX(Models!$BJ39:$BT39,,T39)*(1-R39)+INDEX(Models!$BJ39:$BT39,,T39+1)*R39-ERP_i)*Q39*Ramure*Pc/MaxiM</f>
        <v>2.0102644447126767E-3</v>
      </c>
      <c r="Q39" s="305">
        <f t="shared" si="4"/>
        <v>0.7</v>
      </c>
      <c r="R39" s="177">
        <f t="shared" si="5"/>
        <v>0.80022514208283824</v>
      </c>
      <c r="S39" s="810">
        <f t="shared" si="6"/>
        <v>0</v>
      </c>
      <c r="T39" s="176">
        <f t="shared" si="7"/>
        <v>6</v>
      </c>
      <c r="U39" s="251">
        <f t="shared" si="8"/>
        <v>0.80022514208283824</v>
      </c>
      <c r="V39" s="383">
        <f t="shared" si="9"/>
        <v>22.074736765058077</v>
      </c>
      <c r="W39" s="402">
        <f t="shared" si="10"/>
        <v>21.793061259508789</v>
      </c>
      <c r="X39" s="157">
        <f t="shared" si="11"/>
        <v>45316</v>
      </c>
      <c r="Y39" s="385">
        <f t="shared" si="12"/>
        <v>20.178533518303876</v>
      </c>
      <c r="Z39" s="385">
        <f t="shared" si="22"/>
        <v>21.141387682854855</v>
      </c>
      <c r="AA39" s="386">
        <f t="shared" si="13"/>
        <v>24.277315407828191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0.1291711077725736</v>
      </c>
      <c r="AD39" s="231">
        <f>(INDEX(Models!$BJ39:$BT39,,AH39)*(1-AF39)+INDEX(Models!$BJ39:$BT39,,AH39+1)*AF39-ERP_i)*AE39*Ramure*Pc/MaxiM</f>
        <v>2.0102644447126767E-3</v>
      </c>
      <c r="AE39" s="305">
        <f t="shared" si="15"/>
        <v>0.7</v>
      </c>
      <c r="AF39" s="177">
        <f t="shared" si="23"/>
        <v>0.80022514208283824</v>
      </c>
      <c r="AG39" s="810">
        <f t="shared" si="24"/>
        <v>0</v>
      </c>
      <c r="AH39" s="176">
        <f t="shared" si="16"/>
        <v>6</v>
      </c>
      <c r="AI39" s="225">
        <f t="shared" si="17"/>
        <v>0.80022514208283824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21.921811255862998</v>
      </c>
      <c r="C40" s="840"/>
      <c r="D40" s="393">
        <f t="shared" si="0"/>
        <v>22.968383487060311</v>
      </c>
      <c r="E40" s="385">
        <f t="shared" si="1"/>
        <v>24.424728311455251</v>
      </c>
      <c r="F40" s="385">
        <f t="shared" si="2"/>
        <v>24.473952958880261</v>
      </c>
      <c r="G40" s="110">
        <f t="shared" si="21"/>
        <v>0.9814647162977318</v>
      </c>
      <c r="H40" s="414" t="b">
        <f>Wh_hp&gt;='2023'!Maxi_hp</f>
        <v>0</v>
      </c>
      <c r="I40" s="390">
        <f>IF(H40,Wh_hp,'2023'!Maxi_hp)</f>
        <v>24.474490380311327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4.5565776615795306E-2</v>
      </c>
      <c r="M40" s="844"/>
      <c r="N40" s="844"/>
      <c r="O40" s="48">
        <f>IF(t&lt;Tnet,'2023'!Resal+('2023'!Salim-'2023'!Resal)*(1-EXP(('2023'!Tnet-t)/('2023'!Tau_j))),Resal+(Salim-Resal)*(1-EXP((Tnet-t)/(Tau_j))))*Salcycl</f>
        <v>5.9625835170985721E-2</v>
      </c>
      <c r="P40" s="169">
        <f>(INDEX(Models!$BJ40:$BT40,,T40)*(1-R40)+INDEX(Models!$BJ40:$BT40,,T40+1)*R40-ERP_i)*Q40*Ramure*Pc/MaxiM</f>
        <v>2.0658508986837114E-3</v>
      </c>
      <c r="Q40" s="305">
        <f t="shared" si="4"/>
        <v>0.7</v>
      </c>
      <c r="R40" s="177">
        <f t="shared" si="5"/>
        <v>0.80028751009275245</v>
      </c>
      <c r="S40" s="810">
        <f t="shared" si="6"/>
        <v>0</v>
      </c>
      <c r="T40" s="176">
        <f t="shared" si="7"/>
        <v>6</v>
      </c>
      <c r="U40" s="251">
        <f t="shared" si="8"/>
        <v>0.80028751009275245</v>
      </c>
      <c r="V40" s="383">
        <f t="shared" si="9"/>
        <v>22.334591141251867</v>
      </c>
      <c r="W40" s="402">
        <f t="shared" si="10"/>
        <v>21.921811255862998</v>
      </c>
      <c r="X40" s="157">
        <f t="shared" si="11"/>
        <v>45317</v>
      </c>
      <c r="Y40" s="385">
        <f t="shared" si="12"/>
        <v>20.299307176743667</v>
      </c>
      <c r="Z40" s="385">
        <f t="shared" si="22"/>
        <v>21.268419215697214</v>
      </c>
      <c r="AA40" s="386">
        <f t="shared" si="13"/>
        <v>24.424728311455251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0.12922596540317377</v>
      </c>
      <c r="AD40" s="231">
        <f>(INDEX(Models!$BJ40:$BT40,,AH40)*(1-AF40)+INDEX(Models!$BJ40:$BT40,,AH40+1)*AF40-ERP_i)*AE40*Ramure*Pc/MaxiM</f>
        <v>2.0658508986837114E-3</v>
      </c>
      <c r="AE40" s="305">
        <f t="shared" si="15"/>
        <v>0.7</v>
      </c>
      <c r="AF40" s="177">
        <f t="shared" si="23"/>
        <v>0.80028751009275245</v>
      </c>
      <c r="AG40" s="810">
        <f t="shared" si="24"/>
        <v>0</v>
      </c>
      <c r="AH40" s="176">
        <f t="shared" si="16"/>
        <v>6</v>
      </c>
      <c r="AI40" s="225">
        <f t="shared" si="17"/>
        <v>0.80028751009275245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22.834045931974252</v>
      </c>
      <c r="C41" s="840"/>
      <c r="D41" s="393">
        <f t="shared" si="0"/>
        <v>23.924726048675861</v>
      </c>
      <c r="E41" s="385">
        <f t="shared" si="1"/>
        <v>25.445269109546015</v>
      </c>
      <c r="F41" s="385">
        <f t="shared" si="2"/>
        <v>25.499505349293731</v>
      </c>
      <c r="G41" s="110">
        <f t="shared" si="21"/>
        <v>1.0103378208337839</v>
      </c>
      <c r="H41" s="414" t="b">
        <f>Wh_hp&gt;='2023'!Maxi_hp</f>
        <v>1</v>
      </c>
      <c r="I41" s="390">
        <f>IF(H41,Wh_hp,'2023'!Maxi_hp)</f>
        <v>25.499505349293731</v>
      </c>
      <c r="J41" s="85">
        <f>IF(H41,An,'2023'!An_max)</f>
        <v>2024</v>
      </c>
      <c r="K41" s="197">
        <f t="shared" si="3"/>
        <v>45318</v>
      </c>
      <c r="L41" s="147">
        <f>IF(t&lt;Tvie,1-EXP((T0-t)*PertePVj)+'2023'!Pspv,1-EXP((T0-t)*PertePVj)+Pspv)</f>
        <v>4.5587987694512111E-2</v>
      </c>
      <c r="M41" s="844"/>
      <c r="N41" s="844"/>
      <c r="O41" s="48">
        <f>IF(t&lt;Tnet,'2023'!Resal+('2023'!Salim-'2023'!Resal)*(1-EXP(('2023'!Tnet-t)/('2023'!Tau_j))),Resal+(Salim-Resal)*(1-EXP((Tnet-t)/(Tau_j))))*Salcycl</f>
        <v>5.9757397507724075E-2</v>
      </c>
      <c r="P41" s="169">
        <f>(INDEX(Models!$BJ41:$BT41,,T41)*(1-R41)+INDEX(Models!$BJ41:$BT41,,T41+1)*R41-ERP_i)*Q41*Ramure*Pc/MaxiM</f>
        <v>2.1269526214248071E-3</v>
      </c>
      <c r="Q41" s="305">
        <f t="shared" si="4"/>
        <v>0.7</v>
      </c>
      <c r="R41" s="177">
        <f t="shared" si="5"/>
        <v>0.80035247383820984</v>
      </c>
      <c r="S41" s="810">
        <f t="shared" si="6"/>
        <v>0</v>
      </c>
      <c r="T41" s="176">
        <f t="shared" si="7"/>
        <v>6</v>
      </c>
      <c r="U41" s="251">
        <f t="shared" si="8"/>
        <v>0.80035247383820984</v>
      </c>
      <c r="V41" s="383">
        <f t="shared" si="9"/>
        <v>22.600406973907397</v>
      </c>
      <c r="W41" s="402">
        <f t="shared" si="10"/>
        <v>22.834045931974252</v>
      </c>
      <c r="X41" s="157">
        <f t="shared" si="11"/>
        <v>45318</v>
      </c>
      <c r="Y41" s="385">
        <f t="shared" si="12"/>
        <v>21.145647299270195</v>
      </c>
      <c r="Z41" s="385">
        <f t="shared" si="22"/>
        <v>22.155680174425449</v>
      </c>
      <c r="AA41" s="386">
        <f t="shared" si="13"/>
        <v>25.445269109546015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0.12928096460518268</v>
      </c>
      <c r="AD41" s="231">
        <f>(INDEX(Models!$BJ41:$BT41,,AH41)*(1-AF41)+INDEX(Models!$BJ41:$BT41,,AH41+1)*AF41-ERP_i)*AE41*Ramure*Pc/MaxiM</f>
        <v>2.1269526214248071E-3</v>
      </c>
      <c r="AE41" s="305">
        <f t="shared" si="15"/>
        <v>0.7</v>
      </c>
      <c r="AF41" s="177">
        <f t="shared" si="23"/>
        <v>0.80035247383820984</v>
      </c>
      <c r="AG41" s="810">
        <f t="shared" si="24"/>
        <v>0</v>
      </c>
      <c r="AH41" s="176">
        <f t="shared" si="16"/>
        <v>6</v>
      </c>
      <c r="AI41" s="225">
        <f t="shared" si="17"/>
        <v>0.80035247383820984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4.2460892188072563</v>
      </c>
      <c r="C42" s="840"/>
      <c r="D42" s="393">
        <f t="shared" si="0"/>
        <v>4.4490094205215911</v>
      </c>
      <c r="E42" s="385">
        <f t="shared" si="1"/>
        <v>4.7324294566713823</v>
      </c>
      <c r="F42" s="385">
        <f t="shared" si="2"/>
        <v>4.7324294566713823</v>
      </c>
      <c r="G42" s="110">
        <f t="shared" si="21"/>
        <v>0.18524025466943284</v>
      </c>
      <c r="H42" s="414" t="b">
        <f>Wh_hp&gt;='2023'!Maxi_hp</f>
        <v>0</v>
      </c>
      <c r="I42" s="390">
        <f>IF(H42,Wh_hp,'2023'!Maxi_hp)</f>
        <v>17.271645259588524</v>
      </c>
      <c r="J42" s="85">
        <f>IF(H42,An,'2023'!An_max)</f>
        <v>2020</v>
      </c>
      <c r="K42" s="197">
        <f t="shared" si="3"/>
        <v>45319</v>
      </c>
      <c r="L42" s="147">
        <f>IF(t&lt;Tvie,1-EXP((T0-t)*PertePVj)+'2023'!Pspv,1-EXP((T0-t)*PertePVj)+Pspv)</f>
        <v>4.5610198256344603E-2</v>
      </c>
      <c r="M42" s="844"/>
      <c r="N42" s="844"/>
      <c r="O42" s="48">
        <f>IF(t&lt;Tnet,'2023'!Resal+('2023'!Salim-'2023'!Resal)*(1-EXP(('2023'!Tnet-t)/('2023'!Tau_j))),Resal+(Salim-Resal)*(1-EXP((Tnet-t)/(Tau_j))))*Salcycl</f>
        <v>5.9888908803542577E-2</v>
      </c>
      <c r="P42" s="169">
        <f>(INDEX(Models!$BJ42:$BT42,,T42)*(1-R42)+INDEX(Models!$BJ42:$BT42,,T42+1)*R42-ERP_i)*Q42*Ramure*Pc/MaxiM</f>
        <v>2.1933640765840153E-3</v>
      </c>
      <c r="Q42" s="305">
        <f t="shared" si="4"/>
        <v>0.7</v>
      </c>
      <c r="R42" s="177">
        <f t="shared" si="5"/>
        <v>0.80042014045088661</v>
      </c>
      <c r="S42" s="810">
        <f t="shared" si="6"/>
        <v>0</v>
      </c>
      <c r="T42" s="176">
        <f t="shared" si="7"/>
        <v>6</v>
      </c>
      <c r="U42" s="251">
        <f t="shared" si="8"/>
        <v>0.80042014045088661</v>
      </c>
      <c r="V42" s="383">
        <f t="shared" si="9"/>
        <v>22.871788892805274</v>
      </c>
      <c r="W42" s="402">
        <f t="shared" si="10"/>
        <v>4.2460892188072563</v>
      </c>
      <c r="X42" s="157">
        <f t="shared" si="11"/>
        <v>45319</v>
      </c>
      <c r="Y42" s="385">
        <f t="shared" si="12"/>
        <v>3.9324252262464254</v>
      </c>
      <c r="Z42" s="385">
        <f t="shared" si="22"/>
        <v>4.1203554554564032</v>
      </c>
      <c r="AA42" s="386">
        <f t="shared" si="13"/>
        <v>4.7324294566713823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0.12933610671198237</v>
      </c>
      <c r="AD42" s="231">
        <f>(INDEX(Models!$BJ42:$BT42,,AH42)*(1-AF42)+INDEX(Models!$BJ42:$BT42,,AH42+1)*AF42-ERP_i)*AE42*Ramure*Pc/MaxiM</f>
        <v>2.1933640765840153E-3</v>
      </c>
      <c r="AE42" s="305">
        <f t="shared" si="15"/>
        <v>0.7</v>
      </c>
      <c r="AF42" s="177">
        <f t="shared" si="23"/>
        <v>0.80042014045088661</v>
      </c>
      <c r="AG42" s="810">
        <f t="shared" si="24"/>
        <v>0</v>
      </c>
      <c r="AH42" s="176">
        <f t="shared" si="16"/>
        <v>6</v>
      </c>
      <c r="AI42" s="225">
        <f t="shared" si="17"/>
        <v>0.80042014045088661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9.6714358312072886</v>
      </c>
      <c r="C43" s="840"/>
      <c r="D43" s="393">
        <f t="shared" si="0"/>
        <v>10.13386866374301</v>
      </c>
      <c r="E43" s="385">
        <f t="shared" si="1"/>
        <v>10.780944966469567</v>
      </c>
      <c r="F43" s="385">
        <f t="shared" si="2"/>
        <v>10.785055756711593</v>
      </c>
      <c r="G43" s="110">
        <f t="shared" si="21"/>
        <v>0.41701520568476724</v>
      </c>
      <c r="H43" s="414" t="b">
        <f>Wh_hp&gt;='2023'!Maxi_hp</f>
        <v>0</v>
      </c>
      <c r="I43" s="390">
        <f>IF(H43,Wh_hp,'2023'!Maxi_hp)</f>
        <v>16.235625620989971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4.5632408301304994E-2</v>
      </c>
      <c r="M43" s="844"/>
      <c r="N43" s="844"/>
      <c r="O43" s="48">
        <f>IF(t&lt;Tnet,'2023'!Resal+('2023'!Salim-'2023'!Resal)*(1-EXP(('2023'!Tnet-t)/('2023'!Tau_j))),Resal+(Salim-Resal)*(1-EXP((Tnet-t)/(Tau_j))))*Salcycl</f>
        <v>6.0020369711473856E-2</v>
      </c>
      <c r="P43" s="169">
        <f>(INDEX(Models!$BJ43:$BT43,,T43)*(1-R43)+INDEX(Models!$BJ43:$BT43,,T43+1)*R43-ERP_i)*Q43*Ramure*Pc/MaxiM</f>
        <v>2.2648859310221881E-3</v>
      </c>
      <c r="Q43" s="305">
        <f t="shared" si="4"/>
        <v>0.7</v>
      </c>
      <c r="R43" s="177">
        <f t="shared" si="5"/>
        <v>0.8004906214071148</v>
      </c>
      <c r="S43" s="810">
        <f t="shared" si="6"/>
        <v>0</v>
      </c>
      <c r="T43" s="176">
        <f t="shared" si="7"/>
        <v>6</v>
      </c>
      <c r="U43" s="251">
        <f t="shared" si="8"/>
        <v>0.8004906214071148</v>
      </c>
      <c r="V43" s="383">
        <f t="shared" si="9"/>
        <v>23.148341789803137</v>
      </c>
      <c r="W43" s="402">
        <f t="shared" si="10"/>
        <v>9.6714358312072886</v>
      </c>
      <c r="X43" s="157">
        <f t="shared" si="11"/>
        <v>45320</v>
      </c>
      <c r="Y43" s="385">
        <f t="shared" si="12"/>
        <v>8.9576784615923302</v>
      </c>
      <c r="Z43" s="385">
        <f t="shared" si="22"/>
        <v>9.3859834926376813</v>
      </c>
      <c r="AA43" s="386">
        <f t="shared" si="13"/>
        <v>10.780944966469567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0.12939139177228301</v>
      </c>
      <c r="AD43" s="231">
        <f>(INDEX(Models!$BJ43:$BT43,,AH43)*(1-AF43)+INDEX(Models!$BJ43:$BT43,,AH43+1)*AF43-ERP_i)*AE43*Ramure*Pc/MaxiM</f>
        <v>2.2648859310221881E-3</v>
      </c>
      <c r="AE43" s="305">
        <f t="shared" si="15"/>
        <v>0.7</v>
      </c>
      <c r="AF43" s="177">
        <f t="shared" si="23"/>
        <v>0.8004906214071148</v>
      </c>
      <c r="AG43" s="810">
        <f t="shared" si="24"/>
        <v>0</v>
      </c>
      <c r="AH43" s="176">
        <f t="shared" si="16"/>
        <v>6</v>
      </c>
      <c r="AI43" s="225">
        <f t="shared" si="17"/>
        <v>0.8004906214071148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4.6259693049117399</v>
      </c>
      <c r="C44" s="840"/>
      <c r="D44" s="393">
        <f t="shared" si="0"/>
        <v>4.8472695434333026</v>
      </c>
      <c r="E44" s="385">
        <f t="shared" si="1"/>
        <v>5.1575025005049371</v>
      </c>
      <c r="F44" s="385">
        <f t="shared" si="2"/>
        <v>5.1575025005049371</v>
      </c>
      <c r="G44" s="110">
        <f t="shared" si="21"/>
        <v>0.19697837137597773</v>
      </c>
      <c r="H44" s="414" t="b">
        <f>Wh_hp&gt;='2023'!Maxi_hp</f>
        <v>0</v>
      </c>
      <c r="I44" s="390">
        <f>IF(H44,Wh_hp,'2023'!Maxi_hp)</f>
        <v>11.307083616802787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4.5654617829405164E-2</v>
      </c>
      <c r="M44" s="844"/>
      <c r="N44" s="844"/>
      <c r="O44" s="48">
        <f>IF(t&lt;Tnet,'2023'!Resal+('2023'!Salim-'2023'!Resal)*(1-EXP(('2023'!Tnet-t)/('2023'!Tau_j))),Resal+(Salim-Resal)*(1-EXP((Tnet-t)/(Tau_j))))*Salcycl</f>
        <v>6.0151780254350092E-2</v>
      </c>
      <c r="P44" s="169">
        <f>(INDEX(Models!$BJ44:$BT44,,T44)*(1-R44)+INDEX(Models!$BJ44:$BT44,,T44+1)*R44-ERP_i)*Q44*Ramure*Pc/MaxiM</f>
        <v>2.3437087737178783E-3</v>
      </c>
      <c r="Q44" s="305">
        <f t="shared" si="4"/>
        <v>0.7</v>
      </c>
      <c r="R44" s="177">
        <f t="shared" si="5"/>
        <v>0.80056403269750953</v>
      </c>
      <c r="S44" s="810">
        <f t="shared" si="6"/>
        <v>0</v>
      </c>
      <c r="T44" s="176">
        <f t="shared" si="7"/>
        <v>6</v>
      </c>
      <c r="U44" s="251">
        <f t="shared" si="8"/>
        <v>0.80056403269750953</v>
      </c>
      <c r="V44" s="383">
        <f t="shared" si="9"/>
        <v>23.429614875106545</v>
      </c>
      <c r="W44" s="402">
        <f t="shared" si="10"/>
        <v>4.6259693049117399</v>
      </c>
      <c r="X44" s="157">
        <f t="shared" si="11"/>
        <v>45321</v>
      </c>
      <c r="Y44" s="385">
        <f t="shared" si="12"/>
        <v>4.2848964453851934</v>
      </c>
      <c r="Z44" s="385">
        <f t="shared" si="22"/>
        <v>4.4898802104951594</v>
      </c>
      <c r="AA44" s="386">
        <f t="shared" si="13"/>
        <v>5.1575025005049371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0.12944681848325135</v>
      </c>
      <c r="AD44" s="231">
        <f>(INDEX(Models!$BJ44:$BT44,,AH44)*(1-AF44)+INDEX(Models!$BJ44:$BT44,,AH44+1)*AF44-ERP_i)*AE44*Ramure*Pc/MaxiM</f>
        <v>2.3437087737178783E-3</v>
      </c>
      <c r="AE44" s="305">
        <f t="shared" si="15"/>
        <v>0.7</v>
      </c>
      <c r="AF44" s="177">
        <f t="shared" si="23"/>
        <v>0.80056403269750953</v>
      </c>
      <c r="AG44" s="810">
        <f t="shared" si="24"/>
        <v>0</v>
      </c>
      <c r="AH44" s="176">
        <f t="shared" si="16"/>
        <v>6</v>
      </c>
      <c r="AI44" s="225">
        <f t="shared" si="17"/>
        <v>0.80056403269750953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8.169583449668659</v>
      </c>
      <c r="C45" s="840"/>
      <c r="D45" s="393">
        <f t="shared" si="0"/>
        <v>8.5606047085944414</v>
      </c>
      <c r="E45" s="385">
        <f t="shared" si="1"/>
        <v>9.1097702628960615</v>
      </c>
      <c r="F45" s="385">
        <f t="shared" si="2"/>
        <v>9.1111755325886108</v>
      </c>
      <c r="G45" s="110">
        <f t="shared" si="21"/>
        <v>0.34370308703555369</v>
      </c>
      <c r="H45" s="414" t="b">
        <f>Wh_hp&gt;='2023'!Maxi_hp</f>
        <v>0</v>
      </c>
      <c r="I45" s="390">
        <f>IF(H45,Wh_hp,'2023'!Maxi_hp)</f>
        <v>20.821047723853216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4.5676826840657103E-2</v>
      </c>
      <c r="M45" s="844"/>
      <c r="N45" s="844"/>
      <c r="O45" s="48">
        <f>IF(t&lt;Tnet,'2023'!Resal+('2023'!Salim-'2023'!Resal)*(1-EXP(('2023'!Tnet-t)/('2023'!Tau_j))),Resal+(Salim-Resal)*(1-EXP((Tnet-t)/(Tau_j))))*Salcycl</f>
        <v>6.0283139799733647E-2</v>
      </c>
      <c r="P45" s="169">
        <f>(INDEX(Models!$BJ45:$BT45,,T45)*(1-R45)+INDEX(Models!$BJ45:$BT45,,T45+1)*R45-ERP_i)*Q45*Ramure*Pc/MaxiM</f>
        <v>2.4269384079866198E-3</v>
      </c>
      <c r="Q45" s="305">
        <f t="shared" si="4"/>
        <v>0.7</v>
      </c>
      <c r="R45" s="177">
        <f t="shared" si="5"/>
        <v>0.80064049500265366</v>
      </c>
      <c r="S45" s="810">
        <f t="shared" si="6"/>
        <v>0</v>
      </c>
      <c r="T45" s="176">
        <f t="shared" si="7"/>
        <v>6</v>
      </c>
      <c r="U45" s="251">
        <f t="shared" si="8"/>
        <v>0.80064049500265366</v>
      </c>
      <c r="V45" s="383">
        <f t="shared" si="9"/>
        <v>23.715275944814984</v>
      </c>
      <c r="W45" s="402">
        <f t="shared" si="10"/>
        <v>8.169583449668659</v>
      </c>
      <c r="X45" s="157">
        <f t="shared" si="11"/>
        <v>45322</v>
      </c>
      <c r="Y45" s="385">
        <f t="shared" si="12"/>
        <v>7.5678145371587098</v>
      </c>
      <c r="Z45" s="385">
        <f t="shared" si="22"/>
        <v>7.9300332948062193</v>
      </c>
      <c r="AA45" s="386">
        <f t="shared" si="13"/>
        <v>9.1097702628960615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0.12950238414846649</v>
      </c>
      <c r="AD45" s="231">
        <f>(INDEX(Models!$BJ45:$BT45,,AH45)*(1-AF45)+INDEX(Models!$BJ45:$BT45,,AH45+1)*AF45-ERP_i)*AE45*Ramure*Pc/MaxiM</f>
        <v>2.4269384079866198E-3</v>
      </c>
      <c r="AE45" s="305">
        <f t="shared" si="15"/>
        <v>0.7</v>
      </c>
      <c r="AF45" s="177">
        <f t="shared" si="23"/>
        <v>0.80064049500265366</v>
      </c>
      <c r="AG45" s="810">
        <f t="shared" si="24"/>
        <v>0</v>
      </c>
      <c r="AH45" s="176">
        <f t="shared" si="16"/>
        <v>6</v>
      </c>
      <c r="AI45" s="225">
        <f t="shared" si="17"/>
        <v>0.80064049500265366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9.5990051525532945</v>
      </c>
      <c r="C46" s="840"/>
      <c r="D46" s="393">
        <f t="shared" si="0"/>
        <v>10.058676987635327</v>
      </c>
      <c r="E46" s="385">
        <f t="shared" si="1"/>
        <v>10.705440240129139</v>
      </c>
      <c r="F46" s="385">
        <f t="shared" si="2"/>
        <v>10.709282276558</v>
      </c>
      <c r="G46" s="110">
        <f t="shared" si="21"/>
        <v>0.39901409106834967</v>
      </c>
      <c r="H46" s="414" t="b">
        <f>Wh_hp&gt;='2023'!Maxi_hp</f>
        <v>0</v>
      </c>
      <c r="I46" s="390">
        <f>IF(H46,Wh_hp,'2023'!Maxi_hp)</f>
        <v>21.147132908302876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4.5699035335072913E-2</v>
      </c>
      <c r="M46" s="844"/>
      <c r="N46" s="844"/>
      <c r="O46" s="48">
        <f>IF(t&lt;Tnet,'2023'!Resal+('2023'!Salim-'2023'!Resal)*(1-EXP(('2023'!Tnet-t)/('2023'!Tau_j))),Resal+(Salim-Resal)*(1-EXP((Tnet-t)/(Tau_j))))*Salcycl</f>
        <v>6.0414447046225388E-2</v>
      </c>
      <c r="P46" s="169">
        <f>(INDEX(Models!$BJ46:$BT46,,T46)*(1-R46)+INDEX(Models!$BJ46:$BT46,,T46+1)*R46-ERP_i)*Q46*Ramure*Pc/MaxiM</f>
        <v>2.514411142106245E-3</v>
      </c>
      <c r="Q46" s="305">
        <f t="shared" si="4"/>
        <v>0.7</v>
      </c>
      <c r="R46" s="177">
        <f t="shared" si="5"/>
        <v>0.80072013387500596</v>
      </c>
      <c r="S46" s="810">
        <f t="shared" si="6"/>
        <v>0</v>
      </c>
      <c r="T46" s="176">
        <f t="shared" si="7"/>
        <v>6</v>
      </c>
      <c r="U46" s="251">
        <f t="shared" si="8"/>
        <v>0.80072013387500596</v>
      </c>
      <c r="V46" s="383">
        <f t="shared" si="9"/>
        <v>24.004930681385918</v>
      </c>
      <c r="W46" s="402">
        <f t="shared" si="10"/>
        <v>9.5990051525532945</v>
      </c>
      <c r="X46" s="157">
        <f t="shared" si="11"/>
        <v>45323</v>
      </c>
      <c r="Y46" s="385">
        <f t="shared" si="12"/>
        <v>8.892619095806678</v>
      </c>
      <c r="Z46" s="385">
        <f t="shared" si="22"/>
        <v>9.3184639071689954</v>
      </c>
      <c r="AA46" s="386">
        <f t="shared" si="13"/>
        <v>10.705440240129139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0.1295580846606465</v>
      </c>
      <c r="AD46" s="231">
        <f>(INDEX(Models!$BJ46:$BT46,,AH46)*(1-AF46)+INDEX(Models!$BJ46:$BT46,,AH46+1)*AF46-ERP_i)*AE46*Ramure*Pc/MaxiM</f>
        <v>2.514411142106245E-3</v>
      </c>
      <c r="AE46" s="305">
        <f t="shared" si="15"/>
        <v>0.7</v>
      </c>
      <c r="AF46" s="177">
        <f t="shared" si="23"/>
        <v>0.80072013387500596</v>
      </c>
      <c r="AG46" s="810">
        <f t="shared" si="24"/>
        <v>0</v>
      </c>
      <c r="AH46" s="176">
        <f t="shared" si="16"/>
        <v>6</v>
      </c>
      <c r="AI46" s="225">
        <f t="shared" si="17"/>
        <v>0.80072013387500596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5.4389931734037278</v>
      </c>
      <c r="C47" s="840"/>
      <c r="D47" s="393">
        <f t="shared" si="0"/>
        <v>5.6995852996712859</v>
      </c>
      <c r="E47" s="385">
        <f t="shared" si="1"/>
        <v>6.0669106520663965</v>
      </c>
      <c r="F47" s="385">
        <f t="shared" si="2"/>
        <v>6.0669106520663965</v>
      </c>
      <c r="G47" s="110">
        <f t="shared" si="21"/>
        <v>0.2232602681554646</v>
      </c>
      <c r="H47" s="414" t="b">
        <f>Wh_hp&gt;='2023'!Maxi_hp</f>
        <v>0</v>
      </c>
      <c r="I47" s="390">
        <f>IF(H47,Wh_hp,'2023'!Maxi_hp)</f>
        <v>24.623005802832068</v>
      </c>
      <c r="J47" s="85">
        <f>IF(H47,An,'2023'!An_max)</f>
        <v>2020</v>
      </c>
      <c r="K47" s="197">
        <f t="shared" si="3"/>
        <v>45324</v>
      </c>
      <c r="L47" s="147">
        <f>IF(t&lt;Tvie,1-EXP((T0-t)*PertePVj)+'2023'!Pspv,1-EXP((T0-t)*PertePVj)+Pspv)</f>
        <v>4.5721243312664694E-2</v>
      </c>
      <c r="M47" s="844"/>
      <c r="N47" s="844"/>
      <c r="O47" s="48">
        <f>IF(t&lt;Tnet,'2023'!Resal+('2023'!Salim-'2023'!Resal)*(1-EXP(('2023'!Tnet-t)/('2023'!Tau_j))),Resal+(Salim-Resal)*(1-EXP((Tnet-t)/(Tau_j))))*Salcycl</f>
        <v>6.0545700021146606E-2</v>
      </c>
      <c r="P47" s="169">
        <f>(INDEX(Models!$BJ47:$BT47,,T47)*(1-R47)+INDEX(Models!$BJ47:$BT47,,T47+1)*R47-ERP_i)*Q47*Ramure*Pc/MaxiM</f>
        <v>2.6059725922634833E-3</v>
      </c>
      <c r="Q47" s="305">
        <f t="shared" si="4"/>
        <v>0.7</v>
      </c>
      <c r="R47" s="177">
        <f t="shared" si="5"/>
        <v>0.8008030799272019</v>
      </c>
      <c r="S47" s="810">
        <f t="shared" si="6"/>
        <v>0</v>
      </c>
      <c r="T47" s="176">
        <f t="shared" si="7"/>
        <v>6</v>
      </c>
      <c r="U47" s="251">
        <f t="shared" si="8"/>
        <v>0.8008030799272019</v>
      </c>
      <c r="V47" s="383">
        <f t="shared" si="9"/>
        <v>24.298185033473228</v>
      </c>
      <c r="W47" s="402">
        <f t="shared" si="10"/>
        <v>5.4389931734037278</v>
      </c>
      <c r="X47" s="157">
        <f t="shared" si="11"/>
        <v>45324</v>
      </c>
      <c r="Y47" s="385">
        <f t="shared" si="12"/>
        <v>5.0391210911681537</v>
      </c>
      <c r="Z47" s="385">
        <f t="shared" si="22"/>
        <v>5.2805546134767374</v>
      </c>
      <c r="AA47" s="386">
        <f t="shared" si="13"/>
        <v>6.0669106520663965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0.12961391450883247</v>
      </c>
      <c r="AD47" s="231">
        <f>(INDEX(Models!$BJ47:$BT47,,AH47)*(1-AF47)+INDEX(Models!$BJ47:$BT47,,AH47+1)*AF47-ERP_i)*AE47*Ramure*Pc/MaxiM</f>
        <v>2.6059725922634833E-3</v>
      </c>
      <c r="AE47" s="305">
        <f t="shared" si="15"/>
        <v>0.7</v>
      </c>
      <c r="AF47" s="177">
        <f t="shared" si="23"/>
        <v>0.8008030799272019</v>
      </c>
      <c r="AG47" s="810">
        <f t="shared" si="24"/>
        <v>0</v>
      </c>
      <c r="AH47" s="176">
        <f t="shared" si="16"/>
        <v>6</v>
      </c>
      <c r="AI47" s="225">
        <f t="shared" si="17"/>
        <v>0.8008030799272019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9.8865596290516162</v>
      </c>
      <c r="C48" s="840"/>
      <c r="D48" s="393">
        <f t="shared" si="0"/>
        <v>10.360483915006791</v>
      </c>
      <c r="E48" s="385">
        <f t="shared" si="1"/>
        <v>11.029733934867233</v>
      </c>
      <c r="F48" s="385">
        <f t="shared" si="2"/>
        <v>11.034076587823288</v>
      </c>
      <c r="G48" s="110">
        <f t="shared" si="21"/>
        <v>0.40105206896808293</v>
      </c>
      <c r="H48" s="414" t="b">
        <f>Wh_hp&gt;='2023'!Maxi_hp</f>
        <v>0</v>
      </c>
      <c r="I48" s="390">
        <f>IF(H48,Wh_hp,'2023'!Maxi_hp)</f>
        <v>23.131615520800864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4.5743450773444327E-2</v>
      </c>
      <c r="M48" s="844"/>
      <c r="N48" s="844"/>
      <c r="O48" s="48">
        <f>IF(t&lt;Tnet,'2023'!Resal+('2023'!Salim-'2023'!Resal)*(1-EXP(('2023'!Tnet-t)/('2023'!Tau_j))),Resal+(Salim-Resal)*(1-EXP((Tnet-t)/(Tau_j))))*Salcycl</f>
        <v>6.0676896089470175E-2</v>
      </c>
      <c r="P48" s="169">
        <f>(INDEX(Models!$BJ48:$BT48,,T48)*(1-R48)+INDEX(Models!$BJ48:$BT48,,T48+1)*R48-ERP_i)*Q48*Ramure*Pc/MaxiM</f>
        <v>2.7014780585165677E-3</v>
      </c>
      <c r="Q48" s="305">
        <f t="shared" si="4"/>
        <v>0.7</v>
      </c>
      <c r="R48" s="177">
        <f t="shared" si="5"/>
        <v>0.80088946902690827</v>
      </c>
      <c r="S48" s="810">
        <f t="shared" si="6"/>
        <v>0</v>
      </c>
      <c r="T48" s="176">
        <f t="shared" si="7"/>
        <v>6</v>
      </c>
      <c r="U48" s="251">
        <f t="shared" si="8"/>
        <v>0.80088946902690827</v>
      </c>
      <c r="V48" s="383">
        <f t="shared" si="9"/>
        <v>24.594645215312589</v>
      </c>
      <c r="W48" s="402">
        <f t="shared" si="10"/>
        <v>9.8865596290516162</v>
      </c>
      <c r="X48" s="157">
        <f t="shared" si="11"/>
        <v>45325</v>
      </c>
      <c r="Y48" s="385">
        <f t="shared" si="12"/>
        <v>9.1603951003937159</v>
      </c>
      <c r="Z48" s="385">
        <f t="shared" si="22"/>
        <v>9.5995098045891361</v>
      </c>
      <c r="AA48" s="386">
        <f t="shared" si="13"/>
        <v>11.029733934867233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0.12966986680946749</v>
      </c>
      <c r="AD48" s="231">
        <f>(INDEX(Models!$BJ48:$BT48,,AH48)*(1-AF48)+INDEX(Models!$BJ48:$BT48,,AH48+1)*AF48-ERP_i)*AE48*Ramure*Pc/MaxiM</f>
        <v>2.7014780585165677E-3</v>
      </c>
      <c r="AE48" s="305">
        <f t="shared" si="15"/>
        <v>0.7</v>
      </c>
      <c r="AF48" s="177">
        <f t="shared" si="23"/>
        <v>0.80088946902690827</v>
      </c>
      <c r="AG48" s="810">
        <f t="shared" si="24"/>
        <v>0</v>
      </c>
      <c r="AH48" s="176">
        <f t="shared" si="16"/>
        <v>6</v>
      </c>
      <c r="AI48" s="225">
        <f t="shared" si="17"/>
        <v>0.80088946902690827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9.7587352646341721</v>
      </c>
      <c r="C49" s="840"/>
      <c r="D49" s="393">
        <f t="shared" si="0"/>
        <v>10.226770125764695</v>
      </c>
      <c r="E49" s="385">
        <f t="shared" si="1"/>
        <v>10.88890288026716</v>
      </c>
      <c r="F49" s="385">
        <f t="shared" si="2"/>
        <v>10.8929131667339</v>
      </c>
      <c r="G49" s="110">
        <f t="shared" si="21"/>
        <v>0.39105885909310456</v>
      </c>
      <c r="H49" s="414" t="b">
        <f>Wh_hp&gt;='2023'!Maxi_hp</f>
        <v>0</v>
      </c>
      <c r="I49" s="390">
        <f>IF(H49,Wh_hp,'2023'!Maxi_hp)</f>
        <v>21.711002332701614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4.5765657717423913E-2</v>
      </c>
      <c r="M49" s="844"/>
      <c r="N49" s="844"/>
      <c r="O49" s="48">
        <f>IF(t&lt;Tnet,'2023'!Resal+('2023'!Salim-'2023'!Resal)*(1-EXP(('2023'!Tnet-t)/('2023'!Tau_j))),Resal+(Salim-Resal)*(1-EXP((Tnet-t)/(Tau_j))))*Salcycl</f>
        <v>6.0808031973761195E-2</v>
      </c>
      <c r="P49" s="169">
        <f>(INDEX(Models!$BJ49:$BT49,,T49)*(1-R49)+INDEX(Models!$BJ49:$BT49,,T49+1)*R49-ERP_i)*Q49*Ramure*Pc/MaxiM</f>
        <v>2.8007928015950996E-3</v>
      </c>
      <c r="Q49" s="305">
        <f t="shared" si="4"/>
        <v>0.7</v>
      </c>
      <c r="R49" s="177">
        <f t="shared" si="5"/>
        <v>0.80097944249840103</v>
      </c>
      <c r="S49" s="810">
        <f t="shared" si="6"/>
        <v>0</v>
      </c>
      <c r="T49" s="176">
        <f t="shared" si="7"/>
        <v>6</v>
      </c>
      <c r="U49" s="251">
        <f t="shared" si="8"/>
        <v>0.80097944249840103</v>
      </c>
      <c r="V49" s="383">
        <f t="shared" si="9"/>
        <v>24.893917711694378</v>
      </c>
      <c r="W49" s="402">
        <f t="shared" si="10"/>
        <v>9.7587352646341721</v>
      </c>
      <c r="X49" s="157">
        <f t="shared" si="11"/>
        <v>45326</v>
      </c>
      <c r="Y49" s="385">
        <f t="shared" si="12"/>
        <v>9.042639325226336</v>
      </c>
      <c r="Z49" s="385">
        <f t="shared" si="22"/>
        <v>9.4763297908518904</v>
      </c>
      <c r="AA49" s="386">
        <f t="shared" si="13"/>
        <v>10.88890288026716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0.12972593336057128</v>
      </c>
      <c r="AD49" s="231">
        <f>(INDEX(Models!$BJ49:$BT49,,AH49)*(1-AF49)+INDEX(Models!$BJ49:$BT49,,AH49+1)*AF49-ERP_i)*AE49*Ramure*Pc/MaxiM</f>
        <v>2.8007928015950996E-3</v>
      </c>
      <c r="AE49" s="305">
        <f t="shared" si="15"/>
        <v>0.7</v>
      </c>
      <c r="AF49" s="177">
        <f t="shared" si="23"/>
        <v>0.80097944249840103</v>
      </c>
      <c r="AG49" s="810">
        <f t="shared" si="24"/>
        <v>0</v>
      </c>
      <c r="AH49" s="176">
        <f t="shared" si="16"/>
        <v>6</v>
      </c>
      <c r="AI49" s="225">
        <f t="shared" si="17"/>
        <v>0.80097944249840103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8.976032368354204</v>
      </c>
      <c r="C50" s="840"/>
      <c r="D50" s="393">
        <f t="shared" si="0"/>
        <v>9.4067472326872252</v>
      </c>
      <c r="E50" s="385">
        <f t="shared" si="1"/>
        <v>10.01718554206658</v>
      </c>
      <c r="F50" s="385">
        <f t="shared" si="2"/>
        <v>10.019523661499115</v>
      </c>
      <c r="G50" s="110">
        <f t="shared" si="21"/>
        <v>0.35530225751874311</v>
      </c>
      <c r="H50" s="414" t="b">
        <f>Wh_hp&gt;='2023'!Maxi_hp</f>
        <v>0</v>
      </c>
      <c r="I50" s="390">
        <f>IF(H50,Wh_hp,'2023'!Maxi_hp)</f>
        <v>28.631560461107572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4.5787864144615553E-2</v>
      </c>
      <c r="M50" s="844"/>
      <c r="N50" s="844"/>
      <c r="O50" s="48">
        <f>IF(t&lt;Tnet,'2023'!Resal+('2023'!Salim-'2023'!Resal)*(1-EXP(('2023'!Tnet-t)/('2023'!Tau_j))),Resal+(Salim-Resal)*(1-EXP((Tnet-t)/(Tau_j))))*Salcycl</f>
        <v>6.0939103784776114E-2</v>
      </c>
      <c r="P50" s="169">
        <f>(INDEX(Models!$BJ50:$BT50,,T50)*(1-R50)+INDEX(Models!$BJ50:$BT50,,T50+1)*R50-ERP_i)*Q50*Ramure*Pc/MaxiM</f>
        <v>2.9037922363525088E-3</v>
      </c>
      <c r="Q50" s="305">
        <f t="shared" si="4"/>
        <v>0.7</v>
      </c>
      <c r="R50" s="177">
        <f t="shared" si="5"/>
        <v>0.80107314733102575</v>
      </c>
      <c r="S50" s="810">
        <f t="shared" si="6"/>
        <v>0</v>
      </c>
      <c r="T50" s="176">
        <f t="shared" si="7"/>
        <v>6</v>
      </c>
      <c r="U50" s="251">
        <f t="shared" si="8"/>
        <v>0.80107314733102575</v>
      </c>
      <c r="V50" s="383">
        <f t="shared" si="9"/>
        <v>25.19560927376385</v>
      </c>
      <c r="W50" s="402">
        <f t="shared" si="10"/>
        <v>8.976032368354204</v>
      </c>
      <c r="X50" s="157">
        <f t="shared" si="11"/>
        <v>45327</v>
      </c>
      <c r="Y50" s="385">
        <f t="shared" si="12"/>
        <v>8.3179951662923735</v>
      </c>
      <c r="Z50" s="385">
        <f t="shared" si="22"/>
        <v>8.7171341190665874</v>
      </c>
      <c r="AA50" s="386">
        <f t="shared" si="13"/>
        <v>10.01718554206658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0.12978210471798715</v>
      </c>
      <c r="AD50" s="231">
        <f>(INDEX(Models!$BJ50:$BT50,,AH50)*(1-AF50)+INDEX(Models!$BJ50:$BT50,,AH50+1)*AF50-ERP_i)*AE50*Ramure*Pc/MaxiM</f>
        <v>2.9037922363525088E-3</v>
      </c>
      <c r="AE50" s="305">
        <f t="shared" si="15"/>
        <v>0.7</v>
      </c>
      <c r="AF50" s="177">
        <f t="shared" si="23"/>
        <v>0.80107314733102575</v>
      </c>
      <c r="AG50" s="810">
        <f t="shared" si="24"/>
        <v>0</v>
      </c>
      <c r="AH50" s="176">
        <f t="shared" si="16"/>
        <v>6</v>
      </c>
      <c r="AI50" s="225">
        <f t="shared" si="17"/>
        <v>0.80107314733102575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17.128568370794575</v>
      </c>
      <c r="C51" s="840"/>
      <c r="D51" s="393">
        <f t="shared" si="0"/>
        <v>17.950900374501366</v>
      </c>
      <c r="E51" s="385">
        <f t="shared" si="1"/>
        <v>19.118467214134931</v>
      </c>
      <c r="F51" s="385">
        <f t="shared" si="2"/>
        <v>19.149073777097612</v>
      </c>
      <c r="G51" s="110">
        <f t="shared" si="21"/>
        <v>0.67073389332116007</v>
      </c>
      <c r="H51" s="414" t="b">
        <f>Wh_hp&gt;='2023'!Maxi_hp</f>
        <v>0</v>
      </c>
      <c r="I51" s="390">
        <f>IF(H51,Wh_hp,'2023'!Maxi_hp)</f>
        <v>29.492309215343429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4.5810070055031127E-2</v>
      </c>
      <c r="M51" s="844"/>
      <c r="N51" s="844"/>
      <c r="O51" s="48">
        <f>IF(t&lt;Tnet,'2023'!Resal+('2023'!Salim-'2023'!Resal)*(1-EXP(('2023'!Tnet-t)/('2023'!Tau_j))),Resal+(Salim-Resal)*(1-EXP((Tnet-t)/(Tau_j))))*Salcycl</f>
        <v>6.1070107062262034E-2</v>
      </c>
      <c r="P51" s="169">
        <f>(INDEX(Models!$BJ51:$BT51,,T51)*(1-R51)+INDEX(Models!$BJ51:$BT51,,T51+1)*R51-ERP_i)*Q51*Ramure*Pc/MaxiM</f>
        <v>3.0101718397337715E-3</v>
      </c>
      <c r="Q51" s="305">
        <f t="shared" si="4"/>
        <v>0.7</v>
      </c>
      <c r="R51" s="177">
        <f t="shared" si="5"/>
        <v>0.80117073639470104</v>
      </c>
      <c r="S51" s="810">
        <f t="shared" si="6"/>
        <v>0</v>
      </c>
      <c r="T51" s="176">
        <f t="shared" si="7"/>
        <v>6</v>
      </c>
      <c r="U51" s="251">
        <f t="shared" si="8"/>
        <v>0.80117073639470104</v>
      </c>
      <c r="V51" s="383">
        <f t="shared" si="9"/>
        <v>25.500943099742852</v>
      </c>
      <c r="W51" s="402">
        <f t="shared" si="10"/>
        <v>17.128568370794575</v>
      </c>
      <c r="X51" s="157">
        <f t="shared" si="11"/>
        <v>45328</v>
      </c>
      <c r="Y51" s="385">
        <f t="shared" si="12"/>
        <v>15.874053089793192</v>
      </c>
      <c r="Z51" s="385">
        <f t="shared" si="22"/>
        <v>16.636156588561668</v>
      </c>
      <c r="AA51" s="386">
        <f t="shared" si="13"/>
        <v>19.118467214134931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0.12983837029246803</v>
      </c>
      <c r="AD51" s="231">
        <f>(INDEX(Models!$BJ51:$BT51,,AH51)*(1-AF51)+INDEX(Models!$BJ51:$BT51,,AH51+1)*AF51-ERP_i)*AE51*Ramure*Pc/MaxiM</f>
        <v>3.0101718397337715E-3</v>
      </c>
      <c r="AE51" s="305">
        <f t="shared" si="15"/>
        <v>0.7</v>
      </c>
      <c r="AF51" s="177">
        <f t="shared" si="23"/>
        <v>0.80117073639470104</v>
      </c>
      <c r="AG51" s="810">
        <f t="shared" si="24"/>
        <v>0</v>
      </c>
      <c r="AH51" s="176">
        <f t="shared" si="16"/>
        <v>6</v>
      </c>
      <c r="AI51" s="225">
        <f t="shared" si="17"/>
        <v>0.80117073639470104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9.1466608350036118</v>
      </c>
      <c r="C52" s="840"/>
      <c r="D52" s="393">
        <f t="shared" si="0"/>
        <v>9.5860094610773885</v>
      </c>
      <c r="E52" s="385">
        <f t="shared" si="1"/>
        <v>10.210928896493217</v>
      </c>
      <c r="F52" s="385">
        <f t="shared" si="2"/>
        <v>10.213396210668078</v>
      </c>
      <c r="G52" s="110">
        <f t="shared" si="21"/>
        <v>0.3533476796513606</v>
      </c>
      <c r="H52" s="414" t="b">
        <f>Wh_hp&gt;='2023'!Maxi_hp</f>
        <v>0</v>
      </c>
      <c r="I52" s="390">
        <f>IF(H52,Wh_hp,'2023'!Maxi_hp)</f>
        <v>20.449279964874634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4.5832275448682624E-2</v>
      </c>
      <c r="M52" s="844"/>
      <c r="N52" s="844"/>
      <c r="O52" s="48">
        <f>IF(t&lt;Tnet,'2023'!Resal+('2023'!Salim-'2023'!Resal)*(1-EXP(('2023'!Tnet-t)/('2023'!Tau_j))),Resal+(Salim-Resal)*(1-EXP((Tnet-t)/(Tau_j))))*Salcycl</f>
        <v>6.1201036825400554E-2</v>
      </c>
      <c r="P52" s="169">
        <f>(INDEX(Models!$BJ52:$BT52,,T52)*(1-R52)+INDEX(Models!$BJ52:$BT52,,T52+1)*R52-ERP_i)*Q52*Ramure*Pc/MaxiM</f>
        <v>3.1105431631183278E-3</v>
      </c>
      <c r="Q52" s="305">
        <f t="shared" si="4"/>
        <v>0.7</v>
      </c>
      <c r="R52" s="177">
        <f t="shared" si="5"/>
        <v>0.80127236866262219</v>
      </c>
      <c r="S52" s="810">
        <f t="shared" si="6"/>
        <v>0</v>
      </c>
      <c r="T52" s="176">
        <f t="shared" si="7"/>
        <v>6</v>
      </c>
      <c r="U52" s="251">
        <f t="shared" si="8"/>
        <v>0.80127236866262219</v>
      </c>
      <c r="V52" s="383">
        <f t="shared" si="9"/>
        <v>25.811441682734355</v>
      </c>
      <c r="W52" s="402">
        <f t="shared" si="10"/>
        <v>9.1466608350036118</v>
      </c>
      <c r="X52" s="157">
        <f t="shared" si="11"/>
        <v>45329</v>
      </c>
      <c r="Y52" s="385">
        <f t="shared" si="12"/>
        <v>8.477382499468165</v>
      </c>
      <c r="Z52" s="385">
        <f t="shared" si="22"/>
        <v>8.8845831622050753</v>
      </c>
      <c r="AA52" s="386">
        <f t="shared" si="13"/>
        <v>10.210928896493217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0.12989471846617726</v>
      </c>
      <c r="AD52" s="231">
        <f>(INDEX(Models!$BJ52:$BT52,,AH52)*(1-AF52)+INDEX(Models!$BJ52:$BT52,,AH52+1)*AF52-ERP_i)*AE52*Ramure*Pc/MaxiM</f>
        <v>3.1105431631183278E-3</v>
      </c>
      <c r="AE52" s="305">
        <f t="shared" si="15"/>
        <v>0.7</v>
      </c>
      <c r="AF52" s="177">
        <f t="shared" si="23"/>
        <v>0.80127236866262219</v>
      </c>
      <c r="AG52" s="810">
        <f t="shared" si="24"/>
        <v>0</v>
      </c>
      <c r="AH52" s="176">
        <f t="shared" si="16"/>
        <v>6</v>
      </c>
      <c r="AI52" s="225">
        <f t="shared" si="17"/>
        <v>0.80127236866262219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26.767696797531435</v>
      </c>
      <c r="C53" s="840"/>
      <c r="D53" s="393">
        <f t="shared" si="0"/>
        <v>28.054103116959929</v>
      </c>
      <c r="E53" s="385">
        <f t="shared" si="1"/>
        <v>29.887137687243438</v>
      </c>
      <c r="F53" s="385">
        <f t="shared" si="2"/>
        <v>29.983116479380318</v>
      </c>
      <c r="G53" s="110">
        <f t="shared" si="21"/>
        <v>1.0245257763407305</v>
      </c>
      <c r="H53" s="414" t="b">
        <f>Wh_hp&gt;='2023'!Maxi_hp</f>
        <v>1</v>
      </c>
      <c r="I53" s="390">
        <f>IF(H53,Wh_hp,'2023'!Maxi_hp)</f>
        <v>29.983116479380318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4.5854480325582259E-2</v>
      </c>
      <c r="M53" s="844"/>
      <c r="N53" s="844"/>
      <c r="O53" s="48">
        <f>IF(t&lt;Tnet,'2023'!Resal+('2023'!Salim-'2023'!Resal)*(1-EXP(('2023'!Tnet-t)/('2023'!Tau_j))),Resal+(Salim-Resal)*(1-EXP((Tnet-t)/(Tau_j))))*Salcycl</f>
        <v>6.1331887632246999E-2</v>
      </c>
      <c r="P53" s="169">
        <f>(INDEX(Models!$BJ53:$BT53,,T53)*(1-R53)+INDEX(Models!$BJ53:$BT53,,T53+1)*R53-ERP_i)*Q53*Ramure*Pc/MaxiM</f>
        <v>3.2010945961166311E-3</v>
      </c>
      <c r="Q53" s="305">
        <f t="shared" si="4"/>
        <v>0.7</v>
      </c>
      <c r="R53" s="177">
        <f t="shared" si="5"/>
        <v>0.80137820944131521</v>
      </c>
      <c r="S53" s="810">
        <f t="shared" si="6"/>
        <v>0</v>
      </c>
      <c r="T53" s="176">
        <f t="shared" si="7"/>
        <v>6</v>
      </c>
      <c r="U53" s="251">
        <f t="shared" si="8"/>
        <v>0.80137820944131521</v>
      </c>
      <c r="V53" s="383">
        <f t="shared" si="9"/>
        <v>26.126913949531708</v>
      </c>
      <c r="W53" s="402">
        <f t="shared" si="10"/>
        <v>26.767696797531435</v>
      </c>
      <c r="X53" s="157">
        <f t="shared" si="11"/>
        <v>45330</v>
      </c>
      <c r="Y53" s="385">
        <f t="shared" si="12"/>
        <v>24.810903730800334</v>
      </c>
      <c r="Z53" s="385">
        <f t="shared" si="22"/>
        <v>26.003270171269616</v>
      </c>
      <c r="AA53" s="386">
        <f t="shared" si="13"/>
        <v>29.887137687243438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0.12995113672700589</v>
      </c>
      <c r="AD53" s="231">
        <f>(INDEX(Models!$BJ53:$BT53,,AH53)*(1-AF53)+INDEX(Models!$BJ53:$BT53,,AH53+1)*AF53-ERP_i)*AE53*Ramure*Pc/MaxiM</f>
        <v>3.2010945961166311E-3</v>
      </c>
      <c r="AE53" s="305">
        <f t="shared" si="15"/>
        <v>0.7</v>
      </c>
      <c r="AF53" s="177">
        <f t="shared" si="23"/>
        <v>0.80137820944131521</v>
      </c>
      <c r="AG53" s="810">
        <f t="shared" si="24"/>
        <v>0</v>
      </c>
      <c r="AH53" s="176">
        <f t="shared" si="16"/>
        <v>6</v>
      </c>
      <c r="AI53" s="225">
        <f t="shared" si="17"/>
        <v>0.80137820944131521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26.844262873121544</v>
      </c>
      <c r="C54" s="840"/>
      <c r="D54" s="393">
        <f t="shared" si="0"/>
        <v>28.135003560079543</v>
      </c>
      <c r="E54" s="385">
        <f t="shared" si="1"/>
        <v>29.977500276808886</v>
      </c>
      <c r="F54" s="385">
        <f t="shared" si="2"/>
        <v>30.076215660223141</v>
      </c>
      <c r="G54" s="110">
        <f t="shared" si="21"/>
        <v>1.0150186423570313</v>
      </c>
      <c r="H54" s="414" t="b">
        <f>Wh_hp&gt;='2023'!Maxi_hp</f>
        <v>1</v>
      </c>
      <c r="I54" s="390">
        <f>IF(H54,Wh_hp,'2023'!Maxi_hp)</f>
        <v>30.076215660223141</v>
      </c>
      <c r="J54" s="85">
        <f>IF(H54,An,'2023'!An_max)</f>
        <v>2024</v>
      </c>
      <c r="K54" s="197">
        <f t="shared" si="3"/>
        <v>45331</v>
      </c>
      <c r="L54" s="147">
        <f>IF(t&lt;Tvie,1-EXP((T0-t)*PertePVj)+'2023'!Pspv,1-EXP((T0-t)*PertePVj)+Pspv)</f>
        <v>4.587668468574202E-2</v>
      </c>
      <c r="M54" s="844"/>
      <c r="N54" s="844"/>
      <c r="O54" s="48">
        <f>IF(t&lt;Tnet,'2023'!Resal+('2023'!Salim-'2023'!Resal)*(1-EXP(('2023'!Tnet-t)/('2023'!Tau_j))),Resal+(Salim-Resal)*(1-EXP((Tnet-t)/(Tau_j))))*Salcycl</f>
        <v>6.1462653647433411E-2</v>
      </c>
      <c r="P54" s="169">
        <f>(INDEX(Models!$BJ54:$BT54,,T54)*(1-R54)+INDEX(Models!$BJ54:$BT54,,T54+1)*R54-ERP_i)*Q54*Ramure*Pc/MaxiM</f>
        <v>3.2821743443211537E-3</v>
      </c>
      <c r="Q54" s="305">
        <f t="shared" si="4"/>
        <v>0.7</v>
      </c>
      <c r="R54" s="177">
        <f t="shared" si="5"/>
        <v>0.8014884306081882</v>
      </c>
      <c r="S54" s="810">
        <f t="shared" si="6"/>
        <v>0</v>
      </c>
      <c r="T54" s="176">
        <f t="shared" si="7"/>
        <v>6</v>
      </c>
      <c r="U54" s="251">
        <f t="shared" si="8"/>
        <v>0.8014884306081882</v>
      </c>
      <c r="V54" s="383">
        <f t="shared" si="9"/>
        <v>26.447063879324411</v>
      </c>
      <c r="W54" s="402">
        <f t="shared" si="10"/>
        <v>26.844262873121544</v>
      </c>
      <c r="X54" s="157">
        <f t="shared" si="11"/>
        <v>45331</v>
      </c>
      <c r="Y54" s="385">
        <f t="shared" si="12"/>
        <v>24.883724080569074</v>
      </c>
      <c r="Z54" s="385">
        <f t="shared" si="22"/>
        <v>26.080197057518884</v>
      </c>
      <c r="AA54" s="386">
        <f t="shared" si="13"/>
        <v>29.977500276808886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0.13000761181895562</v>
      </c>
      <c r="AD54" s="231">
        <f>(INDEX(Models!$BJ54:$BT54,,AH54)*(1-AF54)+INDEX(Models!$BJ54:$BT54,,AH54+1)*AF54-ERP_i)*AE54*Ramure*Pc/MaxiM</f>
        <v>3.2821743443211537E-3</v>
      </c>
      <c r="AE54" s="305">
        <f t="shared" si="15"/>
        <v>0.7</v>
      </c>
      <c r="AF54" s="177">
        <f t="shared" si="23"/>
        <v>0.8014884306081882</v>
      </c>
      <c r="AG54" s="810">
        <f t="shared" si="24"/>
        <v>0</v>
      </c>
      <c r="AH54" s="176">
        <f t="shared" si="16"/>
        <v>6</v>
      </c>
      <c r="AI54" s="225">
        <f t="shared" si="17"/>
        <v>0.8014884306081882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25.191973958461979</v>
      </c>
      <c r="C55" s="840"/>
      <c r="D55" s="393">
        <f t="shared" si="0"/>
        <v>26.403882833368108</v>
      </c>
      <c r="E55" s="385">
        <f t="shared" si="1"/>
        <v>28.136930012739249</v>
      </c>
      <c r="F55" s="385">
        <f t="shared" si="2"/>
        <v>28.223616158235796</v>
      </c>
      <c r="G55" s="110">
        <f t="shared" si="21"/>
        <v>0.94072949533232908</v>
      </c>
      <c r="H55" s="414" t="b">
        <f>Wh_hp&gt;='2023'!Maxi_hp</f>
        <v>0</v>
      </c>
      <c r="I55" s="390">
        <f>IF(H55,Wh_hp,'2023'!Maxi_hp)</f>
        <v>28.226702999052218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4.5898888529173787E-2</v>
      </c>
      <c r="M55" s="844"/>
      <c r="N55" s="844"/>
      <c r="O55" s="48">
        <f>IF(t&lt;Tnet,'2023'!Resal+('2023'!Salim-'2023'!Resal)*(1-EXP(('2023'!Tnet-t)/('2023'!Tau_j))),Resal+(Salim-Resal)*(1-EXP((Tnet-t)/(Tau_j))))*Salcycl</f>
        <v>6.1593328717329462E-2</v>
      </c>
      <c r="P55" s="169">
        <f>(INDEX(Models!$BJ55:$BT55,,T55)*(1-R55)+INDEX(Models!$BJ55:$BT55,,T55+1)*R55-ERP_i)*Q55*Ramure*Pc/MaxiM</f>
        <v>3.3541270951484431E-3</v>
      </c>
      <c r="Q55" s="305">
        <f t="shared" si="4"/>
        <v>0.7</v>
      </c>
      <c r="R55" s="177">
        <f t="shared" si="5"/>
        <v>0.80160321085671815</v>
      </c>
      <c r="S55" s="810">
        <f t="shared" si="6"/>
        <v>0</v>
      </c>
      <c r="T55" s="176">
        <f t="shared" si="7"/>
        <v>6</v>
      </c>
      <c r="U55" s="251">
        <f t="shared" si="8"/>
        <v>0.80160321085671815</v>
      </c>
      <c r="V55" s="383">
        <f t="shared" si="9"/>
        <v>26.771595664434592</v>
      </c>
      <c r="W55" s="402">
        <f t="shared" si="10"/>
        <v>25.191973958461979</v>
      </c>
      <c r="X55" s="157">
        <f t="shared" si="11"/>
        <v>45332</v>
      </c>
      <c r="Y55" s="385">
        <f t="shared" si="12"/>
        <v>23.3538426948382</v>
      </c>
      <c r="Z55" s="385">
        <f t="shared" si="22"/>
        <v>24.477324692386439</v>
      </c>
      <c r="AA55" s="386">
        <f t="shared" si="13"/>
        <v>28.136930012739249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0.13006412990670593</v>
      </c>
      <c r="AD55" s="231">
        <f>(INDEX(Models!$BJ55:$BT55,,AH55)*(1-AF55)+INDEX(Models!$BJ55:$BT55,,AH55+1)*AF55-ERP_i)*AE55*Ramure*Pc/MaxiM</f>
        <v>3.3541270951484431E-3</v>
      </c>
      <c r="AE55" s="305">
        <f t="shared" si="15"/>
        <v>0.7</v>
      </c>
      <c r="AF55" s="177">
        <f t="shared" si="23"/>
        <v>0.80160321085671815</v>
      </c>
      <c r="AG55" s="810">
        <f t="shared" si="24"/>
        <v>0</v>
      </c>
      <c r="AH55" s="176">
        <f t="shared" si="16"/>
        <v>6</v>
      </c>
      <c r="AI55" s="225">
        <f t="shared" si="17"/>
        <v>0.80160321085671815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16.012013242556737</v>
      </c>
      <c r="C56" s="840"/>
      <c r="D56" s="393">
        <f t="shared" si="0"/>
        <v>16.782692821187677</v>
      </c>
      <c r="E56" s="385">
        <f t="shared" si="1"/>
        <v>17.886731780324705</v>
      </c>
      <c r="F56" s="385">
        <f t="shared" si="2"/>
        <v>17.91216451817688</v>
      </c>
      <c r="G56" s="110">
        <f t="shared" si="21"/>
        <v>0.58966268654145737</v>
      </c>
      <c r="H56" s="414" t="b">
        <f>Wh_hp&gt;='2023'!Maxi_hp</f>
        <v>0</v>
      </c>
      <c r="I56" s="390">
        <f>IF(H56,Wh_hp,'2023'!Maxi_hp)</f>
        <v>25.264298487786281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4.5921091855889773E-2</v>
      </c>
      <c r="M56" s="844"/>
      <c r="N56" s="844"/>
      <c r="O56" s="48">
        <f>IF(t&lt;Tnet,'2023'!Resal+('2023'!Salim-'2023'!Resal)*(1-EXP(('2023'!Tnet-t)/('2023'!Tau_j))),Resal+(Salim-Resal)*(1-EXP((Tnet-t)/(Tau_j))))*Salcycl</f>
        <v>6.1723906451790544E-2</v>
      </c>
      <c r="P56" s="169">
        <f>(INDEX(Models!$BJ56:$BT56,,T56)*(1-R56)+INDEX(Models!$BJ56:$BT56,,T56+1)*R56-ERP_i)*Q56*Ramure*Pc/MaxiM</f>
        <v>3.4172926583021439E-3</v>
      </c>
      <c r="Q56" s="305">
        <f t="shared" si="4"/>
        <v>0.7</v>
      </c>
      <c r="R56" s="177">
        <f t="shared" si="5"/>
        <v>0.80172273594940713</v>
      </c>
      <c r="S56" s="810">
        <f t="shared" si="6"/>
        <v>0</v>
      </c>
      <c r="T56" s="176">
        <f t="shared" si="7"/>
        <v>6</v>
      </c>
      <c r="U56" s="251">
        <f t="shared" si="8"/>
        <v>0.80172273594940713</v>
      </c>
      <c r="V56" s="383">
        <f t="shared" si="9"/>
        <v>27.100213712356972</v>
      </c>
      <c r="W56" s="402">
        <f t="shared" si="10"/>
        <v>16.012013242556737</v>
      </c>
      <c r="X56" s="157">
        <f t="shared" si="11"/>
        <v>45333</v>
      </c>
      <c r="Y56" s="385">
        <f t="shared" si="12"/>
        <v>14.844798177255957</v>
      </c>
      <c r="Z56" s="385">
        <f t="shared" si="22"/>
        <v>15.559298136180685</v>
      </c>
      <c r="AA56" s="386">
        <f t="shared" si="13"/>
        <v>17.886731780324705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0.1301206767523726</v>
      </c>
      <c r="AD56" s="231">
        <f>(INDEX(Models!$BJ56:$BT56,,AH56)*(1-AF56)+INDEX(Models!$BJ56:$BT56,,AH56+1)*AF56-ERP_i)*AE56*Ramure*Pc/MaxiM</f>
        <v>3.4172926583021439E-3</v>
      </c>
      <c r="AE56" s="305">
        <f t="shared" si="15"/>
        <v>0.7</v>
      </c>
      <c r="AF56" s="177">
        <f t="shared" si="23"/>
        <v>0.80172273594940713</v>
      </c>
      <c r="AG56" s="810">
        <f t="shared" si="24"/>
        <v>0</v>
      </c>
      <c r="AH56" s="176">
        <f t="shared" si="16"/>
        <v>6</v>
      </c>
      <c r="AI56" s="225">
        <f t="shared" si="17"/>
        <v>0.80172273594940713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23.147797884511899</v>
      </c>
      <c r="C57" s="840"/>
      <c r="D57" s="393">
        <f t="shared" si="0"/>
        <v>24.262496930311752</v>
      </c>
      <c r="E57" s="385">
        <f t="shared" si="1"/>
        <v>25.86218644645977</v>
      </c>
      <c r="F57" s="385">
        <f t="shared" si="2"/>
        <v>25.93213264362058</v>
      </c>
      <c r="G57" s="110">
        <f t="shared" si="21"/>
        <v>0.84315001484549412</v>
      </c>
      <c r="H57" s="414" t="b">
        <f>Wh_hp&gt;='2023'!Maxi_hp</f>
        <v>0</v>
      </c>
      <c r="I57" s="390">
        <f>IF(H57,Wh_hp,'2023'!Maxi_hp)</f>
        <v>31.080312640486358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4.5943294665901857E-2</v>
      </c>
      <c r="M57" s="844"/>
      <c r="N57" s="844"/>
      <c r="O57" s="48">
        <f>IF(t&lt;Tnet,'2023'!Resal+('2023'!Salim-'2023'!Resal)*(1-EXP(('2023'!Tnet-t)/('2023'!Tau_j))),Resal+(Salim-Resal)*(1-EXP((Tnet-t)/(Tau_j))))*Salcycl</f>
        <v>6.185438031156866E-2</v>
      </c>
      <c r="P57" s="169">
        <f>(INDEX(Models!$BJ57:$BT57,,T57)*(1-R57)+INDEX(Models!$BJ57:$BT57,,T57+1)*R57-ERP_i)*Q57*Ramure*Pc/MaxiM</f>
        <v>3.4720048013253011E-3</v>
      </c>
      <c r="Q57" s="305">
        <f t="shared" si="4"/>
        <v>0.7</v>
      </c>
      <c r="R57" s="177">
        <f t="shared" si="5"/>
        <v>0.80184719897862533</v>
      </c>
      <c r="S57" s="810">
        <f t="shared" si="6"/>
        <v>0</v>
      </c>
      <c r="T57" s="176">
        <f t="shared" si="7"/>
        <v>6</v>
      </c>
      <c r="U57" s="251">
        <f t="shared" si="8"/>
        <v>0.80184719897862533</v>
      </c>
      <c r="V57" s="383">
        <f t="shared" si="9"/>
        <v>27.432622640880307</v>
      </c>
      <c r="W57" s="402">
        <f t="shared" si="10"/>
        <v>23.147797884511899</v>
      </c>
      <c r="X57" s="157">
        <f t="shared" si="11"/>
        <v>45334</v>
      </c>
      <c r="Y57" s="385">
        <f t="shared" si="12"/>
        <v>21.462000215990397</v>
      </c>
      <c r="Z57" s="385">
        <f t="shared" si="22"/>
        <v>22.49551844874324</v>
      </c>
      <c r="AA57" s="386">
        <f t="shared" si="13"/>
        <v>25.86218644645977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0.13017723790238112</v>
      </c>
      <c r="AD57" s="231">
        <f>(INDEX(Models!$BJ57:$BT57,,AH57)*(1-AF57)+INDEX(Models!$BJ57:$BT57,,AH57+1)*AF57-ERP_i)*AE57*Ramure*Pc/MaxiM</f>
        <v>3.4720048013253011E-3</v>
      </c>
      <c r="AE57" s="305">
        <f t="shared" si="15"/>
        <v>0.7</v>
      </c>
      <c r="AF57" s="177">
        <f t="shared" si="23"/>
        <v>0.80184719897862533</v>
      </c>
      <c r="AG57" s="810">
        <f t="shared" si="24"/>
        <v>0</v>
      </c>
      <c r="AH57" s="176">
        <f t="shared" si="16"/>
        <v>6</v>
      </c>
      <c r="AI57" s="225">
        <f t="shared" si="17"/>
        <v>0.80184719897862533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27.381737010551589</v>
      </c>
      <c r="C58" s="840"/>
      <c r="D58" s="393">
        <f t="shared" si="0"/>
        <v>28.700992388931688</v>
      </c>
      <c r="E58" s="385">
        <f t="shared" si="1"/>
        <v>30.597575248568457</v>
      </c>
      <c r="F58" s="385">
        <f t="shared" si="2"/>
        <v>30.703111372234321</v>
      </c>
      <c r="G58" s="110">
        <f t="shared" si="21"/>
        <v>0.98599048768520225</v>
      </c>
      <c r="H58" s="414" t="b">
        <f>Wh_hp&gt;='2023'!Maxi_hp</f>
        <v>0</v>
      </c>
      <c r="I58" s="390">
        <f>IF(H58,Wh_hp,'2023'!Maxi_hp)</f>
        <v>32.091869543727995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4.5965496959222141E-2</v>
      </c>
      <c r="M58" s="844"/>
      <c r="N58" s="844"/>
      <c r="O58" s="48">
        <f>IF(t&lt;Tnet,'2023'!Resal+('2023'!Salim-'2023'!Resal)*(1-EXP(('2023'!Tnet-t)/('2023'!Tau_j))),Resal+(Salim-Resal)*(1-EXP((Tnet-t)/(Tau_j))))*Salcycl</f>
        <v>6.1984743700417955E-2</v>
      </c>
      <c r="P58" s="169">
        <f>(INDEX(Models!$BJ58:$BT58,,T58)*(1-R58)+INDEX(Models!$BJ58:$BT58,,T58+1)*R58-ERP_i)*Q58*Ramure*Pc/MaxiM</f>
        <v>3.5071548964515594E-3</v>
      </c>
      <c r="Q58" s="305">
        <f t="shared" si="4"/>
        <v>0.7</v>
      </c>
      <c r="R58" s="177">
        <f t="shared" si="5"/>
        <v>0.80197680063545673</v>
      </c>
      <c r="S58" s="810">
        <f t="shared" si="6"/>
        <v>0</v>
      </c>
      <c r="T58" s="176">
        <f t="shared" si="7"/>
        <v>6</v>
      </c>
      <c r="U58" s="251">
        <f t="shared" si="8"/>
        <v>0.80197680063545673</v>
      </c>
      <c r="V58" s="383">
        <f t="shared" si="9"/>
        <v>27.768845939340245</v>
      </c>
      <c r="W58" s="402">
        <f t="shared" si="10"/>
        <v>27.381737010551589</v>
      </c>
      <c r="X58" s="157">
        <f t="shared" si="11"/>
        <v>45335</v>
      </c>
      <c r="Y58" s="385">
        <f t="shared" si="12"/>
        <v>25.389469115483923</v>
      </c>
      <c r="Z58" s="385">
        <f t="shared" si="22"/>
        <v>26.612736787359893</v>
      </c>
      <c r="AA58" s="386">
        <f t="shared" si="13"/>
        <v>30.597575248568457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0.13023379888231498</v>
      </c>
      <c r="AD58" s="231">
        <f>(INDEX(Models!$BJ58:$BT58,,AH58)*(1-AF58)+INDEX(Models!$BJ58:$BT58,,AH58+1)*AF58-ERP_i)*AE58*Ramure*Pc/MaxiM</f>
        <v>3.5071548964515594E-3</v>
      </c>
      <c r="AE58" s="305">
        <f t="shared" si="15"/>
        <v>0.7</v>
      </c>
      <c r="AF58" s="177">
        <f t="shared" si="23"/>
        <v>0.80197680063545673</v>
      </c>
      <c r="AG58" s="810">
        <f t="shared" si="24"/>
        <v>0</v>
      </c>
      <c r="AH58" s="176">
        <f t="shared" si="16"/>
        <v>6</v>
      </c>
      <c r="AI58" s="225">
        <f t="shared" si="17"/>
        <v>0.80197680063545673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14.34119525702442</v>
      </c>
      <c r="C59" s="840"/>
      <c r="D59" s="393">
        <f t="shared" si="0"/>
        <v>15.032505595600044</v>
      </c>
      <c r="E59" s="385">
        <f t="shared" si="1"/>
        <v>16.028090262980179</v>
      </c>
      <c r="F59" s="385">
        <f t="shared" si="2"/>
        <v>16.045057656134095</v>
      </c>
      <c r="G59" s="110">
        <f t="shared" si="21"/>
        <v>0.50894737966624171</v>
      </c>
      <c r="H59" s="414" t="b">
        <f>Wh_hp&gt;='2023'!Maxi_hp</f>
        <v>0</v>
      </c>
      <c r="I59" s="390">
        <f>IF(H59,Wh_hp,'2023'!Maxi_hp)</f>
        <v>32.218134869509122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4.5987698735862614E-2</v>
      </c>
      <c r="M59" s="844"/>
      <c r="N59" s="844"/>
      <c r="O59" s="48">
        <f>IF(t&lt;Tnet,'2023'!Resal+('2023'!Salim-'2023'!Resal)*(1-EXP(('2023'!Tnet-t)/('2023'!Tau_j))),Resal+(Salim-Resal)*(1-EXP((Tnet-t)/(Tau_j))))*Salcycl</f>
        <v>6.2114990060894541E-2</v>
      </c>
      <c r="P59" s="169">
        <f>(INDEX(Models!$BJ59:$BT59,,T59)*(1-R59)+INDEX(Models!$BJ59:$BT59,,T59+1)*R59-ERP_i)*Q59*Ramure*Pc/MaxiM</f>
        <v>3.5214948331276359E-3</v>
      </c>
      <c r="Q59" s="305">
        <f t="shared" si="4"/>
        <v>0.7</v>
      </c>
      <c r="R59" s="177">
        <f t="shared" si="5"/>
        <v>0.8021117494866421</v>
      </c>
      <c r="S59" s="810">
        <f t="shared" si="6"/>
        <v>0</v>
      </c>
      <c r="T59" s="176">
        <f t="shared" si="7"/>
        <v>6</v>
      </c>
      <c r="U59" s="251">
        <f t="shared" si="8"/>
        <v>0.8021117494866421</v>
      </c>
      <c r="V59" s="383">
        <f t="shared" si="9"/>
        <v>28.108644550764065</v>
      </c>
      <c r="W59" s="402">
        <f t="shared" si="10"/>
        <v>14.34119525702442</v>
      </c>
      <c r="X59" s="157">
        <f t="shared" si="11"/>
        <v>45336</v>
      </c>
      <c r="Y59" s="385">
        <f t="shared" si="12"/>
        <v>13.298726220587193</v>
      </c>
      <c r="Z59" s="385">
        <f t="shared" si="22"/>
        <v>13.939784846553225</v>
      </c>
      <c r="AA59" s="386">
        <f t="shared" si="13"/>
        <v>16.028090262980179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0.13029034539755996</v>
      </c>
      <c r="AD59" s="231">
        <f>(INDEX(Models!$BJ59:$BT59,,AH59)*(1-AF59)+INDEX(Models!$BJ59:$BT59,,AH59+1)*AF59-ERP_i)*AE59*Ramure*Pc/MaxiM</f>
        <v>3.5214948331276359E-3</v>
      </c>
      <c r="AE59" s="305">
        <f t="shared" si="15"/>
        <v>0.7</v>
      </c>
      <c r="AF59" s="177">
        <f t="shared" si="23"/>
        <v>0.8021117494866421</v>
      </c>
      <c r="AG59" s="810">
        <f t="shared" si="24"/>
        <v>0</v>
      </c>
      <c r="AH59" s="176">
        <f t="shared" si="16"/>
        <v>6</v>
      </c>
      <c r="AI59" s="225">
        <f t="shared" si="17"/>
        <v>0.8021117494866421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16.909937117587994</v>
      </c>
      <c r="C60" s="840"/>
      <c r="D60" s="393">
        <f t="shared" si="0"/>
        <v>17.725484905466182</v>
      </c>
      <c r="E60" s="385">
        <f t="shared" si="1"/>
        <v>18.902044820751325</v>
      </c>
      <c r="F60" s="385">
        <f t="shared" si="2"/>
        <v>18.930029775423069</v>
      </c>
      <c r="G60" s="110">
        <f t="shared" si="21"/>
        <v>0.59312513935622801</v>
      </c>
      <c r="H60" s="414" t="b">
        <f>Wh_hp&gt;='2023'!Maxi_hp</f>
        <v>0</v>
      </c>
      <c r="I60" s="390">
        <f>IF(H60,Wh_hp,'2023'!Maxi_hp)</f>
        <v>32.495097407012501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4.6009899995835268E-2</v>
      </c>
      <c r="M60" s="844"/>
      <c r="N60" s="844"/>
      <c r="O60" s="48">
        <f>IF(t&lt;Tnet,'2023'!Resal+('2023'!Salim-'2023'!Resal)*(1-EXP(('2023'!Tnet-t)/('2023'!Tau_j))),Resal+(Salim-Resal)*(1-EXP((Tnet-t)/(Tau_j))))*Salcycl</f>
        <v>6.2245112972828934E-2</v>
      </c>
      <c r="P60" s="169">
        <f>(INDEX(Models!$BJ60:$BT60,,T60)*(1-R60)+INDEX(Models!$BJ60:$BT60,,T60+1)*R60-ERP_i)*Q60*Ramure*Pc/MaxiM</f>
        <v>3.515808363347831E-3</v>
      </c>
      <c r="Q60" s="305">
        <f t="shared" si="4"/>
        <v>0.7</v>
      </c>
      <c r="R60" s="177">
        <f t="shared" si="5"/>
        <v>0.80225226225970647</v>
      </c>
      <c r="S60" s="810">
        <f t="shared" si="6"/>
        <v>0</v>
      </c>
      <c r="T60" s="176">
        <f t="shared" si="7"/>
        <v>6</v>
      </c>
      <c r="U60" s="251">
        <f t="shared" si="8"/>
        <v>0.80225226225970647</v>
      </c>
      <c r="V60" s="383">
        <f t="shared" si="9"/>
        <v>28.45172370562867</v>
      </c>
      <c r="W60" s="402">
        <f t="shared" si="10"/>
        <v>16.909937117587994</v>
      </c>
      <c r="X60" s="157">
        <f t="shared" si="11"/>
        <v>45337</v>
      </c>
      <c r="Y60" s="385">
        <f t="shared" si="12"/>
        <v>15.681901587644933</v>
      </c>
      <c r="Z60" s="385">
        <f t="shared" si="22"/>
        <v>16.438222563920185</v>
      </c>
      <c r="AA60" s="386">
        <f t="shared" si="13"/>
        <v>18.902044820751325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0.13034686353755071</v>
      </c>
      <c r="AD60" s="231">
        <f>(INDEX(Models!$BJ60:$BT60,,AH60)*(1-AF60)+INDEX(Models!$BJ60:$BT60,,AH60+1)*AF60-ERP_i)*AE60*Ramure*Pc/MaxiM</f>
        <v>3.515808363347831E-3</v>
      </c>
      <c r="AE60" s="305">
        <f t="shared" si="15"/>
        <v>0.7</v>
      </c>
      <c r="AF60" s="177">
        <f t="shared" si="23"/>
        <v>0.80225226225970647</v>
      </c>
      <c r="AG60" s="810">
        <f t="shared" si="24"/>
        <v>0</v>
      </c>
      <c r="AH60" s="176">
        <f t="shared" si="16"/>
        <v>6</v>
      </c>
      <c r="AI60" s="225">
        <f t="shared" si="17"/>
        <v>0.80225226225970647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9.3072236118464602</v>
      </c>
      <c r="C61" s="840"/>
      <c r="D61" s="393">
        <f t="shared" si="0"/>
        <v>9.75632787964655</v>
      </c>
      <c r="E61" s="385">
        <f t="shared" si="1"/>
        <v>10.405363535797585</v>
      </c>
      <c r="F61" s="385">
        <f t="shared" si="2"/>
        <v>10.406567143016026</v>
      </c>
      <c r="G61" s="110">
        <f t="shared" si="21"/>
        <v>0.32210133694465293</v>
      </c>
      <c r="H61" s="414" t="b">
        <f>Wh_hp&gt;='2023'!Maxi_hp</f>
        <v>0</v>
      </c>
      <c r="I61" s="390">
        <f>IF(H61,Wh_hp,'2023'!Maxi_hp)</f>
        <v>33.091277518761402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4.6032100739152204E-2</v>
      </c>
      <c r="M61" s="844"/>
      <c r="N61" s="844"/>
      <c r="O61" s="48">
        <f>IF(t&lt;Tnet,'2023'!Resal+('2023'!Salim-'2023'!Resal)*(1-EXP(('2023'!Tnet-t)/('2023'!Tau_j))),Resal+(Salim-Resal)*(1-EXP((Tnet-t)/(Tau_j))))*Salcycl</f>
        <v>6.2375106253439158E-2</v>
      </c>
      <c r="P61" s="169">
        <f>(INDEX(Models!$BJ61:$BT61,,T61)*(1-R61)+INDEX(Models!$BJ61:$BT61,,T61+1)*R61-ERP_i)*Q61*Ramure*Pc/MaxiM</f>
        <v>3.490852628588309E-3</v>
      </c>
      <c r="Q61" s="305">
        <f t="shared" si="4"/>
        <v>0.7</v>
      </c>
      <c r="R61" s="177">
        <f t="shared" si="5"/>
        <v>0.80239856413633692</v>
      </c>
      <c r="S61" s="810">
        <f t="shared" si="6"/>
        <v>0</v>
      </c>
      <c r="T61" s="176">
        <f t="shared" si="7"/>
        <v>6</v>
      </c>
      <c r="U61" s="251">
        <f t="shared" si="8"/>
        <v>0.80239856413633692</v>
      </c>
      <c r="V61" s="383">
        <f t="shared" si="9"/>
        <v>28.797788854330488</v>
      </c>
      <c r="W61" s="402">
        <f t="shared" si="10"/>
        <v>9.3072236118464602</v>
      </c>
      <c r="X61" s="157">
        <f t="shared" si="11"/>
        <v>45338</v>
      </c>
      <c r="Y61" s="385">
        <f t="shared" si="12"/>
        <v>8.6319493231109572</v>
      </c>
      <c r="Z61" s="385">
        <f t="shared" si="22"/>
        <v>9.0484693770085478</v>
      </c>
      <c r="AA61" s="386">
        <f t="shared" si="13"/>
        <v>10.405363535797585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0.13040333998143483</v>
      </c>
      <c r="AD61" s="231">
        <f>(INDEX(Models!$BJ61:$BT61,,AH61)*(1-AF61)+INDEX(Models!$BJ61:$BT61,,AH61+1)*AF61-ERP_i)*AE61*Ramure*Pc/MaxiM</f>
        <v>3.490852628588309E-3</v>
      </c>
      <c r="AE61" s="305">
        <f t="shared" si="15"/>
        <v>0.7</v>
      </c>
      <c r="AF61" s="177">
        <f t="shared" si="23"/>
        <v>0.80239856413633692</v>
      </c>
      <c r="AG61" s="810">
        <f t="shared" si="24"/>
        <v>0</v>
      </c>
      <c r="AH61" s="176">
        <f t="shared" si="16"/>
        <v>6</v>
      </c>
      <c r="AI61" s="225">
        <f t="shared" si="17"/>
        <v>0.80239856413633692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11.083914215989557</v>
      </c>
      <c r="C62" s="840"/>
      <c r="D62" s="393">
        <f t="shared" si="0"/>
        <v>11.619020062894043</v>
      </c>
      <c r="E62" s="385">
        <f t="shared" si="1"/>
        <v>12.393687024934327</v>
      </c>
      <c r="F62" s="385">
        <f t="shared" si="2"/>
        <v>12.398589101321649</v>
      </c>
      <c r="G62" s="110">
        <f t="shared" si="21"/>
        <v>0.37912118440673714</v>
      </c>
      <c r="H62" s="414" t="b">
        <f>Wh_hp&gt;='2023'!Maxi_hp</f>
        <v>0</v>
      </c>
      <c r="I62" s="390">
        <f>IF(H62,Wh_hp,'2023'!Maxi_hp)</f>
        <v>33.499351483700778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4.6054300965825412E-2</v>
      </c>
      <c r="M62" s="844"/>
      <c r="N62" s="844"/>
      <c r="O62" s="48">
        <f>IF(t&lt;Tnet,'2023'!Resal+('2023'!Salim-'2023'!Resal)*(1-EXP(('2023'!Tnet-t)/('2023'!Tau_j))),Resal+(Salim-Resal)*(1-EXP((Tnet-t)/(Tau_j))))*Salcycl</f>
        <v>6.2504964058053517E-2</v>
      </c>
      <c r="P62" s="169">
        <f>(INDEX(Models!$BJ62:$BT62,,T62)*(1-R62)+INDEX(Models!$BJ62:$BT62,,T62+1)*R62-ERP_i)*Q62*Ramure*Pc/MaxiM</f>
        <v>3.4473570387072105E-3</v>
      </c>
      <c r="Q62" s="305">
        <f t="shared" si="4"/>
        <v>0.7</v>
      </c>
      <c r="R62" s="177">
        <f t="shared" si="5"/>
        <v>0.80255088905406202</v>
      </c>
      <c r="S62" s="810">
        <f t="shared" si="6"/>
        <v>0</v>
      </c>
      <c r="T62" s="176">
        <f t="shared" si="7"/>
        <v>6</v>
      </c>
      <c r="U62" s="251">
        <f t="shared" si="8"/>
        <v>0.80255088905406202</v>
      </c>
      <c r="V62" s="383">
        <f t="shared" si="9"/>
        <v>29.146545667471528</v>
      </c>
      <c r="W62" s="402">
        <f t="shared" si="10"/>
        <v>11.083914215989557</v>
      </c>
      <c r="X62" s="157">
        <f t="shared" si="11"/>
        <v>45339</v>
      </c>
      <c r="Y62" s="385">
        <f t="shared" si="12"/>
        <v>10.280491131784443</v>
      </c>
      <c r="Z62" s="385">
        <f t="shared" si="22"/>
        <v>10.776809562842999</v>
      </c>
      <c r="AA62" s="386">
        <f t="shared" si="13"/>
        <v>12.393687024934327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0.13045976220299907</v>
      </c>
      <c r="AD62" s="231">
        <f>(INDEX(Models!$BJ62:$BT62,,AH62)*(1-AF62)+INDEX(Models!$BJ62:$BT62,,AH62+1)*AF62-ERP_i)*AE62*Ramure*Pc/MaxiM</f>
        <v>3.4473570387072105E-3</v>
      </c>
      <c r="AE62" s="305">
        <f t="shared" si="15"/>
        <v>0.7</v>
      </c>
      <c r="AF62" s="177">
        <f t="shared" si="23"/>
        <v>0.80255088905406202</v>
      </c>
      <c r="AG62" s="810">
        <f t="shared" si="24"/>
        <v>0</v>
      </c>
      <c r="AH62" s="176">
        <f t="shared" si="16"/>
        <v>6</v>
      </c>
      <c r="AI62" s="225">
        <f t="shared" si="17"/>
        <v>0.80255088905406202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24.540575807360256</v>
      </c>
      <c r="C63" s="840"/>
      <c r="D63" s="393">
        <f t="shared" si="0"/>
        <v>25.725936959040808</v>
      </c>
      <c r="E63" s="385">
        <f t="shared" si="1"/>
        <v>27.444942155475204</v>
      </c>
      <c r="F63" s="385">
        <f t="shared" si="2"/>
        <v>27.515743721963705</v>
      </c>
      <c r="G63" s="110">
        <f t="shared" si="21"/>
        <v>0.83127075845085463</v>
      </c>
      <c r="H63" s="414" t="b">
        <f>Wh_hp&gt;='2023'!Maxi_hp</f>
        <v>0</v>
      </c>
      <c r="I63" s="390">
        <f>IF(H63,Wh_hp,'2023'!Maxi_hp)</f>
        <v>33.359346298317604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4.6076500675866883E-2</v>
      </c>
      <c r="M63" s="844"/>
      <c r="N63" s="844"/>
      <c r="O63" s="48">
        <f>IF(t&lt;Tnet,'2023'!Resal+('2023'!Salim-'2023'!Resal)*(1-EXP(('2023'!Tnet-t)/('2023'!Tau_j))),Resal+(Salim-Resal)*(1-EXP((Tnet-t)/(Tau_j))))*Salcycl</f>
        <v>6.2634680980424573E-2</v>
      </c>
      <c r="P63" s="169">
        <f>(INDEX(Models!$BJ63:$BT63,,T63)*(1-R63)+INDEX(Models!$BJ63:$BT63,,T63+1)*R63-ERP_i)*Q63*Ramure*Pc/MaxiM</f>
        <v>3.3860223982516637E-3</v>
      </c>
      <c r="Q63" s="305">
        <f t="shared" si="4"/>
        <v>0.7</v>
      </c>
      <c r="R63" s="177">
        <f t="shared" si="5"/>
        <v>0.80270948001626063</v>
      </c>
      <c r="S63" s="810">
        <f t="shared" si="6"/>
        <v>0</v>
      </c>
      <c r="T63" s="176">
        <f t="shared" si="7"/>
        <v>6</v>
      </c>
      <c r="U63" s="251">
        <f t="shared" si="8"/>
        <v>0.80270948001626063</v>
      </c>
      <c r="V63" s="383">
        <f t="shared" si="9"/>
        <v>29.497700033404442</v>
      </c>
      <c r="W63" s="402">
        <f t="shared" si="10"/>
        <v>24.540575807360256</v>
      </c>
      <c r="X63" s="157">
        <f t="shared" si="11"/>
        <v>45340</v>
      </c>
      <c r="Y63" s="385">
        <f t="shared" si="12"/>
        <v>22.763414295407078</v>
      </c>
      <c r="Z63" s="385">
        <f t="shared" si="22"/>
        <v>23.862934828144233</v>
      </c>
      <c r="AA63" s="386">
        <f t="shared" si="13"/>
        <v>27.444942155475204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0.13051611867275756</v>
      </c>
      <c r="AD63" s="231">
        <f>(INDEX(Models!$BJ63:$BT63,,AH63)*(1-AF63)+INDEX(Models!$BJ63:$BT63,,AH63+1)*AF63-ERP_i)*AE63*Ramure*Pc/MaxiM</f>
        <v>3.3860223982516637E-3</v>
      </c>
      <c r="AE63" s="305">
        <f t="shared" si="15"/>
        <v>0.7</v>
      </c>
      <c r="AF63" s="177">
        <f t="shared" si="23"/>
        <v>0.80270948001626063</v>
      </c>
      <c r="AG63" s="810">
        <f t="shared" si="24"/>
        <v>0</v>
      </c>
      <c r="AH63" s="176">
        <f t="shared" si="16"/>
        <v>6</v>
      </c>
      <c r="AI63" s="225">
        <f t="shared" si="17"/>
        <v>0.80270948001626063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18.768762134883588</v>
      </c>
      <c r="C64" s="840"/>
      <c r="D64" s="393">
        <f t="shared" si="0"/>
        <v>19.675790495632764</v>
      </c>
      <c r="E64" s="385">
        <f t="shared" si="1"/>
        <v>20.993427257552867</v>
      </c>
      <c r="F64" s="385">
        <f t="shared" si="2"/>
        <v>21.026088107698445</v>
      </c>
      <c r="G64" s="110">
        <f t="shared" si="21"/>
        <v>0.62764442113230634</v>
      </c>
      <c r="H64" s="414" t="b">
        <f>Wh_hp&gt;='2023'!Maxi_hp</f>
        <v>0</v>
      </c>
      <c r="I64" s="390">
        <f>IF(H64,Wh_hp,'2023'!Maxi_hp)</f>
        <v>33.466194315132412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4.6098699869288717E-2</v>
      </c>
      <c r="M64" s="844"/>
      <c r="N64" s="844"/>
      <c r="O64" s="48">
        <f>IF(t&lt;Tnet,'2023'!Resal+('2023'!Salim-'2023'!Resal)*(1-EXP(('2023'!Tnet-t)/('2023'!Tau_j))),Resal+(Salim-Resal)*(1-EXP((Tnet-t)/(Tau_j))))*Salcycl</f>
        <v>6.2764252151637154E-2</v>
      </c>
      <c r="P64" s="169">
        <f>(INDEX(Models!$BJ64:$BT64,,T64)*(1-R64)+INDEX(Models!$BJ64:$BT64,,T64+1)*R64-ERP_i)*Q64*Ramure*Pc/MaxiM</f>
        <v>3.3075202460940588E-3</v>
      </c>
      <c r="Q64" s="305">
        <f t="shared" si="4"/>
        <v>0.7</v>
      </c>
      <c r="R64" s="177">
        <f t="shared" si="5"/>
        <v>0.80287458941050771</v>
      </c>
      <c r="S64" s="810">
        <f t="shared" si="6"/>
        <v>0</v>
      </c>
      <c r="T64" s="176">
        <f t="shared" si="7"/>
        <v>6</v>
      </c>
      <c r="U64" s="251">
        <f t="shared" si="8"/>
        <v>0.80287458941050771</v>
      </c>
      <c r="V64" s="383">
        <f t="shared" si="9"/>
        <v>29.850958054067618</v>
      </c>
      <c r="W64" s="402">
        <f t="shared" si="10"/>
        <v>18.768762134883588</v>
      </c>
      <c r="X64" s="157">
        <f t="shared" si="11"/>
        <v>45341</v>
      </c>
      <c r="Y64" s="385">
        <f t="shared" si="12"/>
        <v>17.410859405542087</v>
      </c>
      <c r="Z64" s="385">
        <f t="shared" si="22"/>
        <v>18.252265096143919</v>
      </c>
      <c r="AA64" s="386">
        <f t="shared" si="13"/>
        <v>20.993427257552867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0.13057239905517354</v>
      </c>
      <c r="AD64" s="231">
        <f>(INDEX(Models!$BJ64:$BT64,,AH64)*(1-AF64)+INDEX(Models!$BJ64:$BT64,,AH64+1)*AF64-ERP_i)*AE64*Ramure*Pc/MaxiM</f>
        <v>3.3075202460940588E-3</v>
      </c>
      <c r="AE64" s="305">
        <f t="shared" si="15"/>
        <v>0.7</v>
      </c>
      <c r="AF64" s="177">
        <f t="shared" si="23"/>
        <v>0.80287458941050771</v>
      </c>
      <c r="AG64" s="810">
        <f t="shared" si="24"/>
        <v>0</v>
      </c>
      <c r="AH64" s="176">
        <f t="shared" si="16"/>
        <v>6</v>
      </c>
      <c r="AI64" s="225">
        <f t="shared" si="17"/>
        <v>0.80287458941050771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18.418532970430885</v>
      </c>
      <c r="C65" s="840"/>
      <c r="D65" s="393">
        <f t="shared" si="0"/>
        <v>19.309085336241733</v>
      </c>
      <c r="E65" s="385">
        <f t="shared" si="1"/>
        <v>20.605010111278801</v>
      </c>
      <c r="F65" s="385">
        <f t="shared" si="2"/>
        <v>20.634340352319324</v>
      </c>
      <c r="G65" s="110">
        <f t="shared" si="21"/>
        <v>0.60864661939781817</v>
      </c>
      <c r="H65" s="414" t="b">
        <f>Wh_hp&gt;='2023'!Maxi_hp</f>
        <v>0</v>
      </c>
      <c r="I65" s="390">
        <f>IF(H65,Wh_hp,'2023'!Maxi_hp)</f>
        <v>34.378402325425711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4.6120898546102906E-2</v>
      </c>
      <c r="M65" s="844"/>
      <c r="N65" s="844"/>
      <c r="O65" s="48">
        <f>IF(t&lt;Tnet,'2023'!Resal+('2023'!Salim-'2023'!Resal)*(1-EXP(('2023'!Tnet-t)/('2023'!Tau_j))),Resal+(Salim-Resal)*(1-EXP((Tnet-t)/(Tau_j))))*Salcycl</f>
        <v>6.2893673336646624E-2</v>
      </c>
      <c r="P65" s="169">
        <f>(INDEX(Models!$BJ65:$BT65,,T65)*(1-R65)+INDEX(Models!$BJ65:$BT65,,T65+1)*R65-ERP_i)*Q65*Ramure*Pc/MaxiM</f>
        <v>3.2123697845511303E-3</v>
      </c>
      <c r="Q65" s="305">
        <f t="shared" si="4"/>
        <v>0.7</v>
      </c>
      <c r="R65" s="177">
        <f t="shared" si="5"/>
        <v>0.80304647933523599</v>
      </c>
      <c r="S65" s="810">
        <f t="shared" si="6"/>
        <v>0</v>
      </c>
      <c r="T65" s="176">
        <f t="shared" si="7"/>
        <v>6</v>
      </c>
      <c r="U65" s="251">
        <f t="shared" si="8"/>
        <v>0.80304647933523599</v>
      </c>
      <c r="V65" s="383">
        <f t="shared" si="9"/>
        <v>30.2071824932307</v>
      </c>
      <c r="W65" s="402">
        <f t="shared" si="10"/>
        <v>18.418532970430885</v>
      </c>
      <c r="X65" s="157">
        <f t="shared" si="11"/>
        <v>45342</v>
      </c>
      <c r="Y65" s="385">
        <f t="shared" si="12"/>
        <v>17.087224194317827</v>
      </c>
      <c r="Z65" s="385">
        <f t="shared" si="22"/>
        <v>17.913406602863589</v>
      </c>
      <c r="AA65" s="386">
        <f t="shared" si="13"/>
        <v>20.605010111278801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0.13062859439908145</v>
      </c>
      <c r="AD65" s="231">
        <f>(INDEX(Models!$BJ65:$BT65,,AH65)*(1-AF65)+INDEX(Models!$BJ65:$BT65,,AH65+1)*AF65-ERP_i)*AE65*Ramure*Pc/MaxiM</f>
        <v>3.2123697845511303E-3</v>
      </c>
      <c r="AE65" s="305">
        <f t="shared" si="15"/>
        <v>0.7</v>
      </c>
      <c r="AF65" s="177">
        <f t="shared" si="23"/>
        <v>0.80304647933523599</v>
      </c>
      <c r="AG65" s="810">
        <f t="shared" si="24"/>
        <v>0</v>
      </c>
      <c r="AH65" s="176">
        <f t="shared" si="16"/>
        <v>6</v>
      </c>
      <c r="AI65" s="225">
        <f t="shared" si="17"/>
        <v>0.80304647933523599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20.087514995025071</v>
      </c>
      <c r="C66" s="840"/>
      <c r="D66" s="393">
        <f t="shared" si="0"/>
        <v>21.059254198048635</v>
      </c>
      <c r="E66" s="385">
        <f t="shared" si="1"/>
        <v>22.475741531113925</v>
      </c>
      <c r="F66" s="385">
        <f t="shared" si="2"/>
        <v>22.51140146844098</v>
      </c>
      <c r="G66" s="110">
        <f t="shared" si="21"/>
        <v>0.65615849482728172</v>
      </c>
      <c r="H66" s="414" t="b">
        <f>Wh_hp&gt;='2023'!Maxi_hp</f>
        <v>0</v>
      </c>
      <c r="I66" s="390">
        <f>IF(H66,Wh_hp,'2023'!Maxi_hp)</f>
        <v>33.562567282376634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4.614309670632144E-2</v>
      </c>
      <c r="M66" s="844"/>
      <c r="N66" s="844"/>
      <c r="O66" s="48">
        <f>IF(t&lt;Tnet,'2023'!Resal+('2023'!Salim-'2023'!Resal)*(1-EXP(('2023'!Tnet-t)/('2023'!Tau_j))),Resal+(Salim-Resal)*(1-EXP((Tnet-t)/(Tau_j))))*Salcycl</f>
        <v>6.3022941027525203E-2</v>
      </c>
      <c r="P66" s="169">
        <f>(INDEX(Models!$BJ66:$BT66,,T66)*(1-R66)+INDEX(Models!$BJ66:$BT66,,T66+1)*R66-ERP_i)*Q66*Ramure*Pc/MaxiM</f>
        <v>3.1046601605546451E-3</v>
      </c>
      <c r="Q66" s="305">
        <f t="shared" si="4"/>
        <v>0.7</v>
      </c>
      <c r="R66" s="177">
        <f t="shared" si="5"/>
        <v>0.80322542193466528</v>
      </c>
      <c r="S66" s="810">
        <f t="shared" si="6"/>
        <v>0</v>
      </c>
      <c r="T66" s="176">
        <f t="shared" si="7"/>
        <v>6</v>
      </c>
      <c r="U66" s="251">
        <f t="shared" si="8"/>
        <v>0.80322542193466528</v>
      </c>
      <c r="V66" s="383">
        <f t="shared" si="9"/>
        <v>30.567190827585517</v>
      </c>
      <c r="W66" s="402">
        <f t="shared" si="10"/>
        <v>20.087514995025071</v>
      </c>
      <c r="X66" s="157">
        <f t="shared" si="11"/>
        <v>45343</v>
      </c>
      <c r="Y66" s="385">
        <f t="shared" si="12"/>
        <v>18.63693887783068</v>
      </c>
      <c r="Z66" s="385">
        <f t="shared" si="22"/>
        <v>19.538506052089282</v>
      </c>
      <c r="AA66" s="386">
        <f t="shared" si="13"/>
        <v>22.475741531113925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0.13068469731948687</v>
      </c>
      <c r="AD66" s="231">
        <f>(INDEX(Models!$BJ66:$BT66,,AH66)*(1-AF66)+INDEX(Models!$BJ66:$BT66,,AH66+1)*AF66-ERP_i)*AE66*Ramure*Pc/MaxiM</f>
        <v>3.1046601605546451E-3</v>
      </c>
      <c r="AE66" s="305">
        <f t="shared" si="15"/>
        <v>0.7</v>
      </c>
      <c r="AF66" s="177">
        <f t="shared" si="23"/>
        <v>0.80322542193466528</v>
      </c>
      <c r="AG66" s="810">
        <f t="shared" si="24"/>
        <v>0</v>
      </c>
      <c r="AH66" s="176">
        <f t="shared" si="16"/>
        <v>6</v>
      </c>
      <c r="AI66" s="225">
        <f t="shared" si="17"/>
        <v>0.80322542193466528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29.318325607475867</v>
      </c>
      <c r="C67" s="840"/>
      <c r="D67" s="393">
        <f t="shared" si="0"/>
        <v>30.737323179591442</v>
      </c>
      <c r="E67" s="385">
        <f t="shared" si="1"/>
        <v>32.809297669576452</v>
      </c>
      <c r="F67" s="385">
        <f t="shared" si="2"/>
        <v>32.900418722908398</v>
      </c>
      <c r="G67" s="110">
        <f t="shared" si="21"/>
        <v>0.94766412438157999</v>
      </c>
      <c r="H67" s="414" t="b">
        <f>Wh_hp&gt;='2023'!Maxi_hp</f>
        <v>0</v>
      </c>
      <c r="I67" s="390">
        <f>IF(H67,Wh_hp,'2023'!Maxi_hp)</f>
        <v>34.11239789666849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4.616529434995631E-2</v>
      </c>
      <c r="M67" s="844"/>
      <c r="N67" s="844"/>
      <c r="O67" s="48">
        <f>IF(t&lt;Tnet,'2023'!Resal+('2023'!Salim-'2023'!Resal)*(1-EXP(('2023'!Tnet-t)/('2023'!Tau_j))),Resal+(Salim-Resal)*(1-EXP((Tnet-t)/(Tau_j))))*Salcycl</f>
        <v>6.3152052532545383E-2</v>
      </c>
      <c r="P67" s="169">
        <f>(INDEX(Models!$BJ67:$BT67,,T67)*(1-R67)+INDEX(Models!$BJ67:$BT67,,T67+1)*R67-ERP_i)*Q67*Ramure*Pc/MaxiM</f>
        <v>2.9924266007769268E-3</v>
      </c>
      <c r="Q67" s="305">
        <f t="shared" si="4"/>
        <v>0.7</v>
      </c>
      <c r="R67" s="177">
        <f t="shared" si="5"/>
        <v>0.80341169974192073</v>
      </c>
      <c r="S67" s="810">
        <f t="shared" si="6"/>
        <v>0</v>
      </c>
      <c r="T67" s="176">
        <f t="shared" si="7"/>
        <v>6</v>
      </c>
      <c r="U67" s="251">
        <f t="shared" si="8"/>
        <v>0.80341169974192073</v>
      </c>
      <c r="V67" s="383">
        <f t="shared" si="9"/>
        <v>30.930552138299888</v>
      </c>
      <c r="W67" s="402">
        <f t="shared" si="10"/>
        <v>29.318325607475867</v>
      </c>
      <c r="X67" s="157">
        <f t="shared" si="11"/>
        <v>45344</v>
      </c>
      <c r="Y67" s="385">
        <f t="shared" si="12"/>
        <v>27.203162690409737</v>
      </c>
      <c r="Z67" s="385">
        <f t="shared" si="22"/>
        <v>28.519787054582618</v>
      </c>
      <c r="AA67" s="386">
        <f t="shared" si="13"/>
        <v>32.809297669576452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0.13074070216905098</v>
      </c>
      <c r="AD67" s="231">
        <f>(INDEX(Models!$BJ67:$BT67,,AH67)*(1-AF67)+INDEX(Models!$BJ67:$BT67,,AH67+1)*AF67-ERP_i)*AE67*Ramure*Pc/MaxiM</f>
        <v>2.9924266007769268E-3</v>
      </c>
      <c r="AE67" s="305">
        <f t="shared" si="15"/>
        <v>0.7</v>
      </c>
      <c r="AF67" s="177">
        <f t="shared" si="23"/>
        <v>0.80341169974192073</v>
      </c>
      <c r="AG67" s="810">
        <f t="shared" si="24"/>
        <v>0</v>
      </c>
      <c r="AH67" s="176">
        <f t="shared" si="16"/>
        <v>6</v>
      </c>
      <c r="AI67" s="225">
        <f t="shared" si="17"/>
        <v>0.80341169974192073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29.539780331832265</v>
      </c>
      <c r="C68" s="840"/>
      <c r="D68" s="393">
        <f t="shared" si="0"/>
        <v>30.970216963893545</v>
      </c>
      <c r="E68" s="385">
        <f t="shared" si="1"/>
        <v>33.062441526499924</v>
      </c>
      <c r="F68" s="385">
        <f t="shared" si="2"/>
        <v>33.150129526071538</v>
      </c>
      <c r="G68" s="110">
        <f t="shared" si="21"/>
        <v>0.94363298899891812</v>
      </c>
      <c r="H68" s="414" t="b">
        <f>Wh_hp&gt;='2023'!Maxi_hp</f>
        <v>0</v>
      </c>
      <c r="I68" s="390">
        <f>IF(H68,Wh_hp,'2023'!Maxi_hp)</f>
        <v>35.162786198923072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4.6187491477019615E-2</v>
      </c>
      <c r="M68" s="844"/>
      <c r="N68" s="844"/>
      <c r="O68" s="48">
        <f>IF(t&lt;Tnet,'2023'!Resal+('2023'!Salim-'2023'!Resal)*(1-EXP(('2023'!Tnet-t)/('2023'!Tau_j))),Resal+(Salim-Resal)*(1-EXP((Tnet-t)/(Tau_j))))*Salcycl</f>
        <v>6.3281006060288525E-2</v>
      </c>
      <c r="P68" s="169">
        <f>(INDEX(Models!$BJ68:$BT68,,T68)*(1-R68)+INDEX(Models!$BJ68:$BT68,,T68+1)*R68-ERP_i)*Q68*Ramure*Pc/MaxiM</f>
        <v>2.8758577489348468E-3</v>
      </c>
      <c r="Q68" s="305">
        <f t="shared" si="4"/>
        <v>0.7</v>
      </c>
      <c r="R68" s="177">
        <f t="shared" si="5"/>
        <v>0.80360560603022302</v>
      </c>
      <c r="S68" s="810">
        <f t="shared" si="6"/>
        <v>0</v>
      </c>
      <c r="T68" s="176">
        <f t="shared" si="7"/>
        <v>6</v>
      </c>
      <c r="U68" s="251">
        <f t="shared" si="8"/>
        <v>0.80360560603022302</v>
      </c>
      <c r="V68" s="383">
        <f t="shared" si="9"/>
        <v>31.297070344035991</v>
      </c>
      <c r="W68" s="402">
        <f t="shared" si="10"/>
        <v>29.539780331832265</v>
      </c>
      <c r="X68" s="157">
        <f t="shared" si="11"/>
        <v>45345</v>
      </c>
      <c r="Y68" s="385">
        <f t="shared" si="12"/>
        <v>27.410650912663243</v>
      </c>
      <c r="Z68" s="385">
        <f t="shared" si="22"/>
        <v>28.73798641528597</v>
      </c>
      <c r="AA68" s="386">
        <f t="shared" si="13"/>
        <v>33.062441526499924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0.13079660519770911</v>
      </c>
      <c r="AD68" s="231">
        <f>(INDEX(Models!$BJ68:$BT68,,AH68)*(1-AF68)+INDEX(Models!$BJ68:$BT68,,AH68+1)*AF68-ERP_i)*AE68*Ramure*Pc/MaxiM</f>
        <v>2.8758577489348468E-3</v>
      </c>
      <c r="AE68" s="305">
        <f t="shared" si="15"/>
        <v>0.7</v>
      </c>
      <c r="AF68" s="177">
        <f t="shared" si="23"/>
        <v>0.80360560603022302</v>
      </c>
      <c r="AG68" s="810">
        <f t="shared" si="24"/>
        <v>0</v>
      </c>
      <c r="AH68" s="176">
        <f t="shared" si="16"/>
        <v>6</v>
      </c>
      <c r="AI68" s="225">
        <f t="shared" si="17"/>
        <v>0.80360560603022302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18.119207959148245</v>
      </c>
      <c r="C69" s="840"/>
      <c r="D69" s="393">
        <f t="shared" si="0"/>
        <v>18.997055991077136</v>
      </c>
      <c r="E69" s="385">
        <f t="shared" si="1"/>
        <v>20.28321031681071</v>
      </c>
      <c r="F69" s="385">
        <f t="shared" si="2"/>
        <v>20.304963239530792</v>
      </c>
      <c r="G69" s="110">
        <f t="shared" si="21"/>
        <v>0.57122313657638379</v>
      </c>
      <c r="H69" s="414" t="b">
        <f>Wh_hp&gt;='2023'!Maxi_hp</f>
        <v>0</v>
      </c>
      <c r="I69" s="390">
        <f>IF(H69,Wh_hp,'2023'!Maxi_hp)</f>
        <v>36.637666820783267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4.6209688087523348E-2</v>
      </c>
      <c r="M69" s="844"/>
      <c r="N69" s="844"/>
      <c r="O69" s="48">
        <f>IF(t&lt;Tnet,'2023'!Resal+('2023'!Salim-'2023'!Resal)*(1-EXP(('2023'!Tnet-t)/('2023'!Tau_j))),Resal+(Salim-Resal)*(1-EXP((Tnet-t)/(Tau_j))))*Salcycl</f>
        <v>6.3409800798032906E-2</v>
      </c>
      <c r="P69" s="169">
        <f>(INDEX(Models!$BJ69:$BT69,,T69)*(1-R69)+INDEX(Models!$BJ69:$BT69,,T69+1)*R69-ERP_i)*Q69*Ramure*Pc/MaxiM</f>
        <v>2.7551487252396143E-3</v>
      </c>
      <c r="Q69" s="305">
        <f t="shared" si="4"/>
        <v>0.7</v>
      </c>
      <c r="R69" s="177">
        <f t="shared" si="5"/>
        <v>0.80380744517199765</v>
      </c>
      <c r="S69" s="810">
        <f t="shared" si="6"/>
        <v>0</v>
      </c>
      <c r="T69" s="176">
        <f t="shared" si="7"/>
        <v>6</v>
      </c>
      <c r="U69" s="251">
        <f t="shared" si="8"/>
        <v>0.80380744517199765</v>
      </c>
      <c r="V69" s="383">
        <f t="shared" si="9"/>
        <v>31.666548967520004</v>
      </c>
      <c r="W69" s="402">
        <f t="shared" si="10"/>
        <v>18.119207959148245</v>
      </c>
      <c r="X69" s="157">
        <f t="shared" si="11"/>
        <v>45346</v>
      </c>
      <c r="Y69" s="385">
        <f t="shared" si="12"/>
        <v>16.814468099143493</v>
      </c>
      <c r="Z69" s="385">
        <f t="shared" si="22"/>
        <v>17.62910347183989</v>
      </c>
      <c r="AA69" s="386">
        <f t="shared" si="13"/>
        <v>20.28321031681071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0.13085240469902829</v>
      </c>
      <c r="AD69" s="231">
        <f>(INDEX(Models!$BJ69:$BT69,,AH69)*(1-AF69)+INDEX(Models!$BJ69:$BT69,,AH69+1)*AF69-ERP_i)*AE69*Ramure*Pc/MaxiM</f>
        <v>2.7551487252396143E-3</v>
      </c>
      <c r="AE69" s="305">
        <f t="shared" si="15"/>
        <v>0.7</v>
      </c>
      <c r="AF69" s="177">
        <f t="shared" si="23"/>
        <v>0.80380744517199765</v>
      </c>
      <c r="AG69" s="810">
        <f t="shared" si="24"/>
        <v>0</v>
      </c>
      <c r="AH69" s="176">
        <f t="shared" si="16"/>
        <v>6</v>
      </c>
      <c r="AI69" s="225">
        <f t="shared" si="17"/>
        <v>0.80380744517199765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29.13297065903199</v>
      </c>
      <c r="C70" s="840"/>
      <c r="D70" s="393">
        <f t="shared" si="0"/>
        <v>30.545129550729609</v>
      </c>
      <c r="E70" s="385">
        <f t="shared" si="1"/>
        <v>32.617600932115934</v>
      </c>
      <c r="F70" s="385">
        <f t="shared" si="2"/>
        <v>32.692455572169976</v>
      </c>
      <c r="G70" s="110">
        <f t="shared" si="21"/>
        <v>0.90899241754618154</v>
      </c>
      <c r="H70" s="414" t="b">
        <f>Wh_hp&gt;='2023'!Maxi_hp</f>
        <v>0</v>
      </c>
      <c r="I70" s="390">
        <f>IF(H70,Wh_hp,'2023'!Maxi_hp)</f>
        <v>35.339882745455832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4.6231884181479499E-2</v>
      </c>
      <c r="M70" s="844"/>
      <c r="N70" s="844"/>
      <c r="O70" s="48">
        <f>IF(t&lt;Tnet,'2023'!Resal+('2023'!Salim-'2023'!Resal)*(1-EXP(('2023'!Tnet-t)/('2023'!Tau_j))),Resal+(Salim-Resal)*(1-EXP((Tnet-t)/(Tau_j))))*Salcycl</f>
        <v>6.3538436983749086E-2</v>
      </c>
      <c r="P70" s="169">
        <f>(INDEX(Models!$BJ70:$BT70,,T70)*(1-R70)+INDEX(Models!$BJ70:$BT70,,T70+1)*R70-ERP_i)*Q70*Ramure*Pc/MaxiM</f>
        <v>2.6304852943439989E-3</v>
      </c>
      <c r="Q70" s="305">
        <f t="shared" si="4"/>
        <v>0.7</v>
      </c>
      <c r="R70" s="177">
        <f t="shared" si="5"/>
        <v>0.80401753300570644</v>
      </c>
      <c r="S70" s="810">
        <f t="shared" si="6"/>
        <v>0</v>
      </c>
      <c r="T70" s="176">
        <f t="shared" si="7"/>
        <v>6</v>
      </c>
      <c r="U70" s="251">
        <f t="shared" si="8"/>
        <v>0.80401753300570644</v>
      </c>
      <c r="V70" s="383">
        <f t="shared" si="9"/>
        <v>32.038791617577012</v>
      </c>
      <c r="W70" s="402">
        <f t="shared" si="10"/>
        <v>29.13297065903199</v>
      </c>
      <c r="X70" s="157">
        <f t="shared" si="11"/>
        <v>45347</v>
      </c>
      <c r="Y70" s="385">
        <f t="shared" si="12"/>
        <v>27.037125483163976</v>
      </c>
      <c r="Z70" s="385">
        <f t="shared" si="22"/>
        <v>28.347692730282567</v>
      </c>
      <c r="AA70" s="386">
        <f t="shared" si="13"/>
        <v>32.617600932115934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0.13090810114207779</v>
      </c>
      <c r="AD70" s="231">
        <f>(INDEX(Models!$BJ70:$BT70,,AH70)*(1-AF70)+INDEX(Models!$BJ70:$BT70,,AH70+1)*AF70-ERP_i)*AE70*Ramure*Pc/MaxiM</f>
        <v>2.6304852943439989E-3</v>
      </c>
      <c r="AE70" s="305">
        <f t="shared" si="15"/>
        <v>0.7</v>
      </c>
      <c r="AF70" s="177">
        <f t="shared" si="23"/>
        <v>0.80401753300570644</v>
      </c>
      <c r="AG70" s="810">
        <f t="shared" si="24"/>
        <v>0</v>
      </c>
      <c r="AH70" s="176">
        <f t="shared" si="16"/>
        <v>6</v>
      </c>
      <c r="AI70" s="225">
        <f t="shared" si="17"/>
        <v>0.80401753300570644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33.327427666420348</v>
      </c>
      <c r="C71" s="840"/>
      <c r="D71" s="393">
        <f t="shared" si="0"/>
        <v>34.94371714638153</v>
      </c>
      <c r="E71" s="385">
        <f t="shared" si="1"/>
        <v>37.319750569983363</v>
      </c>
      <c r="F71" s="385">
        <f t="shared" si="2"/>
        <v>37.413360442633895</v>
      </c>
      <c r="G71" s="110">
        <f t="shared" si="21"/>
        <v>1.0281926607440854</v>
      </c>
      <c r="H71" s="414" t="b">
        <f>Wh_hp&gt;='2023'!Maxi_hp</f>
        <v>1</v>
      </c>
      <c r="I71" s="390">
        <f>IF(H71,Wh_hp,'2023'!Maxi_hp)</f>
        <v>37.413360442633895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4.6254079758900168E-2</v>
      </c>
      <c r="M71" s="844"/>
      <c r="N71" s="844"/>
      <c r="O71" s="48">
        <f>IF(t&lt;Tnet,'2023'!Resal+('2023'!Salim-'2023'!Resal)*(1-EXP(('2023'!Tnet-t)/('2023'!Tau_j))),Resal+(Salim-Resal)*(1-EXP((Tnet-t)/(Tau_j))))*Salcycl</f>
        <v>6.3666915971107893E-2</v>
      </c>
      <c r="P71" s="169">
        <f>(INDEX(Models!$BJ71:$BT71,,T71)*(1-R71)+INDEX(Models!$BJ71:$BT71,,T71+1)*R71-ERP_i)*Q71*Ramure*Pc/MaxiM</f>
        <v>2.5020439635211394E-3</v>
      </c>
      <c r="Q71" s="305">
        <f t="shared" si="4"/>
        <v>0.7</v>
      </c>
      <c r="R71" s="177">
        <f t="shared" si="5"/>
        <v>0.80423619721015871</v>
      </c>
      <c r="S71" s="810">
        <f t="shared" si="6"/>
        <v>0</v>
      </c>
      <c r="T71" s="176">
        <f t="shared" si="7"/>
        <v>6</v>
      </c>
      <c r="U71" s="251">
        <f t="shared" si="8"/>
        <v>0.80423619721015871</v>
      </c>
      <c r="V71" s="383">
        <f t="shared" si="9"/>
        <v>32.413601982241204</v>
      </c>
      <c r="W71" s="402">
        <f t="shared" si="10"/>
        <v>33.327427666420348</v>
      </c>
      <c r="X71" s="157">
        <f t="shared" si="11"/>
        <v>45348</v>
      </c>
      <c r="Y71" s="385">
        <f t="shared" si="12"/>
        <v>30.932095652877596</v>
      </c>
      <c r="Z71" s="385">
        <f t="shared" si="22"/>
        <v>32.432218053481364</v>
      </c>
      <c r="AA71" s="386">
        <f t="shared" si="13"/>
        <v>37.319750569983363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0.13096369728775967</v>
      </c>
      <c r="AD71" s="231">
        <f>(INDEX(Models!$BJ71:$BT71,,AH71)*(1-AF71)+INDEX(Models!$BJ71:$BT71,,AH71+1)*AF71-ERP_i)*AE71*Ramure*Pc/MaxiM</f>
        <v>2.5020439635211394E-3</v>
      </c>
      <c r="AE71" s="305">
        <f t="shared" si="15"/>
        <v>0.7</v>
      </c>
      <c r="AF71" s="177">
        <f t="shared" si="23"/>
        <v>0.80423619721015871</v>
      </c>
      <c r="AG71" s="810">
        <f t="shared" si="24"/>
        <v>0</v>
      </c>
      <c r="AH71" s="176">
        <f t="shared" si="16"/>
        <v>6</v>
      </c>
      <c r="AI71" s="225">
        <f t="shared" si="17"/>
        <v>0.80423619721015871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27.288219089736877</v>
      </c>
      <c r="C72" s="840"/>
      <c r="D72" s="393">
        <f t="shared" si="0"/>
        <v>28.612289250307644</v>
      </c>
      <c r="E72" s="385">
        <f t="shared" si="1"/>
        <v>30.561999341980112</v>
      </c>
      <c r="F72" s="385">
        <f t="shared" si="2"/>
        <v>30.617341380754763</v>
      </c>
      <c r="G72" s="110">
        <f t="shared" si="21"/>
        <v>0.83172281263269388</v>
      </c>
      <c r="H72" s="414" t="b">
        <f>Wh_hp&gt;='2023'!Maxi_hp</f>
        <v>0</v>
      </c>
      <c r="I72" s="390">
        <f>IF(H72,Wh_hp,'2023'!Maxi_hp)</f>
        <v>37.047346489228502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4.6276274819797236E-2</v>
      </c>
      <c r="M72" s="844"/>
      <c r="N72" s="844"/>
      <c r="O72" s="48">
        <f>IF(t&lt;Tnet,'2023'!Resal+('2023'!Salim-'2023'!Resal)*(1-EXP(('2023'!Tnet-t)/('2023'!Tau_j))),Resal+(Salim-Resal)*(1-EXP((Tnet-t)/(Tau_j))))*Salcycl</f>
        <v>6.3795240286990545E-2</v>
      </c>
      <c r="P72" s="169">
        <f>(INDEX(Models!$BJ72:$BT72,,T72)*(1-R72)+INDEX(Models!$BJ72:$BT72,,T72+1)*R72-ERP_i)*Q72*Ramure*Pc/MaxiM</f>
        <v>2.3774561528349812E-3</v>
      </c>
      <c r="Q72" s="305">
        <f t="shared" si="4"/>
        <v>0.7</v>
      </c>
      <c r="R72" s="177">
        <f t="shared" si="5"/>
        <v>0.80446377768600685</v>
      </c>
      <c r="S72" s="810">
        <f t="shared" si="6"/>
        <v>0</v>
      </c>
      <c r="T72" s="176">
        <f t="shared" si="7"/>
        <v>6</v>
      </c>
      <c r="U72" s="251">
        <f t="shared" si="8"/>
        <v>0.80446377768600685</v>
      </c>
      <c r="V72" s="383">
        <f t="shared" si="9"/>
        <v>32.79053849397539</v>
      </c>
      <c r="W72" s="402">
        <f t="shared" si="10"/>
        <v>27.288219089736877</v>
      </c>
      <c r="X72" s="157">
        <f t="shared" si="11"/>
        <v>45349</v>
      </c>
      <c r="Y72" s="385">
        <f t="shared" si="12"/>
        <v>25.328795069511735</v>
      </c>
      <c r="Z72" s="385">
        <f t="shared" si="22"/>
        <v>26.557790690093139</v>
      </c>
      <c r="AA72" s="386">
        <f t="shared" si="13"/>
        <v>30.561999341980112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0.13101919828873138</v>
      </c>
      <c r="AD72" s="231">
        <f>(INDEX(Models!$BJ72:$BT72,,AH72)*(1-AF72)+INDEX(Models!$BJ72:$BT72,,AH72+1)*AF72-ERP_i)*AE72*Ramure*Pc/MaxiM</f>
        <v>2.3774561528349812E-3</v>
      </c>
      <c r="AE72" s="305">
        <f t="shared" si="15"/>
        <v>0.7</v>
      </c>
      <c r="AF72" s="177">
        <f t="shared" si="23"/>
        <v>0.80446377768600685</v>
      </c>
      <c r="AG72" s="810">
        <f t="shared" si="24"/>
        <v>0</v>
      </c>
      <c r="AH72" s="176">
        <f t="shared" si="16"/>
        <v>6</v>
      </c>
      <c r="AI72" s="225">
        <f t="shared" si="17"/>
        <v>0.80446377768600685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28.334075009436543</v>
      </c>
      <c r="C73" s="840"/>
      <c r="D73" s="393">
        <f t="shared" si="0"/>
        <v>29.709583238842747</v>
      </c>
      <c r="E73" s="385">
        <f t="shared" si="1"/>
        <v>31.738410802127031</v>
      </c>
      <c r="F73" s="385">
        <f t="shared" si="2"/>
        <v>31.795461408971391</v>
      </c>
      <c r="G73" s="110">
        <f t="shared" si="21"/>
        <v>0.85382755178794756</v>
      </c>
      <c r="H73" s="414" t="b">
        <f>Wh_hp&gt;='2023'!Maxi_hp</f>
        <v>0</v>
      </c>
      <c r="I73" s="390">
        <f>IF(H73,Wh_hp,'2023'!Maxi_hp)</f>
        <v>31.801666100904498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4.6298469364182915E-2</v>
      </c>
      <c r="M73" s="844"/>
      <c r="N73" s="844"/>
      <c r="O73" s="48">
        <f>IF(t&lt;Tnet,'2023'!Resal+('2023'!Salim-'2023'!Resal)*(1-EXP(('2023'!Tnet-t)/('2023'!Tau_j))),Resal+(Salim-Resal)*(1-EXP((Tnet-t)/(Tau_j))))*Salcycl</f>
        <v>6.3923413681075514E-2</v>
      </c>
      <c r="P73" s="169">
        <f>(INDEX(Models!$BJ73:$BT73,,T73)*(1-R73)+INDEX(Models!$BJ73:$BT73,,T73+1)*R73-ERP_i)*Q73*Ramure*Pc/MaxiM</f>
        <v>2.2662198833221297E-3</v>
      </c>
      <c r="Q73" s="305">
        <f t="shared" si="4"/>
        <v>0.7</v>
      </c>
      <c r="R73" s="177">
        <f t="shared" si="5"/>
        <v>0.80470062694407696</v>
      </c>
      <c r="S73" s="810">
        <f t="shared" si="6"/>
        <v>0</v>
      </c>
      <c r="T73" s="176">
        <f t="shared" si="7"/>
        <v>6</v>
      </c>
      <c r="U73" s="251">
        <f t="shared" si="8"/>
        <v>0.80470062694407696</v>
      </c>
      <c r="V73" s="383">
        <f t="shared" si="9"/>
        <v>33.169086088425985</v>
      </c>
      <c r="W73" s="402">
        <f t="shared" si="10"/>
        <v>28.334075009436543</v>
      </c>
      <c r="X73" s="157">
        <f t="shared" si="11"/>
        <v>45350</v>
      </c>
      <c r="Y73" s="385">
        <f t="shared" si="12"/>
        <v>26.301477344355906</v>
      </c>
      <c r="Z73" s="385">
        <f t="shared" si="22"/>
        <v>27.578310927970456</v>
      </c>
      <c r="AA73" s="386">
        <f t="shared" si="13"/>
        <v>31.738410802127031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0.13107461177223706</v>
      </c>
      <c r="AD73" s="231">
        <f>(INDEX(Models!$BJ73:$BT73,,AH73)*(1-AF73)+INDEX(Models!$BJ73:$BT73,,AH73+1)*AF73-ERP_i)*AE73*Ramure*Pc/MaxiM</f>
        <v>2.2662198833221297E-3</v>
      </c>
      <c r="AE73" s="305">
        <f t="shared" si="15"/>
        <v>0.7</v>
      </c>
      <c r="AF73" s="177">
        <f t="shared" si="23"/>
        <v>0.80470062694407696</v>
      </c>
      <c r="AG73" s="810">
        <f t="shared" si="24"/>
        <v>0</v>
      </c>
      <c r="AH73" s="176">
        <f t="shared" si="16"/>
        <v>6</v>
      </c>
      <c r="AI73" s="225">
        <f t="shared" si="17"/>
        <v>0.80470062694407696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33.605314309302024</v>
      </c>
      <c r="C74" s="840"/>
      <c r="D74" s="393">
        <f t="shared" si="0"/>
        <v>35.237540564557264</v>
      </c>
      <c r="E74" s="385">
        <f t="shared" si="1"/>
        <v>37.649014181398954</v>
      </c>
      <c r="F74" s="385">
        <f t="shared" si="2"/>
        <v>37.730811639617201</v>
      </c>
      <c r="G74" s="110">
        <f t="shared" si="21"/>
        <v>1.0016771201596428</v>
      </c>
      <c r="H74" s="414" t="b">
        <f>Wh_hp&gt;='2023'!Maxi_hp</f>
        <v>1</v>
      </c>
      <c r="I74" s="390">
        <f>IF(H74,Wh_hp,'2023'!Maxi_hp)</f>
        <v>37.730811639617201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4.6320663392069084E-2</v>
      </c>
      <c r="M74" s="844"/>
      <c r="N74" s="844"/>
      <c r="O74" s="48">
        <f>IF(t&lt;Tnet,'2023'!Resal+('2023'!Salim-'2023'!Resal)*(1-EXP(('2023'!Tnet-t)/('2023'!Tau_j))),Resal+(Salim-Resal)*(1-EXP((Tnet-t)/(Tau_j))))*Salcycl</f>
        <v>6.4051441167166448E-2</v>
      </c>
      <c r="P74" s="169">
        <f>(INDEX(Models!$BJ74:$BT74,,T74)*(1-R74)+INDEX(Models!$BJ74:$BT74,,T74+1)*R74-ERP_i)*Q74*Ramure*Pc/MaxiM</f>
        <v>2.1679220420576591E-3</v>
      </c>
      <c r="Q74" s="305">
        <f t="shared" si="4"/>
        <v>0.7</v>
      </c>
      <c r="R74" s="177">
        <f t="shared" si="5"/>
        <v>0.80494711050012402</v>
      </c>
      <c r="S74" s="810">
        <f t="shared" si="6"/>
        <v>0</v>
      </c>
      <c r="T74" s="176">
        <f t="shared" si="7"/>
        <v>6</v>
      </c>
      <c r="U74" s="251">
        <f t="shared" si="8"/>
        <v>0.80494711050012402</v>
      </c>
      <c r="V74" s="383">
        <f t="shared" si="9"/>
        <v>33.549048523686118</v>
      </c>
      <c r="W74" s="402">
        <f t="shared" si="10"/>
        <v>33.605314309302024</v>
      </c>
      <c r="X74" s="157">
        <f t="shared" si="11"/>
        <v>45351</v>
      </c>
      <c r="Y74" s="385">
        <f t="shared" si="12"/>
        <v>31.196854697860847</v>
      </c>
      <c r="Z74" s="385">
        <f t="shared" si="22"/>
        <v>32.712100913104138</v>
      </c>
      <c r="AA74" s="386">
        <f t="shared" si="13"/>
        <v>37.649014181398954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0.13112994790535498</v>
      </c>
      <c r="AD74" s="231">
        <f>(INDEX(Models!$BJ74:$BT74,,AH74)*(1-AF74)+INDEX(Models!$BJ74:$BT74,,AH74+1)*AF74-ERP_i)*AE74*Ramure*Pc/MaxiM</f>
        <v>2.1679220420576591E-3</v>
      </c>
      <c r="AE74" s="305">
        <f t="shared" si="15"/>
        <v>0.7</v>
      </c>
      <c r="AF74" s="177">
        <f t="shared" si="23"/>
        <v>0.80494711050012402</v>
      </c>
      <c r="AG74" s="810">
        <f t="shared" si="24"/>
        <v>0</v>
      </c>
      <c r="AH74" s="176">
        <f t="shared" si="16"/>
        <v>6</v>
      </c>
      <c r="AI74" s="225">
        <f t="shared" si="17"/>
        <v>0.80494711050012402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10.779102040142636</v>
      </c>
      <c r="C75" s="840"/>
      <c r="D75" s="393">
        <f t="shared" si="0"/>
        <v>11.302911238249425</v>
      </c>
      <c r="E75" s="385">
        <f t="shared" si="1"/>
        <v>12.078073918636472</v>
      </c>
      <c r="F75" s="385">
        <f t="shared" si="2"/>
        <v>12.078709286765999</v>
      </c>
      <c r="G75" s="110">
        <f t="shared" si="21"/>
        <v>0.31703953032606663</v>
      </c>
      <c r="H75" s="414" t="b">
        <f>Wh_hp&gt;='2023'!Maxi_hp</f>
        <v>0</v>
      </c>
      <c r="I75" s="390">
        <f>IF(H75,Wh_hp,'2023'!Maxi_hp)</f>
        <v>27.571693836230367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4.6342856903467733E-2</v>
      </c>
      <c r="M75" s="844"/>
      <c r="N75" s="844"/>
      <c r="O75" s="48">
        <f>IF(t&lt;Tnet,'2023'!Resal+('2023'!Salim-'2023'!Resal)*(1-EXP(('2023'!Tnet-t)/('2023'!Tau_j))),Resal+(Salim-Resal)*(1-EXP((Tnet-t)/(Tau_j))))*Salcycl</f>
        <v>6.4179329056015325E-2</v>
      </c>
      <c r="P75" s="169">
        <f>(INDEX(Models!$BJ75:$BT75,,T75)*(1-R75)+INDEX(Models!$BJ75:$BT75,,T75+1)*R75-ERP_i)*Q75*Ramure*Pc/MaxiM</f>
        <v>2.0821618606573318E-3</v>
      </c>
      <c r="Q75" s="305">
        <f t="shared" si="4"/>
        <v>0.7</v>
      </c>
      <c r="R75" s="177">
        <f t="shared" si="5"/>
        <v>0.8052036072755332</v>
      </c>
      <c r="S75" s="810">
        <f t="shared" si="6"/>
        <v>0</v>
      </c>
      <c r="T75" s="176">
        <f t="shared" si="7"/>
        <v>6</v>
      </c>
      <c r="U75" s="251">
        <f t="shared" si="8"/>
        <v>0.8052036072755332</v>
      </c>
      <c r="V75" s="383">
        <f t="shared" si="9"/>
        <v>33.930229611619481</v>
      </c>
      <c r="W75" s="402">
        <f t="shared" si="10"/>
        <v>10.779102040142636</v>
      </c>
      <c r="X75" s="157">
        <f t="shared" si="11"/>
        <v>45352</v>
      </c>
      <c r="Y75" s="385">
        <f t="shared" si="12"/>
        <v>10.007305314348564</v>
      </c>
      <c r="Z75" s="385">
        <f t="shared" si="22"/>
        <v>10.493609141179149</v>
      </c>
      <c r="AA75" s="386">
        <f t="shared" si="13"/>
        <v>12.078073918636472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0.13118521944235589</v>
      </c>
      <c r="AD75" s="231">
        <f>(INDEX(Models!$BJ75:$BT75,,AH75)*(1-AF75)+INDEX(Models!$BJ75:$BT75,,AH75+1)*AF75-ERP_i)*AE75*Ramure*Pc/MaxiM</f>
        <v>2.0821618606573318E-3</v>
      </c>
      <c r="AE75" s="305">
        <f t="shared" si="15"/>
        <v>0.7</v>
      </c>
      <c r="AF75" s="177">
        <f t="shared" si="23"/>
        <v>0.8052036072755332</v>
      </c>
      <c r="AG75" s="810">
        <f t="shared" si="24"/>
        <v>0</v>
      </c>
      <c r="AH75" s="176">
        <f t="shared" si="16"/>
        <v>6</v>
      </c>
      <c r="AI75" s="225">
        <f t="shared" si="17"/>
        <v>0.8052036072755332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32.206399513855715</v>
      </c>
      <c r="C76" s="840"/>
      <c r="D76" s="393">
        <f t="shared" si="0"/>
        <v>33.772251646632867</v>
      </c>
      <c r="E76" s="385">
        <f t="shared" si="1"/>
        <v>36.093307007558586</v>
      </c>
      <c r="F76" s="385">
        <f t="shared" si="2"/>
        <v>36.159567072189503</v>
      </c>
      <c r="G76" s="110">
        <f t="shared" si="21"/>
        <v>0.93845623941701806</v>
      </c>
      <c r="H76" s="414" t="b">
        <f>Wh_hp&gt;='2023'!Maxi_hp</f>
        <v>0</v>
      </c>
      <c r="I76" s="390">
        <f>IF(H76,Wh_hp,'2023'!Maxi_hp)</f>
        <v>36.162203215099751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4.6365049898390964E-2</v>
      </c>
      <c r="M76" s="844"/>
      <c r="N76" s="844"/>
      <c r="O76" s="48">
        <f>IF(t&lt;Tnet,'2023'!Resal+('2023'!Salim-'2023'!Resal)*(1-EXP(('2023'!Tnet-t)/('2023'!Tau_j))),Resal+(Salim-Resal)*(1-EXP((Tnet-t)/(Tau_j))))*Salcycl</f>
        <v>6.4307084979485174E-2</v>
      </c>
      <c r="P76" s="169">
        <f>(INDEX(Models!$BJ76:$BT76,,T76)*(1-R76)+INDEX(Models!$BJ76:$BT76,,T76+1)*R76-ERP_i)*Q76*Ramure*Pc/MaxiM</f>
        <v>2.0085511687536342E-3</v>
      </c>
      <c r="Q76" s="305">
        <f t="shared" si="4"/>
        <v>0.7</v>
      </c>
      <c r="R76" s="177">
        <f t="shared" si="5"/>
        <v>0.80547051000341952</v>
      </c>
      <c r="S76" s="810">
        <f t="shared" si="6"/>
        <v>0</v>
      </c>
      <c r="T76" s="176">
        <f t="shared" si="7"/>
        <v>6</v>
      </c>
      <c r="U76" s="251">
        <f t="shared" si="8"/>
        <v>0.80547051000341952</v>
      </c>
      <c r="V76" s="383">
        <f t="shared" si="9"/>
        <v>34.312433215676251</v>
      </c>
      <c r="W76" s="402">
        <f t="shared" si="10"/>
        <v>32.206399513855715</v>
      </c>
      <c r="X76" s="157">
        <f t="shared" si="11"/>
        <v>45353</v>
      </c>
      <c r="Y76" s="385">
        <f t="shared" si="12"/>
        <v>29.902564148127865</v>
      </c>
      <c r="Z76" s="385">
        <f t="shared" si="22"/>
        <v>31.356405451521855</v>
      </c>
      <c r="AA76" s="386">
        <f t="shared" si="13"/>
        <v>36.093307007558586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0.13124044175405533</v>
      </c>
      <c r="AD76" s="231">
        <f>(INDEX(Models!$BJ76:$BT76,,AH76)*(1-AF76)+INDEX(Models!$BJ76:$BT76,,AH76+1)*AF76-ERP_i)*AE76*Ramure*Pc/MaxiM</f>
        <v>2.0085511687536342E-3</v>
      </c>
      <c r="AE76" s="305">
        <f t="shared" si="15"/>
        <v>0.7</v>
      </c>
      <c r="AF76" s="177">
        <f t="shared" si="23"/>
        <v>0.80547051000341952</v>
      </c>
      <c r="AG76" s="810">
        <f t="shared" si="24"/>
        <v>0</v>
      </c>
      <c r="AH76" s="176">
        <f t="shared" si="16"/>
        <v>6</v>
      </c>
      <c r="AI76" s="225">
        <f t="shared" si="17"/>
        <v>0.80547051000341952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3.8257982249423343</v>
      </c>
      <c r="C77" s="840"/>
      <c r="D77" s="393">
        <f t="shared" si="0"/>
        <v>4.0118991638471995</v>
      </c>
      <c r="E77" s="385">
        <f t="shared" si="1"/>
        <v>4.2882086804970294</v>
      </c>
      <c r="F77" s="385">
        <f t="shared" si="2"/>
        <v>4.2882086804970294</v>
      </c>
      <c r="G77" s="110">
        <f t="shared" si="21"/>
        <v>0.11005330757583538</v>
      </c>
      <c r="H77" s="414" t="b">
        <f>Wh_hp&gt;='2023'!Maxi_hp</f>
        <v>0</v>
      </c>
      <c r="I77" s="390">
        <f>IF(H77,Wh_hp,'2023'!Maxi_hp)</f>
        <v>30.44612113653443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4.6387242376850879E-2</v>
      </c>
      <c r="M77" s="844"/>
      <c r="N77" s="844"/>
      <c r="O77" s="48">
        <f>IF(t&lt;Tnet,'2023'!Resal+('2023'!Salim-'2023'!Resal)*(1-EXP(('2023'!Tnet-t)/('2023'!Tau_j))),Resal+(Salim-Resal)*(1-EXP((Tnet-t)/(Tau_j))))*Salcycl</f>
        <v>6.443471790598683E-2</v>
      </c>
      <c r="P77" s="169">
        <f>(INDEX(Models!$BJ77:$BT77,,T77)*(1-R77)+INDEX(Models!$BJ77:$BT77,,T77+1)*R77-ERP_i)*Q77*Ramure*Pc/MaxiM</f>
        <v>1.946714601602543E-3</v>
      </c>
      <c r="Q77" s="305">
        <f t="shared" si="4"/>
        <v>0.7</v>
      </c>
      <c r="R77" s="177">
        <f t="shared" si="5"/>
        <v>0.80574822563949811</v>
      </c>
      <c r="S77" s="810">
        <f t="shared" si="6"/>
        <v>0</v>
      </c>
      <c r="T77" s="176">
        <f t="shared" si="7"/>
        <v>6</v>
      </c>
      <c r="U77" s="251">
        <f t="shared" si="8"/>
        <v>0.80574822563949811</v>
      </c>
      <c r="V77" s="383">
        <f t="shared" si="9"/>
        <v>34.695463242155711</v>
      </c>
      <c r="W77" s="402">
        <f t="shared" si="10"/>
        <v>3.8257982249423343</v>
      </c>
      <c r="X77" s="157">
        <f t="shared" si="11"/>
        <v>45354</v>
      </c>
      <c r="Y77" s="385">
        <f t="shared" si="12"/>
        <v>3.5523845203453983</v>
      </c>
      <c r="Z77" s="385">
        <f t="shared" si="22"/>
        <v>3.7251856080445158</v>
      </c>
      <c r="AA77" s="386">
        <f t="shared" si="13"/>
        <v>4.2882086804970294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0.13129563283922449</v>
      </c>
      <c r="AD77" s="231">
        <f>(INDEX(Models!$BJ77:$BT77,,AH77)*(1-AF77)+INDEX(Models!$BJ77:$BT77,,AH77+1)*AF77-ERP_i)*AE77*Ramure*Pc/MaxiM</f>
        <v>1.946714601602543E-3</v>
      </c>
      <c r="AE77" s="305">
        <f t="shared" si="15"/>
        <v>0.7</v>
      </c>
      <c r="AF77" s="177">
        <f t="shared" si="23"/>
        <v>0.80574822563949811</v>
      </c>
      <c r="AG77" s="810">
        <f t="shared" si="24"/>
        <v>0</v>
      </c>
      <c r="AH77" s="176">
        <f t="shared" si="16"/>
        <v>6</v>
      </c>
      <c r="AI77" s="225">
        <f t="shared" si="17"/>
        <v>0.80574822563949811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13.398889267101552</v>
      </c>
      <c r="C78" s="840"/>
      <c r="D78" s="393">
        <f t="shared" si="0"/>
        <v>14.05098765612459</v>
      </c>
      <c r="E78" s="385">
        <f t="shared" si="1"/>
        <v>15.02076164671211</v>
      </c>
      <c r="F78" s="385">
        <f t="shared" si="2"/>
        <v>15.024097501641394</v>
      </c>
      <c r="G78" s="110">
        <f t="shared" si="21"/>
        <v>0.38132227161526383</v>
      </c>
      <c r="H78" s="414" t="b">
        <f>Wh_hp&gt;='2023'!Maxi_hp</f>
        <v>0</v>
      </c>
      <c r="I78" s="390">
        <f>IF(H78,Wh_hp,'2023'!Maxi_hp)</f>
        <v>38.571800708819332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4.6409434338859357E-2</v>
      </c>
      <c r="M78" s="844"/>
      <c r="N78" s="844"/>
      <c r="O78" s="48">
        <f>IF(t&lt;Tnet,'2023'!Resal+('2023'!Salim-'2023'!Resal)*(1-EXP(('2023'!Tnet-t)/('2023'!Tau_j))),Resal+(Salim-Resal)*(1-EXP((Tnet-t)/(Tau_j))))*Salcycl</f>
        <v>6.4562238147210918E-2</v>
      </c>
      <c r="P78" s="169">
        <f>(INDEX(Models!$BJ78:$BT78,,T78)*(1-R78)+INDEX(Models!$BJ78:$BT78,,T78+1)*R78-ERP_i)*Q78*Ramure*Pc/MaxiM</f>
        <v>1.896289767421729E-3</v>
      </c>
      <c r="Q78" s="305">
        <f t="shared" si="4"/>
        <v>0.7</v>
      </c>
      <c r="R78" s="177">
        <f t="shared" si="5"/>
        <v>0.80603717577701472</v>
      </c>
      <c r="S78" s="810">
        <f t="shared" si="6"/>
        <v>0</v>
      </c>
      <c r="T78" s="176">
        <f t="shared" si="7"/>
        <v>6</v>
      </c>
      <c r="U78" s="251">
        <f t="shared" si="8"/>
        <v>0.80603717577701472</v>
      </c>
      <c r="V78" s="383">
        <f t="shared" si="9"/>
        <v>35.079123639554176</v>
      </c>
      <c r="W78" s="402">
        <f t="shared" si="10"/>
        <v>13.398889267101552</v>
      </c>
      <c r="X78" s="157">
        <f t="shared" si="11"/>
        <v>45355</v>
      </c>
      <c r="Y78" s="385">
        <f t="shared" si="12"/>
        <v>12.442232651858198</v>
      </c>
      <c r="Z78" s="385">
        <f t="shared" si="22"/>
        <v>13.047772387756149</v>
      </c>
      <c r="AA78" s="386">
        <f t="shared" si="13"/>
        <v>15.02076164671211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0.13135081331829992</v>
      </c>
      <c r="AD78" s="231">
        <f>(INDEX(Models!$BJ78:$BT78,,AH78)*(1-AF78)+INDEX(Models!$BJ78:$BT78,,AH78+1)*AF78-ERP_i)*AE78*Ramure*Pc/MaxiM</f>
        <v>1.896289767421729E-3</v>
      </c>
      <c r="AE78" s="305">
        <f t="shared" si="15"/>
        <v>0.7</v>
      </c>
      <c r="AF78" s="177">
        <f t="shared" si="23"/>
        <v>0.80603717577701472</v>
      </c>
      <c r="AG78" s="810">
        <f t="shared" si="24"/>
        <v>0</v>
      </c>
      <c r="AH78" s="176">
        <f t="shared" si="16"/>
        <v>6</v>
      </c>
      <c r="AI78" s="225">
        <f t="shared" si="17"/>
        <v>0.80603717577701472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15.803429049091978</v>
      </c>
      <c r="C79" s="840"/>
      <c r="D79" s="393">
        <f t="shared" ref="D79:D142" si="25">Wh/(1-Ppv)</f>
        <v>16.572937480327262</v>
      </c>
      <c r="E79" s="385">
        <f t="shared" si="1"/>
        <v>17.719185520265277</v>
      </c>
      <c r="F79" s="385">
        <f t="shared" ref="F79:F142" si="26">Wh_sa/(1-Pvg*MEDIAN((-Sdif+Wh/Env_an)/Csdif,0,1))</f>
        <v>17.726032676930959</v>
      </c>
      <c r="G79" s="110">
        <f t="shared" si="21"/>
        <v>0.44496171706397913</v>
      </c>
      <c r="H79" s="414" t="b">
        <f>Wh_hp&gt;='2023'!Maxi_hp</f>
        <v>0</v>
      </c>
      <c r="I79" s="390">
        <f>IF(H79,Wh_hp,'2023'!Maxi_hp)</f>
        <v>22.950602771895554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4.6431625784428388E-2</v>
      </c>
      <c r="M79" s="844"/>
      <c r="N79" s="844"/>
      <c r="O79" s="48">
        <f>IF(t&lt;Tnet,'2023'!Resal+('2023'!Salim-'2023'!Resal)*(1-EXP(('2023'!Tnet-t)/('2023'!Tau_j))),Resal+(Salim-Resal)*(1-EXP((Tnet-t)/(Tau_j))))*Salcycl</f>
        <v>6.4689657356262892E-2</v>
      </c>
      <c r="P79" s="169">
        <f>(INDEX(Models!$BJ79:$BT79,,T79)*(1-R79)+INDEX(Models!$BJ79:$BT79,,T79+1)*R79-ERP_i)*Q79*Ramure*Pc/MaxiM</f>
        <v>1.8568798170540996E-3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0.80633779706493314</v>
      </c>
      <c r="S79" s="810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0.80633779706493314</v>
      </c>
      <c r="V79" s="383">
        <f t="shared" ref="V79:V142" si="33">MaxiM*(1-Ppv)*(1-Pvg)*(1-Psa)</f>
        <v>35.464128472304623</v>
      </c>
      <c r="W79" s="402">
        <f t="shared" ref="W79:W142" si="34">Wh*(A79&gt;Tmaj)</f>
        <v>15.803429049091978</v>
      </c>
      <c r="X79" s="157">
        <f t="shared" ref="X79:X142" si="35">t</f>
        <v>45356</v>
      </c>
      <c r="Y79" s="385">
        <f t="shared" ref="Y79:Y142" si="36">Wh_pvt_s*(1-Ppv)</f>
        <v>14.676159264282512</v>
      </c>
      <c r="Z79" s="385">
        <f t="shared" ref="Z79:Z142" si="37">Wh_sa_s*(1-Psa_s)</f>
        <v>15.390778114212813</v>
      </c>
      <c r="AA79" s="386">
        <f t="shared" ref="AA79:AA142" si="38">Wh_hp*(1-Pvg_s*MEDIAN((-Sdif+Wh/Env_an)/Csdif,0,1))</f>
        <v>17.719185520265277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0.13140600640980279</v>
      </c>
      <c r="AD79" s="231">
        <f>(INDEX(Models!$BJ79:$BT79,,AH79)*(1-AF79)+INDEX(Models!$BJ79:$BT79,,AH79+1)*AF79-ERP_i)*AE79*Ramure*Pc/MaxiM</f>
        <v>1.8568798170540996E-3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0.80633779706493314</v>
      </c>
      <c r="AG79" s="810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0.80633779706493314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34.437068910909716</v>
      </c>
      <c r="C80" s="840"/>
      <c r="D80" s="393">
        <f t="shared" si="25"/>
        <v>36.114736249293315</v>
      </c>
      <c r="E80" s="385">
        <f t="shared" ref="E80:E143" si="47">Wh_pvt/(1-Psa)</f>
        <v>38.617827533070837</v>
      </c>
      <c r="F80" s="385">
        <f t="shared" si="26"/>
        <v>38.684577847328953</v>
      </c>
      <c r="G80" s="110">
        <f t="shared" ref="G80:G143" si="48">+Wh_hp/MaxiM</f>
        <v>0.9604570507485225</v>
      </c>
      <c r="H80" s="414" t="b">
        <f>Wh_hp&gt;='2023'!Maxi_hp</f>
        <v>0</v>
      </c>
      <c r="I80" s="390">
        <f>IF(H80,Wh_hp,'2023'!Maxi_hp)</f>
        <v>38.686228765533436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4.6453816713570184E-2</v>
      </c>
      <c r="M80" s="844"/>
      <c r="N80" s="844"/>
      <c r="O80" s="48">
        <f>IF(t&lt;Tnet,'2023'!Resal+('2023'!Salim-'2023'!Resal)*(1-EXP(('2023'!Tnet-t)/('2023'!Tau_j))),Resal+(Salim-Resal)*(1-EXP((Tnet-t)/(Tau_j))))*Salcycl</f>
        <v>6.4816988517388027E-2</v>
      </c>
      <c r="P80" s="169">
        <f>(INDEX(Models!$BJ80:$BT80,,T80)*(1-R80)+INDEX(Models!$BJ80:$BT80,,T80+1)*R80-ERP_i)*Q80*Ramure*Pc/MaxiM</f>
        <v>1.8285368812590711E-3</v>
      </c>
      <c r="Q80" s="305">
        <f t="shared" si="28"/>
        <v>0.7</v>
      </c>
      <c r="R80" s="177">
        <f t="shared" si="29"/>
        <v>0.8066505416284816</v>
      </c>
      <c r="S80" s="810">
        <f t="shared" si="30"/>
        <v>0</v>
      </c>
      <c r="T80" s="176">
        <f t="shared" si="31"/>
        <v>6</v>
      </c>
      <c r="U80" s="251">
        <f t="shared" si="32"/>
        <v>0.8066505416284816</v>
      </c>
      <c r="V80" s="383">
        <f t="shared" si="33"/>
        <v>35.851175781130856</v>
      </c>
      <c r="W80" s="402">
        <f t="shared" si="34"/>
        <v>34.437068910909716</v>
      </c>
      <c r="X80" s="157">
        <f t="shared" si="35"/>
        <v>45357</v>
      </c>
      <c r="Y80" s="385">
        <f t="shared" si="36"/>
        <v>31.982968932635789</v>
      </c>
      <c r="Z80" s="385">
        <f t="shared" si="37"/>
        <v>33.541080120949552</v>
      </c>
      <c r="AA80" s="386">
        <f t="shared" si="38"/>
        <v>38.617827533070837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0.13146123789003281</v>
      </c>
      <c r="AD80" s="231">
        <f>(INDEX(Models!$BJ80:$BT80,,AH80)*(1-AF80)+INDEX(Models!$BJ80:$BT80,,AH80+1)*AF80-ERP_i)*AE80*Ramure*Pc/MaxiM</f>
        <v>1.8285368812590711E-3</v>
      </c>
      <c r="AE80" s="305">
        <f t="shared" si="40"/>
        <v>0.7</v>
      </c>
      <c r="AF80" s="177">
        <f t="shared" si="41"/>
        <v>0.8066505416284816</v>
      </c>
      <c r="AG80" s="810">
        <f t="shared" ref="AG80:AG143" si="49">INDEX(Echel_vg,AH80)</f>
        <v>0</v>
      </c>
      <c r="AH80" s="176">
        <f t="shared" si="42"/>
        <v>6</v>
      </c>
      <c r="AI80" s="225">
        <f t="shared" si="43"/>
        <v>0.8066505416284816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27.232706561261356</v>
      </c>
      <c r="C81" s="840"/>
      <c r="D81" s="393">
        <f t="shared" si="25"/>
        <v>28.560064313838815</v>
      </c>
      <c r="E81" s="385">
        <f t="shared" si="47"/>
        <v>30.543702008624781</v>
      </c>
      <c r="F81" s="385">
        <f t="shared" si="26"/>
        <v>30.579356565797386</v>
      </c>
      <c r="G81" s="110">
        <f t="shared" si="48"/>
        <v>0.75096772660862565</v>
      </c>
      <c r="H81" s="414" t="b">
        <f>Wh_hp&gt;='2023'!Maxi_hp</f>
        <v>0</v>
      </c>
      <c r="I81" s="390">
        <f>IF(H81,Wh_hp,'2023'!Maxi_hp)</f>
        <v>30.587494288179425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4.6476007126296515E-2</v>
      </c>
      <c r="M81" s="844"/>
      <c r="N81" s="844"/>
      <c r="O81" s="48">
        <f>IF(t&lt;Tnet,'2023'!Resal+('2023'!Salim-'2023'!Resal)*(1-EXP(('2023'!Tnet-t)/('2023'!Tau_j))),Resal+(Salim-Resal)*(1-EXP((Tnet-t)/(Tau_j))))*Salcycl</f>
        <v>6.4944245927551131E-2</v>
      </c>
      <c r="P81" s="169">
        <f>(INDEX(Models!$BJ81:$BT81,,T81)*(1-R81)+INDEX(Models!$BJ81:$BT81,,T81+1)*R81-ERP_i)*Q81*Ramure*Pc/MaxiM</f>
        <v>1.8079001555477408E-3</v>
      </c>
      <c r="Q81" s="305">
        <f t="shared" si="28"/>
        <v>0.7</v>
      </c>
      <c r="R81" s="177">
        <f t="shared" si="29"/>
        <v>0.80697587749104971</v>
      </c>
      <c r="S81" s="810">
        <f t="shared" si="30"/>
        <v>0</v>
      </c>
      <c r="T81" s="176">
        <f t="shared" si="31"/>
        <v>6</v>
      </c>
      <c r="U81" s="251">
        <f t="shared" si="32"/>
        <v>0.80697587749104971</v>
      </c>
      <c r="V81" s="383">
        <f t="shared" si="33"/>
        <v>36.240178699458632</v>
      </c>
      <c r="W81" s="402">
        <f t="shared" si="34"/>
        <v>27.232706561261356</v>
      </c>
      <c r="X81" s="157">
        <f t="shared" si="35"/>
        <v>45358</v>
      </c>
      <c r="Y81" s="385">
        <f t="shared" si="36"/>
        <v>25.293845018771393</v>
      </c>
      <c r="Z81" s="385">
        <f t="shared" si="37"/>
        <v>26.52670012271167</v>
      </c>
      <c r="AA81" s="386">
        <f t="shared" si="38"/>
        <v>30.543702008624781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0.13151653603675179</v>
      </c>
      <c r="AD81" s="231">
        <f>(INDEX(Models!$BJ81:$BT81,,AH81)*(1-AF81)+INDEX(Models!$BJ81:$BT81,,AH81+1)*AF81-ERP_i)*AE81*Ramure*Pc/MaxiM</f>
        <v>1.8079001555477408E-3</v>
      </c>
      <c r="AE81" s="305">
        <f t="shared" si="40"/>
        <v>0.7</v>
      </c>
      <c r="AF81" s="177">
        <f t="shared" si="41"/>
        <v>0.80697587749104971</v>
      </c>
      <c r="AG81" s="810">
        <f t="shared" si="49"/>
        <v>0</v>
      </c>
      <c r="AH81" s="176">
        <f t="shared" si="42"/>
        <v>6</v>
      </c>
      <c r="AI81" s="225">
        <f t="shared" si="43"/>
        <v>0.80697587749104971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29.00153724173083</v>
      </c>
      <c r="C82" s="840"/>
      <c r="D82" s="393">
        <f t="shared" si="25"/>
        <v>30.415817936758348</v>
      </c>
      <c r="E82" s="385">
        <f t="shared" si="47"/>
        <v>32.532772455854285</v>
      </c>
      <c r="F82" s="385">
        <f t="shared" si="26"/>
        <v>32.573839523959137</v>
      </c>
      <c r="G82" s="110">
        <f t="shared" si="48"/>
        <v>0.79129911306151912</v>
      </c>
      <c r="H82" s="414" t="b">
        <f>Wh_hp&gt;='2023'!Maxi_hp</f>
        <v>0</v>
      </c>
      <c r="I82" s="390">
        <f>IF(H82,Wh_hp,'2023'!Maxi_hp)</f>
        <v>40.500150797480835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4.6498197022619592E-2</v>
      </c>
      <c r="M82" s="844"/>
      <c r="N82" s="844"/>
      <c r="O82" s="48">
        <f>IF(t&lt;Tnet,'2023'!Resal+('2023'!Salim-'2023'!Resal)*(1-EXP(('2023'!Tnet-t)/('2023'!Tau_j))),Resal+(Salim-Resal)*(1-EXP((Tnet-t)/(Tau_j))))*Salcycl</f>
        <v>6.5071445170206785E-2</v>
      </c>
      <c r="P82" s="169">
        <f>(INDEX(Models!$BJ82:$BT82,,T82)*(1-R82)+INDEX(Models!$BJ82:$BT82,,T82+1)*R82-ERP_i)*Q82*Ramure*Pc/MaxiM</f>
        <v>1.7947450522663114E-3</v>
      </c>
      <c r="Q82" s="305">
        <f t="shared" si="28"/>
        <v>0.7</v>
      </c>
      <c r="R82" s="177">
        <f t="shared" si="29"/>
        <v>0.80731428899631918</v>
      </c>
      <c r="S82" s="810">
        <f t="shared" si="30"/>
        <v>0</v>
      </c>
      <c r="T82" s="176">
        <f t="shared" si="31"/>
        <v>6</v>
      </c>
      <c r="U82" s="251">
        <f t="shared" si="32"/>
        <v>0.80731428899631918</v>
      </c>
      <c r="V82" s="383">
        <f t="shared" si="33"/>
        <v>36.630940411717638</v>
      </c>
      <c r="W82" s="402">
        <f t="shared" si="34"/>
        <v>29.00153724173083</v>
      </c>
      <c r="X82" s="157">
        <f t="shared" si="35"/>
        <v>45359</v>
      </c>
      <c r="Y82" s="385">
        <f t="shared" si="36"/>
        <v>26.938688350660975</v>
      </c>
      <c r="Z82" s="385">
        <f t="shared" si="37"/>
        <v>28.252372744910303</v>
      </c>
      <c r="AA82" s="386">
        <f t="shared" si="38"/>
        <v>32.532772455854285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0.13157193155770291</v>
      </c>
      <c r="AD82" s="231">
        <f>(INDEX(Models!$BJ82:$BT82,,AH82)*(1-AF82)+INDEX(Models!$BJ82:$BT82,,AH82+1)*AF82-ERP_i)*AE82*Ramure*Pc/MaxiM</f>
        <v>1.7947450522663114E-3</v>
      </c>
      <c r="AE82" s="305">
        <f t="shared" si="40"/>
        <v>0.7</v>
      </c>
      <c r="AF82" s="177">
        <f t="shared" si="41"/>
        <v>0.80731428899631918</v>
      </c>
      <c r="AG82" s="810">
        <f t="shared" si="49"/>
        <v>0</v>
      </c>
      <c r="AH82" s="176">
        <f t="shared" si="42"/>
        <v>6</v>
      </c>
      <c r="AI82" s="225">
        <f t="shared" si="43"/>
        <v>0.80731428899631918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21.909881640701165</v>
      </c>
      <c r="C83" s="840"/>
      <c r="D83" s="393">
        <f t="shared" si="25"/>
        <v>22.978867432766467</v>
      </c>
      <c r="E83" s="385">
        <f t="shared" si="47"/>
        <v>24.581550165113597</v>
      </c>
      <c r="F83" s="385">
        <f t="shared" si="26"/>
        <v>24.599893402029558</v>
      </c>
      <c r="G83" s="110">
        <f t="shared" si="48"/>
        <v>0.59116906377659084</v>
      </c>
      <c r="H83" s="414" t="b">
        <f>Wh_hp&gt;='2023'!Maxi_hp</f>
        <v>0</v>
      </c>
      <c r="I83" s="390">
        <f>IF(H83,Wh_hp,'2023'!Maxi_hp)</f>
        <v>40.033914552307429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4.6520386402551406E-2</v>
      </c>
      <c r="M83" s="844"/>
      <c r="N83" s="844"/>
      <c r="O83" s="48">
        <f>IF(t&lt;Tnet,'2023'!Resal+('2023'!Salim-'2023'!Resal)*(1-EXP(('2023'!Tnet-t)/('2023'!Tau_j))),Resal+(Salim-Resal)*(1-EXP((Tnet-t)/(Tau_j))))*Salcycl</f>
        <v>6.5198603081659062E-2</v>
      </c>
      <c r="P83" s="169">
        <f>(INDEX(Models!$BJ83:$BT83,,T83)*(1-R83)+INDEX(Models!$BJ83:$BT83,,T83+1)*R83-ERP_i)*Q83*Ramure*Pc/MaxiM</f>
        <v>1.7888546026125817E-3</v>
      </c>
      <c r="Q83" s="305">
        <f t="shared" si="28"/>
        <v>0.7</v>
      </c>
      <c r="R83" s="177">
        <f t="shared" si="29"/>
        <v>0.80766627722938866</v>
      </c>
      <c r="S83" s="810">
        <f t="shared" si="30"/>
        <v>0</v>
      </c>
      <c r="T83" s="176">
        <f t="shared" si="31"/>
        <v>6</v>
      </c>
      <c r="U83" s="251">
        <f t="shared" si="32"/>
        <v>0.80766627722938866</v>
      </c>
      <c r="V83" s="383">
        <f t="shared" si="33"/>
        <v>37.023264117496552</v>
      </c>
      <c r="W83" s="402">
        <f t="shared" si="34"/>
        <v>21.909881640701165</v>
      </c>
      <c r="X83" s="157">
        <f t="shared" si="35"/>
        <v>45360</v>
      </c>
      <c r="Y83" s="385">
        <f t="shared" si="36"/>
        <v>20.352921688844766</v>
      </c>
      <c r="Z83" s="385">
        <f t="shared" si="37"/>
        <v>21.345943215349759</v>
      </c>
      <c r="AA83" s="386">
        <f t="shared" si="38"/>
        <v>24.581550165113597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0.13162745750493177</v>
      </c>
      <c r="AD83" s="231">
        <f>(INDEX(Models!$BJ83:$BT83,,AH83)*(1-AF83)+INDEX(Models!$BJ83:$BT83,,AH83+1)*AF83-ERP_i)*AE83*Ramure*Pc/MaxiM</f>
        <v>1.7888546026125817E-3</v>
      </c>
      <c r="AE83" s="305">
        <f t="shared" si="40"/>
        <v>0.7</v>
      </c>
      <c r="AF83" s="177">
        <f t="shared" si="41"/>
        <v>0.80766627722938866</v>
      </c>
      <c r="AG83" s="810">
        <f t="shared" si="49"/>
        <v>0</v>
      </c>
      <c r="AH83" s="176">
        <f t="shared" si="42"/>
        <v>6</v>
      </c>
      <c r="AI83" s="225">
        <f t="shared" si="43"/>
        <v>0.80766627722938866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14.260976975612703</v>
      </c>
      <c r="C84" s="840"/>
      <c r="D84" s="393">
        <f t="shared" si="25"/>
        <v>14.957119852092871</v>
      </c>
      <c r="E84" s="385">
        <f t="shared" si="47"/>
        <v>16.00249461823703</v>
      </c>
      <c r="F84" s="385">
        <f t="shared" si="26"/>
        <v>16.005815514748083</v>
      </c>
      <c r="G84" s="110">
        <f t="shared" si="48"/>
        <v>0.38053349055390812</v>
      </c>
      <c r="H84" s="414" t="b">
        <f>Wh_hp&gt;='2023'!Maxi_hp</f>
        <v>0</v>
      </c>
      <c r="I84" s="390">
        <f>IF(H84,Wh_hp,'2023'!Maxi_hp)</f>
        <v>32.943027804132434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4.6542575266103836E-2</v>
      </c>
      <c r="M84" s="844"/>
      <c r="N84" s="844"/>
      <c r="O84" s="48">
        <f>IF(t&lt;Tnet,'2023'!Resal+('2023'!Salim-'2023'!Resal)*(1-EXP(('2023'!Tnet-t)/('2023'!Tau_j))),Resal+(Salim-Resal)*(1-EXP((Tnet-t)/(Tau_j))))*Salcycl</f>
        <v>6.5325737710469844E-2</v>
      </c>
      <c r="P84" s="169">
        <f>(INDEX(Models!$BJ84:$BT84,,T84)*(1-R84)+INDEX(Models!$BJ84:$BT84,,T84+1)*R84-ERP_i)*Q84*Ramure*Pc/MaxiM</f>
        <v>1.790019693748423E-3</v>
      </c>
      <c r="Q84" s="305">
        <f t="shared" si="28"/>
        <v>0.7</v>
      </c>
      <c r="R84" s="177">
        <f t="shared" si="29"/>
        <v>0.80803236043552051</v>
      </c>
      <c r="S84" s="810">
        <f t="shared" si="30"/>
        <v>0</v>
      </c>
      <c r="T84" s="176">
        <f t="shared" si="31"/>
        <v>6</v>
      </c>
      <c r="U84" s="251">
        <f t="shared" si="32"/>
        <v>0.80803236043552051</v>
      </c>
      <c r="V84" s="383">
        <f t="shared" si="33"/>
        <v>37.416953020535487</v>
      </c>
      <c r="W84" s="402">
        <f t="shared" si="34"/>
        <v>14.260976975612703</v>
      </c>
      <c r="X84" s="157">
        <f t="shared" si="35"/>
        <v>45361</v>
      </c>
      <c r="Y84" s="385">
        <f t="shared" si="36"/>
        <v>13.248515677328076</v>
      </c>
      <c r="Z84" s="385">
        <f t="shared" si="37"/>
        <v>13.895235732235921</v>
      </c>
      <c r="AA84" s="386">
        <f t="shared" si="38"/>
        <v>16.00249461823703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0.13168314917597898</v>
      </c>
      <c r="AD84" s="231">
        <f>(INDEX(Models!$BJ84:$BT84,,AH84)*(1-AF84)+INDEX(Models!$BJ84:$BT84,,AH84+1)*AF84-ERP_i)*AE84*Ramure*Pc/MaxiM</f>
        <v>1.790019693748423E-3</v>
      </c>
      <c r="AE84" s="305">
        <f t="shared" si="40"/>
        <v>0.7</v>
      </c>
      <c r="AF84" s="177">
        <f t="shared" si="41"/>
        <v>0.80803236043552051</v>
      </c>
      <c r="AG84" s="810">
        <f t="shared" si="49"/>
        <v>0</v>
      </c>
      <c r="AH84" s="176">
        <f t="shared" si="42"/>
        <v>6</v>
      </c>
      <c r="AI84" s="225">
        <f t="shared" si="43"/>
        <v>0.80803236043552051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15.957389917446317</v>
      </c>
      <c r="C85" s="840"/>
      <c r="D85" s="393">
        <f t="shared" si="25"/>
        <v>16.736731881151119</v>
      </c>
      <c r="E85" s="385">
        <f t="shared" si="47"/>
        <v>17.908922207247336</v>
      </c>
      <c r="F85" s="385">
        <f t="shared" si="26"/>
        <v>17.91453711242605</v>
      </c>
      <c r="G85" s="110">
        <f t="shared" si="48"/>
        <v>0.4213945807088928</v>
      </c>
      <c r="H85" s="414" t="b">
        <f>Wh_hp&gt;='2023'!Maxi_hp</f>
        <v>0</v>
      </c>
      <c r="I85" s="390">
        <f>IF(H85,Wh_hp,'2023'!Maxi_hp)</f>
        <v>41.337289787164842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4.6564763613289095E-2</v>
      </c>
      <c r="M85" s="844"/>
      <c r="N85" s="844"/>
      <c r="O85" s="48">
        <f>IF(t&lt;Tnet,'2023'!Resal+('2023'!Salim-'2023'!Resal)*(1-EXP(('2023'!Tnet-t)/('2023'!Tau_j))),Resal+(Salim-Resal)*(1-EXP((Tnet-t)/(Tau_j))))*Salcycl</f>
        <v>6.5452868270423209E-2</v>
      </c>
      <c r="P85" s="169">
        <f>(INDEX(Models!$BJ85:$BT85,,T85)*(1-R85)+INDEX(Models!$BJ85:$BT85,,T85+1)*R85-ERP_i)*Q85*Ramure*Pc/MaxiM</f>
        <v>1.7980392769485138E-3</v>
      </c>
      <c r="Q85" s="305">
        <f t="shared" si="28"/>
        <v>0.7</v>
      </c>
      <c r="R85" s="177">
        <f t="shared" si="29"/>
        <v>0.80841307443500476</v>
      </c>
      <c r="S85" s="810">
        <f t="shared" si="30"/>
        <v>0</v>
      </c>
      <c r="T85" s="176">
        <f t="shared" si="31"/>
        <v>6</v>
      </c>
      <c r="U85" s="251">
        <f t="shared" si="32"/>
        <v>0.80841307443500476</v>
      </c>
      <c r="V85" s="383">
        <f t="shared" si="33"/>
        <v>37.811810325189384</v>
      </c>
      <c r="W85" s="402">
        <f t="shared" si="34"/>
        <v>15.957389917446317</v>
      </c>
      <c r="X85" s="157">
        <f t="shared" si="35"/>
        <v>45362</v>
      </c>
      <c r="Y85" s="385">
        <f t="shared" si="36"/>
        <v>14.825553633978078</v>
      </c>
      <c r="Z85" s="385">
        <f t="shared" si="37"/>
        <v>15.549617916538667</v>
      </c>
      <c r="AA85" s="386">
        <f t="shared" si="38"/>
        <v>17.908922207247336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0.13173904400310096</v>
      </c>
      <c r="AD85" s="231">
        <f>(INDEX(Models!$BJ85:$BT85,,AH85)*(1-AF85)+INDEX(Models!$BJ85:$BT85,,AH85+1)*AF85-ERP_i)*AE85*Ramure*Pc/MaxiM</f>
        <v>1.7980392769485138E-3</v>
      </c>
      <c r="AE85" s="305">
        <f t="shared" si="40"/>
        <v>0.7</v>
      </c>
      <c r="AF85" s="177">
        <f t="shared" si="41"/>
        <v>0.80841307443500476</v>
      </c>
      <c r="AG85" s="810">
        <f t="shared" si="49"/>
        <v>0</v>
      </c>
      <c r="AH85" s="176">
        <f t="shared" si="42"/>
        <v>6</v>
      </c>
      <c r="AI85" s="225">
        <f t="shared" si="43"/>
        <v>0.80841307443500476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9.7637425799613773</v>
      </c>
      <c r="C86" s="840"/>
      <c r="D86" s="393">
        <f t="shared" si="25"/>
        <v>10.240831709562144</v>
      </c>
      <c r="E86" s="385">
        <f t="shared" si="47"/>
        <v>10.959559807062741</v>
      </c>
      <c r="F86" s="385">
        <f t="shared" si="26"/>
        <v>10.959559807062741</v>
      </c>
      <c r="G86" s="110">
        <f t="shared" si="48"/>
        <v>0.25508102149829237</v>
      </c>
      <c r="H86" s="414" t="b">
        <f>Wh_hp&gt;='2023'!Maxi_hp</f>
        <v>0</v>
      </c>
      <c r="I86" s="390">
        <f>IF(H86,Wh_hp,'2023'!Maxi_hp)</f>
        <v>39.947876857948046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4.6586951444119062E-2</v>
      </c>
      <c r="M86" s="844"/>
      <c r="N86" s="844"/>
      <c r="O86" s="48">
        <f>IF(t&lt;Tnet,'2023'!Resal+('2023'!Salim-'2023'!Resal)*(1-EXP(('2023'!Tnet-t)/('2023'!Tau_j))),Resal+(Salim-Resal)*(1-EXP((Tnet-t)/(Tau_j))))*Salcycl</f>
        <v>6.5580015087597046E-2</v>
      </c>
      <c r="P86" s="169">
        <f>(INDEX(Models!$BJ86:$BT86,,T86)*(1-R86)+INDEX(Models!$BJ86:$BT86,,T86+1)*R86-ERP_i)*Q86*Ramure*Pc/MaxiM</f>
        <v>1.8100379716025638E-3</v>
      </c>
      <c r="Q86" s="305">
        <f t="shared" si="28"/>
        <v>0.7</v>
      </c>
      <c r="R86" s="177">
        <f t="shared" si="29"/>
        <v>0.80880897303248134</v>
      </c>
      <c r="S86" s="810">
        <f t="shared" si="30"/>
        <v>0</v>
      </c>
      <c r="T86" s="176">
        <f t="shared" si="31"/>
        <v>6</v>
      </c>
      <c r="U86" s="251">
        <f t="shared" si="32"/>
        <v>0.80880897303248134</v>
      </c>
      <c r="V86" s="383">
        <f t="shared" si="33"/>
        <v>38.207741908434919</v>
      </c>
      <c r="W86" s="402">
        <f t="shared" si="34"/>
        <v>9.7637425799613773</v>
      </c>
      <c r="X86" s="157">
        <f t="shared" si="35"/>
        <v>45363</v>
      </c>
      <c r="Y86" s="385">
        <f t="shared" si="36"/>
        <v>9.0718611460104555</v>
      </c>
      <c r="Z86" s="385">
        <f t="shared" si="37"/>
        <v>9.5151426338788365</v>
      </c>
      <c r="AA86" s="386">
        <f t="shared" si="38"/>
        <v>10.959559807062741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0.13179518143174593</v>
      </c>
      <c r="AD86" s="231">
        <f>(INDEX(Models!$BJ86:$BT86,,AH86)*(1-AF86)+INDEX(Models!$BJ86:$BT86,,AH86+1)*AF86-ERP_i)*AE86*Ramure*Pc/MaxiM</f>
        <v>1.8100379716025638E-3</v>
      </c>
      <c r="AE86" s="305">
        <f t="shared" si="40"/>
        <v>0.7</v>
      </c>
      <c r="AF86" s="177">
        <f t="shared" si="41"/>
        <v>0.80880897303248134</v>
      </c>
      <c r="AG86" s="810">
        <f t="shared" si="49"/>
        <v>0</v>
      </c>
      <c r="AH86" s="176">
        <f t="shared" si="42"/>
        <v>6</v>
      </c>
      <c r="AI86" s="225">
        <f t="shared" si="43"/>
        <v>0.80880897303248134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14.371225140794138</v>
      </c>
      <c r="C87" s="840"/>
      <c r="D87" s="393">
        <f t="shared" si="25"/>
        <v>15.07380207324581</v>
      </c>
      <c r="E87" s="385">
        <f t="shared" si="47"/>
        <v>16.133916547209317</v>
      </c>
      <c r="F87" s="385">
        <f t="shared" si="26"/>
        <v>16.136947769252622</v>
      </c>
      <c r="G87" s="110">
        <f t="shared" si="48"/>
        <v>0.37165772640572792</v>
      </c>
      <c r="H87" s="414" t="b">
        <f>Wh_hp&gt;='2023'!Maxi_hp</f>
        <v>0</v>
      </c>
      <c r="I87" s="390">
        <f>IF(H87,Wh_hp,'2023'!Maxi_hp)</f>
        <v>39.828022010256511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4.6609138758605728E-2</v>
      </c>
      <c r="M87" s="844"/>
      <c r="N87" s="844"/>
      <c r="O87" s="48">
        <f>IF(t&lt;Tnet,'2023'!Resal+('2023'!Salim-'2023'!Resal)*(1-EXP(('2023'!Tnet-t)/('2023'!Tau_j))),Resal+(Salim-Resal)*(1-EXP((Tnet-t)/(Tau_j))))*Salcycl</f>
        <v>6.5707199542126948E-2</v>
      </c>
      <c r="P87" s="169">
        <f>(INDEX(Models!$BJ87:$BT87,,T87)*(1-R87)+INDEX(Models!$BJ87:$BT87,,T87+1)*R87-ERP_i)*Q87*Ramure*Pc/MaxiM</f>
        <v>1.819553255954847E-3</v>
      </c>
      <c r="Q87" s="305">
        <f t="shared" si="28"/>
        <v>0.7</v>
      </c>
      <c r="R87" s="177">
        <f t="shared" si="29"/>
        <v>0.8092206284189114</v>
      </c>
      <c r="S87" s="810">
        <f t="shared" si="30"/>
        <v>0</v>
      </c>
      <c r="T87" s="176">
        <f t="shared" si="31"/>
        <v>6</v>
      </c>
      <c r="U87" s="251">
        <f t="shared" si="32"/>
        <v>0.8092206284189114</v>
      </c>
      <c r="V87" s="383">
        <f t="shared" si="33"/>
        <v>38.604796963968234</v>
      </c>
      <c r="W87" s="402">
        <f t="shared" si="34"/>
        <v>14.371225140794138</v>
      </c>
      <c r="X87" s="157">
        <f t="shared" si="35"/>
        <v>45364</v>
      </c>
      <c r="Y87" s="385">
        <f t="shared" si="36"/>
        <v>13.353796653272274</v>
      </c>
      <c r="Z87" s="385">
        <f t="shared" si="37"/>
        <v>14.006633791186669</v>
      </c>
      <c r="AA87" s="386">
        <f t="shared" si="38"/>
        <v>16.133916547209317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0.13185160278956601</v>
      </c>
      <c r="AD87" s="231">
        <f>(INDEX(Models!$BJ87:$BT87,,AH87)*(1-AF87)+INDEX(Models!$BJ87:$BT87,,AH87+1)*AF87-ERP_i)*AE87*Ramure*Pc/MaxiM</f>
        <v>1.819553255954847E-3</v>
      </c>
      <c r="AE87" s="305">
        <f t="shared" si="40"/>
        <v>0.7</v>
      </c>
      <c r="AF87" s="177">
        <f t="shared" si="41"/>
        <v>0.8092206284189114</v>
      </c>
      <c r="AG87" s="810">
        <f t="shared" si="49"/>
        <v>0</v>
      </c>
      <c r="AH87" s="176">
        <f t="shared" si="42"/>
        <v>6</v>
      </c>
      <c r="AI87" s="225">
        <f t="shared" si="43"/>
        <v>0.8092206284189114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13.627688993753186</v>
      </c>
      <c r="C88" s="840"/>
      <c r="D88" s="393">
        <f t="shared" si="25"/>
        <v>14.294248761332197</v>
      </c>
      <c r="E88" s="385">
        <f t="shared" si="47"/>
        <v>15.301622576001808</v>
      </c>
      <c r="F88" s="385">
        <f t="shared" si="26"/>
        <v>15.303595499685867</v>
      </c>
      <c r="G88" s="110">
        <f t="shared" si="48"/>
        <v>0.34880974811015142</v>
      </c>
      <c r="H88" s="414" t="b">
        <f>Wh_hp&gt;='2023'!Maxi_hp</f>
        <v>0</v>
      </c>
      <c r="I88" s="390">
        <f>IF(H88,Wh_hp,'2023'!Maxi_hp)</f>
        <v>32.760869095233581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4.6631325556761194E-2</v>
      </c>
      <c r="M88" s="844"/>
      <c r="N88" s="844"/>
      <c r="O88" s="48">
        <f>IF(t&lt;Tnet,'2023'!Resal+('2023'!Salim-'2023'!Resal)*(1-EXP(('2023'!Tnet-t)/('2023'!Tau_j))),Resal+(Salim-Resal)*(1-EXP((Tnet-t)/(Tau_j))))*Salcycl</f>
        <v>6.5834444005272927E-2</v>
      </c>
      <c r="P88" s="169">
        <f>(INDEX(Models!$BJ88:$BT88,,T88)*(1-R88)+INDEX(Models!$BJ88:$BT88,,T88+1)*R88-ERP_i)*Q88*Ramure*Pc/MaxiM</f>
        <v>1.8266750630672932E-3</v>
      </c>
      <c r="Q88" s="305">
        <f t="shared" si="28"/>
        <v>0.7</v>
      </c>
      <c r="R88" s="177">
        <f t="shared" si="29"/>
        <v>0.80964863156421674</v>
      </c>
      <c r="S88" s="810">
        <f t="shared" si="30"/>
        <v>0</v>
      </c>
      <c r="T88" s="176">
        <f t="shared" si="31"/>
        <v>6</v>
      </c>
      <c r="U88" s="251">
        <f t="shared" si="32"/>
        <v>0.80964863156421674</v>
      </c>
      <c r="V88" s="383">
        <f t="shared" si="33"/>
        <v>39.002778999858904</v>
      </c>
      <c r="W88" s="402">
        <f t="shared" si="34"/>
        <v>13.627688993753186</v>
      </c>
      <c r="X88" s="157">
        <f t="shared" si="35"/>
        <v>45365</v>
      </c>
      <c r="Y88" s="385">
        <f t="shared" si="36"/>
        <v>12.663797046169451</v>
      </c>
      <c r="Z88" s="385">
        <f t="shared" si="37"/>
        <v>13.283210772123415</v>
      </c>
      <c r="AA88" s="386">
        <f t="shared" si="38"/>
        <v>15.301622576001808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0.13190835114727995</v>
      </c>
      <c r="AD88" s="231">
        <f>(INDEX(Models!$BJ88:$BT88,,AH88)*(1-AF88)+INDEX(Models!$BJ88:$BT88,,AH88+1)*AF88-ERP_i)*AE88*Ramure*Pc/MaxiM</f>
        <v>1.8266750630672932E-3</v>
      </c>
      <c r="AE88" s="305">
        <f t="shared" si="40"/>
        <v>0.7</v>
      </c>
      <c r="AF88" s="177">
        <f t="shared" si="41"/>
        <v>0.80964863156421674</v>
      </c>
      <c r="AG88" s="810">
        <f t="shared" si="49"/>
        <v>0</v>
      </c>
      <c r="AH88" s="176">
        <f t="shared" si="42"/>
        <v>6</v>
      </c>
      <c r="AI88" s="225">
        <f t="shared" si="43"/>
        <v>0.80964863156421674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13.346420139827927</v>
      </c>
      <c r="C89" s="840"/>
      <c r="D89" s="393">
        <f t="shared" si="25"/>
        <v>13.99954822885797</v>
      </c>
      <c r="E89" s="385">
        <f t="shared" si="47"/>
        <v>14.988196206298005</v>
      </c>
      <c r="F89" s="385">
        <f t="shared" si="26"/>
        <v>14.989715123324464</v>
      </c>
      <c r="G89" s="110">
        <f t="shared" si="48"/>
        <v>0.33814269036211669</v>
      </c>
      <c r="H89" s="414" t="b">
        <f>Wh_hp&gt;='2023'!Maxi_hp</f>
        <v>0</v>
      </c>
      <c r="I89" s="390">
        <f>IF(H89,Wh_hp,'2023'!Maxi_hp)</f>
        <v>45.209296903916872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4.6653511838597561E-2</v>
      </c>
      <c r="M89" s="844"/>
      <c r="N89" s="844"/>
      <c r="O89" s="48">
        <f>IF(t&lt;Tnet,'2023'!Resal+('2023'!Salim-'2023'!Resal)*(1-EXP(('2023'!Tnet-t)/('2023'!Tau_j))),Resal+(Salim-Resal)*(1-EXP((Tnet-t)/(Tau_j))))*Salcycl</f>
        <v>6.5961771772417022E-2</v>
      </c>
      <c r="P89" s="169">
        <f>(INDEX(Models!$BJ89:$BT89,,T89)*(1-R89)+INDEX(Models!$BJ89:$BT89,,T89+1)*R89-ERP_i)*Q89*Ramure*Pc/MaxiM</f>
        <v>1.8314902798441204E-3</v>
      </c>
      <c r="Q89" s="305">
        <f t="shared" si="28"/>
        <v>0.7</v>
      </c>
      <c r="R89" s="177">
        <f t="shared" si="29"/>
        <v>0.81009359259843428</v>
      </c>
      <c r="S89" s="810">
        <f t="shared" si="30"/>
        <v>0</v>
      </c>
      <c r="T89" s="176">
        <f t="shared" si="31"/>
        <v>6</v>
      </c>
      <c r="U89" s="251">
        <f t="shared" si="32"/>
        <v>0.81009359259843428</v>
      </c>
      <c r="V89" s="383">
        <f t="shared" si="33"/>
        <v>39.401491564506287</v>
      </c>
      <c r="W89" s="402">
        <f t="shared" si="34"/>
        <v>13.346420139827927</v>
      </c>
      <c r="X89" s="157">
        <f t="shared" si="35"/>
        <v>45366</v>
      </c>
      <c r="Y89" s="385">
        <f t="shared" si="36"/>
        <v>12.403296960971565</v>
      </c>
      <c r="Z89" s="385">
        <f t="shared" si="37"/>
        <v>13.010271831904703</v>
      </c>
      <c r="AA89" s="386">
        <f t="shared" si="38"/>
        <v>14.988196206298005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0.13196547117272076</v>
      </c>
      <c r="AD89" s="231">
        <f>(INDEX(Models!$BJ89:$BT89,,AH89)*(1-AF89)+INDEX(Models!$BJ89:$BT89,,AH89+1)*AF89-ERP_i)*AE89*Ramure*Pc/MaxiM</f>
        <v>1.8314902798441204E-3</v>
      </c>
      <c r="AE89" s="305">
        <f t="shared" si="40"/>
        <v>0.7</v>
      </c>
      <c r="AF89" s="177">
        <f t="shared" si="41"/>
        <v>0.81009359259843428</v>
      </c>
      <c r="AG89" s="810">
        <f t="shared" si="49"/>
        <v>0</v>
      </c>
      <c r="AH89" s="176">
        <f t="shared" si="42"/>
        <v>6</v>
      </c>
      <c r="AI89" s="225">
        <f t="shared" si="43"/>
        <v>0.81009359259843428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11.571583946771176</v>
      </c>
      <c r="C90" s="840"/>
      <c r="D90" s="393">
        <f t="shared" si="25"/>
        <v>12.13814010372937</v>
      </c>
      <c r="E90" s="385">
        <f t="shared" si="47"/>
        <v>12.997108711681365</v>
      </c>
      <c r="F90" s="385">
        <f t="shared" si="26"/>
        <v>12.997108711681365</v>
      </c>
      <c r="G90" s="110">
        <f t="shared" si="48"/>
        <v>0.29020468493408658</v>
      </c>
      <c r="H90" s="414" t="b">
        <f>Wh_hp&gt;='2023'!Maxi_hp</f>
        <v>0</v>
      </c>
      <c r="I90" s="390">
        <f>IF(H90,Wh_hp,'2023'!Maxi_hp)</f>
        <v>26.308361762464799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4.6675697604126598E-2</v>
      </c>
      <c r="M90" s="844"/>
      <c r="N90" s="844"/>
      <c r="O90" s="48">
        <f>IF(t&lt;Tnet,'2023'!Resal+('2023'!Salim-'2023'!Resal)*(1-EXP(('2023'!Tnet-t)/('2023'!Tau_j))),Resal+(Salim-Resal)*(1-EXP((Tnet-t)/(Tau_j))))*Salcycl</f>
        <v>6.6089206992627741E-2</v>
      </c>
      <c r="P90" s="169">
        <f>(INDEX(Models!$BJ90:$BT90,,T90)*(1-R90)+INDEX(Models!$BJ90:$BT90,,T90+1)*R90-ERP_i)*Q90*Ramure*Pc/MaxiM</f>
        <v>1.8340827035702451E-3</v>
      </c>
      <c r="Q90" s="305">
        <f t="shared" si="28"/>
        <v>0.7</v>
      </c>
      <c r="R90" s="177">
        <f t="shared" si="29"/>
        <v>0.81055614117904562</v>
      </c>
      <c r="S90" s="810">
        <f t="shared" si="30"/>
        <v>0</v>
      </c>
      <c r="T90" s="176">
        <f t="shared" si="31"/>
        <v>6</v>
      </c>
      <c r="U90" s="251">
        <f t="shared" si="32"/>
        <v>0.81055614117904562</v>
      </c>
      <c r="V90" s="383">
        <f t="shared" si="33"/>
        <v>39.800738252812479</v>
      </c>
      <c r="W90" s="402">
        <f t="shared" si="34"/>
        <v>11.571583946771176</v>
      </c>
      <c r="X90" s="157">
        <f t="shared" si="35"/>
        <v>45367</v>
      </c>
      <c r="Y90" s="385">
        <f t="shared" si="36"/>
        <v>10.754633837261405</v>
      </c>
      <c r="Z90" s="385">
        <f t="shared" si="37"/>
        <v>11.281191311532812</v>
      </c>
      <c r="AA90" s="386">
        <f t="shared" si="38"/>
        <v>12.997108711681365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0.1320230089794005</v>
      </c>
      <c r="AD90" s="231">
        <f>(INDEX(Models!$BJ90:$BT90,,AH90)*(1-AF90)+INDEX(Models!$BJ90:$BT90,,AH90+1)*AF90-ERP_i)*AE90*Ramure*Pc/MaxiM</f>
        <v>1.8340827035702451E-3</v>
      </c>
      <c r="AE90" s="305">
        <f t="shared" si="40"/>
        <v>0.7</v>
      </c>
      <c r="AF90" s="177">
        <f t="shared" si="41"/>
        <v>0.81055614117904562</v>
      </c>
      <c r="AG90" s="810">
        <f t="shared" si="49"/>
        <v>0</v>
      </c>
      <c r="AH90" s="176">
        <f t="shared" si="42"/>
        <v>6</v>
      </c>
      <c r="AI90" s="225">
        <f t="shared" si="43"/>
        <v>0.81055614117904562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14.983219728968209</v>
      </c>
      <c r="C91" s="840"/>
      <c r="D91" s="393">
        <f t="shared" si="25"/>
        <v>15.717178698621781</v>
      </c>
      <c r="E91" s="385">
        <f t="shared" si="47"/>
        <v>16.831720972297539</v>
      </c>
      <c r="F91" s="385">
        <f t="shared" si="26"/>
        <v>16.8349291345205</v>
      </c>
      <c r="G91" s="110">
        <f t="shared" si="48"/>
        <v>0.3721010704701978</v>
      </c>
      <c r="H91" s="414" t="b">
        <f>Wh_hp&gt;='2023'!Maxi_hp</f>
        <v>0</v>
      </c>
      <c r="I91" s="390">
        <f>IF(H91,Wh_hp,'2023'!Maxi_hp)</f>
        <v>32.389497861269035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4.6697882853360517E-2</v>
      </c>
      <c r="M91" s="844"/>
      <c r="N91" s="844"/>
      <c r="O91" s="48">
        <f>IF(t&lt;Tnet,'2023'!Resal+('2023'!Salim-'2023'!Resal)*(1-EXP(('2023'!Tnet-t)/('2023'!Tau_j))),Resal+(Salim-Resal)*(1-EXP((Tnet-t)/(Tau_j))))*Salcycl</f>
        <v>6.6216774595427616E-2</v>
      </c>
      <c r="P91" s="169">
        <f>(INDEX(Models!$BJ91:$BT91,,T91)*(1-R91)+INDEX(Models!$BJ91:$BT91,,T91+1)*R91-ERP_i)*Q91*Ramure*Pc/MaxiM</f>
        <v>1.83453300542493E-3</v>
      </c>
      <c r="Q91" s="305">
        <f t="shared" si="28"/>
        <v>0.7</v>
      </c>
      <c r="R91" s="177">
        <f t="shared" si="29"/>
        <v>0.81103692684194606</v>
      </c>
      <c r="S91" s="810">
        <f t="shared" si="30"/>
        <v>0</v>
      </c>
      <c r="T91" s="176">
        <f t="shared" si="31"/>
        <v>6</v>
      </c>
      <c r="U91" s="251">
        <f t="shared" si="32"/>
        <v>0.81103692684194606</v>
      </c>
      <c r="V91" s="383">
        <f t="shared" si="33"/>
        <v>40.200322707306384</v>
      </c>
      <c r="W91" s="402">
        <f t="shared" si="34"/>
        <v>14.983219728968209</v>
      </c>
      <c r="X91" s="157">
        <f t="shared" si="35"/>
        <v>45368</v>
      </c>
      <c r="Y91" s="385">
        <f t="shared" si="36"/>
        <v>13.926380931665753</v>
      </c>
      <c r="Z91" s="385">
        <f t="shared" si="37"/>
        <v>14.608570233064487</v>
      </c>
      <c r="AA91" s="386">
        <f t="shared" si="38"/>
        <v>16.831720972297539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0.13208101197091029</v>
      </c>
      <c r="AD91" s="231">
        <f>(INDEX(Models!$BJ91:$BT91,,AH91)*(1-AF91)+INDEX(Models!$BJ91:$BT91,,AH91+1)*AF91-ERP_i)*AE91*Ramure*Pc/MaxiM</f>
        <v>1.83453300542493E-3</v>
      </c>
      <c r="AE91" s="305">
        <f t="shared" si="40"/>
        <v>0.7</v>
      </c>
      <c r="AF91" s="177">
        <f t="shared" si="41"/>
        <v>0.81103692684194606</v>
      </c>
      <c r="AG91" s="810">
        <f t="shared" si="49"/>
        <v>0</v>
      </c>
      <c r="AH91" s="176">
        <f t="shared" si="42"/>
        <v>6</v>
      </c>
      <c r="AI91" s="225">
        <f t="shared" si="43"/>
        <v>0.81103692684194606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26.426752069257184</v>
      </c>
      <c r="C92" s="840"/>
      <c r="D92" s="393">
        <f t="shared" si="25"/>
        <v>27.721922145518256</v>
      </c>
      <c r="E92" s="385">
        <f t="shared" si="47"/>
        <v>29.691810471757094</v>
      </c>
      <c r="F92" s="385">
        <f t="shared" si="26"/>
        <v>29.719117216775285</v>
      </c>
      <c r="G92" s="110">
        <f t="shared" si="48"/>
        <v>0.6503089106541885</v>
      </c>
      <c r="H92" s="414" t="b">
        <f>Wh_hp&gt;='2023'!Maxi_hp</f>
        <v>0</v>
      </c>
      <c r="I92" s="390">
        <f>IF(H92,Wh_hp,'2023'!Maxi_hp)</f>
        <v>42.780968964285989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4.6720067586311309E-2</v>
      </c>
      <c r="M92" s="844"/>
      <c r="N92" s="844"/>
      <c r="O92" s="48">
        <f>IF(t&lt;Tnet,'2023'!Resal+('2023'!Salim-'2023'!Resal)*(1-EXP(('2023'!Tnet-t)/('2023'!Tau_j))),Resal+(Salim-Resal)*(1-EXP((Tnet-t)/(Tau_j))))*Salcycl</f>
        <v>6.6344500215391081E-2</v>
      </c>
      <c r="P92" s="169">
        <f>(INDEX(Models!$BJ92:$BT92,,T92)*(1-R92)+INDEX(Models!$BJ92:$BT92,,T92+1)*R92-ERP_i)*Q92*Ramure*Pc/MaxiM</f>
        <v>1.8329187000299622E-3</v>
      </c>
      <c r="Q92" s="305">
        <f t="shared" si="28"/>
        <v>0.7</v>
      </c>
      <c r="R92" s="177">
        <f t="shared" si="29"/>
        <v>0.81153661933331123</v>
      </c>
      <c r="S92" s="810">
        <f t="shared" si="30"/>
        <v>0</v>
      </c>
      <c r="T92" s="176">
        <f t="shared" si="31"/>
        <v>6</v>
      </c>
      <c r="U92" s="251">
        <f t="shared" si="32"/>
        <v>0.81153661933331123</v>
      </c>
      <c r="V92" s="383">
        <f t="shared" si="33"/>
        <v>40.600048625629384</v>
      </c>
      <c r="W92" s="402">
        <f t="shared" si="34"/>
        <v>26.426752069257184</v>
      </c>
      <c r="X92" s="157">
        <f t="shared" si="35"/>
        <v>45369</v>
      </c>
      <c r="Y92" s="385">
        <f t="shared" si="36"/>
        <v>24.564449640696026</v>
      </c>
      <c r="Z92" s="385">
        <f t="shared" si="37"/>
        <v>25.768348630290845</v>
      </c>
      <c r="AA92" s="386">
        <f t="shared" si="38"/>
        <v>29.691810471757094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0.13213952868243767</v>
      </c>
      <c r="AD92" s="231">
        <f>(INDEX(Models!$BJ92:$BT92,,AH92)*(1-AF92)+INDEX(Models!$BJ92:$BT92,,AH92+1)*AF92-ERP_i)*AE92*Ramure*Pc/MaxiM</f>
        <v>1.8329187000299622E-3</v>
      </c>
      <c r="AE92" s="305">
        <f t="shared" si="40"/>
        <v>0.7</v>
      </c>
      <c r="AF92" s="177">
        <f t="shared" si="41"/>
        <v>0.81153661933331123</v>
      </c>
      <c r="AG92" s="810">
        <f t="shared" si="49"/>
        <v>0</v>
      </c>
      <c r="AH92" s="176">
        <f t="shared" si="42"/>
        <v>6</v>
      </c>
      <c r="AI92" s="225">
        <f t="shared" si="43"/>
        <v>0.81153661933331123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29.692725852473608</v>
      </c>
      <c r="C93" s="840"/>
      <c r="D93" s="393">
        <f t="shared" si="25"/>
        <v>31.148685556067502</v>
      </c>
      <c r="E93" s="385">
        <f t="shared" si="47"/>
        <v>33.366646999593009</v>
      </c>
      <c r="F93" s="385">
        <f t="shared" si="26"/>
        <v>33.40366924099763</v>
      </c>
      <c r="G93" s="110">
        <f t="shared" si="48"/>
        <v>0.72362705674750771</v>
      </c>
      <c r="H93" s="414" t="b">
        <f>Wh_hp&gt;='2023'!Maxi_hp</f>
        <v>0</v>
      </c>
      <c r="I93" s="390">
        <f>IF(H93,Wh_hp,'2023'!Maxi_hp)</f>
        <v>45.417095514762579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4.6742251802990964E-2</v>
      </c>
      <c r="M93" s="844"/>
      <c r="N93" s="844"/>
      <c r="O93" s="48">
        <f>IF(t&lt;Tnet,'2023'!Resal+('2023'!Salim-'2023'!Resal)*(1-EXP(('2023'!Tnet-t)/('2023'!Tau_j))),Resal+(Salim-Resal)*(1-EXP((Tnet-t)/(Tau_j))))*Salcycl</f>
        <v>6.6472410115183594E-2</v>
      </c>
      <c r="P93" s="169">
        <f>(INDEX(Models!$BJ93:$BT93,,T93)*(1-R93)+INDEX(Models!$BJ93:$BT93,,T93+1)*R93-ERP_i)*Q93*Ramure*Pc/MaxiM</f>
        <v>1.8291423230450176E-3</v>
      </c>
      <c r="Q93" s="305">
        <f t="shared" si="28"/>
        <v>0.7</v>
      </c>
      <c r="R93" s="177">
        <f t="shared" si="29"/>
        <v>0.81205590891940849</v>
      </c>
      <c r="S93" s="810">
        <f t="shared" si="30"/>
        <v>0</v>
      </c>
      <c r="T93" s="176">
        <f t="shared" si="31"/>
        <v>6</v>
      </c>
      <c r="U93" s="251">
        <f t="shared" si="32"/>
        <v>0.81205590891940849</v>
      </c>
      <c r="V93" s="383">
        <f t="shared" si="33"/>
        <v>41.003578988984778</v>
      </c>
      <c r="W93" s="402">
        <f t="shared" si="34"/>
        <v>29.692725852473608</v>
      </c>
      <c r="X93" s="157">
        <f t="shared" si="35"/>
        <v>45370</v>
      </c>
      <c r="Y93" s="385">
        <f t="shared" si="36"/>
        <v>27.602171684933147</v>
      </c>
      <c r="Z93" s="385">
        <f t="shared" si="37"/>
        <v>28.955622691910843</v>
      </c>
      <c r="AA93" s="386">
        <f t="shared" si="38"/>
        <v>33.366646999593009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0.13219860862063743</v>
      </c>
      <c r="AD93" s="231">
        <f>(INDEX(Models!$BJ93:$BT93,,AH93)*(1-AF93)+INDEX(Models!$BJ93:$BT93,,AH93+1)*AF93-ERP_i)*AE93*Ramure*Pc/MaxiM</f>
        <v>1.8291423230450176E-3</v>
      </c>
      <c r="AE93" s="305">
        <f t="shared" si="40"/>
        <v>0.7</v>
      </c>
      <c r="AF93" s="177">
        <f t="shared" si="41"/>
        <v>0.81205590891940849</v>
      </c>
      <c r="AG93" s="810">
        <f t="shared" si="49"/>
        <v>0</v>
      </c>
      <c r="AH93" s="176">
        <f t="shared" si="42"/>
        <v>6</v>
      </c>
      <c r="AI93" s="225">
        <f t="shared" si="43"/>
        <v>0.81205590891940849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39.664278216900904</v>
      </c>
      <c r="C94" s="840"/>
      <c r="D94" s="393">
        <f t="shared" si="25"/>
        <v>41.610153559312408</v>
      </c>
      <c r="E94" s="385">
        <f t="shared" si="47"/>
        <v>44.579148527574709</v>
      </c>
      <c r="F94" s="385">
        <f t="shared" si="26"/>
        <v>44.655536795681954</v>
      </c>
      <c r="G94" s="110">
        <f t="shared" si="48"/>
        <v>0.95765021825900898</v>
      </c>
      <c r="H94" s="414" t="b">
        <f>Wh_hp&gt;='2023'!Maxi_hp</f>
        <v>0</v>
      </c>
      <c r="I94" s="390">
        <f>IF(H94,Wh_hp,'2023'!Maxi_hp)</f>
        <v>48.198985258159908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4.6764435503411361E-2</v>
      </c>
      <c r="M94" s="844"/>
      <c r="N94" s="844"/>
      <c r="O94" s="48">
        <f>IF(t&lt;Tnet,'2023'!Resal+('2023'!Salim-'2023'!Resal)*(1-EXP(('2023'!Tnet-t)/('2023'!Tau_j))),Resal+(Salim-Resal)*(1-EXP((Tnet-t)/(Tau_j))))*Salcycl</f>
        <v>6.6600531107627897E-2</v>
      </c>
      <c r="P94" s="169">
        <f>(INDEX(Models!$BJ94:$BT94,,T94)*(1-R94)+INDEX(Models!$BJ94:$BT94,,T94+1)*R94-ERP_i)*Q94*Ramure*Pc/MaxiM</f>
        <v>1.8204754261931919E-3</v>
      </c>
      <c r="Q94" s="305">
        <f t="shared" si="28"/>
        <v>0.7</v>
      </c>
      <c r="R94" s="177">
        <f t="shared" si="29"/>
        <v>0.81259550667116864</v>
      </c>
      <c r="S94" s="810">
        <f t="shared" si="30"/>
        <v>0</v>
      </c>
      <c r="T94" s="176">
        <f t="shared" si="31"/>
        <v>6</v>
      </c>
      <c r="U94" s="251">
        <f t="shared" si="32"/>
        <v>0.81259550667116864</v>
      </c>
      <c r="V94" s="383">
        <f t="shared" si="33"/>
        <v>41.41377750915192</v>
      </c>
      <c r="W94" s="402">
        <f t="shared" si="34"/>
        <v>39.664278216900904</v>
      </c>
      <c r="X94" s="157">
        <f t="shared" si="35"/>
        <v>45371</v>
      </c>
      <c r="Y94" s="385">
        <f t="shared" si="36"/>
        <v>36.874188675760003</v>
      </c>
      <c r="Z94" s="385">
        <f t="shared" si="37"/>
        <v>38.683186034119025</v>
      </c>
      <c r="AA94" s="386">
        <f t="shared" si="38"/>
        <v>44.579148527574709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0.13225830210302689</v>
      </c>
      <c r="AD94" s="231">
        <f>(INDEX(Models!$BJ94:$BT94,,AH94)*(1-AF94)+INDEX(Models!$BJ94:$BT94,,AH94+1)*AF94-ERP_i)*AE94*Ramure*Pc/MaxiM</f>
        <v>1.8204754261931919E-3</v>
      </c>
      <c r="AE94" s="305">
        <f t="shared" si="40"/>
        <v>0.7</v>
      </c>
      <c r="AF94" s="177">
        <f t="shared" si="41"/>
        <v>0.81259550667116864</v>
      </c>
      <c r="AG94" s="810">
        <f t="shared" si="49"/>
        <v>0</v>
      </c>
      <c r="AH94" s="176">
        <f t="shared" si="42"/>
        <v>6</v>
      </c>
      <c r="AI94" s="225">
        <f t="shared" si="43"/>
        <v>0.81259550667116864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37.592583946574536</v>
      </c>
      <c r="C95" s="840"/>
      <c r="D95" s="393">
        <f t="shared" si="25"/>
        <v>39.43774257010098</v>
      </c>
      <c r="E95" s="385">
        <f t="shared" si="47"/>
        <v>42.257541423598482</v>
      </c>
      <c r="F95" s="385">
        <f t="shared" si="26"/>
        <v>42.322945060439118</v>
      </c>
      <c r="G95" s="110">
        <f t="shared" si="48"/>
        <v>0.89848317246968512</v>
      </c>
      <c r="H95" s="414" t="b">
        <f>Wh_hp&gt;='2023'!Maxi_hp</f>
        <v>0</v>
      </c>
      <c r="I95" s="390">
        <f>IF(H95,Wh_hp,'2023'!Maxi_hp)</f>
        <v>46.410432138632295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4.6786618687584824E-2</v>
      </c>
      <c r="M95" s="844"/>
      <c r="N95" s="844"/>
      <c r="O95" s="48">
        <f>IF(t&lt;Tnet,'2023'!Resal+('2023'!Salim-'2023'!Resal)*(1-EXP(('2023'!Tnet-t)/('2023'!Tau_j))),Resal+(Salim-Resal)*(1-EXP((Tnet-t)/(Tau_j))))*Salcycl</f>
        <v>6.6728890477352781E-2</v>
      </c>
      <c r="P95" s="169">
        <f>(INDEX(Models!$BJ95:$BT95,,T95)*(1-R95)+INDEX(Models!$BJ95:$BT95,,T95+1)*R95-ERP_i)*Q95*Ramure*Pc/MaxiM</f>
        <v>1.8067638695443246E-3</v>
      </c>
      <c r="Q95" s="305">
        <f t="shared" si="28"/>
        <v>0.7</v>
      </c>
      <c r="R95" s="177">
        <f t="shared" si="29"/>
        <v>0.81315614472010844</v>
      </c>
      <c r="S95" s="810">
        <f t="shared" si="30"/>
        <v>0</v>
      </c>
      <c r="T95" s="176">
        <f t="shared" si="31"/>
        <v>6</v>
      </c>
      <c r="U95" s="251">
        <f t="shared" si="32"/>
        <v>0.81315614472010844</v>
      </c>
      <c r="V95" s="383">
        <f t="shared" si="33"/>
        <v>41.829098811160975</v>
      </c>
      <c r="W95" s="402">
        <f t="shared" si="34"/>
        <v>37.592583946574536</v>
      </c>
      <c r="X95" s="157">
        <f t="shared" si="35"/>
        <v>45372</v>
      </c>
      <c r="Y95" s="385">
        <f t="shared" si="36"/>
        <v>34.950598252019105</v>
      </c>
      <c r="Z95" s="385">
        <f t="shared" si="37"/>
        <v>36.666080163392152</v>
      </c>
      <c r="AA95" s="386">
        <f t="shared" si="38"/>
        <v>42.257541423598482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0.1323186600980012</v>
      </c>
      <c r="AD95" s="231">
        <f>(INDEX(Models!$BJ95:$BT95,,AH95)*(1-AF95)+INDEX(Models!$BJ95:$BT95,,AH95+1)*AF95-ERP_i)*AE95*Ramure*Pc/MaxiM</f>
        <v>1.8067638695443246E-3</v>
      </c>
      <c r="AE95" s="305">
        <f t="shared" si="40"/>
        <v>0.7</v>
      </c>
      <c r="AF95" s="177">
        <f t="shared" si="41"/>
        <v>0.81315614472010844</v>
      </c>
      <c r="AG95" s="810">
        <f t="shared" si="49"/>
        <v>0</v>
      </c>
      <c r="AH95" s="176">
        <f t="shared" si="42"/>
        <v>6</v>
      </c>
      <c r="AI95" s="225">
        <f t="shared" si="43"/>
        <v>0.81315614472010844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43.160842236452531</v>
      </c>
      <c r="C96" s="840"/>
      <c r="D96" s="393">
        <f t="shared" si="25"/>
        <v>45.280361692209397</v>
      </c>
      <c r="E96" s="385">
        <f t="shared" si="47"/>
        <v>48.524595615218175</v>
      </c>
      <c r="F96" s="385">
        <f t="shared" si="26"/>
        <v>48.611523908671685</v>
      </c>
      <c r="G96" s="110">
        <f t="shared" si="48"/>
        <v>1.0216071649905401</v>
      </c>
      <c r="H96" s="414" t="b">
        <f>Wh_hp&gt;='2023'!Maxi_hp</f>
        <v>0</v>
      </c>
      <c r="I96" s="390">
        <f>IF(H96,Wh_hp,'2023'!Maxi_hp)</f>
        <v>49.043918463336865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4.6808801355523011E-2</v>
      </c>
      <c r="M96" s="844"/>
      <c r="N96" s="844"/>
      <c r="O96" s="48">
        <f>IF(t&lt;Tnet,'2023'!Resal+('2023'!Salim-'2023'!Resal)*(1-EXP(('2023'!Tnet-t)/('2023'!Tau_j))),Resal+(Salim-Resal)*(1-EXP((Tnet-t)/(Tau_j))))*Salcycl</f>
        <v>6.6857515902540132E-2</v>
      </c>
      <c r="P96" s="169">
        <f>(INDEX(Models!$BJ96:$BT96,,T96)*(1-R96)+INDEX(Models!$BJ96:$BT96,,T96+1)*R96-ERP_i)*Q96*Ramure*Pc/MaxiM</f>
        <v>1.788223994310952E-3</v>
      </c>
      <c r="Q96" s="305">
        <f t="shared" si="28"/>
        <v>0.7</v>
      </c>
      <c r="R96" s="177">
        <f t="shared" si="29"/>
        <v>0.81373857648194414</v>
      </c>
      <c r="S96" s="810">
        <f t="shared" si="30"/>
        <v>0</v>
      </c>
      <c r="T96" s="176">
        <f t="shared" si="31"/>
        <v>6</v>
      </c>
      <c r="U96" s="251">
        <f t="shared" si="32"/>
        <v>0.81373857648194414</v>
      </c>
      <c r="V96" s="383">
        <f t="shared" si="33"/>
        <v>42.247983095197064</v>
      </c>
      <c r="W96" s="402">
        <f t="shared" si="34"/>
        <v>43.160842236452531</v>
      </c>
      <c r="X96" s="157">
        <f t="shared" si="35"/>
        <v>45373</v>
      </c>
      <c r="Y96" s="385">
        <f t="shared" si="36"/>
        <v>40.130228831371873</v>
      </c>
      <c r="Z96" s="385">
        <f t="shared" si="37"/>
        <v>42.10092255199234</v>
      </c>
      <c r="AA96" s="386">
        <f t="shared" si="38"/>
        <v>48.524595615218175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0.13237973406647527</v>
      </c>
      <c r="AD96" s="231">
        <f>(INDEX(Models!$BJ96:$BT96,,AH96)*(1-AF96)+INDEX(Models!$BJ96:$BT96,,AH96+1)*AF96-ERP_i)*AE96*Ramure*Pc/MaxiM</f>
        <v>1.788223994310952E-3</v>
      </c>
      <c r="AE96" s="305">
        <f t="shared" si="40"/>
        <v>0.7</v>
      </c>
      <c r="AF96" s="177">
        <f t="shared" si="41"/>
        <v>0.81373857648194414</v>
      </c>
      <c r="AG96" s="810">
        <f t="shared" si="49"/>
        <v>0</v>
      </c>
      <c r="AH96" s="176">
        <f t="shared" si="42"/>
        <v>6</v>
      </c>
      <c r="AI96" s="225">
        <f t="shared" si="43"/>
        <v>0.81373857648194414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42.511609960336742</v>
      </c>
      <c r="C97" s="840"/>
      <c r="D97" s="393">
        <f t="shared" si="25"/>
        <v>44.6002851800204</v>
      </c>
      <c r="E97" s="385">
        <f t="shared" si="47"/>
        <v>47.802397383207946</v>
      </c>
      <c r="F97" s="385">
        <f t="shared" si="26"/>
        <v>47.886474944409173</v>
      </c>
      <c r="G97" s="110">
        <f t="shared" si="48"/>
        <v>0.99630509604962414</v>
      </c>
      <c r="H97" s="414" t="b">
        <f>Wh_hp&gt;='2023'!Maxi_hp</f>
        <v>0</v>
      </c>
      <c r="I97" s="390">
        <f>IF(H97,Wh_hp,'2023'!Maxi_hp)</f>
        <v>48.279322574126304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4.6830983507238244E-2</v>
      </c>
      <c r="M97" s="844"/>
      <c r="N97" s="844"/>
      <c r="O97" s="48">
        <f>IF(t&lt;Tnet,'2023'!Resal+('2023'!Salim-'2023'!Resal)*(1-EXP(('2023'!Tnet-t)/('2023'!Tau_j))),Resal+(Salim-Resal)*(1-EXP((Tnet-t)/(Tau_j))))*Salcycl</f>
        <v>6.6986435377242901E-2</v>
      </c>
      <c r="P97" s="169">
        <f>(INDEX(Models!$BJ97:$BT97,,T97)*(1-R97)+INDEX(Models!$BJ97:$BT97,,T97+1)*R97-ERP_i)*Q97*Ramure*Pc/MaxiM</f>
        <v>1.7650618101873092E-3</v>
      </c>
      <c r="Q97" s="305">
        <f t="shared" si="28"/>
        <v>0.7</v>
      </c>
      <c r="R97" s="177">
        <f t="shared" si="29"/>
        <v>0.81434357684399195</v>
      </c>
      <c r="S97" s="810">
        <f t="shared" si="30"/>
        <v>0</v>
      </c>
      <c r="T97" s="176">
        <f t="shared" si="31"/>
        <v>6</v>
      </c>
      <c r="U97" s="251">
        <f t="shared" si="32"/>
        <v>0.81434357684399195</v>
      </c>
      <c r="V97" s="383">
        <f t="shared" si="33"/>
        <v>42.668871571266742</v>
      </c>
      <c r="W97" s="402">
        <f t="shared" si="34"/>
        <v>42.511609960336742</v>
      </c>
      <c r="X97" s="157">
        <f t="shared" si="35"/>
        <v>45374</v>
      </c>
      <c r="Y97" s="385">
        <f t="shared" si="36"/>
        <v>39.52922738272219</v>
      </c>
      <c r="Z97" s="385">
        <f t="shared" si="37"/>
        <v>41.471372546468388</v>
      </c>
      <c r="AA97" s="386">
        <f t="shared" si="38"/>
        <v>47.802397383207946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0.13244157580606045</v>
      </c>
      <c r="AD97" s="231">
        <f>(INDEX(Models!$BJ97:$BT97,,AH97)*(1-AF97)+INDEX(Models!$BJ97:$BT97,,AH97+1)*AF97-ERP_i)*AE97*Ramure*Pc/MaxiM</f>
        <v>1.7650618101873092E-3</v>
      </c>
      <c r="AE97" s="305">
        <f t="shared" si="40"/>
        <v>0.7</v>
      </c>
      <c r="AF97" s="177">
        <f t="shared" si="41"/>
        <v>0.81434357684399195</v>
      </c>
      <c r="AG97" s="810">
        <f t="shared" si="49"/>
        <v>0</v>
      </c>
      <c r="AH97" s="176">
        <f t="shared" si="42"/>
        <v>6</v>
      </c>
      <c r="AI97" s="225">
        <f t="shared" si="43"/>
        <v>0.81434357684399195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40.148224276630636</v>
      </c>
      <c r="C98" s="840"/>
      <c r="D98" s="393">
        <f t="shared" si="25"/>
        <v>42.121762154981283</v>
      </c>
      <c r="E98" s="385">
        <f t="shared" si="47"/>
        <v>45.152181382581944</v>
      </c>
      <c r="F98" s="385">
        <f t="shared" si="26"/>
        <v>45.223091463813191</v>
      </c>
      <c r="G98" s="110">
        <f t="shared" si="48"/>
        <v>0.93156689519747449</v>
      </c>
      <c r="H98" s="414" t="b">
        <f>Wh_hp&gt;='2023'!Maxi_hp</f>
        <v>0</v>
      </c>
      <c r="I98" s="390">
        <f>IF(H98,Wh_hp,'2023'!Maxi_hp)</f>
        <v>45.226476614605296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4.6853165142742292E-2</v>
      </c>
      <c r="M98" s="844"/>
      <c r="N98" s="844"/>
      <c r="O98" s="48">
        <f>IF(t&lt;Tnet,'2023'!Resal+('2023'!Salim-'2023'!Resal)*(1-EXP(('2023'!Tnet-t)/('2023'!Tau_j))),Resal+(Salim-Resal)*(1-EXP((Tnet-t)/(Tau_j))))*Salcycl</f>
        <v>6.7115677134697224E-2</v>
      </c>
      <c r="P98" s="169">
        <f>(INDEX(Models!$BJ98:$BT98,,T98)*(1-R98)+INDEX(Models!$BJ98:$BT98,,T98+1)*R98-ERP_i)*Q98*Ramure*Pc/MaxiM</f>
        <v>1.7374714816081442E-3</v>
      </c>
      <c r="Q98" s="305">
        <f t="shared" si="28"/>
        <v>0.7</v>
      </c>
      <c r="R98" s="177">
        <f t="shared" si="29"/>
        <v>0.81497194231218972</v>
      </c>
      <c r="S98" s="810">
        <f t="shared" si="30"/>
        <v>0</v>
      </c>
      <c r="T98" s="176">
        <f t="shared" si="31"/>
        <v>6</v>
      </c>
      <c r="U98" s="251">
        <f t="shared" si="32"/>
        <v>0.81497194231218972</v>
      </c>
      <c r="V98" s="383">
        <f t="shared" si="33"/>
        <v>43.090206471006759</v>
      </c>
      <c r="W98" s="402">
        <f t="shared" si="34"/>
        <v>40.148224276630636</v>
      </c>
      <c r="X98" s="157">
        <f t="shared" si="35"/>
        <v>45375</v>
      </c>
      <c r="Y98" s="385">
        <f t="shared" si="36"/>
        <v>37.334119125284467</v>
      </c>
      <c r="Z98" s="385">
        <f t="shared" si="37"/>
        <v>39.169326026115996</v>
      </c>
      <c r="AA98" s="386">
        <f t="shared" si="38"/>
        <v>45.152181382581944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0.13250423729857524</v>
      </c>
      <c r="AD98" s="231">
        <f>(INDEX(Models!$BJ98:$BT98,,AH98)*(1-AF98)+INDEX(Models!$BJ98:$BT98,,AH98+1)*AF98-ERP_i)*AE98*Ramure*Pc/MaxiM</f>
        <v>1.7374714816081442E-3</v>
      </c>
      <c r="AE98" s="305">
        <f t="shared" si="40"/>
        <v>0.7</v>
      </c>
      <c r="AF98" s="177">
        <f t="shared" si="41"/>
        <v>0.81497194231218972</v>
      </c>
      <c r="AG98" s="810">
        <f t="shared" si="49"/>
        <v>0</v>
      </c>
      <c r="AH98" s="176">
        <f t="shared" si="42"/>
        <v>6</v>
      </c>
      <c r="AI98" s="225">
        <f t="shared" si="43"/>
        <v>0.81497194231218972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42.727744757570868</v>
      </c>
      <c r="C99" s="840"/>
      <c r="D99" s="393">
        <f t="shared" si="25"/>
        <v>44.82912553987741</v>
      </c>
      <c r="E99" s="385">
        <f t="shared" si="47"/>
        <v>48.061000472554184</v>
      </c>
      <c r="F99" s="385">
        <f t="shared" si="26"/>
        <v>48.141001331650955</v>
      </c>
      <c r="G99" s="110">
        <f t="shared" si="48"/>
        <v>0.9819684106330473</v>
      </c>
      <c r="H99" s="414" t="b">
        <f>Wh_hp&gt;='2023'!Maxi_hp</f>
        <v>0</v>
      </c>
      <c r="I99" s="390">
        <f>IF(H99,Wh_hp,'2023'!Maxi_hp)</f>
        <v>50.66707986781163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4.6875346262047368E-2</v>
      </c>
      <c r="M99" s="844"/>
      <c r="N99" s="844"/>
      <c r="O99" s="48">
        <f>IF(t&lt;Tnet,'2023'!Resal+('2023'!Salim-'2023'!Resal)*(1-EXP(('2023'!Tnet-t)/('2023'!Tau_j))),Resal+(Salim-Resal)*(1-EXP((Tnet-t)/(Tau_j))))*Salcycl</f>
        <v>6.7245269571996821E-2</v>
      </c>
      <c r="P99" s="169">
        <f>(INDEX(Models!$BJ99:$BT99,,T99)*(1-R99)+INDEX(Models!$BJ99:$BT99,,T99+1)*R99-ERP_i)*Q99*Ramure*Pc/MaxiM</f>
        <v>1.7056340516950843E-3</v>
      </c>
      <c r="Q99" s="305">
        <f t="shared" si="28"/>
        <v>0.7</v>
      </c>
      <c r="R99" s="177">
        <f t="shared" si="29"/>
        <v>0.81562449111331259</v>
      </c>
      <c r="S99" s="810">
        <f t="shared" si="30"/>
        <v>0</v>
      </c>
      <c r="T99" s="176">
        <f t="shared" si="31"/>
        <v>6</v>
      </c>
      <c r="U99" s="251">
        <f t="shared" si="32"/>
        <v>0.81562449111331259</v>
      </c>
      <c r="V99" s="383">
        <f t="shared" si="33"/>
        <v>43.510431063091353</v>
      </c>
      <c r="W99" s="402">
        <f t="shared" si="34"/>
        <v>42.727744757570868</v>
      </c>
      <c r="X99" s="157">
        <f t="shared" si="35"/>
        <v>45376</v>
      </c>
      <c r="Y99" s="385">
        <f t="shared" si="36"/>
        <v>39.735443503919576</v>
      </c>
      <c r="Z99" s="385">
        <f t="shared" si="37"/>
        <v>41.689660788948856</v>
      </c>
      <c r="AA99" s="386">
        <f t="shared" si="38"/>
        <v>48.061000472554184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0.13256777056157532</v>
      </c>
      <c r="AD99" s="231">
        <f>(INDEX(Models!$BJ99:$BT99,,AH99)*(1-AF99)+INDEX(Models!$BJ99:$BT99,,AH99+1)*AF99-ERP_i)*AE99*Ramure*Pc/MaxiM</f>
        <v>1.7056340516950843E-3</v>
      </c>
      <c r="AE99" s="305">
        <f t="shared" si="40"/>
        <v>0.7</v>
      </c>
      <c r="AF99" s="177">
        <f t="shared" si="41"/>
        <v>0.81562449111331259</v>
      </c>
      <c r="AG99" s="810">
        <f t="shared" si="49"/>
        <v>0</v>
      </c>
      <c r="AH99" s="176">
        <f t="shared" si="42"/>
        <v>6</v>
      </c>
      <c r="AI99" s="225">
        <f t="shared" si="43"/>
        <v>0.81562449111331259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40.95245096228583</v>
      </c>
      <c r="C100" s="840"/>
      <c r="D100" s="393">
        <f t="shared" si="25"/>
        <v>42.967521454004576</v>
      </c>
      <c r="E100" s="385">
        <f t="shared" si="47"/>
        <v>46.071607093302106</v>
      </c>
      <c r="F100" s="385">
        <f t="shared" si="26"/>
        <v>46.141143359530339</v>
      </c>
      <c r="G100" s="110">
        <f t="shared" si="48"/>
        <v>0.93211137058329441</v>
      </c>
      <c r="H100" s="414" t="b">
        <f>Wh_hp&gt;='2023'!Maxi_hp</f>
        <v>0</v>
      </c>
      <c r="I100" s="390">
        <f>IF(H100,Wh_hp,'2023'!Maxi_hp)</f>
        <v>49.81019451356466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4.6897526865165351E-2</v>
      </c>
      <c r="M100" s="844"/>
      <c r="N100" s="844"/>
      <c r="O100" s="48">
        <f>IF(t&lt;Tnet,'2023'!Resal+('2023'!Salim-'2023'!Resal)*(1-EXP(('2023'!Tnet-t)/('2023'!Tau_j))),Resal+(Salim-Resal)*(1-EXP((Tnet-t)/(Tau_j))))*Salcycl</f>
        <v>6.7375241176442571E-2</v>
      </c>
      <c r="P100" s="169">
        <f>(INDEX(Models!$BJ100:$BT100,,T100)*(1-R100)+INDEX(Models!$BJ100:$BT100,,T100+1)*R100-ERP_i)*Q100*Ramure*Pc/MaxiM</f>
        <v>1.6684910964149579E-3</v>
      </c>
      <c r="Q100" s="305">
        <f t="shared" si="28"/>
        <v>0.7</v>
      </c>
      <c r="R100" s="177">
        <f t="shared" si="29"/>
        <v>0.81630206324768428</v>
      </c>
      <c r="S100" s="810">
        <f t="shared" si="30"/>
        <v>0</v>
      </c>
      <c r="T100" s="176">
        <f t="shared" si="31"/>
        <v>6</v>
      </c>
      <c r="U100" s="251">
        <f t="shared" si="32"/>
        <v>0.81630206324768428</v>
      </c>
      <c r="V100" s="383">
        <f t="shared" si="33"/>
        <v>43.928043585827972</v>
      </c>
      <c r="W100" s="402">
        <f t="shared" si="34"/>
        <v>40.95245096228583</v>
      </c>
      <c r="X100" s="157">
        <f t="shared" si="35"/>
        <v>45377</v>
      </c>
      <c r="Y100" s="385">
        <f t="shared" si="36"/>
        <v>38.086953872206351</v>
      </c>
      <c r="Z100" s="385">
        <f t="shared" si="37"/>
        <v>39.961027219806844</v>
      </c>
      <c r="AA100" s="386">
        <f t="shared" si="38"/>
        <v>46.071607093302106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0.13263222750446702</v>
      </c>
      <c r="AD100" s="231">
        <f>(INDEX(Models!$BJ100:$BT100,,AH100)*(1-AF100)+INDEX(Models!$BJ100:$BT100,,AH100+1)*AF100-ERP_i)*AE100*Ramure*Pc/MaxiM</f>
        <v>1.6684910964149579E-3</v>
      </c>
      <c r="AE100" s="305">
        <f t="shared" si="40"/>
        <v>0.7</v>
      </c>
      <c r="AF100" s="177">
        <f t="shared" si="41"/>
        <v>0.81630206324768428</v>
      </c>
      <c r="AG100" s="810">
        <f t="shared" si="49"/>
        <v>0</v>
      </c>
      <c r="AH100" s="176">
        <f t="shared" si="42"/>
        <v>6</v>
      </c>
      <c r="AI100" s="225">
        <f t="shared" si="43"/>
        <v>0.81630206324768428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30.988789572551667</v>
      </c>
      <c r="C101" s="840"/>
      <c r="D101" s="393">
        <f t="shared" si="25"/>
        <v>32.514353511026272</v>
      </c>
      <c r="E101" s="385">
        <f t="shared" si="47"/>
        <v>34.868149582681745</v>
      </c>
      <c r="F101" s="385">
        <f t="shared" si="26"/>
        <v>34.900536323984809</v>
      </c>
      <c r="G101" s="110">
        <f t="shared" si="48"/>
        <v>0.6983782403879768</v>
      </c>
      <c r="H101" s="414" t="b">
        <f>Wh_hp&gt;='2023'!Maxi_hp</f>
        <v>0</v>
      </c>
      <c r="I101" s="390">
        <f>IF(H101,Wh_hp,'2023'!Maxi_hp)</f>
        <v>49.482894626918331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4.6919706952108231E-2</v>
      </c>
      <c r="M101" s="844"/>
      <c r="N101" s="844"/>
      <c r="O101" s="48">
        <f>IF(t&lt;Tnet,'2023'!Resal+('2023'!Salim-'2023'!Resal)*(1-EXP(('2023'!Tnet-t)/('2023'!Tau_j))),Resal+(Salim-Resal)*(1-EXP((Tnet-t)/(Tau_j))))*Salcycl</f>
        <v>6.7505620453818152E-2</v>
      </c>
      <c r="P101" s="169">
        <f>(INDEX(Models!$BJ101:$BT101,,T101)*(1-R101)+INDEX(Models!$BJ101:$BT101,,T101+1)*R101-ERP_i)*Q101*Ramure*Pc/MaxiM</f>
        <v>1.6285595918621289E-3</v>
      </c>
      <c r="Q101" s="305">
        <f t="shared" si="28"/>
        <v>0.7</v>
      </c>
      <c r="R101" s="177">
        <f t="shared" si="29"/>
        <v>0.8170055204874157</v>
      </c>
      <c r="S101" s="810">
        <f t="shared" si="30"/>
        <v>0</v>
      </c>
      <c r="T101" s="176">
        <f t="shared" si="31"/>
        <v>6</v>
      </c>
      <c r="U101" s="251">
        <f t="shared" si="32"/>
        <v>0.8170055204874157</v>
      </c>
      <c r="V101" s="383">
        <f t="shared" si="33"/>
        <v>44.341385904359967</v>
      </c>
      <c r="W101" s="402">
        <f t="shared" si="34"/>
        <v>30.988789572551667</v>
      </c>
      <c r="X101" s="157">
        <f t="shared" si="35"/>
        <v>45378</v>
      </c>
      <c r="Y101" s="385">
        <f t="shared" si="36"/>
        <v>28.822318188813551</v>
      </c>
      <c r="Z101" s="385">
        <f t="shared" si="37"/>
        <v>30.241227731864608</v>
      </c>
      <c r="AA101" s="386">
        <f t="shared" si="38"/>
        <v>34.868149582681745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0.13269765978964451</v>
      </c>
      <c r="AD101" s="231">
        <f>(INDEX(Models!$BJ101:$BT101,,AH101)*(1-AF101)+INDEX(Models!$BJ101:$BT101,,AH101+1)*AF101-ERP_i)*AE101*Ramure*Pc/MaxiM</f>
        <v>1.6285595918621289E-3</v>
      </c>
      <c r="AE101" s="305">
        <f t="shared" si="40"/>
        <v>0.7</v>
      </c>
      <c r="AF101" s="177">
        <f t="shared" si="41"/>
        <v>0.8170055204874157</v>
      </c>
      <c r="AG101" s="810">
        <f t="shared" si="49"/>
        <v>0</v>
      </c>
      <c r="AH101" s="176">
        <f t="shared" si="42"/>
        <v>6</v>
      </c>
      <c r="AI101" s="225">
        <f t="shared" si="43"/>
        <v>0.8170055204874157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26.688507140338508</v>
      </c>
      <c r="C102" s="840"/>
      <c r="D102" s="393">
        <f t="shared" si="25"/>
        <v>28.003021812561744</v>
      </c>
      <c r="E102" s="385">
        <f t="shared" si="47"/>
        <v>30.034444598180734</v>
      </c>
      <c r="F102" s="385">
        <f t="shared" si="26"/>
        <v>30.054627751398275</v>
      </c>
      <c r="G102" s="110">
        <f t="shared" si="48"/>
        <v>0.59586010419351965</v>
      </c>
      <c r="H102" s="414" t="b">
        <f>Wh_hp&gt;='2023'!Maxi_hp</f>
        <v>0</v>
      </c>
      <c r="I102" s="390">
        <f>IF(H102,Wh_hp,'2023'!Maxi_hp)</f>
        <v>51.787106415664866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4.6941886522888221E-2</v>
      </c>
      <c r="M102" s="844"/>
      <c r="N102" s="844"/>
      <c r="O102" s="48">
        <f>IF(t&lt;Tnet,'2023'!Resal+('2023'!Salim-'2023'!Resal)*(1-EXP(('2023'!Tnet-t)/('2023'!Tau_j))),Resal+(Salim-Resal)*(1-EXP((Tnet-t)/(Tau_j))))*Salcycl</f>
        <v>6.7636435858781874E-2</v>
      </c>
      <c r="P102" s="169">
        <f>(INDEX(Models!$BJ102:$BT102,,T102)*(1-R102)+INDEX(Models!$BJ102:$BT102,,T102+1)*R102-ERP_i)*Q102*Ramure*Pc/MaxiM</f>
        <v>1.5859481023228507E-3</v>
      </c>
      <c r="Q102" s="305">
        <f t="shared" si="28"/>
        <v>0.7</v>
      </c>
      <c r="R102" s="177">
        <f t="shared" si="29"/>
        <v>0.81773574631492485</v>
      </c>
      <c r="S102" s="810">
        <f t="shared" si="30"/>
        <v>0</v>
      </c>
      <c r="T102" s="176">
        <f t="shared" si="31"/>
        <v>6</v>
      </c>
      <c r="U102" s="251">
        <f t="shared" si="32"/>
        <v>0.81773574631492485</v>
      </c>
      <c r="V102" s="383">
        <f t="shared" si="33"/>
        <v>44.748904322477571</v>
      </c>
      <c r="W102" s="402">
        <f t="shared" si="34"/>
        <v>26.688507140338508</v>
      </c>
      <c r="X102" s="157">
        <f t="shared" si="35"/>
        <v>45379</v>
      </c>
      <c r="Y102" s="385">
        <f t="shared" si="36"/>
        <v>24.824255151775546</v>
      </c>
      <c r="Z102" s="385">
        <f t="shared" si="37"/>
        <v>26.046948030490391</v>
      </c>
      <c r="AA102" s="386">
        <f t="shared" si="38"/>
        <v>30.034444598180734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0.13276411869896468</v>
      </c>
      <c r="AD102" s="231">
        <f>(INDEX(Models!$BJ102:$BT102,,AH102)*(1-AF102)+INDEX(Models!$BJ102:$BT102,,AH102+1)*AF102-ERP_i)*AE102*Ramure*Pc/MaxiM</f>
        <v>1.5859481023228507E-3</v>
      </c>
      <c r="AE102" s="305">
        <f t="shared" si="40"/>
        <v>0.7</v>
      </c>
      <c r="AF102" s="177">
        <f t="shared" si="41"/>
        <v>0.81773574631492485</v>
      </c>
      <c r="AG102" s="810">
        <f t="shared" si="49"/>
        <v>0</v>
      </c>
      <c r="AH102" s="176">
        <f t="shared" si="42"/>
        <v>6</v>
      </c>
      <c r="AI102" s="225">
        <f t="shared" si="43"/>
        <v>0.81773574631492485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7.8332333421028135</v>
      </c>
      <c r="C103" s="840"/>
      <c r="D103" s="393">
        <f t="shared" si="25"/>
        <v>8.2192423802462038</v>
      </c>
      <c r="E103" s="385">
        <f t="shared" si="47"/>
        <v>8.8167321802853031</v>
      </c>
      <c r="F103" s="385">
        <f t="shared" si="26"/>
        <v>8.8167321802853031</v>
      </c>
      <c r="G103" s="110">
        <f t="shared" si="48"/>
        <v>0.17322988924545393</v>
      </c>
      <c r="H103" s="414" t="b">
        <f>Wh_hp&gt;='2023'!Maxi_hp</f>
        <v>0</v>
      </c>
      <c r="I103" s="390">
        <f>IF(H103,Wh_hp,'2023'!Maxi_hp)</f>
        <v>50.64313114829168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4.6964065577517089E-2</v>
      </c>
      <c r="M103" s="844"/>
      <c r="N103" s="844"/>
      <c r="O103" s="48">
        <f>IF(t&lt;Tnet,'2023'!Resal+('2023'!Salim-'2023'!Resal)*(1-EXP(('2023'!Tnet-t)/('2023'!Tau_j))),Resal+(Salim-Resal)*(1-EXP((Tnet-t)/(Tau_j))))*Salcycl</f>
        <v>6.7767715727502578E-2</v>
      </c>
      <c r="P103" s="169">
        <f>(INDEX(Models!$BJ103:$BT103,,T103)*(1-R103)+INDEX(Models!$BJ103:$BT103,,T103+1)*R103-ERP_i)*Q103*Ramure*Pc/MaxiM</f>
        <v>1.5407512830047584E-3</v>
      </c>
      <c r="Q103" s="305">
        <f t="shared" si="28"/>
        <v>0.7</v>
      </c>
      <c r="R103" s="177">
        <f t="shared" si="29"/>
        <v>0.81849364579621953</v>
      </c>
      <c r="S103" s="810">
        <f t="shared" si="30"/>
        <v>0</v>
      </c>
      <c r="T103" s="176">
        <f t="shared" si="31"/>
        <v>6</v>
      </c>
      <c r="U103" s="251">
        <f t="shared" si="32"/>
        <v>0.81849364579621953</v>
      </c>
      <c r="V103" s="383">
        <f t="shared" si="33"/>
        <v>45.149046228961581</v>
      </c>
      <c r="W103" s="402">
        <f t="shared" si="34"/>
        <v>7.8332333421028135</v>
      </c>
      <c r="X103" s="157">
        <f t="shared" si="35"/>
        <v>45380</v>
      </c>
      <c r="Y103" s="385">
        <f t="shared" si="36"/>
        <v>7.2865230134419221</v>
      </c>
      <c r="Z103" s="385">
        <f t="shared" si="37"/>
        <v>7.6455910530355622</v>
      </c>
      <c r="AA103" s="386">
        <f t="shared" si="38"/>
        <v>8.8167321802853031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0.13283165500574878</v>
      </c>
      <c r="AD103" s="231">
        <f>(INDEX(Models!$BJ103:$BT103,,AH103)*(1-AF103)+INDEX(Models!$BJ103:$BT103,,AH103+1)*AF103-ERP_i)*AE103*Ramure*Pc/MaxiM</f>
        <v>1.5407512830047584E-3</v>
      </c>
      <c r="AE103" s="305">
        <f t="shared" si="40"/>
        <v>0.7</v>
      </c>
      <c r="AF103" s="177">
        <f t="shared" si="41"/>
        <v>0.81849364579621953</v>
      </c>
      <c r="AG103" s="810">
        <f t="shared" si="49"/>
        <v>0</v>
      </c>
      <c r="AH103" s="176">
        <f t="shared" si="42"/>
        <v>6</v>
      </c>
      <c r="AI103" s="225">
        <f t="shared" si="43"/>
        <v>0.81849364579621953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28.193665452620298</v>
      </c>
      <c r="C104" s="840"/>
      <c r="D104" s="393">
        <f t="shared" si="25"/>
        <v>29.583692028105641</v>
      </c>
      <c r="E104" s="385">
        <f t="shared" si="47"/>
        <v>31.738735956035413</v>
      </c>
      <c r="F104" s="385">
        <f t="shared" si="26"/>
        <v>31.760352141663908</v>
      </c>
      <c r="G104" s="110">
        <f t="shared" si="48"/>
        <v>0.61858987913030306</v>
      </c>
      <c r="H104" s="414" t="b">
        <f>Wh_hp&gt;='2023'!Maxi_hp</f>
        <v>0</v>
      </c>
      <c r="I104" s="390">
        <f>IF(H104,Wh_hp,'2023'!Maxi_hp)</f>
        <v>46.771911898558628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4.6986244116007048E-2</v>
      </c>
      <c r="M104" s="844"/>
      <c r="N104" s="844"/>
      <c r="O104" s="48">
        <f>IF(t&lt;Tnet,'2023'!Resal+('2023'!Salim-'2023'!Resal)*(1-EXP(('2023'!Tnet-t)/('2023'!Tau_j))),Resal+(Salim-Resal)*(1-EXP((Tnet-t)/(Tau_j))))*Salcycl</f>
        <v>6.7899488212603873E-2</v>
      </c>
      <c r="P104" s="169">
        <f>(INDEX(Models!$BJ104:$BT104,,T104)*(1-R104)+INDEX(Models!$BJ104:$BT104,,T104+1)*R104-ERP_i)*Q104*Ramure*Pc/MaxiM</f>
        <v>1.4930496162112636E-3</v>
      </c>
      <c r="Q104" s="305">
        <f t="shared" si="28"/>
        <v>0.7</v>
      </c>
      <c r="R104" s="177">
        <f t="shared" si="29"/>
        <v>0.81928014538315086</v>
      </c>
      <c r="S104" s="810">
        <f t="shared" si="30"/>
        <v>0</v>
      </c>
      <c r="T104" s="176">
        <f t="shared" si="31"/>
        <v>6</v>
      </c>
      <c r="U104" s="251">
        <f t="shared" si="32"/>
        <v>0.81928014538315086</v>
      </c>
      <c r="V104" s="383">
        <f t="shared" si="33"/>
        <v>45.540260113861279</v>
      </c>
      <c r="W104" s="402">
        <f t="shared" si="34"/>
        <v>28.193665452620298</v>
      </c>
      <c r="X104" s="157">
        <f t="shared" si="35"/>
        <v>45381</v>
      </c>
      <c r="Y104" s="385">
        <f t="shared" si="36"/>
        <v>26.227555950453063</v>
      </c>
      <c r="Z104" s="385">
        <f t="shared" si="37"/>
        <v>27.520647827506963</v>
      </c>
      <c r="AA104" s="386">
        <f t="shared" si="38"/>
        <v>31.738735956035413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0.13290031885237524</v>
      </c>
      <c r="AD104" s="231">
        <f>(INDEX(Models!$BJ104:$BT104,,AH104)*(1-AF104)+INDEX(Models!$BJ104:$BT104,,AH104+1)*AF104-ERP_i)*AE104*Ramure*Pc/MaxiM</f>
        <v>1.4930496162112636E-3</v>
      </c>
      <c r="AE104" s="305">
        <f t="shared" si="40"/>
        <v>0.7</v>
      </c>
      <c r="AF104" s="177">
        <f t="shared" si="41"/>
        <v>0.81928014538315086</v>
      </c>
      <c r="AG104" s="810">
        <f t="shared" si="49"/>
        <v>0</v>
      </c>
      <c r="AH104" s="176">
        <f t="shared" si="42"/>
        <v>6</v>
      </c>
      <c r="AI104" s="225">
        <f t="shared" si="43"/>
        <v>0.81928014538315086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32.222627470643289</v>
      </c>
      <c r="C105" s="840"/>
      <c r="D105" s="393">
        <f t="shared" si="25"/>
        <v>33.812080000692163</v>
      </c>
      <c r="E105" s="385">
        <f t="shared" si="47"/>
        <v>36.280292953518746</v>
      </c>
      <c r="F105" s="385">
        <f t="shared" si="26"/>
        <v>36.310358572345052</v>
      </c>
      <c r="G105" s="110">
        <f t="shared" si="48"/>
        <v>0.70126523207802149</v>
      </c>
      <c r="H105" s="414" t="b">
        <f>Wh_hp&gt;='2023'!Maxi_hp</f>
        <v>0</v>
      </c>
      <c r="I105" s="390">
        <f>IF(H105,Wh_hp,'2023'!Maxi_hp)</f>
        <v>47.56351472577898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4.7008422138369865E-2</v>
      </c>
      <c r="M105" s="844"/>
      <c r="N105" s="844"/>
      <c r="O105" s="48">
        <f>IF(t&lt;Tnet,'2023'!Resal+('2023'!Salim-'2023'!Resal)*(1-EXP(('2023'!Tnet-t)/('2023'!Tau_j))),Resal+(Salim-Resal)*(1-EXP((Tnet-t)/(Tau_j))))*Salcycl</f>
        <v>6.8031781220421417E-2</v>
      </c>
      <c r="P105" s="169">
        <f>(INDEX(Models!$BJ105:$BT105,,T105)*(1-R105)+INDEX(Models!$BJ105:$BT105,,T105+1)*R105-ERP_i)*Q105*Ramure*Pc/MaxiM</f>
        <v>1.4429091895590879E-3</v>
      </c>
      <c r="Q105" s="305">
        <f t="shared" si="28"/>
        <v>0.7</v>
      </c>
      <c r="R105" s="177">
        <f t="shared" si="29"/>
        <v>0.82009619263857902</v>
      </c>
      <c r="S105" s="810">
        <f t="shared" si="30"/>
        <v>0</v>
      </c>
      <c r="T105" s="176">
        <f t="shared" si="31"/>
        <v>6</v>
      </c>
      <c r="U105" s="251">
        <f t="shared" si="32"/>
        <v>0.82009619263857902</v>
      </c>
      <c r="V105" s="383">
        <f t="shared" si="33"/>
        <v>45.920995592037272</v>
      </c>
      <c r="W105" s="402">
        <f t="shared" si="34"/>
        <v>32.222627470643289</v>
      </c>
      <c r="X105" s="157">
        <f t="shared" si="35"/>
        <v>45382</v>
      </c>
      <c r="Y105" s="385">
        <f t="shared" si="36"/>
        <v>29.977395139771016</v>
      </c>
      <c r="Z105" s="385">
        <f t="shared" si="37"/>
        <v>31.456096607942523</v>
      </c>
      <c r="AA105" s="386">
        <f t="shared" si="38"/>
        <v>36.280292953518746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0.13297015963340872</v>
      </c>
      <c r="AD105" s="231">
        <f>(INDEX(Models!$BJ105:$BT105,,AH105)*(1-AF105)+INDEX(Models!$BJ105:$BT105,,AH105+1)*AF105-ERP_i)*AE105*Ramure*Pc/MaxiM</f>
        <v>1.4429091895590879E-3</v>
      </c>
      <c r="AE105" s="305">
        <f t="shared" si="40"/>
        <v>0.7</v>
      </c>
      <c r="AF105" s="177">
        <f t="shared" si="41"/>
        <v>0.82009619263857902</v>
      </c>
      <c r="AG105" s="810">
        <f t="shared" si="49"/>
        <v>0</v>
      </c>
      <c r="AH105" s="176">
        <f t="shared" si="42"/>
        <v>6</v>
      </c>
      <c r="AI105" s="225">
        <f t="shared" si="43"/>
        <v>0.82009619263857902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20.500485902105222</v>
      </c>
      <c r="C106" s="840"/>
      <c r="D106" s="393">
        <f t="shared" si="25"/>
        <v>21.512218434778877</v>
      </c>
      <c r="E106" s="385">
        <f t="shared" si="47"/>
        <v>23.08585717043989</v>
      </c>
      <c r="F106" s="385">
        <f t="shared" si="26"/>
        <v>23.092410425686985</v>
      </c>
      <c r="G106" s="110">
        <f t="shared" si="48"/>
        <v>0.44238334148825642</v>
      </c>
      <c r="H106" s="414" t="b">
        <f>Wh_hp&gt;='2023'!Maxi_hp</f>
        <v>0</v>
      </c>
      <c r="I106" s="390">
        <f>IF(H106,Wh_hp,'2023'!Maxi_hp)</f>
        <v>43.51711445287431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4.7030599644617865E-2</v>
      </c>
      <c r="M106" s="844"/>
      <c r="N106" s="844"/>
      <c r="O106" s="48">
        <f>IF(t&lt;Tnet,'2023'!Resal+('2023'!Salim-'2023'!Resal)*(1-EXP(('2023'!Tnet-t)/('2023'!Tau_j))),Resal+(Salim-Resal)*(1-EXP((Tnet-t)/(Tau_j))))*Salcycl</f>
        <v>6.8164622350517151E-2</v>
      </c>
      <c r="P106" s="169">
        <f>(INDEX(Models!$BJ106:$BT106,,T106)*(1-R106)+INDEX(Models!$BJ106:$BT106,,T106+1)*R106-ERP_i)*Q106*Ramure*Pc/MaxiM</f>
        <v>1.3903814970626345E-3</v>
      </c>
      <c r="Q106" s="305">
        <f t="shared" si="28"/>
        <v>0.7</v>
      </c>
      <c r="R106" s="177">
        <f t="shared" si="29"/>
        <v>0.82094275587813059</v>
      </c>
      <c r="S106" s="810">
        <f t="shared" si="30"/>
        <v>0</v>
      </c>
      <c r="T106" s="176">
        <f t="shared" si="31"/>
        <v>6</v>
      </c>
      <c r="U106" s="251">
        <f t="shared" si="32"/>
        <v>0.82094275587813059</v>
      </c>
      <c r="V106" s="383">
        <f t="shared" si="33"/>
        <v>46.28970341861308</v>
      </c>
      <c r="W106" s="402">
        <f t="shared" si="34"/>
        <v>20.500485902105222</v>
      </c>
      <c r="X106" s="157">
        <f t="shared" si="35"/>
        <v>45383</v>
      </c>
      <c r="Y106" s="385">
        <f t="shared" si="36"/>
        <v>19.073193133428127</v>
      </c>
      <c r="Z106" s="385">
        <f t="shared" si="37"/>
        <v>20.014486431899424</v>
      </c>
      <c r="AA106" s="386">
        <f t="shared" si="38"/>
        <v>23.08585717043989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0.1330412258840957</v>
      </c>
      <c r="AD106" s="231">
        <f>(INDEX(Models!$BJ106:$BT106,,AH106)*(1-AF106)+INDEX(Models!$BJ106:$BT106,,AH106+1)*AF106-ERP_i)*AE106*Ramure*Pc/MaxiM</f>
        <v>1.3903814970626345E-3</v>
      </c>
      <c r="AE106" s="305">
        <f t="shared" si="40"/>
        <v>0.7</v>
      </c>
      <c r="AF106" s="177">
        <f t="shared" si="41"/>
        <v>0.82094275587813059</v>
      </c>
      <c r="AG106" s="810">
        <f t="shared" si="49"/>
        <v>0</v>
      </c>
      <c r="AH106" s="176">
        <f t="shared" si="42"/>
        <v>6</v>
      </c>
      <c r="AI106" s="225">
        <f t="shared" si="43"/>
        <v>0.82094275587813059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21.478788652561352</v>
      </c>
      <c r="C107" s="840"/>
      <c r="D107" s="393">
        <f t="shared" si="25"/>
        <v>22.53932655022717</v>
      </c>
      <c r="E107" s="385">
        <f t="shared" si="47"/>
        <v>24.191562849240533</v>
      </c>
      <c r="F107" s="385">
        <f t="shared" si="26"/>
        <v>24.198969198860965</v>
      </c>
      <c r="G107" s="110">
        <f t="shared" si="48"/>
        <v>0.45996068617827918</v>
      </c>
      <c r="H107" s="414" t="b">
        <f>Wh_hp&gt;='2023'!Maxi_hp</f>
        <v>0</v>
      </c>
      <c r="I107" s="390">
        <f>IF(H107,Wh_hp,'2023'!Maxi_hp)</f>
        <v>53.130196848122523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4.7052776634762816E-2</v>
      </c>
      <c r="M107" s="844"/>
      <c r="N107" s="844"/>
      <c r="O107" s="48">
        <f>IF(t&lt;Tnet,'2023'!Resal+('2023'!Salim-'2023'!Resal)*(1-EXP(('2023'!Tnet-t)/('2023'!Tau_j))),Resal+(Salim-Resal)*(1-EXP((Tnet-t)/(Tau_j))))*Salcycl</f>
        <v>6.8298038837339356E-2</v>
      </c>
      <c r="P107" s="169">
        <f>(INDEX(Models!$BJ107:$BT107,,T107)*(1-R107)+INDEX(Models!$BJ107:$BT107,,T107+1)*R107-ERP_i)*Q107*Ramure*Pc/MaxiM</f>
        <v>1.3353862196913426E-3</v>
      </c>
      <c r="Q107" s="305">
        <f t="shared" si="28"/>
        <v>0.7</v>
      </c>
      <c r="R107" s="177">
        <f t="shared" si="29"/>
        <v>0.8218208237219814</v>
      </c>
      <c r="S107" s="810">
        <f t="shared" si="30"/>
        <v>0</v>
      </c>
      <c r="T107" s="176">
        <f t="shared" si="31"/>
        <v>6</v>
      </c>
      <c r="U107" s="251">
        <f t="shared" si="32"/>
        <v>0.8218208237219814</v>
      </c>
      <c r="V107" s="383">
        <f t="shared" si="33"/>
        <v>46.648928614931293</v>
      </c>
      <c r="W107" s="402">
        <f t="shared" si="34"/>
        <v>21.478788652561352</v>
      </c>
      <c r="X107" s="157">
        <f t="shared" si="35"/>
        <v>45384</v>
      </c>
      <c r="Y107" s="385">
        <f t="shared" si="36"/>
        <v>19.984578004071</v>
      </c>
      <c r="Z107" s="385">
        <f t="shared" si="37"/>
        <v>20.971337671248442</v>
      </c>
      <c r="AA107" s="386">
        <f t="shared" si="38"/>
        <v>24.191562849240533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0.13311356517395007</v>
      </c>
      <c r="AD107" s="231">
        <f>(INDEX(Models!$BJ107:$BT107,,AH107)*(1-AF107)+INDEX(Models!$BJ107:$BT107,,AH107+1)*AF107-ERP_i)*AE107*Ramure*Pc/MaxiM</f>
        <v>1.3353862196913426E-3</v>
      </c>
      <c r="AE107" s="305">
        <f t="shared" si="40"/>
        <v>0.7</v>
      </c>
      <c r="AF107" s="177">
        <f t="shared" si="41"/>
        <v>0.8218208237219814</v>
      </c>
      <c r="AG107" s="810">
        <f t="shared" si="49"/>
        <v>0</v>
      </c>
      <c r="AH107" s="176">
        <f t="shared" si="42"/>
        <v>6</v>
      </c>
      <c r="AI107" s="225">
        <f t="shared" si="43"/>
        <v>0.8218208237219814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42.956336987246004</v>
      </c>
      <c r="C108" s="840"/>
      <c r="D108" s="393">
        <f t="shared" si="25"/>
        <v>45.078400580808001</v>
      </c>
      <c r="E108" s="385">
        <f t="shared" si="47"/>
        <v>48.389815196448858</v>
      </c>
      <c r="F108" s="385">
        <f t="shared" si="26"/>
        <v>48.444128669714793</v>
      </c>
      <c r="G108" s="110">
        <f t="shared" si="48"/>
        <v>0.91377878230785015</v>
      </c>
      <c r="H108" s="414" t="b">
        <f>Wh_hp&gt;='2023'!Maxi_hp</f>
        <v>0</v>
      </c>
      <c r="I108" s="390">
        <f>IF(H108,Wh_hp,'2023'!Maxi_hp)</f>
        <v>54.788293499905031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4.7074953108816819E-2</v>
      </c>
      <c r="M108" s="844"/>
      <c r="N108" s="844"/>
      <c r="O108" s="48">
        <f>IF(t&lt;Tnet,'2023'!Resal+('2023'!Salim-'2023'!Resal)*(1-EXP(('2023'!Tnet-t)/('2023'!Tau_j))),Resal+(Salim-Resal)*(1-EXP((Tnet-t)/(Tau_j))))*Salcycl</f>
        <v>6.8432057493864232E-2</v>
      </c>
      <c r="P108" s="169">
        <f>(INDEX(Models!$BJ108:$BT108,,T108)*(1-R108)+INDEX(Models!$BJ108:$BT108,,T108+1)*R108-ERP_i)*Q108*Ramure*Pc/MaxiM</f>
        <v>1.2783531324374103E-3</v>
      </c>
      <c r="Q108" s="305">
        <f t="shared" si="28"/>
        <v>0.7</v>
      </c>
      <c r="R108" s="177">
        <f t="shared" si="29"/>
        <v>0.8227314045498636</v>
      </c>
      <c r="S108" s="810">
        <f t="shared" si="30"/>
        <v>0</v>
      </c>
      <c r="T108" s="176">
        <f t="shared" si="31"/>
        <v>6</v>
      </c>
      <c r="U108" s="251">
        <f t="shared" si="32"/>
        <v>0.8227314045498636</v>
      </c>
      <c r="V108" s="383">
        <f t="shared" si="33"/>
        <v>47.002160335703088</v>
      </c>
      <c r="W108" s="402">
        <f t="shared" si="34"/>
        <v>42.956336987246004</v>
      </c>
      <c r="X108" s="157">
        <f t="shared" si="35"/>
        <v>45385</v>
      </c>
      <c r="Y108" s="385">
        <f t="shared" si="36"/>
        <v>39.970355367014882</v>
      </c>
      <c r="Z108" s="385">
        <f t="shared" si="37"/>
        <v>41.944910040316316</v>
      </c>
      <c r="AA108" s="386">
        <f t="shared" si="38"/>
        <v>48.389815196448858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0.13318722400505278</v>
      </c>
      <c r="AD108" s="231">
        <f>(INDEX(Models!$BJ108:$BT108,,AH108)*(1-AF108)+INDEX(Models!$BJ108:$BT108,,AH108+1)*AF108-ERP_i)*AE108*Ramure*Pc/MaxiM</f>
        <v>1.2783531324374103E-3</v>
      </c>
      <c r="AE108" s="305">
        <f t="shared" si="40"/>
        <v>0.7</v>
      </c>
      <c r="AF108" s="177">
        <f t="shared" si="41"/>
        <v>0.8227314045498636</v>
      </c>
      <c r="AG108" s="810">
        <f t="shared" si="49"/>
        <v>0</v>
      </c>
      <c r="AH108" s="176">
        <f t="shared" si="42"/>
        <v>6</v>
      </c>
      <c r="AI108" s="225">
        <f t="shared" si="43"/>
        <v>0.8227314045498636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48.201495076635986</v>
      </c>
      <c r="C109" s="840"/>
      <c r="D109" s="393">
        <f t="shared" si="25"/>
        <v>50.583849148686816</v>
      </c>
      <c r="E109" s="385">
        <f t="shared" si="47"/>
        <v>54.30753807234229</v>
      </c>
      <c r="F109" s="385">
        <f t="shared" si="26"/>
        <v>54.373965155861001</v>
      </c>
      <c r="G109" s="110">
        <f t="shared" si="48"/>
        <v>1.0180004045115794</v>
      </c>
      <c r="H109" s="414" t="b">
        <f>Wh_hp&gt;='2023'!Maxi_hp</f>
        <v>0</v>
      </c>
      <c r="I109" s="390">
        <f>IF(H109,Wh_hp,'2023'!Maxi_hp)</f>
        <v>55.766032914356472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4.7097129066791865E-2</v>
      </c>
      <c r="M109" s="844"/>
      <c r="N109" s="844"/>
      <c r="O109" s="48">
        <f>IF(t&lt;Tnet,'2023'!Resal+('2023'!Salim-'2023'!Resal)*(1-EXP(('2023'!Tnet-t)/('2023'!Tau_j))),Resal+(Salim-Resal)*(1-EXP((Tnet-t)/(Tau_j))))*Salcycl</f>
        <v>6.8566704657007316E-2</v>
      </c>
      <c r="P109" s="169">
        <f>(INDEX(Models!$BJ109:$BT109,,T109)*(1-R109)+INDEX(Models!$BJ109:$BT109,,T109+1)*R109-ERP_i)*Q109*Ramure*Pc/MaxiM</f>
        <v>1.2216707633571351E-3</v>
      </c>
      <c r="Q109" s="305">
        <f t="shared" si="28"/>
        <v>0.7</v>
      </c>
      <c r="R109" s="177">
        <f t="shared" si="29"/>
        <v>0.82367552585227855</v>
      </c>
      <c r="S109" s="810">
        <f t="shared" si="30"/>
        <v>0</v>
      </c>
      <c r="T109" s="176">
        <f t="shared" si="31"/>
        <v>6</v>
      </c>
      <c r="U109" s="251">
        <f t="shared" si="32"/>
        <v>0.82367552585227855</v>
      </c>
      <c r="V109" s="383">
        <f t="shared" si="33"/>
        <v>47.349190494440222</v>
      </c>
      <c r="W109" s="402">
        <f t="shared" si="34"/>
        <v>48.201495076635986</v>
      </c>
      <c r="X109" s="157">
        <f t="shared" si="35"/>
        <v>45386</v>
      </c>
      <c r="Y109" s="385">
        <f t="shared" si="36"/>
        <v>44.853513083977404</v>
      </c>
      <c r="Z109" s="385">
        <f t="shared" si="37"/>
        <v>47.070393480975589</v>
      </c>
      <c r="AA109" s="386">
        <f t="shared" si="38"/>
        <v>54.30753807234229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0.13326224771460279</v>
      </c>
      <c r="AD109" s="231">
        <f>(INDEX(Models!$BJ109:$BT109,,AH109)*(1-AF109)+INDEX(Models!$BJ109:$BT109,,AH109+1)*AF109-ERP_i)*AE109*Ramure*Pc/MaxiM</f>
        <v>1.2216707633571351E-3</v>
      </c>
      <c r="AE109" s="305">
        <f t="shared" si="40"/>
        <v>0.7</v>
      </c>
      <c r="AF109" s="177">
        <f t="shared" si="41"/>
        <v>0.82367552585227855</v>
      </c>
      <c r="AG109" s="810">
        <f t="shared" si="49"/>
        <v>0</v>
      </c>
      <c r="AH109" s="176">
        <f t="shared" si="42"/>
        <v>6</v>
      </c>
      <c r="AI109" s="225">
        <f t="shared" si="43"/>
        <v>0.82367552585227855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11.377944647371313</v>
      </c>
      <c r="C110" s="840"/>
      <c r="D110" s="393">
        <f t="shared" si="25"/>
        <v>11.940576297964466</v>
      </c>
      <c r="E110" s="385">
        <f t="shared" si="47"/>
        <v>12.821434574774351</v>
      </c>
      <c r="F110" s="385">
        <f t="shared" si="26"/>
        <v>12.821434574774351</v>
      </c>
      <c r="G110" s="110">
        <f t="shared" si="48"/>
        <v>0.23830371397090314</v>
      </c>
      <c r="H110" s="414" t="b">
        <f>Wh_hp&gt;='2023'!Maxi_hp</f>
        <v>0</v>
      </c>
      <c r="I110" s="390">
        <f>IF(H110,Wh_hp,'2023'!Maxi_hp)</f>
        <v>56.273634835365598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4.7119304508699944E-2</v>
      </c>
      <c r="M110" s="844"/>
      <c r="N110" s="844"/>
      <c r="O110" s="48">
        <f>IF(t&lt;Tnet,'2023'!Resal+('2023'!Salim-'2023'!Resal)*(1-EXP(('2023'!Tnet-t)/('2023'!Tau_j))),Resal+(Salim-Resal)*(1-EXP((Tnet-t)/(Tau_j))))*Salcycl</f>
        <v>6.8702006134550436E-2</v>
      </c>
      <c r="P110" s="169">
        <f>(INDEX(Models!$BJ110:$BT110,,T110)*(1-R110)+INDEX(Models!$BJ110:$BT110,,T110+1)*R110-ERP_i)*Q110*Ramure*Pc/MaxiM</f>
        <v>1.1652966094875966E-3</v>
      </c>
      <c r="Q110" s="305">
        <f t="shared" si="28"/>
        <v>0.7</v>
      </c>
      <c r="R110" s="177">
        <f t="shared" si="29"/>
        <v>0.82465423347071065</v>
      </c>
      <c r="S110" s="810">
        <f t="shared" si="30"/>
        <v>0</v>
      </c>
      <c r="T110" s="176">
        <f t="shared" si="31"/>
        <v>6</v>
      </c>
      <c r="U110" s="251">
        <f t="shared" si="32"/>
        <v>0.82465423347071065</v>
      </c>
      <c r="V110" s="383">
        <f t="shared" si="33"/>
        <v>47.68992382736603</v>
      </c>
      <c r="W110" s="402">
        <f t="shared" si="34"/>
        <v>11.377944647371313</v>
      </c>
      <c r="X110" s="157">
        <f t="shared" si="35"/>
        <v>45387</v>
      </c>
      <c r="Y110" s="385">
        <f t="shared" si="36"/>
        <v>10.588259169025319</v>
      </c>
      <c r="Z110" s="385">
        <f t="shared" si="37"/>
        <v>11.111841407980325</v>
      </c>
      <c r="AA110" s="386">
        <f t="shared" si="38"/>
        <v>12.821434574774351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0.13333868038117819</v>
      </c>
      <c r="AD110" s="231">
        <f>(INDEX(Models!$BJ110:$BT110,,AH110)*(1-AF110)+INDEX(Models!$BJ110:$BT110,,AH110+1)*AF110-ERP_i)*AE110*Ramure*Pc/MaxiM</f>
        <v>1.1652966094875966E-3</v>
      </c>
      <c r="AE110" s="305">
        <f t="shared" si="40"/>
        <v>0.7</v>
      </c>
      <c r="AF110" s="177">
        <f t="shared" si="41"/>
        <v>0.82465423347071065</v>
      </c>
      <c r="AG110" s="810">
        <f t="shared" si="49"/>
        <v>0</v>
      </c>
      <c r="AH110" s="176">
        <f t="shared" si="42"/>
        <v>6</v>
      </c>
      <c r="AI110" s="225">
        <f t="shared" si="43"/>
        <v>0.82465423347071065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34.430419155503543</v>
      </c>
      <c r="C111" s="840"/>
      <c r="D111" s="393">
        <f t="shared" si="25"/>
        <v>36.13382093185438</v>
      </c>
      <c r="E111" s="385">
        <f t="shared" si="47"/>
        <v>38.805084865293956</v>
      </c>
      <c r="F111" s="385">
        <f t="shared" si="26"/>
        <v>38.830738815924086</v>
      </c>
      <c r="G111" s="110">
        <f t="shared" si="48"/>
        <v>0.71661619025732559</v>
      </c>
      <c r="H111" s="414" t="b">
        <f>Wh_hp&gt;='2023'!Maxi_hp</f>
        <v>0</v>
      </c>
      <c r="I111" s="390">
        <f>IF(H111,Wh_hp,'2023'!Maxi_hp)</f>
        <v>55.325751817582876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4.7141479434553157E-2</v>
      </c>
      <c r="M111" s="844"/>
      <c r="N111" s="844"/>
      <c r="O111" s="48">
        <f>IF(t&lt;Tnet,'2023'!Resal+('2023'!Salim-'2023'!Resal)*(1-EXP(('2023'!Tnet-t)/('2023'!Tau_j))),Resal+(Salim-Resal)*(1-EXP((Tnet-t)/(Tau_j))))*Salcycl</f>
        <v>6.8837987153293631E-2</v>
      </c>
      <c r="P111" s="169">
        <f>(INDEX(Models!$BJ111:$BT111,,T111)*(1-R111)+INDEX(Models!$BJ111:$BT111,,T111+1)*R111-ERP_i)*Q111*Ramure*Pc/MaxiM</f>
        <v>1.109188081529172E-3</v>
      </c>
      <c r="Q111" s="305">
        <f t="shared" si="28"/>
        <v>0.7</v>
      </c>
      <c r="R111" s="177">
        <f t="shared" si="29"/>
        <v>0.82566859071946985</v>
      </c>
      <c r="S111" s="810">
        <f t="shared" si="30"/>
        <v>0</v>
      </c>
      <c r="T111" s="176">
        <f t="shared" si="31"/>
        <v>6</v>
      </c>
      <c r="U111" s="251">
        <f t="shared" si="32"/>
        <v>0.82566859071946985</v>
      </c>
      <c r="V111" s="383">
        <f t="shared" si="33"/>
        <v>48.024265199433202</v>
      </c>
      <c r="W111" s="402">
        <f t="shared" si="34"/>
        <v>34.430419155503543</v>
      </c>
      <c r="X111" s="157">
        <f t="shared" si="35"/>
        <v>45388</v>
      </c>
      <c r="Y111" s="385">
        <f t="shared" si="36"/>
        <v>32.042577443859827</v>
      </c>
      <c r="Z111" s="385">
        <f t="shared" si="37"/>
        <v>33.62784374835109</v>
      </c>
      <c r="AA111" s="386">
        <f t="shared" si="38"/>
        <v>38.805084865293956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0.13341656473410346</v>
      </c>
      <c r="AD111" s="231">
        <f>(INDEX(Models!$BJ111:$BT111,,AH111)*(1-AF111)+INDEX(Models!$BJ111:$BT111,,AH111+1)*AF111-ERP_i)*AE111*Ramure*Pc/MaxiM</f>
        <v>1.109188081529172E-3</v>
      </c>
      <c r="AE111" s="305">
        <f t="shared" si="40"/>
        <v>0.7</v>
      </c>
      <c r="AF111" s="177">
        <f t="shared" si="41"/>
        <v>0.82566859071946985</v>
      </c>
      <c r="AG111" s="810">
        <f t="shared" si="49"/>
        <v>0</v>
      </c>
      <c r="AH111" s="176">
        <f t="shared" si="42"/>
        <v>6</v>
      </c>
      <c r="AI111" s="225">
        <f t="shared" si="43"/>
        <v>0.82566859071946985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27.430187856098581</v>
      </c>
      <c r="C112" s="840"/>
      <c r="D112" s="393">
        <f t="shared" si="25"/>
        <v>28.787931911675969</v>
      </c>
      <c r="E112" s="385">
        <f t="shared" si="47"/>
        <v>30.920675362338777</v>
      </c>
      <c r="F112" s="385">
        <f t="shared" si="26"/>
        <v>30.933117033489168</v>
      </c>
      <c r="G112" s="110">
        <f t="shared" si="48"/>
        <v>0.56693111598341661</v>
      </c>
      <c r="H112" s="414" t="b">
        <f>Wh_hp&gt;='2023'!Maxi_hp</f>
        <v>0</v>
      </c>
      <c r="I112" s="390">
        <f>IF(H112,Wh_hp,'2023'!Maxi_hp)</f>
        <v>53.843386079314278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4.7163653844363385E-2</v>
      </c>
      <c r="M112" s="844"/>
      <c r="N112" s="844"/>
      <c r="O112" s="48">
        <f>IF(t&lt;Tnet,'2023'!Resal+('2023'!Salim-'2023'!Resal)*(1-EXP(('2023'!Tnet-t)/('2023'!Tau_j))),Resal+(Salim-Resal)*(1-EXP((Tnet-t)/(Tau_j))))*Salcycl</f>
        <v>6.8974672308111329E-2</v>
      </c>
      <c r="P112" s="169">
        <f>(INDEX(Models!$BJ112:$BT112,,T112)*(1-R112)+INDEX(Models!$BJ112:$BT112,,T112+1)*R112-ERP_i)*Q112*Ramure*Pc/MaxiM</f>
        <v>1.0533024476477584E-3</v>
      </c>
      <c r="Q112" s="305">
        <f t="shared" si="28"/>
        <v>0.7</v>
      </c>
      <c r="R112" s="177">
        <f t="shared" si="29"/>
        <v>0.82671967738166474</v>
      </c>
      <c r="S112" s="810">
        <f t="shared" si="30"/>
        <v>0</v>
      </c>
      <c r="T112" s="176">
        <f t="shared" si="31"/>
        <v>6</v>
      </c>
      <c r="U112" s="251">
        <f t="shared" si="32"/>
        <v>0.82671967738166474</v>
      </c>
      <c r="V112" s="383">
        <f t="shared" si="33"/>
        <v>48.352119620915737</v>
      </c>
      <c r="W112" s="402">
        <f t="shared" si="34"/>
        <v>27.430187856098581</v>
      </c>
      <c r="X112" s="157">
        <f t="shared" si="35"/>
        <v>45389</v>
      </c>
      <c r="Y112" s="385">
        <f t="shared" si="36"/>
        <v>25.52924005423759</v>
      </c>
      <c r="Z112" s="385">
        <f t="shared" si="37"/>
        <v>26.792890675549057</v>
      </c>
      <c r="AA112" s="386">
        <f t="shared" si="38"/>
        <v>30.920675362338777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0.13349594206526744</v>
      </c>
      <c r="AD112" s="231">
        <f>(INDEX(Models!$BJ112:$BT112,,AH112)*(1-AF112)+INDEX(Models!$BJ112:$BT112,,AH112+1)*AF112-ERP_i)*AE112*Ramure*Pc/MaxiM</f>
        <v>1.0533024476477584E-3</v>
      </c>
      <c r="AE112" s="305">
        <f t="shared" si="40"/>
        <v>0.7</v>
      </c>
      <c r="AF112" s="177">
        <f t="shared" si="41"/>
        <v>0.82671967738166474</v>
      </c>
      <c r="AG112" s="810">
        <f t="shared" si="49"/>
        <v>0</v>
      </c>
      <c r="AH112" s="176">
        <f t="shared" si="42"/>
        <v>6</v>
      </c>
      <c r="AI112" s="225">
        <f t="shared" si="43"/>
        <v>0.82671967738166474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35.84727937121415</v>
      </c>
      <c r="C113" s="840"/>
      <c r="D113" s="393">
        <f t="shared" si="25"/>
        <v>37.622529570605941</v>
      </c>
      <c r="E113" s="385">
        <f t="shared" si="47"/>
        <v>40.415746068936159</v>
      </c>
      <c r="F113" s="385">
        <f t="shared" si="26"/>
        <v>40.440902458260794</v>
      </c>
      <c r="G113" s="110">
        <f t="shared" si="48"/>
        <v>0.73620939736141655</v>
      </c>
      <c r="H113" s="414" t="b">
        <f>Wh_hp&gt;='2023'!Maxi_hp</f>
        <v>0</v>
      </c>
      <c r="I113" s="390">
        <f>IF(H113,Wh_hp,'2023'!Maxi_hp)</f>
        <v>46.323967550802834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4.7185827738142727E-2</v>
      </c>
      <c r="M113" s="844"/>
      <c r="N113" s="844"/>
      <c r="O113" s="48">
        <f>IF(t&lt;Tnet,'2023'!Resal+('2023'!Salim-'2023'!Resal)*(1-EXP(('2023'!Tnet-t)/('2023'!Tau_j))),Resal+(Salim-Resal)*(1-EXP((Tnet-t)/(Tau_j))))*Salcycl</f>
        <v>6.9112085511570123E-2</v>
      </c>
      <c r="P113" s="169">
        <f>(INDEX(Models!$BJ113:$BT113,,T113)*(1-R113)+INDEX(Models!$BJ113:$BT113,,T113+1)*R113-ERP_i)*Q113*Ramure*Pc/MaxiM</f>
        <v>9.9759678029026004E-4</v>
      </c>
      <c r="Q113" s="305">
        <f t="shared" si="28"/>
        <v>0.7</v>
      </c>
      <c r="R113" s="177">
        <f t="shared" si="29"/>
        <v>0.82780858857171757</v>
      </c>
      <c r="S113" s="810">
        <f t="shared" si="30"/>
        <v>0</v>
      </c>
      <c r="T113" s="176">
        <f t="shared" si="31"/>
        <v>6</v>
      </c>
      <c r="U113" s="251">
        <f t="shared" si="32"/>
        <v>0.82780858857171757</v>
      </c>
      <c r="V113" s="383">
        <f t="shared" si="33"/>
        <v>48.673392246158983</v>
      </c>
      <c r="W113" s="402">
        <f t="shared" si="34"/>
        <v>35.84727937121415</v>
      </c>
      <c r="X113" s="157">
        <f t="shared" si="35"/>
        <v>45390</v>
      </c>
      <c r="Y113" s="385">
        <f t="shared" si="36"/>
        <v>33.364825293704492</v>
      </c>
      <c r="Z113" s="385">
        <f t="shared" si="37"/>
        <v>35.017137932048939</v>
      </c>
      <c r="AA113" s="386">
        <f t="shared" si="38"/>
        <v>40.415746068936159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0.13357685214270068</v>
      </c>
      <c r="AD113" s="231">
        <f>(INDEX(Models!$BJ113:$BT113,,AH113)*(1-AF113)+INDEX(Models!$BJ113:$BT113,,AH113+1)*AF113-ERP_i)*AE113*Ramure*Pc/MaxiM</f>
        <v>9.9759678029026004E-4</v>
      </c>
      <c r="AE113" s="305">
        <f t="shared" si="40"/>
        <v>0.7</v>
      </c>
      <c r="AF113" s="177">
        <f t="shared" si="41"/>
        <v>0.82780858857171757</v>
      </c>
      <c r="AG113" s="810">
        <f t="shared" si="49"/>
        <v>0</v>
      </c>
      <c r="AH113" s="176">
        <f t="shared" si="42"/>
        <v>6</v>
      </c>
      <c r="AI113" s="225">
        <f t="shared" si="43"/>
        <v>0.82780858857171757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48.873972382299364</v>
      </c>
      <c r="C114" s="840"/>
      <c r="D114" s="393">
        <f t="shared" si="25"/>
        <v>51.295531909944899</v>
      </c>
      <c r="E114" s="385">
        <f t="shared" si="47"/>
        <v>55.112055530334388</v>
      </c>
      <c r="F114" s="385">
        <f t="shared" si="26"/>
        <v>55.163916098631901</v>
      </c>
      <c r="G114" s="110">
        <f t="shared" si="48"/>
        <v>0.99767066458960041</v>
      </c>
      <c r="H114" s="414" t="b">
        <f>Wh_hp&gt;='2023'!Maxi_hp</f>
        <v>0</v>
      </c>
      <c r="I114" s="390">
        <f>IF(H114,Wh_hp,'2023'!Maxi_hp)</f>
        <v>55.540517907478055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4.7208001115903286E-2</v>
      </c>
      <c r="M114" s="844"/>
      <c r="N114" s="844"/>
      <c r="O114" s="48">
        <f>IF(t&lt;Tnet,'2023'!Resal+('2023'!Salim-'2023'!Resal)*(1-EXP(('2023'!Tnet-t)/('2023'!Tau_j))),Resal+(Salim-Resal)*(1-EXP((Tnet-t)/(Tau_j))))*Salcycl</f>
        <v>6.925024994375005E-2</v>
      </c>
      <c r="P114" s="169">
        <f>(INDEX(Models!$BJ114:$BT114,,T114)*(1-R114)+INDEX(Models!$BJ114:$BT114,,T114+1)*R114-ERP_i)*Q114*Ramure*Pc/MaxiM</f>
        <v>9.4325216666904326E-4</v>
      </c>
      <c r="Q114" s="305">
        <f t="shared" si="28"/>
        <v>0.7</v>
      </c>
      <c r="R114" s="177">
        <f t="shared" si="29"/>
        <v>0.82893643345679158</v>
      </c>
      <c r="S114" s="810">
        <f t="shared" si="30"/>
        <v>0</v>
      </c>
      <c r="T114" s="176">
        <f t="shared" si="31"/>
        <v>6</v>
      </c>
      <c r="U114" s="251">
        <f t="shared" si="32"/>
        <v>0.82893643345679158</v>
      </c>
      <c r="V114" s="383">
        <f t="shared" si="33"/>
        <v>48.987928355515741</v>
      </c>
      <c r="W114" s="402">
        <f t="shared" si="34"/>
        <v>48.873972382299364</v>
      </c>
      <c r="X114" s="157">
        <f t="shared" si="35"/>
        <v>45391</v>
      </c>
      <c r="Y114" s="385">
        <f t="shared" si="36"/>
        <v>45.491830455976888</v>
      </c>
      <c r="Z114" s="385">
        <f t="shared" si="37"/>
        <v>47.745814940990897</v>
      </c>
      <c r="AA114" s="386">
        <f t="shared" si="38"/>
        <v>55.112055530334388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0.13365933312520012</v>
      </c>
      <c r="AD114" s="231">
        <f>(INDEX(Models!$BJ114:$BT114,,AH114)*(1-AF114)+INDEX(Models!$BJ114:$BT114,,AH114+1)*AF114-ERP_i)*AE114*Ramure*Pc/MaxiM</f>
        <v>9.4325216666904326E-4</v>
      </c>
      <c r="AE114" s="305">
        <f t="shared" si="40"/>
        <v>0.7</v>
      </c>
      <c r="AF114" s="177">
        <f t="shared" si="41"/>
        <v>0.82893643345679158</v>
      </c>
      <c r="AG114" s="810">
        <f t="shared" si="49"/>
        <v>0</v>
      </c>
      <c r="AH114" s="176">
        <f t="shared" si="42"/>
        <v>6</v>
      </c>
      <c r="AI114" s="225">
        <f t="shared" si="43"/>
        <v>0.82893643345679158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40.613333342938361</v>
      </c>
      <c r="C115" s="840"/>
      <c r="D115" s="393">
        <f t="shared" si="25"/>
        <v>42.626594832974853</v>
      </c>
      <c r="E115" s="385">
        <f t="shared" si="47"/>
        <v>45.80496409820568</v>
      </c>
      <c r="F115" s="385">
        <f t="shared" si="26"/>
        <v>45.835539313220316</v>
      </c>
      <c r="G115" s="110">
        <f t="shared" si="48"/>
        <v>0.82368887589859074</v>
      </c>
      <c r="H115" s="414" t="b">
        <f>Wh_hp&gt;='2023'!Maxi_hp</f>
        <v>0</v>
      </c>
      <c r="I115" s="390">
        <f>IF(H115,Wh_hp,'2023'!Maxi_hp)</f>
        <v>56.677954021859833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4.7230173977656831E-2</v>
      </c>
      <c r="M115" s="844"/>
      <c r="N115" s="844"/>
      <c r="O115" s="48">
        <f>IF(t&lt;Tnet,'2023'!Resal+('2023'!Salim-'2023'!Resal)*(1-EXP(('2023'!Tnet-t)/('2023'!Tau_j))),Resal+(Salim-Resal)*(1-EXP((Tnet-t)/(Tau_j))))*Salcycl</f>
        <v>6.9389188001903399E-2</v>
      </c>
      <c r="P115" s="169">
        <f>(INDEX(Models!$BJ115:$BT115,,T115)*(1-R115)+INDEX(Models!$BJ115:$BT115,,T115+1)*R115-ERP_i)*Q115*Ramure*Pc/MaxiM</f>
        <v>8.9133007939742838E-4</v>
      </c>
      <c r="Q115" s="305">
        <f t="shared" si="28"/>
        <v>0.7</v>
      </c>
      <c r="R115" s="177">
        <f t="shared" si="29"/>
        <v>0.83010433382950932</v>
      </c>
      <c r="S115" s="810">
        <f t="shared" si="30"/>
        <v>0</v>
      </c>
      <c r="T115" s="176">
        <f t="shared" si="31"/>
        <v>6</v>
      </c>
      <c r="U115" s="251">
        <f t="shared" si="32"/>
        <v>0.83010433382950932</v>
      </c>
      <c r="V115" s="383">
        <f t="shared" si="33"/>
        <v>49.295577781414998</v>
      </c>
      <c r="W115" s="402">
        <f t="shared" si="34"/>
        <v>40.613333342938361</v>
      </c>
      <c r="X115" s="157">
        <f t="shared" si="35"/>
        <v>45392</v>
      </c>
      <c r="Y115" s="385">
        <f t="shared" si="36"/>
        <v>37.804812420477639</v>
      </c>
      <c r="Z115" s="385">
        <f t="shared" si="37"/>
        <v>39.67885147906761</v>
      </c>
      <c r="AA115" s="386">
        <f t="shared" si="38"/>
        <v>45.80496409820568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0.1337434214772816</v>
      </c>
      <c r="AD115" s="231">
        <f>(INDEX(Models!$BJ115:$BT115,,AH115)*(1-AF115)+INDEX(Models!$BJ115:$BT115,,AH115+1)*AF115-ERP_i)*AE115*Ramure*Pc/MaxiM</f>
        <v>8.9133007939742838E-4</v>
      </c>
      <c r="AE115" s="305">
        <f t="shared" si="40"/>
        <v>0.7</v>
      </c>
      <c r="AF115" s="177">
        <f t="shared" si="41"/>
        <v>0.83010433382950932</v>
      </c>
      <c r="AG115" s="810">
        <f t="shared" si="49"/>
        <v>0</v>
      </c>
      <c r="AH115" s="176">
        <f t="shared" si="42"/>
        <v>6</v>
      </c>
      <c r="AI115" s="225">
        <f t="shared" si="43"/>
        <v>0.83010433382950932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35.561992250740182</v>
      </c>
      <c r="C116" s="840"/>
      <c r="D116" s="393">
        <f t="shared" si="25"/>
        <v>37.325720103858579</v>
      </c>
      <c r="E116" s="385">
        <f t="shared" si="47"/>
        <v>40.114863273327771</v>
      </c>
      <c r="F116" s="385">
        <f t="shared" si="26"/>
        <v>40.134990406129944</v>
      </c>
      <c r="G116" s="110">
        <f t="shared" si="48"/>
        <v>0.71678581818251008</v>
      </c>
      <c r="H116" s="414" t="b">
        <f>Wh_hp&gt;='2023'!Maxi_hp</f>
        <v>0</v>
      </c>
      <c r="I116" s="390">
        <f>IF(H116,Wh_hp,'2023'!Maxi_hp)</f>
        <v>57.166150894542305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4.7252346323415462E-2</v>
      </c>
      <c r="M116" s="844"/>
      <c r="N116" s="844"/>
      <c r="O116" s="48">
        <f>IF(t&lt;Tnet,'2023'!Resal+('2023'!Salim-'2023'!Resal)*(1-EXP(('2023'!Tnet-t)/('2023'!Tau_j))),Resal+(Salim-Resal)*(1-EXP((Tnet-t)/(Tau_j))))*Salcycl</f>
        <v>6.9528921249587899E-2</v>
      </c>
      <c r="P116" s="169">
        <f>(INDEX(Models!$BJ116:$BT116,,T116)*(1-R116)+INDEX(Models!$BJ116:$BT116,,T116+1)*R116-ERP_i)*Q116*Ramure*Pc/MaxiM</f>
        <v>8.4176248096575271E-4</v>
      </c>
      <c r="Q116" s="305">
        <f t="shared" si="28"/>
        <v>0.7</v>
      </c>
      <c r="R116" s="177">
        <f t="shared" si="29"/>
        <v>0.83131342252441198</v>
      </c>
      <c r="S116" s="810">
        <f t="shared" si="30"/>
        <v>0</v>
      </c>
      <c r="T116" s="176">
        <f t="shared" si="31"/>
        <v>6</v>
      </c>
      <c r="U116" s="251">
        <f t="shared" si="32"/>
        <v>0.83131342252441198</v>
      </c>
      <c r="V116" s="383">
        <f t="shared" si="33"/>
        <v>49.596245301231704</v>
      </c>
      <c r="W116" s="402">
        <f t="shared" si="34"/>
        <v>35.561992250740182</v>
      </c>
      <c r="X116" s="157">
        <f t="shared" si="35"/>
        <v>45393</v>
      </c>
      <c r="Y116" s="385">
        <f t="shared" si="36"/>
        <v>33.104479754377756</v>
      </c>
      <c r="Z116" s="385">
        <f t="shared" si="37"/>
        <v>34.746325143525624</v>
      </c>
      <c r="AA116" s="386">
        <f t="shared" si="38"/>
        <v>40.114863273327771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0.13382915188375247</v>
      </c>
      <c r="AD116" s="231">
        <f>(INDEX(Models!$BJ116:$BT116,,AH116)*(1-AF116)+INDEX(Models!$BJ116:$BT116,,AH116+1)*AF116-ERP_i)*AE116*Ramure*Pc/MaxiM</f>
        <v>8.4176248096575271E-4</v>
      </c>
      <c r="AE116" s="305">
        <f t="shared" si="40"/>
        <v>0.7</v>
      </c>
      <c r="AF116" s="177">
        <f t="shared" si="41"/>
        <v>0.83131342252441198</v>
      </c>
      <c r="AG116" s="810">
        <f t="shared" si="49"/>
        <v>0</v>
      </c>
      <c r="AH116" s="176">
        <f t="shared" si="42"/>
        <v>6</v>
      </c>
      <c r="AI116" s="225">
        <f t="shared" si="43"/>
        <v>0.83131342252441198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7.8815573670321593</v>
      </c>
      <c r="C117" s="840"/>
      <c r="D117" s="393">
        <f t="shared" si="25"/>
        <v>8.272642557806023</v>
      </c>
      <c r="E117" s="385">
        <f t="shared" si="47"/>
        <v>8.8921542336688937</v>
      </c>
      <c r="F117" s="385">
        <f t="shared" si="26"/>
        <v>8.8921542336688937</v>
      </c>
      <c r="G117" s="110">
        <f t="shared" si="48"/>
        <v>0.15785370832522111</v>
      </c>
      <c r="H117" s="414" t="b">
        <f>Wh_hp&gt;='2023'!Maxi_hp</f>
        <v>0</v>
      </c>
      <c r="I117" s="390">
        <f>IF(H117,Wh_hp,'2023'!Maxi_hp)</f>
        <v>56.753271585996224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4.7274518153191281E-2</v>
      </c>
      <c r="M117" s="844"/>
      <c r="N117" s="844"/>
      <c r="O117" s="48">
        <f>IF(t&lt;Tnet,'2023'!Resal+('2023'!Salim-'2023'!Resal)*(1-EXP(('2023'!Tnet-t)/('2023'!Tau_j))),Resal+(Salim-Resal)*(1-EXP((Tnet-t)/(Tau_j))))*Salcycl</f>
        <v>6.9669470364917413E-2</v>
      </c>
      <c r="P117" s="169">
        <f>(INDEX(Models!$BJ117:$BT117,,T117)*(1-R117)+INDEX(Models!$BJ117:$BT117,,T117+1)*R117-ERP_i)*Q117*Ramure*Pc/MaxiM</f>
        <v>7.944851441072391E-4</v>
      </c>
      <c r="Q117" s="305">
        <f t="shared" si="28"/>
        <v>0.7</v>
      </c>
      <c r="R117" s="177">
        <f t="shared" si="29"/>
        <v>0.83256484167074918</v>
      </c>
      <c r="S117" s="810">
        <f t="shared" si="30"/>
        <v>0</v>
      </c>
      <c r="T117" s="176">
        <f t="shared" si="31"/>
        <v>6</v>
      </c>
      <c r="U117" s="251">
        <f t="shared" si="32"/>
        <v>0.83256484167074918</v>
      </c>
      <c r="V117" s="383">
        <f t="shared" si="33"/>
        <v>49.88983578749</v>
      </c>
      <c r="W117" s="402">
        <f t="shared" si="34"/>
        <v>7.8815573670321593</v>
      </c>
      <c r="X117" s="157">
        <f t="shared" si="35"/>
        <v>45394</v>
      </c>
      <c r="Y117" s="385">
        <f t="shared" si="36"/>
        <v>7.3372700582365047</v>
      </c>
      <c r="Z117" s="385">
        <f t="shared" si="37"/>
        <v>7.7013475529316056</v>
      </c>
      <c r="AA117" s="386">
        <f t="shared" si="38"/>
        <v>8.8921542336688937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0.13391655716321987</v>
      </c>
      <c r="AD117" s="231">
        <f>(INDEX(Models!$BJ117:$BT117,,AH117)*(1-AF117)+INDEX(Models!$BJ117:$BT117,,AH117+1)*AF117-ERP_i)*AE117*Ramure*Pc/MaxiM</f>
        <v>7.944851441072391E-4</v>
      </c>
      <c r="AE117" s="305">
        <f t="shared" si="40"/>
        <v>0.7</v>
      </c>
      <c r="AF117" s="177">
        <f t="shared" si="41"/>
        <v>0.83256484167074918</v>
      </c>
      <c r="AG117" s="810">
        <f t="shared" si="49"/>
        <v>0</v>
      </c>
      <c r="AH117" s="176">
        <f t="shared" si="42"/>
        <v>6</v>
      </c>
      <c r="AI117" s="225">
        <f t="shared" si="43"/>
        <v>0.83256484167074918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38.638127290071125</v>
      </c>
      <c r="C118" s="840"/>
      <c r="D118" s="393">
        <f t="shared" si="25"/>
        <v>40.55630631581878</v>
      </c>
      <c r="E118" s="385">
        <f t="shared" si="47"/>
        <v>43.600064070450784</v>
      </c>
      <c r="F118" s="385">
        <f t="shared" si="26"/>
        <v>43.622016642604272</v>
      </c>
      <c r="G118" s="110">
        <f t="shared" si="48"/>
        <v>0.76985838628520675</v>
      </c>
      <c r="H118" s="414" t="b">
        <f>Wh_hp&gt;='2023'!Maxi_hp</f>
        <v>0</v>
      </c>
      <c r="I118" s="390">
        <f>IF(H118,Wh_hp,'2023'!Maxi_hp)</f>
        <v>57.09243105824325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4.7296689466996167E-2</v>
      </c>
      <c r="M118" s="844"/>
      <c r="N118" s="844"/>
      <c r="O118" s="48">
        <f>IF(t&lt;Tnet,'2023'!Resal+('2023'!Salim-'2023'!Resal)*(1-EXP(('2023'!Tnet-t)/('2023'!Tau_j))),Resal+(Salim-Resal)*(1-EXP((Tnet-t)/(Tau_j))))*Salcycl</f>
        <v>6.9810855087592882E-2</v>
      </c>
      <c r="P118" s="169">
        <f>(INDEX(Models!$BJ118:$BT118,,T118)*(1-R118)+INDEX(Models!$BJ118:$BT118,,T118+1)*R118-ERP_i)*Q118*Ramure*Pc/MaxiM</f>
        <v>7.4943754785941695E-4</v>
      </c>
      <c r="Q118" s="305">
        <f t="shared" si="28"/>
        <v>0.7</v>
      </c>
      <c r="R118" s="177">
        <f t="shared" si="29"/>
        <v>0.83385974077440006</v>
      </c>
      <c r="S118" s="810">
        <f t="shared" si="30"/>
        <v>0</v>
      </c>
      <c r="T118" s="176">
        <f t="shared" si="31"/>
        <v>6</v>
      </c>
      <c r="U118" s="251">
        <f t="shared" si="32"/>
        <v>0.83385974077440006</v>
      </c>
      <c r="V118" s="383">
        <f t="shared" si="33"/>
        <v>50.176254203295187</v>
      </c>
      <c r="W118" s="402">
        <f t="shared" si="34"/>
        <v>38.638127290071125</v>
      </c>
      <c r="X118" s="157">
        <f t="shared" si="35"/>
        <v>45395</v>
      </c>
      <c r="Y118" s="385">
        <f t="shared" si="36"/>
        <v>35.97160793410066</v>
      </c>
      <c r="Z118" s="385">
        <f t="shared" si="37"/>
        <v>37.757408352003957</v>
      </c>
      <c r="AA118" s="386">
        <f t="shared" si="38"/>
        <v>43.600064070450784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0.13400566817989129</v>
      </c>
      <c r="AD118" s="231">
        <f>(INDEX(Models!$BJ118:$BT118,,AH118)*(1-AF118)+INDEX(Models!$BJ118:$BT118,,AH118+1)*AF118-ERP_i)*AE118*Ramure*Pc/MaxiM</f>
        <v>7.4943754785941695E-4</v>
      </c>
      <c r="AE118" s="305">
        <f t="shared" si="40"/>
        <v>0.7</v>
      </c>
      <c r="AF118" s="177">
        <f t="shared" si="41"/>
        <v>0.83385974077440006</v>
      </c>
      <c r="AG118" s="810">
        <f t="shared" si="49"/>
        <v>0</v>
      </c>
      <c r="AH118" s="176">
        <f t="shared" si="42"/>
        <v>6</v>
      </c>
      <c r="AI118" s="225">
        <f t="shared" si="43"/>
        <v>0.83385974077440006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42.719667152865519</v>
      </c>
      <c r="C119" s="840"/>
      <c r="D119" s="393">
        <f t="shared" si="25"/>
        <v>44.841516611467135</v>
      </c>
      <c r="E119" s="385">
        <f t="shared" si="47"/>
        <v>48.214252775970799</v>
      </c>
      <c r="F119" s="385">
        <f t="shared" si="26"/>
        <v>48.240872428571748</v>
      </c>
      <c r="G119" s="110">
        <f t="shared" si="48"/>
        <v>0.8465505701356234</v>
      </c>
      <c r="H119" s="414" t="b">
        <f>Wh_hp&gt;='2023'!Maxi_hp</f>
        <v>0</v>
      </c>
      <c r="I119" s="390">
        <f>IF(H119,Wh_hp,'2023'!Maxi_hp)</f>
        <v>57.996745654334866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4.7318860264842222E-2</v>
      </c>
      <c r="M119" s="844"/>
      <c r="N119" s="844"/>
      <c r="O119" s="48">
        <f>IF(t&lt;Tnet,'2023'!Resal+('2023'!Salim-'2023'!Resal)*(1-EXP(('2023'!Tnet-t)/('2023'!Tau_j))),Resal+(Salim-Resal)*(1-EXP((Tnet-t)/(Tau_j))))*Salcycl</f>
        <v>6.9953094164399862E-2</v>
      </c>
      <c r="P119" s="169">
        <f>(INDEX(Models!$BJ119:$BT119,,T119)*(1-R119)+INDEX(Models!$BJ119:$BT119,,T119+1)*R119-ERP_i)*Q119*Ramure*Pc/MaxiM</f>
        <v>7.0656278076734139E-4</v>
      </c>
      <c r="Q119" s="305">
        <f t="shared" si="28"/>
        <v>0.7</v>
      </c>
      <c r="R119" s="177">
        <f t="shared" si="29"/>
        <v>0.83519927462202526</v>
      </c>
      <c r="S119" s="810">
        <f t="shared" si="30"/>
        <v>0</v>
      </c>
      <c r="T119" s="176">
        <f t="shared" si="31"/>
        <v>6</v>
      </c>
      <c r="U119" s="251">
        <f t="shared" si="32"/>
        <v>0.83519927462202526</v>
      </c>
      <c r="V119" s="383">
        <f t="shared" si="33"/>
        <v>50.455405613678721</v>
      </c>
      <c r="W119" s="402">
        <f t="shared" si="34"/>
        <v>42.719667152865519</v>
      </c>
      <c r="X119" s="157">
        <f t="shared" si="35"/>
        <v>45396</v>
      </c>
      <c r="Y119" s="385">
        <f t="shared" si="36"/>
        <v>39.773379693940988</v>
      </c>
      <c r="Z119" s="385">
        <f t="shared" si="37"/>
        <v>41.748889565503369</v>
      </c>
      <c r="AA119" s="386">
        <f t="shared" si="38"/>
        <v>48.214252775970799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0.13409651375307971</v>
      </c>
      <c r="AD119" s="231">
        <f>(INDEX(Models!$BJ119:$BT119,,AH119)*(1-AF119)+INDEX(Models!$BJ119:$BT119,,AH119+1)*AF119-ERP_i)*AE119*Ramure*Pc/MaxiM</f>
        <v>7.0656278076734139E-4</v>
      </c>
      <c r="AE119" s="305">
        <f t="shared" si="40"/>
        <v>0.7</v>
      </c>
      <c r="AF119" s="177">
        <f t="shared" si="41"/>
        <v>0.83519927462202526</v>
      </c>
      <c r="AG119" s="810">
        <f t="shared" si="49"/>
        <v>0</v>
      </c>
      <c r="AH119" s="176">
        <f t="shared" si="42"/>
        <v>6</v>
      </c>
      <c r="AI119" s="225">
        <f t="shared" si="43"/>
        <v>0.83519927462202526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46.327056687046529</v>
      </c>
      <c r="C120" s="840"/>
      <c r="D120" s="393">
        <f t="shared" si="25"/>
        <v>48.629213782172371</v>
      </c>
      <c r="E120" s="385">
        <f t="shared" si="47"/>
        <v>52.294886910843459</v>
      </c>
      <c r="F120" s="385">
        <f t="shared" si="26"/>
        <v>52.325408491242754</v>
      </c>
      <c r="G120" s="110">
        <f t="shared" si="48"/>
        <v>0.91318339431002182</v>
      </c>
      <c r="H120" s="414" t="b">
        <f>Wh_hp&gt;='2023'!Maxi_hp</f>
        <v>0</v>
      </c>
      <c r="I120" s="390">
        <f>IF(H120,Wh_hp,'2023'!Maxi_hp)</f>
        <v>52.327517429818045</v>
      </c>
      <c r="J120" s="85">
        <f>IF(H120,An,'2023'!An_max)</f>
        <v>2022</v>
      </c>
      <c r="K120" s="197">
        <f t="shared" si="27"/>
        <v>45397</v>
      </c>
      <c r="L120" s="147">
        <f>IF(t&lt;Tvie,1-EXP((T0-t)*PertePVj)+'2023'!Pspv,1-EXP((T0-t)*PertePVj)+Pspv)</f>
        <v>4.7341030546741436E-2</v>
      </c>
      <c r="M120" s="844"/>
      <c r="N120" s="844"/>
      <c r="O120" s="48">
        <f>IF(t&lt;Tnet,'2023'!Resal+('2023'!Salim-'2023'!Resal)*(1-EXP(('2023'!Tnet-t)/('2023'!Tau_j))),Resal+(Salim-Resal)*(1-EXP((Tnet-t)/(Tau_j))))*Salcycl</f>
        <v>7.0096205292892566E-2</v>
      </c>
      <c r="P120" s="169">
        <f>(INDEX(Models!$BJ120:$BT120,,T120)*(1-R120)+INDEX(Models!$BJ120:$BT120,,T120+1)*R120-ERP_i)*Q120*Ramure*Pc/MaxiM</f>
        <v>6.6580745121879131E-4</v>
      </c>
      <c r="Q120" s="305">
        <f t="shared" si="28"/>
        <v>0.7</v>
      </c>
      <c r="R120" s="177">
        <f t="shared" si="29"/>
        <v>0.83658460100093923</v>
      </c>
      <c r="S120" s="810">
        <f t="shared" si="30"/>
        <v>0</v>
      </c>
      <c r="T120" s="176">
        <f t="shared" si="31"/>
        <v>6</v>
      </c>
      <c r="U120" s="251">
        <f t="shared" si="32"/>
        <v>0.83658460100093923</v>
      </c>
      <c r="V120" s="383">
        <f t="shared" si="33"/>
        <v>50.727195180842116</v>
      </c>
      <c r="W120" s="402">
        <f t="shared" si="34"/>
        <v>46.327056687046529</v>
      </c>
      <c r="X120" s="157">
        <f t="shared" si="35"/>
        <v>45397</v>
      </c>
      <c r="Y120" s="385">
        <f t="shared" si="36"/>
        <v>43.133999366603014</v>
      </c>
      <c r="Z120" s="385">
        <f t="shared" si="37"/>
        <v>45.2774820262891</v>
      </c>
      <c r="AA120" s="386">
        <f t="shared" si="38"/>
        <v>52.294886910843459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0.13418912056389362</v>
      </c>
      <c r="AD120" s="231">
        <f>(INDEX(Models!$BJ120:$BT120,,AH120)*(1-AF120)+INDEX(Models!$BJ120:$BT120,,AH120+1)*AF120-ERP_i)*AE120*Ramure*Pc/MaxiM</f>
        <v>6.6580745121879131E-4</v>
      </c>
      <c r="AE120" s="305">
        <f t="shared" si="40"/>
        <v>0.7</v>
      </c>
      <c r="AF120" s="177">
        <f t="shared" si="41"/>
        <v>0.83658460100093923</v>
      </c>
      <c r="AG120" s="810">
        <f t="shared" si="49"/>
        <v>0</v>
      </c>
      <c r="AH120" s="176">
        <f t="shared" si="42"/>
        <v>6</v>
      </c>
      <c r="AI120" s="225">
        <f t="shared" si="43"/>
        <v>0.83658460100093923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50.706777719485281</v>
      </c>
      <c r="C121" s="840"/>
      <c r="D121" s="393">
        <f t="shared" si="25"/>
        <v>53.227817502042676</v>
      </c>
      <c r="E121" s="385">
        <f t="shared" si="47"/>
        <v>57.248998926277253</v>
      </c>
      <c r="F121" s="385">
        <f t="shared" si="26"/>
        <v>57.28463671648926</v>
      </c>
      <c r="G121" s="110">
        <f t="shared" si="48"/>
        <v>0.99441012189416766</v>
      </c>
      <c r="H121" s="414" t="b">
        <f>Wh_hp&gt;='2023'!Maxi_hp</f>
        <v>0</v>
      </c>
      <c r="I121" s="390">
        <f>IF(H121,Wh_hp,'2023'!Maxi_hp)</f>
        <v>57.284777251716619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4.73632003127058E-2</v>
      </c>
      <c r="M121" s="844"/>
      <c r="N121" s="844"/>
      <c r="O121" s="48">
        <f>IF(t&lt;Tnet,'2023'!Resal+('2023'!Salim-'2023'!Resal)*(1-EXP(('2023'!Tnet-t)/('2023'!Tau_j))),Resal+(Salim-Resal)*(1-EXP((Tnet-t)/(Tau_j))))*Salcycl</f>
        <v>7.0240205063024391E-2</v>
      </c>
      <c r="P121" s="169">
        <f>(INDEX(Models!$BJ121:$BT121,,T121)*(1-R121)+INDEX(Models!$BJ121:$BT121,,T121+1)*R121-ERP_i)*Q121*Ramure*Pc/MaxiM</f>
        <v>6.2712120717623744E-4</v>
      </c>
      <c r="Q121" s="305">
        <f t="shared" si="28"/>
        <v>0.7</v>
      </c>
      <c r="R121" s="177">
        <f t="shared" si="29"/>
        <v>0.83801687822868065</v>
      </c>
      <c r="S121" s="810">
        <f t="shared" si="30"/>
        <v>0</v>
      </c>
      <c r="T121" s="176">
        <f t="shared" si="31"/>
        <v>6</v>
      </c>
      <c r="U121" s="251">
        <f t="shared" si="32"/>
        <v>0.83801687822868065</v>
      </c>
      <c r="V121" s="383">
        <f t="shared" si="33"/>
        <v>50.991560460564472</v>
      </c>
      <c r="W121" s="402">
        <f t="shared" si="34"/>
        <v>50.706777719485281</v>
      </c>
      <c r="X121" s="157">
        <f t="shared" si="35"/>
        <v>45398</v>
      </c>
      <c r="Y121" s="385">
        <f t="shared" si="36"/>
        <v>47.214015609701711</v>
      </c>
      <c r="Z121" s="385">
        <f t="shared" si="37"/>
        <v>49.561402231364404</v>
      </c>
      <c r="AA121" s="386">
        <f t="shared" si="38"/>
        <v>57.248998926277253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0.13428351305867547</v>
      </c>
      <c r="AD121" s="231">
        <f>(INDEX(Models!$BJ121:$BT121,,AH121)*(1-AF121)+INDEX(Models!$BJ121:$BT121,,AH121+1)*AF121-ERP_i)*AE121*Ramure*Pc/MaxiM</f>
        <v>6.2712120717623744E-4</v>
      </c>
      <c r="AE121" s="305">
        <f t="shared" si="40"/>
        <v>0.7</v>
      </c>
      <c r="AF121" s="177">
        <f t="shared" si="41"/>
        <v>0.83801687822868065</v>
      </c>
      <c r="AG121" s="810">
        <f t="shared" si="49"/>
        <v>0</v>
      </c>
      <c r="AH121" s="176">
        <f t="shared" si="42"/>
        <v>6</v>
      </c>
      <c r="AI121" s="225">
        <f t="shared" si="43"/>
        <v>0.83801687822868065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39.985732187052697</v>
      </c>
      <c r="C122" s="840"/>
      <c r="D122" s="393">
        <f t="shared" si="25"/>
        <v>41.974719796922642</v>
      </c>
      <c r="E122" s="385">
        <f t="shared" si="47"/>
        <v>45.15280488579306</v>
      </c>
      <c r="F122" s="385">
        <f t="shared" si="26"/>
        <v>45.171124664254819</v>
      </c>
      <c r="G122" s="110">
        <f t="shared" si="48"/>
        <v>0.78008688973830953</v>
      </c>
      <c r="H122" s="414" t="b">
        <f>Wh_hp&gt;='2023'!Maxi_hp</f>
        <v>0</v>
      </c>
      <c r="I122" s="390">
        <f>IF(H122,Wh_hp,'2023'!Maxi_hp)</f>
        <v>45.175246196580972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4.7385369562747304E-2</v>
      </c>
      <c r="M122" s="844"/>
      <c r="N122" s="844"/>
      <c r="O122" s="48">
        <f>IF(t&lt;Tnet,'2023'!Resal+('2023'!Salim-'2023'!Resal)*(1-EXP(('2023'!Tnet-t)/('2023'!Tau_j))),Resal+(Salim-Resal)*(1-EXP((Tnet-t)/(Tau_j))))*Salcycl</f>
        <v>7.0385108896532281E-2</v>
      </c>
      <c r="P122" s="169">
        <f>(INDEX(Models!$BJ122:$BT122,,T122)*(1-R122)+INDEX(Models!$BJ122:$BT122,,T122+1)*R122-ERP_i)*Q122*Ramure*Pc/MaxiM</f>
        <v>5.9116195546183713E-4</v>
      </c>
      <c r="Q122" s="305">
        <f t="shared" si="28"/>
        <v>0.7</v>
      </c>
      <c r="R122" s="177">
        <f t="shared" si="29"/>
        <v>0.83949726248685896</v>
      </c>
      <c r="S122" s="810">
        <f t="shared" si="30"/>
        <v>0</v>
      </c>
      <c r="T122" s="176">
        <f t="shared" si="31"/>
        <v>6</v>
      </c>
      <c r="U122" s="251">
        <f t="shared" si="32"/>
        <v>0.83949726248685896</v>
      </c>
      <c r="V122" s="383">
        <f t="shared" si="33"/>
        <v>51.248531963106714</v>
      </c>
      <c r="W122" s="402">
        <f t="shared" si="34"/>
        <v>39.985732187052697</v>
      </c>
      <c r="X122" s="157">
        <f t="shared" si="35"/>
        <v>45399</v>
      </c>
      <c r="Y122" s="385">
        <f t="shared" si="36"/>
        <v>37.233118024418928</v>
      </c>
      <c r="Z122" s="385">
        <f t="shared" si="37"/>
        <v>39.085183908343737</v>
      </c>
      <c r="AA122" s="386">
        <f t="shared" si="38"/>
        <v>45.15280488579306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0.13437971334884777</v>
      </c>
      <c r="AD122" s="231">
        <f>(INDEX(Models!$BJ122:$BT122,,AH122)*(1-AF122)+INDEX(Models!$BJ122:$BT122,,AH122+1)*AF122-ERP_i)*AE122*Ramure*Pc/MaxiM</f>
        <v>5.9116195546183713E-4</v>
      </c>
      <c r="AE122" s="305">
        <f t="shared" si="40"/>
        <v>0.7</v>
      </c>
      <c r="AF122" s="177">
        <f t="shared" si="41"/>
        <v>0.83949726248685896</v>
      </c>
      <c r="AG122" s="810">
        <f t="shared" si="49"/>
        <v>0</v>
      </c>
      <c r="AH122" s="176">
        <f t="shared" si="42"/>
        <v>6</v>
      </c>
      <c r="AI122" s="225">
        <f t="shared" si="43"/>
        <v>0.83949726248685896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9.3425875258976419</v>
      </c>
      <c r="C123" s="840"/>
      <c r="D123" s="393">
        <f t="shared" si="25"/>
        <v>9.8075387970152601</v>
      </c>
      <c r="E123" s="385">
        <f t="shared" si="47"/>
        <v>10.551764576090219</v>
      </c>
      <c r="F123" s="385">
        <f t="shared" si="26"/>
        <v>10.551764576090219</v>
      </c>
      <c r="G123" s="110">
        <f t="shared" si="48"/>
        <v>0.18131456941373103</v>
      </c>
      <c r="H123" s="414" t="b">
        <f>Wh_hp&gt;='2023'!Maxi_hp</f>
        <v>0</v>
      </c>
      <c r="I123" s="390">
        <f>IF(H123,Wh_hp,'2023'!Maxi_hp)</f>
        <v>58.078197981437626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4.7407538296878049E-2</v>
      </c>
      <c r="M123" s="844"/>
      <c r="N123" s="844"/>
      <c r="O123" s="48">
        <f>IF(t&lt;Tnet,'2023'!Resal+('2023'!Salim-'2023'!Resal)*(1-EXP(('2023'!Tnet-t)/('2023'!Tau_j))),Resal+(Salim-Resal)*(1-EXP((Tnet-t)/(Tau_j))))*Salcycl</f>
        <v>7.053093098393598E-2</v>
      </c>
      <c r="P123" s="169">
        <f>(INDEX(Models!$BJ123:$BT123,,T123)*(1-R123)+INDEX(Models!$BJ123:$BT123,,T123+1)*R123-ERP_i)*Q123*Ramure*Pc/MaxiM</f>
        <v>5.5738542021902438E-4</v>
      </c>
      <c r="Q123" s="305">
        <f t="shared" si="28"/>
        <v>0.7</v>
      </c>
      <c r="R123" s="177">
        <f t="shared" si="29"/>
        <v>0.84102690495456844</v>
      </c>
      <c r="S123" s="810">
        <f t="shared" si="30"/>
        <v>0</v>
      </c>
      <c r="T123" s="176">
        <f t="shared" si="31"/>
        <v>6</v>
      </c>
      <c r="U123" s="251">
        <f t="shared" si="32"/>
        <v>0.84102690495456844</v>
      </c>
      <c r="V123" s="383">
        <f t="shared" si="33"/>
        <v>51.49823389270594</v>
      </c>
      <c r="W123" s="402">
        <f t="shared" si="34"/>
        <v>9.3425875258976419</v>
      </c>
      <c r="X123" s="157">
        <f t="shared" si="35"/>
        <v>45400</v>
      </c>
      <c r="Y123" s="385">
        <f t="shared" si="36"/>
        <v>8.6998241564737793</v>
      </c>
      <c r="Z123" s="385">
        <f t="shared" si="37"/>
        <v>9.1327871112054879</v>
      </c>
      <c r="AA123" s="386">
        <f t="shared" si="38"/>
        <v>10.551764576090219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0.13447774110692956</v>
      </c>
      <c r="AD123" s="231">
        <f>(INDEX(Models!$BJ123:$BT123,,AH123)*(1-AF123)+INDEX(Models!$BJ123:$BT123,,AH123+1)*AF123-ERP_i)*AE123*Ramure*Pc/MaxiM</f>
        <v>5.5738542021902438E-4</v>
      </c>
      <c r="AE123" s="305">
        <f t="shared" si="40"/>
        <v>0.7</v>
      </c>
      <c r="AF123" s="177">
        <f t="shared" si="41"/>
        <v>0.84102690495456844</v>
      </c>
      <c r="AG123" s="810">
        <f t="shared" si="49"/>
        <v>0</v>
      </c>
      <c r="AH123" s="176">
        <f t="shared" si="42"/>
        <v>6</v>
      </c>
      <c r="AI123" s="225">
        <f t="shared" si="43"/>
        <v>0.84102690495456844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9.8001198609215692</v>
      </c>
      <c r="C124" s="840"/>
      <c r="D124" s="393">
        <f t="shared" si="25"/>
        <v>10.28808049962249</v>
      </c>
      <c r="E124" s="385">
        <f t="shared" si="47"/>
        <v>11.070519156722517</v>
      </c>
      <c r="F124" s="385">
        <f t="shared" si="26"/>
        <v>11.070519156722517</v>
      </c>
      <c r="G124" s="110">
        <f t="shared" si="48"/>
        <v>0.18930851576405469</v>
      </c>
      <c r="H124" s="414" t="b">
        <f>Wh_hp&gt;='2023'!Maxi_hp</f>
        <v>0</v>
      </c>
      <c r="I124" s="390">
        <f>IF(H124,Wh_hp,'2023'!Maxi_hp)</f>
        <v>49.816269691728465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4.7429706515109915E-2</v>
      </c>
      <c r="M124" s="844"/>
      <c r="N124" s="844"/>
      <c r="O124" s="48">
        <f>IF(t&lt;Tnet,'2023'!Resal+('2023'!Salim-'2023'!Resal)*(1-EXP(('2023'!Tnet-t)/('2023'!Tau_j))),Resal+(Salim-Resal)*(1-EXP((Tnet-t)/(Tau_j))))*Salcycl</f>
        <v>7.0677684219072542E-2</v>
      </c>
      <c r="P124" s="169">
        <f>(INDEX(Models!$BJ124:$BT124,,T124)*(1-R124)+INDEX(Models!$BJ124:$BT124,,T124+1)*R124-ERP_i)*Q124*Ramure*Pc/MaxiM</f>
        <v>5.2575129426432859E-4</v>
      </c>
      <c r="Q124" s="305">
        <f t="shared" si="28"/>
        <v>0.7</v>
      </c>
      <c r="R124" s="177">
        <f t="shared" si="29"/>
        <v>0.84260694873750375</v>
      </c>
      <c r="S124" s="810">
        <f t="shared" si="30"/>
        <v>0</v>
      </c>
      <c r="T124" s="176">
        <f t="shared" si="31"/>
        <v>6</v>
      </c>
      <c r="U124" s="251">
        <f t="shared" si="32"/>
        <v>0.84260694873750375</v>
      </c>
      <c r="V124" s="383">
        <f t="shared" si="33"/>
        <v>51.740765045291127</v>
      </c>
      <c r="W124" s="402">
        <f t="shared" si="34"/>
        <v>9.8001198609215692</v>
      </c>
      <c r="X124" s="157">
        <f t="shared" si="35"/>
        <v>45401</v>
      </c>
      <c r="Y124" s="385">
        <f t="shared" si="36"/>
        <v>9.1262665002330507</v>
      </c>
      <c r="Z124" s="385">
        <f t="shared" si="37"/>
        <v>9.5806751088630442</v>
      </c>
      <c r="AA124" s="386">
        <f t="shared" si="38"/>
        <v>11.070519156722517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0.13457761345860397</v>
      </c>
      <c r="AD124" s="231">
        <f>(INDEX(Models!$BJ124:$BT124,,AH124)*(1-AF124)+INDEX(Models!$BJ124:$BT124,,AH124+1)*AF124-ERP_i)*AE124*Ramure*Pc/MaxiM</f>
        <v>5.2575129426432859E-4</v>
      </c>
      <c r="AE124" s="305">
        <f t="shared" si="40"/>
        <v>0.7</v>
      </c>
      <c r="AF124" s="177">
        <f t="shared" si="41"/>
        <v>0.84260694873750375</v>
      </c>
      <c r="AG124" s="810">
        <f t="shared" si="49"/>
        <v>0</v>
      </c>
      <c r="AH124" s="176">
        <f t="shared" si="42"/>
        <v>6</v>
      </c>
      <c r="AI124" s="225">
        <f t="shared" si="43"/>
        <v>0.84260694873750375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9.484369766505619</v>
      </c>
      <c r="C125" s="840"/>
      <c r="D125" s="393">
        <f t="shared" si="25"/>
        <v>9.9568405099888704</v>
      </c>
      <c r="E125" s="385">
        <f t="shared" si="47"/>
        <v>10.715790441407295</v>
      </c>
      <c r="F125" s="385">
        <f t="shared" si="26"/>
        <v>10.715790441407295</v>
      </c>
      <c r="G125" s="110">
        <f t="shared" si="48"/>
        <v>0.18238461045621307</v>
      </c>
      <c r="H125" s="414" t="b">
        <f>Wh_hp&gt;='2023'!Maxi_hp</f>
        <v>0</v>
      </c>
      <c r="I125" s="390">
        <f>IF(H125,Wh_hp,'2023'!Maxi_hp)</f>
        <v>54.888327904191918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4.7451874217454892E-2</v>
      </c>
      <c r="M125" s="844"/>
      <c r="N125" s="844"/>
      <c r="O125" s="48">
        <f>IF(t&lt;Tnet,'2023'!Resal+('2023'!Salim-'2023'!Resal)*(1-EXP(('2023'!Tnet-t)/('2023'!Tau_j))),Resal+(Salim-Resal)*(1-EXP((Tnet-t)/(Tau_j))))*Salcycl</f>
        <v>7.0825380131150847E-2</v>
      </c>
      <c r="P125" s="169">
        <f>(INDEX(Models!$BJ125:$BT125,,T125)*(1-R125)+INDEX(Models!$BJ125:$BT125,,T125+1)*R125-ERP_i)*Q125*Ramure*Pc/MaxiM</f>
        <v>4.9622463748836328E-4</v>
      </c>
      <c r="Q125" s="305">
        <f t="shared" si="28"/>
        <v>0.7</v>
      </c>
      <c r="R125" s="177">
        <f t="shared" si="29"/>
        <v>0.84423852558988222</v>
      </c>
      <c r="S125" s="810">
        <f t="shared" si="30"/>
        <v>0</v>
      </c>
      <c r="T125" s="176">
        <f t="shared" si="31"/>
        <v>6</v>
      </c>
      <c r="U125" s="251">
        <f t="shared" si="32"/>
        <v>0.84423852558988222</v>
      </c>
      <c r="V125" s="383">
        <f t="shared" si="33"/>
        <v>51.976224116959195</v>
      </c>
      <c r="W125" s="402">
        <f t="shared" si="34"/>
        <v>9.484369766505619</v>
      </c>
      <c r="X125" s="157">
        <f t="shared" si="35"/>
        <v>45402</v>
      </c>
      <c r="Y125" s="385">
        <f t="shared" si="36"/>
        <v>8.8325928026297689</v>
      </c>
      <c r="Z125" s="385">
        <f t="shared" si="37"/>
        <v>9.2725948049853599</v>
      </c>
      <c r="AA125" s="386">
        <f t="shared" si="38"/>
        <v>10.715790441407295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0.13467934487083924</v>
      </c>
      <c r="AD125" s="231">
        <f>(INDEX(Models!$BJ125:$BT125,,AH125)*(1-AF125)+INDEX(Models!$BJ125:$BT125,,AH125+1)*AF125-ERP_i)*AE125*Ramure*Pc/MaxiM</f>
        <v>4.9622463748836328E-4</v>
      </c>
      <c r="AE125" s="305">
        <f t="shared" si="40"/>
        <v>0.7</v>
      </c>
      <c r="AF125" s="177">
        <f t="shared" si="41"/>
        <v>0.84423852558988222</v>
      </c>
      <c r="AG125" s="810">
        <f t="shared" si="49"/>
        <v>0</v>
      </c>
      <c r="AH125" s="176">
        <f t="shared" si="42"/>
        <v>6</v>
      </c>
      <c r="AI125" s="225">
        <f t="shared" si="43"/>
        <v>0.84423852558988222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27.392944733418357</v>
      </c>
      <c r="C126" s="840"/>
      <c r="D126" s="393">
        <f t="shared" si="25"/>
        <v>28.758213344434974</v>
      </c>
      <c r="E126" s="385">
        <f t="shared" si="47"/>
        <v>30.955230786211324</v>
      </c>
      <c r="F126" s="385">
        <f t="shared" si="26"/>
        <v>30.959889971295031</v>
      </c>
      <c r="G126" s="110">
        <f t="shared" si="48"/>
        <v>0.52455467761428087</v>
      </c>
      <c r="H126" s="414" t="b">
        <f>Wh_hp&gt;='2023'!Maxi_hp</f>
        <v>0</v>
      </c>
      <c r="I126" s="390">
        <f>IF(H126,Wh_hp,'2023'!Maxi_hp)</f>
        <v>59.567608044722562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4.7474041403925082E-2</v>
      </c>
      <c r="M126" s="844"/>
      <c r="N126" s="844"/>
      <c r="O126" s="48">
        <f>IF(t&lt;Tnet,'2023'!Resal+('2023'!Salim-'2023'!Resal)*(1-EXP(('2023'!Tnet-t)/('2023'!Tau_j))),Resal+(Salim-Resal)*(1-EXP((Tnet-t)/(Tau_j))))*Salcycl</f>
        <v>7.0974028814380044E-2</v>
      </c>
      <c r="P126" s="169">
        <f>(INDEX(Models!$BJ126:$BT126,,T126)*(1-R126)+INDEX(Models!$BJ126:$BT126,,T126+1)*R126-ERP_i)*Q126*Ramure*Pc/MaxiM</f>
        <v>4.6877404536306805E-4</v>
      </c>
      <c r="Q126" s="305">
        <f t="shared" si="28"/>
        <v>0.7</v>
      </c>
      <c r="R126" s="177">
        <f t="shared" si="29"/>
        <v>0.84592275242738824</v>
      </c>
      <c r="S126" s="810">
        <f t="shared" si="30"/>
        <v>0</v>
      </c>
      <c r="T126" s="176">
        <f t="shared" si="31"/>
        <v>6</v>
      </c>
      <c r="U126" s="251">
        <f t="shared" si="32"/>
        <v>0.84592275242738824</v>
      </c>
      <c r="V126" s="383">
        <f t="shared" si="33"/>
        <v>52.204709785560517</v>
      </c>
      <c r="W126" s="402">
        <f t="shared" si="34"/>
        <v>27.392944733418357</v>
      </c>
      <c r="X126" s="157">
        <f t="shared" si="35"/>
        <v>45403</v>
      </c>
      <c r="Y126" s="385">
        <f t="shared" si="36"/>
        <v>25.51149660972516</v>
      </c>
      <c r="Z126" s="385">
        <f t="shared" si="37"/>
        <v>26.782993554660155</v>
      </c>
      <c r="AA126" s="386">
        <f t="shared" si="38"/>
        <v>30.955230786211324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0.13478294703619678</v>
      </c>
      <c r="AD126" s="231">
        <f>(INDEX(Models!$BJ126:$BT126,,AH126)*(1-AF126)+INDEX(Models!$BJ126:$BT126,,AH126+1)*AF126-ERP_i)*AE126*Ramure*Pc/MaxiM</f>
        <v>4.6877404536306805E-4</v>
      </c>
      <c r="AE126" s="305">
        <f t="shared" si="40"/>
        <v>0.7</v>
      </c>
      <c r="AF126" s="177">
        <f t="shared" si="41"/>
        <v>0.84592275242738824</v>
      </c>
      <c r="AG126" s="810">
        <f t="shared" si="49"/>
        <v>0</v>
      </c>
      <c r="AH126" s="176">
        <f t="shared" si="42"/>
        <v>6</v>
      </c>
      <c r="AI126" s="225">
        <f t="shared" si="43"/>
        <v>0.84592275242738824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9.2082908101091636</v>
      </c>
      <c r="C127" s="840"/>
      <c r="D127" s="393">
        <f t="shared" si="25"/>
        <v>9.6674584271153261</v>
      </c>
      <c r="E127" s="385">
        <f t="shared" si="47"/>
        <v>10.407691304794977</v>
      </c>
      <c r="F127" s="385">
        <f t="shared" si="26"/>
        <v>10.407691304794977</v>
      </c>
      <c r="G127" s="110">
        <f t="shared" si="48"/>
        <v>0.17556463982895737</v>
      </c>
      <c r="H127" s="414" t="b">
        <f>Wh_hp&gt;='2023'!Maxi_hp</f>
        <v>0</v>
      </c>
      <c r="I127" s="390">
        <f>IF(H127,Wh_hp,'2023'!Maxi_hp)</f>
        <v>59.226386677752629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4.7496208074532476E-2</v>
      </c>
      <c r="M127" s="844"/>
      <c r="N127" s="844"/>
      <c r="O127" s="48">
        <f>IF(t&lt;Tnet,'2023'!Resal+('2023'!Salim-'2023'!Resal)*(1-EXP(('2023'!Tnet-t)/('2023'!Tau_j))),Resal+(Salim-Resal)*(1-EXP((Tnet-t)/(Tau_j))))*Salcycl</f>
        <v>7.1123638855296753E-2</v>
      </c>
      <c r="P127" s="169">
        <f>(INDEX(Models!$BJ127:$BT127,,T127)*(1-R127)+INDEX(Models!$BJ127:$BT127,,T127+1)*R127-ERP_i)*Q127*Ramure*Pc/MaxiM</f>
        <v>4.4337029039748151E-4</v>
      </c>
      <c r="Q127" s="305">
        <f t="shared" si="28"/>
        <v>0.7</v>
      </c>
      <c r="R127" s="177">
        <f t="shared" si="29"/>
        <v>0.84766072763061495</v>
      </c>
      <c r="S127" s="810">
        <f t="shared" si="30"/>
        <v>0</v>
      </c>
      <c r="T127" s="176">
        <f t="shared" si="31"/>
        <v>6</v>
      </c>
      <c r="U127" s="251">
        <f t="shared" si="32"/>
        <v>0.84766072763061495</v>
      </c>
      <c r="V127" s="383">
        <f t="shared" si="33"/>
        <v>52.426320792761906</v>
      </c>
      <c r="W127" s="402">
        <f t="shared" si="34"/>
        <v>9.2082908101091636</v>
      </c>
      <c r="X127" s="157">
        <f t="shared" si="35"/>
        <v>45404</v>
      </c>
      <c r="Y127" s="385">
        <f t="shared" si="36"/>
        <v>8.5761671460884319</v>
      </c>
      <c r="Z127" s="385">
        <f t="shared" si="37"/>
        <v>9.0038141777387359</v>
      </c>
      <c r="AA127" s="386">
        <f t="shared" si="38"/>
        <v>10.407691304794977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0.13488842875359425</v>
      </c>
      <c r="AD127" s="231">
        <f>(INDEX(Models!$BJ127:$BT127,,AH127)*(1-AF127)+INDEX(Models!$BJ127:$BT127,,AH127+1)*AF127-ERP_i)*AE127*Ramure*Pc/MaxiM</f>
        <v>4.4337029039748151E-4</v>
      </c>
      <c r="AE127" s="305">
        <f t="shared" si="40"/>
        <v>0.7</v>
      </c>
      <c r="AF127" s="177">
        <f t="shared" si="41"/>
        <v>0.84766072763061495</v>
      </c>
      <c r="AG127" s="810">
        <f t="shared" si="49"/>
        <v>0</v>
      </c>
      <c r="AH127" s="176">
        <f t="shared" si="42"/>
        <v>6</v>
      </c>
      <c r="AI127" s="225">
        <f t="shared" si="43"/>
        <v>0.84766072763061495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31.676761984556709</v>
      </c>
      <c r="C128" s="840"/>
      <c r="D128" s="393">
        <f t="shared" si="25"/>
        <v>33.257084575174993</v>
      </c>
      <c r="E128" s="385">
        <f t="shared" si="47"/>
        <v>35.809369345799134</v>
      </c>
      <c r="F128" s="385">
        <f t="shared" si="26"/>
        <v>35.81586230623698</v>
      </c>
      <c r="G128" s="110">
        <f t="shared" si="48"/>
        <v>0.60160531883156565</v>
      </c>
      <c r="H128" s="414" t="b">
        <f>Wh_hp&gt;='2023'!Maxi_hp</f>
        <v>0</v>
      </c>
      <c r="I128" s="390">
        <f>IF(H128,Wh_hp,'2023'!Maxi_hp)</f>
        <v>54.494579426141378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4.7518374229289062E-2</v>
      </c>
      <c r="M128" s="844"/>
      <c r="N128" s="844"/>
      <c r="O128" s="48">
        <f>IF(t&lt;Tnet,'2023'!Resal+('2023'!Salim-'2023'!Resal)*(1-EXP(('2023'!Tnet-t)/('2023'!Tau_j))),Resal+(Salim-Resal)*(1-EXP((Tnet-t)/(Tau_j))))*Salcycl</f>
        <v>7.1274217257991351E-2</v>
      </c>
      <c r="P128" s="169">
        <f>(INDEX(Models!$BJ128:$BT128,,T128)*(1-R128)+INDEX(Models!$BJ128:$BT128,,T128+1)*R128-ERP_i)*Q128*Ramure*Pc/MaxiM</f>
        <v>4.2055139904052628E-4</v>
      </c>
      <c r="Q128" s="305">
        <f t="shared" si="28"/>
        <v>0.7</v>
      </c>
      <c r="R128" s="177">
        <f t="shared" si="29"/>
        <v>0.84945352713988009</v>
      </c>
      <c r="S128" s="810">
        <f t="shared" si="30"/>
        <v>0</v>
      </c>
      <c r="T128" s="176">
        <f t="shared" si="31"/>
        <v>6</v>
      </c>
      <c r="U128" s="251">
        <f t="shared" si="32"/>
        <v>0.84945352713988009</v>
      </c>
      <c r="V128" s="383">
        <f t="shared" si="33"/>
        <v>52.641126177918494</v>
      </c>
      <c r="W128" s="402">
        <f t="shared" si="34"/>
        <v>31.676761984556709</v>
      </c>
      <c r="X128" s="157">
        <f t="shared" si="35"/>
        <v>45405</v>
      </c>
      <c r="Y128" s="385">
        <f t="shared" si="36"/>
        <v>29.503361273117665</v>
      </c>
      <c r="Z128" s="385">
        <f t="shared" si="37"/>
        <v>30.97525503365453</v>
      </c>
      <c r="AA128" s="386">
        <f t="shared" si="38"/>
        <v>35.809369345799134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0.13499579580592921</v>
      </c>
      <c r="AD128" s="231">
        <f>(INDEX(Models!$BJ128:$BT128,,AH128)*(1-AF128)+INDEX(Models!$BJ128:$BT128,,AH128+1)*AF128-ERP_i)*AE128*Ramure*Pc/MaxiM</f>
        <v>4.2055139904052628E-4</v>
      </c>
      <c r="AE128" s="305">
        <f t="shared" si="40"/>
        <v>0.7</v>
      </c>
      <c r="AF128" s="177">
        <f t="shared" si="41"/>
        <v>0.84945352713988009</v>
      </c>
      <c r="AG128" s="810">
        <f t="shared" si="49"/>
        <v>0</v>
      </c>
      <c r="AH128" s="176">
        <f t="shared" si="42"/>
        <v>6</v>
      </c>
      <c r="AI128" s="225">
        <f t="shared" si="43"/>
        <v>0.84945352713988009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47.468944398751788</v>
      </c>
      <c r="C129" s="840"/>
      <c r="D129" s="393">
        <f t="shared" si="25"/>
        <v>49.838283292585956</v>
      </c>
      <c r="E129" s="385">
        <f t="shared" si="47"/>
        <v>53.671835431658458</v>
      </c>
      <c r="F129" s="385">
        <f t="shared" si="26"/>
        <v>53.690147068876783</v>
      </c>
      <c r="G129" s="110">
        <f t="shared" si="48"/>
        <v>0.89814244777983343</v>
      </c>
      <c r="H129" s="414" t="b">
        <f>Wh_hp&gt;='2023'!Maxi_hp</f>
        <v>0</v>
      </c>
      <c r="I129" s="390">
        <f>IF(H129,Wh_hp,'2023'!Maxi_hp)</f>
        <v>58.750852702335024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4.7540539868206833E-2</v>
      </c>
      <c r="M129" s="844"/>
      <c r="N129" s="844"/>
      <c r="O129" s="48">
        <f>IF(t&lt;Tnet,'2023'!Resal+('2023'!Salim-'2023'!Resal)*(1-EXP(('2023'!Tnet-t)/('2023'!Tau_j))),Resal+(Salim-Resal)*(1-EXP((Tnet-t)/(Tau_j))))*Salcycl</f>
        <v>7.1425769367508454E-2</v>
      </c>
      <c r="P129" s="169">
        <f>(INDEX(Models!$BJ129:$BT129,,T129)*(1-R129)+INDEX(Models!$BJ129:$BT129,,T129+1)*R129-ERP_i)*Q129*Ramure*Pc/MaxiM</f>
        <v>3.9910588645321408E-4</v>
      </c>
      <c r="Q129" s="305">
        <f t="shared" si="28"/>
        <v>0.7</v>
      </c>
      <c r="R129" s="177">
        <f t="shared" si="29"/>
        <v>0.85130220034385284</v>
      </c>
      <c r="S129" s="810">
        <f t="shared" si="30"/>
        <v>0</v>
      </c>
      <c r="T129" s="176">
        <f t="shared" si="31"/>
        <v>6</v>
      </c>
      <c r="U129" s="251">
        <f t="shared" si="32"/>
        <v>0.85130220034385284</v>
      </c>
      <c r="V129" s="383">
        <f t="shared" si="33"/>
        <v>52.84928717707426</v>
      </c>
      <c r="W129" s="402">
        <f t="shared" si="34"/>
        <v>47.468944398751788</v>
      </c>
      <c r="X129" s="157">
        <f t="shared" si="35"/>
        <v>45406</v>
      </c>
      <c r="Y129" s="385">
        <f t="shared" si="36"/>
        <v>44.213643775904444</v>
      </c>
      <c r="Z129" s="385">
        <f t="shared" si="37"/>
        <v>46.4204993772507</v>
      </c>
      <c r="AA129" s="386">
        <f t="shared" si="38"/>
        <v>53.671835431658458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0.13510505083510782</v>
      </c>
      <c r="AD129" s="231">
        <f>(INDEX(Models!$BJ129:$BT129,,AH129)*(1-AF129)+INDEX(Models!$BJ129:$BT129,,AH129+1)*AF129-ERP_i)*AE129*Ramure*Pc/MaxiM</f>
        <v>3.9910588645321408E-4</v>
      </c>
      <c r="AE129" s="305">
        <f t="shared" si="40"/>
        <v>0.7</v>
      </c>
      <c r="AF129" s="177">
        <f t="shared" si="41"/>
        <v>0.85130220034385284</v>
      </c>
      <c r="AG129" s="810">
        <f t="shared" si="49"/>
        <v>0</v>
      </c>
      <c r="AH129" s="176">
        <f t="shared" si="42"/>
        <v>6</v>
      </c>
      <c r="AI129" s="225">
        <f t="shared" si="43"/>
        <v>0.85130220034385284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51.642783713819497</v>
      </c>
      <c r="C130" s="840"/>
      <c r="D130" s="393">
        <f t="shared" si="25"/>
        <v>54.22171515590184</v>
      </c>
      <c r="E130" s="385">
        <f t="shared" si="47"/>
        <v>58.402033349003943</v>
      </c>
      <c r="F130" s="385">
        <f t="shared" si="26"/>
        <v>58.423337046413565</v>
      </c>
      <c r="G130" s="110">
        <f t="shared" si="48"/>
        <v>0.97344321146619905</v>
      </c>
      <c r="H130" s="414" t="b">
        <f>Wh_hp&gt;='2023'!Maxi_hp</f>
        <v>0</v>
      </c>
      <c r="I130" s="390">
        <f>IF(H130,Wh_hp,'2023'!Maxi_hp)</f>
        <v>58.42375193086324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4.7562704991297888E-2</v>
      </c>
      <c r="M130" s="844"/>
      <c r="N130" s="844"/>
      <c r="O130" s="48">
        <f>IF(t&lt;Tnet,'2023'!Resal+('2023'!Salim-'2023'!Resal)*(1-EXP(('2023'!Tnet-t)/('2023'!Tau_j))),Resal+(Salim-Resal)*(1-EXP((Tnet-t)/(Tau_j))))*Salcycl</f>
        <v>7.1578298791773104E-2</v>
      </c>
      <c r="P130" s="169">
        <f>(INDEX(Models!$BJ130:$BT130,,T130)*(1-R130)+INDEX(Models!$BJ130:$BT130,,T130+1)*R130-ERP_i)*Q130*Ramure*Pc/MaxiM</f>
        <v>3.7901522919252451E-4</v>
      </c>
      <c r="Q130" s="305">
        <f t="shared" si="28"/>
        <v>0.7</v>
      </c>
      <c r="R130" s="177">
        <f t="shared" si="29"/>
        <v>0.85320776576613999</v>
      </c>
      <c r="S130" s="810">
        <f t="shared" si="30"/>
        <v>0</v>
      </c>
      <c r="T130" s="176">
        <f t="shared" si="31"/>
        <v>6</v>
      </c>
      <c r="U130" s="251">
        <f t="shared" si="32"/>
        <v>0.85320776576613999</v>
      </c>
      <c r="V130" s="383">
        <f t="shared" si="33"/>
        <v>53.05090286228392</v>
      </c>
      <c r="W130" s="402">
        <f t="shared" si="34"/>
        <v>51.642783713819497</v>
      </c>
      <c r="X130" s="157">
        <f t="shared" si="35"/>
        <v>45407</v>
      </c>
      <c r="Y130" s="385">
        <f t="shared" si="36"/>
        <v>48.102971995251323</v>
      </c>
      <c r="Z130" s="385">
        <f t="shared" si="37"/>
        <v>50.505132723526771</v>
      </c>
      <c r="AA130" s="386">
        <f t="shared" si="38"/>
        <v>58.402033349003943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0.13521619321516065</v>
      </c>
      <c r="AD130" s="231">
        <f>(INDEX(Models!$BJ130:$BT130,,AH130)*(1-AF130)+INDEX(Models!$BJ130:$BT130,,AH130+1)*AF130-ERP_i)*AE130*Ramure*Pc/MaxiM</f>
        <v>3.7901522919252451E-4</v>
      </c>
      <c r="AE130" s="305">
        <f t="shared" si="40"/>
        <v>0.7</v>
      </c>
      <c r="AF130" s="177">
        <f t="shared" si="41"/>
        <v>0.85320776576613999</v>
      </c>
      <c r="AG130" s="810">
        <f t="shared" si="49"/>
        <v>0</v>
      </c>
      <c r="AH130" s="176">
        <f t="shared" si="42"/>
        <v>6</v>
      </c>
      <c r="AI130" s="225">
        <f t="shared" si="43"/>
        <v>0.85320776576613999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37.671858286703113</v>
      </c>
      <c r="C131" s="840"/>
      <c r="D131" s="393">
        <f t="shared" si="25"/>
        <v>39.554031728606724</v>
      </c>
      <c r="E131" s="385">
        <f t="shared" si="47"/>
        <v>42.610564533635099</v>
      </c>
      <c r="F131" s="385">
        <f t="shared" si="26"/>
        <v>42.619503003414657</v>
      </c>
      <c r="G131" s="110">
        <f t="shared" si="48"/>
        <v>0.70739839543450234</v>
      </c>
      <c r="H131" s="414" t="b">
        <f>Wh_hp&gt;='2023'!Maxi_hp</f>
        <v>0</v>
      </c>
      <c r="I131" s="390">
        <f>IF(H131,Wh_hp,'2023'!Maxi_hp)</f>
        <v>42.622666963582361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4.7584869598573998E-2</v>
      </c>
      <c r="M131" s="844"/>
      <c r="N131" s="844"/>
      <c r="O131" s="48">
        <f>IF(t&lt;Tnet,'2023'!Resal+('2023'!Salim-'2023'!Resal)*(1-EXP(('2023'!Tnet-t)/('2023'!Tau_j))),Resal+(Salim-Resal)*(1-EXP((Tnet-t)/(Tau_j))))*Salcycl</f>
        <v>7.1731807322469712E-2</v>
      </c>
      <c r="P131" s="169">
        <f>(INDEX(Models!$BJ131:$BT131,,T131)*(1-R131)+INDEX(Models!$BJ131:$BT131,,T131+1)*R131-ERP_i)*Q131*Ramure*Pc/MaxiM</f>
        <v>3.6026326089270549E-4</v>
      </c>
      <c r="Q131" s="305">
        <f t="shared" si="28"/>
        <v>0.7</v>
      </c>
      <c r="R131" s="177">
        <f t="shared" si="29"/>
        <v>0.85517120655584788</v>
      </c>
      <c r="S131" s="810">
        <f t="shared" si="30"/>
        <v>0</v>
      </c>
      <c r="T131" s="176">
        <f t="shared" si="31"/>
        <v>6</v>
      </c>
      <c r="U131" s="251">
        <f t="shared" si="32"/>
        <v>0.85517120655584788</v>
      </c>
      <c r="V131" s="383">
        <f t="shared" si="33"/>
        <v>53.246072323178069</v>
      </c>
      <c r="W131" s="402">
        <f t="shared" si="34"/>
        <v>37.671858286703113</v>
      </c>
      <c r="X131" s="157">
        <f t="shared" si="35"/>
        <v>45408</v>
      </c>
      <c r="Y131" s="385">
        <f t="shared" si="36"/>
        <v>35.090887941965512</v>
      </c>
      <c r="Z131" s="385">
        <f t="shared" si="37"/>
        <v>36.844110117376367</v>
      </c>
      <c r="AA131" s="386">
        <f t="shared" si="38"/>
        <v>42.610564533635099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0.13532921892426278</v>
      </c>
      <c r="AD131" s="231">
        <f>(INDEX(Models!$BJ131:$BT131,,AH131)*(1-AF131)+INDEX(Models!$BJ131:$BT131,,AH131+1)*AF131-ERP_i)*AE131*Ramure*Pc/MaxiM</f>
        <v>3.6026326089270549E-4</v>
      </c>
      <c r="AE131" s="305">
        <f t="shared" si="40"/>
        <v>0.7</v>
      </c>
      <c r="AF131" s="177">
        <f t="shared" si="41"/>
        <v>0.85517120655584788</v>
      </c>
      <c r="AG131" s="810">
        <f t="shared" si="49"/>
        <v>0</v>
      </c>
      <c r="AH131" s="176">
        <f t="shared" si="42"/>
        <v>6</v>
      </c>
      <c r="AI131" s="225">
        <f t="shared" si="43"/>
        <v>0.85517120655584788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23.302700625250775</v>
      </c>
      <c r="C132" s="840"/>
      <c r="D132" s="393">
        <f t="shared" si="25"/>
        <v>24.467527007824419</v>
      </c>
      <c r="E132" s="385">
        <f t="shared" si="47"/>
        <v>26.362639482854838</v>
      </c>
      <c r="F132" s="385">
        <f t="shared" si="26"/>
        <v>26.364396795895825</v>
      </c>
      <c r="G132" s="110">
        <f t="shared" si="48"/>
        <v>0.43597474212007692</v>
      </c>
      <c r="H132" s="414" t="b">
        <f>Wh_hp&gt;='2023'!Maxi_hp</f>
        <v>0</v>
      </c>
      <c r="I132" s="390">
        <f>IF(H132,Wh_hp,'2023'!Maxi_hp)</f>
        <v>46.447787354157064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4.7607033690047484E-2</v>
      </c>
      <c r="M132" s="844"/>
      <c r="N132" s="844"/>
      <c r="O132" s="48">
        <f>IF(t&lt;Tnet,'2023'!Resal+('2023'!Salim-'2023'!Resal)*(1-EXP(('2023'!Tnet-t)/('2023'!Tau_j))),Resal+(Salim-Resal)*(1-EXP((Tnet-t)/(Tau_j))))*Salcycl</f>
        <v>7.1886294855373636E-2</v>
      </c>
      <c r="P132" s="169">
        <f>(INDEX(Models!$BJ132:$BT132,,T132)*(1-R132)+INDEX(Models!$BJ132:$BT132,,T132+1)*R132-ERP_i)*Q132*Ramure*Pc/MaxiM</f>
        <v>3.4283610436701618E-4</v>
      </c>
      <c r="Q132" s="305">
        <f t="shared" si="28"/>
        <v>0.7</v>
      </c>
      <c r="R132" s="177">
        <f t="shared" si="29"/>
        <v>0.85719346579014977</v>
      </c>
      <c r="S132" s="810">
        <f t="shared" si="30"/>
        <v>0</v>
      </c>
      <c r="T132" s="176">
        <f t="shared" si="31"/>
        <v>6</v>
      </c>
      <c r="U132" s="251">
        <f t="shared" si="32"/>
        <v>0.85719346579014977</v>
      </c>
      <c r="V132" s="383">
        <f t="shared" si="33"/>
        <v>53.434894673524205</v>
      </c>
      <c r="W132" s="402">
        <f t="shared" si="34"/>
        <v>23.302700625250775</v>
      </c>
      <c r="X132" s="157">
        <f t="shared" si="35"/>
        <v>45409</v>
      </c>
      <c r="Y132" s="385">
        <f t="shared" si="36"/>
        <v>21.706916646159023</v>
      </c>
      <c r="Z132" s="385">
        <f t="shared" si="37"/>
        <v>22.791974966239508</v>
      </c>
      <c r="AA132" s="386">
        <f t="shared" si="38"/>
        <v>26.362639482854838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0.13544412041660486</v>
      </c>
      <c r="AD132" s="231">
        <f>(INDEX(Models!$BJ132:$BT132,,AH132)*(1-AF132)+INDEX(Models!$BJ132:$BT132,,AH132+1)*AF132-ERP_i)*AE132*Ramure*Pc/MaxiM</f>
        <v>3.4283610436701618E-4</v>
      </c>
      <c r="AE132" s="305">
        <f t="shared" si="40"/>
        <v>0.7</v>
      </c>
      <c r="AF132" s="177">
        <f t="shared" si="41"/>
        <v>0.85719346579014977</v>
      </c>
      <c r="AG132" s="810">
        <f t="shared" si="49"/>
        <v>0</v>
      </c>
      <c r="AH132" s="176">
        <f t="shared" si="42"/>
        <v>6</v>
      </c>
      <c r="AI132" s="225">
        <f t="shared" si="43"/>
        <v>0.85719346579014977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42.344913094934846</v>
      </c>
      <c r="C133" s="840"/>
      <c r="D133" s="393">
        <f t="shared" si="25"/>
        <v>44.462632593693556</v>
      </c>
      <c r="E133" s="385">
        <f t="shared" si="47"/>
        <v>47.914475721091108</v>
      </c>
      <c r="F133" s="385">
        <f t="shared" si="26"/>
        <v>47.925431152987812</v>
      </c>
      <c r="G133" s="110">
        <f t="shared" si="48"/>
        <v>0.78968212475573318</v>
      </c>
      <c r="H133" s="414" t="b">
        <f>Wh_hp&gt;='2023'!Maxi_hp</f>
        <v>0</v>
      </c>
      <c r="I133" s="390">
        <f>IF(H133,Wh_hp,'2023'!Maxi_hp)</f>
        <v>53.503420570987252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4.7629197265730006E-2</v>
      </c>
      <c r="M133" s="844"/>
      <c r="N133" s="844"/>
      <c r="O133" s="48">
        <f>IF(t&lt;Tnet,'2023'!Resal+('2023'!Salim-'2023'!Resal)*(1-EXP(('2023'!Tnet-t)/('2023'!Tau_j))),Resal+(Salim-Resal)*(1-EXP((Tnet-t)/(Tau_j))))*Salcycl</f>
        <v>7.2041759310706832E-2</v>
      </c>
      <c r="P133" s="169">
        <f>(INDEX(Models!$BJ133:$BT133,,T133)*(1-R133)+INDEX(Models!$BJ133:$BT133,,T133+1)*R133-ERP_i)*Q133*Ramure*Pc/MaxiM</f>
        <v>3.2672210707447471E-4</v>
      </c>
      <c r="Q133" s="305">
        <f t="shared" si="28"/>
        <v>0.7</v>
      </c>
      <c r="R133" s="177">
        <f t="shared" si="29"/>
        <v>0.85927544159905545</v>
      </c>
      <c r="S133" s="810">
        <f t="shared" si="30"/>
        <v>0</v>
      </c>
      <c r="T133" s="176">
        <f t="shared" si="31"/>
        <v>6</v>
      </c>
      <c r="U133" s="251">
        <f t="shared" si="32"/>
        <v>0.85927544159905545</v>
      </c>
      <c r="V133" s="383">
        <f t="shared" si="33"/>
        <v>53.617469056482058</v>
      </c>
      <c r="W133" s="402">
        <f t="shared" si="34"/>
        <v>42.344913094934846</v>
      </c>
      <c r="X133" s="157">
        <f t="shared" si="35"/>
        <v>45410</v>
      </c>
      <c r="Y133" s="385">
        <f t="shared" si="36"/>
        <v>39.446386197329083</v>
      </c>
      <c r="Z133" s="385">
        <f t="shared" si="37"/>
        <v>41.41914691638798</v>
      </c>
      <c r="AA133" s="386">
        <f t="shared" si="38"/>
        <v>47.914475721091108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0.13556088649518491</v>
      </c>
      <c r="AD133" s="231">
        <f>(INDEX(Models!$BJ133:$BT133,,AH133)*(1-AF133)+INDEX(Models!$BJ133:$BT133,,AH133+1)*AF133-ERP_i)*AE133*Ramure*Pc/MaxiM</f>
        <v>3.2672210707447471E-4</v>
      </c>
      <c r="AE133" s="305">
        <f t="shared" si="40"/>
        <v>0.7</v>
      </c>
      <c r="AF133" s="177">
        <f t="shared" si="41"/>
        <v>0.85927544159905545</v>
      </c>
      <c r="AG133" s="810">
        <f t="shared" si="49"/>
        <v>0</v>
      </c>
      <c r="AH133" s="176">
        <f t="shared" si="42"/>
        <v>6</v>
      </c>
      <c r="AI133" s="225">
        <f t="shared" si="43"/>
        <v>0.85927544159905545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44.6215414915088</v>
      </c>
      <c r="C134" s="840"/>
      <c r="D134" s="393">
        <f t="shared" si="25"/>
        <v>46.854208251681989</v>
      </c>
      <c r="E134" s="385">
        <f t="shared" si="47"/>
        <v>50.500234077651072</v>
      </c>
      <c r="F134" s="385">
        <f t="shared" si="26"/>
        <v>50.512151656533057</v>
      </c>
      <c r="G134" s="110">
        <f t="shared" si="48"/>
        <v>0.82942777760123287</v>
      </c>
      <c r="H134" s="414" t="b">
        <f>Wh_hp&gt;='2023'!Maxi_hp</f>
        <v>0</v>
      </c>
      <c r="I134" s="390">
        <f>IF(H134,Wh_hp,'2023'!Maxi_hp)</f>
        <v>61.024126150933135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4.7651360325633885E-2</v>
      </c>
      <c r="M134" s="844"/>
      <c r="N134" s="844"/>
      <c r="O134" s="48">
        <f>IF(t&lt;Tnet,'2023'!Resal+('2023'!Salim-'2023'!Resal)*(1-EXP(('2023'!Tnet-t)/('2023'!Tau_j))),Resal+(Salim-Resal)*(1-EXP((Tnet-t)/(Tau_j))))*Salcycl</f>
        <v>7.2198196554154895E-2</v>
      </c>
      <c r="P134" s="169">
        <f>(INDEX(Models!$BJ134:$BT134,,T134)*(1-R134)+INDEX(Models!$BJ134:$BT134,,T134+1)*R134-ERP_i)*Q134*Ramure*Pc/MaxiM</f>
        <v>3.1191177934396702E-4</v>
      </c>
      <c r="Q134" s="305">
        <f t="shared" si="28"/>
        <v>0.7</v>
      </c>
      <c r="R134" s="177">
        <f t="shared" si="29"/>
        <v>0.86141798212487874</v>
      </c>
      <c r="S134" s="810">
        <f t="shared" si="30"/>
        <v>0</v>
      </c>
      <c r="T134" s="176">
        <f t="shared" si="31"/>
        <v>6</v>
      </c>
      <c r="U134" s="251">
        <f t="shared" si="32"/>
        <v>0.86141798212487874</v>
      </c>
      <c r="V134" s="383">
        <f t="shared" si="33"/>
        <v>53.793894646879913</v>
      </c>
      <c r="W134" s="402">
        <f t="shared" si="34"/>
        <v>44.6215414915088</v>
      </c>
      <c r="X134" s="157">
        <f t="shared" si="35"/>
        <v>45411</v>
      </c>
      <c r="Y134" s="385">
        <f t="shared" si="36"/>
        <v>41.568482419304296</v>
      </c>
      <c r="Z134" s="385">
        <f t="shared" si="37"/>
        <v>43.648387457683242</v>
      </c>
      <c r="AA134" s="386">
        <f t="shared" si="38"/>
        <v>50.500234077651072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0.13567950218670605</v>
      </c>
      <c r="AD134" s="231">
        <f>(INDEX(Models!$BJ134:$BT134,,AH134)*(1-AF134)+INDEX(Models!$BJ134:$BT134,,AH134+1)*AF134-ERP_i)*AE134*Ramure*Pc/MaxiM</f>
        <v>3.1191177934396702E-4</v>
      </c>
      <c r="AE134" s="305">
        <f t="shared" si="40"/>
        <v>0.7</v>
      </c>
      <c r="AF134" s="177">
        <f t="shared" si="41"/>
        <v>0.86141798212487874</v>
      </c>
      <c r="AG134" s="810">
        <f t="shared" si="49"/>
        <v>0</v>
      </c>
      <c r="AH134" s="176">
        <f t="shared" si="42"/>
        <v>6</v>
      </c>
      <c r="AI134" s="225">
        <f t="shared" si="43"/>
        <v>0.86141798212487874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45.497056956582668</v>
      </c>
      <c r="C135" s="840"/>
      <c r="D135" s="393">
        <f t="shared" si="25"/>
        <v>47.774642466819728</v>
      </c>
      <c r="E135" s="385">
        <f t="shared" si="47"/>
        <v>51.501030441472196</v>
      </c>
      <c r="F135" s="385">
        <f t="shared" si="26"/>
        <v>51.512956695714173</v>
      </c>
      <c r="G135" s="110">
        <f t="shared" si="48"/>
        <v>0.84304983973430769</v>
      </c>
      <c r="H135" s="414" t="b">
        <f>Wh_hp&gt;='2023'!Maxi_hp</f>
        <v>0</v>
      </c>
      <c r="I135" s="390">
        <f>IF(H135,Wh_hp,'2023'!Maxi_hp)</f>
        <v>55.440910682526471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4.767352286977089E-2</v>
      </c>
      <c r="M135" s="844"/>
      <c r="N135" s="844"/>
      <c r="O135" s="48">
        <f>IF(t&lt;Tnet,'2023'!Resal+('2023'!Salim-'2023'!Resal)*(1-EXP(('2023'!Tnet-t)/('2023'!Tau_j))),Resal+(Salim-Resal)*(1-EXP((Tnet-t)/(Tau_j))))*Salcycl</f>
        <v>7.2355600319245678E-2</v>
      </c>
      <c r="P135" s="169">
        <f>(INDEX(Models!$BJ135:$BT135,,T135)*(1-R135)+INDEX(Models!$BJ135:$BT135,,T135+1)*R135-ERP_i)*Q135*Ramure*Pc/MaxiM</f>
        <v>2.9840138311944611E-4</v>
      </c>
      <c r="Q135" s="305">
        <f t="shared" si="28"/>
        <v>0.7</v>
      </c>
      <c r="R135" s="177">
        <f t="shared" si="29"/>
        <v>0.8636218803313267</v>
      </c>
      <c r="S135" s="810">
        <f t="shared" si="30"/>
        <v>0</v>
      </c>
      <c r="T135" s="176">
        <f t="shared" si="31"/>
        <v>6</v>
      </c>
      <c r="U135" s="251">
        <f t="shared" si="32"/>
        <v>0.8636218803313267</v>
      </c>
      <c r="V135" s="383">
        <f t="shared" si="33"/>
        <v>53.963610665826906</v>
      </c>
      <c r="W135" s="402">
        <f t="shared" si="34"/>
        <v>45.497056956582668</v>
      </c>
      <c r="X135" s="157">
        <f t="shared" si="35"/>
        <v>45412</v>
      </c>
      <c r="Y135" s="385">
        <f t="shared" si="36"/>
        <v>42.385378462970181</v>
      </c>
      <c r="Z135" s="385">
        <f t="shared" si="37"/>
        <v>44.507193153650029</v>
      </c>
      <c r="AA135" s="386">
        <f t="shared" si="38"/>
        <v>51.501030441472196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0.13579994861986783</v>
      </c>
      <c r="AD135" s="231">
        <f>(INDEX(Models!$BJ135:$BT135,,AH135)*(1-AF135)+INDEX(Models!$BJ135:$BT135,,AH135+1)*AF135-ERP_i)*AE135*Ramure*Pc/MaxiM</f>
        <v>2.9840138311944611E-4</v>
      </c>
      <c r="AE135" s="305">
        <f t="shared" si="40"/>
        <v>0.7</v>
      </c>
      <c r="AF135" s="177">
        <f t="shared" si="41"/>
        <v>0.8636218803313267</v>
      </c>
      <c r="AG135" s="810">
        <f t="shared" si="49"/>
        <v>0</v>
      </c>
      <c r="AH135" s="176">
        <f t="shared" si="42"/>
        <v>6</v>
      </c>
      <c r="AI135" s="225">
        <f t="shared" si="43"/>
        <v>0.8636218803313267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26.59549728854515</v>
      </c>
      <c r="C136" s="840"/>
      <c r="D136" s="393">
        <f t="shared" si="25"/>
        <v>27.927519456530888</v>
      </c>
      <c r="E136" s="385">
        <f t="shared" si="47"/>
        <v>30.110986382849308</v>
      </c>
      <c r="F136" s="385">
        <f t="shared" si="26"/>
        <v>30.113344971393303</v>
      </c>
      <c r="G136" s="110">
        <f t="shared" si="48"/>
        <v>0.49125945053418379</v>
      </c>
      <c r="H136" s="414" t="b">
        <f>Wh_hp&gt;='2023'!Maxi_hp</f>
        <v>0</v>
      </c>
      <c r="I136" s="390">
        <f>IF(H136,Wh_hp,'2023'!Maxi_hp)</f>
        <v>48.436895497277384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4.7695684898153123E-2</v>
      </c>
      <c r="M136" s="844"/>
      <c r="N136" s="844"/>
      <c r="O136" s="48">
        <f>IF(t&lt;Tnet,'2023'!Resal+('2023'!Salim-'2023'!Resal)*(1-EXP(('2023'!Tnet-t)/('2023'!Tau_j))),Resal+(Salim-Resal)*(1-EXP((Tnet-t)/(Tau_j))))*Salcycl</f>
        <v>7.2513962131844481E-2</v>
      </c>
      <c r="P136" s="169">
        <f>(INDEX(Models!$BJ136:$BT136,,T136)*(1-R136)+INDEX(Models!$BJ136:$BT136,,T136+1)*R136-ERP_i)*Q136*Ramure*Pc/MaxiM</f>
        <v>2.8650756038762126E-4</v>
      </c>
      <c r="Q136" s="305">
        <f t="shared" si="28"/>
        <v>0.7</v>
      </c>
      <c r="R136" s="177">
        <f t="shared" si="29"/>
        <v>0.86588786867967482</v>
      </c>
      <c r="S136" s="810">
        <f t="shared" si="30"/>
        <v>0</v>
      </c>
      <c r="T136" s="176">
        <f t="shared" si="31"/>
        <v>6</v>
      </c>
      <c r="U136" s="251">
        <f t="shared" si="32"/>
        <v>0.86588786867967482</v>
      </c>
      <c r="V136" s="383">
        <f t="shared" si="33"/>
        <v>54.126103981505409</v>
      </c>
      <c r="W136" s="402">
        <f t="shared" si="34"/>
        <v>26.59549728854515</v>
      </c>
      <c r="X136" s="157">
        <f t="shared" si="35"/>
        <v>45413</v>
      </c>
      <c r="Y136" s="385">
        <f t="shared" si="36"/>
        <v>24.777277254180742</v>
      </c>
      <c r="Z136" s="385">
        <f t="shared" si="37"/>
        <v>26.018234781946635</v>
      </c>
      <c r="AA136" s="386">
        <f t="shared" si="38"/>
        <v>30.110986382849308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0.13592220290843193</v>
      </c>
      <c r="AD136" s="231">
        <f>(INDEX(Models!$BJ136:$BT136,,AH136)*(1-AF136)+INDEX(Models!$BJ136:$BT136,,AH136+1)*AF136-ERP_i)*AE136*Ramure*Pc/MaxiM</f>
        <v>2.8650756038762126E-4</v>
      </c>
      <c r="AE136" s="305">
        <f t="shared" si="40"/>
        <v>0.7</v>
      </c>
      <c r="AF136" s="177">
        <f t="shared" si="41"/>
        <v>0.86588786867967482</v>
      </c>
      <c r="AG136" s="810">
        <f t="shared" si="49"/>
        <v>0</v>
      </c>
      <c r="AH136" s="176">
        <f t="shared" si="42"/>
        <v>6</v>
      </c>
      <c r="AI136" s="225">
        <f t="shared" si="43"/>
        <v>0.86588786867967482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36.547021595457068</v>
      </c>
      <c r="C137" s="840"/>
      <c r="D137" s="393">
        <f t="shared" si="25"/>
        <v>38.378353996984188</v>
      </c>
      <c r="E137" s="385">
        <f t="shared" si="47"/>
        <v>41.386010784141106</v>
      </c>
      <c r="F137" s="385">
        <f t="shared" si="26"/>
        <v>41.392092284845241</v>
      </c>
      <c r="G137" s="110">
        <f t="shared" si="48"/>
        <v>0.67319892595204311</v>
      </c>
      <c r="H137" s="414" t="b">
        <f>Wh_hp&gt;='2023'!Maxi_hp</f>
        <v>0</v>
      </c>
      <c r="I137" s="390">
        <f>IF(H137,Wh_hp,'2023'!Maxi_hp)</f>
        <v>59.778288949958807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4.7717846410792686E-2</v>
      </c>
      <c r="M137" s="844"/>
      <c r="N137" s="844"/>
      <c r="O137" s="48">
        <f>IF(t&lt;Tnet,'2023'!Resal+('2023'!Salim-'2023'!Resal)*(1-EXP(('2023'!Tnet-t)/('2023'!Tau_j))),Resal+(Salim-Resal)*(1-EXP((Tnet-t)/(Tau_j))))*Salcycl</f>
        <v>7.2673271237570822E-2</v>
      </c>
      <c r="P137" s="169">
        <f>(INDEX(Models!$BJ137:$BT137,,T137)*(1-R137)+INDEX(Models!$BJ137:$BT137,,T137+1)*R137-ERP_i)*Q137*Ramure*Pc/MaxiM</f>
        <v>2.7551819149098619E-4</v>
      </c>
      <c r="Q137" s="305">
        <f t="shared" si="28"/>
        <v>0.7</v>
      </c>
      <c r="R137" s="177">
        <f t="shared" si="29"/>
        <v>0.86821661369212577</v>
      </c>
      <c r="S137" s="810">
        <f t="shared" si="30"/>
        <v>0</v>
      </c>
      <c r="T137" s="176">
        <f t="shared" si="31"/>
        <v>6</v>
      </c>
      <c r="U137" s="251">
        <f t="shared" si="32"/>
        <v>0.86821661369212577</v>
      </c>
      <c r="V137" s="383">
        <f t="shared" si="33"/>
        <v>54.281609446080381</v>
      </c>
      <c r="W137" s="402">
        <f t="shared" si="34"/>
        <v>36.547021595457068</v>
      </c>
      <c r="X137" s="157">
        <f t="shared" si="35"/>
        <v>45414</v>
      </c>
      <c r="Y137" s="385">
        <f t="shared" si="36"/>
        <v>34.04941949419279</v>
      </c>
      <c r="Z137" s="385">
        <f t="shared" si="37"/>
        <v>35.755599709454316</v>
      </c>
      <c r="AA137" s="386">
        <f t="shared" si="38"/>
        <v>41.386010784141106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0.13604623804052013</v>
      </c>
      <c r="AD137" s="231">
        <f>(INDEX(Models!$BJ137:$BT137,,AH137)*(1-AF137)+INDEX(Models!$BJ137:$BT137,,AH137+1)*AF137-ERP_i)*AE137*Ramure*Pc/MaxiM</f>
        <v>2.7551819149098619E-4</v>
      </c>
      <c r="AE137" s="305">
        <f t="shared" si="40"/>
        <v>0.7</v>
      </c>
      <c r="AF137" s="177">
        <f t="shared" si="41"/>
        <v>0.86821661369212577</v>
      </c>
      <c r="AG137" s="810">
        <f t="shared" si="49"/>
        <v>0</v>
      </c>
      <c r="AH137" s="176">
        <f t="shared" si="42"/>
        <v>6</v>
      </c>
      <c r="AI137" s="225">
        <f t="shared" si="43"/>
        <v>0.86821661369212577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20.726774582610915</v>
      </c>
      <c r="C138" s="840"/>
      <c r="D138" s="393">
        <f t="shared" si="25"/>
        <v>21.765877747512274</v>
      </c>
      <c r="E138" s="385">
        <f t="shared" si="47"/>
        <v>23.475695129929903</v>
      </c>
      <c r="F138" s="385">
        <f t="shared" si="26"/>
        <v>23.476414353902456</v>
      </c>
      <c r="G138" s="110">
        <f t="shared" si="48"/>
        <v>0.38070521071455848</v>
      </c>
      <c r="H138" s="414" t="b">
        <f>Wh_hp&gt;='2023'!Maxi_hp</f>
        <v>0</v>
      </c>
      <c r="I138" s="390">
        <f>IF(H138,Wh_hp,'2023'!Maxi_hp)</f>
        <v>54.701655711301164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4.7740007407701346E-2</v>
      </c>
      <c r="M138" s="844"/>
      <c r="N138" s="844"/>
      <c r="O138" s="48">
        <f>IF(t&lt;Tnet,'2023'!Resal+('2023'!Salim-'2023'!Resal)*(1-EXP(('2023'!Tnet-t)/('2023'!Tau_j))),Resal+(Salim-Resal)*(1-EXP((Tnet-t)/(Tau_j))))*Salcycl</f>
        <v>7.2833514532982979E-2</v>
      </c>
      <c r="P138" s="169">
        <f>(INDEX(Models!$BJ138:$BT138,,T138)*(1-R138)+INDEX(Models!$BJ138:$BT138,,T138+1)*R138-ERP_i)*Q138*Ramure*Pc/MaxiM</f>
        <v>2.6542876044378282E-4</v>
      </c>
      <c r="Q138" s="305">
        <f t="shared" si="28"/>
        <v>0.7</v>
      </c>
      <c r="R138" s="177">
        <f t="shared" si="29"/>
        <v>0.87060871042515808</v>
      </c>
      <c r="S138" s="810">
        <f t="shared" si="30"/>
        <v>0</v>
      </c>
      <c r="T138" s="176">
        <f t="shared" si="31"/>
        <v>6</v>
      </c>
      <c r="U138" s="251">
        <f t="shared" si="32"/>
        <v>0.87060871042515808</v>
      </c>
      <c r="V138" s="383">
        <f t="shared" si="33"/>
        <v>54.430323920395367</v>
      </c>
      <c r="W138" s="402">
        <f t="shared" si="34"/>
        <v>20.726774582610915</v>
      </c>
      <c r="X138" s="157">
        <f t="shared" si="35"/>
        <v>45415</v>
      </c>
      <c r="Y138" s="385">
        <f t="shared" si="36"/>
        <v>19.310844430558809</v>
      </c>
      <c r="Z138" s="385">
        <f t="shared" si="37"/>
        <v>20.278962238022501</v>
      </c>
      <c r="AA138" s="386">
        <f t="shared" si="38"/>
        <v>23.475695129929903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0.13617202277566587</v>
      </c>
      <c r="AD138" s="231">
        <f>(INDEX(Models!$BJ138:$BT138,,AH138)*(1-AF138)+INDEX(Models!$BJ138:$BT138,,AH138+1)*AF138-ERP_i)*AE138*Ramure*Pc/MaxiM</f>
        <v>2.6542876044378282E-4</v>
      </c>
      <c r="AE138" s="305">
        <f t="shared" si="40"/>
        <v>0.7</v>
      </c>
      <c r="AF138" s="177">
        <f t="shared" si="41"/>
        <v>0.87060871042515808</v>
      </c>
      <c r="AG138" s="810">
        <f t="shared" si="49"/>
        <v>0</v>
      </c>
      <c r="AH138" s="176">
        <f t="shared" si="42"/>
        <v>6</v>
      </c>
      <c r="AI138" s="225">
        <f t="shared" si="43"/>
        <v>0.87060871042515808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42.360679468498574</v>
      </c>
      <c r="C139" s="840"/>
      <c r="D139" s="393">
        <f t="shared" si="25"/>
        <v>44.48539854227915</v>
      </c>
      <c r="E139" s="385">
        <f t="shared" si="47"/>
        <v>47.988288108624616</v>
      </c>
      <c r="F139" s="385">
        <f t="shared" si="26"/>
        <v>47.99665509182163</v>
      </c>
      <c r="G139" s="110">
        <f t="shared" si="48"/>
        <v>0.77616477662471317</v>
      </c>
      <c r="H139" s="414" t="b">
        <f>Wh_hp&gt;='2023'!Maxi_hp</f>
        <v>0</v>
      </c>
      <c r="I139" s="390">
        <f>IF(H139,Wh_hp,'2023'!Maxi_hp)</f>
        <v>58.762376134897934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4.7762167888891316E-2</v>
      </c>
      <c r="M139" s="844"/>
      <c r="N139" s="844"/>
      <c r="O139" s="48">
        <f>IF(t&lt;Tnet,'2023'!Resal+('2023'!Salim-'2023'!Resal)*(1-EXP(('2023'!Tnet-t)/('2023'!Tau_j))),Resal+(Salim-Resal)*(1-EXP((Tnet-t)/(Tau_j))))*Salcycl</f>
        <v>7.2994676501408992E-2</v>
      </c>
      <c r="P139" s="169">
        <f>(INDEX(Models!$BJ139:$BT139,,T139)*(1-R139)+INDEX(Models!$BJ139:$BT139,,T139+1)*R139-ERP_i)*Q139*Ramure*Pc/MaxiM</f>
        <v>2.562363272085553E-4</v>
      </c>
      <c r="Q139" s="305">
        <f t="shared" si="28"/>
        <v>0.7</v>
      </c>
      <c r="R139" s="177">
        <f t="shared" si="29"/>
        <v>0.87306467687841927</v>
      </c>
      <c r="S139" s="810">
        <f t="shared" si="30"/>
        <v>0</v>
      </c>
      <c r="T139" s="176">
        <f t="shared" si="31"/>
        <v>6</v>
      </c>
      <c r="U139" s="251">
        <f t="shared" si="32"/>
        <v>0.87306467687841927</v>
      </c>
      <c r="V139" s="383">
        <f t="shared" si="33"/>
        <v>54.572444266912711</v>
      </c>
      <c r="W139" s="402">
        <f t="shared" si="34"/>
        <v>42.360679468498574</v>
      </c>
      <c r="X139" s="157">
        <f t="shared" si="35"/>
        <v>45416</v>
      </c>
      <c r="Y139" s="385">
        <f t="shared" si="36"/>
        <v>39.467884592374332</v>
      </c>
      <c r="Z139" s="385">
        <f t="shared" si="37"/>
        <v>41.447507399358564</v>
      </c>
      <c r="AA139" s="386">
        <f t="shared" si="38"/>
        <v>47.988288108624616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0.13629952155118708</v>
      </c>
      <c r="AD139" s="231">
        <f>(INDEX(Models!$BJ139:$BT139,,AH139)*(1-AF139)+INDEX(Models!$BJ139:$BT139,,AH139+1)*AF139-ERP_i)*AE139*Ramure*Pc/MaxiM</f>
        <v>2.562363272085553E-4</v>
      </c>
      <c r="AE139" s="305">
        <f t="shared" si="40"/>
        <v>0.7</v>
      </c>
      <c r="AF139" s="177">
        <f t="shared" si="41"/>
        <v>0.87306467687841927</v>
      </c>
      <c r="AG139" s="810">
        <f t="shared" si="49"/>
        <v>0</v>
      </c>
      <c r="AH139" s="176">
        <f t="shared" si="42"/>
        <v>6</v>
      </c>
      <c r="AI139" s="225">
        <f t="shared" si="43"/>
        <v>0.87306467687841927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35.77594303489591</v>
      </c>
      <c r="C140" s="840"/>
      <c r="D140" s="393">
        <f t="shared" si="25"/>
        <v>37.571260462750054</v>
      </c>
      <c r="E140" s="385">
        <f t="shared" si="47"/>
        <v>40.536800611215718</v>
      </c>
      <c r="F140" s="385">
        <f t="shared" si="26"/>
        <v>40.541883177824218</v>
      </c>
      <c r="G140" s="110">
        <f t="shared" si="48"/>
        <v>0.65386137074480366</v>
      </c>
      <c r="H140" s="414" t="b">
        <f>Wh_hp&gt;='2023'!Maxi_hp</f>
        <v>0</v>
      </c>
      <c r="I140" s="390">
        <f>IF(H140,Wh_hp,'2023'!Maxi_hp)</f>
        <v>63.468441538808548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4.7784327854374475E-2</v>
      </c>
      <c r="M140" s="844"/>
      <c r="N140" s="844"/>
      <c r="O140" s="48">
        <f>IF(t&lt;Tnet,'2023'!Resal+('2023'!Salim-'2023'!Resal)*(1-EXP(('2023'!Tnet-t)/('2023'!Tau_j))),Resal+(Salim-Resal)*(1-EXP((Tnet-t)/(Tau_j))))*Salcycl</f>
        <v>7.3156739154326716E-2</v>
      </c>
      <c r="P140" s="169">
        <f>(INDEX(Models!$BJ140:$BT140,,T140)*(1-R140)+INDEX(Models!$BJ140:$BT140,,T140+1)*R140-ERP_i)*Q140*Ramure*Pc/MaxiM</f>
        <v>2.4793947016105161E-4</v>
      </c>
      <c r="Q140" s="305">
        <f t="shared" si="28"/>
        <v>0.7</v>
      </c>
      <c r="R140" s="177">
        <f t="shared" si="29"/>
        <v>0.87558494836749234</v>
      </c>
      <c r="S140" s="810">
        <f t="shared" si="30"/>
        <v>0</v>
      </c>
      <c r="T140" s="176">
        <f t="shared" si="31"/>
        <v>6</v>
      </c>
      <c r="U140" s="251">
        <f t="shared" si="32"/>
        <v>0.87558494836749234</v>
      </c>
      <c r="V140" s="383">
        <f t="shared" si="33"/>
        <v>54.708167354435048</v>
      </c>
      <c r="W140" s="402">
        <f t="shared" si="34"/>
        <v>35.77594303489591</v>
      </c>
      <c r="X140" s="157">
        <f t="shared" si="35"/>
        <v>45417</v>
      </c>
      <c r="Y140" s="385">
        <f t="shared" si="36"/>
        <v>33.333659682162072</v>
      </c>
      <c r="Z140" s="385">
        <f t="shared" si="37"/>
        <v>35.006417828695689</v>
      </c>
      <c r="AA140" s="386">
        <f t="shared" si="38"/>
        <v>40.536800611215718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0.13642869439947566</v>
      </c>
      <c r="AD140" s="231">
        <f>(INDEX(Models!$BJ140:$BT140,,AH140)*(1-AF140)+INDEX(Models!$BJ140:$BT140,,AH140+1)*AF140-ERP_i)*AE140*Ramure*Pc/MaxiM</f>
        <v>2.4793947016105161E-4</v>
      </c>
      <c r="AE140" s="305">
        <f t="shared" si="40"/>
        <v>0.7</v>
      </c>
      <c r="AF140" s="177">
        <f t="shared" si="41"/>
        <v>0.87558494836749234</v>
      </c>
      <c r="AG140" s="810">
        <f t="shared" si="49"/>
        <v>0</v>
      </c>
      <c r="AH140" s="176">
        <f t="shared" si="42"/>
        <v>6</v>
      </c>
      <c r="AI140" s="225">
        <f t="shared" si="43"/>
        <v>0.87558494836749234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50.457743380710561</v>
      </c>
      <c r="C141" s="840"/>
      <c r="D141" s="393">
        <f t="shared" si="25"/>
        <v>52.991059808688775</v>
      </c>
      <c r="E141" s="385">
        <f t="shared" si="47"/>
        <v>57.183754503243819</v>
      </c>
      <c r="F141" s="385">
        <f t="shared" si="26"/>
        <v>57.195942526140811</v>
      </c>
      <c r="G141" s="110">
        <f t="shared" si="48"/>
        <v>0.92010364007465606</v>
      </c>
      <c r="H141" s="414" t="b">
        <f>Wh_hp&gt;='2023'!Maxi_hp</f>
        <v>0</v>
      </c>
      <c r="I141" s="390">
        <f>IF(H141,Wh_hp,'2023'!Maxi_hp)</f>
        <v>60.14956112877281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4.7806487304162815E-2</v>
      </c>
      <c r="M141" s="844"/>
      <c r="N141" s="844"/>
      <c r="O141" s="48">
        <f>IF(t&lt;Tnet,'2023'!Resal+('2023'!Salim-'2023'!Resal)*(1-EXP(('2023'!Tnet-t)/('2023'!Tau_j))),Resal+(Salim-Resal)*(1-EXP((Tnet-t)/(Tau_j))))*Salcycl</f>
        <v>7.3319681979209836E-2</v>
      </c>
      <c r="P141" s="169">
        <f>(INDEX(Models!$BJ141:$BT141,,T141)*(1-R141)+INDEX(Models!$BJ141:$BT141,,T141+1)*R141-ERP_i)*Q141*Ramure*Pc/MaxiM</f>
        <v>2.4053822931055857E-4</v>
      </c>
      <c r="Q141" s="305">
        <f t="shared" si="28"/>
        <v>0.7</v>
      </c>
      <c r="R141" s="177">
        <f t="shared" si="29"/>
        <v>0.87816987189161422</v>
      </c>
      <c r="S141" s="810">
        <f t="shared" si="30"/>
        <v>0</v>
      </c>
      <c r="T141" s="176">
        <f t="shared" si="31"/>
        <v>6</v>
      </c>
      <c r="U141" s="251">
        <f t="shared" si="32"/>
        <v>0.87816987189161422</v>
      </c>
      <c r="V141" s="383">
        <f t="shared" si="33"/>
        <v>54.837690055014363</v>
      </c>
      <c r="W141" s="402">
        <f t="shared" si="34"/>
        <v>50.457743380710561</v>
      </c>
      <c r="X141" s="157">
        <f t="shared" si="35"/>
        <v>45418</v>
      </c>
      <c r="Y141" s="385">
        <f t="shared" si="36"/>
        <v>47.014335455081472</v>
      </c>
      <c r="Z141" s="385">
        <f t="shared" si="37"/>
        <v>49.374769758696559</v>
      </c>
      <c r="AA141" s="386">
        <f t="shared" si="38"/>
        <v>57.183754503243819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0.13655949687781141</v>
      </c>
      <c r="AD141" s="231">
        <f>(INDEX(Models!$BJ141:$BT141,,AH141)*(1-AF141)+INDEX(Models!$BJ141:$BT141,,AH141+1)*AF141-ERP_i)*AE141*Ramure*Pc/MaxiM</f>
        <v>2.4053822931055857E-4</v>
      </c>
      <c r="AE141" s="305">
        <f t="shared" si="40"/>
        <v>0.7</v>
      </c>
      <c r="AF141" s="177">
        <f t="shared" si="41"/>
        <v>0.87816987189161422</v>
      </c>
      <c r="AG141" s="810">
        <f t="shared" si="49"/>
        <v>0</v>
      </c>
      <c r="AH141" s="176">
        <f t="shared" si="42"/>
        <v>6</v>
      </c>
      <c r="AI141" s="225">
        <f t="shared" si="43"/>
        <v>0.87816987189161422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45.865255015276524</v>
      </c>
      <c r="C142" s="840"/>
      <c r="D142" s="393">
        <f t="shared" si="25"/>
        <v>48.169118755859678</v>
      </c>
      <c r="E142" s="385">
        <f t="shared" si="47"/>
        <v>51.98948730495087</v>
      </c>
      <c r="F142" s="385">
        <f t="shared" si="26"/>
        <v>51.998782502257335</v>
      </c>
      <c r="G142" s="110">
        <f t="shared" si="48"/>
        <v>0.83445615439844112</v>
      </c>
      <c r="H142" s="414" t="b">
        <f>Wh_hp&gt;='2023'!Maxi_hp</f>
        <v>0</v>
      </c>
      <c r="I142" s="390">
        <f>IF(H142,Wh_hp,'2023'!Maxi_hp)</f>
        <v>57.498688083785559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4.7828646238268435E-2</v>
      </c>
      <c r="M142" s="844"/>
      <c r="N142" s="844"/>
      <c r="O142" s="48">
        <f>IF(t&lt;Tnet,'2023'!Resal+('2023'!Salim-'2023'!Resal)*(1-EXP(('2023'!Tnet-t)/('2023'!Tau_j))),Resal+(Salim-Resal)*(1-EXP((Tnet-t)/(Tau_j))))*Salcycl</f>
        <v>7.3483481894759631E-2</v>
      </c>
      <c r="P142" s="169">
        <f>(INDEX(Models!$BJ142:$BT142,,T142)*(1-R142)+INDEX(Models!$BJ142:$BT142,,T142+1)*R142-ERP_i)*Q142*Ramure*Pc/MaxiM</f>
        <v>2.3410670781701332E-4</v>
      </c>
      <c r="Q142" s="305">
        <f t="shared" si="28"/>
        <v>0.7</v>
      </c>
      <c r="R142" s="177">
        <f t="shared" si="29"/>
        <v>0.8808197005301206</v>
      </c>
      <c r="S142" s="810">
        <f t="shared" si="30"/>
        <v>0</v>
      </c>
      <c r="T142" s="176">
        <f t="shared" si="31"/>
        <v>6</v>
      </c>
      <c r="U142" s="251">
        <f t="shared" si="32"/>
        <v>0.8808197005301206</v>
      </c>
      <c r="V142" s="383">
        <f t="shared" si="33"/>
        <v>54.961205254619323</v>
      </c>
      <c r="W142" s="402">
        <f t="shared" si="34"/>
        <v>45.865255015276524</v>
      </c>
      <c r="X142" s="157">
        <f t="shared" si="35"/>
        <v>45419</v>
      </c>
      <c r="Y142" s="385">
        <f t="shared" si="36"/>
        <v>42.736255971960304</v>
      </c>
      <c r="Z142" s="385">
        <f t="shared" si="37"/>
        <v>44.882946544361694</v>
      </c>
      <c r="AA142" s="386">
        <f t="shared" si="38"/>
        <v>51.98948730495087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0.13669188001229687</v>
      </c>
      <c r="AD142" s="231">
        <f>(INDEX(Models!$BJ142:$BT142,,AH142)*(1-AF142)+INDEX(Models!$BJ142:$BT142,,AH142+1)*AF142-ERP_i)*AE142*Ramure*Pc/MaxiM</f>
        <v>2.3410670781701332E-4</v>
      </c>
      <c r="AE142" s="305">
        <f t="shared" si="40"/>
        <v>0.7</v>
      </c>
      <c r="AF142" s="177">
        <f t="shared" si="41"/>
        <v>0.8808197005301206</v>
      </c>
      <c r="AG142" s="810">
        <f t="shared" si="49"/>
        <v>0</v>
      </c>
      <c r="AH142" s="176">
        <f t="shared" si="42"/>
        <v>6</v>
      </c>
      <c r="AI142" s="225">
        <f t="shared" si="43"/>
        <v>0.8808197005301206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52.523458187983337</v>
      </c>
      <c r="C143" s="840"/>
      <c r="D143" s="393">
        <f t="shared" ref="D143:D206" si="50">Wh/(1-Ppv)</f>
        <v>55.163054744845994</v>
      </c>
      <c r="E143" s="385">
        <f t="shared" si="47"/>
        <v>59.548704473697832</v>
      </c>
      <c r="F143" s="385">
        <f t="shared" ref="F143:F206" si="51">Wh_sa/(1-Pvg*MEDIAN((-Sdif+Wh/Env_an)/Csdif,0,1))</f>
        <v>59.561388205665601</v>
      </c>
      <c r="G143" s="110">
        <f t="shared" si="48"/>
        <v>0.95358883835742625</v>
      </c>
      <c r="H143" s="414" t="b">
        <f>Wh_hp&gt;='2023'!Maxi_hp</f>
        <v>0</v>
      </c>
      <c r="I143" s="390">
        <f>IF(H143,Wh_hp,'2023'!Maxi_hp)</f>
        <v>59.561802075724238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4.7850804656703327E-2</v>
      </c>
      <c r="M143" s="844"/>
      <c r="N143" s="844"/>
      <c r="O143" s="48">
        <f>IF(t&lt;Tnet,'2023'!Resal+('2023'!Salim-'2023'!Resal)*(1-EXP(('2023'!Tnet-t)/('2023'!Tau_j))),Resal+(Salim-Resal)*(1-EXP((Tnet-t)/(Tau_j))))*Salcycl</f>
        <v>7.3648113214435151E-2</v>
      </c>
      <c r="P143" s="169">
        <f>(INDEX(Models!$BJ143:$BT143,,T143)*(1-R143)+INDEX(Models!$BJ143:$BT143,,T143+1)*R143-ERP_i)*Q143*Ramure*Pc/MaxiM</f>
        <v>2.2806890482970633E-4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0.88353458790399686</v>
      </c>
      <c r="S143" s="810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0.88353458790399686</v>
      </c>
      <c r="V143" s="383">
        <f t="shared" ref="V143:V206" si="58">MaxiM*(1-Ppv)*(1-Pvg)*(1-Psa)</f>
        <v>55.078941706834172</v>
      </c>
      <c r="W143" s="402">
        <f t="shared" ref="W143:W206" si="59">Wh*(A143&gt;Tmaj)</f>
        <v>52.523458187983337</v>
      </c>
      <c r="X143" s="157">
        <f t="shared" ref="X143:X206" si="60">t</f>
        <v>45420</v>
      </c>
      <c r="Y143" s="385">
        <f t="shared" ref="Y143:Y206" si="61">Wh_pvt_s*(1-Ppv)</f>
        <v>48.941331216666924</v>
      </c>
      <c r="Z143" s="385">
        <f t="shared" ref="Z143:Z206" si="62">Wh_sa_s*(1-Psa_s)</f>
        <v>51.400905925274834</v>
      </c>
      <c r="AA143" s="386">
        <f t="shared" ref="AA143:AA206" si="63">Wh_hp*(1-Pvg_s*MEDIAN((-Sdif+Wh/Env_an)/Csdif,0,1))</f>
        <v>59.548704473697832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0.13682579025748265</v>
      </c>
      <c r="AD143" s="231">
        <f>(INDEX(Models!$BJ143:$BT143,,AH143)*(1-AF143)+INDEX(Models!$BJ143:$BT143,,AH143+1)*AF143-ERP_i)*AE143*Ramure*Pc/MaxiM</f>
        <v>2.2806890482970633E-4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0.88353458790399686</v>
      </c>
      <c r="AG143" s="810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0.88353458790399686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48.713207161259199</v>
      </c>
      <c r="C144" s="840"/>
      <c r="D144" s="393">
        <f t="shared" si="50"/>
        <v>51.162507990749411</v>
      </c>
      <c r="E144" s="385">
        <f t="shared" ref="E144:E169" si="72">Wh_pvt/(1-Psa)</f>
        <v>55.239965839742986</v>
      </c>
      <c r="F144" s="385">
        <f t="shared" si="51"/>
        <v>55.250194250784446</v>
      </c>
      <c r="G144" s="110">
        <f t="shared" ref="G144:G169" si="73">+Wh_hp/MaxiM</f>
        <v>0.8825950729629275</v>
      </c>
      <c r="H144" s="414" t="b">
        <f>Wh_hp&gt;='2023'!Maxi_hp</f>
        <v>0</v>
      </c>
      <c r="I144" s="390">
        <f>IF(H144,Wh_hp,'2023'!Maxi_hp)</f>
        <v>55.251134206932889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4.7872962559479371E-2</v>
      </c>
      <c r="M144" s="844"/>
      <c r="N144" s="844"/>
      <c r="O144" s="48">
        <f>IF(t&lt;Tnet,'2023'!Resal+('2023'!Salim-'2023'!Resal)*(1-EXP(('2023'!Tnet-t)/('2023'!Tau_j))),Resal+(Salim-Resal)*(1-EXP((Tnet-t)/(Tau_j))))*Salcycl</f>
        <v>7.3813547619176911E-2</v>
      </c>
      <c r="P144" s="169">
        <f>(INDEX(Models!$BJ144:$BT144,,T144)*(1-R144)+INDEX(Models!$BJ144:$BT144,,T144+1)*R144-ERP_i)*Q144*Ramure*Pc/MaxiM</f>
        <v>2.2242369625167225E-4</v>
      </c>
      <c r="Q144" s="305">
        <f t="shared" si="53"/>
        <v>0.7</v>
      </c>
      <c r="R144" s="177">
        <f t="shared" si="54"/>
        <v>0.88631458274137143</v>
      </c>
      <c r="S144" s="810">
        <f t="shared" si="55"/>
        <v>0</v>
      </c>
      <c r="T144" s="176">
        <f t="shared" si="56"/>
        <v>6</v>
      </c>
      <c r="U144" s="251">
        <f t="shared" si="57"/>
        <v>0.88631458274137143</v>
      </c>
      <c r="V144" s="383">
        <f t="shared" si="58"/>
        <v>55.191096767807238</v>
      </c>
      <c r="W144" s="402">
        <f t="shared" si="59"/>
        <v>48.713207161259199</v>
      </c>
      <c r="X144" s="157">
        <f t="shared" si="60"/>
        <v>45421</v>
      </c>
      <c r="Y144" s="385">
        <f t="shared" si="61"/>
        <v>45.391928624730504</v>
      </c>
      <c r="Z144" s="385">
        <f t="shared" si="62"/>
        <v>47.674235516671942</v>
      </c>
      <c r="AA144" s="386">
        <f t="shared" si="63"/>
        <v>55.239965839742986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0.13696116947320411</v>
      </c>
      <c r="AD144" s="231">
        <f>(INDEX(Models!$BJ144:$BT144,,AH144)*(1-AF144)+INDEX(Models!$BJ144:$BT144,,AH144+1)*AF144-ERP_i)*AE144*Ramure*Pc/MaxiM</f>
        <v>2.2242369625167225E-4</v>
      </c>
      <c r="AE144" s="305">
        <f t="shared" si="65"/>
        <v>0.7</v>
      </c>
      <c r="AF144" s="177">
        <f t="shared" si="66"/>
        <v>0.88631458274137143</v>
      </c>
      <c r="AG144" s="810">
        <f t="shared" ref="AG144:AG207" si="74">INDEX(Echel_vg,AH144)</f>
        <v>0</v>
      </c>
      <c r="AH144" s="176">
        <f t="shared" si="67"/>
        <v>6</v>
      </c>
      <c r="AI144" s="225">
        <f t="shared" si="68"/>
        <v>0.88631458274137143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52.940453701622722</v>
      </c>
      <c r="C145" s="840"/>
      <c r="D145" s="393">
        <f t="shared" si="50"/>
        <v>55.60359453115499</v>
      </c>
      <c r="E145" s="385">
        <f t="shared" si="72"/>
        <v>60.045765500004805</v>
      </c>
      <c r="F145" s="385">
        <f t="shared" si="51"/>
        <v>60.058014004953357</v>
      </c>
      <c r="G145" s="110">
        <f t="shared" si="73"/>
        <v>0.95735614131422664</v>
      </c>
      <c r="H145" s="414" t="b">
        <f>Wh_hp&gt;='2023'!Maxi_hp</f>
        <v>0</v>
      </c>
      <c r="I145" s="390">
        <f>IF(H145,Wh_hp,'2023'!Maxi_hp)</f>
        <v>60.05837368883941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4.7895119946608777E-2</v>
      </c>
      <c r="M145" s="844"/>
      <c r="N145" s="844"/>
      <c r="O145" s="48">
        <f>IF(t&lt;Tnet,'2023'!Resal+('2023'!Salim-'2023'!Resal)*(1-EXP(('2023'!Tnet-t)/('2023'!Tau_j))),Resal+(Salim-Resal)*(1-EXP((Tnet-t)/(Tau_j))))*Salcycl</f>
        <v>7.3979754140189286E-2</v>
      </c>
      <c r="P145" s="169">
        <f>(INDEX(Models!$BJ145:$BT145,,T145)*(1-R145)+INDEX(Models!$BJ145:$BT145,,T145+1)*R145-ERP_i)*Q145*Ramure*Pc/MaxiM</f>
        <v>2.1717061604797764E-4</v>
      </c>
      <c r="Q145" s="305">
        <f t="shared" si="53"/>
        <v>0.7</v>
      </c>
      <c r="R145" s="177">
        <f t="shared" si="54"/>
        <v>0.88915962358806289</v>
      </c>
      <c r="S145" s="810">
        <f t="shared" si="55"/>
        <v>0</v>
      </c>
      <c r="T145" s="176">
        <f t="shared" si="56"/>
        <v>6</v>
      </c>
      <c r="U145" s="251">
        <f t="shared" si="57"/>
        <v>0.88915962358806289</v>
      </c>
      <c r="V145" s="383">
        <f t="shared" si="58"/>
        <v>55.297867826338454</v>
      </c>
      <c r="W145" s="402">
        <f t="shared" si="59"/>
        <v>52.940453701622722</v>
      </c>
      <c r="X145" s="157">
        <f t="shared" si="60"/>
        <v>45422</v>
      </c>
      <c r="Y145" s="385">
        <f t="shared" si="61"/>
        <v>49.331994598209754</v>
      </c>
      <c r="Z145" s="385">
        <f t="shared" si="62"/>
        <v>51.813613848343429</v>
      </c>
      <c r="AA145" s="386">
        <f t="shared" si="63"/>
        <v>60.045765500004805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0.13709795492008037</v>
      </c>
      <c r="AD145" s="231">
        <f>(INDEX(Models!$BJ145:$BT145,,AH145)*(1-AF145)+INDEX(Models!$BJ145:$BT145,,AH145+1)*AF145-ERP_i)*AE145*Ramure*Pc/MaxiM</f>
        <v>2.1717061604797764E-4</v>
      </c>
      <c r="AE145" s="305">
        <f t="shared" si="65"/>
        <v>0.7</v>
      </c>
      <c r="AF145" s="177">
        <f t="shared" si="66"/>
        <v>0.88915962358806289</v>
      </c>
      <c r="AG145" s="810">
        <f t="shared" si="74"/>
        <v>0</v>
      </c>
      <c r="AH145" s="176">
        <f t="shared" si="67"/>
        <v>6</v>
      </c>
      <c r="AI145" s="225">
        <f t="shared" si="68"/>
        <v>0.88915962358806289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40.742123014189758</v>
      </c>
      <c r="C146" s="840"/>
      <c r="D146" s="393">
        <f t="shared" si="50"/>
        <v>42.792629277031764</v>
      </c>
      <c r="E146" s="385">
        <f t="shared" si="72"/>
        <v>46.219664862527914</v>
      </c>
      <c r="F146" s="385">
        <f t="shared" si="51"/>
        <v>46.225769631513401</v>
      </c>
      <c r="G146" s="110">
        <f t="shared" si="73"/>
        <v>0.73536563119713139</v>
      </c>
      <c r="H146" s="414" t="b">
        <f>Wh_hp&gt;='2023'!Maxi_hp</f>
        <v>0</v>
      </c>
      <c r="I146" s="390">
        <f>IF(H146,Wh_hp,'2023'!Maxi_hp)</f>
        <v>59.107632705662361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4.7917276818103316E-2</v>
      </c>
      <c r="M146" s="844"/>
      <c r="N146" s="844"/>
      <c r="O146" s="48">
        <f>IF(t&lt;Tnet,'2023'!Resal+('2023'!Salim-'2023'!Resal)*(1-EXP(('2023'!Tnet-t)/('2023'!Tau_j))),Resal+(Salim-Resal)*(1-EXP((Tnet-t)/(Tau_j))))*Salcycl</f>
        <v>7.4146699152606368E-2</v>
      </c>
      <c r="P146" s="169">
        <f>(INDEX(Models!$BJ146:$BT146,,T146)*(1-R146)+INDEX(Models!$BJ146:$BT146,,T146+1)*R146-ERP_i)*Q146*Ramure*Pc/MaxiM</f>
        <v>2.123098329081411E-4</v>
      </c>
      <c r="Q146" s="305">
        <f t="shared" si="53"/>
        <v>0.7</v>
      </c>
      <c r="R146" s="177">
        <f t="shared" si="54"/>
        <v>0.89206953370632591</v>
      </c>
      <c r="S146" s="810">
        <f t="shared" si="55"/>
        <v>0</v>
      </c>
      <c r="T146" s="176">
        <f t="shared" si="56"/>
        <v>6</v>
      </c>
      <c r="U146" s="251">
        <f t="shared" si="57"/>
        <v>0.89206953370632591</v>
      </c>
      <c r="V146" s="383">
        <f t="shared" si="58"/>
        <v>55.399452294680437</v>
      </c>
      <c r="W146" s="402">
        <f t="shared" si="59"/>
        <v>40.742123014189758</v>
      </c>
      <c r="X146" s="157">
        <f t="shared" si="60"/>
        <v>45423</v>
      </c>
      <c r="Y146" s="385">
        <f t="shared" si="61"/>
        <v>37.965878350499942</v>
      </c>
      <c r="Z146" s="385">
        <f t="shared" si="62"/>
        <v>39.876659271388235</v>
      </c>
      <c r="AA146" s="386">
        <f t="shared" si="63"/>
        <v>46.219664862527914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0.13723607927504039</v>
      </c>
      <c r="AD146" s="231">
        <f>(INDEX(Models!$BJ146:$BT146,,AH146)*(1-AF146)+INDEX(Models!$BJ146:$BT146,,AH146+1)*AF146-ERP_i)*AE146*Ramure*Pc/MaxiM</f>
        <v>2.123098329081411E-4</v>
      </c>
      <c r="AE146" s="305">
        <f t="shared" si="65"/>
        <v>0.7</v>
      </c>
      <c r="AF146" s="177">
        <f t="shared" si="66"/>
        <v>0.89206953370632591</v>
      </c>
      <c r="AG146" s="810">
        <f t="shared" si="74"/>
        <v>0</v>
      </c>
      <c r="AH146" s="176">
        <f t="shared" si="67"/>
        <v>6</v>
      </c>
      <c r="AI146" s="225">
        <f t="shared" si="68"/>
        <v>0.89206953370632591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42.285887303991252</v>
      </c>
      <c r="C147" s="840"/>
      <c r="D147" s="393">
        <f t="shared" si="50"/>
        <v>44.415123131255974</v>
      </c>
      <c r="E147" s="385">
        <f t="shared" si="72"/>
        <v>47.980783711624611</v>
      </c>
      <c r="F147" s="385">
        <f t="shared" si="51"/>
        <v>47.987365877680773</v>
      </c>
      <c r="G147" s="110">
        <f t="shared" si="73"/>
        <v>0.76190828083506767</v>
      </c>
      <c r="H147" s="414" t="b">
        <f>Wh_hp&gt;='2023'!Maxi_hp</f>
        <v>0</v>
      </c>
      <c r="I147" s="390">
        <f>IF(H147,Wh_hp,'2023'!Maxi_hp)</f>
        <v>65.445503800800012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4.7939433173975088E-2</v>
      </c>
      <c r="M147" s="844"/>
      <c r="N147" s="844"/>
      <c r="O147" s="48">
        <f>IF(t&lt;Tnet,'2023'!Resal+('2023'!Salim-'2023'!Resal)*(1-EXP(('2023'!Tnet-t)/('2023'!Tau_j))),Resal+(Salim-Resal)*(1-EXP((Tnet-t)/(Tau_j))))*Salcycl</f>
        <v>7.4314346380815008E-2</v>
      </c>
      <c r="P147" s="169">
        <f>(INDEX(Models!$BJ147:$BT147,,T147)*(1-R147)+INDEX(Models!$BJ147:$BT147,,T147+1)*R147-ERP_i)*Q147*Ramure*Pc/MaxiM</f>
        <v>2.0784212643820839E-4</v>
      </c>
      <c r="Q147" s="305">
        <f t="shared" si="53"/>
        <v>0.7</v>
      </c>
      <c r="R147" s="177">
        <f t="shared" si="54"/>
        <v>0.8950440162066875</v>
      </c>
      <c r="S147" s="810">
        <f t="shared" si="55"/>
        <v>0</v>
      </c>
      <c r="T147" s="176">
        <f t="shared" si="56"/>
        <v>6</v>
      </c>
      <c r="U147" s="251">
        <f t="shared" si="57"/>
        <v>0.8950440162066875</v>
      </c>
      <c r="V147" s="383">
        <f t="shared" si="58"/>
        <v>55.496047613708249</v>
      </c>
      <c r="W147" s="402">
        <f t="shared" si="59"/>
        <v>42.285887303991252</v>
      </c>
      <c r="X147" s="157">
        <f t="shared" si="60"/>
        <v>45424</v>
      </c>
      <c r="Y147" s="385">
        <f t="shared" si="61"/>
        <v>39.40521654448365</v>
      </c>
      <c r="Z147" s="385">
        <f t="shared" si="62"/>
        <v>41.389400966214346</v>
      </c>
      <c r="AA147" s="386">
        <f t="shared" si="63"/>
        <v>47.980783711624611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0.1373754706681318</v>
      </c>
      <c r="AD147" s="231">
        <f>(INDEX(Models!$BJ147:$BT147,,AH147)*(1-AF147)+INDEX(Models!$BJ147:$BT147,,AH147+1)*AF147-ERP_i)*AE147*Ramure*Pc/MaxiM</f>
        <v>2.0784212643820839E-4</v>
      </c>
      <c r="AE147" s="305">
        <f t="shared" si="65"/>
        <v>0.7</v>
      </c>
      <c r="AF147" s="177">
        <f t="shared" si="66"/>
        <v>0.8950440162066875</v>
      </c>
      <c r="AG147" s="810">
        <f t="shared" si="74"/>
        <v>0</v>
      </c>
      <c r="AH147" s="176">
        <f t="shared" si="67"/>
        <v>6</v>
      </c>
      <c r="AI147" s="225">
        <f t="shared" si="68"/>
        <v>0.8950440162066875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46.594310997229229</v>
      </c>
      <c r="C148" s="840"/>
      <c r="D148" s="393">
        <f t="shared" si="50"/>
        <v>48.94162930777587</v>
      </c>
      <c r="E148" s="385">
        <f t="shared" si="72"/>
        <v>52.880294111724304</v>
      </c>
      <c r="F148" s="385">
        <f t="shared" si="51"/>
        <v>52.888580279411556</v>
      </c>
      <c r="G148" s="110">
        <f t="shared" si="73"/>
        <v>0.83817084438447742</v>
      </c>
      <c r="H148" s="414" t="b">
        <f>Wh_hp&gt;='2023'!Maxi_hp</f>
        <v>0</v>
      </c>
      <c r="I148" s="390">
        <f>IF(H148,Wh_hp,'2023'!Maxi_hp)</f>
        <v>63.25386320981476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4.7961589014236083E-2</v>
      </c>
      <c r="M148" s="844"/>
      <c r="N148" s="844"/>
      <c r="O148" s="48">
        <f>IF(t&lt;Tnet,'2023'!Resal+('2023'!Salim-'2023'!Resal)*(1-EXP(('2023'!Tnet-t)/('2023'!Tau_j))),Resal+(Salim-Resal)*(1-EXP((Tnet-t)/(Tau_j))))*Salcycl</f>
        <v>7.4482656916145515E-2</v>
      </c>
      <c r="P148" s="169">
        <f>(INDEX(Models!$BJ148:$BT148,,T148)*(1-R148)+INDEX(Models!$BJ148:$BT148,,T148+1)*R148-ERP_i)*Q148*Ramure*Pc/MaxiM</f>
        <v>2.0376886279290234E-4</v>
      </c>
      <c r="Q148" s="305">
        <f t="shared" si="53"/>
        <v>0.7</v>
      </c>
      <c r="R148" s="177">
        <f t="shared" si="54"/>
        <v>0.89808264945916949</v>
      </c>
      <c r="S148" s="810">
        <f t="shared" si="55"/>
        <v>0</v>
      </c>
      <c r="T148" s="176">
        <f t="shared" si="56"/>
        <v>6</v>
      </c>
      <c r="U148" s="251">
        <f t="shared" si="57"/>
        <v>0.89808264945916949</v>
      </c>
      <c r="V148" s="383">
        <f t="shared" si="58"/>
        <v>55.587851243850729</v>
      </c>
      <c r="W148" s="402">
        <f t="shared" si="59"/>
        <v>46.594310997229229</v>
      </c>
      <c r="X148" s="157">
        <f t="shared" si="60"/>
        <v>45425</v>
      </c>
      <c r="Y148" s="385">
        <f t="shared" si="61"/>
        <v>43.420953231157448</v>
      </c>
      <c r="Z148" s="385">
        <f t="shared" si="62"/>
        <v>45.608404797657613</v>
      </c>
      <c r="AA148" s="386">
        <f t="shared" si="63"/>
        <v>52.880294111724304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0.13751605274174167</v>
      </c>
      <c r="AD148" s="231">
        <f>(INDEX(Models!$BJ148:$BT148,,AH148)*(1-AF148)+INDEX(Models!$BJ148:$BT148,,AH148+1)*AF148-ERP_i)*AE148*Ramure*Pc/MaxiM</f>
        <v>2.0376886279290234E-4</v>
      </c>
      <c r="AE148" s="305">
        <f t="shared" si="65"/>
        <v>0.7</v>
      </c>
      <c r="AF148" s="177">
        <f t="shared" si="66"/>
        <v>0.89808264945916949</v>
      </c>
      <c r="AG148" s="810">
        <f t="shared" si="74"/>
        <v>0</v>
      </c>
      <c r="AH148" s="176">
        <f t="shared" si="67"/>
        <v>6</v>
      </c>
      <c r="AI148" s="225">
        <f t="shared" si="68"/>
        <v>0.89808264945916949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49.619417667196466</v>
      </c>
      <c r="C149" s="840"/>
      <c r="D149" s="393">
        <f t="shared" si="50"/>
        <v>52.120347076153251</v>
      </c>
      <c r="E149" s="385">
        <f t="shared" si="72"/>
        <v>56.325105733712213</v>
      </c>
      <c r="F149" s="385">
        <f t="shared" si="51"/>
        <v>56.334626829294528</v>
      </c>
      <c r="G149" s="110">
        <f t="shared" si="73"/>
        <v>0.89122241539082425</v>
      </c>
      <c r="H149" s="414" t="b">
        <f>Wh_hp&gt;='2023'!Maxi_hp</f>
        <v>0</v>
      </c>
      <c r="I149" s="390">
        <f>IF(H149,Wh_hp,'2023'!Maxi_hp)</f>
        <v>64.201306106001624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4.7983744338898293E-2</v>
      </c>
      <c r="M149" s="844"/>
      <c r="N149" s="844"/>
      <c r="O149" s="48">
        <f>IF(t&lt;Tnet,'2023'!Resal+('2023'!Salim-'2023'!Resal)*(1-EXP(('2023'!Tnet-t)/('2023'!Tau_j))),Resal+(Salim-Resal)*(1-EXP((Tnet-t)/(Tau_j))))*Salcycl</f>
        <v>7.4651589247568775E-2</v>
      </c>
      <c r="P149" s="169">
        <f>(INDEX(Models!$BJ149:$BT149,,T149)*(1-R149)+INDEX(Models!$BJ149:$BT149,,T149+1)*R149-ERP_i)*Q149*Ramure*Pc/MaxiM</f>
        <v>2.0009594938814724E-4</v>
      </c>
      <c r="Q149" s="305">
        <f t="shared" si="53"/>
        <v>0.7</v>
      </c>
      <c r="R149" s="177">
        <f t="shared" si="54"/>
        <v>0.90118488283120113</v>
      </c>
      <c r="S149" s="810">
        <f t="shared" si="55"/>
        <v>0</v>
      </c>
      <c r="T149" s="176">
        <f t="shared" si="56"/>
        <v>6</v>
      </c>
      <c r="U149" s="251">
        <f t="shared" si="57"/>
        <v>0.90118488283120113</v>
      </c>
      <c r="V149" s="383">
        <f t="shared" si="58"/>
        <v>55.673953062146289</v>
      </c>
      <c r="W149" s="402">
        <f t="shared" si="59"/>
        <v>49.619417667196466</v>
      </c>
      <c r="X149" s="157">
        <f t="shared" si="60"/>
        <v>45426</v>
      </c>
      <c r="Y149" s="385">
        <f t="shared" si="61"/>
        <v>46.240875370782369</v>
      </c>
      <c r="Z149" s="385">
        <f t="shared" si="62"/>
        <v>48.571518706549455</v>
      </c>
      <c r="AA149" s="386">
        <f t="shared" si="63"/>
        <v>56.325105733712213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0.13765774473321599</v>
      </c>
      <c r="AD149" s="231">
        <f>(INDEX(Models!$BJ149:$BT149,,AH149)*(1-AF149)+INDEX(Models!$BJ149:$BT149,,AH149+1)*AF149-ERP_i)*AE149*Ramure*Pc/MaxiM</f>
        <v>2.0009594938814724E-4</v>
      </c>
      <c r="AE149" s="305">
        <f t="shared" si="65"/>
        <v>0.7</v>
      </c>
      <c r="AF149" s="177">
        <f t="shared" si="66"/>
        <v>0.90118488283120113</v>
      </c>
      <c r="AG149" s="810">
        <f t="shared" si="74"/>
        <v>0</v>
      </c>
      <c r="AH149" s="176">
        <f t="shared" si="67"/>
        <v>6</v>
      </c>
      <c r="AI149" s="225">
        <f t="shared" si="68"/>
        <v>0.90118488283120113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47.860806938652587</v>
      </c>
      <c r="C150" s="840"/>
      <c r="D150" s="393">
        <f t="shared" si="50"/>
        <v>50.27426839706002</v>
      </c>
      <c r="E150" s="385">
        <f t="shared" si="72"/>
        <v>54.34005072894071</v>
      </c>
      <c r="F150" s="385">
        <f t="shared" si="51"/>
        <v>54.348594540124431</v>
      </c>
      <c r="G150" s="110">
        <f t="shared" si="73"/>
        <v>0.85840177226439096</v>
      </c>
      <c r="H150" s="414" t="b">
        <f>Wh_hp&gt;='2023'!Maxi_hp</f>
        <v>0</v>
      </c>
      <c r="I150" s="390">
        <f>IF(H150,Wh_hp,'2023'!Maxi_hp)</f>
        <v>54.349545015132634</v>
      </c>
      <c r="J150" s="85">
        <f>IF(H150,An,'2023'!An_max)</f>
        <v>2022</v>
      </c>
      <c r="K150" s="197">
        <f t="shared" si="52"/>
        <v>45427</v>
      </c>
      <c r="L150" s="147">
        <f>IF(t&lt;Tvie,1-EXP((T0-t)*PertePVj)+'2023'!Pspv,1-EXP((T0-t)*PertePVj)+Pspv)</f>
        <v>4.8005899147973818E-2</v>
      </c>
      <c r="M150" s="844"/>
      <c r="N150" s="844"/>
      <c r="O150" s="48">
        <f>IF(t&lt;Tnet,'2023'!Resal+('2023'!Salim-'2023'!Resal)*(1-EXP(('2023'!Tnet-t)/('2023'!Tau_j))),Resal+(Salim-Resal)*(1-EXP((Tnet-t)/(Tau_j))))*Salcycl</f>
        <v>7.4821099305954694E-2</v>
      </c>
      <c r="P150" s="169">
        <f>(INDEX(Models!$BJ150:$BT150,,T150)*(1-R150)+INDEX(Models!$BJ150:$BT150,,T150+1)*R150-ERP_i)*Q150*Ramure*Pc/MaxiM</f>
        <v>1.9705523025858037E-4</v>
      </c>
      <c r="Q150" s="305">
        <f t="shared" si="53"/>
        <v>0.7</v>
      </c>
      <c r="R150" s="177">
        <f t="shared" si="54"/>
        <v>0.90435003280010207</v>
      </c>
      <c r="S150" s="810">
        <f t="shared" si="55"/>
        <v>0</v>
      </c>
      <c r="T150" s="176">
        <f t="shared" si="56"/>
        <v>6</v>
      </c>
      <c r="U150" s="251">
        <f t="shared" si="57"/>
        <v>0.90435003280010207</v>
      </c>
      <c r="V150" s="383">
        <f t="shared" si="58"/>
        <v>55.753495470820674</v>
      </c>
      <c r="W150" s="402">
        <f t="shared" si="59"/>
        <v>47.860806938652587</v>
      </c>
      <c r="X150" s="157">
        <f t="shared" si="60"/>
        <v>45427</v>
      </c>
      <c r="Y150" s="385">
        <f t="shared" si="61"/>
        <v>44.602795869941687</v>
      </c>
      <c r="Z150" s="385">
        <f t="shared" si="62"/>
        <v>46.851966656119593</v>
      </c>
      <c r="AA150" s="386">
        <f t="shared" si="63"/>
        <v>54.34005072894071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0.13780046158170167</v>
      </c>
      <c r="AD150" s="231">
        <f>(INDEX(Models!$BJ150:$BT150,,AH150)*(1-AF150)+INDEX(Models!$BJ150:$BT150,,AH150+1)*AF150-ERP_i)*AE150*Ramure*Pc/MaxiM</f>
        <v>1.9705523025858037E-4</v>
      </c>
      <c r="AE150" s="305">
        <f t="shared" si="65"/>
        <v>0.7</v>
      </c>
      <c r="AF150" s="177">
        <f t="shared" si="66"/>
        <v>0.90435003280010207</v>
      </c>
      <c r="AG150" s="810">
        <f t="shared" si="74"/>
        <v>0</v>
      </c>
      <c r="AH150" s="176">
        <f t="shared" si="67"/>
        <v>6</v>
      </c>
      <c r="AI150" s="225">
        <f t="shared" si="68"/>
        <v>0.90435003280010207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51.471108822785297</v>
      </c>
      <c r="C151" s="840"/>
      <c r="D151" s="393">
        <f t="shared" si="50"/>
        <v>54.067884047275285</v>
      </c>
      <c r="E151" s="385">
        <f t="shared" si="72"/>
        <v>58.45120670282833</v>
      </c>
      <c r="F151" s="385">
        <f t="shared" si="51"/>
        <v>58.461300344632477</v>
      </c>
      <c r="G151" s="110">
        <f t="shared" si="73"/>
        <v>0.92195864662243343</v>
      </c>
      <c r="H151" s="414" t="b">
        <f>Wh_hp&gt;='2023'!Maxi_hp</f>
        <v>0</v>
      </c>
      <c r="I151" s="390">
        <f>IF(H151,Wh_hp,'2023'!Maxi_hp)</f>
        <v>59.772823260261717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4.8028053441474539E-2</v>
      </c>
      <c r="M151" s="844"/>
      <c r="N151" s="844"/>
      <c r="O151" s="48">
        <f>IF(t&lt;Tnet,'2023'!Resal+('2023'!Salim-'2023'!Resal)*(1-EXP(('2023'!Tnet-t)/('2023'!Tau_j))),Resal+(Salim-Resal)*(1-EXP((Tnet-t)/(Tau_j))))*Salcycl</f>
        <v>7.499114052235549E-2</v>
      </c>
      <c r="P151" s="169">
        <f>(INDEX(Models!$BJ151:$BT151,,T151)*(1-R151)+INDEX(Models!$BJ151:$BT151,,T151+1)*R151-ERP_i)*Q151*Ramure*Pc/MaxiM</f>
        <v>1.9431306513483781E-4</v>
      </c>
      <c r="Q151" s="305">
        <f t="shared" si="53"/>
        <v>0.7</v>
      </c>
      <c r="R151" s="177">
        <f t="shared" si="54"/>
        <v>0.90757727948808109</v>
      </c>
      <c r="S151" s="810">
        <f t="shared" si="55"/>
        <v>0</v>
      </c>
      <c r="T151" s="176">
        <f t="shared" si="56"/>
        <v>6</v>
      </c>
      <c r="U151" s="251">
        <f t="shared" si="57"/>
        <v>0.90757727948808109</v>
      </c>
      <c r="V151" s="383">
        <f t="shared" si="58"/>
        <v>55.826792296477706</v>
      </c>
      <c r="W151" s="402">
        <f t="shared" si="59"/>
        <v>51.471108822785297</v>
      </c>
      <c r="X151" s="157">
        <f t="shared" si="60"/>
        <v>45428</v>
      </c>
      <c r="Y151" s="385">
        <f t="shared" si="61"/>
        <v>47.968159290500139</v>
      </c>
      <c r="Z151" s="385">
        <f t="shared" si="62"/>
        <v>50.388206778476899</v>
      </c>
      <c r="AA151" s="386">
        <f t="shared" si="63"/>
        <v>58.45120670282833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0.13794411405986043</v>
      </c>
      <c r="AD151" s="231">
        <f>(INDEX(Models!$BJ151:$BT151,,AH151)*(1-AF151)+INDEX(Models!$BJ151:$BT151,,AH151+1)*AF151-ERP_i)*AE151*Ramure*Pc/MaxiM</f>
        <v>1.9431306513483781E-4</v>
      </c>
      <c r="AE151" s="305">
        <f t="shared" si="65"/>
        <v>0.7</v>
      </c>
      <c r="AF151" s="177">
        <f t="shared" si="66"/>
        <v>0.90757727948808109</v>
      </c>
      <c r="AG151" s="810">
        <f t="shared" si="74"/>
        <v>0</v>
      </c>
      <c r="AH151" s="176">
        <f t="shared" si="67"/>
        <v>6</v>
      </c>
      <c r="AI151" s="225">
        <f t="shared" si="68"/>
        <v>0.90757727948808109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50.307602909625246</v>
      </c>
      <c r="C152" s="840"/>
      <c r="D152" s="393">
        <f t="shared" si="50"/>
        <v>52.84690777932709</v>
      </c>
      <c r="E152" s="385">
        <f t="shared" si="72"/>
        <v>57.141778964547115</v>
      </c>
      <c r="F152" s="385">
        <f t="shared" si="51"/>
        <v>57.151178868003932</v>
      </c>
      <c r="G152" s="110">
        <f t="shared" si="73"/>
        <v>0.90002682938105072</v>
      </c>
      <c r="H152" s="414" t="b">
        <f>Wh_hp&gt;='2023'!Maxi_hp</f>
        <v>0</v>
      </c>
      <c r="I152" s="390">
        <f>IF(H152,Wh_hp,'2023'!Maxi_hp)</f>
        <v>66.086546918529152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4.8050207219412444E-2</v>
      </c>
      <c r="M152" s="844"/>
      <c r="N152" s="844"/>
      <c r="O152" s="48">
        <f>IF(t&lt;Tnet,'2023'!Resal+('2023'!Salim-'2023'!Resal)*(1-EXP(('2023'!Tnet-t)/('2023'!Tau_j))),Resal+(Salim-Resal)*(1-EXP((Tnet-t)/(Tau_j))))*Salcycl</f>
        <v>7.5161663900676301E-2</v>
      </c>
      <c r="P152" s="169">
        <f>(INDEX(Models!$BJ152:$BT152,,T152)*(1-R152)+INDEX(Models!$BJ152:$BT152,,T152+1)*R152-ERP_i)*Q152*Ramure*Pc/MaxiM</f>
        <v>1.9187028502637988E-4</v>
      </c>
      <c r="Q152" s="305">
        <f t="shared" si="53"/>
        <v>0.7</v>
      </c>
      <c r="R152" s="177">
        <f t="shared" si="54"/>
        <v>0.91086566366724675</v>
      </c>
      <c r="S152" s="810">
        <f t="shared" si="55"/>
        <v>0</v>
      </c>
      <c r="T152" s="176">
        <f t="shared" si="56"/>
        <v>6</v>
      </c>
      <c r="U152" s="251">
        <f t="shared" si="57"/>
        <v>0.91086566366724675</v>
      </c>
      <c r="V152" s="383">
        <f t="shared" si="58"/>
        <v>55.894138727048983</v>
      </c>
      <c r="W152" s="402">
        <f t="shared" si="59"/>
        <v>50.307602909625246</v>
      </c>
      <c r="X152" s="157">
        <f t="shared" si="60"/>
        <v>45429</v>
      </c>
      <c r="Y152" s="385">
        <f t="shared" si="61"/>
        <v>46.884622222807145</v>
      </c>
      <c r="Z152" s="385">
        <f t="shared" si="62"/>
        <v>49.251150195495093</v>
      </c>
      <c r="AA152" s="386">
        <f t="shared" si="63"/>
        <v>57.141778964547115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0.13808860893091304</v>
      </c>
      <c r="AD152" s="231">
        <f>(INDEX(Models!$BJ152:$BT152,,AH152)*(1-AF152)+INDEX(Models!$BJ152:$BT152,,AH152+1)*AF152-ERP_i)*AE152*Ramure*Pc/MaxiM</f>
        <v>1.9187028502637988E-4</v>
      </c>
      <c r="AE152" s="305">
        <f t="shared" si="65"/>
        <v>0.7</v>
      </c>
      <c r="AF152" s="177">
        <f t="shared" si="66"/>
        <v>0.91086566366724675</v>
      </c>
      <c r="AG152" s="810">
        <f t="shared" si="74"/>
        <v>0</v>
      </c>
      <c r="AH152" s="176">
        <f t="shared" si="67"/>
        <v>6</v>
      </c>
      <c r="AI152" s="225">
        <f t="shared" si="68"/>
        <v>0.91086566366724675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53.176224001605512</v>
      </c>
      <c r="C153" s="840"/>
      <c r="D153" s="393">
        <f t="shared" si="50"/>
        <v>55.861624134077687</v>
      </c>
      <c r="E153" s="385">
        <f t="shared" si="72"/>
        <v>60.41266862857745</v>
      </c>
      <c r="F153" s="385">
        <f t="shared" si="51"/>
        <v>60.423319097683724</v>
      </c>
      <c r="G153" s="110">
        <f t="shared" si="73"/>
        <v>0.95031220210104306</v>
      </c>
      <c r="H153" s="414" t="b">
        <f>Wh_hp&gt;='2023'!Maxi_hp</f>
        <v>0</v>
      </c>
      <c r="I153" s="390">
        <f>IF(H153,Wh_hp,'2023'!Maxi_hp)</f>
        <v>64.867381436850934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4.8072360481799525E-2</v>
      </c>
      <c r="M153" s="844"/>
      <c r="N153" s="844"/>
      <c r="O153" s="48">
        <f>IF(t&lt;Tnet,'2023'!Resal+('2023'!Salim-'2023'!Resal)*(1-EXP(('2023'!Tnet-t)/('2023'!Tau_j))),Resal+(Salim-Resal)*(1-EXP((Tnet-t)/(Tau_j))))*Salcycl</f>
        <v>7.5332618104987106E-2</v>
      </c>
      <c r="P153" s="169">
        <f>(INDEX(Models!$BJ153:$BT153,,T153)*(1-R153)+INDEX(Models!$BJ153:$BT153,,T153+1)*R153-ERP_i)*Q153*Ramure*Pc/MaxiM</f>
        <v>1.8972814038288897E-4</v>
      </c>
      <c r="Q153" s="305">
        <f t="shared" si="53"/>
        <v>0.7</v>
      </c>
      <c r="R153" s="177">
        <f t="shared" si="54"/>
        <v>0.91421408428108397</v>
      </c>
      <c r="S153" s="810">
        <f t="shared" si="55"/>
        <v>0</v>
      </c>
      <c r="T153" s="176">
        <f t="shared" si="56"/>
        <v>6</v>
      </c>
      <c r="U153" s="251">
        <f t="shared" si="57"/>
        <v>0.91421408428108397</v>
      </c>
      <c r="V153" s="383">
        <f t="shared" si="58"/>
        <v>55.955829881255262</v>
      </c>
      <c r="W153" s="402">
        <f t="shared" si="59"/>
        <v>53.176224001605512</v>
      </c>
      <c r="X153" s="157">
        <f t="shared" si="60"/>
        <v>45430</v>
      </c>
      <c r="Y153" s="385">
        <f t="shared" si="61"/>
        <v>49.5588692462388</v>
      </c>
      <c r="Z153" s="385">
        <f t="shared" si="62"/>
        <v>52.061592907757202</v>
      </c>
      <c r="AA153" s="386">
        <f t="shared" si="63"/>
        <v>60.41266862857745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0.13823384913127101</v>
      </c>
      <c r="AD153" s="231">
        <f>(INDEX(Models!$BJ153:$BT153,,AH153)*(1-AF153)+INDEX(Models!$BJ153:$BT153,,AH153+1)*AF153-ERP_i)*AE153*Ramure*Pc/MaxiM</f>
        <v>1.8972814038288897E-4</v>
      </c>
      <c r="AE153" s="305">
        <f t="shared" si="65"/>
        <v>0.7</v>
      </c>
      <c r="AF153" s="177">
        <f t="shared" si="66"/>
        <v>0.91421408428108397</v>
      </c>
      <c r="AG153" s="810">
        <f t="shared" si="74"/>
        <v>0</v>
      </c>
      <c r="AH153" s="176">
        <f t="shared" si="67"/>
        <v>6</v>
      </c>
      <c r="AI153" s="225">
        <f t="shared" si="68"/>
        <v>0.91421408428108397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46.619037175418896</v>
      </c>
      <c r="C154" s="840"/>
      <c r="D154" s="393">
        <f t="shared" si="50"/>
        <v>48.974438978747898</v>
      </c>
      <c r="E154" s="385">
        <f t="shared" si="72"/>
        <v>52.974200328411122</v>
      </c>
      <c r="F154" s="385">
        <f t="shared" si="51"/>
        <v>52.981770160611099</v>
      </c>
      <c r="G154" s="110">
        <f t="shared" si="73"/>
        <v>0.83226459747724346</v>
      </c>
      <c r="H154" s="414" t="b">
        <f>Wh_hp&gt;='2023'!Maxi_hp</f>
        <v>0</v>
      </c>
      <c r="I154" s="390">
        <f>IF(H154,Wh_hp,'2023'!Maxi_hp)</f>
        <v>62.875000616079284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4.8094513228647884E-2</v>
      </c>
      <c r="M154" s="844"/>
      <c r="N154" s="844"/>
      <c r="O154" s="48">
        <f>IF(t&lt;Tnet,'2023'!Resal+('2023'!Salim-'2023'!Resal)*(1-EXP(('2023'!Tnet-t)/('2023'!Tau_j))),Resal+(Salim-Resal)*(1-EXP((Tnet-t)/(Tau_j))))*Salcycl</f>
        <v>7.55039495616147E-2</v>
      </c>
      <c r="P154" s="169">
        <f>(INDEX(Models!$BJ154:$BT154,,T154)*(1-R154)+INDEX(Models!$BJ154:$BT154,,T154+1)*R154-ERP_i)*Q154*Ramure*Pc/MaxiM</f>
        <v>1.8788827368228223E-4</v>
      </c>
      <c r="Q154" s="305">
        <f t="shared" si="53"/>
        <v>0.7</v>
      </c>
      <c r="R154" s="177">
        <f t="shared" si="54"/>
        <v>0.91762129652721247</v>
      </c>
      <c r="S154" s="810">
        <f t="shared" si="55"/>
        <v>0</v>
      </c>
      <c r="T154" s="176">
        <f t="shared" si="56"/>
        <v>6</v>
      </c>
      <c r="U154" s="251">
        <f t="shared" si="57"/>
        <v>0.91762129652721247</v>
      </c>
      <c r="V154" s="383">
        <f t="shared" si="58"/>
        <v>56.012160790877687</v>
      </c>
      <c r="W154" s="402">
        <f t="shared" si="59"/>
        <v>46.619037175418896</v>
      </c>
      <c r="X154" s="157">
        <f t="shared" si="60"/>
        <v>45431</v>
      </c>
      <c r="Y154" s="385">
        <f t="shared" si="61"/>
        <v>43.448435711206656</v>
      </c>
      <c r="Z154" s="385">
        <f t="shared" si="62"/>
        <v>45.643644579225942</v>
      </c>
      <c r="AA154" s="386">
        <f t="shared" si="63"/>
        <v>52.974200328411122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0.13837973397879971</v>
      </c>
      <c r="AD154" s="231">
        <f>(INDEX(Models!$BJ154:$BT154,,AH154)*(1-AF154)+INDEX(Models!$BJ154:$BT154,,AH154+1)*AF154-ERP_i)*AE154*Ramure*Pc/MaxiM</f>
        <v>1.8788827368228223E-4</v>
      </c>
      <c r="AE154" s="305">
        <f t="shared" si="65"/>
        <v>0.7</v>
      </c>
      <c r="AF154" s="177">
        <f t="shared" si="66"/>
        <v>0.91762129652721247</v>
      </c>
      <c r="AG154" s="810">
        <f t="shared" si="74"/>
        <v>0</v>
      </c>
      <c r="AH154" s="176">
        <f t="shared" si="67"/>
        <v>6</v>
      </c>
      <c r="AI154" s="225">
        <f t="shared" si="68"/>
        <v>0.91762129652721247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46.211044710821888</v>
      </c>
      <c r="C155" s="840"/>
      <c r="D155" s="393">
        <f t="shared" si="50"/>
        <v>48.546962672848991</v>
      </c>
      <c r="E155" s="385">
        <f t="shared" si="72"/>
        <v>52.521563650322598</v>
      </c>
      <c r="F155" s="385">
        <f t="shared" si="51"/>
        <v>52.528895028875468</v>
      </c>
      <c r="G155" s="110">
        <f t="shared" si="73"/>
        <v>0.82422508626263358</v>
      </c>
      <c r="H155" s="414" t="b">
        <f>Wh_hp&gt;='2023'!Maxi_hp</f>
        <v>0</v>
      </c>
      <c r="I155" s="390">
        <f>IF(H155,Wh_hp,'2023'!Maxi_hp)</f>
        <v>62.49902622803689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4.811666545996951E-2</v>
      </c>
      <c r="M155" s="844"/>
      <c r="N155" s="844"/>
      <c r="O155" s="48">
        <f>IF(t&lt;Tnet,'2023'!Resal+('2023'!Salim-'2023'!Resal)*(1-EXP(('2023'!Tnet-t)/('2023'!Tau_j))),Resal+(Salim-Resal)*(1-EXP((Tnet-t)/(Tau_j))))*Salcycl</f>
        <v>7.5675602576032494E-2</v>
      </c>
      <c r="P155" s="169">
        <f>(INDEX(Models!$BJ155:$BT155,,T155)*(1-R155)+INDEX(Models!$BJ155:$BT155,,T155+1)*R155-ERP_i)*Q155*Ramure*Pc/MaxiM</f>
        <v>1.8635269128816105E-4</v>
      </c>
      <c r="Q155" s="305">
        <f t="shared" si="53"/>
        <v>0.7</v>
      </c>
      <c r="R155" s="177">
        <f t="shared" si="54"/>
        <v>0.92108591054396682</v>
      </c>
      <c r="S155" s="810">
        <f t="shared" si="55"/>
        <v>0</v>
      </c>
      <c r="T155" s="176">
        <f t="shared" si="56"/>
        <v>6</v>
      </c>
      <c r="U155" s="251">
        <f t="shared" si="57"/>
        <v>0.92108591054396682</v>
      </c>
      <c r="V155" s="383">
        <f t="shared" si="58"/>
        <v>56.063426401816329</v>
      </c>
      <c r="W155" s="402">
        <f t="shared" si="59"/>
        <v>46.211044710821888</v>
      </c>
      <c r="X155" s="157">
        <f t="shared" si="60"/>
        <v>45432</v>
      </c>
      <c r="Y155" s="385">
        <f t="shared" si="61"/>
        <v>43.068868760593951</v>
      </c>
      <c r="Z155" s="385">
        <f t="shared" si="62"/>
        <v>45.245953151817403</v>
      </c>
      <c r="AA155" s="386">
        <f t="shared" si="63"/>
        <v>52.521563650322598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0.1385261594065374</v>
      </c>
      <c r="AD155" s="231">
        <f>(INDEX(Models!$BJ155:$BT155,,AH155)*(1-AF155)+INDEX(Models!$BJ155:$BT155,,AH155+1)*AF155-ERP_i)*AE155*Ramure*Pc/MaxiM</f>
        <v>1.8635269128816105E-4</v>
      </c>
      <c r="AE155" s="305">
        <f t="shared" si="65"/>
        <v>0.7</v>
      </c>
      <c r="AF155" s="177">
        <f t="shared" si="66"/>
        <v>0.92108591054396682</v>
      </c>
      <c r="AG155" s="810">
        <f t="shared" si="74"/>
        <v>0</v>
      </c>
      <c r="AH155" s="176">
        <f t="shared" si="67"/>
        <v>6</v>
      </c>
      <c r="AI155" s="225">
        <f t="shared" si="68"/>
        <v>0.92108591054396682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34.227518509238095</v>
      </c>
      <c r="C156" s="840"/>
      <c r="D156" s="393">
        <f t="shared" si="50"/>
        <v>35.958519085401917</v>
      </c>
      <c r="E156" s="385">
        <f t="shared" si="72"/>
        <v>38.90972522690565</v>
      </c>
      <c r="F156" s="385">
        <f t="shared" si="51"/>
        <v>38.912916689593452</v>
      </c>
      <c r="G156" s="110">
        <f t="shared" si="73"/>
        <v>0.60994540954858611</v>
      </c>
      <c r="H156" s="414" t="b">
        <f>Wh_hp&gt;='2023'!Maxi_hp</f>
        <v>0</v>
      </c>
      <c r="I156" s="390">
        <f>IF(H156,Wh_hp,'2023'!Maxi_hp)</f>
        <v>62.066231268120049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4.8138817175776283E-2</v>
      </c>
      <c r="M156" s="844"/>
      <c r="N156" s="844"/>
      <c r="O156" s="48">
        <f>IF(t&lt;Tnet,'2023'!Resal+('2023'!Salim-'2023'!Resal)*(1-EXP(('2023'!Tnet-t)/('2023'!Tau_j))),Resal+(Salim-Resal)*(1-EXP((Tnet-t)/(Tau_j))))*Salcycl</f>
        <v>7.5847519464439905E-2</v>
      </c>
      <c r="P156" s="169">
        <f>(INDEX(Models!$BJ156:$BT156,,T156)*(1-R156)+INDEX(Models!$BJ156:$BT156,,T156+1)*R156-ERP_i)*Q156*Ramure*Pc/MaxiM</f>
        <v>1.8519132183621653E-4</v>
      </c>
      <c r="Q156" s="305">
        <f t="shared" si="53"/>
        <v>0.7</v>
      </c>
      <c r="R156" s="177">
        <f t="shared" si="54"/>
        <v>0.92460639074041118</v>
      </c>
      <c r="S156" s="810">
        <f t="shared" si="55"/>
        <v>0</v>
      </c>
      <c r="T156" s="176">
        <f t="shared" si="56"/>
        <v>6</v>
      </c>
      <c r="U156" s="251">
        <f t="shared" si="57"/>
        <v>0.92460639074041118</v>
      </c>
      <c r="V156" s="383">
        <f t="shared" si="58"/>
        <v>56.109917759496369</v>
      </c>
      <c r="W156" s="402">
        <f t="shared" si="59"/>
        <v>34.227518509238095</v>
      </c>
      <c r="X156" s="157">
        <f t="shared" si="60"/>
        <v>45433</v>
      </c>
      <c r="Y156" s="385">
        <f t="shared" si="61"/>
        <v>31.9006720560293</v>
      </c>
      <c r="Z156" s="385">
        <f t="shared" si="62"/>
        <v>33.513996191522672</v>
      </c>
      <c r="AA156" s="386">
        <f t="shared" si="63"/>
        <v>38.90972522690565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0.13867301822146741</v>
      </c>
      <c r="AD156" s="231">
        <f>(INDEX(Models!$BJ156:$BT156,,AH156)*(1-AF156)+INDEX(Models!$BJ156:$BT156,,AH156+1)*AF156-ERP_i)*AE156*Ramure*Pc/MaxiM</f>
        <v>1.8519132183621653E-4</v>
      </c>
      <c r="AE156" s="305">
        <f t="shared" si="65"/>
        <v>0.7</v>
      </c>
      <c r="AF156" s="177">
        <f t="shared" si="66"/>
        <v>0.92460639074041118</v>
      </c>
      <c r="AG156" s="810">
        <f t="shared" si="74"/>
        <v>0</v>
      </c>
      <c r="AH156" s="176">
        <f t="shared" si="67"/>
        <v>6</v>
      </c>
      <c r="AI156" s="225">
        <f t="shared" si="68"/>
        <v>0.92460639074041118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19.444692704406037</v>
      </c>
      <c r="C157" s="840"/>
      <c r="D157" s="393">
        <f t="shared" si="50"/>
        <v>20.428551528541238</v>
      </c>
      <c r="E157" s="385">
        <f t="shared" si="72"/>
        <v>22.109291959423466</v>
      </c>
      <c r="F157" s="385">
        <f t="shared" si="51"/>
        <v>22.109561441892396</v>
      </c>
      <c r="G157" s="110">
        <f t="shared" si="73"/>
        <v>0.34622753085603719</v>
      </c>
      <c r="H157" s="414" t="b">
        <f>Wh_hp&gt;='2023'!Maxi_hp</f>
        <v>0</v>
      </c>
      <c r="I157" s="390">
        <f>IF(H157,Wh_hp,'2023'!Maxi_hp)</f>
        <v>58.102638040850181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4.8160968376080304E-2</v>
      </c>
      <c r="M157" s="844"/>
      <c r="N157" s="844"/>
      <c r="O157" s="48">
        <f>IF(t&lt;Tnet,'2023'!Resal+('2023'!Salim-'2023'!Resal)*(1-EXP(('2023'!Tnet-t)/('2023'!Tau_j))),Resal+(Salim-Resal)*(1-EXP((Tnet-t)/(Tau_j))))*Salcycl</f>
        <v>7.6019640699794472E-2</v>
      </c>
      <c r="P157" s="169">
        <f>(INDEX(Models!$BJ157:$BT157,,T157)*(1-R157)+INDEX(Models!$BJ157:$BT157,,T157+1)*R157-ERP_i)*Q157*Ramure*Pc/MaxiM</f>
        <v>1.8432662642152035E-4</v>
      </c>
      <c r="Q157" s="305">
        <f t="shared" si="53"/>
        <v>0.7</v>
      </c>
      <c r="R157" s="177">
        <f t="shared" si="54"/>
        <v>0.9281810558058291</v>
      </c>
      <c r="S157" s="810">
        <f t="shared" si="55"/>
        <v>0</v>
      </c>
      <c r="T157" s="176">
        <f t="shared" si="56"/>
        <v>6</v>
      </c>
      <c r="U157" s="251">
        <f t="shared" si="57"/>
        <v>0.9281810558058291</v>
      </c>
      <c r="V157" s="383">
        <f t="shared" si="58"/>
        <v>56.151934084037535</v>
      </c>
      <c r="W157" s="402">
        <f t="shared" si="59"/>
        <v>19.444692704406037</v>
      </c>
      <c r="X157" s="157">
        <f t="shared" si="60"/>
        <v>45434</v>
      </c>
      <c r="Y157" s="385">
        <f t="shared" si="61"/>
        <v>18.123087139412124</v>
      </c>
      <c r="Z157" s="385">
        <f t="shared" si="62"/>
        <v>19.040075619185913</v>
      </c>
      <c r="AA157" s="386">
        <f t="shared" si="63"/>
        <v>22.109291959423466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0.13882020038771015</v>
      </c>
      <c r="AD157" s="231">
        <f>(INDEX(Models!$BJ157:$BT157,,AH157)*(1-AF157)+INDEX(Models!$BJ157:$BT157,,AH157+1)*AF157-ERP_i)*AE157*Ramure*Pc/MaxiM</f>
        <v>1.8432662642152035E-4</v>
      </c>
      <c r="AE157" s="305">
        <f t="shared" si="65"/>
        <v>0.7</v>
      </c>
      <c r="AF157" s="177">
        <f t="shared" si="66"/>
        <v>0.9281810558058291</v>
      </c>
      <c r="AG157" s="810">
        <f t="shared" si="74"/>
        <v>0</v>
      </c>
      <c r="AH157" s="176">
        <f t="shared" si="67"/>
        <v>6</v>
      </c>
      <c r="AI157" s="225">
        <f t="shared" si="68"/>
        <v>0.9281810558058291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15.829433422909139</v>
      </c>
      <c r="C158" s="840"/>
      <c r="D158" s="393">
        <f t="shared" si="50"/>
        <v>16.630755074748297</v>
      </c>
      <c r="E158" s="385">
        <f t="shared" si="72"/>
        <v>18.002391585498263</v>
      </c>
      <c r="F158" s="385">
        <f t="shared" si="51"/>
        <v>18.002391585498263</v>
      </c>
      <c r="G158" s="110">
        <f t="shared" si="73"/>
        <v>0.2816620282925888</v>
      </c>
      <c r="H158" s="414" t="b">
        <f>Wh_hp&gt;='2023'!Maxi_hp</f>
        <v>0</v>
      </c>
      <c r="I158" s="390">
        <f>IF(H158,Wh_hp,'2023'!Maxi_hp)</f>
        <v>29.473911948934084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4.8183119060893564E-2</v>
      </c>
      <c r="M158" s="844"/>
      <c r="N158" s="844"/>
      <c r="O158" s="48">
        <f>IF(t&lt;Tnet,'2023'!Resal+('2023'!Salim-'2023'!Resal)*(1-EXP(('2023'!Tnet-t)/('2023'!Tau_j))),Resal+(Salim-Resal)*(1-EXP((Tnet-t)/(Tau_j))))*Salcycl</f>
        <v>7.6191905071928287E-2</v>
      </c>
      <c r="P158" s="169">
        <f>(INDEX(Models!$BJ158:$BT158,,T158)*(1-R158)+INDEX(Models!$BJ158:$BT158,,T158+1)*R158-ERP_i)*Q158*Ramure*Pc/MaxiM</f>
        <v>1.8375967341065366E-4</v>
      </c>
      <c r="Q158" s="305">
        <f t="shared" si="53"/>
        <v>0.7</v>
      </c>
      <c r="R158" s="177">
        <f t="shared" si="54"/>
        <v>0.93180807943049271</v>
      </c>
      <c r="S158" s="810">
        <f t="shared" si="55"/>
        <v>0</v>
      </c>
      <c r="T158" s="176">
        <f t="shared" si="56"/>
        <v>6</v>
      </c>
      <c r="U158" s="251">
        <f t="shared" si="57"/>
        <v>0.93180807943049271</v>
      </c>
      <c r="V158" s="383">
        <f t="shared" si="58"/>
        <v>56.189770084849968</v>
      </c>
      <c r="W158" s="402">
        <f t="shared" si="59"/>
        <v>15.829433422909139</v>
      </c>
      <c r="X158" s="157">
        <f t="shared" si="60"/>
        <v>45435</v>
      </c>
      <c r="Y158" s="385">
        <f t="shared" si="61"/>
        <v>14.753773246985277</v>
      </c>
      <c r="Z158" s="385">
        <f t="shared" si="62"/>
        <v>15.500642552618444</v>
      </c>
      <c r="AA158" s="386">
        <f t="shared" si="63"/>
        <v>18.002391585498263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0.13896759333327083</v>
      </c>
      <c r="AD158" s="231">
        <f>(INDEX(Models!$BJ158:$BT158,,AH158)*(1-AF158)+INDEX(Models!$BJ158:$BT158,,AH158+1)*AF158-ERP_i)*AE158*Ramure*Pc/MaxiM</f>
        <v>1.8375967341065366E-4</v>
      </c>
      <c r="AE158" s="305">
        <f t="shared" si="65"/>
        <v>0.7</v>
      </c>
      <c r="AF158" s="177">
        <f t="shared" si="66"/>
        <v>0.93180807943049271</v>
      </c>
      <c r="AG158" s="810">
        <f t="shared" si="74"/>
        <v>0</v>
      </c>
      <c r="AH158" s="176">
        <f t="shared" si="67"/>
        <v>6</v>
      </c>
      <c r="AI158" s="225">
        <f t="shared" si="68"/>
        <v>0.93180807943049271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38.556604452644358</v>
      </c>
      <c r="C159" s="840"/>
      <c r="D159" s="393">
        <f t="shared" si="50"/>
        <v>40.509369516535749</v>
      </c>
      <c r="E159" s="385">
        <f t="shared" si="72"/>
        <v>43.858598490206006</v>
      </c>
      <c r="F159" s="385">
        <f t="shared" si="51"/>
        <v>43.863034060359148</v>
      </c>
      <c r="G159" s="110">
        <f t="shared" si="73"/>
        <v>0.68571464238064694</v>
      </c>
      <c r="H159" s="414" t="b">
        <f>Wh_hp&gt;='2023'!Maxi_hp</f>
        <v>0</v>
      </c>
      <c r="I159" s="390">
        <f>IF(H159,Wh_hp,'2023'!Maxi_hp)</f>
        <v>60.701429062818967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4.8205269230227943E-2</v>
      </c>
      <c r="M159" s="844"/>
      <c r="N159" s="844"/>
      <c r="O159" s="48">
        <f>IF(t&lt;Tnet,'2023'!Resal+('2023'!Salim-'2023'!Resal)*(1-EXP(('2023'!Tnet-t)/('2023'!Tau_j))),Resal+(Salim-Resal)*(1-EXP((Tnet-t)/(Tau_j))))*Salcycl</f>
        <v>7.6364249861248207E-2</v>
      </c>
      <c r="P159" s="169">
        <f>(INDEX(Models!$BJ159:$BT159,,T159)*(1-R159)+INDEX(Models!$BJ159:$BT159,,T159+1)*R159-ERP_i)*Q159*Ramure*Pc/MaxiM</f>
        <v>1.8349282830503193E-4</v>
      </c>
      <c r="Q159" s="305">
        <f t="shared" si="53"/>
        <v>0.7</v>
      </c>
      <c r="R159" s="177">
        <f t="shared" si="54"/>
        <v>0.93548549176466644</v>
      </c>
      <c r="S159" s="810">
        <f t="shared" si="55"/>
        <v>0</v>
      </c>
      <c r="T159" s="176">
        <f t="shared" si="56"/>
        <v>6</v>
      </c>
      <c r="U159" s="251">
        <f t="shared" si="57"/>
        <v>0.93548549176466644</v>
      </c>
      <c r="V159" s="383">
        <f t="shared" si="58"/>
        <v>56.223720269764229</v>
      </c>
      <c r="W159" s="402">
        <f t="shared" si="59"/>
        <v>38.556604452644358</v>
      </c>
      <c r="X159" s="157">
        <f t="shared" si="60"/>
        <v>45436</v>
      </c>
      <c r="Y159" s="385">
        <f t="shared" si="61"/>
        <v>35.937109674262857</v>
      </c>
      <c r="Z159" s="385">
        <f t="shared" si="62"/>
        <v>37.757205952588556</v>
      </c>
      <c r="AA159" s="386">
        <f t="shared" si="63"/>
        <v>43.858598490206006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0.13911508227924668</v>
      </c>
      <c r="AD159" s="231">
        <f>(INDEX(Models!$BJ159:$BT159,,AH159)*(1-AF159)+INDEX(Models!$BJ159:$BT159,,AH159+1)*AF159-ERP_i)*AE159*Ramure*Pc/MaxiM</f>
        <v>1.8349282830503193E-4</v>
      </c>
      <c r="AE159" s="305">
        <f t="shared" si="65"/>
        <v>0.7</v>
      </c>
      <c r="AF159" s="177">
        <f t="shared" si="66"/>
        <v>0.93548549176466644</v>
      </c>
      <c r="AG159" s="810">
        <f t="shared" si="74"/>
        <v>0</v>
      </c>
      <c r="AH159" s="176">
        <f t="shared" si="67"/>
        <v>6</v>
      </c>
      <c r="AI159" s="225">
        <f t="shared" si="68"/>
        <v>0.93548549176466644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22.694485304568683</v>
      </c>
      <c r="C160" s="840"/>
      <c r="D160" s="393">
        <f t="shared" si="50"/>
        <v>23.844441156269248</v>
      </c>
      <c r="E160" s="385">
        <f t="shared" si="72"/>
        <v>25.820667544541696</v>
      </c>
      <c r="F160" s="385">
        <f t="shared" si="51"/>
        <v>25.821367747907406</v>
      </c>
      <c r="G160" s="110">
        <f t="shared" si="73"/>
        <v>0.40336515922547206</v>
      </c>
      <c r="H160" s="414" t="b">
        <f>Wh_hp&gt;='2023'!Maxi_hp</f>
        <v>0</v>
      </c>
      <c r="I160" s="390">
        <f>IF(H160,Wh_hp,'2023'!Maxi_hp)</f>
        <v>63.484208413127426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4.8227418884095541E-2</v>
      </c>
      <c r="M160" s="844"/>
      <c r="N160" s="844"/>
      <c r="O160" s="48">
        <f>IF(t&lt;Tnet,'2023'!Resal+('2023'!Salim-'2023'!Resal)*(1-EXP(('2023'!Tnet-t)/('2023'!Tau_j))),Resal+(Salim-Resal)*(1-EXP((Tnet-t)/(Tau_j))))*Salcycl</f>
        <v>7.6536611025388029E-2</v>
      </c>
      <c r="P160" s="169">
        <f>(INDEX(Models!$BJ160:$BT160,,T160)*(1-R160)+INDEX(Models!$BJ160:$BT160,,T160+1)*R160-ERP_i)*Q160*Ramure*Pc/MaxiM</f>
        <v>1.8352860575828508E-4</v>
      </c>
      <c r="Q160" s="305">
        <f t="shared" si="53"/>
        <v>0.7</v>
      </c>
      <c r="R160" s="177">
        <f t="shared" si="54"/>
        <v>0.9392111816373323</v>
      </c>
      <c r="S160" s="810">
        <f t="shared" si="55"/>
        <v>0</v>
      </c>
      <c r="T160" s="176">
        <f t="shared" si="56"/>
        <v>6</v>
      </c>
      <c r="U160" s="251">
        <f t="shared" si="57"/>
        <v>0.9392111816373323</v>
      </c>
      <c r="V160" s="383">
        <f t="shared" si="58"/>
        <v>56.254078998000324</v>
      </c>
      <c r="W160" s="402">
        <f t="shared" si="59"/>
        <v>22.694485304568683</v>
      </c>
      <c r="X160" s="157">
        <f t="shared" si="60"/>
        <v>45437</v>
      </c>
      <c r="Y160" s="385">
        <f t="shared" si="61"/>
        <v>21.152970036433491</v>
      </c>
      <c r="Z160" s="385">
        <f t="shared" si="62"/>
        <v>22.224815524347971</v>
      </c>
      <c r="AA160" s="386">
        <f t="shared" si="63"/>
        <v>25.820667544541696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0.13926255059017098</v>
      </c>
      <c r="AD160" s="231">
        <f>(INDEX(Models!$BJ160:$BT160,,AH160)*(1-AF160)+INDEX(Models!$BJ160:$BT160,,AH160+1)*AF160-ERP_i)*AE160*Ramure*Pc/MaxiM</f>
        <v>1.8352860575828508E-4</v>
      </c>
      <c r="AE160" s="305">
        <f t="shared" si="65"/>
        <v>0.7</v>
      </c>
      <c r="AF160" s="177">
        <f t="shared" si="66"/>
        <v>0.9392111816373323</v>
      </c>
      <c r="AG160" s="810">
        <f t="shared" si="74"/>
        <v>0</v>
      </c>
      <c r="AH160" s="176">
        <f t="shared" si="67"/>
        <v>6</v>
      </c>
      <c r="AI160" s="225">
        <f t="shared" si="68"/>
        <v>0.9392111816373323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44.717559498140957</v>
      </c>
      <c r="C161" s="840"/>
      <c r="D161" s="393">
        <f t="shared" si="50"/>
        <v>46.984543421986594</v>
      </c>
      <c r="E161" s="385">
        <f t="shared" si="72"/>
        <v>50.888116015273326</v>
      </c>
      <c r="F161" s="385">
        <f t="shared" si="51"/>
        <v>50.894727291556997</v>
      </c>
      <c r="G161" s="110">
        <f t="shared" si="73"/>
        <v>0.794496086340721</v>
      </c>
      <c r="H161" s="414" t="b">
        <f>Wh_hp&gt;='2023'!Maxi_hp</f>
        <v>0</v>
      </c>
      <c r="I161" s="390">
        <f>IF(H161,Wh_hp,'2023'!Maxi_hp)</f>
        <v>63.520031293079448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4.8249568022508349E-2</v>
      </c>
      <c r="M161" s="844"/>
      <c r="N161" s="844"/>
      <c r="O161" s="48">
        <f>IF(t&lt;Tnet,'2023'!Resal+('2023'!Salim-'2023'!Resal)*(1-EXP(('2023'!Tnet-t)/('2023'!Tau_j))),Resal+(Salim-Resal)*(1-EXP((Tnet-t)/(Tau_j))))*Salcycl</f>
        <v>7.670892339805091E-2</v>
      </c>
      <c r="P161" s="169">
        <f>(INDEX(Models!$BJ161:$BT161,,T161)*(1-R161)+INDEX(Models!$BJ161:$BT161,,T161+1)*R161-ERP_i)*Q161*Ramure*Pc/MaxiM</f>
        <v>1.8386964313446316E-4</v>
      </c>
      <c r="Q161" s="305">
        <f t="shared" si="53"/>
        <v>0.7</v>
      </c>
      <c r="R161" s="177">
        <f t="shared" si="54"/>
        <v>0.94298289955011294</v>
      </c>
      <c r="S161" s="810">
        <f t="shared" si="55"/>
        <v>0</v>
      </c>
      <c r="T161" s="176">
        <f t="shared" si="56"/>
        <v>6</v>
      </c>
      <c r="U161" s="251">
        <f t="shared" si="57"/>
        <v>0.94298289955011294</v>
      </c>
      <c r="V161" s="383">
        <f t="shared" si="58"/>
        <v>56.281140470833371</v>
      </c>
      <c r="W161" s="402">
        <f t="shared" si="59"/>
        <v>44.717559498140957</v>
      </c>
      <c r="X161" s="157">
        <f t="shared" si="60"/>
        <v>45438</v>
      </c>
      <c r="Y161" s="385">
        <f t="shared" si="61"/>
        <v>41.680777452987705</v>
      </c>
      <c r="Z161" s="385">
        <f t="shared" si="62"/>
        <v>43.793809860832752</v>
      </c>
      <c r="AA161" s="386">
        <f t="shared" si="63"/>
        <v>50.888116015273326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0.13940988014394795</v>
      </c>
      <c r="AD161" s="231">
        <f>(INDEX(Models!$BJ161:$BT161,,AH161)*(1-AF161)+INDEX(Models!$BJ161:$BT161,,AH161+1)*AF161-ERP_i)*AE161*Ramure*Pc/MaxiM</f>
        <v>1.8386964313446316E-4</v>
      </c>
      <c r="AE161" s="305">
        <f t="shared" si="65"/>
        <v>0.7</v>
      </c>
      <c r="AF161" s="177">
        <f t="shared" si="66"/>
        <v>0.94298289955011294</v>
      </c>
      <c r="AG161" s="810">
        <f t="shared" si="74"/>
        <v>0</v>
      </c>
      <c r="AH161" s="176">
        <f t="shared" si="67"/>
        <v>6</v>
      </c>
      <c r="AI161" s="225">
        <f t="shared" si="68"/>
        <v>0.94298289955011294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53.295617529969299</v>
      </c>
      <c r="C162" s="840"/>
      <c r="D162" s="393">
        <f t="shared" si="50"/>
        <v>55.998774505387395</v>
      </c>
      <c r="E162" s="385">
        <f t="shared" si="72"/>
        <v>60.662581790042481</v>
      </c>
      <c r="F162" s="385">
        <f t="shared" si="51"/>
        <v>60.672922217633776</v>
      </c>
      <c r="G162" s="110">
        <f t="shared" si="73"/>
        <v>0.94653544802400924</v>
      </c>
      <c r="H162" s="414" t="b">
        <f>Wh_hp&gt;='2023'!Maxi_hp</f>
        <v>0</v>
      </c>
      <c r="I162" s="390">
        <f>IF(H162,Wh_hp,'2023'!Maxi_hp)</f>
        <v>62.361941334367771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4.8271716645478357E-2</v>
      </c>
      <c r="M162" s="844"/>
      <c r="N162" s="844"/>
      <c r="O162" s="48">
        <f>IF(t&lt;Tnet,'2023'!Resal+('2023'!Salim-'2023'!Resal)*(1-EXP(('2023'!Tnet-t)/('2023'!Tau_j))),Resal+(Salim-Resal)*(1-EXP((Tnet-t)/(Tau_j))))*Salcycl</f>
        <v>7.6881120899154221E-2</v>
      </c>
      <c r="P162" s="169">
        <f>(INDEX(Models!$BJ162:$BT162,,T162)*(1-R162)+INDEX(Models!$BJ162:$BT162,,T162+1)*R162-ERP_i)*Q162*Ramure*Pc/MaxiM</f>
        <v>1.8451867362926933E-4</v>
      </c>
      <c r="Q162" s="305">
        <f t="shared" si="53"/>
        <v>0.7</v>
      </c>
      <c r="R162" s="177">
        <f t="shared" si="54"/>
        <v>0.94679826145534685</v>
      </c>
      <c r="S162" s="810">
        <f t="shared" si="55"/>
        <v>0</v>
      </c>
      <c r="T162" s="176">
        <f t="shared" si="56"/>
        <v>6</v>
      </c>
      <c r="U162" s="251">
        <f t="shared" si="57"/>
        <v>0.94679826145534685</v>
      </c>
      <c r="V162" s="383">
        <f t="shared" si="58"/>
        <v>56.30519870887337</v>
      </c>
      <c r="W162" s="402">
        <f t="shared" si="59"/>
        <v>53.295617529969299</v>
      </c>
      <c r="X162" s="157">
        <f t="shared" si="60"/>
        <v>45439</v>
      </c>
      <c r="Y162" s="385">
        <f t="shared" si="61"/>
        <v>49.677072634609431</v>
      </c>
      <c r="Z162" s="385">
        <f t="shared" si="62"/>
        <v>52.196696791981935</v>
      </c>
      <c r="AA162" s="386">
        <f t="shared" si="63"/>
        <v>60.662581790042481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0.13955695171962149</v>
      </c>
      <c r="AD162" s="231">
        <f>(INDEX(Models!$BJ162:$BT162,,AH162)*(1-AF162)+INDEX(Models!$BJ162:$BT162,,AH162+1)*AF162-ERP_i)*AE162*Ramure*Pc/MaxiM</f>
        <v>1.8451867362926933E-4</v>
      </c>
      <c r="AE162" s="305">
        <f t="shared" si="65"/>
        <v>0.7</v>
      </c>
      <c r="AF162" s="177">
        <f t="shared" si="66"/>
        <v>0.94679826145534685</v>
      </c>
      <c r="AG162" s="810">
        <f t="shared" si="74"/>
        <v>0</v>
      </c>
      <c r="AH162" s="176">
        <f t="shared" si="67"/>
        <v>6</v>
      </c>
      <c r="AI162" s="225">
        <f t="shared" si="68"/>
        <v>0.94679826145534685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57.429627507900626</v>
      </c>
      <c r="C163" s="840"/>
      <c r="D163" s="393">
        <f t="shared" si="50"/>
        <v>60.343866011746108</v>
      </c>
      <c r="E163" s="385">
        <f t="shared" si="72"/>
        <v>65.381733678144613</v>
      </c>
      <c r="F163" s="385">
        <f t="shared" si="51"/>
        <v>65.393863123176274</v>
      </c>
      <c r="G163" s="110">
        <f t="shared" si="73"/>
        <v>1.0196079969873806</v>
      </c>
      <c r="H163" s="414" t="b">
        <f>Wh_hp&gt;='2023'!Maxi_hp</f>
        <v>1</v>
      </c>
      <c r="I163" s="390">
        <f>IF(H163,Wh_hp,'2023'!Maxi_hp)</f>
        <v>65.393863123176274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4.8293864753017557E-2</v>
      </c>
      <c r="M163" s="844"/>
      <c r="N163" s="844"/>
      <c r="O163" s="48">
        <f>IF(t&lt;Tnet,'2023'!Resal+('2023'!Salim-'2023'!Resal)*(1-EXP(('2023'!Tnet-t)/('2023'!Tau_j))),Resal+(Salim-Resal)*(1-EXP((Tnet-t)/(Tau_j))))*Salcycl</f>
        <v>7.7053136755266677E-2</v>
      </c>
      <c r="P163" s="169">
        <f>(INDEX(Models!$BJ163:$BT163,,T163)*(1-R163)+INDEX(Models!$BJ163:$BT163,,T163+1)*R163-ERP_i)*Q163*Ramure*Pc/MaxiM</f>
        <v>1.854829253445017E-4</v>
      </c>
      <c r="Q163" s="305">
        <f t="shared" si="53"/>
        <v>0.7</v>
      </c>
      <c r="R163" s="177">
        <f t="shared" si="54"/>
        <v>0.95065475332032445</v>
      </c>
      <c r="S163" s="810">
        <f t="shared" si="55"/>
        <v>0</v>
      </c>
      <c r="T163" s="176">
        <f t="shared" si="56"/>
        <v>6</v>
      </c>
      <c r="U163" s="251">
        <f t="shared" si="57"/>
        <v>0.95065475332032445</v>
      </c>
      <c r="V163" s="383">
        <f t="shared" si="58"/>
        <v>56.325203095294491</v>
      </c>
      <c r="W163" s="402">
        <f t="shared" si="59"/>
        <v>57.429627507900626</v>
      </c>
      <c r="X163" s="157">
        <f t="shared" si="60"/>
        <v>45440</v>
      </c>
      <c r="Y163" s="385">
        <f t="shared" si="61"/>
        <v>53.53124991110527</v>
      </c>
      <c r="Z163" s="385">
        <f t="shared" si="62"/>
        <v>56.247667140669513</v>
      </c>
      <c r="AA163" s="386">
        <f t="shared" si="63"/>
        <v>65.381733678144613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0.13970364540101474</v>
      </c>
      <c r="AD163" s="231">
        <f>(INDEX(Models!$BJ163:$BT163,,AH163)*(1-AF163)+INDEX(Models!$BJ163:$BT163,,AH163+1)*AF163-ERP_i)*AE163*Ramure*Pc/MaxiM</f>
        <v>1.854829253445017E-4</v>
      </c>
      <c r="AE163" s="305">
        <f t="shared" si="65"/>
        <v>0.7</v>
      </c>
      <c r="AF163" s="177">
        <f t="shared" si="66"/>
        <v>0.95065475332032445</v>
      </c>
      <c r="AG163" s="810">
        <f t="shared" si="74"/>
        <v>0</v>
      </c>
      <c r="AH163" s="176">
        <f t="shared" si="67"/>
        <v>6</v>
      </c>
      <c r="AI163" s="225">
        <f t="shared" si="68"/>
        <v>0.95065475332032445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49.746586702774906</v>
      </c>
      <c r="C164" s="840"/>
      <c r="D164" s="393">
        <f t="shared" si="50"/>
        <v>52.272169489118291</v>
      </c>
      <c r="E164" s="385">
        <f t="shared" si="72"/>
        <v>56.646705898724313</v>
      </c>
      <c r="F164" s="385">
        <f t="shared" si="51"/>
        <v>56.655518398772656</v>
      </c>
      <c r="G164" s="110">
        <f t="shared" si="73"/>
        <v>0.88294180663856436</v>
      </c>
      <c r="H164" s="414" t="b">
        <f>Wh_hp&gt;='2023'!Maxi_hp</f>
        <v>0</v>
      </c>
      <c r="I164" s="390">
        <f>IF(H164,Wh_hp,'2023'!Maxi_hp)</f>
        <v>59.86002152871599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4.8316012345137938E-2</v>
      </c>
      <c r="M164" s="844"/>
      <c r="N164" s="844"/>
      <c r="O164" s="48">
        <f>IF(t&lt;Tnet,'2023'!Resal+('2023'!Salim-'2023'!Resal)*(1-EXP(('2023'!Tnet-t)/('2023'!Tau_j))),Resal+(Salim-Resal)*(1-EXP((Tnet-t)/(Tau_j))))*Salcycl</f>
        <v>7.7224903729212854E-2</v>
      </c>
      <c r="P164" s="169">
        <f>(INDEX(Models!$BJ164:$BT164,,T164)*(1-R164)+INDEX(Models!$BJ164:$BT164,,T164+1)*R164-ERP_i)*Q164*Ramure*Pc/MaxiM</f>
        <v>1.8677089877409562E-4</v>
      </c>
      <c r="Q164" s="305">
        <f t="shared" si="53"/>
        <v>0.7</v>
      </c>
      <c r="R164" s="177">
        <f t="shared" si="54"/>
        <v>0.95454973647239449</v>
      </c>
      <c r="S164" s="810">
        <f t="shared" si="55"/>
        <v>0</v>
      </c>
      <c r="T164" s="176">
        <f t="shared" si="56"/>
        <v>6</v>
      </c>
      <c r="U164" s="251">
        <f t="shared" si="57"/>
        <v>0.95454973647239449</v>
      </c>
      <c r="V164" s="383">
        <f t="shared" si="58"/>
        <v>56.340103867018961</v>
      </c>
      <c r="W164" s="402">
        <f t="shared" si="59"/>
        <v>49.746586702774906</v>
      </c>
      <c r="X164" s="157">
        <f t="shared" si="60"/>
        <v>45441</v>
      </c>
      <c r="Y164" s="385">
        <f t="shared" si="61"/>
        <v>46.37049117961525</v>
      </c>
      <c r="Z164" s="385">
        <f t="shared" si="62"/>
        <v>48.724673085948758</v>
      </c>
      <c r="AA164" s="386">
        <f t="shared" si="63"/>
        <v>56.646705898724313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0.13984984099408965</v>
      </c>
      <c r="AD164" s="231">
        <f>(INDEX(Models!$BJ164:$BT164,,AH164)*(1-AF164)+INDEX(Models!$BJ164:$BT164,,AH164+1)*AF164-ERP_i)*AE164*Ramure*Pc/MaxiM</f>
        <v>1.8677089877409562E-4</v>
      </c>
      <c r="AE164" s="305">
        <f t="shared" si="65"/>
        <v>0.7</v>
      </c>
      <c r="AF164" s="177">
        <f t="shared" si="66"/>
        <v>0.95454973647239449</v>
      </c>
      <c r="AG164" s="810">
        <f t="shared" si="74"/>
        <v>0</v>
      </c>
      <c r="AH164" s="176">
        <f t="shared" si="67"/>
        <v>6</v>
      </c>
      <c r="AI164" s="225">
        <f t="shared" si="68"/>
        <v>0.95454973647239449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52.826018653395273</v>
      </c>
      <c r="C165" s="840"/>
      <c r="D165" s="393">
        <f t="shared" si="50"/>
        <v>55.509232797757967</v>
      </c>
      <c r="E165" s="385">
        <f t="shared" si="72"/>
        <v>60.165850265102797</v>
      </c>
      <c r="F165" s="385">
        <f t="shared" si="51"/>
        <v>60.176160333771968</v>
      </c>
      <c r="G165" s="110">
        <f t="shared" si="73"/>
        <v>0.93744336726654476</v>
      </c>
      <c r="H165" s="414" t="b">
        <f>Wh_hp&gt;='2023'!Maxi_hp</f>
        <v>0</v>
      </c>
      <c r="I165" s="390">
        <f>IF(H165,Wh_hp,'2023'!Maxi_hp)</f>
        <v>63.940669699990565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4.833815942185149E-2</v>
      </c>
      <c r="M165" s="844"/>
      <c r="N165" s="844"/>
      <c r="O165" s="48">
        <f>IF(t&lt;Tnet,'2023'!Resal+('2023'!Salim-'2023'!Resal)*(1-EXP(('2023'!Tnet-t)/('2023'!Tau_j))),Resal+(Salim-Resal)*(1-EXP((Tnet-t)/(Tau_j))))*Salcycl</f>
        <v>7.7396354357610483E-2</v>
      </c>
      <c r="P165" s="169">
        <f>(INDEX(Models!$BJ165:$BT165,,T165)*(1-R165)+INDEX(Models!$BJ165:$BT165,,T165+1)*R165-ERP_i)*Q165*Ramure*Pc/MaxiM</f>
        <v>1.8814071075917715E-4</v>
      </c>
      <c r="Q165" s="305">
        <f t="shared" si="53"/>
        <v>0.7</v>
      </c>
      <c r="R165" s="177">
        <f t="shared" si="54"/>
        <v>0.95848045371209578</v>
      </c>
      <c r="S165" s="810">
        <f t="shared" si="55"/>
        <v>0</v>
      </c>
      <c r="T165" s="176">
        <f t="shared" si="56"/>
        <v>6</v>
      </c>
      <c r="U165" s="251">
        <f t="shared" si="57"/>
        <v>0.95848045371209578</v>
      </c>
      <c r="V165" s="383">
        <f t="shared" si="58"/>
        <v>56.350209921289846</v>
      </c>
      <c r="W165" s="402">
        <f t="shared" si="59"/>
        <v>52.826018653395273</v>
      </c>
      <c r="X165" s="157">
        <f t="shared" si="60"/>
        <v>45442</v>
      </c>
      <c r="Y165" s="385">
        <f t="shared" si="61"/>
        <v>49.2417499987573</v>
      </c>
      <c r="Z165" s="385">
        <f t="shared" si="62"/>
        <v>51.742906880496768</v>
      </c>
      <c r="AA165" s="386">
        <f t="shared" si="63"/>
        <v>60.165850265102797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0.13999541845569946</v>
      </c>
      <c r="AD165" s="231">
        <f>(INDEX(Models!$BJ165:$BT165,,AH165)*(1-AF165)+INDEX(Models!$BJ165:$BT165,,AH165+1)*AF165-ERP_i)*AE165*Ramure*Pc/MaxiM</f>
        <v>1.8814071075917715E-4</v>
      </c>
      <c r="AE165" s="305">
        <f t="shared" si="65"/>
        <v>0.7</v>
      </c>
      <c r="AF165" s="177">
        <f t="shared" si="66"/>
        <v>0.95848045371209578</v>
      </c>
      <c r="AG165" s="810">
        <f t="shared" si="74"/>
        <v>0</v>
      </c>
      <c r="AH165" s="176">
        <f t="shared" si="67"/>
        <v>6</v>
      </c>
      <c r="AI165" s="225">
        <f t="shared" si="68"/>
        <v>0.95848045371209578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53.608184108004757</v>
      </c>
      <c r="C166" s="840"/>
      <c r="D166" s="393">
        <f t="shared" si="50"/>
        <v>56.33243804882386</v>
      </c>
      <c r="E166" s="385">
        <f t="shared" si="72"/>
        <v>61.069436773148524</v>
      </c>
      <c r="F166" s="385">
        <f t="shared" si="51"/>
        <v>61.080210492959722</v>
      </c>
      <c r="G166" s="110">
        <f t="shared" si="73"/>
        <v>0.95123235832334829</v>
      </c>
      <c r="H166" s="414" t="b">
        <f>Wh_hp&gt;='2023'!Maxi_hp</f>
        <v>0</v>
      </c>
      <c r="I166" s="390">
        <f>IF(H166,Wh_hp,'2023'!Maxi_hp)</f>
        <v>65.184195459638048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4.8360305983170204E-2</v>
      </c>
      <c r="M166" s="844"/>
      <c r="N166" s="844"/>
      <c r="O166" s="48">
        <f>IF(t&lt;Tnet,'2023'!Resal+('2023'!Salim-'2023'!Resal)*(1-EXP(('2023'!Tnet-t)/('2023'!Tau_j))),Resal+(Salim-Resal)*(1-EXP((Tnet-t)/(Tau_j))))*Salcycl</f>
        <v>7.7567421195007091E-2</v>
      </c>
      <c r="P166" s="169">
        <f>(INDEX(Models!$BJ166:$BT166,,T166)*(1-R166)+INDEX(Models!$BJ166:$BT166,,T166+1)*R166-ERP_i)*Q166*Ramure*Pc/MaxiM</f>
        <v>1.8959149097576573E-4</v>
      </c>
      <c r="Q166" s="305">
        <f t="shared" si="53"/>
        <v>0.7</v>
      </c>
      <c r="R166" s="177">
        <f t="shared" si="54"/>
        <v>0.96244403617376162</v>
      </c>
      <c r="S166" s="810">
        <f t="shared" si="55"/>
        <v>0</v>
      </c>
      <c r="T166" s="176">
        <f t="shared" si="56"/>
        <v>6</v>
      </c>
      <c r="U166" s="251">
        <f t="shared" si="57"/>
        <v>0.96244403617376162</v>
      </c>
      <c r="V166" s="383">
        <f t="shared" si="58"/>
        <v>56.355816341091554</v>
      </c>
      <c r="W166" s="402">
        <f t="shared" si="59"/>
        <v>53.608184108004757</v>
      </c>
      <c r="X166" s="157">
        <f t="shared" si="60"/>
        <v>45443</v>
      </c>
      <c r="Y166" s="385">
        <f t="shared" si="61"/>
        <v>49.971694839915926</v>
      </c>
      <c r="Z166" s="385">
        <f t="shared" si="62"/>
        <v>52.511150127615601</v>
      </c>
      <c r="AA166" s="386">
        <f t="shared" si="63"/>
        <v>61.069436773148524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0.14014025833124916</v>
      </c>
      <c r="AD166" s="231">
        <f>(INDEX(Models!$BJ166:$BT166,,AH166)*(1-AF166)+INDEX(Models!$BJ166:$BT166,,AH166+1)*AF166-ERP_i)*AE166*Ramure*Pc/MaxiM</f>
        <v>1.8959149097576573E-4</v>
      </c>
      <c r="AE166" s="305">
        <f t="shared" si="65"/>
        <v>0.7</v>
      </c>
      <c r="AF166" s="177">
        <f t="shared" si="66"/>
        <v>0.96244403617376162</v>
      </c>
      <c r="AG166" s="810">
        <f t="shared" si="74"/>
        <v>0</v>
      </c>
      <c r="AH166" s="176">
        <f t="shared" si="67"/>
        <v>6</v>
      </c>
      <c r="AI166" s="225">
        <f t="shared" si="68"/>
        <v>0.96244403617376162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44.428995871982629</v>
      </c>
      <c r="C167" s="840"/>
      <c r="D167" s="393">
        <f t="shared" si="50"/>
        <v>46.687869477309739</v>
      </c>
      <c r="E167" s="385">
        <f t="shared" si="72"/>
        <v>50.623219165017964</v>
      </c>
      <c r="F167" s="385">
        <f t="shared" si="51"/>
        <v>50.629969866452505</v>
      </c>
      <c r="G167" s="110">
        <f t="shared" si="73"/>
        <v>0.78830058822531346</v>
      </c>
      <c r="H167" s="414" t="b">
        <f>Wh_hp&gt;='2023'!Maxi_hp</f>
        <v>0</v>
      </c>
      <c r="I167" s="390">
        <f>IF(H167,Wh_hp,'2023'!Maxi_hp)</f>
        <v>63.527913970143331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4.8382452029106182E-2</v>
      </c>
      <c r="M167" s="844"/>
      <c r="N167" s="844"/>
      <c r="O167" s="48">
        <f>IF(t&lt;Tnet,'2023'!Resal+('2023'!Salim-'2023'!Resal)*(1-EXP(('2023'!Tnet-t)/('2023'!Tau_j))),Resal+(Salim-Resal)*(1-EXP((Tnet-t)/(Tau_j))))*Salcycl</f>
        <v>7.7738037063191337E-2</v>
      </c>
      <c r="P167" s="169">
        <f>(INDEX(Models!$BJ167:$BT167,,T167)*(1-R167)+INDEX(Models!$BJ167:$BT167,,T167+1)*R167-ERP_i)*Q167*Ramure*Pc/MaxiM</f>
        <v>1.9112236125667367E-4</v>
      </c>
      <c r="Q167" s="305">
        <f t="shared" si="53"/>
        <v>0.7</v>
      </c>
      <c r="R167" s="177">
        <f t="shared" si="54"/>
        <v>0.96643751090529173</v>
      </c>
      <c r="S167" s="810">
        <f t="shared" si="55"/>
        <v>0</v>
      </c>
      <c r="T167" s="176">
        <f t="shared" si="56"/>
        <v>6</v>
      </c>
      <c r="U167" s="251">
        <f t="shared" si="57"/>
        <v>0.96643751090529173</v>
      </c>
      <c r="V167" s="383">
        <f t="shared" si="58"/>
        <v>56.357217942934412</v>
      </c>
      <c r="W167" s="402">
        <f t="shared" si="59"/>
        <v>44.428995871982629</v>
      </c>
      <c r="X167" s="157">
        <f t="shared" si="60"/>
        <v>45444</v>
      </c>
      <c r="Y167" s="385">
        <f t="shared" si="61"/>
        <v>41.415898507626245</v>
      </c>
      <c r="Z167" s="385">
        <f t="shared" si="62"/>
        <v>43.521579226797733</v>
      </c>
      <c r="AA167" s="386">
        <f t="shared" si="63"/>
        <v>50.623219165017964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0.14028424219864033</v>
      </c>
      <c r="AD167" s="231">
        <f>(INDEX(Models!$BJ167:$BT167,,AH167)*(1-AF167)+INDEX(Models!$BJ167:$BT167,,AH167+1)*AF167-ERP_i)*AE167*Ramure*Pc/MaxiM</f>
        <v>1.9112236125667367E-4</v>
      </c>
      <c r="AE167" s="305">
        <f t="shared" si="65"/>
        <v>0.7</v>
      </c>
      <c r="AF167" s="177">
        <f t="shared" si="66"/>
        <v>0.96643751090529173</v>
      </c>
      <c r="AG167" s="810">
        <f t="shared" si="74"/>
        <v>0</v>
      </c>
      <c r="AH167" s="176">
        <f t="shared" si="67"/>
        <v>6</v>
      </c>
      <c r="AI167" s="225">
        <f t="shared" si="68"/>
        <v>0.96643751090529173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51.781088950146653</v>
      </c>
      <c r="C168" s="840"/>
      <c r="D168" s="393">
        <f t="shared" si="50"/>
        <v>54.415026404453087</v>
      </c>
      <c r="E168" s="385">
        <f t="shared" si="72"/>
        <v>59.012587018543201</v>
      </c>
      <c r="F168" s="385">
        <f t="shared" si="51"/>
        <v>59.022643716137097</v>
      </c>
      <c r="G168" s="110">
        <f t="shared" si="73"/>
        <v>0.91882173404054335</v>
      </c>
      <c r="H168" s="414" t="b">
        <f>Wh_hp&gt;='2023'!Maxi_hp</f>
        <v>0</v>
      </c>
      <c r="I168" s="390">
        <f>IF(H168,Wh_hp,'2023'!Maxi_hp)</f>
        <v>59.023162907368395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4.8404597559671192E-2</v>
      </c>
      <c r="M168" s="844"/>
      <c r="N168" s="844"/>
      <c r="O168" s="48">
        <f>IF(t&lt;Tnet,'2023'!Resal+('2023'!Salim-'2023'!Resal)*(1-EXP(('2023'!Tnet-t)/('2023'!Tau_j))),Resal+(Salim-Resal)*(1-EXP((Tnet-t)/(Tau_j))))*Salcycl</f>
        <v>7.7908135304175882E-2</v>
      </c>
      <c r="P168" s="169">
        <f>(INDEX(Models!$BJ168:$BT168,,T168)*(1-R168)+INDEX(Models!$BJ168:$BT168,,T168+1)*R168-ERP_i)*Q168*Ramure*Pc/MaxiM</f>
        <v>1.9273243247187787E-4</v>
      </c>
      <c r="Q168" s="305">
        <f t="shared" si="53"/>
        <v>0.7</v>
      </c>
      <c r="R168" s="177">
        <f t="shared" si="54"/>
        <v>0.97045780913110924</v>
      </c>
      <c r="S168" s="810">
        <f t="shared" si="55"/>
        <v>0</v>
      </c>
      <c r="T168" s="176">
        <f t="shared" si="56"/>
        <v>6</v>
      </c>
      <c r="U168" s="251">
        <f t="shared" si="57"/>
        <v>0.97045780913110924</v>
      </c>
      <c r="V168" s="383">
        <f t="shared" si="58"/>
        <v>56.354709264492357</v>
      </c>
      <c r="W168" s="402">
        <f t="shared" si="59"/>
        <v>51.781088950146653</v>
      </c>
      <c r="X168" s="157">
        <f t="shared" si="60"/>
        <v>45445</v>
      </c>
      <c r="Y168" s="385">
        <f t="shared" si="61"/>
        <v>48.27025871247384</v>
      </c>
      <c r="Z168" s="385">
        <f t="shared" si="62"/>
        <v>50.725611524274569</v>
      </c>
      <c r="AA168" s="386">
        <f t="shared" si="63"/>
        <v>59.012587018543201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0.14042725311575749</v>
      </c>
      <c r="AD168" s="231">
        <f>(INDEX(Models!$BJ168:$BT168,,AH168)*(1-AF168)+INDEX(Models!$BJ168:$BT168,,AH168+1)*AF168-ERP_i)*AE168*Ramure*Pc/MaxiM</f>
        <v>1.9273243247187787E-4</v>
      </c>
      <c r="AE168" s="305">
        <f t="shared" si="65"/>
        <v>0.7</v>
      </c>
      <c r="AF168" s="177">
        <f t="shared" si="66"/>
        <v>0.97045780913110924</v>
      </c>
      <c r="AG168" s="810">
        <f t="shared" si="74"/>
        <v>0</v>
      </c>
      <c r="AH168" s="176">
        <f t="shared" si="67"/>
        <v>6</v>
      </c>
      <c r="AI168" s="225">
        <f t="shared" si="68"/>
        <v>0.97045780913110924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25.646908599583391</v>
      </c>
      <c r="C169" s="840"/>
      <c r="D169" s="393">
        <f t="shared" si="50"/>
        <v>26.952111568353416</v>
      </c>
      <c r="E169" s="385">
        <f t="shared" si="72"/>
        <v>29.234687248210033</v>
      </c>
      <c r="F169" s="385">
        <f t="shared" si="51"/>
        <v>29.235947061547442</v>
      </c>
      <c r="G169" s="110">
        <f t="shared" si="73"/>
        <v>0.45507846384616363</v>
      </c>
      <c r="H169" s="414" t="b">
        <f>Wh_hp&gt;='2023'!Maxi_hp</f>
        <v>0</v>
      </c>
      <c r="I169" s="390">
        <f>IF(H169,Wh_hp,'2023'!Maxi_hp)</f>
        <v>55.953130597510338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4.8426742574877335E-2</v>
      </c>
      <c r="M169" s="844"/>
      <c r="N169" s="844"/>
      <c r="O169" s="48">
        <f>IF(t&lt;Tnet,'2023'!Resal+('2023'!Salim-'2023'!Resal)*(1-EXP(('2023'!Tnet-t)/('2023'!Tau_j))),Resal+(Salim-Resal)*(1-EXP((Tnet-t)/(Tau_j))))*Salcycl</f>
        <v>7.8077650035280319E-2</v>
      </c>
      <c r="P169" s="169">
        <f>(INDEX(Models!$BJ169:$BT169,,T169)*(1-R169)+INDEX(Models!$BJ169:$BT169,,T169+1)*R169-ERP_i)*Q169*Ramure*Pc/MaxiM</f>
        <v>1.9442080171172056E-4</v>
      </c>
      <c r="Q169" s="305">
        <f t="shared" si="53"/>
        <v>0.7</v>
      </c>
      <c r="R169" s="177">
        <f t="shared" si="54"/>
        <v>0.97450177515483705</v>
      </c>
      <c r="S169" s="810">
        <f t="shared" si="55"/>
        <v>0</v>
      </c>
      <c r="T169" s="176">
        <f t="shared" si="56"/>
        <v>6</v>
      </c>
      <c r="U169" s="251">
        <f t="shared" si="57"/>
        <v>0.97450177515483705</v>
      </c>
      <c r="V169" s="383">
        <f t="shared" si="58"/>
        <v>56.348584550189912</v>
      </c>
      <c r="W169" s="402">
        <f t="shared" si="59"/>
        <v>25.646908599583391</v>
      </c>
      <c r="X169" s="157">
        <f t="shared" si="60"/>
        <v>45446</v>
      </c>
      <c r="Y169" s="385">
        <f t="shared" si="61"/>
        <v>23.908460175496614</v>
      </c>
      <c r="Z169" s="385">
        <f t="shared" si="62"/>
        <v>25.12519134910422</v>
      </c>
      <c r="AA169" s="386">
        <f t="shared" si="63"/>
        <v>29.234687248210033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0.14056917606865887</v>
      </c>
      <c r="AD169" s="231">
        <f>(INDEX(Models!$BJ169:$BT169,,AH169)*(1-AF169)+INDEX(Models!$BJ169:$BT169,,AH169+1)*AF169-ERP_i)*AE169*Ramure*Pc/MaxiM</f>
        <v>1.9442080171172056E-4</v>
      </c>
      <c r="AE169" s="305">
        <f t="shared" si="65"/>
        <v>0.7</v>
      </c>
      <c r="AF169" s="177">
        <f t="shared" si="66"/>
        <v>0.97450177515483705</v>
      </c>
      <c r="AG169" s="810">
        <f t="shared" si="74"/>
        <v>0</v>
      </c>
      <c r="AH169" s="176">
        <f t="shared" si="67"/>
        <v>6</v>
      </c>
      <c r="AI169" s="225">
        <f t="shared" si="68"/>
        <v>0.97450177515483705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35.690332617708776</v>
      </c>
      <c r="C170" s="840"/>
      <c r="D170" s="393">
        <f t="shared" si="50"/>
        <v>37.507530738931486</v>
      </c>
      <c r="E170" s="385">
        <f t="shared" ref="E170:E232" si="75">Wh_pvt/(1-Psa)</f>
        <v>40.691498764542615</v>
      </c>
      <c r="F170" s="385">
        <f t="shared" si="51"/>
        <v>40.695303606412118</v>
      </c>
      <c r="G170" s="110">
        <f t="shared" ref="G170:G232" si="76">+Wh_hp/MaxiM</f>
        <v>0.63342586786362653</v>
      </c>
      <c r="H170" s="414" t="b">
        <f>Wh_hp&gt;='2023'!Maxi_hp</f>
        <v>0</v>
      </c>
      <c r="I170" s="390">
        <f>IF(H170,Wh_hp,'2023'!Maxi_hp)</f>
        <v>47.290496424932876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4.8448887074736713E-2</v>
      </c>
      <c r="M170" s="844"/>
      <c r="N170" s="844"/>
      <c r="O170" s="48">
        <f>IF(t&lt;Tnet,'2023'!Resal+('2023'!Salim-'2023'!Resal)*(1-EXP(('2023'!Tnet-t)/('2023'!Tau_j))),Resal+(Salim-Resal)*(1-EXP((Tnet-t)/(Tau_j))))*Salcycl</f>
        <v>7.8246516404688118E-2</v>
      </c>
      <c r="P170" s="169">
        <f>(INDEX(Models!$BJ170:$BT170,,T170)*(1-R170)+INDEX(Models!$BJ170:$BT170,,T170+1)*R170-ERP_i)*Q170*Ramure*Pc/MaxiM</f>
        <v>1.9624847219176247E-4</v>
      </c>
      <c r="Q170" s="305">
        <f t="shared" si="53"/>
        <v>0.7</v>
      </c>
      <c r="R170" s="177">
        <f t="shared" si="54"/>
        <v>0.97856617585105465</v>
      </c>
      <c r="S170" s="810">
        <f t="shared" si="55"/>
        <v>0</v>
      </c>
      <c r="T170" s="176">
        <f t="shared" si="56"/>
        <v>6</v>
      </c>
      <c r="U170" s="251">
        <f t="shared" si="57"/>
        <v>0.97856617585105465</v>
      </c>
      <c r="V170" s="383">
        <f t="shared" si="58"/>
        <v>56.339134238050356</v>
      </c>
      <c r="W170" s="402">
        <f t="shared" si="59"/>
        <v>35.690332617708776</v>
      </c>
      <c r="X170" s="157">
        <f t="shared" si="60"/>
        <v>45447</v>
      </c>
      <c r="Y170" s="385">
        <f t="shared" si="61"/>
        <v>33.271747909169541</v>
      </c>
      <c r="Z170" s="385">
        <f t="shared" si="62"/>
        <v>34.965802106925572</v>
      </c>
      <c r="AA170" s="386">
        <f t="shared" si="63"/>
        <v>40.691498764542615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0.14070989841755963</v>
      </c>
      <c r="AD170" s="231">
        <f>(INDEX(Models!$BJ170:$BT170,,AH170)*(1-AF170)+INDEX(Models!$BJ170:$BT170,,AH170+1)*AF170-ERP_i)*AE170*Ramure*Pc/MaxiM</f>
        <v>1.9624847219176247E-4</v>
      </c>
      <c r="AE170" s="305">
        <f t="shared" si="65"/>
        <v>0.7</v>
      </c>
      <c r="AF170" s="177">
        <f t="shared" si="66"/>
        <v>0.97856617585105465</v>
      </c>
      <c r="AG170" s="810">
        <f t="shared" si="74"/>
        <v>0</v>
      </c>
      <c r="AH170" s="176">
        <f t="shared" si="67"/>
        <v>6</v>
      </c>
      <c r="AI170" s="225">
        <f t="shared" si="68"/>
        <v>0.97856617585105465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43.024561896138948</v>
      </c>
      <c r="C171" s="840"/>
      <c r="D171" s="393">
        <f t="shared" si="50"/>
        <v>45.216239652729392</v>
      </c>
      <c r="E171" s="385">
        <f t="shared" si="75"/>
        <v>49.063541076796227</v>
      </c>
      <c r="F171" s="385">
        <f t="shared" si="51"/>
        <v>49.069983775622951</v>
      </c>
      <c r="G171" s="110">
        <f t="shared" si="76"/>
        <v>0.76378909289396113</v>
      </c>
      <c r="H171" s="414" t="b">
        <f>Wh_hp&gt;='2023'!Maxi_hp</f>
        <v>0</v>
      </c>
      <c r="I171" s="390">
        <f>IF(H171,Wh_hp,'2023'!Maxi_hp)</f>
        <v>63.423622728283476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4.8471031059261205E-2</v>
      </c>
      <c r="M171" s="844"/>
      <c r="N171" s="844"/>
      <c r="O171" s="48">
        <f>IF(t&lt;Tnet,'2023'!Resal+('2023'!Salim-'2023'!Resal)*(1-EXP(('2023'!Tnet-t)/('2023'!Tau_j))),Resal+(Salim-Resal)*(1-EXP((Tnet-t)/(Tau_j))))*Salcycl</f>
        <v>7.8414670845809692E-2</v>
      </c>
      <c r="P171" s="169">
        <f>(INDEX(Models!$BJ171:$BT171,,T171)*(1-R171)+INDEX(Models!$BJ171:$BT171,,T171+1)*R171-ERP_i)*Q171*Ramure*Pc/MaxiM</f>
        <v>1.9814431072171282E-4</v>
      </c>
      <c r="Q171" s="305">
        <f t="shared" si="53"/>
        <v>0.7</v>
      </c>
      <c r="R171" s="177">
        <f t="shared" si="54"/>
        <v>0.98264771068876655</v>
      </c>
      <c r="S171" s="810">
        <f t="shared" si="55"/>
        <v>0</v>
      </c>
      <c r="T171" s="176">
        <f t="shared" si="56"/>
        <v>6</v>
      </c>
      <c r="U171" s="251">
        <f t="shared" si="57"/>
        <v>0.98264771068876655</v>
      </c>
      <c r="V171" s="383">
        <f t="shared" si="58"/>
        <v>56.32665588565272</v>
      </c>
      <c r="W171" s="402">
        <f t="shared" si="59"/>
        <v>43.024561896138948</v>
      </c>
      <c r="X171" s="157">
        <f t="shared" si="60"/>
        <v>45448</v>
      </c>
      <c r="Y171" s="385">
        <f t="shared" si="61"/>
        <v>40.109776985505441</v>
      </c>
      <c r="Z171" s="385">
        <f t="shared" si="62"/>
        <v>42.152975153406473</v>
      </c>
      <c r="AA171" s="386">
        <f t="shared" si="63"/>
        <v>49.063541076796227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0.14084931033765097</v>
      </c>
      <c r="AD171" s="231">
        <f>(INDEX(Models!$BJ171:$BT171,,AH171)*(1-AF171)+INDEX(Models!$BJ171:$BT171,,AH171+1)*AF171-ERP_i)*AE171*Ramure*Pc/MaxiM</f>
        <v>1.9814431072171282E-4</v>
      </c>
      <c r="AE171" s="305">
        <f t="shared" si="65"/>
        <v>0.7</v>
      </c>
      <c r="AF171" s="177">
        <f t="shared" si="66"/>
        <v>0.98264771068876655</v>
      </c>
      <c r="AG171" s="810">
        <f t="shared" si="74"/>
        <v>0</v>
      </c>
      <c r="AH171" s="176">
        <f t="shared" si="67"/>
        <v>6</v>
      </c>
      <c r="AI171" s="225">
        <f t="shared" si="68"/>
        <v>0.98264771068876655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29.358941035187815</v>
      </c>
      <c r="C172" s="840"/>
      <c r="D172" s="393">
        <f t="shared" si="50"/>
        <v>30.8552080229571</v>
      </c>
      <c r="E172" s="385">
        <f t="shared" si="75"/>
        <v>33.486658326390042</v>
      </c>
      <c r="F172" s="385">
        <f t="shared" si="51"/>
        <v>33.488777559530071</v>
      </c>
      <c r="G172" s="110">
        <f t="shared" si="76"/>
        <v>0.52129589117837527</v>
      </c>
      <c r="H172" s="414" t="b">
        <f>Wh_hp&gt;='2023'!Maxi_hp</f>
        <v>0</v>
      </c>
      <c r="I172" s="390">
        <f>IF(H172,Wh_hp,'2023'!Maxi_hp)</f>
        <v>52.756129092485281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4.8493174528462801E-2</v>
      </c>
      <c r="M172" s="844"/>
      <c r="N172" s="844"/>
      <c r="O172" s="48">
        <f>IF(t&lt;Tnet,'2023'!Resal+('2023'!Salim-'2023'!Resal)*(1-EXP(('2023'!Tnet-t)/('2023'!Tau_j))),Resal+(Salim-Resal)*(1-EXP((Tnet-t)/(Tau_j))))*Salcycl</f>
        <v>7.8582051328757396E-2</v>
      </c>
      <c r="P172" s="169">
        <f>(INDEX(Models!$BJ172:$BT172,,T172)*(1-R172)+INDEX(Models!$BJ172:$BT172,,T172+1)*R172-ERP_i)*Q172*Ramure*Pc/MaxiM</f>
        <v>2.0010785965594014E-4</v>
      </c>
      <c r="Q172" s="305">
        <f t="shared" si="53"/>
        <v>0.7</v>
      </c>
      <c r="R172" s="177">
        <f t="shared" si="54"/>
        <v>0.98674302222302734</v>
      </c>
      <c r="S172" s="810">
        <f t="shared" si="55"/>
        <v>0</v>
      </c>
      <c r="T172" s="176">
        <f t="shared" si="56"/>
        <v>6</v>
      </c>
      <c r="U172" s="251">
        <f t="shared" si="57"/>
        <v>0.98674302222302734</v>
      </c>
      <c r="V172" s="383">
        <f t="shared" si="58"/>
        <v>56.311442718328344</v>
      </c>
      <c r="W172" s="402">
        <f t="shared" si="59"/>
        <v>29.358941035187815</v>
      </c>
      <c r="X172" s="157">
        <f t="shared" si="60"/>
        <v>45449</v>
      </c>
      <c r="Y172" s="385">
        <f t="shared" si="61"/>
        <v>27.370535911482698</v>
      </c>
      <c r="Z172" s="385">
        <f t="shared" si="62"/>
        <v>28.765464607065443</v>
      </c>
      <c r="AA172" s="386">
        <f t="shared" si="63"/>
        <v>33.486658326390042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0.14098730525177364</v>
      </c>
      <c r="AD172" s="231">
        <f>(INDEX(Models!$BJ172:$BT172,,AH172)*(1-AF172)+INDEX(Models!$BJ172:$BT172,,AH172+1)*AF172-ERP_i)*AE172*Ramure*Pc/MaxiM</f>
        <v>2.0010785965594014E-4</v>
      </c>
      <c r="AE172" s="305">
        <f t="shared" si="65"/>
        <v>0.7</v>
      </c>
      <c r="AF172" s="177">
        <f t="shared" si="66"/>
        <v>0.98674302222302734</v>
      </c>
      <c r="AG172" s="810">
        <f t="shared" si="74"/>
        <v>0</v>
      </c>
      <c r="AH172" s="176">
        <f t="shared" si="67"/>
        <v>6</v>
      </c>
      <c r="AI172" s="225">
        <f t="shared" si="68"/>
        <v>0.98674302222302734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20.59873761603226</v>
      </c>
      <c r="C173" s="840"/>
      <c r="D173" s="393">
        <f t="shared" si="50"/>
        <v>21.649048055642481</v>
      </c>
      <c r="E173" s="385">
        <f t="shared" si="75"/>
        <v>23.499609335099176</v>
      </c>
      <c r="F173" s="385">
        <f t="shared" si="51"/>
        <v>23.5000566404123</v>
      </c>
      <c r="G173" s="110">
        <f t="shared" si="76"/>
        <v>0.36584793281427813</v>
      </c>
      <c r="H173" s="414" t="b">
        <f>Wh_hp&gt;='2023'!Maxi_hp</f>
        <v>0</v>
      </c>
      <c r="I173" s="390">
        <f>IF(H173,Wh_hp,'2023'!Maxi_hp)</f>
        <v>64.288784503922017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4.8515317482353493E-2</v>
      </c>
      <c r="M173" s="844"/>
      <c r="N173" s="844"/>
      <c r="O173" s="48">
        <f>IF(t&lt;Tnet,'2023'!Resal+('2023'!Salim-'2023'!Resal)*(1-EXP(('2023'!Tnet-t)/('2023'!Tau_j))),Resal+(Salim-Resal)*(1-EXP((Tnet-t)/(Tau_j))))*Salcycl</f>
        <v>7.8748597607224177E-2</v>
      </c>
      <c r="P173" s="169">
        <f>(INDEX(Models!$BJ173:$BT173,,T173)*(1-R173)+INDEX(Models!$BJ173:$BT173,,T173+1)*R173-ERP_i)*Q173*Ramure*Pc/MaxiM</f>
        <v>2.0213865022238405E-4</v>
      </c>
      <c r="Q173" s="305">
        <f t="shared" si="53"/>
        <v>0.7</v>
      </c>
      <c r="R173" s="177">
        <f t="shared" si="54"/>
        <v>0.99084870698564065</v>
      </c>
      <c r="S173" s="810">
        <f t="shared" si="55"/>
        <v>0</v>
      </c>
      <c r="T173" s="176">
        <f t="shared" si="56"/>
        <v>6</v>
      </c>
      <c r="U173" s="251">
        <f t="shared" si="57"/>
        <v>0.99084870698564065</v>
      </c>
      <c r="V173" s="383">
        <f t="shared" si="58"/>
        <v>56.293787601190651</v>
      </c>
      <c r="W173" s="402">
        <f t="shared" si="59"/>
        <v>20.59873761603226</v>
      </c>
      <c r="X173" s="157">
        <f t="shared" si="60"/>
        <v>45450</v>
      </c>
      <c r="Y173" s="385">
        <f t="shared" si="61"/>
        <v>19.204058576506156</v>
      </c>
      <c r="Z173" s="385">
        <f t="shared" si="62"/>
        <v>20.183255631285469</v>
      </c>
      <c r="AA173" s="386">
        <f t="shared" si="63"/>
        <v>23.499609335099176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0.14112378025197109</v>
      </c>
      <c r="AD173" s="231">
        <f>(INDEX(Models!$BJ173:$BT173,,AH173)*(1-AF173)+INDEX(Models!$BJ173:$BT173,,AH173+1)*AF173-ERP_i)*AE173*Ramure*Pc/MaxiM</f>
        <v>2.0213865022238405E-4</v>
      </c>
      <c r="AE173" s="305">
        <f t="shared" si="65"/>
        <v>0.7</v>
      </c>
      <c r="AF173" s="177">
        <f t="shared" si="66"/>
        <v>0.99084870698564065</v>
      </c>
      <c r="AG173" s="810">
        <f t="shared" si="74"/>
        <v>0</v>
      </c>
      <c r="AH173" s="176">
        <f t="shared" si="67"/>
        <v>6</v>
      </c>
      <c r="AI173" s="225">
        <f t="shared" si="68"/>
        <v>0.99084870698564065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42.410338177213426</v>
      </c>
      <c r="C174" s="840"/>
      <c r="D174" s="393">
        <f t="shared" si="50"/>
        <v>44.573839106361092</v>
      </c>
      <c r="E174" s="385">
        <f t="shared" si="75"/>
        <v>48.392713899839414</v>
      </c>
      <c r="F174" s="385">
        <f t="shared" si="51"/>
        <v>48.399119852406635</v>
      </c>
      <c r="G174" s="110">
        <f t="shared" si="76"/>
        <v>0.75358606347209534</v>
      </c>
      <c r="H174" s="414" t="b">
        <f>Wh_hp&gt;='2023'!Maxi_hp</f>
        <v>0</v>
      </c>
      <c r="I174" s="390">
        <f>IF(H174,Wh_hp,'2023'!Maxi_hp)</f>
        <v>60.786891370501721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4.8537459920945381E-2</v>
      </c>
      <c r="M174" s="844"/>
      <c r="N174" s="844"/>
      <c r="O174" s="48">
        <f>IF(t&lt;Tnet,'2023'!Resal+('2023'!Salim-'2023'!Resal)*(1-EXP(('2023'!Tnet-t)/('2023'!Tau_j))),Resal+(Salim-Resal)*(1-EXP((Tnet-t)/(Tau_j))))*Salcycl</f>
        <v>7.8914251459060974E-2</v>
      </c>
      <c r="P174" s="169">
        <f>(INDEX(Models!$BJ174:$BT174,,T174)*(1-R174)+INDEX(Models!$BJ174:$BT174,,T174+1)*R174-ERP_i)*Q174*Ramure*Pc/MaxiM</f>
        <v>2.042361999556858E-4</v>
      </c>
      <c r="Q174" s="305">
        <f t="shared" si="53"/>
        <v>0.7</v>
      </c>
      <c r="R174" s="177">
        <f t="shared" si="54"/>
        <v>0.99496132670108528</v>
      </c>
      <c r="S174" s="810">
        <f t="shared" si="55"/>
        <v>0</v>
      </c>
      <c r="T174" s="176">
        <f t="shared" si="56"/>
        <v>6</v>
      </c>
      <c r="U174" s="251">
        <f t="shared" si="57"/>
        <v>0.99496132670108528</v>
      </c>
      <c r="V174" s="383">
        <f t="shared" si="58"/>
        <v>56.273983025348095</v>
      </c>
      <c r="W174" s="402">
        <f t="shared" si="59"/>
        <v>42.410338177213426</v>
      </c>
      <c r="X174" s="157">
        <f t="shared" si="60"/>
        <v>45451</v>
      </c>
      <c r="Y174" s="385">
        <f t="shared" si="61"/>
        <v>39.539762383894669</v>
      </c>
      <c r="Z174" s="385">
        <f t="shared" si="62"/>
        <v>41.556825117475888</v>
      </c>
      <c r="AA174" s="386">
        <f t="shared" si="63"/>
        <v>48.392713899839414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0.14125863650697654</v>
      </c>
      <c r="AD174" s="231">
        <f>(INDEX(Models!$BJ174:$BT174,,AH174)*(1-AF174)+INDEX(Models!$BJ174:$BT174,,AH174+1)*AF174-ERP_i)*AE174*Ramure*Pc/MaxiM</f>
        <v>2.042361999556858E-4</v>
      </c>
      <c r="AE174" s="305">
        <f t="shared" si="65"/>
        <v>0.7</v>
      </c>
      <c r="AF174" s="177">
        <f t="shared" si="66"/>
        <v>0.99496132670108528</v>
      </c>
      <c r="AG174" s="810">
        <f t="shared" si="74"/>
        <v>0</v>
      </c>
      <c r="AH174" s="176">
        <f t="shared" si="67"/>
        <v>6</v>
      </c>
      <c r="AI174" s="225">
        <f t="shared" si="68"/>
        <v>0.99496132670108528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55.047837609748903</v>
      </c>
      <c r="C175" s="840"/>
      <c r="D175" s="393">
        <f t="shared" si="50"/>
        <v>57.857368382141829</v>
      </c>
      <c r="E175" s="385">
        <f t="shared" si="75"/>
        <v>62.825547115926319</v>
      </c>
      <c r="F175" s="385">
        <f t="shared" si="51"/>
        <v>62.838120174373884</v>
      </c>
      <c r="G175" s="110">
        <f t="shared" si="76"/>
        <v>0.97858166424974879</v>
      </c>
      <c r="H175" s="414" t="b">
        <f>Wh_hp&gt;='2023'!Maxi_hp</f>
        <v>0</v>
      </c>
      <c r="I175" s="390">
        <f>IF(H175,Wh_hp,'2023'!Maxi_hp)</f>
        <v>62.838268627331253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4.8559601844250344E-2</v>
      </c>
      <c r="M175" s="844"/>
      <c r="N175" s="844"/>
      <c r="O175" s="48">
        <f>IF(t&lt;Tnet,'2023'!Resal+('2023'!Salim-'2023'!Resal)*(1-EXP(('2023'!Tnet-t)/('2023'!Tau_j))),Resal+(Salim-Resal)*(1-EXP((Tnet-t)/(Tau_j))))*Salcycl</f>
        <v>7.907895691886549E-2</v>
      </c>
      <c r="P175" s="169">
        <f>(INDEX(Models!$BJ175:$BT175,,T175)*(1-R175)+INDEX(Models!$BJ175:$BT175,,T175+1)*R175-ERP_i)*Q175*Ramure*Pc/MaxiM</f>
        <v>2.064000102428574E-4</v>
      </c>
      <c r="Q175" s="305">
        <f t="shared" si="53"/>
        <v>0.7</v>
      </c>
      <c r="R175" s="177">
        <f t="shared" si="54"/>
        <v>0.9990774197498945</v>
      </c>
      <c r="S175" s="810">
        <f t="shared" si="55"/>
        <v>0</v>
      </c>
      <c r="T175" s="176">
        <f t="shared" si="56"/>
        <v>6</v>
      </c>
      <c r="U175" s="251">
        <f t="shared" si="57"/>
        <v>0.9990774197498945</v>
      </c>
      <c r="V175" s="383">
        <f t="shared" si="58"/>
        <v>56.252321094082909</v>
      </c>
      <c r="W175" s="402">
        <f t="shared" si="59"/>
        <v>55.047837609748903</v>
      </c>
      <c r="X175" s="157">
        <f t="shared" si="60"/>
        <v>45452</v>
      </c>
      <c r="Y175" s="385">
        <f t="shared" si="61"/>
        <v>51.323103363929768</v>
      </c>
      <c r="Z175" s="385">
        <f t="shared" si="62"/>
        <v>53.942531201547986</v>
      </c>
      <c r="AA175" s="386">
        <f t="shared" si="63"/>
        <v>62.825547115926319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0.14139177965274707</v>
      </c>
      <c r="AD175" s="231">
        <f>(INDEX(Models!$BJ175:$BT175,,AH175)*(1-AF175)+INDEX(Models!$BJ175:$BT175,,AH175+1)*AF175-ERP_i)*AE175*Ramure*Pc/MaxiM</f>
        <v>2.064000102428574E-4</v>
      </c>
      <c r="AE175" s="305">
        <f t="shared" si="65"/>
        <v>0.7</v>
      </c>
      <c r="AF175" s="177">
        <f t="shared" si="66"/>
        <v>0.9990774197498945</v>
      </c>
      <c r="AG175" s="810">
        <f t="shared" si="74"/>
        <v>0</v>
      </c>
      <c r="AH175" s="176">
        <f t="shared" si="67"/>
        <v>6</v>
      </c>
      <c r="AI175" s="225">
        <f t="shared" si="68"/>
        <v>0.9990774197498945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52.957417914685053</v>
      </c>
      <c r="C176" s="840"/>
      <c r="D176" s="393">
        <f t="shared" si="50"/>
        <v>55.661553201335479</v>
      </c>
      <c r="E176" s="385">
        <f t="shared" si="75"/>
        <v>60.451924533794646</v>
      </c>
      <c r="F176" s="385">
        <f t="shared" si="51"/>
        <v>60.463497092806961</v>
      </c>
      <c r="G176" s="110">
        <f t="shared" si="76"/>
        <v>0.94179902014264505</v>
      </c>
      <c r="H176" s="414" t="b">
        <f>Wh_hp&gt;='2023'!Maxi_hp</f>
        <v>0</v>
      </c>
      <c r="I176" s="390">
        <f>IF(H176,Wh_hp,'2023'!Maxi_hp)</f>
        <v>60.46388788681103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4.8581743252280374E-2</v>
      </c>
      <c r="M176" s="844"/>
      <c r="N176" s="844"/>
      <c r="O176" s="48">
        <f>IF(t&lt;Tnet,'2023'!Resal+('2023'!Salim-'2023'!Resal)*(1-EXP(('2023'!Tnet-t)/('2023'!Tau_j))),Resal+(Salim-Resal)*(1-EXP((Tnet-t)/(Tau_j))))*Salcycl</f>
        <v>7.9242660500927292E-2</v>
      </c>
      <c r="P176" s="169">
        <f>(INDEX(Models!$BJ176:$BT176,,T176)*(1-R176)+INDEX(Models!$BJ176:$BT176,,T176+1)*R176-ERP_i)*Q176*Ramure*Pc/MaxiM</f>
        <v>2.0874884049344202E-4</v>
      </c>
      <c r="Q176" s="305">
        <f t="shared" si="53"/>
        <v>0.7</v>
      </c>
      <c r="R176" s="177">
        <f t="shared" si="54"/>
        <v>3.1935127987037237E-3</v>
      </c>
      <c r="S176" s="810">
        <f t="shared" si="55"/>
        <v>1</v>
      </c>
      <c r="T176" s="176">
        <f t="shared" si="56"/>
        <v>7</v>
      </c>
      <c r="U176" s="251">
        <f t="shared" si="57"/>
        <v>1.0031935127987037</v>
      </c>
      <c r="V176" s="383">
        <f t="shared" si="58"/>
        <v>56.229086802181833</v>
      </c>
      <c r="W176" s="402">
        <f t="shared" si="59"/>
        <v>52.957417914685053</v>
      </c>
      <c r="X176" s="157">
        <f t="shared" si="60"/>
        <v>45453</v>
      </c>
      <c r="Y176" s="385">
        <f t="shared" si="61"/>
        <v>49.375353250340119</v>
      </c>
      <c r="Z176" s="385">
        <f t="shared" si="62"/>
        <v>51.896579553899194</v>
      </c>
      <c r="AA176" s="386">
        <f t="shared" si="63"/>
        <v>60.451924533794646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0.14152312016324181</v>
      </c>
      <c r="AD176" s="231">
        <f>(INDEX(Models!$BJ176:$BT176,,AH176)*(1-AF176)+INDEX(Models!$BJ176:$BT176,,AH176+1)*AF176-ERP_i)*AE176*Ramure*Pc/MaxiM</f>
        <v>2.0874884049344202E-4</v>
      </c>
      <c r="AE176" s="305">
        <f t="shared" si="65"/>
        <v>0.7</v>
      </c>
      <c r="AF176" s="177">
        <f t="shared" si="66"/>
        <v>3.1935127987037237E-3</v>
      </c>
      <c r="AG176" s="810">
        <f t="shared" si="74"/>
        <v>1</v>
      </c>
      <c r="AH176" s="176">
        <f t="shared" si="67"/>
        <v>7</v>
      </c>
      <c r="AI176" s="225">
        <f t="shared" si="68"/>
        <v>1.0031935127987037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41.192052282599811</v>
      </c>
      <c r="C177" s="840"/>
      <c r="D177" s="393">
        <f t="shared" si="50"/>
        <v>43.296426794409832</v>
      </c>
      <c r="E177" s="385">
        <f t="shared" si="75"/>
        <v>47.030932647207479</v>
      </c>
      <c r="F177" s="385">
        <f t="shared" si="51"/>
        <v>47.037076270813735</v>
      </c>
      <c r="G177" s="110">
        <f t="shared" si="76"/>
        <v>0.73284798802843176</v>
      </c>
      <c r="H177" s="414" t="b">
        <f>Wh_hp&gt;='2023'!Maxi_hp</f>
        <v>0</v>
      </c>
      <c r="I177" s="390">
        <f>IF(H177,Wh_hp,'2023'!Maxi_hp)</f>
        <v>55.539743241792053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4.860388414504746E-2</v>
      </c>
      <c r="M177" s="844"/>
      <c r="N177" s="844"/>
      <c r="O177" s="48">
        <f>IF(t&lt;Tnet,'2023'!Resal+('2023'!Salim-'2023'!Resal)*(1-EXP(('2023'!Tnet-t)/('2023'!Tau_j))),Resal+(Salim-Resal)*(1-EXP((Tnet-t)/(Tau_j))))*Salcycl</f>
        <v>7.9405311410922719E-2</v>
      </c>
      <c r="P177" s="169">
        <f>(INDEX(Models!$BJ177:$BT177,,T177)*(1-R177)+INDEX(Models!$BJ177:$BT177,,T177+1)*R177-ERP_i)*Q177*Ramure*Pc/MaxiM</f>
        <v>2.1119695687403558E-4</v>
      </c>
      <c r="Q177" s="305">
        <f t="shared" si="53"/>
        <v>0.7</v>
      </c>
      <c r="R177" s="177">
        <f t="shared" si="54"/>
        <v>7.3061325141483557E-3</v>
      </c>
      <c r="S177" s="810">
        <f t="shared" si="55"/>
        <v>1</v>
      </c>
      <c r="T177" s="176">
        <f t="shared" si="56"/>
        <v>7</v>
      </c>
      <c r="U177" s="251">
        <f t="shared" si="57"/>
        <v>1.0073061325141484</v>
      </c>
      <c r="V177" s="383">
        <f t="shared" si="58"/>
        <v>56.203650793833873</v>
      </c>
      <c r="W177" s="402">
        <f t="shared" si="59"/>
        <v>41.192052282599811</v>
      </c>
      <c r="X177" s="157">
        <f t="shared" si="60"/>
        <v>45454</v>
      </c>
      <c r="Y177" s="385">
        <f t="shared" si="61"/>
        <v>38.406795627970745</v>
      </c>
      <c r="Z177" s="385">
        <f t="shared" si="62"/>
        <v>40.368879994277954</v>
      </c>
      <c r="AA177" s="386">
        <f t="shared" si="63"/>
        <v>47.030932647207479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0.14165257369875039</v>
      </c>
      <c r="AD177" s="231">
        <f>(INDEX(Models!$BJ177:$BT177,,AH177)*(1-AF177)+INDEX(Models!$BJ177:$BT177,,AH177+1)*AF177-ERP_i)*AE177*Ramure*Pc/MaxiM</f>
        <v>2.1119695687403558E-4</v>
      </c>
      <c r="AE177" s="305">
        <f t="shared" si="65"/>
        <v>0.7</v>
      </c>
      <c r="AF177" s="177">
        <f t="shared" si="66"/>
        <v>7.3061325141483557E-3</v>
      </c>
      <c r="AG177" s="810">
        <f t="shared" si="74"/>
        <v>1</v>
      </c>
      <c r="AH177" s="176">
        <f t="shared" si="67"/>
        <v>7</v>
      </c>
      <c r="AI177" s="225">
        <f t="shared" si="68"/>
        <v>1.0073061325141484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52.186724539328388</v>
      </c>
      <c r="C178" s="840"/>
      <c r="D178" s="393">
        <f t="shared" si="50"/>
        <v>54.854059375692998</v>
      </c>
      <c r="E178" s="385">
        <f t="shared" si="75"/>
        <v>59.595919677204265</v>
      </c>
      <c r="F178" s="385">
        <f t="shared" si="51"/>
        <v>59.607360542253552</v>
      </c>
      <c r="G178" s="110">
        <f t="shared" si="76"/>
        <v>0.92897823858848327</v>
      </c>
      <c r="H178" s="414" t="b">
        <f>Wh_hp&gt;='2023'!Maxi_hp</f>
        <v>0</v>
      </c>
      <c r="I178" s="390">
        <f>IF(H178,Wh_hp,'2023'!Maxi_hp)</f>
        <v>65.896682461422955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4.8626024522563704E-2</v>
      </c>
      <c r="M178" s="844"/>
      <c r="N178" s="844"/>
      <c r="O178" s="48">
        <f>IF(t&lt;Tnet,'2023'!Resal+('2023'!Salim-'2023'!Resal)*(1-EXP(('2023'!Tnet-t)/('2023'!Tau_j))),Resal+(Salim-Resal)*(1-EXP((Tnet-t)/(Tau_j))))*Salcycl</f>
        <v>7.9566861744816031E-2</v>
      </c>
      <c r="P178" s="169">
        <f>(INDEX(Models!$BJ178:$BT178,,T178)*(1-R178)+INDEX(Models!$BJ178:$BT178,,T178+1)*R178-ERP_i)*Q178*Ramure*Pc/MaxiM</f>
        <v>2.1360307059306528E-4</v>
      </c>
      <c r="Q178" s="305">
        <f t="shared" si="53"/>
        <v>0.7</v>
      </c>
      <c r="R178" s="177">
        <f t="shared" si="54"/>
        <v>1.141181727676166E-2</v>
      </c>
      <c r="S178" s="810">
        <f t="shared" si="55"/>
        <v>1</v>
      </c>
      <c r="T178" s="176">
        <f t="shared" si="56"/>
        <v>7</v>
      </c>
      <c r="U178" s="251">
        <f t="shared" si="57"/>
        <v>1.0114118172767617</v>
      </c>
      <c r="V178" s="383">
        <f t="shared" si="58"/>
        <v>56.1752595265407</v>
      </c>
      <c r="W178" s="402">
        <f t="shared" si="59"/>
        <v>52.186724539328388</v>
      </c>
      <c r="X178" s="157">
        <f t="shared" si="60"/>
        <v>45455</v>
      </c>
      <c r="Y178" s="385">
        <f t="shared" si="61"/>
        <v>48.659360106541278</v>
      </c>
      <c r="Z178" s="385">
        <f t="shared" si="62"/>
        <v>51.146406524439698</v>
      </c>
      <c r="AA178" s="386">
        <f t="shared" si="63"/>
        <v>59.595919677204265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0.14178006142921476</v>
      </c>
      <c r="AD178" s="231">
        <f>(INDEX(Models!$BJ178:$BT178,,AH178)*(1-AF178)+INDEX(Models!$BJ178:$BT178,,AH178+1)*AF178-ERP_i)*AE178*Ramure*Pc/MaxiM</f>
        <v>2.1360307059306528E-4</v>
      </c>
      <c r="AE178" s="305">
        <f t="shared" si="65"/>
        <v>0.7</v>
      </c>
      <c r="AF178" s="177">
        <f t="shared" si="66"/>
        <v>1.141181727676166E-2</v>
      </c>
      <c r="AG178" s="810">
        <f t="shared" si="74"/>
        <v>1</v>
      </c>
      <c r="AH178" s="176">
        <f t="shared" si="67"/>
        <v>7</v>
      </c>
      <c r="AI178" s="225">
        <f t="shared" si="68"/>
        <v>1.0114118172767617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45.110840289614721</v>
      </c>
      <c r="C179" s="840"/>
      <c r="D179" s="393">
        <f t="shared" si="50"/>
        <v>47.417620485743157</v>
      </c>
      <c r="E179" s="385">
        <f t="shared" si="75"/>
        <v>51.525617100860138</v>
      </c>
      <c r="F179" s="385">
        <f t="shared" si="51"/>
        <v>51.533622066252441</v>
      </c>
      <c r="G179" s="110">
        <f t="shared" si="76"/>
        <v>0.80343570262680197</v>
      </c>
      <c r="H179" s="414" t="b">
        <f>Wh_hp&gt;='2023'!Maxi_hp</f>
        <v>0</v>
      </c>
      <c r="I179" s="390">
        <f>IF(H179,Wh_hp,'2023'!Maxi_hp)</f>
        <v>55.28412997128946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4.8648164384840986E-2</v>
      </c>
      <c r="M179" s="844"/>
      <c r="N179" s="844"/>
      <c r="O179" s="48">
        <f>IF(t&lt;Tnet,'2023'!Resal+('2023'!Salim-'2023'!Resal)*(1-EXP(('2023'!Tnet-t)/('2023'!Tau_j))),Resal+(Salim-Resal)*(1-EXP((Tnet-t)/(Tau_j))))*Salcycl</f>
        <v>7.9727266673501038E-2</v>
      </c>
      <c r="P179" s="169">
        <f>(INDEX(Models!$BJ179:$BT179,,T179)*(1-R179)+INDEX(Models!$BJ179:$BT179,,T179+1)*R179-ERP_i)*Q179*Ramure*Pc/MaxiM</f>
        <v>2.1596371544542158E-4</v>
      </c>
      <c r="Q179" s="305">
        <f t="shared" si="53"/>
        <v>0.7</v>
      </c>
      <c r="R179" s="177">
        <f t="shared" si="54"/>
        <v>1.5507128811022453E-2</v>
      </c>
      <c r="S179" s="810">
        <f t="shared" si="55"/>
        <v>1</v>
      </c>
      <c r="T179" s="176">
        <f t="shared" si="56"/>
        <v>7</v>
      </c>
      <c r="U179" s="251">
        <f t="shared" si="57"/>
        <v>1.0155071288110225</v>
      </c>
      <c r="V179" s="383">
        <f t="shared" si="58"/>
        <v>56.144013386951947</v>
      </c>
      <c r="W179" s="402">
        <f t="shared" si="59"/>
        <v>45.110840289614721</v>
      </c>
      <c r="X179" s="157">
        <f t="shared" si="60"/>
        <v>45456</v>
      </c>
      <c r="Y179" s="385">
        <f t="shared" si="61"/>
        <v>42.062925560092289</v>
      </c>
      <c r="Z179" s="385">
        <f t="shared" si="62"/>
        <v>44.213848111086833</v>
      </c>
      <c r="AA179" s="386">
        <f t="shared" si="63"/>
        <v>51.525617100860138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0.14190551033014703</v>
      </c>
      <c r="AD179" s="231">
        <f>(INDEX(Models!$BJ179:$BT179,,AH179)*(1-AF179)+INDEX(Models!$BJ179:$BT179,,AH179+1)*AF179-ERP_i)*AE179*Ramure*Pc/MaxiM</f>
        <v>2.1596371544542158E-4</v>
      </c>
      <c r="AE179" s="305">
        <f t="shared" si="65"/>
        <v>0.7</v>
      </c>
      <c r="AF179" s="177">
        <f t="shared" si="66"/>
        <v>1.5507128811022453E-2</v>
      </c>
      <c r="AG179" s="810">
        <f t="shared" si="74"/>
        <v>1</v>
      </c>
      <c r="AH179" s="176">
        <f t="shared" si="67"/>
        <v>7</v>
      </c>
      <c r="AI179" s="225">
        <f t="shared" si="68"/>
        <v>1.0155071288110225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52.303199582474889</v>
      </c>
      <c r="C180" s="840"/>
      <c r="D180" s="393">
        <f t="shared" si="50"/>
        <v>54.979046473216087</v>
      </c>
      <c r="E180" s="385">
        <f t="shared" si="75"/>
        <v>59.752460488552551</v>
      </c>
      <c r="F180" s="385">
        <f t="shared" si="51"/>
        <v>59.764241324479151</v>
      </c>
      <c r="G180" s="110">
        <f t="shared" si="76"/>
        <v>0.93213475938267842</v>
      </c>
      <c r="H180" s="414" t="b">
        <f>Wh_hp&gt;='2023'!Maxi_hp</f>
        <v>0</v>
      </c>
      <c r="I180" s="390">
        <f>IF(H180,Wh_hp,'2023'!Maxi_hp)</f>
        <v>59.764706232208013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4.8670303731891407E-2</v>
      </c>
      <c r="M180" s="844"/>
      <c r="N180" s="844"/>
      <c r="O180" s="48">
        <f>IF(t&lt;Tnet,'2023'!Resal+('2023'!Salim-'2023'!Resal)*(1-EXP(('2023'!Tnet-t)/('2023'!Tau_j))),Resal+(Salim-Resal)*(1-EXP((Tnet-t)/(Tau_j))))*Salcycl</f>
        <v>7.9886484611808681E-2</v>
      </c>
      <c r="P180" s="169">
        <f>(INDEX(Models!$BJ180:$BT180,,T180)*(1-R180)+INDEX(Models!$BJ180:$BT180,,T180+1)*R180-ERP_i)*Q180*Ramure*Pc/MaxiM</f>
        <v>2.1827777293905058E-4</v>
      </c>
      <c r="Q180" s="305">
        <f t="shared" si="53"/>
        <v>0.7</v>
      </c>
      <c r="R180" s="177">
        <f t="shared" si="54"/>
        <v>1.958866364873435E-2</v>
      </c>
      <c r="S180" s="810">
        <f t="shared" si="55"/>
        <v>1</v>
      </c>
      <c r="T180" s="176">
        <f t="shared" si="56"/>
        <v>7</v>
      </c>
      <c r="U180" s="251">
        <f t="shared" si="57"/>
        <v>1.0195886636487344</v>
      </c>
      <c r="V180" s="383">
        <f t="shared" si="58"/>
        <v>56.110012327872418</v>
      </c>
      <c r="W180" s="402">
        <f t="shared" si="59"/>
        <v>52.303199582474889</v>
      </c>
      <c r="X180" s="157">
        <f t="shared" si="60"/>
        <v>45457</v>
      </c>
      <c r="Y180" s="385">
        <f t="shared" si="61"/>
        <v>48.770760741551705</v>
      </c>
      <c r="Z180" s="385">
        <f t="shared" si="62"/>
        <v>51.265887034611062</v>
      </c>
      <c r="AA180" s="386">
        <f t="shared" si="63"/>
        <v>59.752460488552551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0.14202885344892791</v>
      </c>
      <c r="AD180" s="231">
        <f>(INDEX(Models!$BJ180:$BT180,,AH180)*(1-AF180)+INDEX(Models!$BJ180:$BT180,,AH180+1)*AF180-ERP_i)*AE180*Ramure*Pc/MaxiM</f>
        <v>2.1827777293905058E-4</v>
      </c>
      <c r="AE180" s="305">
        <f t="shared" si="65"/>
        <v>0.7</v>
      </c>
      <c r="AF180" s="177">
        <f t="shared" si="66"/>
        <v>1.958866364873435E-2</v>
      </c>
      <c r="AG180" s="810">
        <f t="shared" si="74"/>
        <v>1</v>
      </c>
      <c r="AH180" s="176">
        <f t="shared" si="67"/>
        <v>7</v>
      </c>
      <c r="AI180" s="225">
        <f t="shared" si="68"/>
        <v>1.0195886636487344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49.823657306612617</v>
      </c>
      <c r="C181" s="840"/>
      <c r="D181" s="393">
        <f t="shared" si="50"/>
        <v>52.373868910371009</v>
      </c>
      <c r="E181" s="385">
        <f t="shared" si="75"/>
        <v>56.930870701963528</v>
      </c>
      <c r="F181" s="385">
        <f t="shared" si="51"/>
        <v>56.941429270723695</v>
      </c>
      <c r="G181" s="110">
        <f t="shared" si="76"/>
        <v>0.88851302935340826</v>
      </c>
      <c r="H181" s="414" t="b">
        <f>Wh_hp&gt;='2023'!Maxi_hp</f>
        <v>0</v>
      </c>
      <c r="I181" s="390">
        <f>IF(H181,Wh_hp,'2023'!Maxi_hp)</f>
        <v>65.565674070131692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4.8692442563726734E-2</v>
      </c>
      <c r="M181" s="844"/>
      <c r="N181" s="844"/>
      <c r="O181" s="48">
        <f>IF(t&lt;Tnet,'2023'!Resal+('2023'!Salim-'2023'!Resal)*(1-EXP(('2023'!Tnet-t)/('2023'!Tau_j))),Resal+(Salim-Resal)*(1-EXP((Tnet-t)/(Tau_j))))*Salcycl</f>
        <v>8.0044477370611336E-2</v>
      </c>
      <c r="P181" s="169">
        <f>(INDEX(Models!$BJ181:$BT181,,T181)*(1-R181)+INDEX(Models!$BJ181:$BT181,,T181+1)*R181-ERP_i)*Q181*Ramure*Pc/MaxiM</f>
        <v>2.2054418788313126E-4</v>
      </c>
      <c r="Q181" s="305">
        <f t="shared" si="53"/>
        <v>0.7</v>
      </c>
      <c r="R181" s="177">
        <f t="shared" si="54"/>
        <v>2.3653064344951957E-2</v>
      </c>
      <c r="S181" s="810">
        <f t="shared" si="55"/>
        <v>1</v>
      </c>
      <c r="T181" s="176">
        <f t="shared" si="56"/>
        <v>7</v>
      </c>
      <c r="U181" s="251">
        <f t="shared" si="57"/>
        <v>1.023653064344952</v>
      </c>
      <c r="V181" s="383">
        <f t="shared" si="58"/>
        <v>56.073355987487403</v>
      </c>
      <c r="W181" s="402">
        <f t="shared" si="59"/>
        <v>49.823657306612617</v>
      </c>
      <c r="X181" s="157">
        <f t="shared" si="60"/>
        <v>45458</v>
      </c>
      <c r="Y181" s="385">
        <f t="shared" si="61"/>
        <v>46.460097110626634</v>
      </c>
      <c r="Z181" s="385">
        <f t="shared" si="62"/>
        <v>48.838145715812765</v>
      </c>
      <c r="AA181" s="386">
        <f t="shared" si="63"/>
        <v>56.930870701963528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0.14215003013947669</v>
      </c>
      <c r="AD181" s="231">
        <f>(INDEX(Models!$BJ181:$BT181,,AH181)*(1-AF181)+INDEX(Models!$BJ181:$BT181,,AH181+1)*AF181-ERP_i)*AE181*Ramure*Pc/MaxiM</f>
        <v>2.2054418788313126E-4</v>
      </c>
      <c r="AE181" s="305">
        <f t="shared" si="65"/>
        <v>0.7</v>
      </c>
      <c r="AF181" s="177">
        <f t="shared" si="66"/>
        <v>2.3653064344951957E-2</v>
      </c>
      <c r="AG181" s="810">
        <f t="shared" si="74"/>
        <v>1</v>
      </c>
      <c r="AH181" s="176">
        <f t="shared" si="67"/>
        <v>7</v>
      </c>
      <c r="AI181" s="225">
        <f t="shared" si="68"/>
        <v>1.023653064344952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50.376963495832975</v>
      </c>
      <c r="C182" s="840"/>
      <c r="D182" s="393">
        <f t="shared" si="50"/>
        <v>52.956728320774552</v>
      </c>
      <c r="E182" s="385">
        <f t="shared" si="75"/>
        <v>57.574253101073651</v>
      </c>
      <c r="F182" s="385">
        <f t="shared" si="51"/>
        <v>57.585230774303014</v>
      </c>
      <c r="G182" s="110">
        <f t="shared" si="76"/>
        <v>0.89901159079332027</v>
      </c>
      <c r="H182" s="414" t="b">
        <f>Wh_hp&gt;='2023'!Maxi_hp</f>
        <v>0</v>
      </c>
      <c r="I182" s="390">
        <f>IF(H182,Wh_hp,'2023'!Maxi_hp)</f>
        <v>63.498775239752014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4.8714580880359182E-2</v>
      </c>
      <c r="M182" s="844"/>
      <c r="N182" s="844"/>
      <c r="O182" s="48">
        <f>IF(t&lt;Tnet,'2023'!Resal+('2023'!Salim-'2023'!Resal)*(1-EXP(('2023'!Tnet-t)/('2023'!Tau_j))),Resal+(Salim-Resal)*(1-EXP((Tnet-t)/(Tau_j))))*Salcycl</f>
        <v>8.020121029087203E-2</v>
      </c>
      <c r="P182" s="169">
        <f>(INDEX(Models!$BJ182:$BT182,,T182)*(1-R182)+INDEX(Models!$BJ182:$BT182,,T182+1)*R182-ERP_i)*Q182*Ramure*Pc/MaxiM</f>
        <v>2.2276197308161784E-4</v>
      </c>
      <c r="Q182" s="305">
        <f t="shared" si="53"/>
        <v>0.7</v>
      </c>
      <c r="R182" s="177">
        <f t="shared" si="54"/>
        <v>2.7697030368679876E-2</v>
      </c>
      <c r="S182" s="810">
        <f t="shared" si="55"/>
        <v>1</v>
      </c>
      <c r="T182" s="176">
        <f t="shared" si="56"/>
        <v>7</v>
      </c>
      <c r="U182" s="251">
        <f t="shared" si="57"/>
        <v>1.0276970303686799</v>
      </c>
      <c r="V182" s="383">
        <f t="shared" si="58"/>
        <v>56.034143683403236</v>
      </c>
      <c r="W182" s="402">
        <f t="shared" si="59"/>
        <v>50.376963495832975</v>
      </c>
      <c r="X182" s="157">
        <f t="shared" si="60"/>
        <v>45459</v>
      </c>
      <c r="Y182" s="385">
        <f t="shared" si="61"/>
        <v>46.977539491992118</v>
      </c>
      <c r="Z182" s="385">
        <f t="shared" si="62"/>
        <v>49.383222477505321</v>
      </c>
      <c r="AA182" s="386">
        <f t="shared" si="63"/>
        <v>57.574253101073651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0.14226898626350712</v>
      </c>
      <c r="AD182" s="231">
        <f>(INDEX(Models!$BJ182:$BT182,,AH182)*(1-AF182)+INDEX(Models!$BJ182:$BT182,,AH182+1)*AF182-ERP_i)*AE182*Ramure*Pc/MaxiM</f>
        <v>2.2276197308161784E-4</v>
      </c>
      <c r="AE182" s="305">
        <f t="shared" si="65"/>
        <v>0.7</v>
      </c>
      <c r="AF182" s="177">
        <f t="shared" si="66"/>
        <v>2.7697030368679876E-2</v>
      </c>
      <c r="AG182" s="810">
        <f t="shared" si="74"/>
        <v>1</v>
      </c>
      <c r="AH182" s="176">
        <f t="shared" si="67"/>
        <v>7</v>
      </c>
      <c r="AI182" s="225">
        <f t="shared" si="68"/>
        <v>1.0276970303686799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52.615491458426462</v>
      </c>
      <c r="C183" s="840"/>
      <c r="D183" s="393">
        <f t="shared" si="50"/>
        <v>55.311176718095652</v>
      </c>
      <c r="E183" s="385">
        <f t="shared" si="75"/>
        <v>60.144160081136441</v>
      </c>
      <c r="F183" s="385">
        <f t="shared" si="51"/>
        <v>60.156525280667118</v>
      </c>
      <c r="G183" s="110">
        <f t="shared" si="76"/>
        <v>0.93967041344671909</v>
      </c>
      <c r="H183" s="414" t="b">
        <f>Wh_hp&gt;='2023'!Maxi_hp</f>
        <v>0</v>
      </c>
      <c r="I183" s="390">
        <f>IF(H183,Wh_hp,'2023'!Maxi_hp)</f>
        <v>60.833252001548445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4.8736718681800628E-2</v>
      </c>
      <c r="M183" s="844"/>
      <c r="N183" s="844"/>
      <c r="O183" s="48">
        <f>IF(t&lt;Tnet,'2023'!Resal+('2023'!Salim-'2023'!Resal)*(1-EXP(('2023'!Tnet-t)/('2023'!Tau_j))),Resal+(Salim-Resal)*(1-EXP((Tnet-t)/(Tau_j))))*Salcycl</f>
        <v>8.0356652358615333E-2</v>
      </c>
      <c r="P183" s="169">
        <f>(INDEX(Models!$BJ183:$BT183,,T183)*(1-R183)+INDEX(Models!$BJ183:$BT183,,T183+1)*R183-ERP_i)*Q183*Ramure*Pc/MaxiM</f>
        <v>2.2493021355968144E-4</v>
      </c>
      <c r="Q183" s="305">
        <f t="shared" si="53"/>
        <v>0.7</v>
      </c>
      <c r="R183" s="177">
        <f t="shared" si="54"/>
        <v>3.1717328594497385E-2</v>
      </c>
      <c r="S183" s="810">
        <f t="shared" si="55"/>
        <v>1</v>
      </c>
      <c r="T183" s="176">
        <f t="shared" si="56"/>
        <v>7</v>
      </c>
      <c r="U183" s="251">
        <f t="shared" si="57"/>
        <v>1.0317173285944974</v>
      </c>
      <c r="V183" s="383">
        <f t="shared" si="58"/>
        <v>55.992474402665444</v>
      </c>
      <c r="W183" s="402">
        <f t="shared" si="59"/>
        <v>52.615491458426462</v>
      </c>
      <c r="X183" s="157">
        <f t="shared" si="60"/>
        <v>45460</v>
      </c>
      <c r="Y183" s="385">
        <f t="shared" si="61"/>
        <v>49.066629298446962</v>
      </c>
      <c r="Z183" s="385">
        <f t="shared" si="62"/>
        <v>51.580493289358955</v>
      </c>
      <c r="AA183" s="386">
        <f t="shared" si="63"/>
        <v>60.144160081136441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0.14238567435682567</v>
      </c>
      <c r="AD183" s="231">
        <f>(INDEX(Models!$BJ183:$BT183,,AH183)*(1-AF183)+INDEX(Models!$BJ183:$BT183,,AH183+1)*AF183-ERP_i)*AE183*Ramure*Pc/MaxiM</f>
        <v>2.2493021355968144E-4</v>
      </c>
      <c r="AE183" s="305">
        <f t="shared" si="65"/>
        <v>0.7</v>
      </c>
      <c r="AF183" s="177">
        <f t="shared" si="66"/>
        <v>3.1717328594497385E-2</v>
      </c>
      <c r="AG183" s="810">
        <f t="shared" si="74"/>
        <v>1</v>
      </c>
      <c r="AH183" s="176">
        <f t="shared" si="67"/>
        <v>7</v>
      </c>
      <c r="AI183" s="225">
        <f t="shared" si="68"/>
        <v>1.0317173285944974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53.919300293757722</v>
      </c>
      <c r="C184" s="840"/>
      <c r="D184" s="393">
        <f t="shared" si="50"/>
        <v>56.683103576885905</v>
      </c>
      <c r="E184" s="385">
        <f t="shared" si="75"/>
        <v>61.646294612122496</v>
      </c>
      <c r="F184" s="385">
        <f t="shared" si="51"/>
        <v>61.659562402006024</v>
      </c>
      <c r="G184" s="110">
        <f t="shared" si="76"/>
        <v>0.96372041083237869</v>
      </c>
      <c r="H184" s="414" t="b">
        <f>Wh_hp&gt;='2023'!Maxi_hp</f>
        <v>0</v>
      </c>
      <c r="I184" s="390">
        <f>IF(H184,Wh_hp,'2023'!Maxi_hp)</f>
        <v>61.659826867162181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4.8758855968063175E-2</v>
      </c>
      <c r="M184" s="844"/>
      <c r="N184" s="844"/>
      <c r="O184" s="48">
        <f>IF(t&lt;Tnet,'2023'!Resal+('2023'!Salim-'2023'!Resal)*(1-EXP(('2023'!Tnet-t)/('2023'!Tau_j))),Resal+(Salim-Resal)*(1-EXP((Tnet-t)/(Tau_j))))*Salcycl</f>
        <v>8.051077629993672E-2</v>
      </c>
      <c r="P184" s="169">
        <f>(INDEX(Models!$BJ184:$BT184,,T184)*(1-R184)+INDEX(Models!$BJ184:$BT184,,T184+1)*R184-ERP_i)*Q184*Ramure*Pc/MaxiM</f>
        <v>2.2693610546157693E-4</v>
      </c>
      <c r="Q184" s="305">
        <f t="shared" si="53"/>
        <v>0.7</v>
      </c>
      <c r="R184" s="177">
        <f t="shared" si="54"/>
        <v>3.5710803326027385E-2</v>
      </c>
      <c r="S184" s="810">
        <f t="shared" si="55"/>
        <v>1</v>
      </c>
      <c r="T184" s="176">
        <f t="shared" si="56"/>
        <v>7</v>
      </c>
      <c r="U184" s="251">
        <f t="shared" si="57"/>
        <v>1.0357108033260274</v>
      </c>
      <c r="V184" s="383">
        <f t="shared" si="58"/>
        <v>55.94845306784535</v>
      </c>
      <c r="W184" s="402">
        <f t="shared" si="59"/>
        <v>53.919300293757722</v>
      </c>
      <c r="X184" s="157">
        <f t="shared" si="60"/>
        <v>45461</v>
      </c>
      <c r="Y184" s="385">
        <f t="shared" si="61"/>
        <v>50.284218576454656</v>
      </c>
      <c r="Z184" s="385">
        <f t="shared" si="62"/>
        <v>52.86169431582789</v>
      </c>
      <c r="AA184" s="386">
        <f t="shared" si="63"/>
        <v>61.646294612122496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0.14250005375938932</v>
      </c>
      <c r="AD184" s="231">
        <f>(INDEX(Models!$BJ184:$BT184,,AH184)*(1-AF184)+INDEX(Models!$BJ184:$BT184,,AH184+1)*AF184-ERP_i)*AE184*Ramure*Pc/MaxiM</f>
        <v>2.2693610546157693E-4</v>
      </c>
      <c r="AE184" s="305">
        <f t="shared" si="65"/>
        <v>0.7</v>
      </c>
      <c r="AF184" s="177">
        <f t="shared" si="66"/>
        <v>3.5710803326027385E-2</v>
      </c>
      <c r="AG184" s="810">
        <f t="shared" si="74"/>
        <v>1</v>
      </c>
      <c r="AH184" s="176">
        <f t="shared" si="67"/>
        <v>7</v>
      </c>
      <c r="AI184" s="225">
        <f t="shared" si="68"/>
        <v>1.0357108033260274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31.83301091629367</v>
      </c>
      <c r="C185" s="840"/>
      <c r="D185" s="393">
        <f t="shared" si="50"/>
        <v>33.465490778996269</v>
      </c>
      <c r="E185" s="385">
        <f t="shared" si="75"/>
        <v>36.401788587915973</v>
      </c>
      <c r="F185" s="385">
        <f t="shared" si="51"/>
        <v>36.404993470548838</v>
      </c>
      <c r="G185" s="110">
        <f t="shared" si="76"/>
        <v>0.56936118309216421</v>
      </c>
      <c r="H185" s="414" t="b">
        <f>Wh_hp&gt;='2023'!Maxi_hp</f>
        <v>0</v>
      </c>
      <c r="I185" s="390">
        <f>IF(H185,Wh_hp,'2023'!Maxi_hp)</f>
        <v>56.819376844927362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4.8780992739158591E-2</v>
      </c>
      <c r="M185" s="844"/>
      <c r="N185" s="844"/>
      <c r="O185" s="48">
        <f>IF(t&lt;Tnet,'2023'!Resal+('2023'!Salim-'2023'!Resal)*(1-EXP(('2023'!Tnet-t)/('2023'!Tau_j))),Resal+(Salim-Resal)*(1-EXP((Tnet-t)/(Tau_j))))*Salcycl</f>
        <v>8.0663558655314188E-2</v>
      </c>
      <c r="P185" s="169">
        <f>(INDEX(Models!$BJ185:$BT185,,T185)*(1-R185)+INDEX(Models!$BJ185:$BT185,,T185+1)*R185-ERP_i)*Q185*Ramure*Pc/MaxiM</f>
        <v>2.2870994646688439E-4</v>
      </c>
      <c r="Q185" s="305">
        <f t="shared" si="53"/>
        <v>0.7</v>
      </c>
      <c r="R185" s="177">
        <f t="shared" si="54"/>
        <v>3.9674385787693112E-2</v>
      </c>
      <c r="S185" s="810">
        <f t="shared" si="55"/>
        <v>1</v>
      </c>
      <c r="T185" s="176">
        <f t="shared" si="56"/>
        <v>7</v>
      </c>
      <c r="U185" s="251">
        <f t="shared" si="57"/>
        <v>1.0396743857876931</v>
      </c>
      <c r="V185" s="383">
        <f t="shared" si="58"/>
        <v>55.902181836469325</v>
      </c>
      <c r="W185" s="402">
        <f t="shared" si="59"/>
        <v>31.83301091629367</v>
      </c>
      <c r="X185" s="157">
        <f t="shared" si="60"/>
        <v>45462</v>
      </c>
      <c r="Y185" s="385">
        <f t="shared" si="61"/>
        <v>29.687976510608031</v>
      </c>
      <c r="Z185" s="385">
        <f t="shared" si="62"/>
        <v>31.210453411878735</v>
      </c>
      <c r="AA185" s="386">
        <f t="shared" si="63"/>
        <v>36.401788587915973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0.14261209070810787</v>
      </c>
      <c r="AD185" s="231">
        <f>(INDEX(Models!$BJ185:$BT185,,AH185)*(1-AF185)+INDEX(Models!$BJ185:$BT185,,AH185+1)*AF185-ERP_i)*AE185*Ramure*Pc/MaxiM</f>
        <v>2.2870994646688439E-4</v>
      </c>
      <c r="AE185" s="305">
        <f t="shared" si="65"/>
        <v>0.7</v>
      </c>
      <c r="AF185" s="177">
        <f t="shared" si="66"/>
        <v>3.9674385787693112E-2</v>
      </c>
      <c r="AG185" s="810">
        <f t="shared" si="74"/>
        <v>1</v>
      </c>
      <c r="AH185" s="176">
        <f t="shared" si="67"/>
        <v>7</v>
      </c>
      <c r="AI185" s="225">
        <f t="shared" si="68"/>
        <v>1.0396743857876931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22.251331170466361</v>
      </c>
      <c r="C186" s="840"/>
      <c r="D186" s="393">
        <f t="shared" si="50"/>
        <v>23.392981882876395</v>
      </c>
      <c r="E186" s="385">
        <f t="shared" si="75"/>
        <v>25.449698776223798</v>
      </c>
      <c r="F186" s="385">
        <f t="shared" si="51"/>
        <v>25.450522397966065</v>
      </c>
      <c r="G186" s="110">
        <f t="shared" si="76"/>
        <v>0.39830672560768526</v>
      </c>
      <c r="H186" s="414" t="b">
        <f>Wh_hp&gt;='2023'!Maxi_hp</f>
        <v>0</v>
      </c>
      <c r="I186" s="390">
        <f>IF(H186,Wh_hp,'2023'!Maxi_hp)</f>
        <v>51.722405668054598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4.8803128995099088E-2</v>
      </c>
      <c r="M186" s="844"/>
      <c r="N186" s="844"/>
      <c r="O186" s="48">
        <f>IF(t&lt;Tnet,'2023'!Resal+('2023'!Salim-'2023'!Resal)*(1-EXP(('2023'!Tnet-t)/('2023'!Tau_j))),Resal+(Salim-Resal)*(1-EXP((Tnet-t)/(Tau_j))))*Salcycl</f>
        <v>8.0814979832644476E-2</v>
      </c>
      <c r="P186" s="169">
        <f>(INDEX(Models!$BJ186:$BT186,,T186)*(1-R186)+INDEX(Models!$BJ186:$BT186,,T186+1)*R186-ERP_i)*Q186*Ramure*Pc/MaxiM</f>
        <v>2.3024900590073132E-4</v>
      </c>
      <c r="Q186" s="305">
        <f t="shared" si="53"/>
        <v>0.7</v>
      </c>
      <c r="R186" s="177">
        <f t="shared" si="54"/>
        <v>4.3605103027394509E-2</v>
      </c>
      <c r="S186" s="810">
        <f t="shared" si="55"/>
        <v>1</v>
      </c>
      <c r="T186" s="176">
        <f t="shared" si="56"/>
        <v>7</v>
      </c>
      <c r="U186" s="251">
        <f t="shared" si="57"/>
        <v>1.0436051030273945</v>
      </c>
      <c r="V186" s="383">
        <f t="shared" si="58"/>
        <v>55.853758777662776</v>
      </c>
      <c r="W186" s="402">
        <f t="shared" si="59"/>
        <v>22.251331170466361</v>
      </c>
      <c r="X186" s="157">
        <f t="shared" si="60"/>
        <v>45463</v>
      </c>
      <c r="Y186" s="385">
        <f t="shared" si="61"/>
        <v>20.752712066379289</v>
      </c>
      <c r="Z186" s="385">
        <f t="shared" si="62"/>
        <v>21.817473016342969</v>
      </c>
      <c r="AA186" s="386">
        <f t="shared" si="63"/>
        <v>25.449698776223798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0.14272175839166354</v>
      </c>
      <c r="AD186" s="231">
        <f>(INDEX(Models!$BJ186:$BT186,,AH186)*(1-AF186)+INDEX(Models!$BJ186:$BT186,,AH186+1)*AF186-ERP_i)*AE186*Ramure*Pc/MaxiM</f>
        <v>2.3024900590073132E-4</v>
      </c>
      <c r="AE186" s="305">
        <f t="shared" si="65"/>
        <v>0.7</v>
      </c>
      <c r="AF186" s="177">
        <f t="shared" si="66"/>
        <v>4.3605103027394509E-2</v>
      </c>
      <c r="AG186" s="810">
        <f t="shared" si="74"/>
        <v>1</v>
      </c>
      <c r="AH186" s="176">
        <f t="shared" si="67"/>
        <v>7</v>
      </c>
      <c r="AI186" s="225">
        <f t="shared" si="68"/>
        <v>1.0436051030273945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41.854862536543997</v>
      </c>
      <c r="C187" s="840"/>
      <c r="D187" s="393">
        <f t="shared" si="50"/>
        <v>44.003337120726371</v>
      </c>
      <c r="E187" s="385">
        <f t="shared" si="75"/>
        <v>47.879937408782446</v>
      </c>
      <c r="F187" s="385">
        <f t="shared" si="51"/>
        <v>47.887066272661016</v>
      </c>
      <c r="G187" s="110">
        <f t="shared" si="76"/>
        <v>0.74998100735969842</v>
      </c>
      <c r="H187" s="414" t="b">
        <f>Wh_hp&gt;='2023'!Maxi_hp</f>
        <v>0</v>
      </c>
      <c r="I187" s="390">
        <f>IF(H187,Wh_hp,'2023'!Maxi_hp)</f>
        <v>65.775267938024328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4.8825264735896656E-2</v>
      </c>
      <c r="M187" s="844"/>
      <c r="N187" s="844"/>
      <c r="O187" s="48">
        <f>IF(t&lt;Tnet,'2023'!Resal+('2023'!Salim-'2023'!Resal)*(1-EXP(('2023'!Tnet-t)/('2023'!Tau_j))),Resal+(Salim-Resal)*(1-EXP((Tnet-t)/(Tau_j))))*Salcycl</f>
        <v>8.0965024138586278E-2</v>
      </c>
      <c r="P187" s="169">
        <f>(INDEX(Models!$BJ187:$BT187,,T187)*(1-R187)+INDEX(Models!$BJ187:$BT187,,T187+1)*R187-ERP_i)*Q187*Ramure*Pc/MaxiM</f>
        <v>2.3155069497894824E-4</v>
      </c>
      <c r="Q187" s="305">
        <f t="shared" si="53"/>
        <v>0.7</v>
      </c>
      <c r="R187" s="177">
        <f t="shared" si="54"/>
        <v>4.7500086179464551E-2</v>
      </c>
      <c r="S187" s="810">
        <f t="shared" si="55"/>
        <v>1</v>
      </c>
      <c r="T187" s="176">
        <f t="shared" si="56"/>
        <v>7</v>
      </c>
      <c r="U187" s="251">
        <f t="shared" si="57"/>
        <v>1.0475000861794646</v>
      </c>
      <c r="V187" s="383">
        <f t="shared" si="58"/>
        <v>55.803281614240412</v>
      </c>
      <c r="W187" s="402">
        <f t="shared" si="59"/>
        <v>41.854862536543997</v>
      </c>
      <c r="X187" s="157">
        <f t="shared" si="60"/>
        <v>45464</v>
      </c>
      <c r="Y187" s="385">
        <f t="shared" si="61"/>
        <v>39.037440108783414</v>
      </c>
      <c r="Z187" s="385">
        <f t="shared" si="62"/>
        <v>41.041292058650264</v>
      </c>
      <c r="AA187" s="386">
        <f t="shared" si="63"/>
        <v>47.879937408782446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0.1428290369669071</v>
      </c>
      <c r="AD187" s="231">
        <f>(INDEX(Models!$BJ187:$BT187,,AH187)*(1-AF187)+INDEX(Models!$BJ187:$BT187,,AH187+1)*AF187-ERP_i)*AE187*Ramure*Pc/MaxiM</f>
        <v>2.3155069497894824E-4</v>
      </c>
      <c r="AE187" s="305">
        <f t="shared" si="65"/>
        <v>0.7</v>
      </c>
      <c r="AF187" s="177">
        <f t="shared" si="66"/>
        <v>4.7500086179464551E-2</v>
      </c>
      <c r="AG187" s="810">
        <f t="shared" si="74"/>
        <v>1</v>
      </c>
      <c r="AH187" s="176">
        <f t="shared" si="67"/>
        <v>7</v>
      </c>
      <c r="AI187" s="225">
        <f t="shared" si="68"/>
        <v>1.0475000861794646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39.816011194760499</v>
      </c>
      <c r="C188" s="840"/>
      <c r="D188" s="393">
        <f t="shared" si="50"/>
        <v>41.860802560127048</v>
      </c>
      <c r="E188" s="385">
        <f t="shared" si="75"/>
        <v>45.556018888677606</v>
      </c>
      <c r="F188" s="385">
        <f t="shared" si="51"/>
        <v>45.562289688407425</v>
      </c>
      <c r="G188" s="110">
        <f t="shared" si="76"/>
        <v>0.71410983911784276</v>
      </c>
      <c r="H188" s="414" t="b">
        <f>Wh_hp&gt;='2023'!Maxi_hp</f>
        <v>0</v>
      </c>
      <c r="I188" s="390">
        <f>IF(H188,Wh_hp,'2023'!Maxi_hp)</f>
        <v>56.866605968442144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4.8847399961563065E-2</v>
      </c>
      <c r="M188" s="844"/>
      <c r="N188" s="844"/>
      <c r="O188" s="48">
        <f>IF(t&lt;Tnet,'2023'!Resal+('2023'!Salim-'2023'!Resal)*(1-EXP(('2023'!Tnet-t)/('2023'!Tau_j))),Resal+(Salim-Resal)*(1-EXP((Tnet-t)/(Tau_j))))*Salcycl</f>
        <v>8.111367978796237E-2</v>
      </c>
      <c r="P188" s="169">
        <f>(INDEX(Models!$BJ188:$BT188,,T188)*(1-R188)+INDEX(Models!$BJ188:$BT188,,T188+1)*R188-ERP_i)*Q188*Ramure*Pc/MaxiM</f>
        <v>2.3261019140032114E-4</v>
      </c>
      <c r="Q188" s="305">
        <f t="shared" si="53"/>
        <v>0.7</v>
      </c>
      <c r="R188" s="177">
        <f t="shared" si="54"/>
        <v>5.1356578044442269E-2</v>
      </c>
      <c r="S188" s="810">
        <f t="shared" si="55"/>
        <v>1</v>
      </c>
      <c r="T188" s="176">
        <f t="shared" si="56"/>
        <v>7</v>
      </c>
      <c r="U188" s="251">
        <f t="shared" si="57"/>
        <v>1.0513565780444423</v>
      </c>
      <c r="V188" s="383">
        <f t="shared" si="58"/>
        <v>55.750847859811188</v>
      </c>
      <c r="W188" s="402">
        <f t="shared" si="59"/>
        <v>39.816011194760499</v>
      </c>
      <c r="X188" s="157">
        <f t="shared" si="60"/>
        <v>45465</v>
      </c>
      <c r="Y188" s="385">
        <f t="shared" si="61"/>
        <v>37.137295596476157</v>
      </c>
      <c r="Z188" s="385">
        <f t="shared" si="62"/>
        <v>39.044518823767504</v>
      </c>
      <c r="AA188" s="386">
        <f t="shared" si="63"/>
        <v>45.556018888677606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0.14293391353669085</v>
      </c>
      <c r="AD188" s="231">
        <f>(INDEX(Models!$BJ188:$BT188,,AH188)*(1-AF188)+INDEX(Models!$BJ188:$BT188,,AH188+1)*AF188-ERP_i)*AE188*Ramure*Pc/MaxiM</f>
        <v>2.3261019140032114E-4</v>
      </c>
      <c r="AE188" s="305">
        <f t="shared" si="65"/>
        <v>0.7</v>
      </c>
      <c r="AF188" s="177">
        <f t="shared" si="66"/>
        <v>5.1356578044442269E-2</v>
      </c>
      <c r="AG188" s="810">
        <f t="shared" si="74"/>
        <v>1</v>
      </c>
      <c r="AH188" s="176">
        <f t="shared" si="67"/>
        <v>7</v>
      </c>
      <c r="AI188" s="225">
        <f t="shared" si="68"/>
        <v>1.0513565780444423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38.377189825372461</v>
      </c>
      <c r="C189" s="840"/>
      <c r="D189" s="393">
        <f t="shared" si="50"/>
        <v>40.349028050681184</v>
      </c>
      <c r="E189" s="385">
        <f t="shared" si="75"/>
        <v>43.917832340754728</v>
      </c>
      <c r="F189" s="385">
        <f t="shared" si="51"/>
        <v>43.923530534197155</v>
      </c>
      <c r="G189" s="110">
        <f t="shared" si="76"/>
        <v>0.68896918453109246</v>
      </c>
      <c r="H189" s="414" t="b">
        <f>Wh_hp&gt;='2023'!Maxi_hp</f>
        <v>0</v>
      </c>
      <c r="I189" s="390">
        <f>IF(H189,Wh_hp,'2023'!Maxi_hp)</f>
        <v>64.123502417734827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4.8869534672110526E-2</v>
      </c>
      <c r="M189" s="844"/>
      <c r="N189" s="844"/>
      <c r="O189" s="48">
        <f>IF(t&lt;Tnet,'2023'!Resal+('2023'!Salim-'2023'!Resal)*(1-EXP(('2023'!Tnet-t)/('2023'!Tau_j))),Resal+(Salim-Resal)*(1-EXP((Tnet-t)/(Tau_j))))*Salcycl</f>
        <v>8.1260938891143164E-2</v>
      </c>
      <c r="P189" s="169">
        <f>(INDEX(Models!$BJ189:$BT189,,T189)*(1-R189)+INDEX(Models!$BJ189:$BT189,,T189+1)*R189-ERP_i)*Q189*Ramure*Pc/MaxiM</f>
        <v>2.3342266005943146E-4</v>
      </c>
      <c r="Q189" s="305">
        <f t="shared" si="53"/>
        <v>0.7</v>
      </c>
      <c r="R189" s="177">
        <f t="shared" si="54"/>
        <v>5.5171939949675952E-2</v>
      </c>
      <c r="S189" s="810">
        <f t="shared" si="55"/>
        <v>1</v>
      </c>
      <c r="T189" s="176">
        <f t="shared" si="56"/>
        <v>7</v>
      </c>
      <c r="U189" s="251">
        <f t="shared" si="57"/>
        <v>1.055171939949676</v>
      </c>
      <c r="V189" s="383">
        <f t="shared" si="58"/>
        <v>55.69655469696697</v>
      </c>
      <c r="W189" s="402">
        <f t="shared" si="59"/>
        <v>38.377189825372461</v>
      </c>
      <c r="X189" s="157">
        <f t="shared" si="60"/>
        <v>45466</v>
      </c>
      <c r="Y189" s="385">
        <f t="shared" si="61"/>
        <v>35.796731444403342</v>
      </c>
      <c r="Z189" s="385">
        <f t="shared" si="62"/>
        <v>37.635984493528866</v>
      </c>
      <c r="AA189" s="386">
        <f t="shared" si="63"/>
        <v>43.917832340754728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0.1430363820892967</v>
      </c>
      <c r="AD189" s="231">
        <f>(INDEX(Models!$BJ189:$BT189,,AH189)*(1-AF189)+INDEX(Models!$BJ189:$BT189,,AH189+1)*AF189-ERP_i)*AE189*Ramure*Pc/MaxiM</f>
        <v>2.3342266005943146E-4</v>
      </c>
      <c r="AE189" s="305">
        <f t="shared" si="65"/>
        <v>0.7</v>
      </c>
      <c r="AF189" s="177">
        <f t="shared" si="66"/>
        <v>5.5171939949675952E-2</v>
      </c>
      <c r="AG189" s="810">
        <f t="shared" si="74"/>
        <v>1</v>
      </c>
      <c r="AH189" s="176">
        <f t="shared" si="67"/>
        <v>7</v>
      </c>
      <c r="AI189" s="225">
        <f t="shared" si="68"/>
        <v>1.055171939949676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31.606586529754761</v>
      </c>
      <c r="C190" s="840"/>
      <c r="D190" s="393">
        <f t="shared" si="50"/>
        <v>33.231321286106258</v>
      </c>
      <c r="E190" s="385">
        <f t="shared" si="75"/>
        <v>36.176319607801879</v>
      </c>
      <c r="F190" s="385">
        <f t="shared" si="51"/>
        <v>36.179561290329211</v>
      </c>
      <c r="G190" s="110">
        <f t="shared" si="76"/>
        <v>0.56796799514192775</v>
      </c>
      <c r="H190" s="414" t="b">
        <f>Wh_hp&gt;='2023'!Maxi_hp</f>
        <v>0</v>
      </c>
      <c r="I190" s="390">
        <f>IF(H190,Wh_hp,'2023'!Maxi_hp)</f>
        <v>60.228576007833119</v>
      </c>
      <c r="J190" s="85">
        <f>IF(H190,An,'2023'!An_max)</f>
        <v>2019</v>
      </c>
      <c r="K190" s="197">
        <f t="shared" si="52"/>
        <v>45467</v>
      </c>
      <c r="L190" s="147">
        <f>IF(t&lt;Tvie,1-EXP((T0-t)*PertePVj)+'2023'!Pspv,1-EXP((T0-t)*PertePVj)+Pspv)</f>
        <v>4.8891668867550808E-2</v>
      </c>
      <c r="M190" s="844"/>
      <c r="N190" s="844"/>
      <c r="O190" s="48">
        <f>IF(t&lt;Tnet,'2023'!Resal+('2023'!Salim-'2023'!Resal)*(1-EXP(('2023'!Tnet-t)/('2023'!Tau_j))),Resal+(Salim-Resal)*(1-EXP((Tnet-t)/(Tau_j))))*Salcycl</f>
        <v>8.1406797419505739E-2</v>
      </c>
      <c r="P190" s="169">
        <f>(INDEX(Models!$BJ190:$BT190,,T190)*(1-R190)+INDEX(Models!$BJ190:$BT190,,T190+1)*R190-ERP_i)*Q190*Ramure*Pc/MaxiM</f>
        <v>2.339857334152381E-4</v>
      </c>
      <c r="Q190" s="305">
        <f t="shared" si="53"/>
        <v>0.7</v>
      </c>
      <c r="R190" s="177">
        <f t="shared" si="54"/>
        <v>5.89436578624567E-2</v>
      </c>
      <c r="S190" s="810">
        <f t="shared" si="55"/>
        <v>1</v>
      </c>
      <c r="T190" s="176">
        <f t="shared" si="56"/>
        <v>7</v>
      </c>
      <c r="U190" s="251">
        <f t="shared" si="57"/>
        <v>1.0589436578624567</v>
      </c>
      <c r="V190" s="383">
        <f t="shared" si="58"/>
        <v>55.64049884072481</v>
      </c>
      <c r="W190" s="402">
        <f t="shared" si="59"/>
        <v>31.606586529754761</v>
      </c>
      <c r="X190" s="157">
        <f t="shared" si="60"/>
        <v>45467</v>
      </c>
      <c r="Y190" s="385">
        <f t="shared" si="61"/>
        <v>29.482617626381529</v>
      </c>
      <c r="Z190" s="385">
        <f t="shared" si="62"/>
        <v>30.99816988384244</v>
      </c>
      <c r="AA190" s="386">
        <f t="shared" si="63"/>
        <v>36.176319607801879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0.14313644339991699</v>
      </c>
      <c r="AD190" s="231">
        <f>(INDEX(Models!$BJ190:$BT190,,AH190)*(1-AF190)+INDEX(Models!$BJ190:$BT190,,AH190+1)*AF190-ERP_i)*AE190*Ramure*Pc/MaxiM</f>
        <v>2.339857334152381E-4</v>
      </c>
      <c r="AE190" s="305">
        <f t="shared" si="65"/>
        <v>0.7</v>
      </c>
      <c r="AF190" s="177">
        <f t="shared" si="66"/>
        <v>5.89436578624567E-2</v>
      </c>
      <c r="AG190" s="810">
        <f t="shared" si="74"/>
        <v>1</v>
      </c>
      <c r="AH190" s="176">
        <f t="shared" si="67"/>
        <v>7</v>
      </c>
      <c r="AI190" s="225">
        <f t="shared" si="68"/>
        <v>1.0589436578624567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11.940785144291334</v>
      </c>
      <c r="C191" s="840"/>
      <c r="D191" s="393">
        <f t="shared" si="50"/>
        <v>12.554892686151788</v>
      </c>
      <c r="E191" s="385">
        <f t="shared" si="75"/>
        <v>13.669671559289691</v>
      </c>
      <c r="F191" s="385">
        <f t="shared" si="51"/>
        <v>13.669671559289691</v>
      </c>
      <c r="G191" s="110">
        <f t="shared" si="76"/>
        <v>0.2147778605024743</v>
      </c>
      <c r="H191" s="414" t="b">
        <f>Wh_hp&gt;='2023'!Maxi_hp</f>
        <v>0</v>
      </c>
      <c r="I191" s="390">
        <f>IF(H191,Wh_hp,'2023'!Maxi_hp)</f>
        <v>61.391181124623479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4.8913802547896124E-2</v>
      </c>
      <c r="M191" s="844"/>
      <c r="N191" s="844"/>
      <c r="O191" s="48">
        <f>IF(t&lt;Tnet,'2023'!Resal+('2023'!Salim-'2023'!Resal)*(1-EXP(('2023'!Tnet-t)/('2023'!Tau_j))),Resal+(Salim-Resal)*(1-EXP((Tnet-t)/(Tau_j))))*Salcycl</f>
        <v>8.1551255149237029E-2</v>
      </c>
      <c r="P191" s="169">
        <f>(INDEX(Models!$BJ191:$BT191,,T191)*(1-R191)+INDEX(Models!$BJ191:$BT191,,T191+1)*R191-ERP_i)*Q191*Ramure*Pc/MaxiM</f>
        <v>2.342964829767728E-4</v>
      </c>
      <c r="Q191" s="305">
        <f t="shared" si="53"/>
        <v>0.7</v>
      </c>
      <c r="R191" s="177">
        <f t="shared" si="54"/>
        <v>6.266934773512256E-2</v>
      </c>
      <c r="S191" s="810">
        <f t="shared" si="55"/>
        <v>1</v>
      </c>
      <c r="T191" s="176">
        <f t="shared" si="56"/>
        <v>7</v>
      </c>
      <c r="U191" s="251">
        <f t="shared" si="57"/>
        <v>1.0626693477351226</v>
      </c>
      <c r="V191" s="383">
        <f t="shared" si="58"/>
        <v>55.582951764204374</v>
      </c>
      <c r="W191" s="402">
        <f t="shared" si="59"/>
        <v>11.940785144291334</v>
      </c>
      <c r="X191" s="157">
        <f t="shared" si="60"/>
        <v>45468</v>
      </c>
      <c r="Y191" s="385">
        <f t="shared" si="61"/>
        <v>11.138844197634805</v>
      </c>
      <c r="Z191" s="385">
        <f t="shared" si="62"/>
        <v>11.711708389286924</v>
      </c>
      <c r="AA191" s="386">
        <f t="shared" si="63"/>
        <v>13.669671559289691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0.14323410489494665</v>
      </c>
      <c r="AD191" s="231">
        <f>(INDEX(Models!$BJ191:$BT191,,AH191)*(1-AF191)+INDEX(Models!$BJ191:$BT191,,AH191+1)*AF191-ERP_i)*AE191*Ramure*Pc/MaxiM</f>
        <v>2.342964829767728E-4</v>
      </c>
      <c r="AE191" s="305">
        <f t="shared" si="65"/>
        <v>0.7</v>
      </c>
      <c r="AF191" s="177">
        <f t="shared" si="66"/>
        <v>6.266934773512256E-2</v>
      </c>
      <c r="AG191" s="810">
        <f t="shared" si="74"/>
        <v>1</v>
      </c>
      <c r="AH191" s="176">
        <f t="shared" si="67"/>
        <v>7</v>
      </c>
      <c r="AI191" s="225">
        <f t="shared" si="68"/>
        <v>1.0626693477351226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13.899169313921391</v>
      </c>
      <c r="C192" s="840"/>
      <c r="D192" s="393">
        <f t="shared" si="50"/>
        <v>14.614335496256739</v>
      </c>
      <c r="E192" s="385">
        <f t="shared" si="75"/>
        <v>15.91445609481281</v>
      </c>
      <c r="F192" s="385">
        <f t="shared" si="51"/>
        <v>15.91445609481281</v>
      </c>
      <c r="G192" s="110">
        <f t="shared" si="76"/>
        <v>0.25026859780765542</v>
      </c>
      <c r="H192" s="414" t="b">
        <f>Wh_hp&gt;='2023'!Maxi_hp</f>
        <v>0</v>
      </c>
      <c r="I192" s="390">
        <f>IF(H192,Wh_hp,'2023'!Maxi_hp)</f>
        <v>61.300290769717577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4.8935935713158352E-2</v>
      </c>
      <c r="M192" s="844"/>
      <c r="N192" s="844"/>
      <c r="O192" s="48">
        <f>IF(t&lt;Tnet,'2023'!Resal+('2023'!Salim-'2023'!Resal)*(1-EXP(('2023'!Tnet-t)/('2023'!Tau_j))),Resal+(Salim-Resal)*(1-EXP((Tnet-t)/(Tau_j))))*Salcycl</f>
        <v>8.1694315583919583E-2</v>
      </c>
      <c r="P192" s="169">
        <f>(INDEX(Models!$BJ192:$BT192,,T192)*(1-R192)+INDEX(Models!$BJ192:$BT192,,T192+1)*R192-ERP_i)*Q192*Ramure*Pc/MaxiM</f>
        <v>2.344234514831322E-4</v>
      </c>
      <c r="Q192" s="305">
        <f t="shared" si="53"/>
        <v>0.7</v>
      </c>
      <c r="R192" s="177">
        <f t="shared" si="54"/>
        <v>6.6346760069296185E-2</v>
      </c>
      <c r="S192" s="810">
        <f t="shared" si="55"/>
        <v>1</v>
      </c>
      <c r="T192" s="176">
        <f t="shared" si="56"/>
        <v>7</v>
      </c>
      <c r="U192" s="251">
        <f t="shared" si="57"/>
        <v>1.0663467600692962</v>
      </c>
      <c r="V192" s="383">
        <f t="shared" si="58"/>
        <v>55.523989603193499</v>
      </c>
      <c r="W192" s="402">
        <f t="shared" si="59"/>
        <v>13.899169313921391</v>
      </c>
      <c r="X192" s="157">
        <f t="shared" si="60"/>
        <v>45469</v>
      </c>
      <c r="Y192" s="385">
        <f t="shared" si="61"/>
        <v>12.966281477980656</v>
      </c>
      <c r="Z192" s="385">
        <f t="shared" si="62"/>
        <v>13.633446962065024</v>
      </c>
      <c r="AA192" s="386">
        <f t="shared" si="63"/>
        <v>15.91445609481281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0.14332938048013238</v>
      </c>
      <c r="AD192" s="231">
        <f>(INDEX(Models!$BJ192:$BT192,,AH192)*(1-AF192)+INDEX(Models!$BJ192:$BT192,,AH192+1)*AF192-ERP_i)*AE192*Ramure*Pc/MaxiM</f>
        <v>2.344234514831322E-4</v>
      </c>
      <c r="AE192" s="305">
        <f t="shared" si="65"/>
        <v>0.7</v>
      </c>
      <c r="AF192" s="177">
        <f t="shared" si="66"/>
        <v>6.6346760069296185E-2</v>
      </c>
      <c r="AG192" s="810">
        <f t="shared" si="74"/>
        <v>1</v>
      </c>
      <c r="AH192" s="176">
        <f t="shared" si="67"/>
        <v>7</v>
      </c>
      <c r="AI192" s="225">
        <f t="shared" si="68"/>
        <v>1.0663467600692962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56.625137842383957</v>
      </c>
      <c r="C193" s="840"/>
      <c r="D193" s="393">
        <f t="shared" si="50"/>
        <v>59.540106444031977</v>
      </c>
      <c r="E193" s="385">
        <f t="shared" si="75"/>
        <v>64.846917900146423</v>
      </c>
      <c r="F193" s="385">
        <f t="shared" si="51"/>
        <v>64.86212687657445</v>
      </c>
      <c r="G193" s="110">
        <f t="shared" si="76"/>
        <v>1.0209457463470906</v>
      </c>
      <c r="H193" s="414" t="b">
        <f>Wh_hp&gt;='2023'!Maxi_hp</f>
        <v>1</v>
      </c>
      <c r="I193" s="390">
        <f>IF(H193,Wh_hp,'2023'!Maxi_hp)</f>
        <v>64.86212687657445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4.8958068363349483E-2</v>
      </c>
      <c r="M193" s="844"/>
      <c r="N193" s="844"/>
      <c r="O193" s="48">
        <f>IF(t&lt;Tnet,'2023'!Resal+('2023'!Salim-'2023'!Resal)*(1-EXP(('2023'!Tnet-t)/('2023'!Tau_j))),Resal+(Salim-Resal)*(1-EXP((Tnet-t)/(Tau_j))))*Salcycl</f>
        <v>8.1835985856506963E-2</v>
      </c>
      <c r="P193" s="169">
        <f>(INDEX(Models!$BJ193:$BT193,,T193)*(1-R193)+INDEX(Models!$BJ193:$BT193,,T193+1)*R193-ERP_i)*Q193*Ramure*Pc/MaxiM</f>
        <v>2.3448161755425744E-4</v>
      </c>
      <c r="Q193" s="305">
        <f t="shared" si="53"/>
        <v>0.7</v>
      </c>
      <c r="R193" s="177">
        <f t="shared" si="54"/>
        <v>6.9973783693960012E-2</v>
      </c>
      <c r="S193" s="810">
        <f t="shared" si="55"/>
        <v>1</v>
      </c>
      <c r="T193" s="176">
        <f t="shared" si="56"/>
        <v>7</v>
      </c>
      <c r="U193" s="251">
        <f t="shared" si="57"/>
        <v>1.06997378369396</v>
      </c>
      <c r="V193" s="383">
        <f t="shared" si="58"/>
        <v>55.463415215731871</v>
      </c>
      <c r="W193" s="402">
        <f t="shared" si="59"/>
        <v>56.625137842383957</v>
      </c>
      <c r="X193" s="157">
        <f t="shared" si="60"/>
        <v>45470</v>
      </c>
      <c r="Y193" s="385">
        <f t="shared" si="61"/>
        <v>52.826978770021206</v>
      </c>
      <c r="Z193" s="385">
        <f t="shared" si="62"/>
        <v>55.546424413812254</v>
      </c>
      <c r="AA193" s="386">
        <f t="shared" si="63"/>
        <v>64.846917900146423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0.14342229033391213</v>
      </c>
      <c r="AD193" s="231">
        <f>(INDEX(Models!$BJ193:$BT193,,AH193)*(1-AF193)+INDEX(Models!$BJ193:$BT193,,AH193+1)*AF193-ERP_i)*AE193*Ramure*Pc/MaxiM</f>
        <v>2.3448161755425744E-4</v>
      </c>
      <c r="AE193" s="305">
        <f t="shared" si="65"/>
        <v>0.7</v>
      </c>
      <c r="AF193" s="177">
        <f t="shared" si="66"/>
        <v>6.9973783693960012E-2</v>
      </c>
      <c r="AG193" s="810">
        <f t="shared" si="74"/>
        <v>1</v>
      </c>
      <c r="AH193" s="176">
        <f t="shared" si="67"/>
        <v>7</v>
      </c>
      <c r="AI193" s="225">
        <f t="shared" si="68"/>
        <v>1.06997378369396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54.302089493258826</v>
      </c>
      <c r="C194" s="840"/>
      <c r="D194" s="393">
        <f t="shared" si="50"/>
        <v>57.098800174004289</v>
      </c>
      <c r="E194" s="385">
        <f t="shared" si="75"/>
        <v>62.197521392198333</v>
      </c>
      <c r="F194" s="385">
        <f t="shared" si="51"/>
        <v>62.211694952142295</v>
      </c>
      <c r="G194" s="110">
        <f t="shared" si="76"/>
        <v>0.98015724732152854</v>
      </c>
      <c r="H194" s="414" t="b">
        <f>Wh_hp&gt;='2023'!Maxi_hp</f>
        <v>0</v>
      </c>
      <c r="I194" s="390">
        <f>IF(H194,Wh_hp,'2023'!Maxi_hp)</f>
        <v>62.211845559281812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4.8980200498481508E-2</v>
      </c>
      <c r="M194" s="844"/>
      <c r="N194" s="844"/>
      <c r="O194" s="48">
        <f>IF(t&lt;Tnet,'2023'!Resal+('2023'!Salim-'2023'!Resal)*(1-EXP(('2023'!Tnet-t)/('2023'!Tau_j))),Resal+(Salim-Resal)*(1-EXP((Tnet-t)/(Tau_j))))*Salcycl</f>
        <v>8.1976276611459856E-2</v>
      </c>
      <c r="P194" s="169">
        <f>(INDEX(Models!$BJ194:$BT194,,T194)*(1-R194)+INDEX(Models!$BJ194:$BT194,,T194+1)*R194-ERP_i)*Q194*Ramure*Pc/MaxiM</f>
        <v>2.344722557939756E-4</v>
      </c>
      <c r="Q194" s="305">
        <f t="shared" si="53"/>
        <v>0.7</v>
      </c>
      <c r="R194" s="177">
        <f t="shared" si="54"/>
        <v>7.3548448759377827E-2</v>
      </c>
      <c r="S194" s="810">
        <f t="shared" si="55"/>
        <v>1</v>
      </c>
      <c r="T194" s="176">
        <f t="shared" si="56"/>
        <v>7</v>
      </c>
      <c r="U194" s="251">
        <f t="shared" si="57"/>
        <v>1.0735484487593778</v>
      </c>
      <c r="V194" s="383">
        <f t="shared" si="58"/>
        <v>55.401037697918134</v>
      </c>
      <c r="W194" s="402">
        <f t="shared" si="59"/>
        <v>54.302089493258826</v>
      </c>
      <c r="X194" s="157">
        <f t="shared" si="60"/>
        <v>45471</v>
      </c>
      <c r="Y194" s="385">
        <f t="shared" si="61"/>
        <v>50.66213443611823</v>
      </c>
      <c r="Z194" s="385">
        <f t="shared" si="62"/>
        <v>53.271377170772915</v>
      </c>
      <c r="AA194" s="386">
        <f t="shared" si="63"/>
        <v>62.197521392198333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0.14351286066754829</v>
      </c>
      <c r="AD194" s="231">
        <f>(INDEX(Models!$BJ194:$BT194,,AH194)*(1-AF194)+INDEX(Models!$BJ194:$BT194,,AH194+1)*AF194-ERP_i)*AE194*Ramure*Pc/MaxiM</f>
        <v>2.344722557939756E-4</v>
      </c>
      <c r="AE194" s="305">
        <f t="shared" si="65"/>
        <v>0.7</v>
      </c>
      <c r="AF194" s="177">
        <f t="shared" si="66"/>
        <v>7.3548448759377827E-2</v>
      </c>
      <c r="AG194" s="810">
        <f t="shared" si="74"/>
        <v>1</v>
      </c>
      <c r="AH194" s="176">
        <f t="shared" si="67"/>
        <v>7</v>
      </c>
      <c r="AI194" s="225">
        <f t="shared" si="68"/>
        <v>1.0735484487593778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13.730653139949506</v>
      </c>
      <c r="C195" s="840"/>
      <c r="D195" s="393">
        <f t="shared" si="50"/>
        <v>14.438156478908828</v>
      </c>
      <c r="E195" s="385">
        <f t="shared" si="75"/>
        <v>15.729813271002673</v>
      </c>
      <c r="F195" s="385">
        <f t="shared" si="51"/>
        <v>15.729813271002673</v>
      </c>
      <c r="G195" s="110">
        <f t="shared" si="76"/>
        <v>0.2480712283232703</v>
      </c>
      <c r="H195" s="414" t="b">
        <f>Wh_hp&gt;='2023'!Maxi_hp</f>
        <v>0</v>
      </c>
      <c r="I195" s="390">
        <f>IF(H195,Wh_hp,'2023'!Maxi_hp)</f>
        <v>56.806125451843101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4.9002332118566416E-2</v>
      </c>
      <c r="M195" s="844"/>
      <c r="N195" s="844"/>
      <c r="O195" s="48">
        <f>IF(t&lt;Tnet,'2023'!Resal+('2023'!Salim-'2023'!Resal)*(1-EXP(('2023'!Tnet-t)/('2023'!Tau_j))),Resal+(Salim-Resal)*(1-EXP((Tnet-t)/(Tau_j))))*Salcycl</f>
        <v>8.2115201867969112E-2</v>
      </c>
      <c r="P195" s="169">
        <f>(INDEX(Models!$BJ195:$BT195,,T195)*(1-R195)+INDEX(Models!$BJ195:$BT195,,T195+1)*R195-ERP_i)*Q195*Ramure*Pc/MaxiM</f>
        <v>2.3439672345284033E-4</v>
      </c>
      <c r="Q195" s="305">
        <f t="shared" si="53"/>
        <v>0.7</v>
      </c>
      <c r="R195" s="177">
        <f t="shared" si="54"/>
        <v>7.706892895582218E-2</v>
      </c>
      <c r="S195" s="810">
        <f t="shared" si="55"/>
        <v>1</v>
      </c>
      <c r="T195" s="176">
        <f t="shared" si="56"/>
        <v>7</v>
      </c>
      <c r="U195" s="251">
        <f t="shared" si="57"/>
        <v>1.0770689289558222</v>
      </c>
      <c r="V195" s="383">
        <f t="shared" si="58"/>
        <v>55.336666056064885</v>
      </c>
      <c r="W195" s="402">
        <f t="shared" si="59"/>
        <v>13.730653139949506</v>
      </c>
      <c r="X195" s="157">
        <f t="shared" si="60"/>
        <v>45472</v>
      </c>
      <c r="Y195" s="385">
        <f t="shared" si="61"/>
        <v>12.810884271345419</v>
      </c>
      <c r="Z195" s="385">
        <f t="shared" si="62"/>
        <v>13.47099441356635</v>
      </c>
      <c r="AA195" s="386">
        <f t="shared" si="63"/>
        <v>15.729813271002673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0.1436011234539174</v>
      </c>
      <c r="AD195" s="231">
        <f>(INDEX(Models!$BJ195:$BT195,,AH195)*(1-AF195)+INDEX(Models!$BJ195:$BT195,,AH195+1)*AF195-ERP_i)*AE195*Ramure*Pc/MaxiM</f>
        <v>2.3439672345284033E-4</v>
      </c>
      <c r="AE195" s="305">
        <f t="shared" si="65"/>
        <v>0.7</v>
      </c>
      <c r="AF195" s="177">
        <f t="shared" si="66"/>
        <v>7.706892895582218E-2</v>
      </c>
      <c r="AG195" s="810">
        <f t="shared" si="74"/>
        <v>1</v>
      </c>
      <c r="AH195" s="176">
        <f t="shared" si="67"/>
        <v>7</v>
      </c>
      <c r="AI195" s="225">
        <f t="shared" si="68"/>
        <v>1.0770689289558222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51.133256592870758</v>
      </c>
      <c r="C196" s="840"/>
      <c r="D196" s="393">
        <f t="shared" si="50"/>
        <v>53.769265996265517</v>
      </c>
      <c r="E196" s="385">
        <f t="shared" si="75"/>
        <v>58.588317957299672</v>
      </c>
      <c r="F196" s="385">
        <f t="shared" si="51"/>
        <v>58.600577692836517</v>
      </c>
      <c r="G196" s="110">
        <f t="shared" si="76"/>
        <v>0.92512890354121102</v>
      </c>
      <c r="H196" s="414" t="b">
        <f>Wh_hp&gt;='2023'!Maxi_hp</f>
        <v>0</v>
      </c>
      <c r="I196" s="390">
        <f>IF(H196,Wh_hp,'2023'!Maxi_hp)</f>
        <v>61.555241119105759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4.9024463223616199E-2</v>
      </c>
      <c r="M196" s="844"/>
      <c r="N196" s="844"/>
      <c r="O196" s="48">
        <f>IF(t&lt;Tnet,'2023'!Resal+('2023'!Salim-'2023'!Resal)*(1-EXP(('2023'!Tnet-t)/('2023'!Tau_j))),Resal+(Salim-Resal)*(1-EXP((Tnet-t)/(Tau_j))))*Salcycl</f>
        <v>8.2252778865342699E-2</v>
      </c>
      <c r="P196" s="169">
        <f>(INDEX(Models!$BJ196:$BT196,,T196)*(1-R196)+INDEX(Models!$BJ196:$BT196,,T196+1)*R196-ERP_i)*Q196*Ramure*Pc/MaxiM</f>
        <v>2.342564528509104E-4</v>
      </c>
      <c r="Q196" s="305">
        <f t="shared" si="53"/>
        <v>0.7</v>
      </c>
      <c r="R196" s="177">
        <f t="shared" si="54"/>
        <v>8.0533542972576644E-2</v>
      </c>
      <c r="S196" s="810">
        <f t="shared" si="55"/>
        <v>1</v>
      </c>
      <c r="T196" s="176">
        <f t="shared" si="56"/>
        <v>7</v>
      </c>
      <c r="U196" s="251">
        <f t="shared" si="57"/>
        <v>1.0805335429725766</v>
      </c>
      <c r="V196" s="383">
        <f t="shared" si="58"/>
        <v>55.270109216947574</v>
      </c>
      <c r="W196" s="402">
        <f t="shared" si="59"/>
        <v>51.133256592870758</v>
      </c>
      <c r="X196" s="157">
        <f t="shared" si="60"/>
        <v>45473</v>
      </c>
      <c r="Y196" s="385">
        <f t="shared" si="61"/>
        <v>47.710377548973874</v>
      </c>
      <c r="Z196" s="385">
        <f t="shared" si="62"/>
        <v>50.169931511279962</v>
      </c>
      <c r="AA196" s="386">
        <f t="shared" si="63"/>
        <v>58.588317957299672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0.14368711612706131</v>
      </c>
      <c r="AD196" s="231">
        <f>(INDEX(Models!$BJ196:$BT196,,AH196)*(1-AF196)+INDEX(Models!$BJ196:$BT196,,AH196+1)*AF196-ERP_i)*AE196*Ramure*Pc/MaxiM</f>
        <v>2.342564528509104E-4</v>
      </c>
      <c r="AE196" s="305">
        <f t="shared" si="65"/>
        <v>0.7</v>
      </c>
      <c r="AF196" s="177">
        <f t="shared" si="66"/>
        <v>8.0533542972576644E-2</v>
      </c>
      <c r="AG196" s="810">
        <f t="shared" si="74"/>
        <v>1</v>
      </c>
      <c r="AH196" s="176">
        <f t="shared" si="67"/>
        <v>7</v>
      </c>
      <c r="AI196" s="225">
        <f t="shared" si="68"/>
        <v>1.0805335429725766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53.687414067555395</v>
      </c>
      <c r="C197" s="840"/>
      <c r="D197" s="393">
        <f t="shared" si="50"/>
        <v>56.456408608766623</v>
      </c>
      <c r="E197" s="385">
        <f t="shared" si="75"/>
        <v>61.52542888524642</v>
      </c>
      <c r="F197" s="385">
        <f t="shared" si="51"/>
        <v>61.539268074174778</v>
      </c>
      <c r="G197" s="110">
        <f t="shared" si="76"/>
        <v>0.97256844052715818</v>
      </c>
      <c r="H197" s="414" t="b">
        <f>Wh_hp&gt;='2023'!Maxi_hp</f>
        <v>0</v>
      </c>
      <c r="I197" s="390">
        <f>IF(H197,Wh_hp,'2023'!Maxi_hp)</f>
        <v>61.53947491631434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4.9046593813642847E-2</v>
      </c>
      <c r="M197" s="844"/>
      <c r="N197" s="844"/>
      <c r="O197" s="48">
        <f>IF(t&lt;Tnet,'2023'!Resal+('2023'!Salim-'2023'!Resal)*(1-EXP(('2023'!Tnet-t)/('2023'!Tau_j))),Resal+(Salim-Resal)*(1-EXP((Tnet-t)/(Tau_j))))*Salcycl</f>
        <v>8.2389027891771896E-2</v>
      </c>
      <c r="P197" s="169">
        <f>(INDEX(Models!$BJ197:$BT197,,T197)*(1-R197)+INDEX(Models!$BJ197:$BT197,,T197+1)*R197-ERP_i)*Q197*Ramure*Pc/MaxiM</f>
        <v>2.3405294353023994E-4</v>
      </c>
      <c r="Q197" s="305">
        <f t="shared" si="53"/>
        <v>0.7</v>
      </c>
      <c r="R197" s="177">
        <f t="shared" si="54"/>
        <v>8.3940755218705032E-2</v>
      </c>
      <c r="S197" s="810">
        <f t="shared" si="55"/>
        <v>1</v>
      </c>
      <c r="T197" s="176">
        <f t="shared" si="56"/>
        <v>7</v>
      </c>
      <c r="U197" s="251">
        <f t="shared" si="57"/>
        <v>1.083940755218705</v>
      </c>
      <c r="V197" s="383">
        <f t="shared" si="58"/>
        <v>55.201176036543941</v>
      </c>
      <c r="W197" s="402">
        <f t="shared" si="59"/>
        <v>53.687414067555395</v>
      </c>
      <c r="X197" s="157">
        <f t="shared" si="60"/>
        <v>45474</v>
      </c>
      <c r="Y197" s="385">
        <f t="shared" si="61"/>
        <v>50.096095875091841</v>
      </c>
      <c r="Z197" s="385">
        <f t="shared" si="62"/>
        <v>52.679863754833193</v>
      </c>
      <c r="AA197" s="386">
        <f t="shared" si="63"/>
        <v>61.52542888524642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0.14377088125482959</v>
      </c>
      <c r="AD197" s="231">
        <f>(INDEX(Models!$BJ197:$BT197,,AH197)*(1-AF197)+INDEX(Models!$BJ197:$BT197,,AH197+1)*AF197-ERP_i)*AE197*Ramure*Pc/MaxiM</f>
        <v>2.3405294353023994E-4</v>
      </c>
      <c r="AE197" s="305">
        <f t="shared" si="65"/>
        <v>0.7</v>
      </c>
      <c r="AF197" s="177">
        <f t="shared" si="66"/>
        <v>8.3940755218705032E-2</v>
      </c>
      <c r="AG197" s="810">
        <f t="shared" si="74"/>
        <v>1</v>
      </c>
      <c r="AH197" s="176">
        <f t="shared" si="67"/>
        <v>7</v>
      </c>
      <c r="AI197" s="225">
        <f t="shared" si="68"/>
        <v>1.083940755218705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41.849723284908023</v>
      </c>
      <c r="C198" s="840"/>
      <c r="D198" s="393">
        <f t="shared" si="50"/>
        <v>44.009198494390418</v>
      </c>
      <c r="E198" s="385">
        <f t="shared" si="75"/>
        <v>47.967682158429838</v>
      </c>
      <c r="F198" s="385">
        <f t="shared" si="51"/>
        <v>47.975038666614459</v>
      </c>
      <c r="G198" s="110">
        <f t="shared" si="76"/>
        <v>0.75905319285667094</v>
      </c>
      <c r="H198" s="414" t="b">
        <f>Wh_hp&gt;='2023'!Maxi_hp</f>
        <v>0</v>
      </c>
      <c r="I198" s="390">
        <f>IF(H198,Wh_hp,'2023'!Maxi_hp)</f>
        <v>50.673839895815256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4.9068723888658239E-2</v>
      </c>
      <c r="M198" s="844"/>
      <c r="N198" s="844"/>
      <c r="O198" s="48">
        <f>IF(t&lt;Tnet,'2023'!Resal+('2023'!Salim-'2023'!Resal)*(1-EXP(('2023'!Tnet-t)/('2023'!Tau_j))),Resal+(Salim-Resal)*(1-EXP((Tnet-t)/(Tau_j))))*Salcycl</f>
        <v>8.2523972097821308E-2</v>
      </c>
      <c r="P198" s="169">
        <f>(INDEX(Models!$BJ198:$BT198,,T198)*(1-R198)+INDEX(Models!$BJ198:$BT198,,T198+1)*R198-ERP_i)*Q198*Ramure*Pc/MaxiM</f>
        <v>2.3379414566213484E-4</v>
      </c>
      <c r="Q198" s="305">
        <f t="shared" si="53"/>
        <v>0.7</v>
      </c>
      <c r="R198" s="177">
        <f t="shared" si="54"/>
        <v>8.7289175832542254E-2</v>
      </c>
      <c r="S198" s="810">
        <f t="shared" si="55"/>
        <v>1</v>
      </c>
      <c r="T198" s="176">
        <f t="shared" si="56"/>
        <v>7</v>
      </c>
      <c r="U198" s="251">
        <f t="shared" si="57"/>
        <v>1.0872891758325423</v>
      </c>
      <c r="V198" s="383">
        <f t="shared" si="58"/>
        <v>55.129674958694252</v>
      </c>
      <c r="W198" s="402">
        <f t="shared" si="59"/>
        <v>41.849723284908023</v>
      </c>
      <c r="X198" s="157">
        <f t="shared" si="60"/>
        <v>45475</v>
      </c>
      <c r="Y198" s="385">
        <f t="shared" si="61"/>
        <v>39.052287244004816</v>
      </c>
      <c r="Z198" s="385">
        <f t="shared" si="62"/>
        <v>41.06741278265865</v>
      </c>
      <c r="AA198" s="386">
        <f t="shared" si="63"/>
        <v>47.967682158429838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0.14385246618714373</v>
      </c>
      <c r="AD198" s="231">
        <f>(INDEX(Models!$BJ198:$BT198,,AH198)*(1-AF198)+INDEX(Models!$BJ198:$BT198,,AH198+1)*AF198-ERP_i)*AE198*Ramure*Pc/MaxiM</f>
        <v>2.3379414566213484E-4</v>
      </c>
      <c r="AE198" s="305">
        <f t="shared" si="65"/>
        <v>0.7</v>
      </c>
      <c r="AF198" s="177">
        <f t="shared" si="66"/>
        <v>8.7289175832542254E-2</v>
      </c>
      <c r="AG198" s="810">
        <f t="shared" si="74"/>
        <v>1</v>
      </c>
      <c r="AH198" s="176">
        <f t="shared" si="67"/>
        <v>7</v>
      </c>
      <c r="AI198" s="225">
        <f t="shared" si="68"/>
        <v>1.0872891758325423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41.568312307052054</v>
      </c>
      <c r="C199" s="840"/>
      <c r="D199" s="393">
        <f t="shared" si="50"/>
        <v>43.714283807037077</v>
      </c>
      <c r="E199" s="385">
        <f t="shared" si="75"/>
        <v>47.653183352601118</v>
      </c>
      <c r="F199" s="385">
        <f t="shared" si="51"/>
        <v>47.660420482940637</v>
      </c>
      <c r="G199" s="110">
        <f t="shared" si="76"/>
        <v>0.75496513128951026</v>
      </c>
      <c r="H199" s="414" t="b">
        <f>Wh_hp&gt;='2023'!Maxi_hp</f>
        <v>0</v>
      </c>
      <c r="I199" s="390">
        <f>IF(H199,Wh_hp,'2023'!Maxi_hp)</f>
        <v>59.251249385209874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4.9090853448674587E-2</v>
      </c>
      <c r="M199" s="844"/>
      <c r="N199" s="844"/>
      <c r="O199" s="48">
        <f>IF(t&lt;Tnet,'2023'!Resal+('2023'!Salim-'2023'!Resal)*(1-EXP(('2023'!Tnet-t)/('2023'!Tau_j))),Resal+(Salim-Resal)*(1-EXP((Tnet-t)/(Tau_j))))*Salcycl</f>
        <v>8.2657637296103856E-2</v>
      </c>
      <c r="P199" s="169">
        <f>(INDEX(Models!$BJ199:$BT199,,T199)*(1-R199)+INDEX(Models!$BJ199:$BT199,,T199+1)*R199-ERP_i)*Q199*Ramure*Pc/MaxiM</f>
        <v>2.3359821877775745E-4</v>
      </c>
      <c r="Q199" s="305">
        <f t="shared" si="53"/>
        <v>0.7</v>
      </c>
      <c r="R199" s="177">
        <f t="shared" si="54"/>
        <v>9.0577560011707803E-2</v>
      </c>
      <c r="S199" s="810">
        <f t="shared" si="55"/>
        <v>1</v>
      </c>
      <c r="T199" s="176">
        <f t="shared" si="56"/>
        <v>7</v>
      </c>
      <c r="U199" s="251">
        <f t="shared" si="57"/>
        <v>1.0905775600117078</v>
      </c>
      <c r="V199" s="383">
        <f t="shared" si="58"/>
        <v>55.055408311805479</v>
      </c>
      <c r="W199" s="402">
        <f t="shared" si="59"/>
        <v>41.568312307052054</v>
      </c>
      <c r="X199" s="157">
        <f t="shared" si="60"/>
        <v>45476</v>
      </c>
      <c r="Y199" s="385">
        <f t="shared" si="61"/>
        <v>38.791738658115101</v>
      </c>
      <c r="Z199" s="385">
        <f t="shared" si="62"/>
        <v>40.794369050714892</v>
      </c>
      <c r="AA199" s="386">
        <f t="shared" si="63"/>
        <v>47.653183352601118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0.1439319226825975</v>
      </c>
      <c r="AD199" s="231">
        <f>(INDEX(Models!$BJ199:$BT199,,AH199)*(1-AF199)+INDEX(Models!$BJ199:$BT199,,AH199+1)*AF199-ERP_i)*AE199*Ramure*Pc/MaxiM</f>
        <v>2.3359821877775745E-4</v>
      </c>
      <c r="AE199" s="305">
        <f t="shared" si="65"/>
        <v>0.7</v>
      </c>
      <c r="AF199" s="177">
        <f t="shared" si="66"/>
        <v>9.0577560011707803E-2</v>
      </c>
      <c r="AG199" s="810">
        <f t="shared" si="74"/>
        <v>1</v>
      </c>
      <c r="AH199" s="176">
        <f t="shared" si="67"/>
        <v>7</v>
      </c>
      <c r="AI199" s="225">
        <f t="shared" si="68"/>
        <v>1.0905775600117078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53.49841736862512</v>
      </c>
      <c r="C200" s="840"/>
      <c r="D200" s="393">
        <f t="shared" si="50"/>
        <v>56.261591949088604</v>
      </c>
      <c r="E200" s="385">
        <f t="shared" si="75"/>
        <v>61.339927741030358</v>
      </c>
      <c r="F200" s="385">
        <f t="shared" si="51"/>
        <v>61.353701092300938</v>
      </c>
      <c r="G200" s="110">
        <f t="shared" si="76"/>
        <v>0.97307572501381723</v>
      </c>
      <c r="H200" s="414" t="b">
        <f>Wh_hp&gt;='2023'!Maxi_hp</f>
        <v>0</v>
      </c>
      <c r="I200" s="390">
        <f>IF(H200,Wh_hp,'2023'!Maxi_hp)</f>
        <v>63.499188646110007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4.9112982493703661E-2</v>
      </c>
      <c r="M200" s="844"/>
      <c r="N200" s="844"/>
      <c r="O200" s="48">
        <f>IF(t&lt;Tnet,'2023'!Resal+('2023'!Salim-'2023'!Resal)*(1-EXP(('2023'!Tnet-t)/('2023'!Tau_j))),Resal+(Salim-Resal)*(1-EXP((Tnet-t)/(Tau_j))))*Salcycl</f>
        <v>8.2790051748705434E-2</v>
      </c>
      <c r="P200" s="169">
        <f>(INDEX(Models!$BJ200:$BT200,,T200)*(1-R200)+INDEX(Models!$BJ200:$BT200,,T200+1)*R200-ERP_i)*Q200*Ramure*Pc/MaxiM</f>
        <v>2.3346798348501693E-4</v>
      </c>
      <c r="Q200" s="305">
        <f t="shared" si="53"/>
        <v>0.7</v>
      </c>
      <c r="R200" s="177">
        <f t="shared" si="54"/>
        <v>9.3804806699687049E-2</v>
      </c>
      <c r="S200" s="810">
        <f t="shared" si="55"/>
        <v>1</v>
      </c>
      <c r="T200" s="176">
        <f t="shared" si="56"/>
        <v>7</v>
      </c>
      <c r="U200" s="251">
        <f t="shared" si="57"/>
        <v>1.093804806699687</v>
      </c>
      <c r="V200" s="383">
        <f t="shared" si="58"/>
        <v>54.978184769217272</v>
      </c>
      <c r="W200" s="402">
        <f t="shared" si="59"/>
        <v>53.49841736862512</v>
      </c>
      <c r="X200" s="157">
        <f t="shared" si="60"/>
        <v>45477</v>
      </c>
      <c r="Y200" s="385">
        <f t="shared" si="61"/>
        <v>49.927661023477533</v>
      </c>
      <c r="Z200" s="385">
        <f t="shared" si="62"/>
        <v>52.506407285287111</v>
      </c>
      <c r="AA200" s="386">
        <f t="shared" si="63"/>
        <v>61.339927741030358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0.14400930651625943</v>
      </c>
      <c r="AD200" s="231">
        <f>(INDEX(Models!$BJ200:$BT200,,AH200)*(1-AF200)+INDEX(Models!$BJ200:$BT200,,AH200+1)*AF200-ERP_i)*AE200*Ramure*Pc/MaxiM</f>
        <v>2.3346798348501693E-4</v>
      </c>
      <c r="AE200" s="305">
        <f t="shared" si="65"/>
        <v>0.7</v>
      </c>
      <c r="AF200" s="177">
        <f t="shared" si="66"/>
        <v>9.3804806699687049E-2</v>
      </c>
      <c r="AG200" s="810">
        <f t="shared" si="74"/>
        <v>1</v>
      </c>
      <c r="AH200" s="176">
        <f t="shared" si="67"/>
        <v>7</v>
      </c>
      <c r="AI200" s="225">
        <f t="shared" si="68"/>
        <v>1.093804806699687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46.972594373556554</v>
      </c>
      <c r="C201" s="840"/>
      <c r="D201" s="393">
        <f t="shared" si="50"/>
        <v>49.39986208148882</v>
      </c>
      <c r="E201" s="385">
        <f t="shared" si="75"/>
        <v>53.866542936478275</v>
      </c>
      <c r="F201" s="385">
        <f t="shared" si="51"/>
        <v>53.876524650567781</v>
      </c>
      <c r="G201" s="110">
        <f t="shared" si="76"/>
        <v>0.85559570273837049</v>
      </c>
      <c r="H201" s="414" t="b">
        <f>Wh_hp&gt;='2023'!Maxi_hp</f>
        <v>0</v>
      </c>
      <c r="I201" s="390">
        <f>IF(H201,Wh_hp,'2023'!Maxi_hp)</f>
        <v>62.806622289088963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4.9135111023757561E-2</v>
      </c>
      <c r="M201" s="844"/>
      <c r="N201" s="844"/>
      <c r="O201" s="48">
        <f>IF(t&lt;Tnet,'2023'!Resal+('2023'!Salim-'2023'!Resal)*(1-EXP(('2023'!Tnet-t)/('2023'!Tau_j))),Resal+(Salim-Resal)*(1-EXP((Tnet-t)/(Tau_j))))*Salcycl</f>
        <v>8.2921245944013053E-2</v>
      </c>
      <c r="P201" s="169">
        <f>(INDEX(Models!$BJ201:$BT201,,T201)*(1-R201)+INDEX(Models!$BJ201:$BT201,,T201+1)*R201-ERP_i)*Q201*Ramure*Pc/MaxiM</f>
        <v>2.3340626822052559E-4</v>
      </c>
      <c r="Q201" s="305">
        <f t="shared" si="53"/>
        <v>0.7</v>
      </c>
      <c r="R201" s="177">
        <f t="shared" si="54"/>
        <v>9.6969956668587987E-2</v>
      </c>
      <c r="S201" s="810">
        <f t="shared" si="55"/>
        <v>1</v>
      </c>
      <c r="T201" s="176">
        <f t="shared" si="56"/>
        <v>7</v>
      </c>
      <c r="U201" s="251">
        <f t="shared" si="57"/>
        <v>1.096969956668588</v>
      </c>
      <c r="V201" s="383">
        <f t="shared" si="58"/>
        <v>54.897812983253083</v>
      </c>
      <c r="W201" s="402">
        <f t="shared" si="59"/>
        <v>46.972594373556554</v>
      </c>
      <c r="X201" s="157">
        <f t="shared" si="60"/>
        <v>45478</v>
      </c>
      <c r="Y201" s="385">
        <f t="shared" si="61"/>
        <v>43.839815396671305</v>
      </c>
      <c r="Z201" s="385">
        <f t="shared" si="62"/>
        <v>46.105199492508184</v>
      </c>
      <c r="AA201" s="386">
        <f t="shared" si="63"/>
        <v>53.866542936478275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0.14408467707167691</v>
      </c>
      <c r="AD201" s="231">
        <f>(INDEX(Models!$BJ201:$BT201,,AH201)*(1-AF201)+INDEX(Models!$BJ201:$BT201,,AH201+1)*AF201-ERP_i)*AE201*Ramure*Pc/MaxiM</f>
        <v>2.3340626822052559E-4</v>
      </c>
      <c r="AE201" s="305">
        <f t="shared" si="65"/>
        <v>0.7</v>
      </c>
      <c r="AF201" s="177">
        <f t="shared" si="66"/>
        <v>9.6969956668587987E-2</v>
      </c>
      <c r="AG201" s="810">
        <f t="shared" si="74"/>
        <v>1</v>
      </c>
      <c r="AH201" s="176">
        <f t="shared" si="67"/>
        <v>7</v>
      </c>
      <c r="AI201" s="225">
        <f t="shared" si="68"/>
        <v>1.096969956668588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53.586890915720701</v>
      </c>
      <c r="C202" s="840"/>
      <c r="D202" s="393">
        <f t="shared" si="50"/>
        <v>56.357258124942575</v>
      </c>
      <c r="E202" s="385">
        <f t="shared" si="75"/>
        <v>61.4617319346142</v>
      </c>
      <c r="F202" s="385">
        <f t="shared" si="51"/>
        <v>61.475622376295043</v>
      </c>
      <c r="G202" s="110">
        <f t="shared" si="76"/>
        <v>0.97760410562962041</v>
      </c>
      <c r="H202" s="414" t="b">
        <f>Wh_hp&gt;='2023'!Maxi_hp</f>
        <v>0</v>
      </c>
      <c r="I202" s="390">
        <f>IF(H202,Wh_hp,'2023'!Maxi_hp)</f>
        <v>61.475793870617331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4.9157239038848277E-2</v>
      </c>
      <c r="M202" s="844"/>
      <c r="N202" s="844"/>
      <c r="O202" s="48">
        <f>IF(t&lt;Tnet,'2023'!Resal+('2023'!Salim-'2023'!Resal)*(1-EXP(('2023'!Tnet-t)/('2023'!Tau_j))),Resal+(Salim-Resal)*(1-EXP((Tnet-t)/(Tau_j))))*Salcycl</f>
        <v>8.3051252364674616E-2</v>
      </c>
      <c r="P202" s="169">
        <f>(INDEX(Models!$BJ202:$BT202,,T202)*(1-R202)+INDEX(Models!$BJ202:$BT202,,T202+1)*R202-ERP_i)*Q202*Ramure*Pc/MaxiM</f>
        <v>2.334159093652099E-4</v>
      </c>
      <c r="Q202" s="305">
        <f t="shared" si="53"/>
        <v>0.7</v>
      </c>
      <c r="R202" s="177">
        <f t="shared" si="54"/>
        <v>0.10007219004061962</v>
      </c>
      <c r="S202" s="810">
        <f t="shared" si="55"/>
        <v>1</v>
      </c>
      <c r="T202" s="176">
        <f t="shared" si="56"/>
        <v>7</v>
      </c>
      <c r="U202" s="251">
        <f t="shared" si="57"/>
        <v>1.1000721900406196</v>
      </c>
      <c r="V202" s="383">
        <f t="shared" si="58"/>
        <v>54.814101601534439</v>
      </c>
      <c r="W202" s="402">
        <f t="shared" si="59"/>
        <v>53.586890915720701</v>
      </c>
      <c r="X202" s="157">
        <f t="shared" si="60"/>
        <v>45479</v>
      </c>
      <c r="Y202" s="385">
        <f t="shared" si="61"/>
        <v>50.015779856521007</v>
      </c>
      <c r="Z202" s="385">
        <f t="shared" si="62"/>
        <v>52.601525625501907</v>
      </c>
      <c r="AA202" s="386">
        <f t="shared" si="63"/>
        <v>61.4617319346142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0.14415809692018092</v>
      </c>
      <c r="AD202" s="231">
        <f>(INDEX(Models!$BJ202:$BT202,,AH202)*(1-AF202)+INDEX(Models!$BJ202:$BT202,,AH202+1)*AF202-ERP_i)*AE202*Ramure*Pc/MaxiM</f>
        <v>2.334159093652099E-4</v>
      </c>
      <c r="AE202" s="305">
        <f t="shared" si="65"/>
        <v>0.7</v>
      </c>
      <c r="AF202" s="177">
        <f t="shared" si="66"/>
        <v>0.10007219004061962</v>
      </c>
      <c r="AG202" s="810">
        <f t="shared" si="74"/>
        <v>1</v>
      </c>
      <c r="AH202" s="176">
        <f t="shared" si="67"/>
        <v>7</v>
      </c>
      <c r="AI202" s="225">
        <f t="shared" si="68"/>
        <v>1.1000721900406196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55.931004538829079</v>
      </c>
      <c r="C203" s="840"/>
      <c r="D203" s="393">
        <f t="shared" si="50"/>
        <v>58.823928058059423</v>
      </c>
      <c r="E203" s="385">
        <f t="shared" si="75"/>
        <v>64.160832890741176</v>
      </c>
      <c r="F203" s="385">
        <f t="shared" si="51"/>
        <v>64.175817928306714</v>
      </c>
      <c r="G203" s="110">
        <f t="shared" si="76"/>
        <v>1.0220028205169973</v>
      </c>
      <c r="H203" s="414" t="b">
        <f>Wh_hp&gt;='2023'!Maxi_hp</f>
        <v>0</v>
      </c>
      <c r="I203" s="390">
        <f>IF(H203,Wh_hp,'2023'!Maxi_hp)</f>
        <v>64.296413487200894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4.917936653898769E-2</v>
      </c>
      <c r="M203" s="844"/>
      <c r="N203" s="844"/>
      <c r="O203" s="48">
        <f>IF(t&lt;Tnet,'2023'!Resal+('2023'!Salim-'2023'!Resal)*(1-EXP(('2023'!Tnet-t)/('2023'!Tau_j))),Resal+(Salim-Resal)*(1-EXP((Tnet-t)/(Tau_j))))*Salcycl</f>
        <v>8.3180105248476396E-2</v>
      </c>
      <c r="P203" s="169">
        <f>(INDEX(Models!$BJ203:$BT203,,T203)*(1-R203)+INDEX(Models!$BJ203:$BT203,,T203+1)*R203-ERP_i)*Q203*Ramure*Pc/MaxiM</f>
        <v>2.334997519203264E-4</v>
      </c>
      <c r="Q203" s="305">
        <f t="shared" si="53"/>
        <v>0.7</v>
      </c>
      <c r="R203" s="177">
        <f t="shared" si="54"/>
        <v>0.10311082329310151</v>
      </c>
      <c r="S203" s="810">
        <f t="shared" si="55"/>
        <v>1</v>
      </c>
      <c r="T203" s="176">
        <f t="shared" si="56"/>
        <v>7</v>
      </c>
      <c r="U203" s="251">
        <f t="shared" si="57"/>
        <v>1.1031108232931015</v>
      </c>
      <c r="V203" s="383">
        <f t="shared" si="58"/>
        <v>54.726859276704765</v>
      </c>
      <c r="W203" s="402">
        <f t="shared" si="59"/>
        <v>55.931004538829079</v>
      </c>
      <c r="X203" s="157">
        <f t="shared" si="60"/>
        <v>45480</v>
      </c>
      <c r="Y203" s="385">
        <f t="shared" si="61"/>
        <v>52.206651104420231</v>
      </c>
      <c r="Z203" s="385">
        <f t="shared" si="62"/>
        <v>54.906939613191433</v>
      </c>
      <c r="AA203" s="386">
        <f t="shared" si="63"/>
        <v>64.160832890741176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0.14422963139066641</v>
      </c>
      <c r="AD203" s="231">
        <f>(INDEX(Models!$BJ203:$BT203,,AH203)*(1-AF203)+INDEX(Models!$BJ203:$BT203,,AH203+1)*AF203-ERP_i)*AE203*Ramure*Pc/MaxiM</f>
        <v>2.334997519203264E-4</v>
      </c>
      <c r="AE203" s="305">
        <f t="shared" si="65"/>
        <v>0.7</v>
      </c>
      <c r="AF203" s="177">
        <f t="shared" si="66"/>
        <v>0.10311082329310151</v>
      </c>
      <c r="AG203" s="810">
        <f t="shared" si="74"/>
        <v>1</v>
      </c>
      <c r="AH203" s="176">
        <f t="shared" si="67"/>
        <v>7</v>
      </c>
      <c r="AI203" s="225">
        <f t="shared" si="68"/>
        <v>1.1031108232931015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54.976247844450526</v>
      </c>
      <c r="C204" s="840"/>
      <c r="D204" s="393">
        <f t="shared" si="50"/>
        <v>57.821133994228774</v>
      </c>
      <c r="E204" s="385">
        <f t="shared" si="75"/>
        <v>63.075846548010993</v>
      </c>
      <c r="F204" s="385">
        <f t="shared" si="51"/>
        <v>63.090588335933631</v>
      </c>
      <c r="G204" s="110">
        <f t="shared" si="76"/>
        <v>1.0062294790360253</v>
      </c>
      <c r="H204" s="414" t="b">
        <f>Wh_hp&gt;='2023'!Maxi_hp</f>
        <v>1</v>
      </c>
      <c r="I204" s="390">
        <f>IF(H204,Wh_hp,'2023'!Maxi_hp)</f>
        <v>63.090588335933631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4.92014935241879E-2</v>
      </c>
      <c r="M204" s="844"/>
      <c r="N204" s="844"/>
      <c r="O204" s="48">
        <f>IF(t&lt;Tnet,'2023'!Resal+('2023'!Salim-'2023'!Resal)*(1-EXP(('2023'!Tnet-t)/('2023'!Tau_j))),Resal+(Salim-Resal)*(1-EXP((Tnet-t)/(Tau_j))))*Salcycl</f>
        <v>8.3307840343966308E-2</v>
      </c>
      <c r="P204" s="169">
        <f>(INDEX(Models!$BJ204:$BT204,,T204)*(1-R204)+INDEX(Models!$BJ204:$BT204,,T204+1)*R204-ERP_i)*Q204*Ramure*Pc/MaxiM</f>
        <v>2.3366065068447075E-4</v>
      </c>
      <c r="Q204" s="305">
        <f t="shared" si="53"/>
        <v>0.7</v>
      </c>
      <c r="R204" s="177">
        <f t="shared" si="54"/>
        <v>0.1060853057934632</v>
      </c>
      <c r="S204" s="810">
        <f t="shared" si="55"/>
        <v>1</v>
      </c>
      <c r="T204" s="176">
        <f t="shared" si="56"/>
        <v>7</v>
      </c>
      <c r="U204" s="251">
        <f t="shared" si="57"/>
        <v>1.1060853057934632</v>
      </c>
      <c r="V204" s="383">
        <f t="shared" si="58"/>
        <v>54.63589468390267</v>
      </c>
      <c r="W204" s="402">
        <f t="shared" si="59"/>
        <v>54.976247844450526</v>
      </c>
      <c r="X204" s="157">
        <f t="shared" si="60"/>
        <v>45481</v>
      </c>
      <c r="Y204" s="385">
        <f t="shared" si="61"/>
        <v>51.318439480649864</v>
      </c>
      <c r="Z204" s="385">
        <f t="shared" si="62"/>
        <v>53.974043008191643</v>
      </c>
      <c r="AA204" s="386">
        <f t="shared" si="63"/>
        <v>63.075846548010993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0.14429934813306705</v>
      </c>
      <c r="AD204" s="231">
        <f>(INDEX(Models!$BJ204:$BT204,,AH204)*(1-AF204)+INDEX(Models!$BJ204:$BT204,,AH204+1)*AF204-ERP_i)*AE204*Ramure*Pc/MaxiM</f>
        <v>2.3366065068447075E-4</v>
      </c>
      <c r="AE204" s="305">
        <f t="shared" si="65"/>
        <v>0.7</v>
      </c>
      <c r="AF204" s="177">
        <f t="shared" si="66"/>
        <v>0.1060853057934632</v>
      </c>
      <c r="AG204" s="810">
        <f t="shared" si="74"/>
        <v>1</v>
      </c>
      <c r="AH204" s="176">
        <f t="shared" si="67"/>
        <v>7</v>
      </c>
      <c r="AI204" s="225">
        <f t="shared" si="68"/>
        <v>1.1060853057934632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54.337317404516547</v>
      </c>
      <c r="C205" s="840"/>
      <c r="D205" s="393">
        <f t="shared" si="50"/>
        <v>57.150470444164775</v>
      </c>
      <c r="E205" s="385">
        <f t="shared" si="75"/>
        <v>62.352848881359151</v>
      </c>
      <c r="F205" s="385">
        <f t="shared" si="51"/>
        <v>62.367358424775979</v>
      </c>
      <c r="G205" s="110">
        <f t="shared" si="76"/>
        <v>0.99625149220205289</v>
      </c>
      <c r="H205" s="414" t="b">
        <f>Wh_hp&gt;='2023'!Maxi_hp</f>
        <v>0</v>
      </c>
      <c r="I205" s="390">
        <f>IF(H205,Wh_hp,'2023'!Maxi_hp)</f>
        <v>63.53664171225423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4.9223619994460788E-2</v>
      </c>
      <c r="M205" s="844"/>
      <c r="N205" s="844"/>
      <c r="O205" s="48">
        <f>IF(t&lt;Tnet,'2023'!Resal+('2023'!Salim-'2023'!Resal)*(1-EXP(('2023'!Tnet-t)/('2023'!Tau_j))),Resal+(Salim-Resal)*(1-EXP((Tnet-t)/(Tau_j))))*Salcycl</f>
        <v>8.3434494662675648E-2</v>
      </c>
      <c r="P205" s="169">
        <f>(INDEX(Models!$BJ205:$BT205,,T205)*(1-R205)+INDEX(Models!$BJ205:$BT205,,T205+1)*R205-ERP_i)*Q205*Ramure*Pc/MaxiM</f>
        <v>2.3389854449718377E-4</v>
      </c>
      <c r="Q205" s="305">
        <f t="shared" si="53"/>
        <v>0.7</v>
      </c>
      <c r="R205" s="177">
        <f t="shared" si="54"/>
        <v>0.10899521591172601</v>
      </c>
      <c r="S205" s="810">
        <f t="shared" si="55"/>
        <v>1</v>
      </c>
      <c r="T205" s="176">
        <f t="shared" si="56"/>
        <v>7</v>
      </c>
      <c r="U205" s="251">
        <f t="shared" si="57"/>
        <v>1.108995215911726</v>
      </c>
      <c r="V205" s="383">
        <f t="shared" si="58"/>
        <v>54.54169933753554</v>
      </c>
      <c r="W205" s="402">
        <f t="shared" si="59"/>
        <v>54.337317404516547</v>
      </c>
      <c r="X205" s="157">
        <f t="shared" si="60"/>
        <v>45482</v>
      </c>
      <c r="Y205" s="385">
        <f t="shared" si="61"/>
        <v>50.724999385825285</v>
      </c>
      <c r="Z205" s="385">
        <f t="shared" si="62"/>
        <v>53.351135401081123</v>
      </c>
      <c r="AA205" s="386">
        <f t="shared" si="63"/>
        <v>62.352848881359151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0.14436731667875977</v>
      </c>
      <c r="AD205" s="231">
        <f>(INDEX(Models!$BJ205:$BT205,,AH205)*(1-AF205)+INDEX(Models!$BJ205:$BT205,,AH205+1)*AF205-ERP_i)*AE205*Ramure*Pc/MaxiM</f>
        <v>2.3389854449718377E-4</v>
      </c>
      <c r="AE205" s="305">
        <f t="shared" si="65"/>
        <v>0.7</v>
      </c>
      <c r="AF205" s="177">
        <f t="shared" si="66"/>
        <v>0.10899521591172601</v>
      </c>
      <c r="AG205" s="810">
        <f t="shared" si="74"/>
        <v>1</v>
      </c>
      <c r="AH205" s="176">
        <f t="shared" si="67"/>
        <v>7</v>
      </c>
      <c r="AI205" s="225">
        <f t="shared" si="68"/>
        <v>1.108995215911726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52.616281831331236</v>
      </c>
      <c r="C206" s="840"/>
      <c r="D206" s="393">
        <f t="shared" si="50"/>
        <v>55.341621251956141</v>
      </c>
      <c r="E206" s="385">
        <f t="shared" si="75"/>
        <v>60.387616938283593</v>
      </c>
      <c r="F206" s="385">
        <f t="shared" si="51"/>
        <v>60.401088926457362</v>
      </c>
      <c r="G206" s="110">
        <f t="shared" si="76"/>
        <v>0.96640389880689981</v>
      </c>
      <c r="H206" s="414" t="b">
        <f>Wh_hp&gt;='2023'!Maxi_hp</f>
        <v>0</v>
      </c>
      <c r="I206" s="390">
        <f>IF(H206,Wh_hp,'2023'!Maxi_hp)</f>
        <v>62.742397262991474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4.9245745949818454E-2</v>
      </c>
      <c r="M206" s="844"/>
      <c r="N206" s="844"/>
      <c r="O206" s="48">
        <f>IF(t&lt;Tnet,'2023'!Resal+('2023'!Salim-'2023'!Resal)*(1-EXP(('2023'!Tnet-t)/('2023'!Tau_j))),Resal+(Salim-Resal)*(1-EXP((Tnet-t)/(Tau_j))))*Salcycl</f>
        <v>8.3560106229800049E-2</v>
      </c>
      <c r="P206" s="169">
        <f>(INDEX(Models!$BJ206:$BT206,,T206)*(1-R206)+INDEX(Models!$BJ206:$BT206,,T206+1)*R206-ERP_i)*Q206*Ramure*Pc/MaxiM</f>
        <v>2.3428277227988605E-4</v>
      </c>
      <c r="Q206" s="305">
        <f t="shared" si="53"/>
        <v>0.7</v>
      </c>
      <c r="R206" s="177">
        <f t="shared" si="54"/>
        <v>0.11184025675841758</v>
      </c>
      <c r="S206" s="810">
        <f t="shared" si="55"/>
        <v>1</v>
      </c>
      <c r="T206" s="176">
        <f t="shared" si="56"/>
        <v>7</v>
      </c>
      <c r="U206" s="251">
        <f t="shared" si="57"/>
        <v>1.1118402567584176</v>
      </c>
      <c r="V206" s="383">
        <f t="shared" si="58"/>
        <v>54.444824078321503</v>
      </c>
      <c r="W206" s="402">
        <f t="shared" si="59"/>
        <v>52.616281831331236</v>
      </c>
      <c r="X206" s="157">
        <f t="shared" si="60"/>
        <v>45483</v>
      </c>
      <c r="Y206" s="385">
        <f t="shared" si="61"/>
        <v>49.121303767813025</v>
      </c>
      <c r="Z206" s="385">
        <f t="shared" si="62"/>
        <v>51.665615545297747</v>
      </c>
      <c r="AA206" s="386">
        <f t="shared" si="63"/>
        <v>60.387616938283593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0.1444336080011199</v>
      </c>
      <c r="AD206" s="231">
        <f>(INDEX(Models!$BJ206:$BT206,,AH206)*(1-AF206)+INDEX(Models!$BJ206:$BT206,,AH206+1)*AF206-ERP_i)*AE206*Ramure*Pc/MaxiM</f>
        <v>2.3428277227988605E-4</v>
      </c>
      <c r="AE206" s="305">
        <f t="shared" si="65"/>
        <v>0.7</v>
      </c>
      <c r="AF206" s="177">
        <f t="shared" si="66"/>
        <v>0.11184025675841758</v>
      </c>
      <c r="AG206" s="810">
        <f t="shared" si="74"/>
        <v>1</v>
      </c>
      <c r="AH206" s="176">
        <f t="shared" si="67"/>
        <v>7</v>
      </c>
      <c r="AI206" s="225">
        <f t="shared" si="68"/>
        <v>1.1118402567584176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52.254570047300184</v>
      </c>
      <c r="C207" s="840"/>
      <c r="D207" s="393">
        <f t="shared" ref="D207:D270" si="77">Wh/(1-Ppv)</f>
        <v>54.962453118853766</v>
      </c>
      <c r="E207" s="385">
        <f t="shared" si="75"/>
        <v>59.982032329610341</v>
      </c>
      <c r="F207" s="385">
        <f t="shared" ref="F207:F270" si="78">Wh_sa/(1-Pvg*MEDIAN((-Sdif+Wh/Env_an)/Csdif,0,1))</f>
        <v>59.995341705016344</v>
      </c>
      <c r="G207" s="110">
        <f t="shared" si="76"/>
        <v>0.96151856056935137</v>
      </c>
      <c r="H207" s="414" t="b">
        <f>Wh_hp&gt;='2023'!Maxi_hp</f>
        <v>0</v>
      </c>
      <c r="I207" s="390">
        <f>IF(H207,Wh_hp,'2023'!Maxi_hp)</f>
        <v>63.292549815565977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4.9267871390272777E-2</v>
      </c>
      <c r="M207" s="844"/>
      <c r="N207" s="844"/>
      <c r="O207" s="48">
        <f>IF(t&lt;Tnet,'2023'!Resal+('2023'!Salim-'2023'!Resal)*(1-EXP(('2023'!Tnet-t)/('2023'!Tau_j))),Resal+(Salim-Resal)*(1-EXP((Tnet-t)/(Tau_j))))*Salcycl</f>
        <v>8.368471383519023E-2</v>
      </c>
      <c r="P207" s="169">
        <f>(INDEX(Models!$BJ207:$BT207,,T207)*(1-R207)+INDEX(Models!$BJ207:$BT207,,T207+1)*R207-ERP_i)*Q207*Ramure*Pc/MaxiM</f>
        <v>2.3474048888473892E-4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0.11462025159579214</v>
      </c>
      <c r="S207" s="810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1.1146202515957921</v>
      </c>
      <c r="V207" s="383">
        <f t="shared" ref="V207:V270" si="85">MaxiM*(1-Ppv)*(1-Pvg)*(1-Psa)</f>
        <v>54.345176410270291</v>
      </c>
      <c r="W207" s="402">
        <f t="shared" ref="W207:W270" si="86">Wh*(A207&gt;Tmaj)</f>
        <v>52.254570047300184</v>
      </c>
      <c r="X207" s="157">
        <f t="shared" ref="X207:X270" si="87">t</f>
        <v>45484</v>
      </c>
      <c r="Y207" s="385">
        <f t="shared" ref="Y207:Y270" si="88">Wh_pvt_s*(1-Ppv)</f>
        <v>48.786563416090473</v>
      </c>
      <c r="Z207" s="385">
        <f t="shared" ref="Z207:Z270" si="89">Wh_sa_s*(1-Psa_s)</f>
        <v>51.314730982565976</v>
      </c>
      <c r="AA207" s="386">
        <f t="shared" ref="AA207:AA270" si="90">Wh_hp*(1-Pvg_s*MEDIAN((-Sdif+Wh/Env_an)/Csdif,0,1))</f>
        <v>59.982032329610341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0.14449829407940418</v>
      </c>
      <c r="AD207" s="231">
        <f>(INDEX(Models!$BJ207:$BT207,,AH207)*(1-AF207)+INDEX(Models!$BJ207:$BT207,,AH207+1)*AF207-ERP_i)*AE207*Ramure*Pc/MaxiM</f>
        <v>2.3474048888473892E-4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0.11462025159579214</v>
      </c>
      <c r="AG207" s="810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1.1146202515957921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51.783956262061189</v>
      </c>
      <c r="C208" s="840"/>
      <c r="D208" s="393">
        <f t="shared" si="77"/>
        <v>54.468719232352115</v>
      </c>
      <c r="E208" s="385">
        <f t="shared" si="75"/>
        <v>59.451229047783329</v>
      </c>
      <c r="F208" s="385">
        <f t="shared" si="78"/>
        <v>59.464313466355556</v>
      </c>
      <c r="G208" s="110">
        <f t="shared" si="76"/>
        <v>0.95465759508364567</v>
      </c>
      <c r="H208" s="414" t="b">
        <f>Wh_hp&gt;='2023'!Maxi_hp</f>
        <v>0</v>
      </c>
      <c r="I208" s="390">
        <f>IF(H208,Wh_hp,'2023'!Maxi_hp)</f>
        <v>59.464663470930297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4.9289996315835749E-2</v>
      </c>
      <c r="M208" s="844"/>
      <c r="N208" s="844"/>
      <c r="O208" s="48">
        <f>IF(t&lt;Tnet,'2023'!Resal+('2023'!Salim-'2023'!Resal)*(1-EXP(('2023'!Tnet-t)/('2023'!Tau_j))),Resal+(Salim-Resal)*(1-EXP((Tnet-t)/(Tau_j))))*Salcycl</f>
        <v>8.3808356786477314E-2</v>
      </c>
      <c r="P208" s="169">
        <f>(INDEX(Models!$BJ208:$BT208,,T208)*(1-R208)+INDEX(Models!$BJ208:$BT208,,T208+1)*R208-ERP_i)*Q208*Ramure*Pc/MaxiM</f>
        <v>2.3527305851114657E-4</v>
      </c>
      <c r="Q208" s="305">
        <f t="shared" si="80"/>
        <v>0.7</v>
      </c>
      <c r="R208" s="177">
        <f t="shared" si="81"/>
        <v>0.11733513896966841</v>
      </c>
      <c r="S208" s="810">
        <f t="shared" si="82"/>
        <v>1</v>
      </c>
      <c r="T208" s="176">
        <f t="shared" si="83"/>
        <v>7</v>
      </c>
      <c r="U208" s="251">
        <f t="shared" si="84"/>
        <v>1.1173351389696684</v>
      </c>
      <c r="V208" s="383">
        <f t="shared" si="85"/>
        <v>54.24265981036649</v>
      </c>
      <c r="W208" s="402">
        <f t="shared" si="86"/>
        <v>51.783956262061189</v>
      </c>
      <c r="X208" s="157">
        <f t="shared" si="87"/>
        <v>45485</v>
      </c>
      <c r="Y208" s="385">
        <f t="shared" si="88"/>
        <v>48.350138224103922</v>
      </c>
      <c r="Z208" s="385">
        <f t="shared" si="89"/>
        <v>50.856873322820675</v>
      </c>
      <c r="AA208" s="386">
        <f t="shared" si="90"/>
        <v>59.451229047783329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0.14456144746906791</v>
      </c>
      <c r="AD208" s="231">
        <f>(INDEX(Models!$BJ208:$BT208,,AH208)*(1-AF208)+INDEX(Models!$BJ208:$BT208,,AH208+1)*AF208-ERP_i)*AE208*Ramure*Pc/MaxiM</f>
        <v>2.3527305851114657E-4</v>
      </c>
      <c r="AE208" s="305">
        <f t="shared" si="92"/>
        <v>0.7</v>
      </c>
      <c r="AF208" s="177">
        <f t="shared" si="93"/>
        <v>0.11733513896966841</v>
      </c>
      <c r="AG208" s="810">
        <f t="shared" ref="AG208:AG271" si="99">INDEX(Echel_vg,AH208)</f>
        <v>1</v>
      </c>
      <c r="AH208" s="176">
        <f t="shared" si="94"/>
        <v>7</v>
      </c>
      <c r="AI208" s="225">
        <f t="shared" si="95"/>
        <v>1.1173351389696684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50.913379317415533</v>
      </c>
      <c r="C209" s="840"/>
      <c r="D209" s="393">
        <f t="shared" si="77"/>
        <v>53.554253112308253</v>
      </c>
      <c r="E209" s="385">
        <f t="shared" si="75"/>
        <v>58.460942873691458</v>
      </c>
      <c r="F209" s="385">
        <f t="shared" si="78"/>
        <v>58.47356237572248</v>
      </c>
      <c r="G209" s="110">
        <f t="shared" si="76"/>
        <v>0.94043242595005749</v>
      </c>
      <c r="H209" s="414" t="b">
        <f>Wh_hp&gt;='2023'!Maxi_hp</f>
        <v>0</v>
      </c>
      <c r="I209" s="390">
        <f>IF(H209,Wh_hp,'2023'!Maxi_hp)</f>
        <v>63.373727610861152</v>
      </c>
      <c r="J209" s="85">
        <f>IF(H209,An,'2023'!An_max)</f>
        <v>2020</v>
      </c>
      <c r="K209" s="197">
        <f t="shared" si="79"/>
        <v>45486</v>
      </c>
      <c r="L209" s="147">
        <f>IF(t&lt;Tvie,1-EXP((T0-t)*PertePVj)+'2023'!Pspv,1-EXP((T0-t)*PertePVj)+Pspv)</f>
        <v>4.931212072651936E-2</v>
      </c>
      <c r="M209" s="844"/>
      <c r="N209" s="844"/>
      <c r="O209" s="48">
        <f>IF(t&lt;Tnet,'2023'!Resal+('2023'!Salim-'2023'!Resal)*(1-EXP(('2023'!Tnet-t)/('2023'!Tau_j))),Resal+(Salim-Resal)*(1-EXP((Tnet-t)/(Tau_j))))*Salcycl</f>
        <v>8.3931074666113714E-2</v>
      </c>
      <c r="P209" s="169">
        <f>(INDEX(Models!$BJ209:$BT209,,T209)*(1-R209)+INDEX(Models!$BJ209:$BT209,,T209+1)*R209-ERP_i)*Q209*Ramure*Pc/MaxiM</f>
        <v>2.3588188639558569E-4</v>
      </c>
      <c r="Q209" s="305">
        <f t="shared" si="80"/>
        <v>0.7</v>
      </c>
      <c r="R209" s="177">
        <f t="shared" si="81"/>
        <v>0.11998496760817479</v>
      </c>
      <c r="S209" s="810">
        <f t="shared" si="82"/>
        <v>1</v>
      </c>
      <c r="T209" s="176">
        <f t="shared" si="83"/>
        <v>7</v>
      </c>
      <c r="U209" s="251">
        <f t="shared" si="84"/>
        <v>1.1199849676081748</v>
      </c>
      <c r="V209" s="383">
        <f t="shared" si="85"/>
        <v>54.137177797453198</v>
      </c>
      <c r="W209" s="402">
        <f t="shared" si="86"/>
        <v>50.913379317415533</v>
      </c>
      <c r="X209" s="157">
        <f t="shared" si="87"/>
        <v>45486</v>
      </c>
      <c r="Y209" s="385">
        <f t="shared" si="88"/>
        <v>47.54022899725107</v>
      </c>
      <c r="Z209" s="385">
        <f t="shared" si="89"/>
        <v>50.006137696403052</v>
      </c>
      <c r="AA209" s="386">
        <f t="shared" si="90"/>
        <v>58.460942873691458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0.14462314088152067</v>
      </c>
      <c r="AD209" s="231">
        <f>(INDEX(Models!$BJ209:$BT209,,AH209)*(1-AF209)+INDEX(Models!$BJ209:$BT209,,AH209+1)*AF209-ERP_i)*AE209*Ramure*Pc/MaxiM</f>
        <v>2.3588188639558569E-4</v>
      </c>
      <c r="AE209" s="305">
        <f t="shared" si="92"/>
        <v>0.7</v>
      </c>
      <c r="AF209" s="177">
        <f t="shared" si="93"/>
        <v>0.11998496760817479</v>
      </c>
      <c r="AG209" s="810">
        <f t="shared" si="99"/>
        <v>1</v>
      </c>
      <c r="AH209" s="176">
        <f t="shared" si="94"/>
        <v>7</v>
      </c>
      <c r="AI209" s="225">
        <f t="shared" si="95"/>
        <v>1.1199849676081748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49.961629732661422</v>
      </c>
      <c r="C210" s="840"/>
      <c r="D210" s="393">
        <f t="shared" si="77"/>
        <v>52.554359352949994</v>
      </c>
      <c r="E210" s="385">
        <f t="shared" si="75"/>
        <v>57.377068784852064</v>
      </c>
      <c r="F210" s="385">
        <f t="shared" si="78"/>
        <v>57.389185298894873</v>
      </c>
      <c r="G210" s="110">
        <f t="shared" si="76"/>
        <v>0.92470149277991343</v>
      </c>
      <c r="H210" s="414" t="b">
        <f>Wh_hp&gt;='2023'!Maxi_hp</f>
        <v>0</v>
      </c>
      <c r="I210" s="390">
        <f>IF(H210,Wh_hp,'2023'!Maxi_hp)</f>
        <v>64.452290266215414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4.933424462233571E-2</v>
      </c>
      <c r="M210" s="844"/>
      <c r="N210" s="844"/>
      <c r="O210" s="48">
        <f>IF(t&lt;Tnet,'2023'!Resal+('2023'!Salim-'2023'!Resal)*(1-EXP(('2023'!Tnet-t)/('2023'!Tau_j))),Resal+(Salim-Resal)*(1-EXP((Tnet-t)/(Tau_j))))*Salcycl</f>
        <v>8.4052907094049709E-2</v>
      </c>
      <c r="P210" s="169">
        <f>(INDEX(Models!$BJ210:$BT210,,T210)*(1-R210)+INDEX(Models!$BJ210:$BT210,,T210+1)*R210-ERP_i)*Q210*Ramure*Pc/MaxiM</f>
        <v>2.3656841996316073E-4</v>
      </c>
      <c r="Q210" s="305">
        <f t="shared" si="80"/>
        <v>0.7</v>
      </c>
      <c r="R210" s="177">
        <f t="shared" si="81"/>
        <v>0.12256989113229677</v>
      </c>
      <c r="S210" s="810">
        <f t="shared" si="82"/>
        <v>1</v>
      </c>
      <c r="T210" s="176">
        <f t="shared" si="83"/>
        <v>7</v>
      </c>
      <c r="U210" s="251">
        <f t="shared" si="84"/>
        <v>1.1225698911322968</v>
      </c>
      <c r="V210" s="383">
        <f t="shared" si="85"/>
        <v>54.028633946359761</v>
      </c>
      <c r="W210" s="402">
        <f t="shared" si="86"/>
        <v>49.961629732661422</v>
      </c>
      <c r="X210" s="157">
        <f t="shared" si="87"/>
        <v>45487</v>
      </c>
      <c r="Y210" s="385">
        <f t="shared" si="88"/>
        <v>46.654451187577074</v>
      </c>
      <c r="Z210" s="385">
        <f t="shared" si="89"/>
        <v>49.075556707144656</v>
      </c>
      <c r="AA210" s="386">
        <f t="shared" si="90"/>
        <v>57.377068784852064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0.14468344677619815</v>
      </c>
      <c r="AD210" s="231">
        <f>(INDEX(Models!$BJ210:$BT210,,AH210)*(1-AF210)+INDEX(Models!$BJ210:$BT210,,AH210+1)*AF210-ERP_i)*AE210*Ramure*Pc/MaxiM</f>
        <v>2.3656841996316073E-4</v>
      </c>
      <c r="AE210" s="305">
        <f t="shared" si="92"/>
        <v>0.7</v>
      </c>
      <c r="AF210" s="177">
        <f t="shared" si="93"/>
        <v>0.12256989113229677</v>
      </c>
      <c r="AG210" s="810">
        <f t="shared" si="99"/>
        <v>1</v>
      </c>
      <c r="AH210" s="176">
        <f t="shared" si="94"/>
        <v>7</v>
      </c>
      <c r="AI210" s="225">
        <f t="shared" si="95"/>
        <v>1.1225698911322968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51.468056495743902</v>
      </c>
      <c r="C211" s="840"/>
      <c r="D211" s="393">
        <f t="shared" si="77"/>
        <v>54.140221175880534</v>
      </c>
      <c r="E211" s="385">
        <f t="shared" si="75"/>
        <v>59.116267587796827</v>
      </c>
      <c r="F211" s="385">
        <f t="shared" si="78"/>
        <v>59.129390454473288</v>
      </c>
      <c r="G211" s="110">
        <f t="shared" si="76"/>
        <v>0.95456588364454353</v>
      </c>
      <c r="H211" s="414" t="b">
        <f>Wh_hp&gt;='2023'!Maxi_hp</f>
        <v>0</v>
      </c>
      <c r="I211" s="390">
        <f>IF(H211,Wh_hp,'2023'!Maxi_hp)</f>
        <v>62.090421221534129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4.9356368003296569E-2</v>
      </c>
      <c r="M211" s="844"/>
      <c r="N211" s="844"/>
      <c r="O211" s="48">
        <f>IF(t&lt;Tnet,'2023'!Resal+('2023'!Salim-'2023'!Resal)*(1-EXP(('2023'!Tnet-t)/('2023'!Tau_j))),Resal+(Salim-Resal)*(1-EXP((Tnet-t)/(Tau_j))))*Salcycl</f>
        <v>8.4173893497692318E-2</v>
      </c>
      <c r="P211" s="169">
        <f>(INDEX(Models!$BJ211:$BT211,,T211)*(1-R211)+INDEX(Models!$BJ211:$BT211,,T211+1)*R211-ERP_i)*Q211*Ramure*Pc/MaxiM</f>
        <v>2.3733415005665603E-4</v>
      </c>
      <c r="Q211" s="305">
        <f t="shared" si="80"/>
        <v>0.7</v>
      </c>
      <c r="R211" s="177">
        <f t="shared" si="81"/>
        <v>0.12509016262136985</v>
      </c>
      <c r="S211" s="810">
        <f t="shared" si="82"/>
        <v>1</v>
      </c>
      <c r="T211" s="176">
        <f t="shared" si="83"/>
        <v>7</v>
      </c>
      <c r="U211" s="251">
        <f t="shared" si="84"/>
        <v>1.1250901626213698</v>
      </c>
      <c r="V211" s="383">
        <f t="shared" si="85"/>
        <v>53.916931900261986</v>
      </c>
      <c r="W211" s="402">
        <f t="shared" si="86"/>
        <v>51.468056495743902</v>
      </c>
      <c r="X211" s="157">
        <f t="shared" si="87"/>
        <v>45488</v>
      </c>
      <c r="Y211" s="385">
        <f t="shared" si="88"/>
        <v>48.064195003867844</v>
      </c>
      <c r="Z211" s="385">
        <f t="shared" si="89"/>
        <v>50.559634952705935</v>
      </c>
      <c r="AA211" s="386">
        <f t="shared" si="90"/>
        <v>59.116267587796827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0.14474243696767494</v>
      </c>
      <c r="AD211" s="231">
        <f>(INDEX(Models!$BJ211:$BT211,,AH211)*(1-AF211)+INDEX(Models!$BJ211:$BT211,,AH211+1)*AF211-ERP_i)*AE211*Ramure*Pc/MaxiM</f>
        <v>2.3733415005665603E-4</v>
      </c>
      <c r="AE211" s="305">
        <f t="shared" si="92"/>
        <v>0.7</v>
      </c>
      <c r="AF211" s="177">
        <f t="shared" si="93"/>
        <v>0.12509016262136985</v>
      </c>
      <c r="AG211" s="810">
        <f t="shared" si="99"/>
        <v>1</v>
      </c>
      <c r="AH211" s="176">
        <f t="shared" si="94"/>
        <v>7</v>
      </c>
      <c r="AI211" s="225">
        <f t="shared" si="95"/>
        <v>1.1250901626213698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50.574712182246074</v>
      </c>
      <c r="C212" s="840"/>
      <c r="D212" s="393">
        <f t="shared" si="77"/>
        <v>53.201733493807026</v>
      </c>
      <c r="E212" s="385">
        <f t="shared" si="75"/>
        <v>58.099147246708611</v>
      </c>
      <c r="F212" s="385">
        <f t="shared" si="78"/>
        <v>58.111818524439812</v>
      </c>
      <c r="G212" s="110">
        <f t="shared" si="76"/>
        <v>0.9399969701950398</v>
      </c>
      <c r="H212" s="414" t="b">
        <f>Wh_hp&gt;='2023'!Maxi_hp</f>
        <v>0</v>
      </c>
      <c r="I212" s="390">
        <f>IF(H212,Wh_hp,'2023'!Maxi_hp)</f>
        <v>61.577914063437071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4.9378490869414149E-2</v>
      </c>
      <c r="M212" s="844"/>
      <c r="N212" s="844"/>
      <c r="O212" s="48">
        <f>IF(t&lt;Tnet,'2023'!Resal+('2023'!Salim-'2023'!Resal)*(1-EXP(('2023'!Tnet-t)/('2023'!Tau_j))),Resal+(Salim-Resal)*(1-EXP((Tnet-t)/(Tau_j))))*Salcycl</f>
        <v>8.4294072890700303E-2</v>
      </c>
      <c r="P212" s="169">
        <f>(INDEX(Models!$BJ212:$BT212,,T212)*(1-R212)+INDEX(Models!$BJ212:$BT212,,T212+1)*R212-ERP_i)*Q212*Ramure*Pc/MaxiM</f>
        <v>2.3848607562823961E-4</v>
      </c>
      <c r="Q212" s="305">
        <f t="shared" si="80"/>
        <v>0.7</v>
      </c>
      <c r="R212" s="177">
        <f t="shared" si="81"/>
        <v>0.12754612907463092</v>
      </c>
      <c r="S212" s="810">
        <f t="shared" si="82"/>
        <v>1</v>
      </c>
      <c r="T212" s="176">
        <f t="shared" si="83"/>
        <v>7</v>
      </c>
      <c r="U212" s="251">
        <f t="shared" si="84"/>
        <v>1.1275461290746309</v>
      </c>
      <c r="V212" s="383">
        <f t="shared" si="85"/>
        <v>53.80195895094613</v>
      </c>
      <c r="W212" s="402">
        <f t="shared" si="86"/>
        <v>50.574712182246074</v>
      </c>
      <c r="X212" s="157">
        <f t="shared" si="87"/>
        <v>45489</v>
      </c>
      <c r="Y212" s="385">
        <f t="shared" si="88"/>
        <v>47.232941668875476</v>
      </c>
      <c r="Z212" s="385">
        <f t="shared" si="89"/>
        <v>49.686380136794419</v>
      </c>
      <c r="AA212" s="386">
        <f t="shared" si="90"/>
        <v>58.099147246708611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0.14480018225036487</v>
      </c>
      <c r="AD212" s="231">
        <f>(INDEX(Models!$BJ212:$BT212,,AH212)*(1-AF212)+INDEX(Models!$BJ212:$BT212,,AH212+1)*AF212-ERP_i)*AE212*Ramure*Pc/MaxiM</f>
        <v>2.3848607562823961E-4</v>
      </c>
      <c r="AE212" s="305">
        <f t="shared" si="92"/>
        <v>0.7</v>
      </c>
      <c r="AF212" s="177">
        <f t="shared" si="93"/>
        <v>0.12754612907463092</v>
      </c>
      <c r="AG212" s="810">
        <f t="shared" si="99"/>
        <v>1</v>
      </c>
      <c r="AH212" s="176">
        <f t="shared" si="94"/>
        <v>7</v>
      </c>
      <c r="AI212" s="225">
        <f t="shared" si="95"/>
        <v>1.1275461290746309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51.286137024443669</v>
      </c>
      <c r="C213" s="840"/>
      <c r="D213" s="393">
        <f t="shared" si="77"/>
        <v>53.951367671511811</v>
      </c>
      <c r="E213" s="385">
        <f t="shared" si="75"/>
        <v>58.925472043101678</v>
      </c>
      <c r="F213" s="385">
        <f t="shared" si="78"/>
        <v>58.938715989123637</v>
      </c>
      <c r="G213" s="110">
        <f t="shared" si="76"/>
        <v>0.95532589155012682</v>
      </c>
      <c r="H213" s="414" t="b">
        <f>Wh_hp&gt;='2023'!Maxi_hp</f>
        <v>0</v>
      </c>
      <c r="I213" s="390">
        <f>IF(H213,Wh_hp,'2023'!Maxi_hp)</f>
        <v>58.939073040406903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4.9400613220700218E-2</v>
      </c>
      <c r="M213" s="844"/>
      <c r="N213" s="844"/>
      <c r="O213" s="48">
        <f>IF(t&lt;Tnet,'2023'!Resal+('2023'!Salim-'2023'!Resal)*(1-EXP(('2023'!Tnet-t)/('2023'!Tau_j))),Resal+(Salim-Resal)*(1-EXP((Tnet-t)/(Tau_j))))*Salcycl</f>
        <v>8.441348366206558E-2</v>
      </c>
      <c r="P213" s="169">
        <f>(INDEX(Models!$BJ213:$BT213,,T213)*(1-R213)+INDEX(Models!$BJ213:$BT213,,T213+1)*R213-ERP_i)*Q213*Ramure*Pc/MaxiM</f>
        <v>2.4002017478214565E-4</v>
      </c>
      <c r="Q213" s="305">
        <f t="shared" si="80"/>
        <v>0.7</v>
      </c>
      <c r="R213" s="177">
        <f t="shared" si="81"/>
        <v>0.12993822580766334</v>
      </c>
      <c r="S213" s="810">
        <f t="shared" si="82"/>
        <v>1</v>
      </c>
      <c r="T213" s="176">
        <f t="shared" si="83"/>
        <v>7</v>
      </c>
      <c r="U213" s="251">
        <f t="shared" si="84"/>
        <v>1.1299382258076633</v>
      </c>
      <c r="V213" s="383">
        <f t="shared" si="85"/>
        <v>53.683619329720734</v>
      </c>
      <c r="W213" s="402">
        <f t="shared" si="86"/>
        <v>51.286137024443669</v>
      </c>
      <c r="X213" s="157">
        <f t="shared" si="87"/>
        <v>45490</v>
      </c>
      <c r="Y213" s="385">
        <f t="shared" si="88"/>
        <v>47.900436504522844</v>
      </c>
      <c r="Z213" s="385">
        <f t="shared" si="89"/>
        <v>50.389719550328159</v>
      </c>
      <c r="AA213" s="386">
        <f t="shared" si="90"/>
        <v>58.925472043101678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0.14485675204315626</v>
      </c>
      <c r="AD213" s="231">
        <f>(INDEX(Models!$BJ213:$BT213,,AH213)*(1-AF213)+INDEX(Models!$BJ213:$BT213,,AH213+1)*AF213-ERP_i)*AE213*Ramure*Pc/MaxiM</f>
        <v>2.4002017478214565E-4</v>
      </c>
      <c r="AE213" s="305">
        <f t="shared" si="92"/>
        <v>0.7</v>
      </c>
      <c r="AF213" s="177">
        <f t="shared" si="93"/>
        <v>0.12993822580766334</v>
      </c>
      <c r="AG213" s="810">
        <f t="shared" si="99"/>
        <v>1</v>
      </c>
      <c r="AH213" s="176">
        <f t="shared" si="94"/>
        <v>7</v>
      </c>
      <c r="AI213" s="225">
        <f t="shared" si="95"/>
        <v>1.1299382258076633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43.30356631563015</v>
      </c>
      <c r="C214" s="840"/>
      <c r="D214" s="393">
        <f t="shared" si="77"/>
        <v>45.555019999594023</v>
      </c>
      <c r="E214" s="385">
        <f t="shared" si="75"/>
        <v>49.761464223177079</v>
      </c>
      <c r="F214" s="385">
        <f t="shared" si="78"/>
        <v>49.770211097779075</v>
      </c>
      <c r="G214" s="110">
        <f t="shared" si="76"/>
        <v>0.80842476566800847</v>
      </c>
      <c r="H214" s="414" t="b">
        <f>Wh_hp&gt;='2023'!Maxi_hp</f>
        <v>0</v>
      </c>
      <c r="I214" s="390">
        <f>IF(H214,Wh_hp,'2023'!Maxi_hp)</f>
        <v>61.968501061499985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4.9422735057166878E-2</v>
      </c>
      <c r="M214" s="844"/>
      <c r="N214" s="844"/>
      <c r="O214" s="48">
        <f>IF(t&lt;Tnet,'2023'!Resal+('2023'!Salim-'2023'!Resal)*(1-EXP(('2023'!Tnet-t)/('2023'!Tau_j))),Resal+(Salim-Resal)*(1-EXP((Tnet-t)/(Tau_j))))*Salcycl</f>
        <v>8.453216337681331E-2</v>
      </c>
      <c r="P214" s="169">
        <f>(INDEX(Models!$BJ214:$BT214,,T214)*(1-R214)+INDEX(Models!$BJ214:$BT214,,T214+1)*R214-ERP_i)*Q214*Ramure*Pc/MaxiM</f>
        <v>2.4194075982985876E-4</v>
      </c>
      <c r="Q214" s="305">
        <f t="shared" si="80"/>
        <v>0.7</v>
      </c>
      <c r="R214" s="177">
        <f t="shared" si="81"/>
        <v>0.13226697082011429</v>
      </c>
      <c r="S214" s="810">
        <f t="shared" si="82"/>
        <v>1</v>
      </c>
      <c r="T214" s="176">
        <f t="shared" si="83"/>
        <v>7</v>
      </c>
      <c r="U214" s="251">
        <f t="shared" si="84"/>
        <v>1.1322669708201143</v>
      </c>
      <c r="V214" s="383">
        <f t="shared" si="85"/>
        <v>53.561816938171425</v>
      </c>
      <c r="W214" s="402">
        <f t="shared" si="86"/>
        <v>43.30356631563015</v>
      </c>
      <c r="X214" s="157">
        <f t="shared" si="87"/>
        <v>45491</v>
      </c>
      <c r="Y214" s="385">
        <f t="shared" si="88"/>
        <v>40.44746212044997</v>
      </c>
      <c r="Z214" s="385">
        <f t="shared" si="89"/>
        <v>42.550420267922611</v>
      </c>
      <c r="AA214" s="386">
        <f t="shared" si="90"/>
        <v>49.761464223177079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0.14491221405610946</v>
      </c>
      <c r="AD214" s="231">
        <f>(INDEX(Models!$BJ214:$BT214,,AH214)*(1-AF214)+INDEX(Models!$BJ214:$BT214,,AH214+1)*AF214-ERP_i)*AE214*Ramure*Pc/MaxiM</f>
        <v>2.4194075982985876E-4</v>
      </c>
      <c r="AE214" s="305">
        <f t="shared" si="92"/>
        <v>0.7</v>
      </c>
      <c r="AF214" s="177">
        <f t="shared" si="93"/>
        <v>0.13226697082011429</v>
      </c>
      <c r="AG214" s="810">
        <f t="shared" si="99"/>
        <v>1</v>
      </c>
      <c r="AH214" s="176">
        <f t="shared" si="94"/>
        <v>7</v>
      </c>
      <c r="AI214" s="225">
        <f t="shared" si="95"/>
        <v>1.1322669708201143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42.147938041913257</v>
      </c>
      <c r="C215" s="840"/>
      <c r="D215" s="393">
        <f t="shared" si="77"/>
        <v>44.340339773818044</v>
      </c>
      <c r="E215" s="385">
        <f t="shared" si="75"/>
        <v>48.440866304280654</v>
      </c>
      <c r="F215" s="385">
        <f t="shared" si="78"/>
        <v>48.449128817593575</v>
      </c>
      <c r="G215" s="110">
        <f t="shared" si="76"/>
        <v>0.78869060567086613</v>
      </c>
      <c r="H215" s="414" t="b">
        <f>Wh_hp&gt;='2023'!Maxi_hp</f>
        <v>0</v>
      </c>
      <c r="I215" s="390">
        <f>IF(H215,Wh_hp,'2023'!Maxi_hp)</f>
        <v>60.24378453040314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4.9444856378826119E-2</v>
      </c>
      <c r="M215" s="844"/>
      <c r="N215" s="844"/>
      <c r="O215" s="48">
        <f>IF(t&lt;Tnet,'2023'!Resal+('2023'!Salim-'2023'!Resal)*(1-EXP(('2023'!Tnet-t)/('2023'!Tau_j))),Resal+(Salim-Resal)*(1-EXP((Tnet-t)/(Tau_j))))*Salcycl</f>
        <v>8.4650148589523647E-2</v>
      </c>
      <c r="P215" s="169">
        <f>(INDEX(Models!$BJ215:$BT215,,T215)*(1-R215)+INDEX(Models!$BJ215:$BT215,,T215+1)*R215-ERP_i)*Q215*Ramure*Pc/MaxiM</f>
        <v>2.4425225108578224E-4</v>
      </c>
      <c r="Q215" s="305">
        <f t="shared" si="80"/>
        <v>0.7</v>
      </c>
      <c r="R215" s="177">
        <f t="shared" si="81"/>
        <v>0.13453295916846231</v>
      </c>
      <c r="S215" s="810">
        <f t="shared" si="82"/>
        <v>1</v>
      </c>
      <c r="T215" s="176">
        <f t="shared" si="83"/>
        <v>7</v>
      </c>
      <c r="U215" s="251">
        <f t="shared" si="84"/>
        <v>1.1345329591684623</v>
      </c>
      <c r="V215" s="383">
        <f t="shared" si="85"/>
        <v>53.436455802303961</v>
      </c>
      <c r="W215" s="402">
        <f t="shared" si="86"/>
        <v>42.147938041913257</v>
      </c>
      <c r="X215" s="157">
        <f t="shared" si="87"/>
        <v>45492</v>
      </c>
      <c r="Y215" s="385">
        <f t="shared" si="88"/>
        <v>39.370622368268869</v>
      </c>
      <c r="Z215" s="385">
        <f t="shared" si="89"/>
        <v>41.418556969020308</v>
      </c>
      <c r="AA215" s="386">
        <f t="shared" si="90"/>
        <v>48.440866304280654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0.14496663398110599</v>
      </c>
      <c r="AD215" s="231">
        <f>(INDEX(Models!$BJ215:$BT215,,AH215)*(1-AF215)+INDEX(Models!$BJ215:$BT215,,AH215+1)*AF215-ERP_i)*AE215*Ramure*Pc/MaxiM</f>
        <v>2.4425225108578224E-4</v>
      </c>
      <c r="AE215" s="305">
        <f t="shared" si="92"/>
        <v>0.7</v>
      </c>
      <c r="AF215" s="177">
        <f t="shared" si="93"/>
        <v>0.13453295916846231</v>
      </c>
      <c r="AG215" s="810">
        <f t="shared" si="99"/>
        <v>1</v>
      </c>
      <c r="AH215" s="176">
        <f t="shared" si="94"/>
        <v>7</v>
      </c>
      <c r="AI215" s="225">
        <f t="shared" si="95"/>
        <v>1.1345329591684623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48.951610633743208</v>
      </c>
      <c r="C216" s="840"/>
      <c r="D216" s="393">
        <f t="shared" si="77"/>
        <v>51.499116241967826</v>
      </c>
      <c r="E216" s="385">
        <f t="shared" si="75"/>
        <v>56.268887759967761</v>
      </c>
      <c r="F216" s="385">
        <f t="shared" si="78"/>
        <v>56.281164453865202</v>
      </c>
      <c r="G216" s="110">
        <f t="shared" si="76"/>
        <v>0.91826204919628818</v>
      </c>
      <c r="H216" s="414" t="b">
        <f>Wh_hp&gt;='2023'!Maxi_hp</f>
        <v>0</v>
      </c>
      <c r="I216" s="390">
        <f>IF(H216,Wh_hp,'2023'!Maxi_hp)</f>
        <v>56.281812291305535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4.9466977185689931E-2</v>
      </c>
      <c r="M216" s="844"/>
      <c r="N216" s="844"/>
      <c r="O216" s="48">
        <f>IF(t&lt;Tnet,'2023'!Resal+('2023'!Salim-'2023'!Resal)*(1-EXP(('2023'!Tnet-t)/('2023'!Tau_j))),Resal+(Salim-Resal)*(1-EXP((Tnet-t)/(Tau_j))))*Salcycl</f>
        <v>8.4767474671737994E-2</v>
      </c>
      <c r="P216" s="169">
        <f>(INDEX(Models!$BJ216:$BT216,,T216)*(1-R216)+INDEX(Models!$BJ216:$BT216,,T216+1)*R216-ERP_i)*Q216*Ramure*Pc/MaxiM</f>
        <v>2.4695919748603197E-4</v>
      </c>
      <c r="Q216" s="305">
        <f t="shared" si="80"/>
        <v>0.7</v>
      </c>
      <c r="R216" s="177">
        <f t="shared" si="81"/>
        <v>0.13673685737491037</v>
      </c>
      <c r="S216" s="810">
        <f t="shared" si="82"/>
        <v>1</v>
      </c>
      <c r="T216" s="176">
        <f t="shared" si="83"/>
        <v>7</v>
      </c>
      <c r="U216" s="251">
        <f t="shared" si="84"/>
        <v>1.1367368573749104</v>
      </c>
      <c r="V216" s="383">
        <f t="shared" si="85"/>
        <v>53.307440077341788</v>
      </c>
      <c r="W216" s="402">
        <f t="shared" si="86"/>
        <v>48.951610633743208</v>
      </c>
      <c r="X216" s="157">
        <f t="shared" si="87"/>
        <v>45493</v>
      </c>
      <c r="Y216" s="385">
        <f t="shared" si="88"/>
        <v>45.728974025556809</v>
      </c>
      <c r="Z216" s="385">
        <f t="shared" si="89"/>
        <v>48.108769425141922</v>
      </c>
      <c r="AA216" s="386">
        <f t="shared" si="90"/>
        <v>56.268887759967761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0.14502007520808538</v>
      </c>
      <c r="AD216" s="231">
        <f>(INDEX(Models!$BJ216:$BT216,,AH216)*(1-AF216)+INDEX(Models!$BJ216:$BT216,,AH216+1)*AF216-ERP_i)*AE216*Ramure*Pc/MaxiM</f>
        <v>2.4695919748603197E-4</v>
      </c>
      <c r="AE216" s="305">
        <f t="shared" si="92"/>
        <v>0.7</v>
      </c>
      <c r="AF216" s="177">
        <f t="shared" si="93"/>
        <v>0.13673685737491037</v>
      </c>
      <c r="AG216" s="810">
        <f t="shared" si="99"/>
        <v>1</v>
      </c>
      <c r="AH216" s="176">
        <f t="shared" si="94"/>
        <v>7</v>
      </c>
      <c r="AI216" s="225">
        <f t="shared" si="95"/>
        <v>1.1367368573749104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37.400440697057952</v>
      </c>
      <c r="C217" s="840"/>
      <c r="D217" s="393">
        <f t="shared" si="77"/>
        <v>39.347724047997716</v>
      </c>
      <c r="E217" s="385">
        <f t="shared" si="75"/>
        <v>42.99753430242032</v>
      </c>
      <c r="F217" s="385">
        <f t="shared" si="78"/>
        <v>43.003730795966682</v>
      </c>
      <c r="G217" s="110">
        <f t="shared" si="76"/>
        <v>0.70327608578922118</v>
      </c>
      <c r="H217" s="414" t="b">
        <f>Wh_hp&gt;='2023'!Maxi_hp</f>
        <v>0</v>
      </c>
      <c r="I217" s="390">
        <f>IF(H217,Wh_hp,'2023'!Maxi_hp)</f>
        <v>55.15109317310074</v>
      </c>
      <c r="J217" s="85">
        <f>IF(H217,An,'2023'!An_max)</f>
        <v>2020</v>
      </c>
      <c r="K217" s="197">
        <f t="shared" si="79"/>
        <v>45494</v>
      </c>
      <c r="L217" s="147">
        <f>IF(t&lt;Tvie,1-EXP((T0-t)*PertePVj)+'2023'!Pspv,1-EXP((T0-t)*PertePVj)+Pspv)</f>
        <v>4.9489097477770194E-2</v>
      </c>
      <c r="M217" s="844"/>
      <c r="N217" s="844"/>
      <c r="O217" s="48">
        <f>IF(t&lt;Tnet,'2023'!Resal+('2023'!Salim-'2023'!Resal)*(1-EXP(('2023'!Tnet-t)/('2023'!Tau_j))),Resal+(Salim-Resal)*(1-EXP((Tnet-t)/(Tau_j))))*Salcycl</f>
        <v>8.4884175654164368E-2</v>
      </c>
      <c r="P217" s="169">
        <f>(INDEX(Models!$BJ217:$BT217,,T217)*(1-R217)+INDEX(Models!$BJ217:$BT217,,T217+1)*R217-ERP_i)*Q217*Ramure*Pc/MaxiM</f>
        <v>2.5006629736028815E-4</v>
      </c>
      <c r="Q217" s="305">
        <f t="shared" si="80"/>
        <v>0.7</v>
      </c>
      <c r="R217" s="177">
        <f t="shared" si="81"/>
        <v>0.13887939790073367</v>
      </c>
      <c r="S217" s="810">
        <f t="shared" si="82"/>
        <v>1</v>
      </c>
      <c r="T217" s="176">
        <f t="shared" si="83"/>
        <v>7</v>
      </c>
      <c r="U217" s="251">
        <f t="shared" si="84"/>
        <v>1.1388793979007337</v>
      </c>
      <c r="V217" s="383">
        <f t="shared" si="85"/>
        <v>53.174674066232903</v>
      </c>
      <c r="W217" s="402">
        <f t="shared" si="86"/>
        <v>37.400440697057952</v>
      </c>
      <c r="X217" s="157">
        <f t="shared" si="87"/>
        <v>45494</v>
      </c>
      <c r="Y217" s="385">
        <f t="shared" si="88"/>
        <v>34.940562415031216</v>
      </c>
      <c r="Z217" s="385">
        <f t="shared" si="89"/>
        <v>36.759770269141185</v>
      </c>
      <c r="AA217" s="386">
        <f t="shared" si="90"/>
        <v>42.99753430242032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0.14507259856823945</v>
      </c>
      <c r="AD217" s="231">
        <f>(INDEX(Models!$BJ217:$BT217,,AH217)*(1-AF217)+INDEX(Models!$BJ217:$BT217,,AH217+1)*AF217-ERP_i)*AE217*Ramure*Pc/MaxiM</f>
        <v>2.5006629736028815E-4</v>
      </c>
      <c r="AE217" s="305">
        <f t="shared" si="92"/>
        <v>0.7</v>
      </c>
      <c r="AF217" s="177">
        <f t="shared" si="93"/>
        <v>0.13887939790073367</v>
      </c>
      <c r="AG217" s="810">
        <f t="shared" si="99"/>
        <v>1</v>
      </c>
      <c r="AH217" s="176">
        <f t="shared" si="94"/>
        <v>7</v>
      </c>
      <c r="AI217" s="225">
        <f t="shared" si="95"/>
        <v>1.1388793979007337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48.724119028442885</v>
      </c>
      <c r="C218" s="840"/>
      <c r="D218" s="393">
        <f t="shared" si="77"/>
        <v>51.262171540554398</v>
      </c>
      <c r="E218" s="385">
        <f t="shared" si="75"/>
        <v>56.024248585979933</v>
      </c>
      <c r="F218" s="385">
        <f t="shared" si="78"/>
        <v>56.036807207072499</v>
      </c>
      <c r="G218" s="110">
        <f t="shared" si="76"/>
        <v>0.9186361837225</v>
      </c>
      <c r="H218" s="414" t="b">
        <f>Wh_hp&gt;='2023'!Maxi_hp</f>
        <v>0</v>
      </c>
      <c r="I218" s="390">
        <f>IF(H218,Wh_hp,'2023'!Maxi_hp)</f>
        <v>57.142071976400118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4.9511217255078899E-2</v>
      </c>
      <c r="M218" s="844"/>
      <c r="N218" s="844"/>
      <c r="O218" s="48">
        <f>IF(t&lt;Tnet,'2023'!Resal+('2023'!Salim-'2023'!Resal)*(1-EXP(('2023'!Tnet-t)/('2023'!Tau_j))),Resal+(Salim-Resal)*(1-EXP((Tnet-t)/(Tau_j))))*Salcycl</f>
        <v>8.5000284084439146E-2</v>
      </c>
      <c r="P218" s="169">
        <f>(INDEX(Models!$BJ218:$BT218,,T218)*(1-R218)+INDEX(Models!$BJ218:$BT218,,T218+1)*R218-ERP_i)*Q218*Ramure*Pc/MaxiM</f>
        <v>2.5357841948820509E-4</v>
      </c>
      <c r="Q218" s="305">
        <f t="shared" si="80"/>
        <v>0.7</v>
      </c>
      <c r="R218" s="177">
        <f t="shared" si="81"/>
        <v>0.14096137370963935</v>
      </c>
      <c r="S218" s="810">
        <f t="shared" si="82"/>
        <v>1</v>
      </c>
      <c r="T218" s="176">
        <f t="shared" si="83"/>
        <v>7</v>
      </c>
      <c r="U218" s="251">
        <f t="shared" si="84"/>
        <v>1.1409613737096393</v>
      </c>
      <c r="V218" s="383">
        <f t="shared" si="85"/>
        <v>53.038062218434959</v>
      </c>
      <c r="W218" s="402">
        <f t="shared" si="86"/>
        <v>48.724119028442885</v>
      </c>
      <c r="X218" s="157">
        <f t="shared" si="87"/>
        <v>45495</v>
      </c>
      <c r="Y218" s="385">
        <f t="shared" si="88"/>
        <v>45.522491956221856</v>
      </c>
      <c r="Z218" s="385">
        <f t="shared" si="89"/>
        <v>47.893770849938107</v>
      </c>
      <c r="AA218" s="386">
        <f t="shared" si="90"/>
        <v>56.024248585979933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0.145124262105257</v>
      </c>
      <c r="AD218" s="231">
        <f>(INDEX(Models!$BJ218:$BT218,,AH218)*(1-AF218)+INDEX(Models!$BJ218:$BT218,,AH218+1)*AF218-ERP_i)*AE218*Ramure*Pc/MaxiM</f>
        <v>2.5357841948820509E-4</v>
      </c>
      <c r="AE218" s="305">
        <f t="shared" si="92"/>
        <v>0.7</v>
      </c>
      <c r="AF218" s="177">
        <f t="shared" si="93"/>
        <v>0.14096137370963935</v>
      </c>
      <c r="AG218" s="810">
        <f t="shared" si="99"/>
        <v>1</v>
      </c>
      <c r="AH218" s="176">
        <f t="shared" si="94"/>
        <v>7</v>
      </c>
      <c r="AI218" s="225">
        <f t="shared" si="95"/>
        <v>1.1409613737096393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49.054351592880742</v>
      </c>
      <c r="C219" s="840"/>
      <c r="D219" s="393">
        <f t="shared" si="77"/>
        <v>51.610807067291262</v>
      </c>
      <c r="E219" s="385">
        <f t="shared" si="75"/>
        <v>56.412394935329587</v>
      </c>
      <c r="F219" s="385">
        <f t="shared" si="78"/>
        <v>56.425416451855767</v>
      </c>
      <c r="G219" s="110">
        <f t="shared" si="76"/>
        <v>0.92732175201373468</v>
      </c>
      <c r="H219" s="414" t="b">
        <f>Wh_hp&gt;='2023'!Maxi_hp</f>
        <v>0</v>
      </c>
      <c r="I219" s="390">
        <f>IF(H219,Wh_hp,'2023'!Maxi_hp)</f>
        <v>57.379495039905848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4.9533336517628146E-2</v>
      </c>
      <c r="M219" s="844"/>
      <c r="N219" s="844"/>
      <c r="O219" s="48">
        <f>IF(t&lt;Tnet,'2023'!Resal+('2023'!Salim-'2023'!Resal)*(1-EXP(('2023'!Tnet-t)/('2023'!Tau_j))),Resal+(Salim-Resal)*(1-EXP((Tnet-t)/(Tau_j))))*Salcycl</f>
        <v>8.5115830901042244E-2</v>
      </c>
      <c r="P219" s="169">
        <f>(INDEX(Models!$BJ219:$BT219,,T219)*(1-R219)+INDEX(Models!$BJ219:$BT219,,T219+1)*R219-ERP_i)*Q219*Ramure*Pc/MaxiM</f>
        <v>2.5750005423503299E-4</v>
      </c>
      <c r="Q219" s="305">
        <f t="shared" si="80"/>
        <v>0.7</v>
      </c>
      <c r="R219" s="177">
        <f t="shared" si="81"/>
        <v>0.14298363294394112</v>
      </c>
      <c r="S219" s="810">
        <f t="shared" si="82"/>
        <v>1</v>
      </c>
      <c r="T219" s="176">
        <f t="shared" si="83"/>
        <v>7</v>
      </c>
      <c r="U219" s="251">
        <f t="shared" si="84"/>
        <v>1.1429836329439411</v>
      </c>
      <c r="V219" s="383">
        <f t="shared" si="85"/>
        <v>52.897540850601935</v>
      </c>
      <c r="W219" s="402">
        <f t="shared" si="86"/>
        <v>49.054351592880742</v>
      </c>
      <c r="X219" s="157">
        <f t="shared" si="87"/>
        <v>45496</v>
      </c>
      <c r="Y219" s="385">
        <f t="shared" si="88"/>
        <v>45.834086529464116</v>
      </c>
      <c r="Z219" s="385">
        <f t="shared" si="89"/>
        <v>48.2227186817207</v>
      </c>
      <c r="AA219" s="386">
        <f t="shared" si="90"/>
        <v>56.412394935329587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0.14517512087542866</v>
      </c>
      <c r="AD219" s="231">
        <f>(INDEX(Models!$BJ219:$BT219,,AH219)*(1-AF219)+INDEX(Models!$BJ219:$BT219,,AH219+1)*AF219-ERP_i)*AE219*Ramure*Pc/MaxiM</f>
        <v>2.5750005423503299E-4</v>
      </c>
      <c r="AE219" s="305">
        <f t="shared" si="92"/>
        <v>0.7</v>
      </c>
      <c r="AF219" s="177">
        <f t="shared" si="93"/>
        <v>0.14298363294394112</v>
      </c>
      <c r="AG219" s="810">
        <f t="shared" si="99"/>
        <v>1</v>
      </c>
      <c r="AH219" s="176">
        <f t="shared" si="94"/>
        <v>7</v>
      </c>
      <c r="AI219" s="225">
        <f t="shared" si="95"/>
        <v>1.1429836329439411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26.376645958612951</v>
      </c>
      <c r="C220" s="840"/>
      <c r="D220" s="393">
        <f t="shared" si="77"/>
        <v>27.751904206025124</v>
      </c>
      <c r="E220" s="385">
        <f t="shared" si="75"/>
        <v>30.337603825140221</v>
      </c>
      <c r="F220" s="385">
        <f t="shared" si="78"/>
        <v>30.339874959460271</v>
      </c>
      <c r="G220" s="110">
        <f t="shared" si="76"/>
        <v>0.4999076289175764</v>
      </c>
      <c r="H220" s="414" t="b">
        <f>Wh_hp&gt;='2023'!Maxi_hp</f>
        <v>0</v>
      </c>
      <c r="I220" s="390">
        <f>IF(H220,Wh_hp,'2023'!Maxi_hp)</f>
        <v>60.574640900410465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4.9555455265429815E-2</v>
      </c>
      <c r="M220" s="844"/>
      <c r="N220" s="844"/>
      <c r="O220" s="48">
        <f>IF(t&lt;Tnet,'2023'!Resal+('2023'!Salim-'2023'!Resal)*(1-EXP(('2023'!Tnet-t)/('2023'!Tau_j))),Resal+(Salim-Resal)*(1-EXP((Tnet-t)/(Tau_j))))*Salcycl</f>
        <v>8.5230845323795004E-2</v>
      </c>
      <c r="P220" s="169">
        <f>(INDEX(Models!$BJ220:$BT220,,T220)*(1-R220)+INDEX(Models!$BJ220:$BT220,,T220+1)*R220-ERP_i)*Q220*Ramure*Pc/MaxiM</f>
        <v>2.6199587848040252E-4</v>
      </c>
      <c r="Q220" s="305">
        <f t="shared" si="80"/>
        <v>0.7</v>
      </c>
      <c r="R220" s="177">
        <f t="shared" si="81"/>
        <v>0.14494707373364912</v>
      </c>
      <c r="S220" s="810">
        <f t="shared" si="82"/>
        <v>1</v>
      </c>
      <c r="T220" s="176">
        <f t="shared" si="83"/>
        <v>7</v>
      </c>
      <c r="U220" s="251">
        <f t="shared" si="84"/>
        <v>1.1449470737336491</v>
      </c>
      <c r="V220" s="383">
        <f t="shared" si="85"/>
        <v>52.753164689357675</v>
      </c>
      <c r="W220" s="402">
        <f t="shared" si="86"/>
        <v>26.376645958612951</v>
      </c>
      <c r="X220" s="157">
        <f t="shared" si="87"/>
        <v>45497</v>
      </c>
      <c r="Y220" s="385">
        <f t="shared" si="88"/>
        <v>24.646755361612186</v>
      </c>
      <c r="Z220" s="385">
        <f t="shared" si="89"/>
        <v>25.931818429759375</v>
      </c>
      <c r="AA220" s="386">
        <f t="shared" si="90"/>
        <v>30.337603825140221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0.14522522677713429</v>
      </c>
      <c r="AD220" s="231">
        <f>(INDEX(Models!$BJ220:$BT220,,AH220)*(1-AF220)+INDEX(Models!$BJ220:$BT220,,AH220+1)*AF220-ERP_i)*AE220*Ramure*Pc/MaxiM</f>
        <v>2.6199587848040252E-4</v>
      </c>
      <c r="AE220" s="305">
        <f t="shared" si="92"/>
        <v>0.7</v>
      </c>
      <c r="AF220" s="177">
        <f t="shared" si="93"/>
        <v>0.14494707373364912</v>
      </c>
      <c r="AG220" s="810">
        <f t="shared" si="99"/>
        <v>1</v>
      </c>
      <c r="AH220" s="176">
        <f t="shared" si="94"/>
        <v>7</v>
      </c>
      <c r="AI220" s="225">
        <f t="shared" si="95"/>
        <v>1.1449470737336491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55.076163857710966</v>
      </c>
      <c r="C221" s="840"/>
      <c r="D221" s="393">
        <f t="shared" si="77"/>
        <v>57.949141688970663</v>
      </c>
      <c r="E221" s="385">
        <f t="shared" si="75"/>
        <v>63.356308296932504</v>
      </c>
      <c r="F221" s="385">
        <f t="shared" si="78"/>
        <v>63.373229232524729</v>
      </c>
      <c r="G221" s="110">
        <f t="shared" si="76"/>
        <v>1.0469751951243975</v>
      </c>
      <c r="H221" s="414" t="b">
        <f>Wh_hp&gt;='2023'!Maxi_hp</f>
        <v>1</v>
      </c>
      <c r="I221" s="390">
        <f>IF(H221,Wh_hp,'2023'!Maxi_hp)</f>
        <v>63.373229232524729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4.9577573498495897E-2</v>
      </c>
      <c r="M221" s="844"/>
      <c r="N221" s="844"/>
      <c r="O221" s="48">
        <f>IF(t&lt;Tnet,'2023'!Resal+('2023'!Salim-'2023'!Resal)*(1-EXP(('2023'!Tnet-t)/('2023'!Tau_j))),Resal+(Salim-Resal)*(1-EXP((Tnet-t)/(Tau_j))))*Salcycl</f>
        <v>8.5345354761202752E-2</v>
      </c>
      <c r="P221" s="169">
        <f>(INDEX(Models!$BJ221:$BT221,,T221)*(1-R221)+INDEX(Models!$BJ221:$BT221,,T221+1)*R221-ERP_i)*Q221*Ramure*Pc/MaxiM</f>
        <v>2.6700447171689216E-4</v>
      </c>
      <c r="Q221" s="305">
        <f t="shared" si="80"/>
        <v>0.7</v>
      </c>
      <c r="R221" s="177">
        <f t="shared" si="81"/>
        <v>0.14685263915593616</v>
      </c>
      <c r="S221" s="810">
        <f t="shared" si="82"/>
        <v>1</v>
      </c>
      <c r="T221" s="176">
        <f t="shared" si="83"/>
        <v>7</v>
      </c>
      <c r="U221" s="251">
        <f t="shared" si="84"/>
        <v>1.1468526391559362</v>
      </c>
      <c r="V221" s="383">
        <f t="shared" si="85"/>
        <v>52.60503220533991</v>
      </c>
      <c r="W221" s="402">
        <f t="shared" si="86"/>
        <v>55.076163857710966</v>
      </c>
      <c r="X221" s="157">
        <f t="shared" si="87"/>
        <v>45498</v>
      </c>
      <c r="Y221" s="385">
        <f t="shared" si="88"/>
        <v>51.467507287131902</v>
      </c>
      <c r="Z221" s="385">
        <f t="shared" si="89"/>
        <v>54.152244151669805</v>
      </c>
      <c r="AA221" s="386">
        <f t="shared" si="90"/>
        <v>63.356308296932504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0.14527462840994365</v>
      </c>
      <c r="AD221" s="231">
        <f>(INDEX(Models!$BJ221:$BT221,,AH221)*(1-AF221)+INDEX(Models!$BJ221:$BT221,,AH221+1)*AF221-ERP_i)*AE221*Ramure*Pc/MaxiM</f>
        <v>2.6700447171689216E-4</v>
      </c>
      <c r="AE221" s="305">
        <f t="shared" si="92"/>
        <v>0.7</v>
      </c>
      <c r="AF221" s="177">
        <f t="shared" si="93"/>
        <v>0.14685263915593616</v>
      </c>
      <c r="AG221" s="810">
        <f t="shared" si="99"/>
        <v>1</v>
      </c>
      <c r="AH221" s="176">
        <f t="shared" si="94"/>
        <v>7</v>
      </c>
      <c r="AI221" s="225">
        <f t="shared" si="95"/>
        <v>1.1468526391559362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53.455173903100125</v>
      </c>
      <c r="C222" s="840"/>
      <c r="D222" s="393">
        <f t="shared" si="77"/>
        <v>56.244903762227395</v>
      </c>
      <c r="E222" s="385">
        <f t="shared" si="75"/>
        <v>61.500717216275177</v>
      </c>
      <c r="F222" s="385">
        <f t="shared" si="78"/>
        <v>61.51748279372427</v>
      </c>
      <c r="G222" s="110">
        <f t="shared" si="76"/>
        <v>1.0191015019691729</v>
      </c>
      <c r="H222" s="414" t="b">
        <f>Wh_hp&gt;='2023'!Maxi_hp</f>
        <v>1</v>
      </c>
      <c r="I222" s="390">
        <f>IF(H222,Wh_hp,'2023'!Maxi_hp)</f>
        <v>61.51748279372427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4.9599691216838382E-2</v>
      </c>
      <c r="M222" s="844"/>
      <c r="N222" s="844"/>
      <c r="O222" s="48">
        <f>IF(t&lt;Tnet,'2023'!Resal+('2023'!Salim-'2023'!Resal)*(1-EXP(('2023'!Tnet-t)/('2023'!Tau_j))),Resal+(Salim-Resal)*(1-EXP((Tnet-t)/(Tau_j))))*Salcycl</f>
        <v>8.5459384734734661E-2</v>
      </c>
      <c r="P222" s="169">
        <f>(INDEX(Models!$BJ222:$BT222,,T222)*(1-R222)+INDEX(Models!$BJ222:$BT222,,T222+1)*R222-ERP_i)*Q222*Ramure*Pc/MaxiM</f>
        <v>2.7253354148624564E-4</v>
      </c>
      <c r="Q222" s="305">
        <f t="shared" si="80"/>
        <v>0.7</v>
      </c>
      <c r="R222" s="177">
        <f t="shared" si="81"/>
        <v>0.14870131235990902</v>
      </c>
      <c r="S222" s="810">
        <f t="shared" si="82"/>
        <v>1</v>
      </c>
      <c r="T222" s="176">
        <f t="shared" si="83"/>
        <v>7</v>
      </c>
      <c r="U222" s="251">
        <f t="shared" si="84"/>
        <v>1.148701312359909</v>
      </c>
      <c r="V222" s="383">
        <f t="shared" si="85"/>
        <v>52.453238269015038</v>
      </c>
      <c r="W222" s="402">
        <f t="shared" si="86"/>
        <v>53.455173903100125</v>
      </c>
      <c r="X222" s="157">
        <f t="shared" si="87"/>
        <v>45499</v>
      </c>
      <c r="Y222" s="385">
        <f t="shared" si="88"/>
        <v>49.956105910968006</v>
      </c>
      <c r="Z222" s="385">
        <f t="shared" si="89"/>
        <v>52.563225673746842</v>
      </c>
      <c r="AA222" s="386">
        <f t="shared" si="90"/>
        <v>61.500717216275177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0.1453233709632766</v>
      </c>
      <c r="AD222" s="231">
        <f>(INDEX(Models!$BJ222:$BT222,,AH222)*(1-AF222)+INDEX(Models!$BJ222:$BT222,,AH222+1)*AF222-ERP_i)*AE222*Ramure*Pc/MaxiM</f>
        <v>2.7253354148624564E-4</v>
      </c>
      <c r="AE222" s="305">
        <f t="shared" si="92"/>
        <v>0.7</v>
      </c>
      <c r="AF222" s="177">
        <f t="shared" si="93"/>
        <v>0.14870131235990902</v>
      </c>
      <c r="AG222" s="810">
        <f t="shared" si="99"/>
        <v>1</v>
      </c>
      <c r="AH222" s="176">
        <f t="shared" si="94"/>
        <v>7</v>
      </c>
      <c r="AI222" s="225">
        <f t="shared" si="95"/>
        <v>1.148701312359909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42.800359944795694</v>
      </c>
      <c r="C223" s="840"/>
      <c r="D223" s="393">
        <f t="shared" si="77"/>
        <v>45.035082164144988</v>
      </c>
      <c r="E223" s="385">
        <f t="shared" si="75"/>
        <v>49.249508310721964</v>
      </c>
      <c r="F223" s="385">
        <f t="shared" si="78"/>
        <v>49.25967130568597</v>
      </c>
      <c r="G223" s="110">
        <f t="shared" si="76"/>
        <v>0.81833656816540001</v>
      </c>
      <c r="H223" s="414" t="b">
        <f>Wh_hp&gt;='2023'!Maxi_hp</f>
        <v>0</v>
      </c>
      <c r="I223" s="390">
        <f>IF(H223,Wh_hp,'2023'!Maxi_hp)</f>
        <v>57.712856761591276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4.962180842046926E-2</v>
      </c>
      <c r="M223" s="844"/>
      <c r="N223" s="844"/>
      <c r="O223" s="48">
        <f>IF(t&lt;Tnet,'2023'!Resal+('2023'!Salim-'2023'!Resal)*(1-EXP(('2023'!Tnet-t)/('2023'!Tau_j))),Resal+(Salim-Resal)*(1-EXP((Tnet-t)/(Tau_j))))*Salcycl</f>
        <v>8.5572958819965808E-2</v>
      </c>
      <c r="P223" s="169">
        <f>(INDEX(Models!$BJ223:$BT223,,T223)*(1-R223)+INDEX(Models!$BJ223:$BT223,,T223+1)*R223-ERP_i)*Q223*Ramure*Pc/MaxiM</f>
        <v>2.7859083464027335E-4</v>
      </c>
      <c r="Q223" s="305">
        <f t="shared" si="80"/>
        <v>0.7</v>
      </c>
      <c r="R223" s="177">
        <f t="shared" si="81"/>
        <v>0.15049411186917405</v>
      </c>
      <c r="S223" s="810">
        <f t="shared" si="82"/>
        <v>1</v>
      </c>
      <c r="T223" s="176">
        <f t="shared" si="83"/>
        <v>7</v>
      </c>
      <c r="U223" s="251">
        <f t="shared" si="84"/>
        <v>1.1504941118691741</v>
      </c>
      <c r="V223" s="383">
        <f t="shared" si="85"/>
        <v>52.297877825964726</v>
      </c>
      <c r="W223" s="402">
        <f t="shared" si="86"/>
        <v>42.800359944795694</v>
      </c>
      <c r="X223" s="157">
        <f t="shared" si="87"/>
        <v>45500</v>
      </c>
      <c r="Y223" s="385">
        <f t="shared" si="88"/>
        <v>40.001450019819863</v>
      </c>
      <c r="Z223" s="385">
        <f t="shared" si="89"/>
        <v>42.090033603714495</v>
      </c>
      <c r="AA223" s="386">
        <f t="shared" si="90"/>
        <v>49.249508310721964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0.14537149613428327</v>
      </c>
      <c r="AD223" s="231">
        <f>(INDEX(Models!$BJ223:$BT223,,AH223)*(1-AF223)+INDEX(Models!$BJ223:$BT223,,AH223+1)*AF223-ERP_i)*AE223*Ramure*Pc/MaxiM</f>
        <v>2.7859083464027335E-4</v>
      </c>
      <c r="AE223" s="305">
        <f t="shared" si="92"/>
        <v>0.7</v>
      </c>
      <c r="AF223" s="177">
        <f t="shared" si="93"/>
        <v>0.15049411186917405</v>
      </c>
      <c r="AG223" s="810">
        <f t="shared" si="99"/>
        <v>1</v>
      </c>
      <c r="AH223" s="176">
        <f t="shared" si="94"/>
        <v>7</v>
      </c>
      <c r="AI223" s="225">
        <f t="shared" si="95"/>
        <v>1.1504941118691741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31.440935847139293</v>
      </c>
      <c r="C224" s="840"/>
      <c r="D224" s="393">
        <f t="shared" si="77"/>
        <v>33.083321796789299</v>
      </c>
      <c r="E224" s="385">
        <f t="shared" si="75"/>
        <v>36.183767682290643</v>
      </c>
      <c r="F224" s="385">
        <f t="shared" si="78"/>
        <v>36.188235211095545</v>
      </c>
      <c r="G224" s="110">
        <f t="shared" si="76"/>
        <v>0.60292338855956573</v>
      </c>
      <c r="H224" s="414" t="b">
        <f>Wh_hp&gt;='2023'!Maxi_hp</f>
        <v>0</v>
      </c>
      <c r="I224" s="390">
        <f>IF(H224,Wh_hp,'2023'!Maxi_hp)</f>
        <v>59.638650832887429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4.9643925109400522E-2</v>
      </c>
      <c r="M224" s="844"/>
      <c r="N224" s="844"/>
      <c r="O224" s="48">
        <f>IF(t&lt;Tnet,'2023'!Resal+('2023'!Salim-'2023'!Resal)*(1-EXP(('2023'!Tnet-t)/('2023'!Tau_j))),Resal+(Salim-Resal)*(1-EXP((Tnet-t)/(Tau_j))))*Salcycl</f>
        <v>8.5686098604341662E-2</v>
      </c>
      <c r="P224" s="169">
        <f>(INDEX(Models!$BJ224:$BT224,,T224)*(1-R224)+INDEX(Models!$BJ224:$BT224,,T224+1)*R224-ERP_i)*Q224*Ramure*Pc/MaxiM</f>
        <v>2.8518414229099475E-4</v>
      </c>
      <c r="Q224" s="305">
        <f t="shared" si="80"/>
        <v>0.7</v>
      </c>
      <c r="R224" s="177">
        <f t="shared" si="81"/>
        <v>0.15223208707240077</v>
      </c>
      <c r="S224" s="810">
        <f t="shared" si="82"/>
        <v>1</v>
      </c>
      <c r="T224" s="176">
        <f t="shared" si="83"/>
        <v>7</v>
      </c>
      <c r="U224" s="251">
        <f t="shared" si="84"/>
        <v>1.1522320870724008</v>
      </c>
      <c r="V224" s="383">
        <f t="shared" si="85"/>
        <v>52.139045892423688</v>
      </c>
      <c r="W224" s="402">
        <f t="shared" si="86"/>
        <v>31.440935847139293</v>
      </c>
      <c r="X224" s="157">
        <f t="shared" si="87"/>
        <v>45501</v>
      </c>
      <c r="Y224" s="385">
        <f t="shared" si="88"/>
        <v>29.386871438040881</v>
      </c>
      <c r="Z224" s="385">
        <f t="shared" si="89"/>
        <v>30.921958847291801</v>
      </c>
      <c r="AA224" s="386">
        <f t="shared" si="90"/>
        <v>36.183767682290643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0.14541904207433101</v>
      </c>
      <c r="AD224" s="231">
        <f>(INDEX(Models!$BJ224:$BT224,,AH224)*(1-AF224)+INDEX(Models!$BJ224:$BT224,,AH224+1)*AF224-ERP_i)*AE224*Ramure*Pc/MaxiM</f>
        <v>2.8518414229099475E-4</v>
      </c>
      <c r="AE224" s="305">
        <f t="shared" si="92"/>
        <v>0.7</v>
      </c>
      <c r="AF224" s="177">
        <f t="shared" si="93"/>
        <v>0.15223208707240077</v>
      </c>
      <c r="AG224" s="810">
        <f t="shared" si="99"/>
        <v>1</v>
      </c>
      <c r="AH224" s="176">
        <f t="shared" si="94"/>
        <v>7</v>
      </c>
      <c r="AI224" s="225">
        <f t="shared" si="95"/>
        <v>1.1522320870724008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48.224061645738665</v>
      </c>
      <c r="C225" s="840"/>
      <c r="D225" s="393">
        <f t="shared" si="77"/>
        <v>50.744331719847544</v>
      </c>
      <c r="E225" s="385">
        <f t="shared" si="75"/>
        <v>55.50674515982017</v>
      </c>
      <c r="F225" s="385">
        <f t="shared" si="78"/>
        <v>55.521301182789884</v>
      </c>
      <c r="G225" s="110">
        <f t="shared" si="76"/>
        <v>0.92777109026071869</v>
      </c>
      <c r="H225" s="414" t="b">
        <f>Wh_hp&gt;='2023'!Maxi_hp</f>
        <v>0</v>
      </c>
      <c r="I225" s="390">
        <f>IF(H225,Wh_hp,'2023'!Maxi_hp)</f>
        <v>55.521981770565908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4.9666041283644047E-2</v>
      </c>
      <c r="M225" s="844"/>
      <c r="N225" s="844"/>
      <c r="O225" s="48">
        <f>IF(t&lt;Tnet,'2023'!Resal+('2023'!Salim-'2023'!Resal)*(1-EXP(('2023'!Tnet-t)/('2023'!Tau_j))),Resal+(Salim-Resal)*(1-EXP((Tnet-t)/(Tau_j))))*Salcycl</f>
        <v>8.5798823661164925E-2</v>
      </c>
      <c r="P225" s="169">
        <f>(INDEX(Models!$BJ225:$BT225,,T225)*(1-R225)+INDEX(Models!$BJ225:$BT225,,T225+1)*R225-ERP_i)*Q225*Ramure*Pc/MaxiM</f>
        <v>2.9232130401299941E-4</v>
      </c>
      <c r="Q225" s="305">
        <f t="shared" si="80"/>
        <v>0.7</v>
      </c>
      <c r="R225" s="177">
        <f t="shared" si="81"/>
        <v>0.15391631390990668</v>
      </c>
      <c r="S225" s="810">
        <f t="shared" si="82"/>
        <v>1</v>
      </c>
      <c r="T225" s="176">
        <f t="shared" si="83"/>
        <v>7</v>
      </c>
      <c r="U225" s="251">
        <f t="shared" si="84"/>
        <v>1.1539163139099067</v>
      </c>
      <c r="V225" s="383">
        <f t="shared" si="85"/>
        <v>51.976837557561026</v>
      </c>
      <c r="W225" s="402">
        <f t="shared" si="86"/>
        <v>48.224061645738665</v>
      </c>
      <c r="X225" s="157">
        <f t="shared" si="87"/>
        <v>45502</v>
      </c>
      <c r="Y225" s="385">
        <f t="shared" si="88"/>
        <v>45.076619096315383</v>
      </c>
      <c r="Z225" s="385">
        <f t="shared" si="89"/>
        <v>47.432398561450647</v>
      </c>
      <c r="AA225" s="386">
        <f t="shared" si="90"/>
        <v>55.50674515982017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0.14546604336321853</v>
      </c>
      <c r="AD225" s="231">
        <f>(INDEX(Models!$BJ225:$BT225,,AH225)*(1-AF225)+INDEX(Models!$BJ225:$BT225,,AH225+1)*AF225-ERP_i)*AE225*Ramure*Pc/MaxiM</f>
        <v>2.9232130401299941E-4</v>
      </c>
      <c r="AE225" s="305">
        <f t="shared" si="92"/>
        <v>0.7</v>
      </c>
      <c r="AF225" s="177">
        <f t="shared" si="93"/>
        <v>0.15391631390990668</v>
      </c>
      <c r="AG225" s="810">
        <f t="shared" si="99"/>
        <v>1</v>
      </c>
      <c r="AH225" s="176">
        <f t="shared" si="94"/>
        <v>7</v>
      </c>
      <c r="AI225" s="225">
        <f t="shared" si="95"/>
        <v>1.1539163139099067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51.384207250353413</v>
      </c>
      <c r="C226" s="840"/>
      <c r="D226" s="393">
        <f t="shared" si="77"/>
        <v>54.070890124940632</v>
      </c>
      <c r="E226" s="385">
        <f t="shared" si="75"/>
        <v>59.152772967301367</v>
      </c>
      <c r="F226" s="385">
        <f t="shared" si="78"/>
        <v>59.170346372575047</v>
      </c>
      <c r="G226" s="110">
        <f t="shared" si="76"/>
        <v>0.99175285649318923</v>
      </c>
      <c r="H226" s="414" t="b">
        <f>Wh_hp&gt;='2023'!Maxi_hp</f>
        <v>0</v>
      </c>
      <c r="I226" s="390">
        <f>IF(H226,Wh_hp,'2023'!Maxi_hp)</f>
        <v>59.170431840667312</v>
      </c>
      <c r="J226" s="85">
        <f>IF(H226,An,'2023'!An_max)</f>
        <v>2022</v>
      </c>
      <c r="K226" s="197">
        <f t="shared" si="79"/>
        <v>45503</v>
      </c>
      <c r="L226" s="147">
        <f>IF(t&lt;Tvie,1-EXP((T0-t)*PertePVj)+'2023'!Pspv,1-EXP((T0-t)*PertePVj)+Pspv)</f>
        <v>4.9688156943211936E-2</v>
      </c>
      <c r="M226" s="844"/>
      <c r="N226" s="844"/>
      <c r="O226" s="48">
        <f>IF(t&lt;Tnet,'2023'!Resal+('2023'!Salim-'2023'!Resal)*(1-EXP(('2023'!Tnet-t)/('2023'!Tau_j))),Resal+(Salim-Resal)*(1-EXP((Tnet-t)/(Tau_j))))*Salcycl</f>
        <v>8.591115153925101E-2</v>
      </c>
      <c r="P226" s="169">
        <f>(INDEX(Models!$BJ226:$BT226,,T226)*(1-R226)+INDEX(Models!$BJ226:$BT226,,T226+1)*R226-ERP_i)*Q226*Ramure*Pc/MaxiM</f>
        <v>3.0053612858083078E-4</v>
      </c>
      <c r="Q226" s="305">
        <f t="shared" si="80"/>
        <v>0.7</v>
      </c>
      <c r="R226" s="177">
        <f t="shared" si="81"/>
        <v>0.15554789076228515</v>
      </c>
      <c r="S226" s="810">
        <f t="shared" si="82"/>
        <v>1</v>
      </c>
      <c r="T226" s="176">
        <f t="shared" si="83"/>
        <v>7</v>
      </c>
      <c r="U226" s="251">
        <f t="shared" si="84"/>
        <v>1.1555478907622851</v>
      </c>
      <c r="V226" s="383">
        <f t="shared" si="85"/>
        <v>51.811320729581603</v>
      </c>
      <c r="W226" s="402">
        <f t="shared" si="86"/>
        <v>51.384207250353413</v>
      </c>
      <c r="X226" s="157">
        <f t="shared" si="87"/>
        <v>45503</v>
      </c>
      <c r="Y226" s="385">
        <f t="shared" si="88"/>
        <v>48.033800295615549</v>
      </c>
      <c r="Z226" s="385">
        <f t="shared" si="89"/>
        <v>50.54530325657025</v>
      </c>
      <c r="AA226" s="386">
        <f t="shared" si="90"/>
        <v>59.152772967301367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0.14551253100998629</v>
      </c>
      <c r="AD226" s="231">
        <f>(INDEX(Models!$BJ226:$BT226,,AH226)*(1-AF226)+INDEX(Models!$BJ226:$BT226,,AH226+1)*AF226-ERP_i)*AE226*Ramure*Pc/MaxiM</f>
        <v>3.0053612858083078E-4</v>
      </c>
      <c r="AE226" s="305">
        <f t="shared" si="92"/>
        <v>0.7</v>
      </c>
      <c r="AF226" s="177">
        <f t="shared" si="93"/>
        <v>0.15554789076228515</v>
      </c>
      <c r="AG226" s="810">
        <f t="shared" si="99"/>
        <v>1</v>
      </c>
      <c r="AH226" s="176">
        <f t="shared" si="94"/>
        <v>7</v>
      </c>
      <c r="AI226" s="225">
        <f t="shared" si="95"/>
        <v>1.1555478907622851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51.077771294512445</v>
      </c>
      <c r="C227" s="840"/>
      <c r="D227" s="393">
        <f t="shared" si="77"/>
        <v>53.749682643363961</v>
      </c>
      <c r="E227" s="385">
        <f t="shared" si="75"/>
        <v>58.808578763945704</v>
      </c>
      <c r="F227" s="385">
        <f t="shared" si="78"/>
        <v>58.826502345786075</v>
      </c>
      <c r="G227" s="110">
        <f t="shared" si="76"/>
        <v>0.98905781465896025</v>
      </c>
      <c r="H227" s="414" t="b">
        <f>Wh_hp&gt;='2023'!Maxi_hp</f>
        <v>0</v>
      </c>
      <c r="I227" s="390">
        <f>IF(H227,Wh_hp,'2023'!Maxi_hp)</f>
        <v>58.826618975995636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4.9710272088116181E-2</v>
      </c>
      <c r="M227" s="844"/>
      <c r="N227" s="844"/>
      <c r="O227" s="48">
        <f>IF(t&lt;Tnet,'2023'!Resal+('2023'!Salim-'2023'!Resal)*(1-EXP(('2023'!Tnet-t)/('2023'!Tau_j))),Resal+(Salim-Resal)*(1-EXP((Tnet-t)/(Tau_j))))*Salcycl</f>
        <v>8.6023097767553E-2</v>
      </c>
      <c r="P227" s="169">
        <f>(INDEX(Models!$BJ227:$BT227,,T227)*(1-R227)+INDEX(Models!$BJ227:$BT227,,T227+1)*R227-ERP_i)*Q227*Ramure*Pc/MaxiM</f>
        <v>3.0952172550359941E-4</v>
      </c>
      <c r="Q227" s="305">
        <f t="shared" si="80"/>
        <v>0.7</v>
      </c>
      <c r="R227" s="177">
        <f t="shared" si="81"/>
        <v>0.15712793454522056</v>
      </c>
      <c r="S227" s="810">
        <f t="shared" si="82"/>
        <v>1</v>
      </c>
      <c r="T227" s="176">
        <f t="shared" si="83"/>
        <v>7</v>
      </c>
      <c r="U227" s="251">
        <f t="shared" si="84"/>
        <v>1.1571279345452206</v>
      </c>
      <c r="V227" s="383">
        <f t="shared" si="85"/>
        <v>51.642607174419545</v>
      </c>
      <c r="W227" s="402">
        <f t="shared" si="86"/>
        <v>51.077771294512445</v>
      </c>
      <c r="X227" s="157">
        <f t="shared" si="87"/>
        <v>45504</v>
      </c>
      <c r="Y227" s="385">
        <f t="shared" si="88"/>
        <v>47.750622314400644</v>
      </c>
      <c r="Z227" s="385">
        <f t="shared" si="89"/>
        <v>50.24848834189266</v>
      </c>
      <c r="AA227" s="386">
        <f t="shared" si="90"/>
        <v>58.808578763945704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0.1455585324789562</v>
      </c>
      <c r="AD227" s="231">
        <f>(INDEX(Models!$BJ227:$BT227,,AH227)*(1-AF227)+INDEX(Models!$BJ227:$BT227,,AH227+1)*AF227-ERP_i)*AE227*Ramure*Pc/MaxiM</f>
        <v>3.0952172550359941E-4</v>
      </c>
      <c r="AE227" s="305">
        <f t="shared" si="92"/>
        <v>0.7</v>
      </c>
      <c r="AF227" s="177">
        <f t="shared" si="93"/>
        <v>0.15712793454522056</v>
      </c>
      <c r="AG227" s="810">
        <f t="shared" si="99"/>
        <v>1</v>
      </c>
      <c r="AH227" s="176">
        <f t="shared" si="94"/>
        <v>7</v>
      </c>
      <c r="AI227" s="225">
        <f t="shared" si="95"/>
        <v>1.1571279345452206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50.847537617671001</v>
      </c>
      <c r="C228" s="840"/>
      <c r="D228" s="393">
        <f t="shared" si="77"/>
        <v>53.508650518010747</v>
      </c>
      <c r="E228" s="385">
        <f t="shared" si="75"/>
        <v>58.552008819440125</v>
      </c>
      <c r="F228" s="385">
        <f t="shared" si="78"/>
        <v>58.570386237226941</v>
      </c>
      <c r="G228" s="110">
        <f t="shared" si="76"/>
        <v>0.98788564512681531</v>
      </c>
      <c r="H228" s="414" t="b">
        <f>Wh_hp&gt;='2023'!Maxi_hp</f>
        <v>0</v>
      </c>
      <c r="I228" s="390">
        <f>IF(H228,Wh_hp,'2023'!Maxi_hp)</f>
        <v>58.57051952904542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4.9732386718368549E-2</v>
      </c>
      <c r="M228" s="844"/>
      <c r="N228" s="844"/>
      <c r="O228" s="48">
        <f>IF(t&lt;Tnet,'2023'!Resal+('2023'!Salim-'2023'!Resal)*(1-EXP(('2023'!Tnet-t)/('2023'!Tau_j))),Resal+(Salim-Resal)*(1-EXP((Tnet-t)/(Tau_j))))*Salcycl</f>
        <v>8.6134675873920027E-2</v>
      </c>
      <c r="P228" s="169">
        <f>(INDEX(Models!$BJ228:$BT228,,T228)*(1-R228)+INDEX(Models!$BJ228:$BT228,,T228+1)*R228-ERP_i)*Q228*Ramure*Pc/MaxiM</f>
        <v>3.1928958183366865E-4</v>
      </c>
      <c r="Q228" s="305">
        <f t="shared" si="80"/>
        <v>0.7</v>
      </c>
      <c r="R228" s="177">
        <f t="shared" si="81"/>
        <v>0.15865757701293015</v>
      </c>
      <c r="S228" s="810">
        <f t="shared" si="82"/>
        <v>1</v>
      </c>
      <c r="T228" s="176">
        <f t="shared" si="83"/>
        <v>7</v>
      </c>
      <c r="U228" s="251">
        <f t="shared" si="84"/>
        <v>1.1586575770129302</v>
      </c>
      <c r="V228" s="383">
        <f t="shared" si="85"/>
        <v>51.470792129531418</v>
      </c>
      <c r="W228" s="402">
        <f t="shared" si="86"/>
        <v>50.847537617671001</v>
      </c>
      <c r="X228" s="157">
        <f t="shared" si="87"/>
        <v>45505</v>
      </c>
      <c r="Y228" s="385">
        <f t="shared" si="88"/>
        <v>47.538655812507244</v>
      </c>
      <c r="Z228" s="385">
        <f t="shared" si="89"/>
        <v>50.026597926807575</v>
      </c>
      <c r="AA228" s="386">
        <f t="shared" si="90"/>
        <v>58.552008819440125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0.14560407173941387</v>
      </c>
      <c r="AD228" s="231">
        <f>(INDEX(Models!$BJ228:$BT228,,AH228)*(1-AF228)+INDEX(Models!$BJ228:$BT228,,AH228+1)*AF228-ERP_i)*AE228*Ramure*Pc/MaxiM</f>
        <v>3.1928958183366865E-4</v>
      </c>
      <c r="AE228" s="305">
        <f t="shared" si="92"/>
        <v>0.7</v>
      </c>
      <c r="AF228" s="177">
        <f t="shared" si="93"/>
        <v>0.15865757701293015</v>
      </c>
      <c r="AG228" s="810">
        <f t="shared" si="99"/>
        <v>1</v>
      </c>
      <c r="AH228" s="176">
        <f t="shared" si="94"/>
        <v>7</v>
      </c>
      <c r="AI228" s="225">
        <f t="shared" si="95"/>
        <v>1.1586575770129302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46.717329058085575</v>
      </c>
      <c r="C229" s="840"/>
      <c r="D229" s="393">
        <f t="shared" si="77"/>
        <v>49.163431028178458</v>
      </c>
      <c r="E229" s="385">
        <f t="shared" si="75"/>
        <v>53.803786915106386</v>
      </c>
      <c r="F229" s="385">
        <f t="shared" si="78"/>
        <v>53.8192756096159</v>
      </c>
      <c r="G229" s="110">
        <f t="shared" si="76"/>
        <v>0.91070239464717084</v>
      </c>
      <c r="H229" s="414" t="b">
        <f>Wh_hp&gt;='2023'!Maxi_hp</f>
        <v>0</v>
      </c>
      <c r="I229" s="390">
        <f>IF(H229,Wh_hp,'2023'!Maxi_hp)</f>
        <v>56.763758259198227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4.9754500833981252E-2</v>
      </c>
      <c r="M229" s="844"/>
      <c r="N229" s="844"/>
      <c r="O229" s="48">
        <f>IF(t&lt;Tnet,'2023'!Resal+('2023'!Salim-'2023'!Resal)*(1-EXP(('2023'!Tnet-t)/('2023'!Tau_j))),Resal+(Salim-Resal)*(1-EXP((Tnet-t)/(Tau_j))))*Salcycl</f>
        <v>8.6245897417028608E-2</v>
      </c>
      <c r="P229" s="169">
        <f>(INDEX(Models!$BJ229:$BT229,,T229)*(1-R229)+INDEX(Models!$BJ229:$BT229,,T229+1)*R229-ERP_i)*Q229*Ramure*Pc/MaxiM</f>
        <v>3.2985125072495895E-4</v>
      </c>
      <c r="Q229" s="305">
        <f t="shared" si="80"/>
        <v>0.7</v>
      </c>
      <c r="R229" s="177">
        <f t="shared" si="81"/>
        <v>0.16013796127110846</v>
      </c>
      <c r="S229" s="810">
        <f t="shared" si="82"/>
        <v>1</v>
      </c>
      <c r="T229" s="176">
        <f t="shared" si="83"/>
        <v>7</v>
      </c>
      <c r="U229" s="251">
        <f t="shared" si="84"/>
        <v>1.1601379612711085</v>
      </c>
      <c r="V229" s="383">
        <f t="shared" si="85"/>
        <v>51.295970908757539</v>
      </c>
      <c r="W229" s="402">
        <f t="shared" si="86"/>
        <v>46.717329058085575</v>
      </c>
      <c r="X229" s="157">
        <f t="shared" si="87"/>
        <v>45506</v>
      </c>
      <c r="Y229" s="385">
        <f t="shared" si="88"/>
        <v>43.680229477821506</v>
      </c>
      <c r="Z229" s="385">
        <f t="shared" si="89"/>
        <v>45.967310043728048</v>
      </c>
      <c r="AA229" s="386">
        <f t="shared" si="90"/>
        <v>53.803786915106386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0.14564916933715136</v>
      </c>
      <c r="AD229" s="231">
        <f>(INDEX(Models!$BJ229:$BT229,,AH229)*(1-AF229)+INDEX(Models!$BJ229:$BT229,,AH229+1)*AF229-ERP_i)*AE229*Ramure*Pc/MaxiM</f>
        <v>3.2985125072495895E-4</v>
      </c>
      <c r="AE229" s="305">
        <f t="shared" si="92"/>
        <v>0.7</v>
      </c>
      <c r="AF229" s="177">
        <f t="shared" si="93"/>
        <v>0.16013796127110846</v>
      </c>
      <c r="AG229" s="810">
        <f t="shared" si="99"/>
        <v>1</v>
      </c>
      <c r="AH229" s="176">
        <f t="shared" si="94"/>
        <v>7</v>
      </c>
      <c r="AI229" s="225">
        <f t="shared" si="95"/>
        <v>1.1601379612711085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46.488098253952138</v>
      </c>
      <c r="C230" s="840"/>
      <c r="D230" s="393">
        <f t="shared" si="77"/>
        <v>48.923336301925254</v>
      </c>
      <c r="E230" s="385">
        <f t="shared" si="75"/>
        <v>53.547527967397997</v>
      </c>
      <c r="F230" s="385">
        <f t="shared" si="78"/>
        <v>53.563439850879988</v>
      </c>
      <c r="G230" s="110">
        <f t="shared" si="76"/>
        <v>0.90938275844260397</v>
      </c>
      <c r="H230" s="414" t="b">
        <f>Wh_hp&gt;='2023'!Maxi_hp</f>
        <v>0</v>
      </c>
      <c r="I230" s="390">
        <f>IF(H230,Wh_hp,'2023'!Maxi_hp)</f>
        <v>53.564425607951186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4.9776614434966171E-2</v>
      </c>
      <c r="M230" s="844"/>
      <c r="N230" s="844"/>
      <c r="O230" s="48">
        <f>IF(t&lt;Tnet,'2023'!Resal+('2023'!Salim-'2023'!Resal)*(1-EXP(('2023'!Tnet-t)/('2023'!Tau_j))),Resal+(Salim-Resal)*(1-EXP((Tnet-t)/(Tau_j))))*Salcycl</f>
        <v>8.6356772030412865E-2</v>
      </c>
      <c r="P230" s="169">
        <f>(INDEX(Models!$BJ230:$BT230,,T230)*(1-R230)+INDEX(Models!$BJ230:$BT230,,T230+1)*R230-ERP_i)*Q230*Ramure*Pc/MaxiM</f>
        <v>3.4121835433877632E-4</v>
      </c>
      <c r="Q230" s="305">
        <f t="shared" si="80"/>
        <v>0.7</v>
      </c>
      <c r="R230" s="177">
        <f t="shared" si="81"/>
        <v>0.16157023849884977</v>
      </c>
      <c r="S230" s="810">
        <f t="shared" si="82"/>
        <v>1</v>
      </c>
      <c r="T230" s="176">
        <f t="shared" si="83"/>
        <v>7</v>
      </c>
      <c r="U230" s="251">
        <f t="shared" si="84"/>
        <v>1.1615702384988498</v>
      </c>
      <c r="V230" s="383">
        <f t="shared" si="85"/>
        <v>51.118238892533263</v>
      </c>
      <c r="W230" s="402">
        <f t="shared" si="86"/>
        <v>46.488098253952138</v>
      </c>
      <c r="X230" s="157">
        <f t="shared" si="87"/>
        <v>45507</v>
      </c>
      <c r="Y230" s="385">
        <f t="shared" si="88"/>
        <v>43.468902711325427</v>
      </c>
      <c r="Z230" s="385">
        <f t="shared" si="89"/>
        <v>45.745982862206027</v>
      </c>
      <c r="AA230" s="386">
        <f t="shared" si="90"/>
        <v>53.547527967397997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0.14569384248591041</v>
      </c>
      <c r="AD230" s="231">
        <f>(INDEX(Models!$BJ230:$BT230,,AH230)*(1-AF230)+INDEX(Models!$BJ230:$BT230,,AH230+1)*AF230-ERP_i)*AE230*Ramure*Pc/MaxiM</f>
        <v>3.4121835433877632E-4</v>
      </c>
      <c r="AE230" s="305">
        <f t="shared" si="92"/>
        <v>0.7</v>
      </c>
      <c r="AF230" s="177">
        <f t="shared" si="93"/>
        <v>0.16157023849884977</v>
      </c>
      <c r="AG230" s="810">
        <f t="shared" si="99"/>
        <v>1</v>
      </c>
      <c r="AH230" s="176">
        <f t="shared" si="94"/>
        <v>7</v>
      </c>
      <c r="AI230" s="225">
        <f t="shared" si="95"/>
        <v>1.1615702384988498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44.48312928782201</v>
      </c>
      <c r="C231" s="840"/>
      <c r="D231" s="393">
        <f t="shared" si="77"/>
        <v>46.814428244012703</v>
      </c>
      <c r="E231" s="385">
        <f t="shared" si="75"/>
        <v>51.245487574989646</v>
      </c>
      <c r="F231" s="385">
        <f t="shared" si="78"/>
        <v>51.260323810386708</v>
      </c>
      <c r="G231" s="110">
        <f t="shared" si="76"/>
        <v>0.87322926100364517</v>
      </c>
      <c r="H231" s="414" t="b">
        <f>Wh_hp&gt;='2023'!Maxi_hp</f>
        <v>0</v>
      </c>
      <c r="I231" s="390">
        <f>IF(H231,Wh_hp,'2023'!Maxi_hp)</f>
        <v>59.003544823424903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4.9798727521335295E-2</v>
      </c>
      <c r="M231" s="844"/>
      <c r="N231" s="844"/>
      <c r="O231" s="48">
        <f>IF(t&lt;Tnet,'2023'!Resal+('2023'!Salim-'2023'!Resal)*(1-EXP(('2023'!Tnet-t)/('2023'!Tau_j))),Resal+(Salim-Resal)*(1-EXP((Tnet-t)/(Tau_j))))*Salcycl</f>
        <v>8.6467307477420194E-2</v>
      </c>
      <c r="P231" s="169">
        <f>(INDEX(Models!$BJ231:$BT231,,T231)*(1-R231)+INDEX(Models!$BJ231:$BT231,,T231+1)*R231-ERP_i)*Q231*Ramure*Pc/MaxiM</f>
        <v>3.5340258533501142E-4</v>
      </c>
      <c r="Q231" s="305">
        <f t="shared" si="80"/>
        <v>0.7</v>
      </c>
      <c r="R231" s="177">
        <f t="shared" si="81"/>
        <v>0.16295556487776386</v>
      </c>
      <c r="S231" s="810">
        <f t="shared" si="82"/>
        <v>1</v>
      </c>
      <c r="T231" s="176">
        <f t="shared" si="83"/>
        <v>7</v>
      </c>
      <c r="U231" s="251">
        <f t="shared" si="84"/>
        <v>1.1629555648777639</v>
      </c>
      <c r="V231" s="383">
        <f t="shared" si="85"/>
        <v>50.937691525840776</v>
      </c>
      <c r="W231" s="402">
        <f t="shared" si="86"/>
        <v>44.48312928782201</v>
      </c>
      <c r="X231" s="157">
        <f t="shared" si="87"/>
        <v>45508</v>
      </c>
      <c r="Y231" s="385">
        <f t="shared" si="88"/>
        <v>41.597025069958455</v>
      </c>
      <c r="Z231" s="385">
        <f t="shared" si="89"/>
        <v>43.777067316958842</v>
      </c>
      <c r="AA231" s="386">
        <f t="shared" si="90"/>
        <v>51.245487574989646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0.14573810517661587</v>
      </c>
      <c r="AD231" s="231">
        <f>(INDEX(Models!$BJ231:$BT231,,AH231)*(1-AF231)+INDEX(Models!$BJ231:$BT231,,AH231+1)*AF231-ERP_i)*AE231*Ramure*Pc/MaxiM</f>
        <v>3.5340258533501142E-4</v>
      </c>
      <c r="AE231" s="305">
        <f t="shared" si="92"/>
        <v>0.7</v>
      </c>
      <c r="AF231" s="177">
        <f t="shared" si="93"/>
        <v>0.16295556487776386</v>
      </c>
      <c r="AG231" s="810">
        <f t="shared" si="99"/>
        <v>1</v>
      </c>
      <c r="AH231" s="176">
        <f t="shared" si="94"/>
        <v>7</v>
      </c>
      <c r="AI231" s="225">
        <f t="shared" si="95"/>
        <v>1.1629555648777639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46.599712902688104</v>
      </c>
      <c r="C232" s="840"/>
      <c r="D232" s="393">
        <f t="shared" si="77"/>
        <v>49.043080367342561</v>
      </c>
      <c r="E232" s="385">
        <f t="shared" si="75"/>
        <v>53.691562107349981</v>
      </c>
      <c r="F232" s="385">
        <f t="shared" si="78"/>
        <v>53.708940520143194</v>
      </c>
      <c r="G232" s="110">
        <f t="shared" si="76"/>
        <v>0.91810154734702865</v>
      </c>
      <c r="H232" s="414" t="b">
        <f>Wh_hp&gt;='2023'!Maxi_hp</f>
        <v>0</v>
      </c>
      <c r="I232" s="390">
        <f>IF(H232,Wh_hp,'2023'!Maxi_hp)</f>
        <v>58.033046610049119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4.9820840093100616E-2</v>
      </c>
      <c r="M232" s="844"/>
      <c r="N232" s="844"/>
      <c r="O232" s="48">
        <f>IF(t&lt;Tnet,'2023'!Resal+('2023'!Salim-'2023'!Resal)*(1-EXP(('2023'!Tnet-t)/('2023'!Tau_j))),Resal+(Salim-Resal)*(1-EXP((Tnet-t)/(Tau_j))))*Salcycl</f>
        <v>8.6577509715834486E-2</v>
      </c>
      <c r="P232" s="169">
        <f>(INDEX(Models!$BJ232:$BT232,,T232)*(1-R232)+INDEX(Models!$BJ232:$BT232,,T232+1)*R232-ERP_i)*Q232*Ramure*Pc/MaxiM</f>
        <v>3.6641570702092204E-4</v>
      </c>
      <c r="Q232" s="305">
        <f t="shared" si="80"/>
        <v>0.7</v>
      </c>
      <c r="R232" s="177">
        <f t="shared" si="81"/>
        <v>0.16429509872538905</v>
      </c>
      <c r="S232" s="810">
        <f t="shared" si="82"/>
        <v>1</v>
      </c>
      <c r="T232" s="176">
        <f t="shared" si="83"/>
        <v>7</v>
      </c>
      <c r="U232" s="251">
        <f t="shared" si="84"/>
        <v>1.1642950987253891</v>
      </c>
      <c r="V232" s="383">
        <f t="shared" si="85"/>
        <v>50.754424311053455</v>
      </c>
      <c r="W232" s="402">
        <f t="shared" si="86"/>
        <v>46.599712902688104</v>
      </c>
      <c r="X232" s="157">
        <f t="shared" si="87"/>
        <v>45509</v>
      </c>
      <c r="Y232" s="385">
        <f t="shared" si="88"/>
        <v>43.579302520824463</v>
      </c>
      <c r="Z232" s="385">
        <f t="shared" si="89"/>
        <v>45.864300502122632</v>
      </c>
      <c r="AA232" s="386">
        <f t="shared" si="90"/>
        <v>53.691562107349981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0.14578196830216369</v>
      </c>
      <c r="AD232" s="231">
        <f>(INDEX(Models!$BJ232:$BT232,,AH232)*(1-AF232)+INDEX(Models!$BJ232:$BT232,,AH232+1)*AF232-ERP_i)*AE232*Ramure*Pc/MaxiM</f>
        <v>3.6641570702092204E-4</v>
      </c>
      <c r="AE232" s="305">
        <f t="shared" si="92"/>
        <v>0.7</v>
      </c>
      <c r="AF232" s="177">
        <f t="shared" si="93"/>
        <v>0.16429509872538905</v>
      </c>
      <c r="AG232" s="810">
        <f t="shared" si="99"/>
        <v>1</v>
      </c>
      <c r="AH232" s="176">
        <f t="shared" si="94"/>
        <v>7</v>
      </c>
      <c r="AI232" s="225">
        <f t="shared" si="95"/>
        <v>1.1642950987253891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49.383331464736685</v>
      </c>
      <c r="C233" s="840"/>
      <c r="D233" s="393">
        <f t="shared" si="77"/>
        <v>51.973862190986985</v>
      </c>
      <c r="E233" s="385">
        <f t="shared" ref="E233:E296" si="100">Wh_pvt/(1-Psa)</f>
        <v>56.90697929921128</v>
      </c>
      <c r="F233" s="385">
        <f t="shared" si="78"/>
        <v>56.927902250770259</v>
      </c>
      <c r="G233" s="110">
        <f t="shared" ref="G233:G296" si="101">+Wh_hp/MaxiM</f>
        <v>0.97654667411313378</v>
      </c>
      <c r="H233" s="414" t="b">
        <f>Wh_hp&gt;='2023'!Maxi_hp</f>
        <v>0</v>
      </c>
      <c r="I233" s="390">
        <f>IF(H233,Wh_hp,'2023'!Maxi_hp)</f>
        <v>56.928210437267175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4.9842952150274011E-2</v>
      </c>
      <c r="M233" s="844"/>
      <c r="N233" s="844"/>
      <c r="O233" s="48">
        <f>IF(t&lt;Tnet,'2023'!Resal+('2023'!Salim-'2023'!Resal)*(1-EXP(('2023'!Tnet-t)/('2023'!Tau_j))),Resal+(Salim-Resal)*(1-EXP((Tnet-t)/(Tau_j))))*Salcycl</f>
        <v>8.6687382970838348E-2</v>
      </c>
      <c r="P233" s="169">
        <f>(INDEX(Models!$BJ233:$BT233,,T233)*(1-R233)+INDEX(Models!$BJ233:$BT233,,T233+1)*R233-ERP_i)*Q233*Ramure*Pc/MaxiM</f>
        <v>3.8026824459879907E-4</v>
      </c>
      <c r="Q233" s="305">
        <f t="shared" si="80"/>
        <v>0.7</v>
      </c>
      <c r="R233" s="177">
        <f t="shared" si="81"/>
        <v>0.16558999782903983</v>
      </c>
      <c r="S233" s="810">
        <f t="shared" si="82"/>
        <v>1</v>
      </c>
      <c r="T233" s="176">
        <f t="shared" si="83"/>
        <v>7</v>
      </c>
      <c r="U233" s="251">
        <f t="shared" si="84"/>
        <v>1.1655899978290398</v>
      </c>
      <c r="V233" s="383">
        <f t="shared" si="85"/>
        <v>50.568706743387885</v>
      </c>
      <c r="W233" s="402">
        <f t="shared" si="86"/>
        <v>49.383331464736685</v>
      </c>
      <c r="X233" s="157">
        <f t="shared" si="87"/>
        <v>45510</v>
      </c>
      <c r="Y233" s="385">
        <f t="shared" si="88"/>
        <v>46.185703174164317</v>
      </c>
      <c r="Z233" s="385">
        <f t="shared" si="89"/>
        <v>48.608494015474491</v>
      </c>
      <c r="AA233" s="386">
        <f t="shared" si="90"/>
        <v>56.90697929921128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0.14582543979542767</v>
      </c>
      <c r="AD233" s="231">
        <f>(INDEX(Models!$BJ233:$BT233,,AH233)*(1-AF233)+INDEX(Models!$BJ233:$BT233,,AH233+1)*AF233-ERP_i)*AE233*Ramure*Pc/MaxiM</f>
        <v>3.8026824459879907E-4</v>
      </c>
      <c r="AE233" s="305">
        <f t="shared" si="92"/>
        <v>0.7</v>
      </c>
      <c r="AF233" s="177">
        <f t="shared" si="93"/>
        <v>0.16558999782903983</v>
      </c>
      <c r="AG233" s="810">
        <f t="shared" si="99"/>
        <v>1</v>
      </c>
      <c r="AH233" s="176">
        <f t="shared" si="94"/>
        <v>7</v>
      </c>
      <c r="AI233" s="225">
        <f t="shared" si="95"/>
        <v>1.1655899978290398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49.671619286727257</v>
      </c>
      <c r="C234" s="840"/>
      <c r="D234" s="393">
        <f t="shared" si="77"/>
        <v>52.278489495170859</v>
      </c>
      <c r="E234" s="385">
        <f t="shared" si="100"/>
        <v>57.247386919731085</v>
      </c>
      <c r="F234" s="385">
        <f t="shared" si="78"/>
        <v>57.269601351986829</v>
      </c>
      <c r="G234" s="110">
        <f t="shared" si="101"/>
        <v>0.98592015979168901</v>
      </c>
      <c r="H234" s="414" t="b">
        <f>Wh_hp&gt;='2023'!Maxi_hp</f>
        <v>0</v>
      </c>
      <c r="I234" s="390">
        <f>IF(H234,Wh_hp,'2023'!Maxi_hp)</f>
        <v>57.269796399460986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4.9865063692867584E-2</v>
      </c>
      <c r="M234" s="844"/>
      <c r="N234" s="844"/>
      <c r="O234" s="48">
        <f>IF(t&lt;Tnet,'2023'!Resal+('2023'!Salim-'2023'!Resal)*(1-EXP(('2023'!Tnet-t)/('2023'!Tau_j))),Resal+(Salim-Resal)*(1-EXP((Tnet-t)/(Tau_j))))*Salcycl</f>
        <v>8.6796929814933269E-2</v>
      </c>
      <c r="P234" s="169">
        <f>(INDEX(Models!$BJ234:$BT234,,T234)*(1-R234)+INDEX(Models!$BJ234:$BT234,,T234+1)*R234-ERP_i)*Q234*Ramure*Pc/MaxiM</f>
        <v>3.9584991992221066E-4</v>
      </c>
      <c r="Q234" s="305">
        <f t="shared" si="80"/>
        <v>0.7</v>
      </c>
      <c r="R234" s="177">
        <f t="shared" si="81"/>
        <v>0.16684141697537713</v>
      </c>
      <c r="S234" s="810">
        <f t="shared" si="82"/>
        <v>1</v>
      </c>
      <c r="T234" s="176">
        <f t="shared" si="83"/>
        <v>7</v>
      </c>
      <c r="U234" s="251">
        <f t="shared" si="84"/>
        <v>1.1668414169753771</v>
      </c>
      <c r="V234" s="383">
        <f t="shared" si="85"/>
        <v>50.380574296726543</v>
      </c>
      <c r="W234" s="402">
        <f t="shared" si="86"/>
        <v>49.671619286727257</v>
      </c>
      <c r="X234" s="157">
        <f t="shared" si="87"/>
        <v>45511</v>
      </c>
      <c r="Y234" s="385">
        <f t="shared" si="88"/>
        <v>46.458553243186124</v>
      </c>
      <c r="Z234" s="385">
        <f t="shared" si="89"/>
        <v>48.89679504235</v>
      </c>
      <c r="AA234" s="386">
        <f t="shared" si="90"/>
        <v>57.247386919731085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0.14586852477807929</v>
      </c>
      <c r="AD234" s="231">
        <f>(INDEX(Models!$BJ234:$BT234,,AH234)*(1-AF234)+INDEX(Models!$BJ234:$BT234,,AH234+1)*AF234-ERP_i)*AE234*Ramure*Pc/MaxiM</f>
        <v>3.9584991992221066E-4</v>
      </c>
      <c r="AE234" s="305">
        <f t="shared" si="92"/>
        <v>0.7</v>
      </c>
      <c r="AF234" s="177">
        <f t="shared" si="93"/>
        <v>0.16684141697537713</v>
      </c>
      <c r="AG234" s="810">
        <f t="shared" si="99"/>
        <v>1</v>
      </c>
      <c r="AH234" s="176">
        <f t="shared" si="94"/>
        <v>7</v>
      </c>
      <c r="AI234" s="225">
        <f t="shared" si="95"/>
        <v>1.1668414169753771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47.472609575904521</v>
      </c>
      <c r="C235" s="840"/>
      <c r="D235" s="393">
        <f t="shared" si="77"/>
        <v>49.965233930990131</v>
      </c>
      <c r="E235" s="385">
        <f t="shared" si="100"/>
        <v>54.72080881891511</v>
      </c>
      <c r="F235" s="385">
        <f t="shared" si="78"/>
        <v>54.741668952729938</v>
      </c>
      <c r="G235" s="110">
        <f t="shared" si="101"/>
        <v>0.94583059179871853</v>
      </c>
      <c r="H235" s="414" t="b">
        <f>Wh_hp&gt;='2023'!Maxi_hp</f>
        <v>0</v>
      </c>
      <c r="I235" s="390">
        <f>IF(H235,Wh_hp,'2023'!Maxi_hp)</f>
        <v>54.742421949273385</v>
      </c>
      <c r="J235" s="85">
        <f>IF(H235,An,'2023'!An_max)</f>
        <v>2022</v>
      </c>
      <c r="K235" s="197">
        <f t="shared" si="79"/>
        <v>45512</v>
      </c>
      <c r="L235" s="147">
        <f>IF(t&lt;Tvie,1-EXP((T0-t)*PertePVj)+'2023'!Pspv,1-EXP((T0-t)*PertePVj)+Pspv)</f>
        <v>4.9887174720893324E-2</v>
      </c>
      <c r="M235" s="844"/>
      <c r="N235" s="844"/>
      <c r="O235" s="48">
        <f>IF(t&lt;Tnet,'2023'!Resal+('2023'!Salim-'2023'!Resal)*(1-EXP(('2023'!Tnet-t)/('2023'!Tau_j))),Resal+(Salim-Resal)*(1-EXP((Tnet-t)/(Tau_j))))*Salcycl</f>
        <v>8.690615125339933E-2</v>
      </c>
      <c r="P235" s="169">
        <f>(INDEX(Models!$BJ235:$BT235,,T235)*(1-R235)+INDEX(Models!$BJ235:$BT235,,T235+1)*R235-ERP_i)*Q235*Ramure*Pc/MaxiM</f>
        <v>4.1300770959871921E-4</v>
      </c>
      <c r="Q235" s="305">
        <f t="shared" si="80"/>
        <v>0.7</v>
      </c>
      <c r="R235" s="177">
        <f t="shared" si="81"/>
        <v>0.16805050567027968</v>
      </c>
      <c r="S235" s="810">
        <f t="shared" si="82"/>
        <v>1</v>
      </c>
      <c r="T235" s="176">
        <f t="shared" si="83"/>
        <v>7</v>
      </c>
      <c r="U235" s="251">
        <f t="shared" si="84"/>
        <v>1.1680505056702797</v>
      </c>
      <c r="V235" s="383">
        <f t="shared" si="85"/>
        <v>50.189846898002379</v>
      </c>
      <c r="W235" s="402">
        <f t="shared" si="86"/>
        <v>47.472609575904521</v>
      </c>
      <c r="X235" s="157">
        <f t="shared" si="87"/>
        <v>45512</v>
      </c>
      <c r="Y235" s="385">
        <f t="shared" si="88"/>
        <v>44.404880155878971</v>
      </c>
      <c r="Z235" s="385">
        <f t="shared" si="89"/>
        <v>46.736428531879383</v>
      </c>
      <c r="AA235" s="386">
        <f t="shared" si="90"/>
        <v>54.72080881891511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0.14591122571777115</v>
      </c>
      <c r="AD235" s="231">
        <f>(INDEX(Models!$BJ235:$BT235,,AH235)*(1-AF235)+INDEX(Models!$BJ235:$BT235,,AH235+1)*AF235-ERP_i)*AE235*Ramure*Pc/MaxiM</f>
        <v>4.1300770959871921E-4</v>
      </c>
      <c r="AE235" s="305">
        <f t="shared" si="92"/>
        <v>0.7</v>
      </c>
      <c r="AF235" s="177">
        <f t="shared" si="93"/>
        <v>0.16805050567027968</v>
      </c>
      <c r="AG235" s="810">
        <f t="shared" si="99"/>
        <v>1</v>
      </c>
      <c r="AH235" s="176">
        <f t="shared" si="94"/>
        <v>7</v>
      </c>
      <c r="AI235" s="225">
        <f t="shared" si="95"/>
        <v>1.1680505056702797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44.434336863910424</v>
      </c>
      <c r="C236" s="840"/>
      <c r="D236" s="393">
        <f t="shared" si="77"/>
        <v>46.7685202826882</v>
      </c>
      <c r="E236" s="385">
        <f t="shared" si="100"/>
        <v>51.225948598029966</v>
      </c>
      <c r="F236" s="385">
        <f t="shared" si="78"/>
        <v>51.244557821526115</v>
      </c>
      <c r="G236" s="110">
        <f t="shared" si="101"/>
        <v>0.88869086137857956</v>
      </c>
      <c r="H236" s="414" t="b">
        <f>Wh_hp&gt;='2023'!Maxi_hp</f>
        <v>0</v>
      </c>
      <c r="I236" s="390">
        <f>IF(H236,Wh_hp,'2023'!Maxi_hp)</f>
        <v>51.246080606802998</v>
      </c>
      <c r="J236" s="85">
        <f>IF(H236,An,'2023'!An_max)</f>
        <v>2022</v>
      </c>
      <c r="K236" s="197">
        <f t="shared" si="79"/>
        <v>45513</v>
      </c>
      <c r="L236" s="147">
        <f>IF(t&lt;Tvie,1-EXP((T0-t)*PertePVj)+'2023'!Pspv,1-EXP((T0-t)*PertePVj)+Pspv)</f>
        <v>4.9909285234362999E-2</v>
      </c>
      <c r="M236" s="844"/>
      <c r="N236" s="844"/>
      <c r="O236" s="48">
        <f>IF(t&lt;Tnet,'2023'!Resal+('2023'!Salim-'2023'!Resal)*(1-EXP(('2023'!Tnet-t)/('2023'!Tau_j))),Resal+(Salim-Resal)*(1-EXP((Tnet-t)/(Tau_j))))*Salcycl</f>
        <v>8.7015046813856189E-2</v>
      </c>
      <c r="P236" s="169">
        <f>(INDEX(Models!$BJ236:$BT236,,T236)*(1-R236)+INDEX(Models!$BJ236:$BT236,,T236+1)*R236-ERP_i)*Q236*Ramure*Pc/MaxiM</f>
        <v>4.317638159986791E-4</v>
      </c>
      <c r="Q236" s="305">
        <f t="shared" si="80"/>
        <v>0.7</v>
      </c>
      <c r="R236" s="177">
        <f t="shared" si="81"/>
        <v>0.16921840604299732</v>
      </c>
      <c r="S236" s="810">
        <f t="shared" si="82"/>
        <v>1</v>
      </c>
      <c r="T236" s="176">
        <f t="shared" si="83"/>
        <v>7</v>
      </c>
      <c r="U236" s="251">
        <f t="shared" si="84"/>
        <v>1.1692184060429973</v>
      </c>
      <c r="V236" s="383">
        <f t="shared" si="85"/>
        <v>49.99633581450864</v>
      </c>
      <c r="W236" s="402">
        <f t="shared" si="86"/>
        <v>44.434336863910424</v>
      </c>
      <c r="X236" s="157">
        <f t="shared" si="87"/>
        <v>45513</v>
      </c>
      <c r="Y236" s="385">
        <f t="shared" si="88"/>
        <v>41.565841642292398</v>
      </c>
      <c r="Z236" s="385">
        <f t="shared" si="89"/>
        <v>43.749339927551681</v>
      </c>
      <c r="AA236" s="386">
        <f t="shared" si="90"/>
        <v>51.225948598029966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0.1459535425912214</v>
      </c>
      <c r="AD236" s="231">
        <f>(INDEX(Models!$BJ236:$BT236,,AH236)*(1-AF236)+INDEX(Models!$BJ236:$BT236,,AH236+1)*AF236-ERP_i)*AE236*Ramure*Pc/MaxiM</f>
        <v>4.317638159986791E-4</v>
      </c>
      <c r="AE236" s="305">
        <f t="shared" si="92"/>
        <v>0.7</v>
      </c>
      <c r="AF236" s="177">
        <f t="shared" si="93"/>
        <v>0.16921840604299732</v>
      </c>
      <c r="AG236" s="810">
        <f t="shared" si="99"/>
        <v>1</v>
      </c>
      <c r="AH236" s="176">
        <f t="shared" si="94"/>
        <v>7</v>
      </c>
      <c r="AI236" s="225">
        <f t="shared" si="95"/>
        <v>1.1692184060429973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43.054907191578984</v>
      </c>
      <c r="C237" s="840"/>
      <c r="D237" s="393">
        <f t="shared" si="77"/>
        <v>45.317682297428505</v>
      </c>
      <c r="E237" s="385">
        <f t="shared" si="100"/>
        <v>49.642736984024289</v>
      </c>
      <c r="F237" s="385">
        <f t="shared" si="78"/>
        <v>49.660846194821062</v>
      </c>
      <c r="G237" s="110">
        <f t="shared" si="101"/>
        <v>0.86448326761758587</v>
      </c>
      <c r="H237" s="414" t="b">
        <f>Wh_hp&gt;='2023'!Maxi_hp</f>
        <v>0</v>
      </c>
      <c r="I237" s="390">
        <f>IF(H237,Wh_hp,'2023'!Maxi_hp)</f>
        <v>49.662737318224281</v>
      </c>
      <c r="J237" s="85">
        <f>IF(H237,An,'2023'!An_max)</f>
        <v>2022</v>
      </c>
      <c r="K237" s="197">
        <f t="shared" si="79"/>
        <v>45514</v>
      </c>
      <c r="L237" s="147">
        <f>IF(t&lt;Tvie,1-EXP((T0-t)*PertePVj)+'2023'!Pspv,1-EXP((T0-t)*PertePVj)+Pspv)</f>
        <v>4.9931395233288822E-2</v>
      </c>
      <c r="M237" s="844"/>
      <c r="N237" s="844"/>
      <c r="O237" s="48">
        <f>IF(t&lt;Tnet,'2023'!Resal+('2023'!Salim-'2023'!Resal)*(1-EXP(('2023'!Tnet-t)/('2023'!Tau_j))),Resal+(Salim-Resal)*(1-EXP((Tnet-t)/(Tau_j))))*Salcycl</f>
        <v>8.7123614638484753E-2</v>
      </c>
      <c r="P237" s="169">
        <f>(INDEX(Models!$BJ237:$BT237,,T237)*(1-R237)+INDEX(Models!$BJ237:$BT237,,T237+1)*R237-ERP_i)*Q237*Ramure*Pc/MaxiM</f>
        <v>4.5214128829234863E-4</v>
      </c>
      <c r="Q237" s="305">
        <f t="shared" si="80"/>
        <v>0.7</v>
      </c>
      <c r="R237" s="177">
        <f t="shared" si="81"/>
        <v>0.17034625092807154</v>
      </c>
      <c r="S237" s="810">
        <f t="shared" si="82"/>
        <v>1</v>
      </c>
      <c r="T237" s="176">
        <f t="shared" si="83"/>
        <v>7</v>
      </c>
      <c r="U237" s="251">
        <f t="shared" si="84"/>
        <v>1.1703462509280715</v>
      </c>
      <c r="V237" s="383">
        <f t="shared" si="85"/>
        <v>49.79985250513819</v>
      </c>
      <c r="W237" s="402">
        <f t="shared" si="86"/>
        <v>43.054907191578984</v>
      </c>
      <c r="X237" s="157">
        <f t="shared" si="87"/>
        <v>45514</v>
      </c>
      <c r="Y237" s="385">
        <f t="shared" si="88"/>
        <v>40.278274516244622</v>
      </c>
      <c r="Z237" s="385">
        <f t="shared" si="89"/>
        <v>42.395122114507643</v>
      </c>
      <c r="AA237" s="386">
        <f t="shared" si="90"/>
        <v>49.642736984024289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0.14599547305075106</v>
      </c>
      <c r="AD237" s="231">
        <f>(INDEX(Models!$BJ237:$BT237,,AH237)*(1-AF237)+INDEX(Models!$BJ237:$BT237,,AH237+1)*AF237-ERP_i)*AE237*Ramure*Pc/MaxiM</f>
        <v>4.5214128829234863E-4</v>
      </c>
      <c r="AE237" s="305">
        <f t="shared" si="92"/>
        <v>0.7</v>
      </c>
      <c r="AF237" s="177">
        <f t="shared" si="93"/>
        <v>0.17034625092807154</v>
      </c>
      <c r="AG237" s="810">
        <f t="shared" si="99"/>
        <v>1</v>
      </c>
      <c r="AH237" s="176">
        <f t="shared" si="94"/>
        <v>7</v>
      </c>
      <c r="AI237" s="225">
        <f t="shared" si="95"/>
        <v>1.1703462509280715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44.170540328750143</v>
      </c>
      <c r="C238" s="840"/>
      <c r="D238" s="393">
        <f t="shared" si="77"/>
        <v>46.493030128619502</v>
      </c>
      <c r="E238" s="385">
        <f t="shared" si="100"/>
        <v>50.93629768848821</v>
      </c>
      <c r="F238" s="385">
        <f t="shared" si="78"/>
        <v>50.956680999254836</v>
      </c>
      <c r="G238" s="110">
        <f t="shared" si="101"/>
        <v>0.89046528103484579</v>
      </c>
      <c r="H238" s="414" t="b">
        <f>Wh_hp&gt;='2023'!Maxi_hp</f>
        <v>0</v>
      </c>
      <c r="I238" s="390">
        <f>IF(H238,Wh_hp,'2023'!Maxi_hp)</f>
        <v>50.958333427693667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4.9953504717682673E-2</v>
      </c>
      <c r="M238" s="844"/>
      <c r="N238" s="844"/>
      <c r="O238" s="48">
        <f>IF(t&lt;Tnet,'2023'!Resal+('2023'!Salim-'2023'!Resal)*(1-EXP(('2023'!Tnet-t)/('2023'!Tau_j))),Resal+(Salim-Resal)*(1-EXP((Tnet-t)/(Tau_j))))*Salcycl</f>
        <v>8.7231851577483213E-2</v>
      </c>
      <c r="P238" s="169">
        <f>(INDEX(Models!$BJ238:$BT238,,T238)*(1-R238)+INDEX(Models!$BJ238:$BT238,,T238+1)*R238-ERP_i)*Q238*Ramure*Pc/MaxiM</f>
        <v>4.7416411211683037E-4</v>
      </c>
      <c r="Q238" s="305">
        <f t="shared" si="80"/>
        <v>0.7</v>
      </c>
      <c r="R238" s="177">
        <f t="shared" si="81"/>
        <v>0.17143516211812426</v>
      </c>
      <c r="S238" s="810">
        <f t="shared" si="82"/>
        <v>1</v>
      </c>
      <c r="T238" s="176">
        <f t="shared" si="83"/>
        <v>7</v>
      </c>
      <c r="U238" s="251">
        <f t="shared" si="84"/>
        <v>1.1714351621181243</v>
      </c>
      <c r="V238" s="383">
        <f t="shared" si="85"/>
        <v>49.600208613610896</v>
      </c>
      <c r="W238" s="402">
        <f t="shared" si="86"/>
        <v>44.170540328750143</v>
      </c>
      <c r="X238" s="157">
        <f t="shared" si="87"/>
        <v>45515</v>
      </c>
      <c r="Y238" s="385">
        <f t="shared" si="88"/>
        <v>41.324849732936066</v>
      </c>
      <c r="Z238" s="385">
        <f t="shared" si="89"/>
        <v>43.497712941571251</v>
      </c>
      <c r="AA238" s="386">
        <f t="shared" si="90"/>
        <v>50.93629768848821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0.14603701259186941</v>
      </c>
      <c r="AD238" s="231">
        <f>(INDEX(Models!$BJ238:$BT238,,AH238)*(1-AF238)+INDEX(Models!$BJ238:$BT238,,AH238+1)*AF238-ERP_i)*AE238*Ramure*Pc/MaxiM</f>
        <v>4.7416411211683037E-4</v>
      </c>
      <c r="AE238" s="305">
        <f t="shared" si="92"/>
        <v>0.7</v>
      </c>
      <c r="AF238" s="177">
        <f t="shared" si="93"/>
        <v>0.17143516211812426</v>
      </c>
      <c r="AG238" s="810">
        <f t="shared" si="99"/>
        <v>1</v>
      </c>
      <c r="AH238" s="176">
        <f t="shared" si="94"/>
        <v>7</v>
      </c>
      <c r="AI238" s="225">
        <f t="shared" si="95"/>
        <v>1.1714351621181243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32.272705766712335</v>
      </c>
      <c r="C239" s="840"/>
      <c r="D239" s="393">
        <f t="shared" si="77"/>
        <v>33.97039721472845</v>
      </c>
      <c r="E239" s="385">
        <f t="shared" si="100"/>
        <v>37.221296026535889</v>
      </c>
      <c r="F239" s="385">
        <f t="shared" si="78"/>
        <v>37.23065199093508</v>
      </c>
      <c r="G239" s="110">
        <f t="shared" si="101"/>
        <v>0.65316933317856851</v>
      </c>
      <c r="H239" s="414" t="b">
        <f>Wh_hp&gt;='2023'!Maxi_hp</f>
        <v>0</v>
      </c>
      <c r="I239" s="390">
        <f>IF(H239,Wh_hp,'2023'!Maxi_hp)</f>
        <v>49.519418885775274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4.9975613687556542E-2</v>
      </c>
      <c r="M239" s="844"/>
      <c r="N239" s="844"/>
      <c r="O239" s="48">
        <f>IF(t&lt;Tnet,'2023'!Resal+('2023'!Salim-'2023'!Resal)*(1-EXP(('2023'!Tnet-t)/('2023'!Tau_j))),Resal+(Salim-Resal)*(1-EXP((Tnet-t)/(Tau_j))))*Salcycl</f>
        <v>8.7339753282362834E-2</v>
      </c>
      <c r="P239" s="169">
        <f>(INDEX(Models!$BJ239:$BT239,,T239)*(1-R239)+INDEX(Models!$BJ239:$BT239,,T239+1)*R239-ERP_i)*Q239*Ramure*Pc/MaxiM</f>
        <v>4.978573023270578E-4</v>
      </c>
      <c r="Q239" s="305">
        <f t="shared" si="80"/>
        <v>0.7</v>
      </c>
      <c r="R239" s="177">
        <f t="shared" si="81"/>
        <v>0.17248624878031915</v>
      </c>
      <c r="S239" s="810">
        <f t="shared" si="82"/>
        <v>1</v>
      </c>
      <c r="T239" s="176">
        <f t="shared" si="83"/>
        <v>7</v>
      </c>
      <c r="U239" s="251">
        <f t="shared" si="84"/>
        <v>1.1724862487803192</v>
      </c>
      <c r="V239" s="383">
        <f t="shared" si="85"/>
        <v>49.397215960792288</v>
      </c>
      <c r="W239" s="402">
        <f t="shared" si="86"/>
        <v>32.272705766712335</v>
      </c>
      <c r="X239" s="157">
        <f t="shared" si="87"/>
        <v>45516</v>
      </c>
      <c r="Y239" s="385">
        <f t="shared" si="88"/>
        <v>30.195648993824715</v>
      </c>
      <c r="Z239" s="385">
        <f t="shared" si="89"/>
        <v>31.784077786708508</v>
      </c>
      <c r="AA239" s="386">
        <f t="shared" si="90"/>
        <v>37.221296026535889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0.14607815471957417</v>
      </c>
      <c r="AD239" s="231">
        <f>(INDEX(Models!$BJ239:$BT239,,AH239)*(1-AF239)+INDEX(Models!$BJ239:$BT239,,AH239+1)*AF239-ERP_i)*AE239*Ramure*Pc/MaxiM</f>
        <v>4.978573023270578E-4</v>
      </c>
      <c r="AE239" s="305">
        <f t="shared" si="92"/>
        <v>0.7</v>
      </c>
      <c r="AF239" s="177">
        <f t="shared" si="93"/>
        <v>0.17248624878031915</v>
      </c>
      <c r="AG239" s="810">
        <f t="shared" si="99"/>
        <v>1</v>
      </c>
      <c r="AH239" s="176">
        <f t="shared" si="94"/>
        <v>7</v>
      </c>
      <c r="AI239" s="225">
        <f t="shared" si="95"/>
        <v>1.1724862487803192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31.634733365918809</v>
      </c>
      <c r="C240" s="840"/>
      <c r="D240" s="393">
        <f t="shared" si="77"/>
        <v>33.299639488525592</v>
      </c>
      <c r="E240" s="385">
        <f t="shared" si="100"/>
        <v>36.490648715695308</v>
      </c>
      <c r="F240" s="385">
        <f t="shared" si="78"/>
        <v>36.500029767021772</v>
      </c>
      <c r="G240" s="110">
        <f t="shared" si="101"/>
        <v>0.64293286480869916</v>
      </c>
      <c r="H240" s="414" t="b">
        <f>Wh_hp&gt;='2023'!Maxi_hp</f>
        <v>0</v>
      </c>
      <c r="I240" s="390">
        <f>IF(H240,Wh_hp,'2023'!Maxi_hp)</f>
        <v>56.438545472421865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4.9997722142922307E-2</v>
      </c>
      <c r="M240" s="844"/>
      <c r="N240" s="844"/>
      <c r="O240" s="48">
        <f>IF(t&lt;Tnet,'2023'!Resal+('2023'!Salim-'2023'!Resal)*(1-EXP(('2023'!Tnet-t)/('2023'!Tau_j))),Resal+(Salim-Resal)*(1-EXP((Tnet-t)/(Tau_j))))*Salcycl</f>
        <v>8.7447314297736889E-2</v>
      </c>
      <c r="P240" s="169">
        <f>(INDEX(Models!$BJ240:$BT240,,T240)*(1-R240)+INDEX(Models!$BJ240:$BT240,,T240+1)*R240-ERP_i)*Q240*Ramure*Pc/MaxiM</f>
        <v>5.2435992077335693E-4</v>
      </c>
      <c r="Q240" s="305">
        <f t="shared" si="80"/>
        <v>0.7</v>
      </c>
      <c r="R240" s="177">
        <f t="shared" si="81"/>
        <v>0.17350060602907824</v>
      </c>
      <c r="S240" s="810">
        <f t="shared" si="82"/>
        <v>1</v>
      </c>
      <c r="T240" s="176">
        <f t="shared" si="83"/>
        <v>7</v>
      </c>
      <c r="U240" s="251">
        <f t="shared" si="84"/>
        <v>1.1735006060290782</v>
      </c>
      <c r="V240" s="383">
        <f t="shared" si="85"/>
        <v>49.190631766032979</v>
      </c>
      <c r="W240" s="402">
        <f t="shared" si="86"/>
        <v>31.634733365918809</v>
      </c>
      <c r="X240" s="157">
        <f t="shared" si="87"/>
        <v>45517</v>
      </c>
      <c r="Y240" s="385">
        <f t="shared" si="88"/>
        <v>29.600812784970209</v>
      </c>
      <c r="Z240" s="385">
        <f t="shared" si="89"/>
        <v>31.158675589432089</v>
      </c>
      <c r="AA240" s="386">
        <f t="shared" si="90"/>
        <v>36.490648715695308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0.14611889111113105</v>
      </c>
      <c r="AD240" s="231">
        <f>(INDEX(Models!$BJ240:$BT240,,AH240)*(1-AF240)+INDEX(Models!$BJ240:$BT240,,AH240+1)*AF240-ERP_i)*AE240*Ramure*Pc/MaxiM</f>
        <v>5.2435992077335693E-4</v>
      </c>
      <c r="AE240" s="305">
        <f t="shared" si="92"/>
        <v>0.7</v>
      </c>
      <c r="AF240" s="177">
        <f t="shared" si="93"/>
        <v>0.17350060602907824</v>
      </c>
      <c r="AG240" s="810">
        <f t="shared" si="99"/>
        <v>1</v>
      </c>
      <c r="AH240" s="176">
        <f t="shared" si="94"/>
        <v>7</v>
      </c>
      <c r="AI240" s="225">
        <f t="shared" si="95"/>
        <v>1.1735006060290782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38.251866059325934</v>
      </c>
      <c r="C241" s="840"/>
      <c r="D241" s="393">
        <f t="shared" si="77"/>
        <v>40.265962670252264</v>
      </c>
      <c r="E241" s="385">
        <f t="shared" si="100"/>
        <v>44.12971943257763</v>
      </c>
      <c r="F241" s="385">
        <f t="shared" si="78"/>
        <v>44.146497988821423</v>
      </c>
      <c r="G241" s="110">
        <f t="shared" si="101"/>
        <v>0.7808291498965696</v>
      </c>
      <c r="H241" s="414" t="b">
        <f>Wh_hp&gt;='2023'!Maxi_hp</f>
        <v>0</v>
      </c>
      <c r="I241" s="390">
        <f>IF(H241,Wh_hp,'2023'!Maxi_hp)</f>
        <v>49.907980603306648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5.0019830083792072E-2</v>
      </c>
      <c r="M241" s="844"/>
      <c r="N241" s="844"/>
      <c r="O241" s="48">
        <f>IF(t&lt;Tnet,'2023'!Resal+('2023'!Salim-'2023'!Resal)*(1-EXP(('2023'!Tnet-t)/('2023'!Tau_j))),Resal+(Salim-Resal)*(1-EXP((Tnet-t)/(Tau_j))))*Salcycl</f>
        <v>8.7554528150320554E-2</v>
      </c>
      <c r="P241" s="169">
        <f>(INDEX(Models!$BJ241:$BT241,,T241)*(1-R241)+INDEX(Models!$BJ241:$BT241,,T241+1)*R241-ERP_i)*Q241*Ramure*Pc/MaxiM</f>
        <v>5.5315069312767903E-4</v>
      </c>
      <c r="Q241" s="305">
        <f t="shared" si="80"/>
        <v>0.7</v>
      </c>
      <c r="R241" s="177">
        <f t="shared" si="81"/>
        <v>0.17447931364751046</v>
      </c>
      <c r="S241" s="810">
        <f t="shared" si="82"/>
        <v>1</v>
      </c>
      <c r="T241" s="176">
        <f t="shared" si="83"/>
        <v>7</v>
      </c>
      <c r="U241" s="251">
        <f t="shared" si="84"/>
        <v>1.1744793136475105</v>
      </c>
      <c r="V241" s="383">
        <f t="shared" si="85"/>
        <v>48.980295768268057</v>
      </c>
      <c r="W241" s="402">
        <f t="shared" si="86"/>
        <v>38.251866059325934</v>
      </c>
      <c r="X241" s="157">
        <f t="shared" si="87"/>
        <v>45518</v>
      </c>
      <c r="Y241" s="385">
        <f t="shared" si="88"/>
        <v>35.795019510624243</v>
      </c>
      <c r="Z241" s="385">
        <f t="shared" si="89"/>
        <v>37.679754424538679</v>
      </c>
      <c r="AA241" s="386">
        <f t="shared" si="90"/>
        <v>44.12971943257763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0.14615921177322128</v>
      </c>
      <c r="AD241" s="231">
        <f>(INDEX(Models!$BJ241:$BT241,,AH241)*(1-AF241)+INDEX(Models!$BJ241:$BT241,,AH241+1)*AF241-ERP_i)*AE241*Ramure*Pc/MaxiM</f>
        <v>5.5315069312767903E-4</v>
      </c>
      <c r="AE241" s="305">
        <f t="shared" si="92"/>
        <v>0.7</v>
      </c>
      <c r="AF241" s="177">
        <f t="shared" si="93"/>
        <v>0.17447931364751046</v>
      </c>
      <c r="AG241" s="810">
        <f t="shared" si="99"/>
        <v>1</v>
      </c>
      <c r="AH241" s="176">
        <f t="shared" si="94"/>
        <v>7</v>
      </c>
      <c r="AI241" s="225">
        <f t="shared" si="95"/>
        <v>1.1744793136475105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32.889257192714133</v>
      </c>
      <c r="C242" s="840"/>
      <c r="D242" s="393">
        <f t="shared" si="77"/>
        <v>34.62179909975395</v>
      </c>
      <c r="E242" s="385">
        <f t="shared" si="100"/>
        <v>37.948409310854451</v>
      </c>
      <c r="F242" s="385">
        <f t="shared" si="78"/>
        <v>37.960272781002175</v>
      </c>
      <c r="G242" s="110">
        <f t="shared" si="101"/>
        <v>0.67424646905218089</v>
      </c>
      <c r="H242" s="414" t="b">
        <f>Wh_hp&gt;='2023'!Maxi_hp</f>
        <v>0</v>
      </c>
      <c r="I242" s="390">
        <f>IF(H242,Wh_hp,'2023'!Maxi_hp)</f>
        <v>54.750781223498663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5.0041937510177714E-2</v>
      </c>
      <c r="M242" s="844"/>
      <c r="N242" s="844"/>
      <c r="O242" s="48">
        <f>IF(t&lt;Tnet,'2023'!Resal+('2023'!Salim-'2023'!Resal)*(1-EXP(('2023'!Tnet-t)/('2023'!Tau_j))),Resal+(Salim-Resal)*(1-EXP((Tnet-t)/(Tau_j))))*Salcycl</f>
        <v>8.7661387433938753E-2</v>
      </c>
      <c r="P242" s="169">
        <f>(INDEX(Models!$BJ242:$BT242,,T242)*(1-R242)+INDEX(Models!$BJ242:$BT242,,T242+1)*R242-ERP_i)*Q242*Ramure*Pc/MaxiM</f>
        <v>5.8426524691573053E-4</v>
      </c>
      <c r="Q242" s="305">
        <f t="shared" si="80"/>
        <v>0.7</v>
      </c>
      <c r="R242" s="177">
        <f t="shared" si="81"/>
        <v>0.17542343494992552</v>
      </c>
      <c r="S242" s="810">
        <f t="shared" si="82"/>
        <v>1</v>
      </c>
      <c r="T242" s="176">
        <f t="shared" si="83"/>
        <v>7</v>
      </c>
      <c r="U242" s="251">
        <f t="shared" si="84"/>
        <v>1.1754234349499255</v>
      </c>
      <c r="V242" s="383">
        <f t="shared" si="85"/>
        <v>48.766020316738569</v>
      </c>
      <c r="W242" s="402">
        <f t="shared" si="86"/>
        <v>32.889257192714133</v>
      </c>
      <c r="X242" s="157">
        <f t="shared" si="87"/>
        <v>45519</v>
      </c>
      <c r="Y242" s="385">
        <f t="shared" si="88"/>
        <v>30.779007743348245</v>
      </c>
      <c r="Z242" s="385">
        <f t="shared" si="89"/>
        <v>32.400385826166939</v>
      </c>
      <c r="AA242" s="386">
        <f t="shared" si="90"/>
        <v>37.948409310854451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0.14619910519149479</v>
      </c>
      <c r="AD242" s="231">
        <f>(INDEX(Models!$BJ242:$BT242,,AH242)*(1-AF242)+INDEX(Models!$BJ242:$BT242,,AH242+1)*AF242-ERP_i)*AE242*Ramure*Pc/MaxiM</f>
        <v>5.8426524691573053E-4</v>
      </c>
      <c r="AE242" s="305">
        <f t="shared" si="92"/>
        <v>0.7</v>
      </c>
      <c r="AF242" s="177">
        <f t="shared" si="93"/>
        <v>0.17542343494992552</v>
      </c>
      <c r="AG242" s="810">
        <f t="shared" si="99"/>
        <v>1</v>
      </c>
      <c r="AH242" s="176">
        <f t="shared" si="94"/>
        <v>7</v>
      </c>
      <c r="AI242" s="225">
        <f t="shared" si="95"/>
        <v>1.1754234349499255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27.385336895055548</v>
      </c>
      <c r="C243" s="840"/>
      <c r="D243" s="393">
        <f t="shared" si="77"/>
        <v>28.82861390207642</v>
      </c>
      <c r="E243" s="385">
        <f t="shared" si="100"/>
        <v>31.602279061376798</v>
      </c>
      <c r="F243" s="385">
        <f t="shared" si="78"/>
        <v>31.609645944203301</v>
      </c>
      <c r="G243" s="110">
        <f t="shared" si="101"/>
        <v>0.563875241317909</v>
      </c>
      <c r="H243" s="414" t="b">
        <f>Wh_hp&gt;='2023'!Maxi_hp</f>
        <v>0</v>
      </c>
      <c r="I243" s="390">
        <f>IF(H243,Wh_hp,'2023'!Maxi_hp)</f>
        <v>54.337378968983657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5.0064044422091225E-2</v>
      </c>
      <c r="M243" s="844"/>
      <c r="N243" s="844"/>
      <c r="O243" s="48">
        <f>IF(t&lt;Tnet,'2023'!Resal+('2023'!Salim-'2023'!Resal)*(1-EXP(('2023'!Tnet-t)/('2023'!Tau_j))),Resal+(Salim-Resal)*(1-EXP((Tnet-t)/(Tau_j))))*Salcycl</f>
        <v>8.7767883889433018E-2</v>
      </c>
      <c r="P243" s="169">
        <f>(INDEX(Models!$BJ243:$BT243,,T243)*(1-R243)+INDEX(Models!$BJ243:$BT243,,T243+1)*R243-ERP_i)*Q243*Ramure*Pc/MaxiM</f>
        <v>6.1774103406836975E-4</v>
      </c>
      <c r="Q243" s="305">
        <f t="shared" si="80"/>
        <v>0.7</v>
      </c>
      <c r="R243" s="177">
        <f t="shared" si="81"/>
        <v>0.17633401577780772</v>
      </c>
      <c r="S243" s="810">
        <f t="shared" si="82"/>
        <v>1</v>
      </c>
      <c r="T243" s="176">
        <f t="shared" si="83"/>
        <v>7</v>
      </c>
      <c r="U243" s="251">
        <f t="shared" si="84"/>
        <v>1.1763340157778077</v>
      </c>
      <c r="V243" s="383">
        <f t="shared" si="85"/>
        <v>48.547617913717055</v>
      </c>
      <c r="W243" s="402">
        <f t="shared" si="86"/>
        <v>27.385336895055548</v>
      </c>
      <c r="X243" s="157">
        <f t="shared" si="87"/>
        <v>45520</v>
      </c>
      <c r="Y243" s="385">
        <f t="shared" si="88"/>
        <v>25.630038990485748</v>
      </c>
      <c r="Z243" s="385">
        <f t="shared" si="89"/>
        <v>26.980807327051121</v>
      </c>
      <c r="AA243" s="386">
        <f t="shared" si="90"/>
        <v>31.602279061376798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0.14623855847073627</v>
      </c>
      <c r="AD243" s="231">
        <f>(INDEX(Models!$BJ243:$BT243,,AH243)*(1-AF243)+INDEX(Models!$BJ243:$BT243,,AH243+1)*AF243-ERP_i)*AE243*Ramure*Pc/MaxiM</f>
        <v>6.1774103406836975E-4</v>
      </c>
      <c r="AE243" s="305">
        <f t="shared" si="92"/>
        <v>0.7</v>
      </c>
      <c r="AF243" s="177">
        <f t="shared" si="93"/>
        <v>0.17633401577780772</v>
      </c>
      <c r="AG243" s="810">
        <f t="shared" si="99"/>
        <v>1</v>
      </c>
      <c r="AH243" s="176">
        <f t="shared" si="94"/>
        <v>7</v>
      </c>
      <c r="AI243" s="225">
        <f t="shared" si="95"/>
        <v>1.1763340157778077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34.092093238988006</v>
      </c>
      <c r="C244" s="840"/>
      <c r="D244" s="393">
        <f t="shared" si="77"/>
        <v>35.889668593000501</v>
      </c>
      <c r="E244" s="385">
        <f t="shared" si="100"/>
        <v>39.347271020237308</v>
      </c>
      <c r="F244" s="385">
        <f t="shared" si="78"/>
        <v>39.362173914756838</v>
      </c>
      <c r="G244" s="110">
        <f t="shared" si="101"/>
        <v>0.7052826439285117</v>
      </c>
      <c r="H244" s="414" t="b">
        <f>Wh_hp&gt;='2023'!Maxi_hp</f>
        <v>0</v>
      </c>
      <c r="I244" s="390">
        <f>IF(H244,Wh_hp,'2023'!Maxi_hp)</f>
        <v>54.641783425949193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5.0086150819544595E-2</v>
      </c>
      <c r="M244" s="844"/>
      <c r="N244" s="844"/>
      <c r="O244" s="48">
        <f>IF(t&lt;Tnet,'2023'!Resal+('2023'!Salim-'2023'!Resal)*(1-EXP(('2023'!Tnet-t)/('2023'!Tau_j))),Resal+(Salim-Resal)*(1-EXP((Tnet-t)/(Tau_j))))*Salcycl</f>
        <v>8.7874008478465424E-2</v>
      </c>
      <c r="P244" s="169">
        <f>(INDEX(Models!$BJ244:$BT244,,T244)*(1-R244)+INDEX(Models!$BJ244:$BT244,,T244+1)*R244-ERP_i)*Q244*Ramure*Pc/MaxiM</f>
        <v>6.5361747854993904E-4</v>
      </c>
      <c r="Q244" s="305">
        <f t="shared" si="80"/>
        <v>0.7</v>
      </c>
      <c r="R244" s="177">
        <f t="shared" si="81"/>
        <v>0.17721208362165841</v>
      </c>
      <c r="S244" s="810">
        <f t="shared" si="82"/>
        <v>1</v>
      </c>
      <c r="T244" s="176">
        <f t="shared" si="83"/>
        <v>7</v>
      </c>
      <c r="U244" s="251">
        <f t="shared" si="84"/>
        <v>1.1772120836216584</v>
      </c>
      <c r="V244" s="383">
        <f t="shared" si="85"/>
        <v>48.324901208105004</v>
      </c>
      <c r="W244" s="402">
        <f t="shared" si="86"/>
        <v>34.092093238988006</v>
      </c>
      <c r="X244" s="157">
        <f t="shared" si="87"/>
        <v>45521</v>
      </c>
      <c r="Y244" s="385">
        <f t="shared" si="88"/>
        <v>31.909171958362329</v>
      </c>
      <c r="Z244" s="385">
        <f t="shared" si="89"/>
        <v>33.59164832252123</v>
      </c>
      <c r="AA244" s="386">
        <f t="shared" si="90"/>
        <v>39.347271020237308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0.14627755746404406</v>
      </c>
      <c r="AD244" s="231">
        <f>(INDEX(Models!$BJ244:$BT244,,AH244)*(1-AF244)+INDEX(Models!$BJ244:$BT244,,AH244+1)*AF244-ERP_i)*AE244*Ramure*Pc/MaxiM</f>
        <v>6.5361747854993904E-4</v>
      </c>
      <c r="AE244" s="305">
        <f t="shared" si="92"/>
        <v>0.7</v>
      </c>
      <c r="AF244" s="177">
        <f t="shared" si="93"/>
        <v>0.17721208362165841</v>
      </c>
      <c r="AG244" s="810">
        <f t="shared" si="99"/>
        <v>1</v>
      </c>
      <c r="AH244" s="176">
        <f t="shared" si="94"/>
        <v>7</v>
      </c>
      <c r="AI244" s="225">
        <f t="shared" si="95"/>
        <v>1.1772120836216584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40.710430943906097</v>
      </c>
      <c r="C245" s="840"/>
      <c r="D245" s="393">
        <f t="shared" si="77"/>
        <v>42.857969059278361</v>
      </c>
      <c r="E245" s="385">
        <f t="shared" si="100"/>
        <v>46.992343785604625</v>
      </c>
      <c r="F245" s="385">
        <f t="shared" si="78"/>
        <v>47.017738861931555</v>
      </c>
      <c r="G245" s="110">
        <f t="shared" si="101"/>
        <v>0.84628290687573338</v>
      </c>
      <c r="H245" s="414" t="b">
        <f>Wh_hp&gt;='2023'!Maxi_hp</f>
        <v>0</v>
      </c>
      <c r="I245" s="390">
        <f>IF(H245,Wh_hp,'2023'!Maxi_hp)</f>
        <v>47.020901429543109</v>
      </c>
      <c r="J245" s="85">
        <f>IF(H245,An,'2023'!An_max)</f>
        <v>2022</v>
      </c>
      <c r="K245" s="197">
        <f t="shared" si="79"/>
        <v>45522</v>
      </c>
      <c r="L245" s="147">
        <f>IF(t&lt;Tvie,1-EXP((T0-t)*PertePVj)+'2023'!Pspv,1-EXP((T0-t)*PertePVj)+Pspv)</f>
        <v>5.0108256702549925E-2</v>
      </c>
      <c r="M245" s="844"/>
      <c r="N245" s="844"/>
      <c r="O245" s="48">
        <f>IF(t&lt;Tnet,'2023'!Resal+('2023'!Salim-'2023'!Resal)*(1-EXP(('2023'!Tnet-t)/('2023'!Tau_j))),Resal+(Salim-Resal)*(1-EXP((Tnet-t)/(Tau_j))))*Salcycl</f>
        <v>8.7979751450336596E-2</v>
      </c>
      <c r="P245" s="169">
        <f>(INDEX(Models!$BJ245:$BT245,,T245)*(1-R245)+INDEX(Models!$BJ245:$BT245,,T245+1)*R245-ERP_i)*Q245*Ramure*Pc/MaxiM</f>
        <v>6.9193613190925195E-4</v>
      </c>
      <c r="Q245" s="305">
        <f t="shared" si="80"/>
        <v>0.7</v>
      </c>
      <c r="R245" s="177">
        <f t="shared" si="81"/>
        <v>0.17805864686120998</v>
      </c>
      <c r="S245" s="810">
        <f t="shared" si="82"/>
        <v>1</v>
      </c>
      <c r="T245" s="176">
        <f t="shared" si="83"/>
        <v>7</v>
      </c>
      <c r="U245" s="251">
        <f t="shared" si="84"/>
        <v>1.17805864686121</v>
      </c>
      <c r="V245" s="383">
        <f t="shared" si="85"/>
        <v>48.097682994204654</v>
      </c>
      <c r="W245" s="402">
        <f t="shared" si="86"/>
        <v>40.710430943906097</v>
      </c>
      <c r="X245" s="157">
        <f t="shared" si="87"/>
        <v>45522</v>
      </c>
      <c r="Y245" s="385">
        <f t="shared" si="88"/>
        <v>38.10643464097469</v>
      </c>
      <c r="Z245" s="385">
        <f t="shared" si="89"/>
        <v>40.116607929122722</v>
      </c>
      <c r="AA245" s="386">
        <f t="shared" si="90"/>
        <v>46.992343785604625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0.14631608688963033</v>
      </c>
      <c r="AD245" s="231">
        <f>(INDEX(Models!$BJ245:$BT245,,AH245)*(1-AF245)+INDEX(Models!$BJ245:$BT245,,AH245+1)*AF245-ERP_i)*AE245*Ramure*Pc/MaxiM</f>
        <v>6.9193613190925195E-4</v>
      </c>
      <c r="AE245" s="305">
        <f t="shared" si="92"/>
        <v>0.7</v>
      </c>
      <c r="AF245" s="177">
        <f t="shared" si="93"/>
        <v>0.17805864686120998</v>
      </c>
      <c r="AG245" s="810">
        <f t="shared" si="99"/>
        <v>1</v>
      </c>
      <c r="AH245" s="176">
        <f t="shared" si="94"/>
        <v>7</v>
      </c>
      <c r="AI245" s="225">
        <f t="shared" si="95"/>
        <v>1.17805864686121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45.697653685803317</v>
      </c>
      <c r="C246" s="840"/>
      <c r="D246" s="393">
        <f t="shared" si="77"/>
        <v>48.109395080196059</v>
      </c>
      <c r="E246" s="385">
        <f t="shared" si="100"/>
        <v>52.75645261072907</v>
      </c>
      <c r="F246" s="385">
        <f t="shared" si="78"/>
        <v>52.792632793026414</v>
      </c>
      <c r="G246" s="110">
        <f t="shared" si="101"/>
        <v>0.95465882085038722</v>
      </c>
      <c r="H246" s="414" t="b">
        <f>Wh_hp&gt;='2023'!Maxi_hp</f>
        <v>0</v>
      </c>
      <c r="I246" s="390">
        <f>IF(H246,Wh_hp,'2023'!Maxi_hp)</f>
        <v>52.793741266565121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5.0130362071118983E-2</v>
      </c>
      <c r="M246" s="844"/>
      <c r="N246" s="844"/>
      <c r="O246" s="48">
        <f>IF(t&lt;Tnet,'2023'!Resal+('2023'!Salim-'2023'!Resal)*(1-EXP(('2023'!Tnet-t)/('2023'!Tau_j))),Resal+(Salim-Resal)*(1-EXP((Tnet-t)/(Tau_j))))*Salcycl</f>
        <v>8.8085102401065152E-2</v>
      </c>
      <c r="P246" s="169">
        <f>(INDEX(Models!$BJ246:$BT246,,T246)*(1-R246)+INDEX(Models!$BJ246:$BT246,,T246+1)*R246-ERP_i)*Q246*Ramure*Pc/MaxiM</f>
        <v>7.327408377998196E-4</v>
      </c>
      <c r="Q246" s="305">
        <f t="shared" si="80"/>
        <v>0.7</v>
      </c>
      <c r="R246" s="177">
        <f t="shared" si="81"/>
        <v>0.17887469411663814</v>
      </c>
      <c r="S246" s="810">
        <f t="shared" si="82"/>
        <v>1</v>
      </c>
      <c r="T246" s="176">
        <f t="shared" si="83"/>
        <v>7</v>
      </c>
      <c r="U246" s="251">
        <f t="shared" si="84"/>
        <v>1.1788746941166381</v>
      </c>
      <c r="V246" s="383">
        <f t="shared" si="85"/>
        <v>47.86577620294085</v>
      </c>
      <c r="W246" s="402">
        <f t="shared" si="86"/>
        <v>45.697653685803317</v>
      </c>
      <c r="X246" s="157">
        <f t="shared" si="87"/>
        <v>45523</v>
      </c>
      <c r="Y246" s="385">
        <f t="shared" si="88"/>
        <v>42.777690572280335</v>
      </c>
      <c r="Z246" s="385">
        <f t="shared" si="89"/>
        <v>45.03532786409918</v>
      </c>
      <c r="AA246" s="386">
        <f t="shared" si="90"/>
        <v>52.75645261072907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0.14635413043407791</v>
      </c>
      <c r="AD246" s="231">
        <f>(INDEX(Models!$BJ246:$BT246,,AH246)*(1-AF246)+INDEX(Models!$BJ246:$BT246,,AH246+1)*AF246-ERP_i)*AE246*Ramure*Pc/MaxiM</f>
        <v>7.327408377998196E-4</v>
      </c>
      <c r="AE246" s="305">
        <f t="shared" si="92"/>
        <v>0.7</v>
      </c>
      <c r="AF246" s="177">
        <f t="shared" si="93"/>
        <v>0.17887469411663814</v>
      </c>
      <c r="AG246" s="810">
        <f t="shared" si="99"/>
        <v>1</v>
      </c>
      <c r="AH246" s="176">
        <f t="shared" si="94"/>
        <v>7</v>
      </c>
      <c r="AI246" s="225">
        <f t="shared" si="95"/>
        <v>1.1788746941166381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29.342869591731123</v>
      </c>
      <c r="C247" s="840"/>
      <c r="D247" s="393">
        <f t="shared" si="77"/>
        <v>30.892189082963441</v>
      </c>
      <c r="E247" s="385">
        <f t="shared" si="100"/>
        <v>33.880074563722914</v>
      </c>
      <c r="F247" s="385">
        <f t="shared" si="78"/>
        <v>33.891950436401423</v>
      </c>
      <c r="G247" s="110">
        <f t="shared" si="101"/>
        <v>0.61579782654245185</v>
      </c>
      <c r="H247" s="414" t="b">
        <f>Wh_hp&gt;='2023'!Maxi_hp</f>
        <v>0</v>
      </c>
      <c r="I247" s="390">
        <f>IF(H247,Wh_hp,'2023'!Maxi_hp)</f>
        <v>52.989538136778435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5.0152466925263761E-2</v>
      </c>
      <c r="M247" s="844"/>
      <c r="N247" s="844"/>
      <c r="O247" s="48">
        <f>IF(t&lt;Tnet,'2023'!Resal+('2023'!Salim-'2023'!Resal)*(1-EXP(('2023'!Tnet-t)/('2023'!Tau_j))),Resal+(Salim-Resal)*(1-EXP((Tnet-t)/(Tau_j))))*Salcycl</f>
        <v>8.8190050324114408E-2</v>
      </c>
      <c r="P247" s="169">
        <f>(INDEX(Models!$BJ247:$BT247,,T247)*(1-R247)+INDEX(Models!$BJ247:$BT247,,T247+1)*R247-ERP_i)*Q247*Ramure*Pc/MaxiM</f>
        <v>7.7606351749848874E-4</v>
      </c>
      <c r="Q247" s="305">
        <f t="shared" si="80"/>
        <v>0.7</v>
      </c>
      <c r="R247" s="177">
        <f t="shared" si="81"/>
        <v>0.17966119370356948</v>
      </c>
      <c r="S247" s="810">
        <f t="shared" si="82"/>
        <v>1</v>
      </c>
      <c r="T247" s="176">
        <f t="shared" si="83"/>
        <v>7</v>
      </c>
      <c r="U247" s="251">
        <f t="shared" si="84"/>
        <v>1.1796611937035695</v>
      </c>
      <c r="V247" s="383">
        <f t="shared" si="85"/>
        <v>47.629877657389152</v>
      </c>
      <c r="W247" s="402">
        <f t="shared" si="86"/>
        <v>29.342869591731123</v>
      </c>
      <c r="X247" s="157">
        <f t="shared" si="87"/>
        <v>45524</v>
      </c>
      <c r="Y247" s="385">
        <f t="shared" si="88"/>
        <v>27.469888756782829</v>
      </c>
      <c r="Z247" s="385">
        <f t="shared" si="89"/>
        <v>28.920313840117572</v>
      </c>
      <c r="AA247" s="386">
        <f t="shared" si="90"/>
        <v>33.880074563722914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0.14639167084112642</v>
      </c>
      <c r="AD247" s="231">
        <f>(INDEX(Models!$BJ247:$BT247,,AH247)*(1-AF247)+INDEX(Models!$BJ247:$BT247,,AH247+1)*AF247-ERP_i)*AE247*Ramure*Pc/MaxiM</f>
        <v>7.7606351749848874E-4</v>
      </c>
      <c r="AE247" s="305">
        <f t="shared" si="92"/>
        <v>0.7</v>
      </c>
      <c r="AF247" s="177">
        <f t="shared" si="93"/>
        <v>0.17966119370356948</v>
      </c>
      <c r="AG247" s="810">
        <f t="shared" si="99"/>
        <v>1</v>
      </c>
      <c r="AH247" s="176">
        <f t="shared" si="94"/>
        <v>7</v>
      </c>
      <c r="AI247" s="225">
        <f t="shared" si="95"/>
        <v>1.1796611937035695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25.133801574075239</v>
      </c>
      <c r="C248" s="840"/>
      <c r="D248" s="393">
        <f t="shared" si="77"/>
        <v>26.461495779860236</v>
      </c>
      <c r="E248" s="385">
        <f t="shared" si="100"/>
        <v>29.024173055662196</v>
      </c>
      <c r="F248" s="385">
        <f t="shared" si="78"/>
        <v>29.032043010919114</v>
      </c>
      <c r="G248" s="110">
        <f t="shared" si="101"/>
        <v>0.53006098809340418</v>
      </c>
      <c r="H248" s="414" t="b">
        <f>Wh_hp&gt;='2023'!Maxi_hp</f>
        <v>0</v>
      </c>
      <c r="I248" s="390">
        <f>IF(H248,Wh_hp,'2023'!Maxi_hp)</f>
        <v>55.477484592844142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5.0174571264996359E-2</v>
      </c>
      <c r="M248" s="844"/>
      <c r="N248" s="844"/>
      <c r="O248" s="48">
        <f>IF(t&lt;Tnet,'2023'!Resal+('2023'!Salim-'2023'!Resal)*(1-EXP(('2023'!Tnet-t)/('2023'!Tau_j))),Resal+(Salim-Resal)*(1-EXP((Tnet-t)/(Tau_j))))*Salcycl</f>
        <v>8.8294583652298725E-2</v>
      </c>
      <c r="P248" s="169">
        <f>(INDEX(Models!$BJ248:$BT248,,T248)*(1-R248)+INDEX(Models!$BJ248:$BT248,,T248+1)*R248-ERP_i)*Q248*Ramure*Pc/MaxiM</f>
        <v>8.23752235751249E-4</v>
      </c>
      <c r="Q248" s="305">
        <f t="shared" si="80"/>
        <v>0.7</v>
      </c>
      <c r="R248" s="177">
        <f t="shared" si="81"/>
        <v>0.18041909318486438</v>
      </c>
      <c r="S248" s="810">
        <f t="shared" si="82"/>
        <v>1</v>
      </c>
      <c r="T248" s="176">
        <f t="shared" si="83"/>
        <v>7</v>
      </c>
      <c r="U248" s="251">
        <f t="shared" si="84"/>
        <v>1.1804190931848644</v>
      </c>
      <c r="V248" s="383">
        <f t="shared" si="85"/>
        <v>47.390597635731034</v>
      </c>
      <c r="W248" s="402">
        <f t="shared" si="86"/>
        <v>25.133801574075239</v>
      </c>
      <c r="X248" s="157">
        <f t="shared" si="87"/>
        <v>45525</v>
      </c>
      <c r="Y248" s="385">
        <f t="shared" si="88"/>
        <v>23.5311664826732</v>
      </c>
      <c r="Z248" s="385">
        <f t="shared" si="89"/>
        <v>24.774201417214609</v>
      </c>
      <c r="AA248" s="386">
        <f t="shared" si="90"/>
        <v>29.024173055662196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0.14642868998531128</v>
      </c>
      <c r="AD248" s="231">
        <f>(INDEX(Models!$BJ248:$BT248,,AH248)*(1-AF248)+INDEX(Models!$BJ248:$BT248,,AH248+1)*AF248-ERP_i)*AE248*Ramure*Pc/MaxiM</f>
        <v>8.23752235751249E-4</v>
      </c>
      <c r="AE248" s="305">
        <f t="shared" si="92"/>
        <v>0.7</v>
      </c>
      <c r="AF248" s="177">
        <f t="shared" si="93"/>
        <v>0.18041909318486438</v>
      </c>
      <c r="AG248" s="810">
        <f t="shared" si="99"/>
        <v>1</v>
      </c>
      <c r="AH248" s="176">
        <f t="shared" si="94"/>
        <v>7</v>
      </c>
      <c r="AI248" s="225">
        <f t="shared" si="95"/>
        <v>1.1804190931848644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45.928402458512522</v>
      </c>
      <c r="C249" s="840"/>
      <c r="D249" s="393">
        <f t="shared" si="77"/>
        <v>48.35569770497532</v>
      </c>
      <c r="E249" s="385">
        <f t="shared" si="100"/>
        <v>53.04478744154914</v>
      </c>
      <c r="F249" s="385">
        <f t="shared" si="78"/>
        <v>53.089521364174558</v>
      </c>
      <c r="G249" s="110">
        <f t="shared" si="101"/>
        <v>0.97410532798761962</v>
      </c>
      <c r="H249" s="414" t="b">
        <f>Wh_hp&gt;='2023'!Maxi_hp</f>
        <v>0</v>
      </c>
      <c r="I249" s="390">
        <f>IF(H249,Wh_hp,'2023'!Maxi_hp)</f>
        <v>53.090277151118499</v>
      </c>
      <c r="J249" s="85">
        <f>IF(H249,An,'2023'!An_max)</f>
        <v>2022</v>
      </c>
      <c r="K249" s="197">
        <f t="shared" si="79"/>
        <v>45526</v>
      </c>
      <c r="L249" s="147">
        <f>IF(t&lt;Tvie,1-EXP((T0-t)*PertePVj)+'2023'!Pspv,1-EXP((T0-t)*PertePVj)+Pspv)</f>
        <v>5.0196675090328657E-2</v>
      </c>
      <c r="M249" s="844"/>
      <c r="N249" s="844"/>
      <c r="O249" s="48">
        <f>IF(t&lt;Tnet,'2023'!Resal+('2023'!Salim-'2023'!Resal)*(1-EXP(('2023'!Tnet-t)/('2023'!Tau_j))),Resal+(Salim-Resal)*(1-EXP((Tnet-t)/(Tau_j))))*Salcycl</f>
        <v>8.8398690290554888E-2</v>
      </c>
      <c r="P249" s="169">
        <f>(INDEX(Models!$BJ249:$BT249,,T249)*(1-R249)+INDEX(Models!$BJ249:$BT249,,T249+1)*R249-ERP_i)*Q249*Ramure*Pc/MaxiM</f>
        <v>8.7493975061015685E-4</v>
      </c>
      <c r="Q249" s="305">
        <f t="shared" si="80"/>
        <v>0.7</v>
      </c>
      <c r="R249" s="177">
        <f t="shared" si="81"/>
        <v>0.18114931901237341</v>
      </c>
      <c r="S249" s="810">
        <f t="shared" si="82"/>
        <v>1</v>
      </c>
      <c r="T249" s="176">
        <f t="shared" si="83"/>
        <v>7</v>
      </c>
      <c r="U249" s="251">
        <f t="shared" si="84"/>
        <v>1.1811493190123734</v>
      </c>
      <c r="V249" s="383">
        <f t="shared" si="85"/>
        <v>47.147793131167418</v>
      </c>
      <c r="W249" s="402">
        <f t="shared" si="86"/>
        <v>45.928402458512522</v>
      </c>
      <c r="X249" s="157">
        <f t="shared" si="87"/>
        <v>45526</v>
      </c>
      <c r="Y249" s="385">
        <f t="shared" si="88"/>
        <v>43.002890426116863</v>
      </c>
      <c r="Z249" s="385">
        <f t="shared" si="89"/>
        <v>45.275573688064888</v>
      </c>
      <c r="AA249" s="386">
        <f t="shared" si="90"/>
        <v>53.04478744154914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0.14646516893003425</v>
      </c>
      <c r="AD249" s="231">
        <f>(INDEX(Models!$BJ249:$BT249,,AH249)*(1-AF249)+INDEX(Models!$BJ249:$BT249,,AH249+1)*AF249-ERP_i)*AE249*Ramure*Pc/MaxiM</f>
        <v>8.7493975061015685E-4</v>
      </c>
      <c r="AE249" s="305">
        <f t="shared" si="92"/>
        <v>0.7</v>
      </c>
      <c r="AF249" s="177">
        <f t="shared" si="93"/>
        <v>0.18114931901237341</v>
      </c>
      <c r="AG249" s="810">
        <f t="shared" si="99"/>
        <v>1</v>
      </c>
      <c r="AH249" s="176">
        <f t="shared" si="94"/>
        <v>7</v>
      </c>
      <c r="AI249" s="225">
        <f t="shared" si="95"/>
        <v>1.1811493190123734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40.916592356913313</v>
      </c>
      <c r="C250" s="840"/>
      <c r="D250" s="393">
        <f t="shared" si="77"/>
        <v>43.08001824677067</v>
      </c>
      <c r="E250" s="385">
        <f t="shared" si="100"/>
        <v>47.26289596888347</v>
      </c>
      <c r="F250" s="385">
        <f t="shared" si="78"/>
        <v>47.298853331123546</v>
      </c>
      <c r="G250" s="110">
        <f t="shared" si="101"/>
        <v>0.87225030067836884</v>
      </c>
      <c r="H250" s="414" t="b">
        <f>Wh_hp&gt;='2023'!Maxi_hp</f>
        <v>0</v>
      </c>
      <c r="I250" s="390">
        <f>IF(H250,Wh_hp,'2023'!Maxi_hp)</f>
        <v>52.284492274475099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5.0218778401272646E-2</v>
      </c>
      <c r="M250" s="844"/>
      <c r="N250" s="844"/>
      <c r="O250" s="48">
        <f>IF(t&lt;Tnet,'2023'!Resal+('2023'!Salim-'2023'!Resal)*(1-EXP(('2023'!Tnet-t)/('2023'!Tau_j))),Resal+(Salim-Resal)*(1-EXP((Tnet-t)/(Tau_j))))*Salcycl</f>
        <v>8.8502357639419368E-2</v>
      </c>
      <c r="P250" s="169">
        <f>(INDEX(Models!$BJ250:$BT250,,T250)*(1-R250)+INDEX(Models!$BJ250:$BT250,,T250+1)*R250-ERP_i)*Q250*Ramure*Pc/MaxiM</f>
        <v>9.2968740760395992E-4</v>
      </c>
      <c r="Q250" s="305">
        <f t="shared" si="80"/>
        <v>0.7</v>
      </c>
      <c r="R250" s="177">
        <f t="shared" si="81"/>
        <v>0.18185277625210472</v>
      </c>
      <c r="S250" s="810">
        <f t="shared" si="82"/>
        <v>1</v>
      </c>
      <c r="T250" s="176">
        <f t="shared" si="83"/>
        <v>7</v>
      </c>
      <c r="U250" s="251">
        <f t="shared" si="84"/>
        <v>1.1818527762521047</v>
      </c>
      <c r="V250" s="383">
        <f t="shared" si="85"/>
        <v>46.901276929284151</v>
      </c>
      <c r="W250" s="402">
        <f t="shared" si="86"/>
        <v>40.916592356913313</v>
      </c>
      <c r="X250" s="157">
        <f t="shared" si="87"/>
        <v>45527</v>
      </c>
      <c r="Y250" s="385">
        <f t="shared" si="88"/>
        <v>38.313063509592013</v>
      </c>
      <c r="Z250" s="385">
        <f t="shared" si="89"/>
        <v>40.338830288833485</v>
      </c>
      <c r="AA250" s="386">
        <f t="shared" si="90"/>
        <v>47.26289596888347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0.14650108796990763</v>
      </c>
      <c r="AD250" s="231">
        <f>(INDEX(Models!$BJ250:$BT250,,AH250)*(1-AF250)+INDEX(Models!$BJ250:$BT250,,AH250+1)*AF250-ERP_i)*AE250*Ramure*Pc/MaxiM</f>
        <v>9.2968740760395992E-4</v>
      </c>
      <c r="AE250" s="305">
        <f t="shared" si="92"/>
        <v>0.7</v>
      </c>
      <c r="AF250" s="177">
        <f t="shared" si="93"/>
        <v>0.18185277625210472</v>
      </c>
      <c r="AG250" s="810">
        <f t="shared" si="99"/>
        <v>1</v>
      </c>
      <c r="AH250" s="176">
        <f t="shared" si="94"/>
        <v>7</v>
      </c>
      <c r="AI250" s="225">
        <f t="shared" si="95"/>
        <v>1.1818527762521047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32.590573907281779</v>
      </c>
      <c r="C251" s="840"/>
      <c r="D251" s="393">
        <f t="shared" si="77"/>
        <v>34.314568043721607</v>
      </c>
      <c r="E251" s="385">
        <f t="shared" si="100"/>
        <v>37.650623058953826</v>
      </c>
      <c r="F251" s="385">
        <f t="shared" si="78"/>
        <v>37.671818664657899</v>
      </c>
      <c r="G251" s="110">
        <f t="shared" si="101"/>
        <v>0.69830867016701981</v>
      </c>
      <c r="H251" s="414" t="b">
        <f>Wh_hp&gt;='2023'!Maxi_hp</f>
        <v>0</v>
      </c>
      <c r="I251" s="390">
        <f>IF(H251,Wh_hp,'2023'!Maxi_hp)</f>
        <v>49.886993974579291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5.0240881197840315E-2</v>
      </c>
      <c r="M251" s="844"/>
      <c r="N251" s="844"/>
      <c r="O251" s="48">
        <f>IF(t&lt;Tnet,'2023'!Resal+('2023'!Salim-'2023'!Resal)*(1-EXP(('2023'!Tnet-t)/('2023'!Tau_j))),Resal+(Salim-Resal)*(1-EXP((Tnet-t)/(Tau_j))))*Salcycl</f>
        <v>8.8605572609212285E-2</v>
      </c>
      <c r="P251" s="169">
        <f>(INDEX(Models!$BJ251:$BT251,,T251)*(1-R251)+INDEX(Models!$BJ251:$BT251,,T251+1)*R251-ERP_i)*Q251*Ramure*Pc/MaxiM</f>
        <v>9.8806020924304089E-4</v>
      </c>
      <c r="Q251" s="305">
        <f t="shared" si="80"/>
        <v>0.7</v>
      </c>
      <c r="R251" s="177">
        <f t="shared" si="81"/>
        <v>0.18253034838647642</v>
      </c>
      <c r="S251" s="810">
        <f t="shared" si="82"/>
        <v>1</v>
      </c>
      <c r="T251" s="176">
        <f t="shared" si="83"/>
        <v>7</v>
      </c>
      <c r="U251" s="251">
        <f t="shared" si="84"/>
        <v>1.1825303483864764</v>
      </c>
      <c r="V251" s="383">
        <f t="shared" si="85"/>
        <v>46.650861929139758</v>
      </c>
      <c r="W251" s="402">
        <f t="shared" si="86"/>
        <v>32.590573907281779</v>
      </c>
      <c r="X251" s="157">
        <f t="shared" si="87"/>
        <v>45528</v>
      </c>
      <c r="Y251" s="385">
        <f t="shared" si="88"/>
        <v>30.519023189359377</v>
      </c>
      <c r="Z251" s="385">
        <f t="shared" si="89"/>
        <v>32.133435294467191</v>
      </c>
      <c r="AA251" s="386">
        <f t="shared" si="90"/>
        <v>37.650623058953826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0.14653642665747524</v>
      </c>
      <c r="AD251" s="231">
        <f>(INDEX(Models!$BJ251:$BT251,,AH251)*(1-AF251)+INDEX(Models!$BJ251:$BT251,,AH251+1)*AF251-ERP_i)*AE251*Ramure*Pc/MaxiM</f>
        <v>9.8806020924304089E-4</v>
      </c>
      <c r="AE251" s="305">
        <f t="shared" si="92"/>
        <v>0.7</v>
      </c>
      <c r="AF251" s="177">
        <f t="shared" si="93"/>
        <v>0.18253034838647642</v>
      </c>
      <c r="AG251" s="810">
        <f t="shared" si="99"/>
        <v>1</v>
      </c>
      <c r="AH251" s="176">
        <f t="shared" si="94"/>
        <v>7</v>
      </c>
      <c r="AI251" s="225">
        <f t="shared" si="95"/>
        <v>1.1825303483864764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40.878376058970616</v>
      </c>
      <c r="C252" s="840"/>
      <c r="D252" s="393">
        <f t="shared" si="77"/>
        <v>43.041784565539949</v>
      </c>
      <c r="E252" s="385">
        <f t="shared" si="100"/>
        <v>47.231622527592293</v>
      </c>
      <c r="F252" s="385">
        <f t="shared" si="78"/>
        <v>47.272830613346912</v>
      </c>
      <c r="G252" s="110">
        <f t="shared" si="101"/>
        <v>0.88091124381655384</v>
      </c>
      <c r="H252" s="414" t="b">
        <f>Wh_hp&gt;='2023'!Maxi_hp</f>
        <v>0</v>
      </c>
      <c r="I252" s="390">
        <f>IF(H252,Wh_hp,'2023'!Maxi_hp)</f>
        <v>51.84257425367344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5.0262983480043655E-2</v>
      </c>
      <c r="M252" s="844"/>
      <c r="N252" s="844"/>
      <c r="O252" s="48">
        <f>IF(t&lt;Tnet,'2023'!Resal+('2023'!Salim-'2023'!Resal)*(1-EXP(('2023'!Tnet-t)/('2023'!Tau_j))),Resal+(Salim-Resal)*(1-EXP((Tnet-t)/(Tau_j))))*Salcycl</f>
        <v>8.8708321625086725E-2</v>
      </c>
      <c r="P252" s="169">
        <f>(INDEX(Models!$BJ252:$BT252,,T252)*(1-R252)+INDEX(Models!$BJ252:$BT252,,T252+1)*R252-ERP_i)*Q252*Ramure*Pc/MaxiM</f>
        <v>1.0501261668057376E-3</v>
      </c>
      <c r="Q252" s="305">
        <f t="shared" si="80"/>
        <v>0.7</v>
      </c>
      <c r="R252" s="177">
        <f t="shared" si="81"/>
        <v>0.18318289718759928</v>
      </c>
      <c r="S252" s="810">
        <f t="shared" si="82"/>
        <v>1</v>
      </c>
      <c r="T252" s="176">
        <f t="shared" si="83"/>
        <v>7</v>
      </c>
      <c r="U252" s="251">
        <f t="shared" si="84"/>
        <v>1.1831828971875993</v>
      </c>
      <c r="V252" s="383">
        <f t="shared" si="85"/>
        <v>46.396361178618548</v>
      </c>
      <c r="W252" s="402">
        <f t="shared" si="86"/>
        <v>40.878376058970616</v>
      </c>
      <c r="X252" s="157">
        <f t="shared" si="87"/>
        <v>45529</v>
      </c>
      <c r="Y252" s="385">
        <f t="shared" si="88"/>
        <v>38.282786656590709</v>
      </c>
      <c r="Z252" s="385">
        <f t="shared" si="89"/>
        <v>40.308828644867596</v>
      </c>
      <c r="AA252" s="386">
        <f t="shared" si="90"/>
        <v>47.231622527592293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0.14657116381467647</v>
      </c>
      <c r="AD252" s="231">
        <f>(INDEX(Models!$BJ252:$BT252,,AH252)*(1-AF252)+INDEX(Models!$BJ252:$BT252,,AH252+1)*AF252-ERP_i)*AE252*Ramure*Pc/MaxiM</f>
        <v>1.0501261668057376E-3</v>
      </c>
      <c r="AE252" s="305">
        <f t="shared" si="92"/>
        <v>0.7</v>
      </c>
      <c r="AF252" s="177">
        <f t="shared" si="93"/>
        <v>0.18318289718759928</v>
      </c>
      <c r="AG252" s="810">
        <f t="shared" si="99"/>
        <v>1</v>
      </c>
      <c r="AH252" s="176">
        <f t="shared" si="94"/>
        <v>7</v>
      </c>
      <c r="AI252" s="225">
        <f t="shared" si="95"/>
        <v>1.1831828971875993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45.289395822890974</v>
      </c>
      <c r="C253" s="840"/>
      <c r="D253" s="393">
        <f t="shared" si="77"/>
        <v>47.687358721445804</v>
      </c>
      <c r="E253" s="385">
        <f t="shared" si="100"/>
        <v>52.335286418730824</v>
      </c>
      <c r="F253" s="385">
        <f t="shared" si="78"/>
        <v>52.39221836677828</v>
      </c>
      <c r="G253" s="110">
        <f t="shared" si="101"/>
        <v>0.98158722936101084</v>
      </c>
      <c r="H253" s="414" t="b">
        <f>Wh_hp&gt;='2023'!Maxi_hp</f>
        <v>0</v>
      </c>
      <c r="I253" s="390">
        <f>IF(H253,Wh_hp,'2023'!Maxi_hp)</f>
        <v>52.392884111456645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5.0285085247894545E-2</v>
      </c>
      <c r="M253" s="844"/>
      <c r="N253" s="844"/>
      <c r="O253" s="48">
        <f>IF(t&lt;Tnet,'2023'!Resal+('2023'!Salim-'2023'!Resal)*(1-EXP(('2023'!Tnet-t)/('2023'!Tau_j))),Resal+(Salim-Resal)*(1-EXP((Tnet-t)/(Tau_j))))*Salcycl</f>
        <v>8.8810590623261104E-2</v>
      </c>
      <c r="P253" s="169">
        <f>(INDEX(Models!$BJ253:$BT253,,T253)*(1-R253)+INDEX(Models!$BJ253:$BT253,,T253+1)*R253-ERP_i)*Q253*Ramure*Pc/MaxiM</f>
        <v>1.1159571044972966E-3</v>
      </c>
      <c r="Q253" s="305">
        <f t="shared" si="80"/>
        <v>0.7</v>
      </c>
      <c r="R253" s="177">
        <f t="shared" si="81"/>
        <v>0.18381126265579706</v>
      </c>
      <c r="S253" s="810">
        <f t="shared" si="82"/>
        <v>1</v>
      </c>
      <c r="T253" s="176">
        <f t="shared" si="83"/>
        <v>7</v>
      </c>
      <c r="U253" s="251">
        <f t="shared" si="84"/>
        <v>1.1838112626557971</v>
      </c>
      <c r="V253" s="383">
        <f t="shared" si="85"/>
        <v>46.137587852422534</v>
      </c>
      <c r="W253" s="402">
        <f t="shared" si="86"/>
        <v>45.289395822890974</v>
      </c>
      <c r="X253" s="157">
        <f t="shared" si="87"/>
        <v>45530</v>
      </c>
      <c r="Y253" s="385">
        <f t="shared" si="88"/>
        <v>42.416791702574194</v>
      </c>
      <c r="Z253" s="385">
        <f t="shared" si="89"/>
        <v>44.662657228717762</v>
      </c>
      <c r="AA253" s="386">
        <f t="shared" si="90"/>
        <v>52.335286418730824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0.14660527752967503</v>
      </c>
      <c r="AD253" s="231">
        <f>(INDEX(Models!$BJ253:$BT253,,AH253)*(1-AF253)+INDEX(Models!$BJ253:$BT253,,AH253+1)*AF253-ERP_i)*AE253*Ramure*Pc/MaxiM</f>
        <v>1.1159571044972966E-3</v>
      </c>
      <c r="AE253" s="305">
        <f t="shared" si="92"/>
        <v>0.7</v>
      </c>
      <c r="AF253" s="177">
        <f t="shared" si="93"/>
        <v>0.18381126265579706</v>
      </c>
      <c r="AG253" s="810">
        <f t="shared" si="99"/>
        <v>1</v>
      </c>
      <c r="AH253" s="176">
        <f t="shared" si="94"/>
        <v>7</v>
      </c>
      <c r="AI253" s="225">
        <f t="shared" si="95"/>
        <v>1.1838112626557971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43.061908387887954</v>
      </c>
      <c r="C254" s="840"/>
      <c r="D254" s="393">
        <f t="shared" si="77"/>
        <v>45.342986464487616</v>
      </c>
      <c r="E254" s="385">
        <f t="shared" si="100"/>
        <v>49.767974807850223</v>
      </c>
      <c r="F254" s="385">
        <f t="shared" si="78"/>
        <v>49.821897620323234</v>
      </c>
      <c r="G254" s="110">
        <f t="shared" si="101"/>
        <v>0.93859530638865774</v>
      </c>
      <c r="H254" s="414" t="b">
        <f>Wh_hp&gt;='2023'!Maxi_hp</f>
        <v>0</v>
      </c>
      <c r="I254" s="390">
        <f>IF(H254,Wh_hp,'2023'!Maxi_hp)</f>
        <v>52.208096554658312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5.0307186501404977E-2</v>
      </c>
      <c r="M254" s="844"/>
      <c r="N254" s="844"/>
      <c r="O254" s="48">
        <f>IF(t&lt;Tnet,'2023'!Resal+('2023'!Salim-'2023'!Resal)*(1-EXP(('2023'!Tnet-t)/('2023'!Tau_j))),Resal+(Salim-Resal)*(1-EXP((Tnet-t)/(Tau_j))))*Salcycl</f>
        <v>8.8912365038904997E-2</v>
      </c>
      <c r="P254" s="169">
        <f>(INDEX(Models!$BJ254:$BT254,,T254)*(1-R254)+INDEX(Models!$BJ254:$BT254,,T254+1)*R254-ERP_i)*Q254*Ramure*Pc/MaxiM</f>
        <v>1.1862007672119941E-3</v>
      </c>
      <c r="Q254" s="305">
        <f t="shared" si="80"/>
        <v>0.7</v>
      </c>
      <c r="R254" s="177">
        <f t="shared" si="81"/>
        <v>0.18441626301784497</v>
      </c>
      <c r="S254" s="810">
        <f t="shared" si="82"/>
        <v>1</v>
      </c>
      <c r="T254" s="176">
        <f t="shared" si="83"/>
        <v>7</v>
      </c>
      <c r="U254" s="251">
        <f t="shared" si="84"/>
        <v>1.184416263017845</v>
      </c>
      <c r="V254" s="383">
        <f t="shared" si="85"/>
        <v>45.874328986431351</v>
      </c>
      <c r="W254" s="402">
        <f t="shared" si="86"/>
        <v>43.061908387887954</v>
      </c>
      <c r="X254" s="157">
        <f t="shared" si="87"/>
        <v>45531</v>
      </c>
      <c r="Y254" s="385">
        <f t="shared" si="88"/>
        <v>40.333512132591778</v>
      </c>
      <c r="Z254" s="385">
        <f t="shared" si="89"/>
        <v>42.470061433871685</v>
      </c>
      <c r="AA254" s="386">
        <f t="shared" si="90"/>
        <v>49.767974807850223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0.14663874513992475</v>
      </c>
      <c r="AD254" s="231">
        <f>(INDEX(Models!$BJ254:$BT254,,AH254)*(1-AF254)+INDEX(Models!$BJ254:$BT254,,AH254+1)*AF254-ERP_i)*AE254*Ramure*Pc/MaxiM</f>
        <v>1.1862007672119941E-3</v>
      </c>
      <c r="AE254" s="305">
        <f t="shared" si="92"/>
        <v>0.7</v>
      </c>
      <c r="AF254" s="177">
        <f t="shared" si="93"/>
        <v>0.18441626301784497</v>
      </c>
      <c r="AG254" s="810">
        <f t="shared" si="99"/>
        <v>1</v>
      </c>
      <c r="AH254" s="176">
        <f t="shared" si="94"/>
        <v>7</v>
      </c>
      <c r="AI254" s="225">
        <f t="shared" si="95"/>
        <v>1.184416263017845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30.290055351330231</v>
      </c>
      <c r="C255" s="840"/>
      <c r="D255" s="393">
        <f t="shared" si="77"/>
        <v>31.895324289108444</v>
      </c>
      <c r="E255" s="385">
        <f t="shared" si="100"/>
        <v>35.011856743396059</v>
      </c>
      <c r="F255" s="385">
        <f t="shared" si="78"/>
        <v>35.034817150336856</v>
      </c>
      <c r="G255" s="110">
        <f t="shared" si="101"/>
        <v>0.66375994072116684</v>
      </c>
      <c r="H255" s="414" t="b">
        <f>Wh_hp&gt;='2023'!Maxi_hp</f>
        <v>0</v>
      </c>
      <c r="I255" s="390">
        <f>IF(H255,Wh_hp,'2023'!Maxi_hp)</f>
        <v>51.532555468070449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5.0329287240587051E-2</v>
      </c>
      <c r="M255" s="844"/>
      <c r="N255" s="844"/>
      <c r="O255" s="48">
        <f>IF(t&lt;Tnet,'2023'!Resal+('2023'!Salim-'2023'!Resal)*(1-EXP(('2023'!Tnet-t)/('2023'!Tau_j))),Resal+(Salim-Resal)*(1-EXP((Tnet-t)/(Tau_j))))*Salcycl</f>
        <v>8.901362978629962E-2</v>
      </c>
      <c r="P255" s="169">
        <f>(INDEX(Models!$BJ255:$BT255,,T255)*(1-R255)+INDEX(Models!$BJ255:$BT255,,T255+1)*R255-ERP_i)*Q255*Ramure*Pc/MaxiM</f>
        <v>1.2597477723356677E-3</v>
      </c>
      <c r="Q255" s="305">
        <f t="shared" si="80"/>
        <v>0.7</v>
      </c>
      <c r="R255" s="177">
        <f t="shared" si="81"/>
        <v>0.18499869477968067</v>
      </c>
      <c r="S255" s="810">
        <f t="shared" si="82"/>
        <v>1</v>
      </c>
      <c r="T255" s="176">
        <f t="shared" si="83"/>
        <v>7</v>
      </c>
      <c r="U255" s="251">
        <f t="shared" si="84"/>
        <v>1.1849986947796807</v>
      </c>
      <c r="V255" s="383">
        <f t="shared" si="85"/>
        <v>45.606452785472555</v>
      </c>
      <c r="W255" s="402">
        <f t="shared" si="86"/>
        <v>30.290055351330231</v>
      </c>
      <c r="X255" s="157">
        <f t="shared" si="87"/>
        <v>45532</v>
      </c>
      <c r="Y255" s="385">
        <f t="shared" si="88"/>
        <v>28.372945012553469</v>
      </c>
      <c r="Z255" s="385">
        <f t="shared" si="89"/>
        <v>29.87661368445443</v>
      </c>
      <c r="AA255" s="386">
        <f t="shared" si="90"/>
        <v>35.011856743396059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0.14667154320258205</v>
      </c>
      <c r="AD255" s="231">
        <f>(INDEX(Models!$BJ255:$BT255,,AH255)*(1-AF255)+INDEX(Models!$BJ255:$BT255,,AH255+1)*AF255-ERP_i)*AE255*Ramure*Pc/MaxiM</f>
        <v>1.2597477723356677E-3</v>
      </c>
      <c r="AE255" s="305">
        <f t="shared" si="92"/>
        <v>0.7</v>
      </c>
      <c r="AF255" s="177">
        <f t="shared" si="93"/>
        <v>0.18499869477968067</v>
      </c>
      <c r="AG255" s="810">
        <f t="shared" si="99"/>
        <v>1</v>
      </c>
      <c r="AH255" s="176">
        <f t="shared" si="94"/>
        <v>7</v>
      </c>
      <c r="AI255" s="225">
        <f t="shared" si="95"/>
        <v>1.1849986947796807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42.915363691243655</v>
      </c>
      <c r="C256" s="840"/>
      <c r="D256" s="393">
        <f t="shared" si="77"/>
        <v>45.190782279674451</v>
      </c>
      <c r="E256" s="385">
        <f t="shared" si="100"/>
        <v>49.61191696653971</v>
      </c>
      <c r="F256" s="385">
        <f t="shared" si="78"/>
        <v>49.673253704281088</v>
      </c>
      <c r="G256" s="110">
        <f t="shared" si="101"/>
        <v>0.94655670424266081</v>
      </c>
      <c r="H256" s="414" t="b">
        <f>Wh_hp&gt;='2023'!Maxi_hp</f>
        <v>0</v>
      </c>
      <c r="I256" s="390">
        <f>IF(H256,Wh_hp,'2023'!Maxi_hp)</f>
        <v>50.059646058487751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5.0351387465452535E-2</v>
      </c>
      <c r="M256" s="844"/>
      <c r="N256" s="844"/>
      <c r="O256" s="48">
        <f>IF(t&lt;Tnet,'2023'!Resal+('2023'!Salim-'2023'!Resal)*(1-EXP(('2023'!Tnet-t)/('2023'!Tau_j))),Resal+(Salim-Resal)*(1-EXP((Tnet-t)/(Tau_j))))*Salcycl</f>
        <v>8.9114369232034488E-2</v>
      </c>
      <c r="P256" s="169">
        <f>(INDEX(Models!$BJ256:$BT256,,T256)*(1-R256)+INDEX(Models!$BJ256:$BT256,,T256+1)*R256-ERP_i)*Q256*Ramure*Pc/MaxiM</f>
        <v>1.336671341499043E-3</v>
      </c>
      <c r="Q256" s="305">
        <f t="shared" si="80"/>
        <v>0.7</v>
      </c>
      <c r="R256" s="177">
        <f t="shared" si="81"/>
        <v>0.18555933282862025</v>
      </c>
      <c r="S256" s="810">
        <f t="shared" si="82"/>
        <v>1</v>
      </c>
      <c r="T256" s="176">
        <f t="shared" si="83"/>
        <v>7</v>
      </c>
      <c r="U256" s="251">
        <f t="shared" si="84"/>
        <v>1.1855593328286202</v>
      </c>
      <c r="V256" s="383">
        <f t="shared" si="85"/>
        <v>45.333772847113224</v>
      </c>
      <c r="W256" s="402">
        <f t="shared" si="86"/>
        <v>42.915363691243655</v>
      </c>
      <c r="X256" s="157">
        <f t="shared" si="87"/>
        <v>45533</v>
      </c>
      <c r="Y256" s="385">
        <f t="shared" si="88"/>
        <v>40.202108880635834</v>
      </c>
      <c r="Z256" s="385">
        <f t="shared" si="89"/>
        <v>42.333667790383167</v>
      </c>
      <c r="AA256" s="386">
        <f t="shared" si="90"/>
        <v>49.61191696653971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0.14670364745360057</v>
      </c>
      <c r="AD256" s="231">
        <f>(INDEX(Models!$BJ256:$BT256,,AH256)*(1-AF256)+INDEX(Models!$BJ256:$BT256,,AH256+1)*AF256-ERP_i)*AE256*Ramure*Pc/MaxiM</f>
        <v>1.336671341499043E-3</v>
      </c>
      <c r="AE256" s="305">
        <f t="shared" si="92"/>
        <v>0.7</v>
      </c>
      <c r="AF256" s="177">
        <f t="shared" si="93"/>
        <v>0.18555933282862025</v>
      </c>
      <c r="AG256" s="810">
        <f t="shared" si="99"/>
        <v>1</v>
      </c>
      <c r="AH256" s="176">
        <f t="shared" si="94"/>
        <v>7</v>
      </c>
      <c r="AI256" s="225">
        <f t="shared" si="95"/>
        <v>1.1855593328286202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22.770022518287092</v>
      </c>
      <c r="C257" s="840"/>
      <c r="D257" s="393">
        <f t="shared" si="77"/>
        <v>23.977871521903815</v>
      </c>
      <c r="E257" s="385">
        <f t="shared" si="100"/>
        <v>26.326586545409015</v>
      </c>
      <c r="F257" s="385">
        <f t="shared" si="78"/>
        <v>26.337536189803316</v>
      </c>
      <c r="G257" s="110">
        <f t="shared" si="101"/>
        <v>0.50486419843116936</v>
      </c>
      <c r="H257" s="414" t="b">
        <f>Wh_hp&gt;='2023'!Maxi_hp</f>
        <v>0</v>
      </c>
      <c r="I257" s="390">
        <f>IF(H257,Wh_hp,'2023'!Maxi_hp)</f>
        <v>49.645877215409939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5.0373487176013532E-2</v>
      </c>
      <c r="M257" s="844"/>
      <c r="N257" s="844"/>
      <c r="O257" s="48">
        <f>IF(t&lt;Tnet,'2023'!Resal+('2023'!Salim-'2023'!Resal)*(1-EXP(('2023'!Tnet-t)/('2023'!Tau_j))),Resal+(Salim-Resal)*(1-EXP((Tnet-t)/(Tau_j))))*Salcycl</f>
        <v>8.9214567162136785E-2</v>
      </c>
      <c r="P257" s="169">
        <f>(INDEX(Models!$BJ257:$BT257,,T257)*(1-R257)+INDEX(Models!$BJ257:$BT257,,T257+1)*R257-ERP_i)*Q257*Ramure*Pc/MaxiM</f>
        <v>1.4170493560150166E-3</v>
      </c>
      <c r="Q257" s="305">
        <f t="shared" si="80"/>
        <v>0.7</v>
      </c>
      <c r="R257" s="177">
        <f t="shared" si="81"/>
        <v>0.18609893058038063</v>
      </c>
      <c r="S257" s="810">
        <f t="shared" si="82"/>
        <v>1</v>
      </c>
      <c r="T257" s="176">
        <f t="shared" si="83"/>
        <v>7</v>
      </c>
      <c r="U257" s="251">
        <f t="shared" si="84"/>
        <v>1.1860989305803806</v>
      </c>
      <c r="V257" s="383">
        <f t="shared" si="85"/>
        <v>45.056102881246503</v>
      </c>
      <c r="W257" s="402">
        <f t="shared" si="86"/>
        <v>22.770022518287092</v>
      </c>
      <c r="X257" s="157">
        <f t="shared" si="87"/>
        <v>45534</v>
      </c>
      <c r="Y257" s="385">
        <f t="shared" si="88"/>
        <v>21.331986456623671</v>
      </c>
      <c r="Z257" s="385">
        <f t="shared" si="89"/>
        <v>22.463554006287058</v>
      </c>
      <c r="AA257" s="386">
        <f t="shared" si="90"/>
        <v>26.326586545409015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0.14673503275705202</v>
      </c>
      <c r="AD257" s="231">
        <f>(INDEX(Models!$BJ257:$BT257,,AH257)*(1-AF257)+INDEX(Models!$BJ257:$BT257,,AH257+1)*AF257-ERP_i)*AE257*Ramure*Pc/MaxiM</f>
        <v>1.4170493560150166E-3</v>
      </c>
      <c r="AE257" s="305">
        <f t="shared" si="92"/>
        <v>0.7</v>
      </c>
      <c r="AF257" s="177">
        <f t="shared" si="93"/>
        <v>0.18609893058038063</v>
      </c>
      <c r="AG257" s="810">
        <f t="shared" si="99"/>
        <v>1</v>
      </c>
      <c r="AH257" s="176">
        <f t="shared" si="94"/>
        <v>7</v>
      </c>
      <c r="AI257" s="225">
        <f t="shared" si="95"/>
        <v>1.1860989305803806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37.455004747834067</v>
      </c>
      <c r="C258" s="840"/>
      <c r="D258" s="393">
        <f t="shared" si="77"/>
        <v>39.442745010784975</v>
      </c>
      <c r="E258" s="385">
        <f t="shared" si="100"/>
        <v>43.3110358181506</v>
      </c>
      <c r="F258" s="385">
        <f t="shared" si="78"/>
        <v>43.360921969129329</v>
      </c>
      <c r="G258" s="110">
        <f t="shared" si="101"/>
        <v>0.83625505964258928</v>
      </c>
      <c r="H258" s="414" t="b">
        <f>Wh_hp&gt;='2023'!Maxi_hp</f>
        <v>0</v>
      </c>
      <c r="I258" s="390">
        <f>IF(H258,Wh_hp,'2023'!Maxi_hp)</f>
        <v>49.265411804235086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5.0395586372282031E-2</v>
      </c>
      <c r="M258" s="844"/>
      <c r="N258" s="844"/>
      <c r="O258" s="48">
        <f>IF(t&lt;Tnet,'2023'!Resal+('2023'!Salim-'2023'!Resal)*(1-EXP(('2023'!Tnet-t)/('2023'!Tau_j))),Resal+(Salim-Resal)*(1-EXP((Tnet-t)/(Tau_j))))*Salcycl</f>
        <v>8.9314206744150929E-2</v>
      </c>
      <c r="P258" s="169">
        <f>(INDEX(Models!$BJ258:$BT258,,T258)*(1-R258)+INDEX(Models!$BJ258:$BT258,,T258+1)*R258-ERP_i)*Q258*Ramure*Pc/MaxiM</f>
        <v>1.5009646753618899E-3</v>
      </c>
      <c r="Q258" s="305">
        <f t="shared" si="80"/>
        <v>0.7</v>
      </c>
      <c r="R258" s="177">
        <f t="shared" si="81"/>
        <v>0.18661822016647767</v>
      </c>
      <c r="S258" s="810">
        <f t="shared" si="82"/>
        <v>1</v>
      </c>
      <c r="T258" s="176">
        <f t="shared" si="83"/>
        <v>7</v>
      </c>
      <c r="U258" s="251">
        <f t="shared" si="84"/>
        <v>1.1866182201664777</v>
      </c>
      <c r="V258" s="383">
        <f t="shared" si="85"/>
        <v>44.77325671227036</v>
      </c>
      <c r="W258" s="402">
        <f t="shared" si="86"/>
        <v>37.455004747834067</v>
      </c>
      <c r="X258" s="157">
        <f t="shared" si="87"/>
        <v>45535</v>
      </c>
      <c r="Y258" s="385">
        <f t="shared" si="88"/>
        <v>35.092120689406073</v>
      </c>
      <c r="Z258" s="385">
        <f t="shared" si="89"/>
        <v>36.954462495962616</v>
      </c>
      <c r="AA258" s="386">
        <f t="shared" si="90"/>
        <v>43.3110358181506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0.1467656730464087</v>
      </c>
      <c r="AD258" s="231">
        <f>(INDEX(Models!$BJ258:$BT258,,AH258)*(1-AF258)+INDEX(Models!$BJ258:$BT258,,AH258+1)*AF258-ERP_i)*AE258*Ramure*Pc/MaxiM</f>
        <v>1.5009646753618899E-3</v>
      </c>
      <c r="AE258" s="305">
        <f t="shared" si="92"/>
        <v>0.7</v>
      </c>
      <c r="AF258" s="177">
        <f t="shared" si="93"/>
        <v>0.18661822016647767</v>
      </c>
      <c r="AG258" s="810">
        <f t="shared" si="99"/>
        <v>1</v>
      </c>
      <c r="AH258" s="176">
        <f t="shared" si="94"/>
        <v>7</v>
      </c>
      <c r="AI258" s="225">
        <f t="shared" si="95"/>
        <v>1.1866182201664777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36.654342923569899</v>
      </c>
      <c r="C259" s="840"/>
      <c r="D259" s="393">
        <f t="shared" si="77"/>
        <v>38.600490285736569</v>
      </c>
      <c r="E259" s="385">
        <f t="shared" si="100"/>
        <v>42.390789404880493</v>
      </c>
      <c r="F259" s="385">
        <f t="shared" si="78"/>
        <v>42.44125382203076</v>
      </c>
      <c r="G259" s="110">
        <f t="shared" si="101"/>
        <v>0.823640409909565</v>
      </c>
      <c r="H259" s="414" t="b">
        <f>Wh_hp&gt;='2023'!Maxi_hp</f>
        <v>0</v>
      </c>
      <c r="I259" s="390">
        <f>IF(H259,Wh_hp,'2023'!Maxi_hp)</f>
        <v>50.515118630968004</v>
      </c>
      <c r="J259" s="85">
        <f>IF(H259,An,'2023'!An_max)</f>
        <v>2019</v>
      </c>
      <c r="K259" s="197">
        <f t="shared" si="79"/>
        <v>45536</v>
      </c>
      <c r="L259" s="147">
        <f>IF(t&lt;Tvie,1-EXP((T0-t)*PertePVj)+'2023'!Pspv,1-EXP((T0-t)*PertePVj)+Pspv)</f>
        <v>5.0417685054269912E-2</v>
      </c>
      <c r="M259" s="844"/>
      <c r="N259" s="844"/>
      <c r="O259" s="48">
        <f>IF(t&lt;Tnet,'2023'!Resal+('2023'!Salim-'2023'!Resal)*(1-EXP(('2023'!Tnet-t)/('2023'!Tau_j))),Resal+(Salim-Resal)*(1-EXP((Tnet-t)/(Tau_j))))*Salcycl</f>
        <v>8.9413270485298887E-2</v>
      </c>
      <c r="P259" s="169">
        <f>(INDEX(Models!$BJ259:$BT259,,T259)*(1-R259)+INDEX(Models!$BJ259:$BT259,,T259+1)*R259-ERP_i)*Q259*Ramure*Pc/MaxiM</f>
        <v>1.5885054790457831E-3</v>
      </c>
      <c r="Q259" s="305">
        <f t="shared" si="80"/>
        <v>0.7</v>
      </c>
      <c r="R259" s="177">
        <f t="shared" si="81"/>
        <v>0.18711791265784306</v>
      </c>
      <c r="S259" s="810">
        <f t="shared" si="82"/>
        <v>1</v>
      </c>
      <c r="T259" s="176">
        <f t="shared" si="83"/>
        <v>7</v>
      </c>
      <c r="U259" s="251">
        <f t="shared" si="84"/>
        <v>1.1871179126578431</v>
      </c>
      <c r="V259" s="383">
        <f t="shared" si="85"/>
        <v>44.485048288853029</v>
      </c>
      <c r="W259" s="402">
        <f t="shared" si="86"/>
        <v>36.654342923569899</v>
      </c>
      <c r="X259" s="157">
        <f t="shared" si="87"/>
        <v>45536</v>
      </c>
      <c r="Y259" s="385">
        <f t="shared" si="88"/>
        <v>34.344503165836308</v>
      </c>
      <c r="Z259" s="385">
        <f t="shared" si="89"/>
        <v>36.168010529765546</v>
      </c>
      <c r="AA259" s="386">
        <f t="shared" si="90"/>
        <v>42.390789404880493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0.14679554125968966</v>
      </c>
      <c r="AD259" s="231">
        <f>(INDEX(Models!$BJ259:$BT259,,AH259)*(1-AF259)+INDEX(Models!$BJ259:$BT259,,AH259+1)*AF259-ERP_i)*AE259*Ramure*Pc/MaxiM</f>
        <v>1.5885054790457831E-3</v>
      </c>
      <c r="AE259" s="305">
        <f t="shared" si="92"/>
        <v>0.7</v>
      </c>
      <c r="AF259" s="177">
        <f t="shared" si="93"/>
        <v>0.18711791265784306</v>
      </c>
      <c r="AG259" s="810">
        <f t="shared" si="99"/>
        <v>1</v>
      </c>
      <c r="AH259" s="176">
        <f t="shared" si="94"/>
        <v>7</v>
      </c>
      <c r="AI259" s="225">
        <f t="shared" si="95"/>
        <v>1.1871179126578431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34.556053930909904</v>
      </c>
      <c r="C260" s="840"/>
      <c r="D260" s="393">
        <f t="shared" si="77"/>
        <v>36.391640382916812</v>
      </c>
      <c r="E260" s="385">
        <f t="shared" si="100"/>
        <v>39.969368073377403</v>
      </c>
      <c r="F260" s="385">
        <f t="shared" si="78"/>
        <v>40.015648379884226</v>
      </c>
      <c r="G260" s="110">
        <f t="shared" si="101"/>
        <v>0.78155563241961379</v>
      </c>
      <c r="H260" s="414" t="b">
        <f>Wh_hp&gt;='2023'!Maxi_hp</f>
        <v>0</v>
      </c>
      <c r="I260" s="390">
        <f>IF(H260,Wh_hp,'2023'!Maxi_hp)</f>
        <v>52.304535343399913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5.0439783221989165E-2</v>
      </c>
      <c r="M260" s="844"/>
      <c r="N260" s="844"/>
      <c r="O260" s="48">
        <f>IF(t&lt;Tnet,'2023'!Resal+('2023'!Salim-'2023'!Resal)*(1-EXP(('2023'!Tnet-t)/('2023'!Tau_j))),Resal+(Salim-Resal)*(1-EXP((Tnet-t)/(Tau_j))))*Salcycl</f>
        <v>8.9511740187947331E-2</v>
      </c>
      <c r="P260" s="169">
        <f>(INDEX(Models!$BJ260:$BT260,,T260)*(1-R260)+INDEX(Models!$BJ260:$BT260,,T260+1)*R260-ERP_i)*Q260*Ramure*Pc/MaxiM</f>
        <v>1.6797656353613054E-3</v>
      </c>
      <c r="Q260" s="305">
        <f t="shared" si="80"/>
        <v>0.7</v>
      </c>
      <c r="R260" s="177">
        <f t="shared" si="81"/>
        <v>0.18759869832074338</v>
      </c>
      <c r="S260" s="810">
        <f t="shared" si="82"/>
        <v>1</v>
      </c>
      <c r="T260" s="176">
        <f t="shared" si="83"/>
        <v>7</v>
      </c>
      <c r="U260" s="251">
        <f t="shared" si="84"/>
        <v>1.1875986983207434</v>
      </c>
      <c r="V260" s="383">
        <f t="shared" si="85"/>
        <v>44.191291669644087</v>
      </c>
      <c r="W260" s="402">
        <f t="shared" si="86"/>
        <v>34.556053930909904</v>
      </c>
      <c r="X260" s="157">
        <f t="shared" si="87"/>
        <v>45537</v>
      </c>
      <c r="Y260" s="385">
        <f t="shared" si="88"/>
        <v>32.380840166636389</v>
      </c>
      <c r="Z260" s="385">
        <f t="shared" si="89"/>
        <v>34.10088122321411</v>
      </c>
      <c r="AA260" s="386">
        <f t="shared" si="90"/>
        <v>39.969368073377403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0.14682460927052152</v>
      </c>
      <c r="AD260" s="231">
        <f>(INDEX(Models!$BJ260:$BT260,,AH260)*(1-AF260)+INDEX(Models!$BJ260:$BT260,,AH260+1)*AF260-ERP_i)*AE260*Ramure*Pc/MaxiM</f>
        <v>1.6797656353613054E-3</v>
      </c>
      <c r="AE260" s="305">
        <f t="shared" si="92"/>
        <v>0.7</v>
      </c>
      <c r="AF260" s="177">
        <f t="shared" si="93"/>
        <v>0.18759869832074338</v>
      </c>
      <c r="AG260" s="810">
        <f t="shared" si="99"/>
        <v>1</v>
      </c>
      <c r="AH260" s="176">
        <f t="shared" si="94"/>
        <v>7</v>
      </c>
      <c r="AI260" s="225">
        <f t="shared" si="95"/>
        <v>1.1875986983207434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40.592652544804835</v>
      </c>
      <c r="C261" s="840"/>
      <c r="D261" s="393">
        <f t="shared" si="77"/>
        <v>42.749892529043812</v>
      </c>
      <c r="E261" s="385">
        <f t="shared" si="100"/>
        <v>46.957758323954344</v>
      </c>
      <c r="F261" s="385">
        <f t="shared" si="78"/>
        <v>47.032271294493398</v>
      </c>
      <c r="G261" s="110">
        <f t="shared" si="101"/>
        <v>0.92466529557367272</v>
      </c>
      <c r="H261" s="414" t="b">
        <f>Wh_hp&gt;='2023'!Maxi_hp</f>
        <v>0</v>
      </c>
      <c r="I261" s="390">
        <f>IF(H261,Wh_hp,'2023'!Maxi_hp)</f>
        <v>50.854678643962053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5.0461880875451781E-2</v>
      </c>
      <c r="M261" s="844"/>
      <c r="N261" s="844"/>
      <c r="O261" s="48">
        <f>IF(t&lt;Tnet,'2023'!Resal+('2023'!Salim-'2023'!Resal)*(1-EXP(('2023'!Tnet-t)/('2023'!Tau_j))),Resal+(Salim-Resal)*(1-EXP((Tnet-t)/(Tau_j))))*Salcycl</f>
        <v>8.9609596903691927E-2</v>
      </c>
      <c r="P261" s="169">
        <f>(INDEX(Models!$BJ261:$BT261,,T261)*(1-R261)+INDEX(Models!$BJ261:$BT261,,T261+1)*R261-ERP_i)*Q261*Ramure*Pc/MaxiM</f>
        <v>1.7748590861828032E-3</v>
      </c>
      <c r="Q261" s="305">
        <f t="shared" si="80"/>
        <v>0.7</v>
      </c>
      <c r="R261" s="177">
        <f t="shared" si="81"/>
        <v>0.18806124690135473</v>
      </c>
      <c r="S261" s="810">
        <f t="shared" si="82"/>
        <v>1</v>
      </c>
      <c r="T261" s="176">
        <f t="shared" si="83"/>
        <v>7</v>
      </c>
      <c r="U261" s="251">
        <f t="shared" si="84"/>
        <v>1.1880612469013547</v>
      </c>
      <c r="V261" s="383">
        <f t="shared" si="85"/>
        <v>43.8914545012302</v>
      </c>
      <c r="W261" s="402">
        <f t="shared" si="86"/>
        <v>40.592652544804835</v>
      </c>
      <c r="X261" s="157">
        <f t="shared" si="87"/>
        <v>45538</v>
      </c>
      <c r="Y261" s="385">
        <f t="shared" si="88"/>
        <v>38.040280082433121</v>
      </c>
      <c r="Z261" s="385">
        <f t="shared" si="89"/>
        <v>40.061877786965901</v>
      </c>
      <c r="AA261" s="386">
        <f t="shared" si="90"/>
        <v>46.957758323954344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0.14685284781728353</v>
      </c>
      <c r="AD261" s="231">
        <f>(INDEX(Models!$BJ261:$BT261,,AH261)*(1-AF261)+INDEX(Models!$BJ261:$BT261,,AH261+1)*AF261-ERP_i)*AE261*Ramure*Pc/MaxiM</f>
        <v>1.7748590861828032E-3</v>
      </c>
      <c r="AE261" s="305">
        <f t="shared" si="92"/>
        <v>0.7</v>
      </c>
      <c r="AF261" s="177">
        <f t="shared" si="93"/>
        <v>0.18806124690135473</v>
      </c>
      <c r="AG261" s="810">
        <f t="shared" si="99"/>
        <v>1</v>
      </c>
      <c r="AH261" s="176">
        <f t="shared" si="94"/>
        <v>7</v>
      </c>
      <c r="AI261" s="225">
        <f t="shared" si="95"/>
        <v>1.1880612469013547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35.383963368271601</v>
      </c>
      <c r="C262" s="840"/>
      <c r="D262" s="393">
        <f t="shared" si="77"/>
        <v>37.265262037693425</v>
      </c>
      <c r="E262" s="385">
        <f t="shared" si="100"/>
        <v>40.937648323392843</v>
      </c>
      <c r="F262" s="385">
        <f t="shared" si="78"/>
        <v>40.993759428928982</v>
      </c>
      <c r="G262" s="110">
        <f t="shared" si="101"/>
        <v>0.81142033066989527</v>
      </c>
      <c r="H262" s="414" t="b">
        <f>Wh_hp&gt;='2023'!Maxi_hp</f>
        <v>0</v>
      </c>
      <c r="I262" s="390">
        <f>IF(H262,Wh_hp,'2023'!Maxi_hp)</f>
        <v>50.429886494595955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5.048397801466975E-2</v>
      </c>
      <c r="M262" s="844"/>
      <c r="N262" s="844"/>
      <c r="O262" s="48">
        <f>IF(t&lt;Tnet,'2023'!Resal+('2023'!Salim-'2023'!Resal)*(1-EXP(('2023'!Tnet-t)/('2023'!Tau_j))),Resal+(Salim-Resal)*(1-EXP((Tnet-t)/(Tau_j))))*Salcycl</f>
        <v>8.9706820887435354E-2</v>
      </c>
      <c r="P262" s="169">
        <f>(INDEX(Models!$BJ262:$BT262,,T262)*(1-R262)+INDEX(Models!$BJ262:$BT262,,T262+1)*R262-ERP_i)*Q262*Ramure*Pc/MaxiM</f>
        <v>1.8719915007428087E-3</v>
      </c>
      <c r="Q262" s="305">
        <f t="shared" si="80"/>
        <v>0.7</v>
      </c>
      <c r="R262" s="177">
        <f t="shared" si="81"/>
        <v>0.18850620793557216</v>
      </c>
      <c r="S262" s="810">
        <f t="shared" si="82"/>
        <v>1</v>
      </c>
      <c r="T262" s="176">
        <f t="shared" si="83"/>
        <v>7</v>
      </c>
      <c r="U262" s="251">
        <f t="shared" si="84"/>
        <v>1.1885062079355722</v>
      </c>
      <c r="V262" s="383">
        <f t="shared" si="85"/>
        <v>43.585465783367113</v>
      </c>
      <c r="W262" s="402">
        <f t="shared" si="86"/>
        <v>35.383963368271601</v>
      </c>
      <c r="X262" s="157">
        <f t="shared" si="87"/>
        <v>45539</v>
      </c>
      <c r="Y262" s="385">
        <f t="shared" si="88"/>
        <v>33.161578609306687</v>
      </c>
      <c r="Z262" s="385">
        <f t="shared" si="89"/>
        <v>34.924717268034712</v>
      </c>
      <c r="AA262" s="386">
        <f t="shared" si="90"/>
        <v>40.937648323392843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0.14688022643260107</v>
      </c>
      <c r="AD262" s="231">
        <f>(INDEX(Models!$BJ262:$BT262,,AH262)*(1-AF262)+INDEX(Models!$BJ262:$BT262,,AH262+1)*AF262-ERP_i)*AE262*Ramure*Pc/MaxiM</f>
        <v>1.8719915007428087E-3</v>
      </c>
      <c r="AE262" s="305">
        <f t="shared" si="92"/>
        <v>0.7</v>
      </c>
      <c r="AF262" s="177">
        <f t="shared" si="93"/>
        <v>0.18850620793557216</v>
      </c>
      <c r="AG262" s="810">
        <f t="shared" si="99"/>
        <v>1</v>
      </c>
      <c r="AH262" s="176">
        <f t="shared" si="94"/>
        <v>7</v>
      </c>
      <c r="AI262" s="225">
        <f t="shared" si="95"/>
        <v>1.1885062079355722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40.990824632533965</v>
      </c>
      <c r="C263" s="840"/>
      <c r="D263" s="393">
        <f t="shared" si="77"/>
        <v>43.171234209821222</v>
      </c>
      <c r="E263" s="385">
        <f t="shared" si="100"/>
        <v>47.430669164407966</v>
      </c>
      <c r="F263" s="385">
        <f t="shared" si="78"/>
        <v>47.517189901845157</v>
      </c>
      <c r="G263" s="110">
        <f t="shared" si="101"/>
        <v>0.94710280121886414</v>
      </c>
      <c r="H263" s="414" t="b">
        <f>Wh_hp&gt;='2023'!Maxi_hp</f>
        <v>0</v>
      </c>
      <c r="I263" s="390">
        <f>IF(H263,Wh_hp,'2023'!Maxi_hp)</f>
        <v>52.380979169463878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5.0506074639654952E-2</v>
      </c>
      <c r="M263" s="844"/>
      <c r="N263" s="844"/>
      <c r="O263" s="48">
        <f>IF(t&lt;Tnet,'2023'!Resal+('2023'!Salim-'2023'!Resal)*(1-EXP(('2023'!Tnet-t)/('2023'!Tau_j))),Resal+(Salim-Resal)*(1-EXP((Tnet-t)/(Tau_j))))*Salcycl</f>
        <v>8.9803391552886441E-2</v>
      </c>
      <c r="P263" s="169">
        <f>(INDEX(Models!$BJ263:$BT263,,T263)*(1-R263)+INDEX(Models!$BJ263:$BT263,,T263+1)*R263-ERP_i)*Q263*Ramure*Pc/MaxiM</f>
        <v>1.9692448119238712E-3</v>
      </c>
      <c r="Q263" s="305">
        <f t="shared" si="80"/>
        <v>0.7</v>
      </c>
      <c r="R263" s="177">
        <f t="shared" si="81"/>
        <v>0.1889342110808776</v>
      </c>
      <c r="S263" s="810">
        <f t="shared" si="82"/>
        <v>1</v>
      </c>
      <c r="T263" s="176">
        <f t="shared" si="83"/>
        <v>7</v>
      </c>
      <c r="U263" s="251">
        <f t="shared" si="84"/>
        <v>1.1889342110808776</v>
      </c>
      <c r="V263" s="383">
        <f t="shared" si="85"/>
        <v>43.273792293310294</v>
      </c>
      <c r="W263" s="402">
        <f t="shared" si="86"/>
        <v>40.990824632533965</v>
      </c>
      <c r="X263" s="157">
        <f t="shared" si="87"/>
        <v>45540</v>
      </c>
      <c r="Y263" s="385">
        <f t="shared" si="88"/>
        <v>38.419168982486966</v>
      </c>
      <c r="Z263" s="385">
        <f t="shared" si="89"/>
        <v>40.462785444263268</v>
      </c>
      <c r="AA263" s="386">
        <f t="shared" si="90"/>
        <v>47.430669164407966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0.14690671337551797</v>
      </c>
      <c r="AD263" s="231">
        <f>(INDEX(Models!$BJ263:$BT263,,AH263)*(1-AF263)+INDEX(Models!$BJ263:$BT263,,AH263+1)*AF263-ERP_i)*AE263*Ramure*Pc/MaxiM</f>
        <v>1.9692448119238712E-3</v>
      </c>
      <c r="AE263" s="305">
        <f t="shared" si="92"/>
        <v>0.7</v>
      </c>
      <c r="AF263" s="177">
        <f t="shared" si="93"/>
        <v>0.1889342110808776</v>
      </c>
      <c r="AG263" s="810">
        <f t="shared" si="99"/>
        <v>1</v>
      </c>
      <c r="AH263" s="176">
        <f t="shared" si="94"/>
        <v>7</v>
      </c>
      <c r="AI263" s="225">
        <f t="shared" si="95"/>
        <v>1.1889342110808776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33.503135981193203</v>
      </c>
      <c r="C264" s="840"/>
      <c r="D264" s="393">
        <f t="shared" si="77"/>
        <v>35.286076899903982</v>
      </c>
      <c r="E264" s="385">
        <f t="shared" si="100"/>
        <v>38.771617704042164</v>
      </c>
      <c r="F264" s="385">
        <f t="shared" si="78"/>
        <v>38.826631208197547</v>
      </c>
      <c r="G264" s="110">
        <f t="shared" si="101"/>
        <v>0.77941851781063731</v>
      </c>
      <c r="H264" s="414" t="b">
        <f>Wh_hp&gt;='2023'!Maxi_hp</f>
        <v>0</v>
      </c>
      <c r="I264" s="390">
        <f>IF(H264,Wh_hp,'2023'!Maxi_hp)</f>
        <v>46.142327737727975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5.0528170750419488E-2</v>
      </c>
      <c r="M264" s="844"/>
      <c r="N264" s="844"/>
      <c r="O264" s="48">
        <f>IF(t&lt;Tnet,'2023'!Resal+('2023'!Salim-'2023'!Resal)*(1-EXP(('2023'!Tnet-t)/('2023'!Tau_j))),Resal+(Salim-Resal)*(1-EXP((Tnet-t)/(Tau_j))))*Salcycl</f>
        <v>8.9899287430939348E-2</v>
      </c>
      <c r="P264" s="169">
        <f>(INDEX(Models!$BJ264:$BT264,,T264)*(1-R264)+INDEX(Models!$BJ264:$BT264,,T264+1)*R264-ERP_i)*Q264*Ramure*Pc/MaxiM</f>
        <v>2.0666330869414076E-3</v>
      </c>
      <c r="Q264" s="305">
        <f t="shared" si="80"/>
        <v>0.7</v>
      </c>
      <c r="R264" s="177">
        <f t="shared" si="81"/>
        <v>0.18934586646730756</v>
      </c>
      <c r="S264" s="810">
        <f t="shared" si="82"/>
        <v>1</v>
      </c>
      <c r="T264" s="176">
        <f t="shared" si="83"/>
        <v>7</v>
      </c>
      <c r="U264" s="251">
        <f t="shared" si="84"/>
        <v>1.1893458664673076</v>
      </c>
      <c r="V264" s="383">
        <f t="shared" si="85"/>
        <v>42.956814954588275</v>
      </c>
      <c r="W264" s="402">
        <f t="shared" si="86"/>
        <v>33.503135981193203</v>
      </c>
      <c r="X264" s="157">
        <f t="shared" si="87"/>
        <v>45541</v>
      </c>
      <c r="Y264" s="385">
        <f t="shared" si="88"/>
        <v>31.403605752720107</v>
      </c>
      <c r="Z264" s="385">
        <f t="shared" si="89"/>
        <v>33.074815687307009</v>
      </c>
      <c r="AA264" s="386">
        <f t="shared" si="90"/>
        <v>38.771617704042164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0.14693227556871419</v>
      </c>
      <c r="AD264" s="231">
        <f>(INDEX(Models!$BJ264:$BT264,,AH264)*(1-AF264)+INDEX(Models!$BJ264:$BT264,,AH264+1)*AF264-ERP_i)*AE264*Ramure*Pc/MaxiM</f>
        <v>2.0666330869414076E-3</v>
      </c>
      <c r="AE264" s="305">
        <f t="shared" si="92"/>
        <v>0.7</v>
      </c>
      <c r="AF264" s="177">
        <f t="shared" si="93"/>
        <v>0.18934586646730756</v>
      </c>
      <c r="AG264" s="810">
        <f t="shared" si="99"/>
        <v>1</v>
      </c>
      <c r="AH264" s="176">
        <f t="shared" si="94"/>
        <v>7</v>
      </c>
      <c r="AI264" s="225">
        <f t="shared" si="95"/>
        <v>1.1893458664673076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31.449880509776399</v>
      </c>
      <c r="C265" s="840"/>
      <c r="D265" s="393">
        <f t="shared" si="77"/>
        <v>33.124323905776897</v>
      </c>
      <c r="E265" s="385">
        <f t="shared" si="100"/>
        <v>36.400135384890163</v>
      </c>
      <c r="F265" s="385">
        <f t="shared" si="78"/>
        <v>36.449454611123997</v>
      </c>
      <c r="G265" s="110">
        <f t="shared" si="101"/>
        <v>0.73705642187400267</v>
      </c>
      <c r="H265" s="414" t="b">
        <f>Wh_hp&gt;='2023'!Maxi_hp</f>
        <v>0</v>
      </c>
      <c r="I265" s="390">
        <f>IF(H265,Wh_hp,'2023'!Maxi_hp)</f>
        <v>44.813483820108679</v>
      </c>
      <c r="J265" s="85">
        <f>IF(H265,An,'2023'!An_max)</f>
        <v>2019</v>
      </c>
      <c r="K265" s="197">
        <f t="shared" si="79"/>
        <v>45542</v>
      </c>
      <c r="L265" s="147">
        <f>IF(t&lt;Tvie,1-EXP((T0-t)*PertePVj)+'2023'!Pspv,1-EXP((T0-t)*PertePVj)+Pspv)</f>
        <v>5.0550266346975126E-2</v>
      </c>
      <c r="M265" s="844"/>
      <c r="N265" s="844"/>
      <c r="O265" s="48">
        <f>IF(t&lt;Tnet,'2023'!Resal+('2023'!Salim-'2023'!Resal)*(1-EXP(('2023'!Tnet-t)/('2023'!Tau_j))),Resal+(Salim-Resal)*(1-EXP((Tnet-t)/(Tau_j))))*Salcycl</f>
        <v>8.9994486132407805E-2</v>
      </c>
      <c r="P265" s="169">
        <f>(INDEX(Models!$BJ265:$BT265,,T265)*(1-R265)+INDEX(Models!$BJ265:$BT265,,T265+1)*R265-ERP_i)*Q265*Ramure*Pc/MaxiM</f>
        <v>2.1641673366954986E-3</v>
      </c>
      <c r="Q265" s="305">
        <f t="shared" si="80"/>
        <v>0.7</v>
      </c>
      <c r="R265" s="177">
        <f t="shared" si="81"/>
        <v>0.18974176506478435</v>
      </c>
      <c r="S265" s="810">
        <f t="shared" si="82"/>
        <v>1</v>
      </c>
      <c r="T265" s="176">
        <f t="shared" si="83"/>
        <v>7</v>
      </c>
      <c r="U265" s="251">
        <f t="shared" si="84"/>
        <v>1.1897417650647844</v>
      </c>
      <c r="V265" s="383">
        <f t="shared" si="85"/>
        <v>42.634914487566434</v>
      </c>
      <c r="W265" s="402">
        <f t="shared" si="86"/>
        <v>31.449880509776399</v>
      </c>
      <c r="X265" s="157">
        <f t="shared" si="87"/>
        <v>45542</v>
      </c>
      <c r="Y265" s="385">
        <f t="shared" si="88"/>
        <v>29.481254597550045</v>
      </c>
      <c r="Z265" s="385">
        <f t="shared" si="89"/>
        <v>31.050885110178914</v>
      </c>
      <c r="AA265" s="386">
        <f t="shared" si="90"/>
        <v>36.400135384890163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0.14695687854314257</v>
      </c>
      <c r="AD265" s="231">
        <f>(INDEX(Models!$BJ265:$BT265,,AH265)*(1-AF265)+INDEX(Models!$BJ265:$BT265,,AH265+1)*AF265-ERP_i)*AE265*Ramure*Pc/MaxiM</f>
        <v>2.1641673366954986E-3</v>
      </c>
      <c r="AE265" s="305">
        <f t="shared" si="92"/>
        <v>0.7</v>
      </c>
      <c r="AF265" s="177">
        <f t="shared" si="93"/>
        <v>0.18974176506478435</v>
      </c>
      <c r="AG265" s="810">
        <f t="shared" si="99"/>
        <v>1</v>
      </c>
      <c r="AH265" s="176">
        <f t="shared" si="94"/>
        <v>7</v>
      </c>
      <c r="AI265" s="225">
        <f t="shared" si="95"/>
        <v>1.1897417650647844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23.32145345518342</v>
      </c>
      <c r="C266" s="840"/>
      <c r="D266" s="393">
        <f t="shared" si="77"/>
        <v>24.563697650821656</v>
      </c>
      <c r="E266" s="385">
        <f t="shared" si="100"/>
        <v>26.995713523105415</v>
      </c>
      <c r="F266" s="385">
        <f t="shared" si="78"/>
        <v>27.017645398441335</v>
      </c>
      <c r="G266" s="110">
        <f t="shared" si="101"/>
        <v>0.55042422707046645</v>
      </c>
      <c r="H266" s="414" t="b">
        <f>Wh_hp&gt;='2023'!Maxi_hp</f>
        <v>0</v>
      </c>
      <c r="I266" s="390">
        <f>IF(H266,Wh_hp,'2023'!Maxi_hp)</f>
        <v>47.032768626922746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5.0572361429334078E-2</v>
      </c>
      <c r="M266" s="844"/>
      <c r="N266" s="844"/>
      <c r="O266" s="48">
        <f>IF(t&lt;Tnet,'2023'!Resal+('2023'!Salim-'2023'!Resal)*(1-EXP(('2023'!Tnet-t)/('2023'!Tau_j))),Resal+(Salim-Resal)*(1-EXP((Tnet-t)/(Tau_j))))*Salcycl</f>
        <v>9.008896431658367E-2</v>
      </c>
      <c r="P266" s="169">
        <f>(INDEX(Models!$BJ266:$BT266,,T266)*(1-R266)+INDEX(Models!$BJ266:$BT266,,T266+1)*R266-ERP_i)*Q266*Ramure*Pc/MaxiM</f>
        <v>2.2618553803001777E-3</v>
      </c>
      <c r="Q266" s="305">
        <f t="shared" si="80"/>
        <v>0.7</v>
      </c>
      <c r="R266" s="177">
        <f t="shared" si="81"/>
        <v>0.19012247906426838</v>
      </c>
      <c r="S266" s="810">
        <f t="shared" si="82"/>
        <v>1</v>
      </c>
      <c r="T266" s="176">
        <f t="shared" si="83"/>
        <v>7</v>
      </c>
      <c r="U266" s="251">
        <f t="shared" si="84"/>
        <v>1.1901224790642684</v>
      </c>
      <c r="V266" s="383">
        <f t="shared" si="85"/>
        <v>42.308471412528071</v>
      </c>
      <c r="W266" s="402">
        <f t="shared" si="86"/>
        <v>23.32145345518342</v>
      </c>
      <c r="X266" s="157">
        <f t="shared" si="87"/>
        <v>45543</v>
      </c>
      <c r="Y266" s="385">
        <f t="shared" si="88"/>
        <v>21.863296633192601</v>
      </c>
      <c r="Z266" s="385">
        <f t="shared" si="89"/>
        <v>23.027870418968547</v>
      </c>
      <c r="AA266" s="386">
        <f t="shared" si="90"/>
        <v>26.995713523105415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0.14698048639243499</v>
      </c>
      <c r="AD266" s="231">
        <f>(INDEX(Models!$BJ266:$BT266,,AH266)*(1-AF266)+INDEX(Models!$BJ266:$BT266,,AH266+1)*AF266-ERP_i)*AE266*Ramure*Pc/MaxiM</f>
        <v>2.2618553803001777E-3</v>
      </c>
      <c r="AE266" s="305">
        <f t="shared" si="92"/>
        <v>0.7</v>
      </c>
      <c r="AF266" s="177">
        <f t="shared" si="93"/>
        <v>0.19012247906426838</v>
      </c>
      <c r="AG266" s="810">
        <f t="shared" si="99"/>
        <v>1</v>
      </c>
      <c r="AH266" s="176">
        <f t="shared" si="94"/>
        <v>7</v>
      </c>
      <c r="AI266" s="225">
        <f t="shared" si="95"/>
        <v>1.1901224790642684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40.79533314497683</v>
      </c>
      <c r="C267" s="840"/>
      <c r="D267" s="393">
        <f t="shared" si="77"/>
        <v>42.969343714796928</v>
      </c>
      <c r="E267" s="385">
        <f t="shared" si="100"/>
        <v>47.228540944007015</v>
      </c>
      <c r="F267" s="385">
        <f t="shared" si="78"/>
        <v>47.335744061047222</v>
      </c>
      <c r="G267" s="110">
        <f t="shared" si="101"/>
        <v>0.97173711186968903</v>
      </c>
      <c r="H267" s="414" t="b">
        <f>Wh_hp&gt;='2023'!Maxi_hp</f>
        <v>0</v>
      </c>
      <c r="I267" s="390">
        <f>IF(H267,Wh_hp,'2023'!Maxi_hp)</f>
        <v>47.337511417487256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5.0594455997508114E-2</v>
      </c>
      <c r="M267" s="844"/>
      <c r="N267" s="844"/>
      <c r="O267" s="48">
        <f>IF(t&lt;Tnet,'2023'!Resal+('2023'!Salim-'2023'!Resal)*(1-EXP(('2023'!Tnet-t)/('2023'!Tau_j))),Resal+(Salim-Resal)*(1-EXP((Tnet-t)/(Tau_j))))*Salcycl</f>
        <v>9.018269766706706E-2</v>
      </c>
      <c r="P267" s="169">
        <f>(INDEX(Models!$BJ267:$BT267,,T267)*(1-R267)+INDEX(Models!$BJ267:$BT267,,T267+1)*R267-ERP_i)*Q267*Ramure*Pc/MaxiM</f>
        <v>2.3597016976878897E-3</v>
      </c>
      <c r="Q267" s="305">
        <f t="shared" si="80"/>
        <v>0.7</v>
      </c>
      <c r="R267" s="177">
        <f t="shared" si="81"/>
        <v>0.19048856227040045</v>
      </c>
      <c r="S267" s="810">
        <f t="shared" si="82"/>
        <v>1</v>
      </c>
      <c r="T267" s="176">
        <f t="shared" si="83"/>
        <v>7</v>
      </c>
      <c r="U267" s="251">
        <f t="shared" si="84"/>
        <v>1.1904885622704005</v>
      </c>
      <c r="V267" s="383">
        <f t="shared" si="85"/>
        <v>41.977866058682224</v>
      </c>
      <c r="W267" s="402">
        <f t="shared" si="86"/>
        <v>40.79533314497683</v>
      </c>
      <c r="X267" s="157">
        <f t="shared" si="87"/>
        <v>45544</v>
      </c>
      <c r="Y267" s="385">
        <f t="shared" si="88"/>
        <v>38.24756264665276</v>
      </c>
      <c r="Z267" s="385">
        <f t="shared" si="89"/>
        <v>40.285800823754585</v>
      </c>
      <c r="AA267" s="386">
        <f t="shared" si="90"/>
        <v>47.228540944007015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0.14700306173937422</v>
      </c>
      <c r="AD267" s="231">
        <f>(INDEX(Models!$BJ267:$BT267,,AH267)*(1-AF267)+INDEX(Models!$BJ267:$BT267,,AH267+1)*AF267-ERP_i)*AE267*Ramure*Pc/MaxiM</f>
        <v>2.3597016976878897E-3</v>
      </c>
      <c r="AE267" s="305">
        <f t="shared" si="92"/>
        <v>0.7</v>
      </c>
      <c r="AF267" s="177">
        <f t="shared" si="93"/>
        <v>0.19048856227040045</v>
      </c>
      <c r="AG267" s="810">
        <f t="shared" si="99"/>
        <v>1</v>
      </c>
      <c r="AH267" s="176">
        <f t="shared" si="94"/>
        <v>7</v>
      </c>
      <c r="AI267" s="225">
        <f t="shared" si="95"/>
        <v>1.1904885622704005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39.587495334142091</v>
      </c>
      <c r="C268" s="840"/>
      <c r="D268" s="393">
        <f t="shared" si="77"/>
        <v>41.69810979566784</v>
      </c>
      <c r="E268" s="385">
        <f t="shared" si="100"/>
        <v>45.835983497850208</v>
      </c>
      <c r="F268" s="385">
        <f t="shared" si="78"/>
        <v>45.940751126277263</v>
      </c>
      <c r="G268" s="110">
        <f t="shared" si="101"/>
        <v>0.95046007819224432</v>
      </c>
      <c r="H268" s="414" t="b">
        <f>Wh_hp&gt;='2023'!Maxi_hp</f>
        <v>0</v>
      </c>
      <c r="I268" s="390">
        <f>IF(H268,Wh_hp,'2023'!Maxi_hp)</f>
        <v>47.199084138700862</v>
      </c>
      <c r="J268" s="85">
        <f>IF(H268,An,'2023'!An_max)</f>
        <v>2019</v>
      </c>
      <c r="K268" s="197">
        <f t="shared" si="79"/>
        <v>45545</v>
      </c>
      <c r="L268" s="147">
        <f>IF(t&lt;Tvie,1-EXP((T0-t)*PertePVj)+'2023'!Pspv,1-EXP((T0-t)*PertePVj)+Pspv)</f>
        <v>5.0616550051509224E-2</v>
      </c>
      <c r="M268" s="844"/>
      <c r="N268" s="844"/>
      <c r="O268" s="48">
        <f>IF(t&lt;Tnet,'2023'!Resal+('2023'!Salim-'2023'!Resal)*(1-EXP(('2023'!Tnet-t)/('2023'!Tau_j))),Resal+(Salim-Resal)*(1-EXP((Tnet-t)/(Tau_j))))*Salcycl</f>
        <v>9.0275660876272909E-2</v>
      </c>
      <c r="P268" s="169">
        <f>(INDEX(Models!$BJ268:$BT268,,T268)*(1-R268)+INDEX(Models!$BJ268:$BT268,,T268+1)*R268-ERP_i)*Q268*Ramure*Pc/MaxiM</f>
        <v>2.4535580230067304E-3</v>
      </c>
      <c r="Q268" s="305">
        <f t="shared" si="80"/>
        <v>0.7</v>
      </c>
      <c r="R268" s="177">
        <f t="shared" si="81"/>
        <v>0.19084055050346982</v>
      </c>
      <c r="S268" s="810">
        <f t="shared" si="82"/>
        <v>1</v>
      </c>
      <c r="T268" s="176">
        <f t="shared" si="83"/>
        <v>7</v>
      </c>
      <c r="U268" s="251">
        <f t="shared" si="84"/>
        <v>1.1908405505034698</v>
      </c>
      <c r="V268" s="383">
        <f t="shared" si="85"/>
        <v>41.643651774094714</v>
      </c>
      <c r="W268" s="402">
        <f t="shared" si="86"/>
        <v>39.587495334142091</v>
      </c>
      <c r="X268" s="157">
        <f t="shared" si="87"/>
        <v>45545</v>
      </c>
      <c r="Y268" s="385">
        <f t="shared" si="88"/>
        <v>37.118014295798339</v>
      </c>
      <c r="Z268" s="385">
        <f t="shared" si="89"/>
        <v>39.09696792988354</v>
      </c>
      <c r="AA268" s="386">
        <f t="shared" si="90"/>
        <v>45.835983497850208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0.14702456571664355</v>
      </c>
      <c r="AD268" s="231">
        <f>(INDEX(Models!$BJ268:$BT268,,AH268)*(1-AF268)+INDEX(Models!$BJ268:$BT268,,AH268+1)*AF268-ERP_i)*AE268*Ramure*Pc/MaxiM</f>
        <v>2.4535580230067304E-3</v>
      </c>
      <c r="AE268" s="305">
        <f t="shared" si="92"/>
        <v>0.7</v>
      </c>
      <c r="AF268" s="177">
        <f t="shared" si="93"/>
        <v>0.19084055050346982</v>
      </c>
      <c r="AG268" s="810">
        <f t="shared" si="99"/>
        <v>1</v>
      </c>
      <c r="AH268" s="176">
        <f t="shared" si="94"/>
        <v>7</v>
      </c>
      <c r="AI268" s="225">
        <f t="shared" si="95"/>
        <v>1.1908405505034698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28.114019156912942</v>
      </c>
      <c r="C269" s="840"/>
      <c r="D269" s="393">
        <f t="shared" si="77"/>
        <v>29.613612316458482</v>
      </c>
      <c r="E269" s="385">
        <f t="shared" si="100"/>
        <v>32.555590288353535</v>
      </c>
      <c r="F269" s="385">
        <f t="shared" si="78"/>
        <v>32.60066382304786</v>
      </c>
      <c r="G269" s="110">
        <f t="shared" si="101"/>
        <v>0.67983342793528867</v>
      </c>
      <c r="H269" s="414" t="b">
        <f>Wh_hp&gt;='2023'!Maxi_hp</f>
        <v>0</v>
      </c>
      <c r="I269" s="390">
        <f>IF(H269,Wh_hp,'2023'!Maxi_hp)</f>
        <v>47.524500971153024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5.0638643591349508E-2</v>
      </c>
      <c r="M269" s="844"/>
      <c r="N269" s="844"/>
      <c r="O269" s="48">
        <f>IF(t&lt;Tnet,'2023'!Resal+('2023'!Salim-'2023'!Resal)*(1-EXP(('2023'!Tnet-t)/('2023'!Tau_j))),Resal+(Salim-Resal)*(1-EXP((Tnet-t)/(Tau_j))))*Salcycl</f>
        <v>9.0367827639958945E-2</v>
      </c>
      <c r="P269" s="169">
        <f>(INDEX(Models!$BJ269:$BT269,,T269)*(1-R269)+INDEX(Models!$BJ269:$BT269,,T269+1)*R269-ERP_i)*Q269*Ramure*Pc/MaxiM</f>
        <v>2.5427104274682749E-3</v>
      </c>
      <c r="Q269" s="305">
        <f t="shared" si="80"/>
        <v>0.7</v>
      </c>
      <c r="R269" s="177">
        <f t="shared" si="81"/>
        <v>0.19117896200873941</v>
      </c>
      <c r="S269" s="810">
        <f t="shared" si="82"/>
        <v>1</v>
      </c>
      <c r="T269" s="176">
        <f t="shared" si="83"/>
        <v>7</v>
      </c>
      <c r="U269" s="251">
        <f t="shared" si="84"/>
        <v>1.1911789620087394</v>
      </c>
      <c r="V269" s="383">
        <f t="shared" si="85"/>
        <v>41.306233786616453</v>
      </c>
      <c r="W269" s="402">
        <f t="shared" si="86"/>
        <v>28.114019156912942</v>
      </c>
      <c r="X269" s="157">
        <f t="shared" si="87"/>
        <v>45546</v>
      </c>
      <c r="Y269" s="385">
        <f t="shared" si="88"/>
        <v>26.362297993012685</v>
      </c>
      <c r="Z269" s="385">
        <f t="shared" si="89"/>
        <v>27.768454882910877</v>
      </c>
      <c r="AA269" s="386">
        <f t="shared" si="90"/>
        <v>32.555590288353535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0.14704495796395406</v>
      </c>
      <c r="AD269" s="231">
        <f>(INDEX(Models!$BJ269:$BT269,,AH269)*(1-AF269)+INDEX(Models!$BJ269:$BT269,,AH269+1)*AF269-ERP_i)*AE269*Ramure*Pc/MaxiM</f>
        <v>2.5427104274682749E-3</v>
      </c>
      <c r="AE269" s="305">
        <f t="shared" si="92"/>
        <v>0.7</v>
      </c>
      <c r="AF269" s="177">
        <f t="shared" si="93"/>
        <v>0.19117896200873941</v>
      </c>
      <c r="AG269" s="810">
        <f t="shared" si="99"/>
        <v>1</v>
      </c>
      <c r="AH269" s="176">
        <f t="shared" si="94"/>
        <v>7</v>
      </c>
      <c r="AI269" s="225">
        <f t="shared" si="95"/>
        <v>1.1911789620087394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13.208726548074212</v>
      </c>
      <c r="C270" s="840"/>
      <c r="D270" s="393">
        <f t="shared" si="77"/>
        <v>13.913599760959082</v>
      </c>
      <c r="E270" s="385">
        <f t="shared" si="100"/>
        <v>15.297388871593453</v>
      </c>
      <c r="F270" s="385">
        <f t="shared" si="78"/>
        <v>15.298676771488442</v>
      </c>
      <c r="G270" s="110">
        <f t="shared" si="101"/>
        <v>0.32161154520020241</v>
      </c>
      <c r="H270" s="414" t="b">
        <f>Wh_hp&gt;='2023'!Maxi_hp</f>
        <v>0</v>
      </c>
      <c r="I270" s="390">
        <f>IF(H270,Wh_hp,'2023'!Maxi_hp)</f>
        <v>45.574582062693615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5.0660736617040847E-2</v>
      </c>
      <c r="M270" s="844"/>
      <c r="N270" s="844"/>
      <c r="O270" s="48">
        <f>IF(t&lt;Tnet,'2023'!Resal+('2023'!Salim-'2023'!Resal)*(1-EXP(('2023'!Tnet-t)/('2023'!Tau_j))),Resal+(Salim-Resal)*(1-EXP((Tnet-t)/(Tau_j))))*Salcycl</f>
        <v>9.04591706630406E-2</v>
      </c>
      <c r="P270" s="169">
        <f>(INDEX(Models!$BJ270:$BT270,,T270)*(1-R270)+INDEX(Models!$BJ270:$BT270,,T270+1)*R270-ERP_i)*Q270*Ramure*Pc/MaxiM</f>
        <v>2.6270461794407366E-3</v>
      </c>
      <c r="Q270" s="305">
        <f t="shared" si="80"/>
        <v>0.7</v>
      </c>
      <c r="R270" s="177">
        <f t="shared" si="81"/>
        <v>0.19150429787130729</v>
      </c>
      <c r="S270" s="810">
        <f t="shared" si="82"/>
        <v>1</v>
      </c>
      <c r="T270" s="176">
        <f t="shared" si="83"/>
        <v>7</v>
      </c>
      <c r="U270" s="251">
        <f t="shared" si="84"/>
        <v>1.1915042978713073</v>
      </c>
      <c r="V270" s="383">
        <f t="shared" si="85"/>
        <v>40.965991247358289</v>
      </c>
      <c r="W270" s="402">
        <f t="shared" si="86"/>
        <v>13.208726548074212</v>
      </c>
      <c r="X270" s="157">
        <f t="shared" si="87"/>
        <v>45547</v>
      </c>
      <c r="Y270" s="385">
        <f t="shared" si="88"/>
        <v>12.386685046135659</v>
      </c>
      <c r="Z270" s="385">
        <f t="shared" si="89"/>
        <v>13.047690666449267</v>
      </c>
      <c r="AA270" s="386">
        <f t="shared" si="90"/>
        <v>15.297388871593453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0.14706419664350517</v>
      </c>
      <c r="AD270" s="231">
        <f>(INDEX(Models!$BJ270:$BT270,,AH270)*(1-AF270)+INDEX(Models!$BJ270:$BT270,,AH270+1)*AF270-ERP_i)*AE270*Ramure*Pc/MaxiM</f>
        <v>2.6270461794407366E-3</v>
      </c>
      <c r="AE270" s="305">
        <f t="shared" si="92"/>
        <v>0.7</v>
      </c>
      <c r="AF270" s="177">
        <f t="shared" si="93"/>
        <v>0.19150429787130729</v>
      </c>
      <c r="AG270" s="810">
        <f t="shared" si="99"/>
        <v>1</v>
      </c>
      <c r="AH270" s="176">
        <f t="shared" si="94"/>
        <v>7</v>
      </c>
      <c r="AI270" s="225">
        <f t="shared" si="95"/>
        <v>1.1915042978713073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31.443829323908158</v>
      </c>
      <c r="C271" s="840"/>
      <c r="D271" s="393">
        <f t="shared" ref="D271:D334" si="102">Wh/(1-Ppv)</f>
        <v>33.122575140029319</v>
      </c>
      <c r="E271" s="385">
        <f t="shared" si="100"/>
        <v>36.420433028963217</v>
      </c>
      <c r="F271" s="385">
        <f t="shared" ref="F271:F334" si="103">Wh_sa/(1-Pvg*MEDIAN((-Sdif+Wh/Env_an)/Csdif,0,1))</f>
        <v>36.487306309567337</v>
      </c>
      <c r="G271" s="110">
        <f t="shared" si="101"/>
        <v>0.77335679830032444</v>
      </c>
      <c r="H271" s="414" t="b">
        <f>Wh_hp&gt;='2023'!Maxi_hp</f>
        <v>0</v>
      </c>
      <c r="I271" s="390">
        <f>IF(H271,Wh_hp,'2023'!Maxi_hp)</f>
        <v>44.733439415558536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5.0682829128595119E-2</v>
      </c>
      <c r="M271" s="844"/>
      <c r="N271" s="844"/>
      <c r="O271" s="48">
        <f>IF(t&lt;Tnet,'2023'!Resal+('2023'!Salim-'2023'!Resal)*(1-EXP(('2023'!Tnet-t)/('2023'!Tau_j))),Resal+(Salim-Resal)*(1-EXP((Tnet-t)/(Tau_j))))*Salcycl</f>
        <v>9.0549661677863255E-2</v>
      </c>
      <c r="P271" s="169">
        <f>(INDEX(Models!$BJ271:$BT271,,T271)*(1-R271)+INDEX(Models!$BJ271:$BT271,,T271+1)*R271-ERP_i)*Q271*Ramure*Pc/MaxiM</f>
        <v>2.7064444222027252E-3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0.19181704243485598</v>
      </c>
      <c r="S271" s="810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1.191817042434856</v>
      </c>
      <c r="V271" s="383">
        <f t="shared" ref="V271:V334" si="110">MaxiM*(1-Ppv)*(1-Pvg)*(1-Psa)</f>
        <v>40.623303062146903</v>
      </c>
      <c r="W271" s="402">
        <f t="shared" ref="W271:W334" si="111">Wh*(A271&gt;Tmaj)</f>
        <v>31.443829323908158</v>
      </c>
      <c r="X271" s="157">
        <f t="shared" ref="X271:X334" si="112">t</f>
        <v>45548</v>
      </c>
      <c r="Y271" s="385">
        <f t="shared" ref="Y271:Y334" si="113">Wh_pvt_s*(1-Ppv)</f>
        <v>29.489241347892573</v>
      </c>
      <c r="Z271" s="385">
        <f t="shared" ref="Z271:Z334" si="114">Wh_sa_s*(1-Psa_s)</f>
        <v>31.063634212813795</v>
      </c>
      <c r="AA271" s="386">
        <f t="shared" ref="AA271:AA334" si="115">Wh_hp*(1-Pvg_s*MEDIAN((-Sdif+Wh/Env_an)/Csdif,0,1))</f>
        <v>36.420433028963217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0.14708223847556798</v>
      </c>
      <c r="AD271" s="231">
        <f>(INDEX(Models!$BJ271:$BT271,,AH271)*(1-AF271)+INDEX(Models!$BJ271:$BT271,,AH271+1)*AF271-ERP_i)*AE271*Ramure*Pc/MaxiM</f>
        <v>2.7064444222027252E-3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0.19181704243485598</v>
      </c>
      <c r="AG271" s="810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1.191817042434856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35.842166276874003</v>
      </c>
      <c r="C272" s="840"/>
      <c r="D272" s="393">
        <f t="shared" si="102"/>
        <v>37.756612326895102</v>
      </c>
      <c r="E272" s="385">
        <f t="shared" si="100"/>
        <v>41.519950381162879</v>
      </c>
      <c r="F272" s="385">
        <f t="shared" si="103"/>
        <v>41.617469722381621</v>
      </c>
      <c r="G272" s="110">
        <f t="shared" si="101"/>
        <v>0.8894671914151121</v>
      </c>
      <c r="H272" s="414" t="b">
        <f>Wh_hp&gt;='2023'!Maxi_hp</f>
        <v>0</v>
      </c>
      <c r="I272" s="390">
        <f>IF(H272,Wh_hp,'2023'!Maxi_hp)</f>
        <v>45.524121434792207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5.0704921126024427E-2</v>
      </c>
      <c r="M272" s="844"/>
      <c r="N272" s="844"/>
      <c r="O272" s="48">
        <f>IF(t&lt;Tnet,'2023'!Resal+('2023'!Salim-'2023'!Resal)*(1-EXP(('2023'!Tnet-t)/('2023'!Tau_j))),Resal+(Salim-Resal)*(1-EXP((Tnet-t)/(Tau_j))))*Salcycl</f>
        <v>9.0639271475988048E-2</v>
      </c>
      <c r="P272" s="169">
        <f>(INDEX(Models!$BJ272:$BT272,,T272)*(1-R272)+INDEX(Models!$BJ272:$BT272,,T272+1)*R272-ERP_i)*Q272*Ramure*Pc/MaxiM</f>
        <v>2.7807762846912506E-3</v>
      </c>
      <c r="Q272" s="305">
        <f t="shared" si="105"/>
        <v>0.7</v>
      </c>
      <c r="R272" s="177">
        <f t="shared" si="106"/>
        <v>0.19211766372277439</v>
      </c>
      <c r="S272" s="810">
        <f t="shared" si="107"/>
        <v>1</v>
      </c>
      <c r="T272" s="176">
        <f t="shared" si="108"/>
        <v>7</v>
      </c>
      <c r="U272" s="251">
        <f t="shared" si="109"/>
        <v>1.1921176637227744</v>
      </c>
      <c r="V272" s="383">
        <f t="shared" si="110"/>
        <v>40.278547892699144</v>
      </c>
      <c r="W272" s="402">
        <f t="shared" si="111"/>
        <v>35.842166276874003</v>
      </c>
      <c r="X272" s="157">
        <f t="shared" si="112"/>
        <v>45549</v>
      </c>
      <c r="Y272" s="385">
        <f t="shared" si="113"/>
        <v>33.616822356959794</v>
      </c>
      <c r="Z272" s="385">
        <f t="shared" si="114"/>
        <v>35.41240558924526</v>
      </c>
      <c r="AA272" s="386">
        <f t="shared" si="115"/>
        <v>41.519950381162879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0.14709903879578187</v>
      </c>
      <c r="AD272" s="231">
        <f>(INDEX(Models!$BJ272:$BT272,,AH272)*(1-AF272)+INDEX(Models!$BJ272:$BT272,,AH272+1)*AF272-ERP_i)*AE272*Ramure*Pc/MaxiM</f>
        <v>2.7807762846912506E-3</v>
      </c>
      <c r="AE272" s="305">
        <f t="shared" si="117"/>
        <v>0.7</v>
      </c>
      <c r="AF272" s="177">
        <f t="shared" si="118"/>
        <v>0.19211766372277439</v>
      </c>
      <c r="AG272" s="810">
        <f t="shared" ref="AG272:AG335" si="124">INDEX(Echel_vg,AH272)</f>
        <v>1</v>
      </c>
      <c r="AH272" s="176">
        <f t="shared" si="119"/>
        <v>7</v>
      </c>
      <c r="AI272" s="225">
        <f t="shared" si="120"/>
        <v>1.1921176637227744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30.749895828785892</v>
      </c>
      <c r="C273" s="840"/>
      <c r="D273" s="393">
        <f t="shared" si="102"/>
        <v>32.393101075498343</v>
      </c>
      <c r="E273" s="385">
        <f t="shared" si="100"/>
        <v>35.625313443188752</v>
      </c>
      <c r="F273" s="385">
        <f t="shared" si="103"/>
        <v>35.693621378540513</v>
      </c>
      <c r="G273" s="110">
        <f t="shared" si="101"/>
        <v>0.76933219487018933</v>
      </c>
      <c r="H273" s="414" t="b">
        <f>Wh_hp&gt;='2023'!Maxi_hp</f>
        <v>0</v>
      </c>
      <c r="I273" s="390">
        <f>IF(H273,Wh_hp,'2023'!Maxi_hp)</f>
        <v>41.220294819613947</v>
      </c>
      <c r="J273" s="85">
        <f>IF(H273,An,'2023'!An_max)</f>
        <v>2020</v>
      </c>
      <c r="K273" s="197">
        <f t="shared" si="104"/>
        <v>45550</v>
      </c>
      <c r="L273" s="147">
        <f>IF(t&lt;Tvie,1-EXP((T0-t)*PertePVj)+'2023'!Pspv,1-EXP((T0-t)*PertePVj)+Pspv)</f>
        <v>5.072701260934076E-2</v>
      </c>
      <c r="M273" s="844"/>
      <c r="N273" s="844"/>
      <c r="O273" s="48">
        <f>IF(t&lt;Tnet,'2023'!Resal+('2023'!Salim-'2023'!Resal)*(1-EXP(('2023'!Tnet-t)/('2023'!Tau_j))),Resal+(Salim-Resal)*(1-EXP((Tnet-t)/(Tau_j))))*Salcycl</f>
        <v>9.0727969954419549E-2</v>
      </c>
      <c r="P273" s="169">
        <f>(INDEX(Models!$BJ273:$BT273,,T273)*(1-R273)+INDEX(Models!$BJ273:$BT273,,T273+1)*R273-ERP_i)*Q273*Ramure*Pc/MaxiM</f>
        <v>2.8499050238683086E-3</v>
      </c>
      <c r="Q273" s="305">
        <f t="shared" si="105"/>
        <v>0.7</v>
      </c>
      <c r="R273" s="177">
        <f t="shared" si="106"/>
        <v>0.1924066138602909</v>
      </c>
      <c r="S273" s="810">
        <f t="shared" si="107"/>
        <v>1</v>
      </c>
      <c r="T273" s="176">
        <f t="shared" si="108"/>
        <v>7</v>
      </c>
      <c r="U273" s="251">
        <f t="shared" si="109"/>
        <v>1.1924066138602909</v>
      </c>
      <c r="V273" s="383">
        <f t="shared" si="110"/>
        <v>39.932104149976851</v>
      </c>
      <c r="W273" s="402">
        <f t="shared" si="111"/>
        <v>30.749895828785892</v>
      </c>
      <c r="X273" s="157">
        <f t="shared" si="112"/>
        <v>45550</v>
      </c>
      <c r="Y273" s="385">
        <f t="shared" si="113"/>
        <v>28.843006080127452</v>
      </c>
      <c r="Z273" s="385">
        <f t="shared" si="114"/>
        <v>30.384311429118483</v>
      </c>
      <c r="AA273" s="386">
        <f t="shared" si="115"/>
        <v>35.625313443188752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0.14711455163553946</v>
      </c>
      <c r="AD273" s="231">
        <f>(INDEX(Models!$BJ273:$BT273,,AH273)*(1-AF273)+INDEX(Models!$BJ273:$BT273,,AH273+1)*AF273-ERP_i)*AE273*Ramure*Pc/MaxiM</f>
        <v>2.8499050238683086E-3</v>
      </c>
      <c r="AE273" s="305">
        <f t="shared" si="117"/>
        <v>0.7</v>
      </c>
      <c r="AF273" s="177">
        <f t="shared" si="118"/>
        <v>0.1924066138602909</v>
      </c>
      <c r="AG273" s="810">
        <f t="shared" si="124"/>
        <v>1</v>
      </c>
      <c r="AH273" s="176">
        <f t="shared" si="119"/>
        <v>7</v>
      </c>
      <c r="AI273" s="225">
        <f t="shared" si="120"/>
        <v>1.1924066138602909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40.175912071290789</v>
      </c>
      <c r="C274" s="840"/>
      <c r="D274" s="393">
        <f t="shared" si="102"/>
        <v>42.323807354566533</v>
      </c>
      <c r="E274" s="385">
        <f t="shared" si="100"/>
        <v>46.551407204397954</v>
      </c>
      <c r="F274" s="385">
        <f t="shared" si="103"/>
        <v>46.687439753460581</v>
      </c>
      <c r="G274" s="110">
        <f t="shared" si="101"/>
        <v>1.014944342474754</v>
      </c>
      <c r="H274" s="414" t="b">
        <f>Wh_hp&gt;='2023'!Maxi_hp</f>
        <v>1</v>
      </c>
      <c r="I274" s="390">
        <f>IF(H274,Wh_hp,'2023'!Maxi_hp)</f>
        <v>46.687439753460581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5.0749103578555887E-2</v>
      </c>
      <c r="M274" s="844"/>
      <c r="N274" s="844"/>
      <c r="O274" s="48">
        <f>IF(t&lt;Tnet,'2023'!Resal+('2023'!Salim-'2023'!Resal)*(1-EXP(('2023'!Tnet-t)/('2023'!Tau_j))),Resal+(Salim-Resal)*(1-EXP((Tnet-t)/(Tau_j))))*Salcycl</f>
        <v>9.0815726177059949E-2</v>
      </c>
      <c r="P274" s="169">
        <f>(INDEX(Models!$BJ274:$BT274,,T274)*(1-R274)+INDEX(Models!$BJ274:$BT274,,T274+1)*R274-ERP_i)*Q274*Ramure*Pc/MaxiM</f>
        <v>2.913686202990891E-3</v>
      </c>
      <c r="Q274" s="305">
        <f t="shared" si="105"/>
        <v>0.7</v>
      </c>
      <c r="R274" s="177">
        <f t="shared" si="106"/>
        <v>0.1926843294963696</v>
      </c>
      <c r="S274" s="810">
        <f t="shared" si="107"/>
        <v>1</v>
      </c>
      <c r="T274" s="176">
        <f t="shared" si="108"/>
        <v>7</v>
      </c>
      <c r="U274" s="251">
        <f t="shared" si="109"/>
        <v>1.1926843294963696</v>
      </c>
      <c r="V274" s="383">
        <f t="shared" si="110"/>
        <v>39.584349988423277</v>
      </c>
      <c r="W274" s="402">
        <f t="shared" si="111"/>
        <v>40.175912071290789</v>
      </c>
      <c r="X274" s="157">
        <f t="shared" si="112"/>
        <v>45551</v>
      </c>
      <c r="Y274" s="385">
        <f t="shared" si="113"/>
        <v>37.687498722937548</v>
      </c>
      <c r="Z274" s="385">
        <f t="shared" si="114"/>
        <v>39.702357790774442</v>
      </c>
      <c r="AA274" s="386">
        <f t="shared" si="115"/>
        <v>46.551407204397954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0.14712872982659159</v>
      </c>
      <c r="AD274" s="231">
        <f>(INDEX(Models!$BJ274:$BT274,,AH274)*(1-AF274)+INDEX(Models!$BJ274:$BT274,,AH274+1)*AF274-ERP_i)*AE274*Ramure*Pc/MaxiM</f>
        <v>2.913686202990891E-3</v>
      </c>
      <c r="AE274" s="305">
        <f t="shared" si="117"/>
        <v>0.7</v>
      </c>
      <c r="AF274" s="177">
        <f t="shared" si="118"/>
        <v>0.1926843294963696</v>
      </c>
      <c r="AG274" s="810">
        <f t="shared" si="124"/>
        <v>1</v>
      </c>
      <c r="AH274" s="176">
        <f t="shared" si="119"/>
        <v>7</v>
      </c>
      <c r="AI274" s="225">
        <f t="shared" si="120"/>
        <v>1.1926843294963696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39.712235928454923</v>
      </c>
      <c r="C275" s="840"/>
      <c r="D275" s="393">
        <f t="shared" si="102"/>
        <v>41.836315626797415</v>
      </c>
      <c r="E275" s="385">
        <f t="shared" si="100"/>
        <v>46.019613975130291</v>
      </c>
      <c r="F275" s="385">
        <f t="shared" si="103"/>
        <v>46.156800921335297</v>
      </c>
      <c r="G275" s="110">
        <f t="shared" si="101"/>
        <v>1.012223489902915</v>
      </c>
      <c r="H275" s="414" t="b">
        <f>Wh_hp&gt;='2023'!Maxi_hp</f>
        <v>1</v>
      </c>
      <c r="I275" s="390">
        <f>IF(H275,Wh_hp,'2023'!Maxi_hp)</f>
        <v>46.156800921335297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5.077119403368191E-2</v>
      </c>
      <c r="M275" s="844"/>
      <c r="N275" s="844"/>
      <c r="O275" s="48">
        <f>IF(t&lt;Tnet,'2023'!Resal+('2023'!Salim-'2023'!Resal)*(1-EXP(('2023'!Tnet-t)/('2023'!Tau_j))),Resal+(Salim-Resal)*(1-EXP((Tnet-t)/(Tau_j))))*Salcycl</f>
        <v>9.0902508452017722E-2</v>
      </c>
      <c r="P275" s="169">
        <f>(INDEX(Models!$BJ275:$BT275,,T275)*(1-R275)+INDEX(Models!$BJ275:$BT275,,T275+1)*R275-ERP_i)*Q275*Ramure*Pc/MaxiM</f>
        <v>2.9721935547225788E-3</v>
      </c>
      <c r="Q275" s="305">
        <f t="shared" si="105"/>
        <v>0.7</v>
      </c>
      <c r="R275" s="177">
        <f t="shared" si="106"/>
        <v>0.1929512322242557</v>
      </c>
      <c r="S275" s="810">
        <f t="shared" si="107"/>
        <v>1</v>
      </c>
      <c r="T275" s="176">
        <f t="shared" si="108"/>
        <v>7</v>
      </c>
      <c r="U275" s="251">
        <f t="shared" si="109"/>
        <v>1.1929512322242557</v>
      </c>
      <c r="V275" s="383">
        <f t="shared" si="110"/>
        <v>39.232675713012583</v>
      </c>
      <c r="W275" s="402">
        <f t="shared" si="111"/>
        <v>39.712235928454923</v>
      </c>
      <c r="X275" s="157">
        <f t="shared" si="112"/>
        <v>45552</v>
      </c>
      <c r="Y275" s="385">
        <f t="shared" si="113"/>
        <v>37.255538908064963</v>
      </c>
      <c r="Z275" s="385">
        <f t="shared" si="114"/>
        <v>39.248217788901485</v>
      </c>
      <c r="AA275" s="386">
        <f t="shared" si="115"/>
        <v>46.019613975130291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0.14714152513074477</v>
      </c>
      <c r="AD275" s="231">
        <f>(INDEX(Models!$BJ275:$BT275,,AH275)*(1-AF275)+INDEX(Models!$BJ275:$BT275,,AH275+1)*AF275-ERP_i)*AE275*Ramure*Pc/MaxiM</f>
        <v>2.9721935547225788E-3</v>
      </c>
      <c r="AE275" s="305">
        <f t="shared" si="117"/>
        <v>0.7</v>
      </c>
      <c r="AF275" s="177">
        <f t="shared" si="118"/>
        <v>0.1929512322242557</v>
      </c>
      <c r="AG275" s="810">
        <f t="shared" si="124"/>
        <v>1</v>
      </c>
      <c r="AH275" s="176">
        <f t="shared" si="119"/>
        <v>7</v>
      </c>
      <c r="AI275" s="225">
        <f t="shared" si="120"/>
        <v>1.1929512322242557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38.171246131394945</v>
      </c>
      <c r="C276" s="840"/>
      <c r="D276" s="393">
        <f t="shared" si="102"/>
        <v>40.213839079472734</v>
      </c>
      <c r="E276" s="385">
        <f t="shared" si="100"/>
        <v>44.239076780265115</v>
      </c>
      <c r="F276" s="385">
        <f t="shared" si="103"/>
        <v>44.369667899777923</v>
      </c>
      <c r="G276" s="110">
        <f t="shared" si="101"/>
        <v>0.98181980631463428</v>
      </c>
      <c r="H276" s="414" t="b">
        <f>Wh_hp&gt;='2023'!Maxi_hp</f>
        <v>0</v>
      </c>
      <c r="I276" s="390">
        <f>IF(H276,Wh_hp,'2023'!Maxi_hp)</f>
        <v>44.370974570384895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5.0793283974730818E-2</v>
      </c>
      <c r="M276" s="844"/>
      <c r="N276" s="844"/>
      <c r="O276" s="48">
        <f>IF(t&lt;Tnet,'2023'!Resal+('2023'!Salim-'2023'!Resal)*(1-EXP(('2023'!Tnet-t)/('2023'!Tau_j))),Resal+(Salim-Resal)*(1-EXP((Tnet-t)/(Tau_j))))*Salcycl</f>
        <v>9.0988284425230645E-2</v>
      </c>
      <c r="P276" s="169">
        <f>(INDEX(Models!$BJ276:$BT276,,T276)*(1-R276)+INDEX(Models!$BJ276:$BT276,,T276+1)*R276-ERP_i)*Q276*Ramure*Pc/MaxiM</f>
        <v>3.0213906576233933E-3</v>
      </c>
      <c r="Q276" s="305">
        <f t="shared" si="105"/>
        <v>0.7</v>
      </c>
      <c r="R276" s="177">
        <f t="shared" si="106"/>
        <v>0.19320772899966521</v>
      </c>
      <c r="S276" s="810">
        <f t="shared" si="107"/>
        <v>1</v>
      </c>
      <c r="T276" s="176">
        <f t="shared" si="108"/>
        <v>7</v>
      </c>
      <c r="U276" s="251">
        <f t="shared" si="109"/>
        <v>1.1932077289996652</v>
      </c>
      <c r="V276" s="383">
        <f t="shared" si="110"/>
        <v>38.875009891140813</v>
      </c>
      <c r="W276" s="402">
        <f t="shared" si="111"/>
        <v>38.171246131394945</v>
      </c>
      <c r="X276" s="157">
        <f t="shared" si="112"/>
        <v>45553</v>
      </c>
      <c r="Y276" s="385">
        <f t="shared" si="113"/>
        <v>35.812780464474244</v>
      </c>
      <c r="Z276" s="385">
        <f t="shared" si="114"/>
        <v>37.729168852110035</v>
      </c>
      <c r="AA276" s="386">
        <f t="shared" si="115"/>
        <v>44.239076780265115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0.14715288839524621</v>
      </c>
      <c r="AD276" s="231">
        <f>(INDEX(Models!$BJ276:$BT276,,AH276)*(1-AF276)+INDEX(Models!$BJ276:$BT276,,AH276+1)*AF276-ERP_i)*AE276*Ramure*Pc/MaxiM</f>
        <v>3.0213906576233933E-3</v>
      </c>
      <c r="AE276" s="305">
        <f t="shared" si="117"/>
        <v>0.7</v>
      </c>
      <c r="AF276" s="177">
        <f t="shared" si="118"/>
        <v>0.19320772899966521</v>
      </c>
      <c r="AG276" s="810">
        <f t="shared" si="124"/>
        <v>1</v>
      </c>
      <c r="AH276" s="176">
        <f t="shared" si="119"/>
        <v>7</v>
      </c>
      <c r="AI276" s="225">
        <f t="shared" si="120"/>
        <v>1.1932077289996652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39.773825252490873</v>
      </c>
      <c r="C277" s="840"/>
      <c r="D277" s="393">
        <f t="shared" si="102"/>
        <v>41.903149437884835</v>
      </c>
      <c r="E277" s="385">
        <f t="shared" si="100"/>
        <v>46.101777606796908</v>
      </c>
      <c r="F277" s="385">
        <f t="shared" si="103"/>
        <v>46.243426743251511</v>
      </c>
      <c r="G277" s="110">
        <f t="shared" si="101"/>
        <v>1.0327586983116739</v>
      </c>
      <c r="H277" s="414" t="b">
        <f>Wh_hp&gt;='2023'!Maxi_hp</f>
        <v>1</v>
      </c>
      <c r="I277" s="390">
        <f>IF(H277,Wh_hp,'2023'!Maxi_hp)</f>
        <v>46.243426743251511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5.0815373401714492E-2</v>
      </c>
      <c r="M277" s="844"/>
      <c r="N277" s="844"/>
      <c r="O277" s="48">
        <f>IF(t&lt;Tnet,'2023'!Resal+('2023'!Salim-'2023'!Resal)*(1-EXP(('2023'!Tnet-t)/('2023'!Tau_j))),Resal+(Salim-Resal)*(1-EXP((Tnet-t)/(Tau_j))))*Salcycl</f>
        <v>9.1073021190685277E-2</v>
      </c>
      <c r="P277" s="169">
        <f>(INDEX(Models!$BJ277:$BT277,,T277)*(1-R277)+INDEX(Models!$BJ277:$BT277,,T277+1)*R277-ERP_i)*Q277*Ramure*Pc/MaxiM</f>
        <v>3.0631193756693992E-3</v>
      </c>
      <c r="Q277" s="305">
        <f t="shared" si="105"/>
        <v>0.7</v>
      </c>
      <c r="R277" s="177">
        <f t="shared" si="106"/>
        <v>0.19345421255571216</v>
      </c>
      <c r="S277" s="810">
        <f t="shared" si="107"/>
        <v>1</v>
      </c>
      <c r="T277" s="176">
        <f t="shared" si="108"/>
        <v>7</v>
      </c>
      <c r="U277" s="251">
        <f t="shared" si="109"/>
        <v>1.1934542125557122</v>
      </c>
      <c r="V277" s="383">
        <f t="shared" si="110"/>
        <v>38.512215213013505</v>
      </c>
      <c r="W277" s="402">
        <f t="shared" si="111"/>
        <v>39.773825252490873</v>
      </c>
      <c r="X277" s="157">
        <f t="shared" si="112"/>
        <v>45554</v>
      </c>
      <c r="Y277" s="385">
        <f t="shared" si="113"/>
        <v>37.319388417590446</v>
      </c>
      <c r="Z277" s="385">
        <f t="shared" si="114"/>
        <v>39.317312324512372</v>
      </c>
      <c r="AA277" s="386">
        <f t="shared" si="115"/>
        <v>46.101777606796908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0.14716276973416068</v>
      </c>
      <c r="AD277" s="231">
        <f>(INDEX(Models!$BJ277:$BT277,,AH277)*(1-AF277)+INDEX(Models!$BJ277:$BT277,,AH277+1)*AF277-ERP_i)*AE277*Ramure*Pc/MaxiM</f>
        <v>3.0631193756693992E-3</v>
      </c>
      <c r="AE277" s="305">
        <f t="shared" si="117"/>
        <v>0.7</v>
      </c>
      <c r="AF277" s="177">
        <f t="shared" si="118"/>
        <v>0.19345421255571216</v>
      </c>
      <c r="AG277" s="810">
        <f t="shared" si="124"/>
        <v>1</v>
      </c>
      <c r="AH277" s="176">
        <f t="shared" si="119"/>
        <v>7</v>
      </c>
      <c r="AI277" s="225">
        <f t="shared" si="120"/>
        <v>1.1934542125557122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38.454539695452603</v>
      </c>
      <c r="C278" s="840"/>
      <c r="D278" s="393">
        <f t="shared" si="102"/>
        <v>40.514177676279282</v>
      </c>
      <c r="E278" s="385">
        <f t="shared" si="100"/>
        <v>44.577736366892658</v>
      </c>
      <c r="F278" s="385">
        <f t="shared" si="103"/>
        <v>44.716228492902509</v>
      </c>
      <c r="G278" s="110">
        <f t="shared" si="101"/>
        <v>1.0081085802943179</v>
      </c>
      <c r="H278" s="414" t="b">
        <f>Wh_hp&gt;='2023'!Maxi_hp</f>
        <v>1</v>
      </c>
      <c r="I278" s="390">
        <f>IF(H278,Wh_hp,'2023'!Maxi_hp)</f>
        <v>44.716228492902509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5.0837462314644921E-2</v>
      </c>
      <c r="M278" s="844"/>
      <c r="N278" s="844"/>
      <c r="O278" s="48">
        <f>IF(t&lt;Tnet,'2023'!Resal+('2023'!Salim-'2023'!Resal)*(1-EXP(('2023'!Tnet-t)/('2023'!Tau_j))),Resal+(Salim-Resal)*(1-EXP((Tnet-t)/(Tau_j))))*Salcycl</f>
        <v>9.1156685417327188E-2</v>
      </c>
      <c r="P278" s="169">
        <f>(INDEX(Models!$BJ278:$BT278,,T278)*(1-R278)+INDEX(Models!$BJ278:$BT278,,T278+1)*R278-ERP_i)*Q278*Ramure*Pc/MaxiM</f>
        <v>3.0971334273380189E-3</v>
      </c>
      <c r="Q278" s="305">
        <f t="shared" si="105"/>
        <v>0.7</v>
      </c>
      <c r="R278" s="177">
        <f t="shared" si="106"/>
        <v>0.19369106181378215</v>
      </c>
      <c r="S278" s="810">
        <f t="shared" si="107"/>
        <v>1</v>
      </c>
      <c r="T278" s="176">
        <f t="shared" si="108"/>
        <v>7</v>
      </c>
      <c r="U278" s="251">
        <f t="shared" si="109"/>
        <v>1.1936910618137822</v>
      </c>
      <c r="V278" s="383">
        <f t="shared" si="110"/>
        <v>38.145235986609471</v>
      </c>
      <c r="W278" s="402">
        <f t="shared" si="111"/>
        <v>38.454539695452603</v>
      </c>
      <c r="X278" s="157">
        <f t="shared" si="112"/>
        <v>45555</v>
      </c>
      <c r="Y278" s="385">
        <f t="shared" si="113"/>
        <v>36.084484026890763</v>
      </c>
      <c r="Z278" s="385">
        <f t="shared" si="114"/>
        <v>38.017181035070173</v>
      </c>
      <c r="AA278" s="386">
        <f t="shared" si="115"/>
        <v>44.577736366892658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0.14717111873574024</v>
      </c>
      <c r="AD278" s="231">
        <f>(INDEX(Models!$BJ278:$BT278,,AH278)*(1-AF278)+INDEX(Models!$BJ278:$BT278,,AH278+1)*AF278-ERP_i)*AE278*Ramure*Pc/MaxiM</f>
        <v>3.0971334273380189E-3</v>
      </c>
      <c r="AE278" s="305">
        <f t="shared" si="117"/>
        <v>0.7</v>
      </c>
      <c r="AF278" s="177">
        <f t="shared" si="118"/>
        <v>0.19369106181378215</v>
      </c>
      <c r="AG278" s="810">
        <f t="shared" si="124"/>
        <v>1</v>
      </c>
      <c r="AH278" s="176">
        <f t="shared" si="119"/>
        <v>7</v>
      </c>
      <c r="AI278" s="225">
        <f t="shared" si="120"/>
        <v>1.1936910618137822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36.762762813774629</v>
      </c>
      <c r="C279" s="840"/>
      <c r="D279" s="393">
        <f t="shared" si="102"/>
        <v>38.732690026446271</v>
      </c>
      <c r="E279" s="385">
        <f t="shared" si="100"/>
        <v>42.621437764659234</v>
      </c>
      <c r="F279" s="385">
        <f t="shared" si="103"/>
        <v>42.749841692032248</v>
      </c>
      <c r="G279" s="110">
        <f t="shared" si="101"/>
        <v>0.97308640069258501</v>
      </c>
      <c r="H279" s="414" t="b">
        <f>Wh_hp&gt;='2023'!Maxi_hp</f>
        <v>0</v>
      </c>
      <c r="I279" s="390">
        <f>IF(H279,Wh_hp,'2023'!Maxi_hp)</f>
        <v>42.751746792119995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5.0859550713534096E-2</v>
      </c>
      <c r="M279" s="844"/>
      <c r="N279" s="844"/>
      <c r="O279" s="48">
        <f>IF(t&lt;Tnet,'2023'!Resal+('2023'!Salim-'2023'!Resal)*(1-EXP(('2023'!Tnet-t)/('2023'!Tau_j))),Resal+(Salim-Resal)*(1-EXP((Tnet-t)/(Tau_j))))*Salcycl</f>
        <v>9.1239243492565306E-2</v>
      </c>
      <c r="P279" s="169">
        <f>(INDEX(Models!$BJ279:$BT279,,T279)*(1-R279)+INDEX(Models!$BJ279:$BT279,,T279+1)*R279-ERP_i)*Q279*Ramure*Pc/MaxiM</f>
        <v>3.1231707253969255E-3</v>
      </c>
      <c r="Q279" s="305">
        <f t="shared" si="105"/>
        <v>0.7</v>
      </c>
      <c r="R279" s="177">
        <f t="shared" si="106"/>
        <v>0.19391864228963041</v>
      </c>
      <c r="S279" s="810">
        <f t="shared" si="107"/>
        <v>1</v>
      </c>
      <c r="T279" s="176">
        <f t="shared" si="108"/>
        <v>7</v>
      </c>
      <c r="U279" s="251">
        <f t="shared" si="109"/>
        <v>1.1939186422896304</v>
      </c>
      <c r="V279" s="383">
        <f t="shared" si="110"/>
        <v>37.77501589605501</v>
      </c>
      <c r="W279" s="402">
        <f t="shared" si="111"/>
        <v>36.762762813774629</v>
      </c>
      <c r="X279" s="157">
        <f t="shared" si="112"/>
        <v>45556</v>
      </c>
      <c r="Y279" s="385">
        <f t="shared" si="113"/>
        <v>34.4998360930269</v>
      </c>
      <c r="Z279" s="385">
        <f t="shared" si="114"/>
        <v>36.348504711776634</v>
      </c>
      <c r="AA279" s="386">
        <f t="shared" si="115"/>
        <v>42.621437764659234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0.14717788469548013</v>
      </c>
      <c r="AD279" s="231">
        <f>(INDEX(Models!$BJ279:$BT279,,AH279)*(1-AF279)+INDEX(Models!$BJ279:$BT279,,AH279+1)*AF279-ERP_i)*AE279*Ramure*Pc/MaxiM</f>
        <v>3.1231707253969255E-3</v>
      </c>
      <c r="AE279" s="305">
        <f t="shared" si="117"/>
        <v>0.7</v>
      </c>
      <c r="AF279" s="177">
        <f t="shared" si="118"/>
        <v>0.19391864228963041</v>
      </c>
      <c r="AG279" s="810">
        <f t="shared" si="124"/>
        <v>1</v>
      </c>
      <c r="AH279" s="176">
        <f t="shared" si="119"/>
        <v>7</v>
      </c>
      <c r="AI279" s="225">
        <f t="shared" si="120"/>
        <v>1.1939186422896304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23.076319720076036</v>
      </c>
      <c r="C280" s="840"/>
      <c r="D280" s="393">
        <f t="shared" si="102"/>
        <v>24.313426711077625</v>
      </c>
      <c r="E280" s="385">
        <f t="shared" si="100"/>
        <v>26.75688296829188</v>
      </c>
      <c r="F280" s="385">
        <f t="shared" si="103"/>
        <v>26.794993185072858</v>
      </c>
      <c r="G280" s="110">
        <f t="shared" si="101"/>
        <v>0.61591080763591266</v>
      </c>
      <c r="H280" s="414" t="b">
        <f>Wh_hp&gt;='2023'!Maxi_hp</f>
        <v>0</v>
      </c>
      <c r="I280" s="390">
        <f>IF(H280,Wh_hp,'2023'!Maxi_hp)</f>
        <v>39.201858465251448</v>
      </c>
      <c r="J280" s="85">
        <f>IF(H280,An,'2023'!An_max)</f>
        <v>2019</v>
      </c>
      <c r="K280" s="197">
        <f t="shared" si="104"/>
        <v>45557</v>
      </c>
      <c r="L280" s="147">
        <f>IF(t&lt;Tvie,1-EXP((T0-t)*PertePVj)+'2023'!Pspv,1-EXP((T0-t)*PertePVj)+Pspv)</f>
        <v>5.0881638598393897E-2</v>
      </c>
      <c r="M280" s="844"/>
      <c r="N280" s="844"/>
      <c r="O280" s="48">
        <f>IF(t&lt;Tnet,'2023'!Resal+('2023'!Salim-'2023'!Resal)*(1-EXP(('2023'!Tnet-t)/('2023'!Tau_j))),Resal+(Salim-Resal)*(1-EXP((Tnet-t)/(Tau_j))))*Salcycl</f>
        <v>9.1320661682074852E-2</v>
      </c>
      <c r="P280" s="169">
        <f>(INDEX(Models!$BJ280:$BT280,,T280)*(1-R280)+INDEX(Models!$BJ280:$BT280,,T280+1)*R280-ERP_i)*Q280*Ramure*Pc/MaxiM</f>
        <v>3.1409711806389146E-3</v>
      </c>
      <c r="Q280" s="305">
        <f t="shared" si="105"/>
        <v>0.7</v>
      </c>
      <c r="R280" s="177">
        <f t="shared" si="106"/>
        <v>0.19413730649408256</v>
      </c>
      <c r="S280" s="810">
        <f t="shared" si="107"/>
        <v>1</v>
      </c>
      <c r="T280" s="176">
        <f t="shared" si="108"/>
        <v>7</v>
      </c>
      <c r="U280" s="251">
        <f t="shared" si="109"/>
        <v>1.1941373064940826</v>
      </c>
      <c r="V280" s="383">
        <f t="shared" si="110"/>
        <v>37.402497373253901</v>
      </c>
      <c r="W280" s="402">
        <f t="shared" si="111"/>
        <v>23.076319720076036</v>
      </c>
      <c r="X280" s="157">
        <f t="shared" si="112"/>
        <v>45557</v>
      </c>
      <c r="Y280" s="385">
        <f t="shared" si="113"/>
        <v>21.657670132293998</v>
      </c>
      <c r="Z280" s="385">
        <f t="shared" si="114"/>
        <v>22.818724210867792</v>
      </c>
      <c r="AA280" s="386">
        <f t="shared" si="115"/>
        <v>26.75688296829188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0.1471830168742369</v>
      </c>
      <c r="AD280" s="231">
        <f>(INDEX(Models!$BJ280:$BT280,,AH280)*(1-AF280)+INDEX(Models!$BJ280:$BT280,,AH280+1)*AF280-ERP_i)*AE280*Ramure*Pc/MaxiM</f>
        <v>3.1409711806389146E-3</v>
      </c>
      <c r="AE280" s="305">
        <f t="shared" si="117"/>
        <v>0.7</v>
      </c>
      <c r="AF280" s="177">
        <f t="shared" si="118"/>
        <v>0.19413730649408256</v>
      </c>
      <c r="AG280" s="810">
        <f t="shared" si="124"/>
        <v>1</v>
      </c>
      <c r="AH280" s="176">
        <f t="shared" si="119"/>
        <v>7</v>
      </c>
      <c r="AI280" s="225">
        <f t="shared" si="120"/>
        <v>1.1941373064940826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15.020356012607223</v>
      </c>
      <c r="C281" s="840"/>
      <c r="D281" s="393">
        <f t="shared" si="102"/>
        <v>15.8259561475429</v>
      </c>
      <c r="E281" s="385">
        <f t="shared" si="100"/>
        <v>17.417974833312403</v>
      </c>
      <c r="F281" s="385">
        <f t="shared" si="103"/>
        <v>17.426259733096455</v>
      </c>
      <c r="G281" s="110">
        <f t="shared" si="101"/>
        <v>0.40455623292419007</v>
      </c>
      <c r="H281" s="414" t="b">
        <f>Wh_hp&gt;='2023'!Maxi_hp</f>
        <v>0</v>
      </c>
      <c r="I281" s="390">
        <f>IF(H281,Wh_hp,'2023'!Maxi_hp)</f>
        <v>36.19529357264706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5.0903725969236424E-2</v>
      </c>
      <c r="M281" s="844"/>
      <c r="N281" s="844"/>
      <c r="O281" s="48">
        <f>IF(t&lt;Tnet,'2023'!Resal+('2023'!Salim-'2023'!Resal)*(1-EXP(('2023'!Tnet-t)/('2023'!Tau_j))),Resal+(Salim-Resal)*(1-EXP((Tnet-t)/(Tau_j))))*Salcycl</f>
        <v>9.1400906305405843E-2</v>
      </c>
      <c r="P281" s="169">
        <f>(INDEX(Models!$BJ281:$BT281,,T281)*(1-R281)+INDEX(Models!$BJ281:$BT281,,T281+1)*R281-ERP_i)*Q281*Ramure*Pc/MaxiM</f>
        <v>3.1502530838563507E-3</v>
      </c>
      <c r="Q281" s="305">
        <f t="shared" si="105"/>
        <v>0.7</v>
      </c>
      <c r="R281" s="177">
        <f t="shared" si="106"/>
        <v>0.19434739432779136</v>
      </c>
      <c r="S281" s="810">
        <f t="shared" si="107"/>
        <v>1</v>
      </c>
      <c r="T281" s="176">
        <f t="shared" si="108"/>
        <v>7</v>
      </c>
      <c r="U281" s="251">
        <f t="shared" si="109"/>
        <v>1.1943473943277914</v>
      </c>
      <c r="V281" s="383">
        <f t="shared" si="110"/>
        <v>37.028622551378653</v>
      </c>
      <c r="W281" s="402">
        <f t="shared" si="111"/>
        <v>15.020356012607223</v>
      </c>
      <c r="X281" s="157">
        <f t="shared" si="112"/>
        <v>45558</v>
      </c>
      <c r="Y281" s="385">
        <f t="shared" si="113"/>
        <v>14.098146256431461</v>
      </c>
      <c r="Z281" s="385">
        <f t="shared" si="114"/>
        <v>14.854284693961921</v>
      </c>
      <c r="AA281" s="386">
        <f t="shared" si="115"/>
        <v>17.417974833312403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0.14718646478047195</v>
      </c>
      <c r="AD281" s="231">
        <f>(INDEX(Models!$BJ281:$BT281,,AH281)*(1-AF281)+INDEX(Models!$BJ281:$BT281,,AH281+1)*AF281-ERP_i)*AE281*Ramure*Pc/MaxiM</f>
        <v>3.1502530838563507E-3</v>
      </c>
      <c r="AE281" s="305">
        <f t="shared" si="117"/>
        <v>0.7</v>
      </c>
      <c r="AF281" s="177">
        <f t="shared" si="118"/>
        <v>0.19434739432779136</v>
      </c>
      <c r="AG281" s="810">
        <f t="shared" si="124"/>
        <v>1</v>
      </c>
      <c r="AH281" s="176">
        <f t="shared" si="119"/>
        <v>7</v>
      </c>
      <c r="AI281" s="225">
        <f t="shared" si="120"/>
        <v>1.1943473943277914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30.6523977532404</v>
      </c>
      <c r="C282" s="840"/>
      <c r="D282" s="393">
        <f t="shared" si="102"/>
        <v>32.29715671070408</v>
      </c>
      <c r="E282" s="385">
        <f t="shared" si="100"/>
        <v>35.549195083590341</v>
      </c>
      <c r="F282" s="385">
        <f t="shared" si="103"/>
        <v>35.635249691233561</v>
      </c>
      <c r="G282" s="110">
        <f t="shared" si="101"/>
        <v>0.83563893102441011</v>
      </c>
      <c r="H282" s="414" t="b">
        <f>Wh_hp&gt;='2023'!Maxi_hp</f>
        <v>0</v>
      </c>
      <c r="I282" s="390">
        <f>IF(H282,Wh_hp,'2023'!Maxi_hp)</f>
        <v>35.644929578113675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5.0925812826073558E-2</v>
      </c>
      <c r="M282" s="844"/>
      <c r="N282" s="844"/>
      <c r="O282" s="48">
        <f>IF(t&lt;Tnet,'2023'!Resal+('2023'!Salim-'2023'!Resal)*(1-EXP(('2023'!Tnet-t)/('2023'!Tau_j))),Resal+(Salim-Resal)*(1-EXP((Tnet-t)/(Tau_j))))*Salcycl</f>
        <v>9.1479943926702778E-2</v>
      </c>
      <c r="P282" s="169">
        <f>(INDEX(Models!$BJ282:$BT282,,T282)*(1-R282)+INDEX(Models!$BJ282:$BT282,,T282+1)*R282-ERP_i)*Q282*Ramure*Pc/MaxiM</f>
        <v>3.1522405103333309E-3</v>
      </c>
      <c r="Q282" s="305">
        <f t="shared" si="105"/>
        <v>0.7</v>
      </c>
      <c r="R282" s="177">
        <f t="shared" si="106"/>
        <v>0.19454923346956599</v>
      </c>
      <c r="S282" s="810">
        <f t="shared" si="107"/>
        <v>1</v>
      </c>
      <c r="T282" s="176">
        <f t="shared" si="108"/>
        <v>7</v>
      </c>
      <c r="U282" s="251">
        <f t="shared" si="109"/>
        <v>1.194549233469566</v>
      </c>
      <c r="V282" s="383">
        <f t="shared" si="110"/>
        <v>36.654277134707705</v>
      </c>
      <c r="W282" s="402">
        <f t="shared" si="111"/>
        <v>30.6523977532404</v>
      </c>
      <c r="X282" s="157">
        <f t="shared" si="112"/>
        <v>45559</v>
      </c>
      <c r="Y282" s="385">
        <f t="shared" si="113"/>
        <v>28.772867464281415</v>
      </c>
      <c r="Z282" s="385">
        <f t="shared" si="114"/>
        <v>30.316773812971196</v>
      </c>
      <c r="AA282" s="386">
        <f t="shared" si="115"/>
        <v>35.549195083590341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0.14718817847536736</v>
      </c>
      <c r="AD282" s="231">
        <f>(INDEX(Models!$BJ282:$BT282,,AH282)*(1-AF282)+INDEX(Models!$BJ282:$BT282,,AH282+1)*AF282-ERP_i)*AE282*Ramure*Pc/MaxiM</f>
        <v>3.1522405103333309E-3</v>
      </c>
      <c r="AE282" s="305">
        <f t="shared" si="117"/>
        <v>0.7</v>
      </c>
      <c r="AF282" s="177">
        <f t="shared" si="118"/>
        <v>0.19454923346956599</v>
      </c>
      <c r="AG282" s="810">
        <f t="shared" si="124"/>
        <v>1</v>
      </c>
      <c r="AH282" s="176">
        <f t="shared" si="119"/>
        <v>7</v>
      </c>
      <c r="AI282" s="225">
        <f t="shared" si="120"/>
        <v>1.194549233469566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27.274779353342193</v>
      </c>
      <c r="C283" s="840"/>
      <c r="D283" s="393">
        <f t="shared" si="102"/>
        <v>28.738969472232061</v>
      </c>
      <c r="E283" s="385">
        <f t="shared" si="100"/>
        <v>31.635438802210853</v>
      </c>
      <c r="F283" s="385">
        <f t="shared" si="103"/>
        <v>31.699912389889928</v>
      </c>
      <c r="G283" s="110">
        <f t="shared" si="101"/>
        <v>0.75093892314075794</v>
      </c>
      <c r="H283" s="414" t="b">
        <f>Wh_hp&gt;='2023'!Maxi_hp</f>
        <v>0</v>
      </c>
      <c r="I283" s="390">
        <f>IF(H283,Wh_hp,'2023'!Maxi_hp)</f>
        <v>36.254189031669213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5.0947899168917177E-2</v>
      </c>
      <c r="M283" s="844"/>
      <c r="N283" s="844"/>
      <c r="O283" s="48">
        <f>IF(t&lt;Tnet,'2023'!Resal+('2023'!Salim-'2023'!Resal)*(1-EXP(('2023'!Tnet-t)/('2023'!Tau_j))),Resal+(Salim-Resal)*(1-EXP((Tnet-t)/(Tau_j))))*Salcycl</f>
        <v>9.1557741559645148E-2</v>
      </c>
      <c r="P283" s="169">
        <f>(INDEX(Models!$BJ283:$BT283,,T283)*(1-R283)+INDEX(Models!$BJ283:$BT283,,T283+1)*R283-ERP_i)*Q283*Ramure*Pc/MaxiM</f>
        <v>3.1513317349375534E-3</v>
      </c>
      <c r="Q283" s="305">
        <f t="shared" si="105"/>
        <v>0.7</v>
      </c>
      <c r="R283" s="177">
        <f t="shared" si="106"/>
        <v>0.19474313975786828</v>
      </c>
      <c r="S283" s="810">
        <f t="shared" si="107"/>
        <v>1</v>
      </c>
      <c r="T283" s="176">
        <f t="shared" si="108"/>
        <v>7</v>
      </c>
      <c r="U283" s="251">
        <f t="shared" si="109"/>
        <v>1.1947431397578683</v>
      </c>
      <c r="V283" s="383">
        <f t="shared" si="110"/>
        <v>36.280232587039507</v>
      </c>
      <c r="W283" s="402">
        <f t="shared" si="111"/>
        <v>27.274779353342193</v>
      </c>
      <c r="X283" s="157">
        <f t="shared" si="112"/>
        <v>45560</v>
      </c>
      <c r="Y283" s="385">
        <f t="shared" si="113"/>
        <v>25.604551025194837</v>
      </c>
      <c r="Z283" s="385">
        <f t="shared" si="114"/>
        <v>26.979078390715312</v>
      </c>
      <c r="AA283" s="386">
        <f t="shared" si="115"/>
        <v>31.635438802210853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0.14718810889925538</v>
      </c>
      <c r="AD283" s="231">
        <f>(INDEX(Models!$BJ283:$BT283,,AH283)*(1-AF283)+INDEX(Models!$BJ283:$BT283,,AH283+1)*AF283-ERP_i)*AE283*Ramure*Pc/MaxiM</f>
        <v>3.1513317349375534E-3</v>
      </c>
      <c r="AE283" s="305">
        <f t="shared" si="117"/>
        <v>0.7</v>
      </c>
      <c r="AF283" s="177">
        <f t="shared" si="118"/>
        <v>0.19474313975786828</v>
      </c>
      <c r="AG283" s="810">
        <f t="shared" si="124"/>
        <v>1</v>
      </c>
      <c r="AH283" s="176">
        <f t="shared" si="119"/>
        <v>7</v>
      </c>
      <c r="AI283" s="225">
        <f t="shared" si="120"/>
        <v>1.1947431397578683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16.365388557978662</v>
      </c>
      <c r="C284" s="840"/>
      <c r="D284" s="393">
        <f t="shared" si="102"/>
        <v>17.244331896015289</v>
      </c>
      <c r="E284" s="385">
        <f t="shared" si="100"/>
        <v>18.983908427380221</v>
      </c>
      <c r="F284" s="385">
        <f t="shared" si="103"/>
        <v>18.997213335127839</v>
      </c>
      <c r="G284" s="110">
        <f t="shared" si="101"/>
        <v>0.45465002609734734</v>
      </c>
      <c r="H284" s="414" t="b">
        <f>Wh_hp&gt;='2023'!Maxi_hp</f>
        <v>0</v>
      </c>
      <c r="I284" s="390">
        <f>IF(H284,Wh_hp,'2023'!Maxi_hp)</f>
        <v>33.919915372274694</v>
      </c>
      <c r="J284" s="85">
        <f>IF(H284,An,'2023'!An_max)</f>
        <v>2019</v>
      </c>
      <c r="K284" s="197">
        <f t="shared" si="104"/>
        <v>45561</v>
      </c>
      <c r="L284" s="147">
        <f>IF(t&lt;Tvie,1-EXP((T0-t)*PertePVj)+'2023'!Pspv,1-EXP((T0-t)*PertePVj)+Pspv)</f>
        <v>5.0969984997779383E-2</v>
      </c>
      <c r="M284" s="844"/>
      <c r="N284" s="844"/>
      <c r="O284" s="48">
        <f>IF(t&lt;Tnet,'2023'!Resal+('2023'!Salim-'2023'!Resal)*(1-EXP(('2023'!Tnet-t)/('2023'!Tau_j))),Resal+(Salim-Resal)*(1-EXP((Tnet-t)/(Tau_j))))*Salcycl</f>
        <v>9.1634266885525367E-2</v>
      </c>
      <c r="P284" s="169">
        <f>(INDEX(Models!$BJ284:$BT284,,T284)*(1-R284)+INDEX(Models!$BJ284:$BT284,,T284+1)*R284-ERP_i)*Q284*Ramure*Pc/MaxiM</f>
        <v>3.1473652628478E-3</v>
      </c>
      <c r="Q284" s="305">
        <f t="shared" si="105"/>
        <v>0.7</v>
      </c>
      <c r="R284" s="177">
        <f t="shared" si="106"/>
        <v>0.19492941756512372</v>
      </c>
      <c r="S284" s="810">
        <f t="shared" si="107"/>
        <v>1</v>
      </c>
      <c r="T284" s="176">
        <f t="shared" si="108"/>
        <v>7</v>
      </c>
      <c r="U284" s="251">
        <f t="shared" si="109"/>
        <v>1.1949294175651237</v>
      </c>
      <c r="V284" s="383">
        <f t="shared" si="110"/>
        <v>35.907430725282232</v>
      </c>
      <c r="W284" s="402">
        <f t="shared" si="111"/>
        <v>16.365388557978662</v>
      </c>
      <c r="X284" s="157">
        <f t="shared" si="112"/>
        <v>45561</v>
      </c>
      <c r="Y284" s="385">
        <f t="shared" si="113"/>
        <v>15.364548178486622</v>
      </c>
      <c r="Z284" s="385">
        <f t="shared" si="114"/>
        <v>16.18973892880582</v>
      </c>
      <c r="AA284" s="386">
        <f t="shared" si="115"/>
        <v>18.983908427380221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0.14718620821750331</v>
      </c>
      <c r="AD284" s="231">
        <f>(INDEX(Models!$BJ284:$BT284,,AH284)*(1-AF284)+INDEX(Models!$BJ284:$BT284,,AH284+1)*AF284-ERP_i)*AE284*Ramure*Pc/MaxiM</f>
        <v>3.1473652628478E-3</v>
      </c>
      <c r="AE284" s="305">
        <f t="shared" si="117"/>
        <v>0.7</v>
      </c>
      <c r="AF284" s="177">
        <f t="shared" si="118"/>
        <v>0.19492941756512372</v>
      </c>
      <c r="AG284" s="810">
        <f t="shared" si="124"/>
        <v>1</v>
      </c>
      <c r="AH284" s="176">
        <f t="shared" si="119"/>
        <v>7</v>
      </c>
      <c r="AI284" s="225">
        <f t="shared" si="120"/>
        <v>1.1949294175651237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18.471653931525406</v>
      </c>
      <c r="C285" s="840"/>
      <c r="D285" s="393">
        <f t="shared" si="102"/>
        <v>19.46417237800248</v>
      </c>
      <c r="E285" s="385">
        <f t="shared" si="100"/>
        <v>21.429456909660001</v>
      </c>
      <c r="F285" s="385">
        <f t="shared" si="103"/>
        <v>21.450606497023031</v>
      </c>
      <c r="G285" s="110">
        <f t="shared" si="101"/>
        <v>0.51866842869293805</v>
      </c>
      <c r="H285" s="414" t="b">
        <f>Wh_hp&gt;='2023'!Maxi_hp</f>
        <v>0</v>
      </c>
      <c r="I285" s="390">
        <f>IF(H285,Wh_hp,'2023'!Maxi_hp)</f>
        <v>35.820962356484351</v>
      </c>
      <c r="J285" s="85">
        <f>IF(H285,An,'2023'!An_max)</f>
        <v>2019</v>
      </c>
      <c r="K285" s="197">
        <f t="shared" si="104"/>
        <v>45562</v>
      </c>
      <c r="L285" s="147">
        <f>IF(t&lt;Tvie,1-EXP((T0-t)*PertePVj)+'2023'!Pspv,1-EXP((T0-t)*PertePVj)+Pspv)</f>
        <v>5.0992070312672166E-2</v>
      </c>
      <c r="M285" s="844"/>
      <c r="N285" s="844"/>
      <c r="O285" s="48">
        <f>IF(t&lt;Tnet,'2023'!Resal+('2023'!Salim-'2023'!Resal)*(1-EXP(('2023'!Tnet-t)/('2023'!Tau_j))),Resal+(Salim-Resal)*(1-EXP((Tnet-t)/(Tau_j))))*Salcycl</f>
        <v>9.1709488483191881E-2</v>
      </c>
      <c r="P285" s="169">
        <f>(INDEX(Models!$BJ285:$BT285,,T285)*(1-R285)+INDEX(Models!$BJ285:$BT285,,T285+1)*R285-ERP_i)*Q285*Ramure*Pc/MaxiM</f>
        <v>3.1401752016256557E-3</v>
      </c>
      <c r="Q285" s="305">
        <f t="shared" si="105"/>
        <v>0.7</v>
      </c>
      <c r="R285" s="177">
        <f t="shared" si="106"/>
        <v>0.19510836016455313</v>
      </c>
      <c r="S285" s="810">
        <f t="shared" si="107"/>
        <v>1</v>
      </c>
      <c r="T285" s="176">
        <f t="shared" si="108"/>
        <v>7</v>
      </c>
      <c r="U285" s="251">
        <f t="shared" si="109"/>
        <v>1.1951083601645531</v>
      </c>
      <c r="V285" s="383">
        <f t="shared" si="110"/>
        <v>35.536812824873458</v>
      </c>
      <c r="W285" s="402">
        <f t="shared" si="111"/>
        <v>18.471653931525406</v>
      </c>
      <c r="X285" s="157">
        <f t="shared" si="112"/>
        <v>45562</v>
      </c>
      <c r="Y285" s="385">
        <f t="shared" si="113"/>
        <v>17.343515996951549</v>
      </c>
      <c r="Z285" s="385">
        <f t="shared" si="114"/>
        <v>18.275417364179205</v>
      </c>
      <c r="AA285" s="386">
        <f t="shared" si="115"/>
        <v>21.429456909660001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0.14718243018370727</v>
      </c>
      <c r="AD285" s="231">
        <f>(INDEX(Models!$BJ285:$BT285,,AH285)*(1-AF285)+INDEX(Models!$BJ285:$BT285,,AH285+1)*AF285-ERP_i)*AE285*Ramure*Pc/MaxiM</f>
        <v>3.1401752016256557E-3</v>
      </c>
      <c r="AE285" s="305">
        <f t="shared" si="117"/>
        <v>0.7</v>
      </c>
      <c r="AF285" s="177">
        <f t="shared" si="118"/>
        <v>0.19510836016455313</v>
      </c>
      <c r="AG285" s="810">
        <f t="shared" si="124"/>
        <v>1</v>
      </c>
      <c r="AH285" s="176">
        <f t="shared" si="119"/>
        <v>7</v>
      </c>
      <c r="AI285" s="225">
        <f t="shared" si="120"/>
        <v>1.1951083601645531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21.785762042207867</v>
      </c>
      <c r="C286" s="840"/>
      <c r="D286" s="393">
        <f t="shared" si="102"/>
        <v>22.956888303024094</v>
      </c>
      <c r="E286" s="385">
        <f t="shared" si="100"/>
        <v>25.276886260538816</v>
      </c>
      <c r="F286" s="385">
        <f t="shared" si="103"/>
        <v>25.313039047829037</v>
      </c>
      <c r="G286" s="110">
        <f t="shared" si="101"/>
        <v>0.61839818758446519</v>
      </c>
      <c r="H286" s="414" t="b">
        <f>Wh_hp&gt;='2023'!Maxi_hp</f>
        <v>0</v>
      </c>
      <c r="I286" s="390">
        <f>IF(H286,Wh_hp,'2023'!Maxi_hp)</f>
        <v>39.441971628235159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5.1014155113607296E-2</v>
      </c>
      <c r="M286" s="844"/>
      <c r="N286" s="844"/>
      <c r="O286" s="48">
        <f>IF(t&lt;Tnet,'2023'!Resal+('2023'!Salim-'2023'!Resal)*(1-EXP(('2023'!Tnet-t)/('2023'!Tau_j))),Resal+(Salim-Resal)*(1-EXP((Tnet-t)/(Tau_j))))*Salcycl</f>
        <v>9.1783376069409436E-2</v>
      </c>
      <c r="P286" s="169">
        <f>(INDEX(Models!$BJ286:$BT286,,T286)*(1-R286)+INDEX(Models!$BJ286:$BT286,,T286+1)*R286-ERP_i)*Q286*Ramure*Pc/MaxiM</f>
        <v>3.1295920869334731E-3</v>
      </c>
      <c r="Q286" s="305">
        <f t="shared" si="105"/>
        <v>0.7</v>
      </c>
      <c r="R286" s="177">
        <f t="shared" si="106"/>
        <v>0.19528025008928118</v>
      </c>
      <c r="S286" s="810">
        <f t="shared" si="107"/>
        <v>1</v>
      </c>
      <c r="T286" s="176">
        <f t="shared" si="108"/>
        <v>7</v>
      </c>
      <c r="U286" s="251">
        <f t="shared" si="109"/>
        <v>1.1952802500892812</v>
      </c>
      <c r="V286" s="383">
        <f t="shared" si="110"/>
        <v>35.169319620727769</v>
      </c>
      <c r="W286" s="402">
        <f t="shared" si="111"/>
        <v>21.785762042207867</v>
      </c>
      <c r="X286" s="157">
        <f t="shared" si="112"/>
        <v>45563</v>
      </c>
      <c r="Y286" s="385">
        <f t="shared" si="113"/>
        <v>20.457019089332647</v>
      </c>
      <c r="Z286" s="385">
        <f t="shared" si="114"/>
        <v>21.556716783042898</v>
      </c>
      <c r="AA286" s="386">
        <f t="shared" si="115"/>
        <v>25.276886260538816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0.14717673051778091</v>
      </c>
      <c r="AD286" s="231">
        <f>(INDEX(Models!$BJ286:$BT286,,AH286)*(1-AF286)+INDEX(Models!$BJ286:$BT286,,AH286+1)*AF286-ERP_i)*AE286*Ramure*Pc/MaxiM</f>
        <v>3.1295920869334731E-3</v>
      </c>
      <c r="AE286" s="305">
        <f t="shared" si="117"/>
        <v>0.7</v>
      </c>
      <c r="AF286" s="177">
        <f t="shared" si="118"/>
        <v>0.19528025008928118</v>
      </c>
      <c r="AG286" s="810">
        <f t="shared" si="124"/>
        <v>1</v>
      </c>
      <c r="AH286" s="176">
        <f t="shared" si="119"/>
        <v>7</v>
      </c>
      <c r="AI286" s="225">
        <f t="shared" si="120"/>
        <v>1.1952802500892812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24.917003792398312</v>
      </c>
      <c r="C287" s="840"/>
      <c r="D287" s="393">
        <f t="shared" si="102"/>
        <v>26.257065682529063</v>
      </c>
      <c r="E287" s="385">
        <f t="shared" si="100"/>
        <v>28.912884754915467</v>
      </c>
      <c r="F287" s="385">
        <f t="shared" si="103"/>
        <v>28.966500311764424</v>
      </c>
      <c r="G287" s="110">
        <f t="shared" si="101"/>
        <v>0.71497775349522663</v>
      </c>
      <c r="H287" s="414" t="b">
        <f>Wh_hp&gt;='2023'!Maxi_hp</f>
        <v>0</v>
      </c>
      <c r="I287" s="390">
        <f>IF(H287,Wh_hp,'2023'!Maxi_hp)</f>
        <v>33.387052918801814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5.1036239400596983E-2</v>
      </c>
      <c r="M287" s="844"/>
      <c r="N287" s="844"/>
      <c r="O287" s="48">
        <f>IF(t&lt;Tnet,'2023'!Resal+('2023'!Salim-'2023'!Resal)*(1-EXP(('2023'!Tnet-t)/('2023'!Tau_j))),Resal+(Salim-Resal)*(1-EXP((Tnet-t)/(Tau_j))))*Salcycl</f>
        <v>9.1855900748018221E-2</v>
      </c>
      <c r="P287" s="169">
        <f>(INDEX(Models!$BJ287:$BT287,,T287)*(1-R287)+INDEX(Models!$BJ287:$BT287,,T287+1)*R287-ERP_i)*Q287*Ramure*Pc/MaxiM</f>
        <v>3.1154438477620705E-3</v>
      </c>
      <c r="Q287" s="305">
        <f t="shared" si="105"/>
        <v>0.7</v>
      </c>
      <c r="R287" s="177">
        <f t="shared" si="106"/>
        <v>0.19544535948352837</v>
      </c>
      <c r="S287" s="810">
        <f t="shared" si="107"/>
        <v>1</v>
      </c>
      <c r="T287" s="176">
        <f t="shared" si="108"/>
        <v>7</v>
      </c>
      <c r="U287" s="251">
        <f t="shared" si="109"/>
        <v>1.1954453594835284</v>
      </c>
      <c r="V287" s="383">
        <f t="shared" si="110"/>
        <v>34.805891312356067</v>
      </c>
      <c r="W287" s="402">
        <f t="shared" si="111"/>
        <v>24.917003792398312</v>
      </c>
      <c r="X287" s="157">
        <f t="shared" si="112"/>
        <v>45564</v>
      </c>
      <c r="Y287" s="385">
        <f t="shared" si="113"/>
        <v>23.399360962601211</v>
      </c>
      <c r="Z287" s="385">
        <f t="shared" si="114"/>
        <v>24.657802472690051</v>
      </c>
      <c r="AA287" s="386">
        <f t="shared" si="115"/>
        <v>28.912884754915467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0.14716906729626872</v>
      </c>
      <c r="AD287" s="231">
        <f>(INDEX(Models!$BJ287:$BT287,,AH287)*(1-AF287)+INDEX(Models!$BJ287:$BT287,,AH287+1)*AF287-ERP_i)*AE287*Ramure*Pc/MaxiM</f>
        <v>3.1154438477620705E-3</v>
      </c>
      <c r="AE287" s="305">
        <f t="shared" si="117"/>
        <v>0.7</v>
      </c>
      <c r="AF287" s="177">
        <f t="shared" si="118"/>
        <v>0.19544535948352837</v>
      </c>
      <c r="AG287" s="810">
        <f t="shared" si="124"/>
        <v>1</v>
      </c>
      <c r="AH287" s="176">
        <f t="shared" si="119"/>
        <v>7</v>
      </c>
      <c r="AI287" s="225">
        <f t="shared" si="120"/>
        <v>1.1954453594835284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31.308035452817521</v>
      </c>
      <c r="C288" s="840"/>
      <c r="D288" s="393">
        <f t="shared" si="102"/>
        <v>32.992581332842839</v>
      </c>
      <c r="E288" s="385">
        <f t="shared" si="100"/>
        <v>36.332522400897183</v>
      </c>
      <c r="F288" s="385">
        <f t="shared" si="103"/>
        <v>36.430676448636575</v>
      </c>
      <c r="G288" s="110">
        <f t="shared" si="101"/>
        <v>0.90849567204426473</v>
      </c>
      <c r="H288" s="414" t="b">
        <f>Wh_hp&gt;='2023'!Maxi_hp</f>
        <v>0</v>
      </c>
      <c r="I288" s="390">
        <f>IF(H288,Wh_hp,'2023'!Maxi_hp)</f>
        <v>39.381811318036526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5.1058323173652886E-2</v>
      </c>
      <c r="M288" s="844"/>
      <c r="N288" s="844"/>
      <c r="O288" s="48">
        <f>IF(t&lt;Tnet,'2023'!Resal+('2023'!Salim-'2023'!Resal)*(1-EXP(('2023'!Tnet-t)/('2023'!Tau_j))),Resal+(Salim-Resal)*(1-EXP((Tnet-t)/(Tau_j))))*Salcycl</f>
        <v>9.1927035266119339E-2</v>
      </c>
      <c r="P288" s="169">
        <f>(INDEX(Models!$BJ288:$BT288,,T288)*(1-R288)+INDEX(Models!$BJ288:$BT288,,T288+1)*R288-ERP_i)*Q288*Ramure*Pc/MaxiM</f>
        <v>3.0975569221158746E-3</v>
      </c>
      <c r="Q288" s="305">
        <f t="shared" si="105"/>
        <v>0.7</v>
      </c>
      <c r="R288" s="177">
        <f t="shared" si="106"/>
        <v>0.19560395044572698</v>
      </c>
      <c r="S288" s="810">
        <f t="shared" si="107"/>
        <v>1</v>
      </c>
      <c r="T288" s="176">
        <f t="shared" si="108"/>
        <v>7</v>
      </c>
      <c r="U288" s="251">
        <f t="shared" si="109"/>
        <v>1.195603950445727</v>
      </c>
      <c r="V288" s="383">
        <f t="shared" si="110"/>
        <v>34.447467564098098</v>
      </c>
      <c r="W288" s="402">
        <f t="shared" si="111"/>
        <v>31.308035452817521</v>
      </c>
      <c r="X288" s="157">
        <f t="shared" si="112"/>
        <v>45565</v>
      </c>
      <c r="Y288" s="385">
        <f t="shared" si="113"/>
        <v>29.403764603760703</v>
      </c>
      <c r="Z288" s="385">
        <f t="shared" si="114"/>
        <v>30.985850154773512</v>
      </c>
      <c r="AA288" s="386">
        <f t="shared" si="115"/>
        <v>36.332522400897183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0.14715940135198655</v>
      </c>
      <c r="AD288" s="231">
        <f>(INDEX(Models!$BJ288:$BT288,,AH288)*(1-AF288)+INDEX(Models!$BJ288:$BT288,,AH288+1)*AF288-ERP_i)*AE288*Ramure*Pc/MaxiM</f>
        <v>3.0975569221158746E-3</v>
      </c>
      <c r="AE288" s="305">
        <f t="shared" si="117"/>
        <v>0.7</v>
      </c>
      <c r="AF288" s="177">
        <f t="shared" si="118"/>
        <v>0.19560395044572698</v>
      </c>
      <c r="AG288" s="810">
        <f t="shared" si="124"/>
        <v>1</v>
      </c>
      <c r="AH288" s="176">
        <f t="shared" si="119"/>
        <v>7</v>
      </c>
      <c r="AI288" s="225">
        <f t="shared" si="120"/>
        <v>1.195603950445727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32.986304904875141</v>
      </c>
      <c r="C289" s="840"/>
      <c r="D289" s="393">
        <f t="shared" si="102"/>
        <v>34.761959947387993</v>
      </c>
      <c r="E289" s="385">
        <f t="shared" si="100"/>
        <v>38.283960009026579</v>
      </c>
      <c r="F289" s="385">
        <f t="shared" si="103"/>
        <v>38.396594858124892</v>
      </c>
      <c r="G289" s="110">
        <f t="shared" si="101"/>
        <v>0.96742262099558507</v>
      </c>
      <c r="H289" s="414" t="b">
        <f>Wh_hp&gt;='2023'!Maxi_hp</f>
        <v>0</v>
      </c>
      <c r="I289" s="390">
        <f>IF(H289,Wh_hp,'2023'!Maxi_hp)</f>
        <v>38.398593862798243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5.1080406432787218E-2</v>
      </c>
      <c r="M289" s="844"/>
      <c r="N289" s="844"/>
      <c r="O289" s="48">
        <f>IF(t&lt;Tnet,'2023'!Resal+('2023'!Salim-'2023'!Resal)*(1-EXP(('2023'!Tnet-t)/('2023'!Tau_j))),Resal+(Salim-Resal)*(1-EXP((Tnet-t)/(Tau_j))))*Salcycl</f>
        <v>9.1996754275372003E-2</v>
      </c>
      <c r="P289" s="169">
        <f>(INDEX(Models!$BJ289:$BT289,,T289)*(1-R289)+INDEX(Models!$BJ289:$BT289,,T289+1)*R289-ERP_i)*Q289*Ramure*Pc/MaxiM</f>
        <v>3.0760060587065765E-3</v>
      </c>
      <c r="Q289" s="305">
        <f t="shared" si="105"/>
        <v>0.7</v>
      </c>
      <c r="R289" s="177">
        <f t="shared" si="106"/>
        <v>0.19575627536345208</v>
      </c>
      <c r="S289" s="810">
        <f t="shared" si="107"/>
        <v>1</v>
      </c>
      <c r="T289" s="176">
        <f t="shared" si="108"/>
        <v>7</v>
      </c>
      <c r="U289" s="251">
        <f t="shared" si="109"/>
        <v>1.1957562753634521</v>
      </c>
      <c r="V289" s="383">
        <f t="shared" si="110"/>
        <v>34.092224292650286</v>
      </c>
      <c r="W289" s="402">
        <f t="shared" si="111"/>
        <v>32.986304904875141</v>
      </c>
      <c r="X289" s="157">
        <f t="shared" si="112"/>
        <v>45566</v>
      </c>
      <c r="Y289" s="385">
        <f t="shared" si="113"/>
        <v>30.982759421406534</v>
      </c>
      <c r="Z289" s="385">
        <f t="shared" si="114"/>
        <v>32.650563473913557</v>
      </c>
      <c r="AA289" s="386">
        <f t="shared" si="115"/>
        <v>38.283960009026579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0.14714769667988314</v>
      </c>
      <c r="AD289" s="231">
        <f>(INDEX(Models!$BJ289:$BT289,,AH289)*(1-AF289)+INDEX(Models!$BJ289:$BT289,,AH289+1)*AF289-ERP_i)*AE289*Ramure*Pc/MaxiM</f>
        <v>3.0760060587065765E-3</v>
      </c>
      <c r="AE289" s="305">
        <f t="shared" si="117"/>
        <v>0.7</v>
      </c>
      <c r="AF289" s="177">
        <f t="shared" si="118"/>
        <v>0.19575627536345208</v>
      </c>
      <c r="AG289" s="810">
        <f t="shared" si="124"/>
        <v>1</v>
      </c>
      <c r="AH289" s="176">
        <f t="shared" si="119"/>
        <v>7</v>
      </c>
      <c r="AI289" s="225">
        <f t="shared" si="120"/>
        <v>1.1957562753634521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32.369376682745866</v>
      </c>
      <c r="C290" s="840"/>
      <c r="D290" s="393">
        <f t="shared" si="102"/>
        <v>34.112616287406738</v>
      </c>
      <c r="E290" s="385">
        <f t="shared" si="100"/>
        <v>37.571651701112124</v>
      </c>
      <c r="F290" s="385">
        <f t="shared" si="103"/>
        <v>37.680328276671261</v>
      </c>
      <c r="G290" s="110">
        <f t="shared" si="101"/>
        <v>0.95927800779329164</v>
      </c>
      <c r="H290" s="414" t="b">
        <f>Wh_hp&gt;='2023'!Maxi_hp</f>
        <v>0</v>
      </c>
      <c r="I290" s="390">
        <f>IF(H290,Wh_hp,'2023'!Maxi_hp)</f>
        <v>37.682771188791072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5.1102489178011856E-2</v>
      </c>
      <c r="M290" s="844"/>
      <c r="N290" s="844"/>
      <c r="O290" s="48">
        <f>IF(t&lt;Tnet,'2023'!Resal+('2023'!Salim-'2023'!Resal)*(1-EXP(('2023'!Tnet-t)/('2023'!Tau_j))),Resal+(Salim-Resal)*(1-EXP((Tnet-t)/(Tau_j))))*Salcycl</f>
        <v>9.2065034596363005E-2</v>
      </c>
      <c r="P290" s="169">
        <f>(INDEX(Models!$BJ290:$BT290,,T290)*(1-R290)+INDEX(Models!$BJ290:$BT290,,T290+1)*R290-ERP_i)*Q290*Ramure*Pc/MaxiM</f>
        <v>3.0615285573323157E-3</v>
      </c>
      <c r="Q290" s="305">
        <f t="shared" si="105"/>
        <v>0.7</v>
      </c>
      <c r="R290" s="177">
        <f t="shared" si="106"/>
        <v>0.19590257724008264</v>
      </c>
      <c r="S290" s="810">
        <f t="shared" si="107"/>
        <v>1</v>
      </c>
      <c r="T290" s="176">
        <f t="shared" si="108"/>
        <v>7</v>
      </c>
      <c r="U290" s="251">
        <f t="shared" si="109"/>
        <v>1.1959025772400826</v>
      </c>
      <c r="V290" s="383">
        <f t="shared" si="110"/>
        <v>33.737476432119529</v>
      </c>
      <c r="W290" s="402">
        <f t="shared" si="111"/>
        <v>32.369376682745866</v>
      </c>
      <c r="X290" s="157">
        <f t="shared" si="112"/>
        <v>45567</v>
      </c>
      <c r="Y290" s="385">
        <f t="shared" si="113"/>
        <v>30.406080201795707</v>
      </c>
      <c r="Z290" s="385">
        <f t="shared" si="114"/>
        <v>32.043587273673275</v>
      </c>
      <c r="AA290" s="386">
        <f t="shared" si="115"/>
        <v>37.571651701112124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0.14713392084583859</v>
      </c>
      <c r="AD290" s="231">
        <f>(INDEX(Models!$BJ290:$BT290,,AH290)*(1-AF290)+INDEX(Models!$BJ290:$BT290,,AH290+1)*AF290-ERP_i)*AE290*Ramure*Pc/MaxiM</f>
        <v>3.0615285573323157E-3</v>
      </c>
      <c r="AE290" s="305">
        <f t="shared" si="117"/>
        <v>0.7</v>
      </c>
      <c r="AF290" s="177">
        <f t="shared" si="118"/>
        <v>0.19590257724008264</v>
      </c>
      <c r="AG290" s="810">
        <f t="shared" si="124"/>
        <v>1</v>
      </c>
      <c r="AH290" s="176">
        <f t="shared" si="119"/>
        <v>7</v>
      </c>
      <c r="AI290" s="225">
        <f t="shared" si="120"/>
        <v>1.1959025772400826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33.402918693552117</v>
      </c>
      <c r="C291" s="840"/>
      <c r="D291" s="393">
        <f t="shared" si="102"/>
        <v>35.202638499307078</v>
      </c>
      <c r="E291" s="385">
        <f t="shared" si="100"/>
        <v>38.775056391113203</v>
      </c>
      <c r="F291" s="385">
        <f t="shared" si="103"/>
        <v>38.894030832928983</v>
      </c>
      <c r="G291" s="110">
        <f t="shared" si="101"/>
        <v>1.0005889667390386</v>
      </c>
      <c r="H291" s="414" t="b">
        <f>Wh_hp&gt;='2023'!Maxi_hp</f>
        <v>1</v>
      </c>
      <c r="I291" s="390">
        <f>IF(H291,Wh_hp,'2023'!Maxi_hp)</f>
        <v>38.894030832928983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5.1124571409338682E-2</v>
      </c>
      <c r="M291" s="844"/>
      <c r="N291" s="844"/>
      <c r="O291" s="48">
        <f>IF(t&lt;Tnet,'2023'!Resal+('2023'!Salim-'2023'!Resal)*(1-EXP(('2023'!Tnet-t)/('2023'!Tau_j))),Resal+(Salim-Resal)*(1-EXP((Tnet-t)/(Tau_j))))*Salcycl</f>
        <v>9.2131855483900377E-2</v>
      </c>
      <c r="P291" s="169">
        <f>(INDEX(Models!$BJ291:$BT291,,T291)*(1-R291)+INDEX(Models!$BJ291:$BT291,,T291+1)*R291-ERP_i)*Q291*Ramure*Pc/MaxiM</f>
        <v>3.0589383323841091E-3</v>
      </c>
      <c r="Q291" s="305">
        <f t="shared" si="105"/>
        <v>0.7</v>
      </c>
      <c r="R291" s="177">
        <f t="shared" si="106"/>
        <v>0.1960430900131469</v>
      </c>
      <c r="S291" s="810">
        <f t="shared" si="107"/>
        <v>1</v>
      </c>
      <c r="T291" s="176">
        <f t="shared" si="108"/>
        <v>7</v>
      </c>
      <c r="U291" s="251">
        <f t="shared" si="109"/>
        <v>1.1960430900131469</v>
      </c>
      <c r="V291" s="383">
        <f t="shared" si="110"/>
        <v>33.383257065499762</v>
      </c>
      <c r="W291" s="402">
        <f t="shared" si="111"/>
        <v>33.402918693552117</v>
      </c>
      <c r="X291" s="157">
        <f t="shared" si="112"/>
        <v>45568</v>
      </c>
      <c r="Y291" s="385">
        <f t="shared" si="113"/>
        <v>31.379828400141204</v>
      </c>
      <c r="Z291" s="385">
        <f t="shared" si="114"/>
        <v>33.070545884773097</v>
      </c>
      <c r="AA291" s="386">
        <f t="shared" si="115"/>
        <v>38.775056391113203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0.14711804539496462</v>
      </c>
      <c r="AD291" s="231">
        <f>(INDEX(Models!$BJ291:$BT291,,AH291)*(1-AF291)+INDEX(Models!$BJ291:$BT291,,AH291+1)*AF291-ERP_i)*AE291*Ramure*Pc/MaxiM</f>
        <v>3.0589383323841091E-3</v>
      </c>
      <c r="AE291" s="305">
        <f t="shared" si="117"/>
        <v>0.7</v>
      </c>
      <c r="AF291" s="177">
        <f t="shared" si="118"/>
        <v>0.1960430900131469</v>
      </c>
      <c r="AG291" s="810">
        <f t="shared" si="124"/>
        <v>1</v>
      </c>
      <c r="AH291" s="176">
        <f t="shared" si="119"/>
        <v>7</v>
      </c>
      <c r="AI291" s="225">
        <f t="shared" si="120"/>
        <v>1.1960430900131469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34.381900464648126</v>
      </c>
      <c r="C292" s="840"/>
      <c r="D292" s="393">
        <f t="shared" si="102"/>
        <v>36.235210191277346</v>
      </c>
      <c r="E292" s="385">
        <f t="shared" si="100"/>
        <v>39.915287931488116</v>
      </c>
      <c r="F292" s="385">
        <f t="shared" si="103"/>
        <v>40.038145696846797</v>
      </c>
      <c r="G292" s="110">
        <f t="shared" si="101"/>
        <v>1.0409371616866427</v>
      </c>
      <c r="H292" s="414" t="b">
        <f>Wh_hp&gt;='2023'!Maxi_hp</f>
        <v>1</v>
      </c>
      <c r="I292" s="390">
        <f>IF(H292,Wh_hp,'2023'!Maxi_hp)</f>
        <v>40.038145696846797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5.1146653126779795E-2</v>
      </c>
      <c r="M292" s="844"/>
      <c r="N292" s="844"/>
      <c r="O292" s="48">
        <f>IF(t&lt;Tnet,'2023'!Resal+('2023'!Salim-'2023'!Resal)*(1-EXP(('2023'!Tnet-t)/('2023'!Tau_j))),Resal+(Salim-Resal)*(1-EXP((Tnet-t)/(Tau_j))))*Salcycl</f>
        <v>9.2197198890995605E-2</v>
      </c>
      <c r="P292" s="169">
        <f>(INDEX(Models!$BJ292:$BT292,,T292)*(1-R292)+INDEX(Models!$BJ292:$BT292,,T292+1)*R292-ERP_i)*Q292*Ramure*Pc/MaxiM</f>
        <v>3.068517865160659E-3</v>
      </c>
      <c r="Q292" s="305">
        <f t="shared" si="105"/>
        <v>0.7</v>
      </c>
      <c r="R292" s="177">
        <f t="shared" si="106"/>
        <v>0.19617803886433238</v>
      </c>
      <c r="S292" s="810">
        <f t="shared" si="107"/>
        <v>1</v>
      </c>
      <c r="T292" s="176">
        <f t="shared" si="108"/>
        <v>7</v>
      </c>
      <c r="U292" s="251">
        <f t="shared" si="109"/>
        <v>1.1961780388643324</v>
      </c>
      <c r="V292" s="383">
        <f t="shared" si="110"/>
        <v>33.029756002695429</v>
      </c>
      <c r="W292" s="402">
        <f t="shared" si="111"/>
        <v>34.381900464648126</v>
      </c>
      <c r="X292" s="157">
        <f t="shared" si="112"/>
        <v>45569</v>
      </c>
      <c r="Y292" s="385">
        <f t="shared" si="113"/>
        <v>32.30252349971888</v>
      </c>
      <c r="Z292" s="385">
        <f t="shared" si="114"/>
        <v>34.043747230450499</v>
      </c>
      <c r="AA292" s="386">
        <f t="shared" si="115"/>
        <v>39.915287931488116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0.14710004625585366</v>
      </c>
      <c r="AD292" s="231">
        <f>(INDEX(Models!$BJ292:$BT292,,AH292)*(1-AF292)+INDEX(Models!$BJ292:$BT292,,AH292+1)*AF292-ERP_i)*AE292*Ramure*Pc/MaxiM</f>
        <v>3.068517865160659E-3</v>
      </c>
      <c r="AE292" s="305">
        <f t="shared" si="117"/>
        <v>0.7</v>
      </c>
      <c r="AF292" s="177">
        <f t="shared" si="118"/>
        <v>0.19617803886433238</v>
      </c>
      <c r="AG292" s="810">
        <f t="shared" si="124"/>
        <v>1</v>
      </c>
      <c r="AH292" s="176">
        <f t="shared" si="119"/>
        <v>7</v>
      </c>
      <c r="AI292" s="225">
        <f t="shared" si="120"/>
        <v>1.1961780388643324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10.771180556940111</v>
      </c>
      <c r="C293" s="840"/>
      <c r="D293" s="393">
        <f t="shared" si="102"/>
        <v>11.352050619177454</v>
      </c>
      <c r="E293" s="385">
        <f t="shared" si="100"/>
        <v>12.505853820408634</v>
      </c>
      <c r="F293" s="385">
        <f t="shared" si="103"/>
        <v>12.507489708481536</v>
      </c>
      <c r="G293" s="110">
        <f t="shared" si="101"/>
        <v>0.32864836684128562</v>
      </c>
      <c r="H293" s="414" t="b">
        <f>Wh_hp&gt;='2023'!Maxi_hp</f>
        <v>0</v>
      </c>
      <c r="I293" s="390">
        <f>IF(H293,Wh_hp,'2023'!Maxi_hp)</f>
        <v>33.540700247739295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5.1168734330347077E-2</v>
      </c>
      <c r="M293" s="844"/>
      <c r="N293" s="844"/>
      <c r="O293" s="48">
        <f>IF(t&lt;Tnet,'2023'!Resal+('2023'!Salim-'2023'!Resal)*(1-EXP(('2023'!Tnet-t)/('2023'!Tau_j))),Resal+(Salim-Resal)*(1-EXP((Tnet-t)/(Tau_j))))*Salcycl</f>
        <v>9.2261049729228273E-2</v>
      </c>
      <c r="P293" s="169">
        <f>(INDEX(Models!$BJ293:$BT293,,T293)*(1-R293)+INDEX(Models!$BJ293:$BT293,,T293+1)*R293-ERP_i)*Q293*Ramure*Pc/MaxiM</f>
        <v>3.090553481393251E-3</v>
      </c>
      <c r="Q293" s="305">
        <f t="shared" si="105"/>
        <v>0.7</v>
      </c>
      <c r="R293" s="177">
        <f t="shared" si="106"/>
        <v>0.19630764052116367</v>
      </c>
      <c r="S293" s="810">
        <f t="shared" si="107"/>
        <v>1</v>
      </c>
      <c r="T293" s="176">
        <f t="shared" si="108"/>
        <v>7</v>
      </c>
      <c r="U293" s="251">
        <f t="shared" si="109"/>
        <v>1.1963076405211637</v>
      </c>
      <c r="V293" s="383">
        <f t="shared" si="110"/>
        <v>32.677163047870337</v>
      </c>
      <c r="W293" s="402">
        <f t="shared" si="111"/>
        <v>10.771180556940111</v>
      </c>
      <c r="X293" s="157">
        <f t="shared" si="112"/>
        <v>45570</v>
      </c>
      <c r="Y293" s="385">
        <f t="shared" si="113"/>
        <v>10.120703039614163</v>
      </c>
      <c r="Z293" s="385">
        <f t="shared" si="114"/>
        <v>10.666494039349889</v>
      </c>
      <c r="AA293" s="386">
        <f t="shared" si="115"/>
        <v>12.505853820408634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0.14707990413713656</v>
      </c>
      <c r="AD293" s="231">
        <f>(INDEX(Models!$BJ293:$BT293,,AH293)*(1-AF293)+INDEX(Models!$BJ293:$BT293,,AH293+1)*AF293-ERP_i)*AE293*Ramure*Pc/MaxiM</f>
        <v>3.090553481393251E-3</v>
      </c>
      <c r="AE293" s="305">
        <f t="shared" si="117"/>
        <v>0.7</v>
      </c>
      <c r="AF293" s="177">
        <f t="shared" si="118"/>
        <v>0.19630764052116367</v>
      </c>
      <c r="AG293" s="810">
        <f t="shared" si="124"/>
        <v>1</v>
      </c>
      <c r="AH293" s="176">
        <f t="shared" si="119"/>
        <v>7</v>
      </c>
      <c r="AI293" s="225">
        <f t="shared" si="120"/>
        <v>1.1963076405211637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24.007705553790114</v>
      </c>
      <c r="C294" s="840"/>
      <c r="D294" s="393">
        <f t="shared" si="102"/>
        <v>25.302986031166533</v>
      </c>
      <c r="E294" s="385">
        <f t="shared" si="100"/>
        <v>27.876653340069247</v>
      </c>
      <c r="F294" s="385">
        <f t="shared" si="103"/>
        <v>27.931859890104413</v>
      </c>
      <c r="G294" s="110">
        <f t="shared" si="101"/>
        <v>0.74182749710050622</v>
      </c>
      <c r="H294" s="414" t="b">
        <f>Wh_hp&gt;='2023'!Maxi_hp</f>
        <v>0</v>
      </c>
      <c r="I294" s="390">
        <f>IF(H294,Wh_hp,'2023'!Maxi_hp)</f>
        <v>37.78874890553454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5.1190815020052516E-2</v>
      </c>
      <c r="M294" s="844"/>
      <c r="N294" s="844"/>
      <c r="O294" s="48">
        <f>IF(t&lt;Tnet,'2023'!Resal+('2023'!Salim-'2023'!Resal)*(1-EXP(('2023'!Tnet-t)/('2023'!Tau_j))),Resal+(Salim-Resal)*(1-EXP((Tnet-t)/(Tau_j))))*Salcycl</f>
        <v>9.2323396123141666E-2</v>
      </c>
      <c r="P294" s="169">
        <f>(INDEX(Models!$BJ294:$BT294,,T294)*(1-R294)+INDEX(Models!$BJ294:$BT294,,T294+1)*R294-ERP_i)*Q294*Ramure*Pc/MaxiM</f>
        <v>3.1253345378089458E-3</v>
      </c>
      <c r="Q294" s="305">
        <f t="shared" si="105"/>
        <v>0.7</v>
      </c>
      <c r="R294" s="177">
        <f t="shared" si="106"/>
        <v>0.19643210355038176</v>
      </c>
      <c r="S294" s="810">
        <f t="shared" si="107"/>
        <v>1</v>
      </c>
      <c r="T294" s="176">
        <f t="shared" si="108"/>
        <v>7</v>
      </c>
      <c r="U294" s="251">
        <f t="shared" si="109"/>
        <v>1.1964321035503818</v>
      </c>
      <c r="V294" s="383">
        <f t="shared" si="110"/>
        <v>32.325668004179661</v>
      </c>
      <c r="W294" s="402">
        <f t="shared" si="111"/>
        <v>24.007705553790114</v>
      </c>
      <c r="X294" s="157">
        <f t="shared" si="112"/>
        <v>45571</v>
      </c>
      <c r="Y294" s="385">
        <f t="shared" si="113"/>
        <v>22.560006271109629</v>
      </c>
      <c r="Z294" s="385">
        <f t="shared" si="114"/>
        <v>23.777179466898204</v>
      </c>
      <c r="AA294" s="386">
        <f t="shared" si="115"/>
        <v>27.876653340069247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0.14705760491265843</v>
      </c>
      <c r="AD294" s="231">
        <f>(INDEX(Models!$BJ294:$BT294,,AH294)*(1-AF294)+INDEX(Models!$BJ294:$BT294,,AH294+1)*AF294-ERP_i)*AE294*Ramure*Pc/MaxiM</f>
        <v>3.1253345378089458E-3</v>
      </c>
      <c r="AE294" s="305">
        <f t="shared" si="117"/>
        <v>0.7</v>
      </c>
      <c r="AF294" s="177">
        <f t="shared" si="118"/>
        <v>0.19643210355038176</v>
      </c>
      <c r="AG294" s="810">
        <f t="shared" si="124"/>
        <v>1</v>
      </c>
      <c r="AH294" s="176">
        <f t="shared" si="119"/>
        <v>7</v>
      </c>
      <c r="AI294" s="225">
        <f t="shared" si="120"/>
        <v>1.1964321035503818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15.896908582010324</v>
      </c>
      <c r="C295" s="840"/>
      <c r="D295" s="393">
        <f t="shared" si="102"/>
        <v>16.754979596073618</v>
      </c>
      <c r="E295" s="385">
        <f t="shared" si="100"/>
        <v>18.460432424756785</v>
      </c>
      <c r="F295" s="385">
        <f t="shared" si="103"/>
        <v>18.476946000521476</v>
      </c>
      <c r="G295" s="110">
        <f t="shared" si="101"/>
        <v>0.49602539598839385</v>
      </c>
      <c r="H295" s="414" t="b">
        <f>Wh_hp&gt;='2023'!Maxi_hp</f>
        <v>0</v>
      </c>
      <c r="I295" s="390">
        <f>IF(H295,Wh_hp,'2023'!Maxi_hp)</f>
        <v>35.15889638578107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5.1212895195907993E-2</v>
      </c>
      <c r="M295" s="844"/>
      <c r="N295" s="844"/>
      <c r="O295" s="48">
        <f>IF(t&lt;Tnet,'2023'!Resal+('2023'!Salim-'2023'!Resal)*(1-EXP(('2023'!Tnet-t)/('2023'!Tau_j))),Resal+(Salim-Resal)*(1-EXP((Tnet-t)/(Tau_j))))*Salcycl</f>
        <v>9.2384229656290784E-2</v>
      </c>
      <c r="P295" s="169">
        <f>(INDEX(Models!$BJ295:$BT295,,T295)*(1-R295)+INDEX(Models!$BJ295:$BT295,,T295+1)*R295-ERP_i)*Q295*Ramure*Pc/MaxiM</f>
        <v>3.1731525622546394E-3</v>
      </c>
      <c r="Q295" s="305">
        <f t="shared" si="105"/>
        <v>0.7</v>
      </c>
      <c r="R295" s="177">
        <f t="shared" si="106"/>
        <v>0.19655162864307085</v>
      </c>
      <c r="S295" s="810">
        <f t="shared" si="107"/>
        <v>1</v>
      </c>
      <c r="T295" s="176">
        <f t="shared" si="108"/>
        <v>7</v>
      </c>
      <c r="U295" s="251">
        <f t="shared" si="109"/>
        <v>1.1965516286430709</v>
      </c>
      <c r="V295" s="383">
        <f t="shared" si="110"/>
        <v>31.975460680887892</v>
      </c>
      <c r="W295" s="402">
        <f t="shared" si="111"/>
        <v>15.896908582010324</v>
      </c>
      <c r="X295" s="157">
        <f t="shared" si="112"/>
        <v>45572</v>
      </c>
      <c r="Y295" s="385">
        <f t="shared" si="113"/>
        <v>14.939731811737447</v>
      </c>
      <c r="Z295" s="385">
        <f t="shared" si="114"/>
        <v>15.746137079742711</v>
      </c>
      <c r="AA295" s="386">
        <f t="shared" si="115"/>
        <v>18.460432424756785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0.14703313999156414</v>
      </c>
      <c r="AD295" s="231">
        <f>(INDEX(Models!$BJ295:$BT295,,AH295)*(1-AF295)+INDEX(Models!$BJ295:$BT295,,AH295+1)*AF295-ERP_i)*AE295*Ramure*Pc/MaxiM</f>
        <v>3.1731525622546394E-3</v>
      </c>
      <c r="AE295" s="305">
        <f t="shared" si="117"/>
        <v>0.7</v>
      </c>
      <c r="AF295" s="177">
        <f t="shared" si="118"/>
        <v>0.19655162864307085</v>
      </c>
      <c r="AG295" s="810">
        <f t="shared" si="124"/>
        <v>1</v>
      </c>
      <c r="AH295" s="176">
        <f t="shared" si="119"/>
        <v>7</v>
      </c>
      <c r="AI295" s="225">
        <f t="shared" si="120"/>
        <v>1.1965516286430709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31.161132765624973</v>
      </c>
      <c r="C296" s="840"/>
      <c r="D296" s="393">
        <f t="shared" si="102"/>
        <v>32.843888570785687</v>
      </c>
      <c r="E296" s="385">
        <f t="shared" si="100"/>
        <v>36.189361457119283</v>
      </c>
      <c r="F296" s="385">
        <f t="shared" si="103"/>
        <v>36.304438692503652</v>
      </c>
      <c r="G296" s="110">
        <f t="shared" si="101"/>
        <v>0.98521456659642181</v>
      </c>
      <c r="H296" s="414" t="b">
        <f>Wh_hp&gt;='2023'!Maxi_hp</f>
        <v>0</v>
      </c>
      <c r="I296" s="390">
        <f>IF(H296,Wh_hp,'2023'!Maxi_hp)</f>
        <v>36.30535687657288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5.1234974857925497E-2</v>
      </c>
      <c r="M296" s="844"/>
      <c r="N296" s="844"/>
      <c r="O296" s="48">
        <f>IF(t&lt;Tnet,'2023'!Resal+('2023'!Salim-'2023'!Resal)*(1-EXP(('2023'!Tnet-t)/('2023'!Tau_j))),Resal+(Salim-Resal)*(1-EXP((Tnet-t)/(Tau_j))))*Salcycl</f>
        <v>9.2443545606562955E-2</v>
      </c>
      <c r="P296" s="169">
        <f>(INDEX(Models!$BJ296:$BT296,,T296)*(1-R296)+INDEX(Models!$BJ296:$BT296,,T296+1)*R296-ERP_i)*Q296*Ramure*Pc/MaxiM</f>
        <v>3.2378632275346323E-3</v>
      </c>
      <c r="Q296" s="305">
        <f t="shared" si="105"/>
        <v>0.7</v>
      </c>
      <c r="R296" s="177">
        <f t="shared" si="106"/>
        <v>0.19666640889160103</v>
      </c>
      <c r="S296" s="810">
        <f t="shared" si="107"/>
        <v>1</v>
      </c>
      <c r="T296" s="176">
        <f t="shared" si="108"/>
        <v>7</v>
      </c>
      <c r="U296" s="251">
        <f t="shared" si="109"/>
        <v>1.196666408891601</v>
      </c>
      <c r="V296" s="383">
        <f t="shared" si="110"/>
        <v>31.626617851543077</v>
      </c>
      <c r="W296" s="402">
        <f t="shared" si="111"/>
        <v>31.161132765624973</v>
      </c>
      <c r="X296" s="157">
        <f t="shared" si="112"/>
        <v>45573</v>
      </c>
      <c r="Y296" s="385">
        <f t="shared" si="113"/>
        <v>29.287702561321598</v>
      </c>
      <c r="Z296" s="385">
        <f t="shared" si="114"/>
        <v>30.869289850704455</v>
      </c>
      <c r="AA296" s="386">
        <f t="shared" si="115"/>
        <v>36.189361457119283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0.1470065066696071</v>
      </c>
      <c r="AD296" s="231">
        <f>(INDEX(Models!$BJ296:$BT296,,AH296)*(1-AF296)+INDEX(Models!$BJ296:$BT296,,AH296+1)*AF296-ERP_i)*AE296*Ramure*Pc/MaxiM</f>
        <v>3.2378632275346323E-3</v>
      </c>
      <c r="AE296" s="305">
        <f t="shared" si="117"/>
        <v>0.7</v>
      </c>
      <c r="AF296" s="177">
        <f t="shared" si="118"/>
        <v>0.19666640889160103</v>
      </c>
      <c r="AG296" s="810">
        <f t="shared" si="124"/>
        <v>1</v>
      </c>
      <c r="AH296" s="176">
        <f t="shared" si="119"/>
        <v>7</v>
      </c>
      <c r="AI296" s="225">
        <f t="shared" si="120"/>
        <v>1.196666408891601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25.016025699629708</v>
      </c>
      <c r="C297" s="840"/>
      <c r="D297" s="393">
        <f t="shared" si="102"/>
        <v>26.367548560188187</v>
      </c>
      <c r="E297" s="385">
        <f t="shared" ref="E297:E360" si="125">Wh_pvt/(1-Psa)</f>
        <v>29.05519293245786</v>
      </c>
      <c r="F297" s="385">
        <f t="shared" si="103"/>
        <v>29.124186303992811</v>
      </c>
      <c r="G297" s="110">
        <f t="shared" ref="G297:G360" si="126">+Wh_hp/MaxiM</f>
        <v>0.79899988221030505</v>
      </c>
      <c r="H297" s="414" t="b">
        <f>Wh_hp&gt;='2023'!Maxi_hp</f>
        <v>0</v>
      </c>
      <c r="I297" s="390">
        <f>IF(H297,Wh_hp,'2023'!Maxi_hp)</f>
        <v>30.260941693493162</v>
      </c>
      <c r="J297" s="85">
        <f>IF(H297,An,'2023'!An_max)</f>
        <v>2021</v>
      </c>
      <c r="K297" s="197">
        <f t="shared" si="104"/>
        <v>45574</v>
      </c>
      <c r="L297" s="147">
        <f>IF(t&lt;Tvie,1-EXP((T0-t)*PertePVj)+'2023'!Pspv,1-EXP((T0-t)*PertePVj)+Pspv)</f>
        <v>5.125705400611702E-2</v>
      </c>
      <c r="M297" s="844"/>
      <c r="N297" s="844"/>
      <c r="O297" s="48">
        <f>IF(t&lt;Tnet,'2023'!Resal+('2023'!Salim-'2023'!Resal)*(1-EXP(('2023'!Tnet-t)/('2023'!Tau_j))),Resal+(Salim-Resal)*(1-EXP((Tnet-t)/(Tau_j))))*Salcycl</f>
        <v>9.250134316841091E-2</v>
      </c>
      <c r="P297" s="169">
        <f>(INDEX(Models!$BJ297:$BT297,,T297)*(1-R297)+INDEX(Models!$BJ297:$BT297,,T297+1)*R297-ERP_i)*Q297*Ramure*Pc/MaxiM</f>
        <v>3.3180996940041581E-3</v>
      </c>
      <c r="Q297" s="305">
        <f t="shared" si="105"/>
        <v>0.7</v>
      </c>
      <c r="R297" s="177">
        <f t="shared" si="106"/>
        <v>0.19677663005847368</v>
      </c>
      <c r="S297" s="810">
        <f t="shared" si="107"/>
        <v>1</v>
      </c>
      <c r="T297" s="176">
        <f t="shared" si="108"/>
        <v>7</v>
      </c>
      <c r="U297" s="251">
        <f t="shared" si="109"/>
        <v>1.1967766300584737</v>
      </c>
      <c r="V297" s="383">
        <f t="shared" si="110"/>
        <v>31.279385145372249</v>
      </c>
      <c r="W297" s="402">
        <f t="shared" si="111"/>
        <v>25.016025699629708</v>
      </c>
      <c r="X297" s="157">
        <f t="shared" si="112"/>
        <v>45574</v>
      </c>
      <c r="Y297" s="385">
        <f t="shared" si="113"/>
        <v>23.514335152928552</v>
      </c>
      <c r="Z297" s="385">
        <f t="shared" si="114"/>
        <v>24.78472725643871</v>
      </c>
      <c r="AA297" s="386">
        <f t="shared" si="115"/>
        <v>29.05519293245786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0.14697770845804872</v>
      </c>
      <c r="AD297" s="231">
        <f>(INDEX(Models!$BJ297:$BT297,,AH297)*(1-AF297)+INDEX(Models!$BJ297:$BT297,,AH297+1)*AF297-ERP_i)*AE297*Ramure*Pc/MaxiM</f>
        <v>3.3180996940041581E-3</v>
      </c>
      <c r="AE297" s="305">
        <f t="shared" si="117"/>
        <v>0.7</v>
      </c>
      <c r="AF297" s="177">
        <f t="shared" si="118"/>
        <v>0.19677663005847368</v>
      </c>
      <c r="AG297" s="810">
        <f t="shared" si="124"/>
        <v>1</v>
      </c>
      <c r="AH297" s="176">
        <f t="shared" si="119"/>
        <v>7</v>
      </c>
      <c r="AI297" s="225">
        <f t="shared" si="120"/>
        <v>1.1967766300584737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19.443503801236798</v>
      </c>
      <c r="C298" s="840"/>
      <c r="D298" s="393">
        <f t="shared" si="102"/>
        <v>20.494440957488642</v>
      </c>
      <c r="E298" s="385">
        <f t="shared" si="125"/>
        <v>22.584840136419096</v>
      </c>
      <c r="F298" s="385">
        <f t="shared" si="103"/>
        <v>22.621089802951303</v>
      </c>
      <c r="G298" s="110">
        <f t="shared" si="126"/>
        <v>0.62740836775992692</v>
      </c>
      <c r="H298" s="414" t="b">
        <f>Wh_hp&gt;='2023'!Maxi_hp</f>
        <v>0</v>
      </c>
      <c r="I298" s="390">
        <f>IF(H298,Wh_hp,'2023'!Maxi_hp)</f>
        <v>36.235632696328913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5.1279132640494551E-2</v>
      </c>
      <c r="M298" s="844"/>
      <c r="N298" s="844"/>
      <c r="O298" s="48">
        <f>IF(t&lt;Tnet,'2023'!Resal+('2023'!Salim-'2023'!Resal)*(1-EXP(('2023'!Tnet-t)/('2023'!Tau_j))),Resal+(Salim-Resal)*(1-EXP((Tnet-t)/(Tau_j))))*Salcycl</f>
        <v>9.2557625659682619E-2</v>
      </c>
      <c r="P298" s="169">
        <f>(INDEX(Models!$BJ298:$BT298,,T298)*(1-R298)+INDEX(Models!$BJ298:$BT298,,T298+1)*R298-ERP_i)*Q298*Ramure*Pc/MaxiM</f>
        <v>3.414195966175594E-3</v>
      </c>
      <c r="Q298" s="305">
        <f t="shared" si="105"/>
        <v>0.7</v>
      </c>
      <c r="R298" s="177">
        <f t="shared" si="106"/>
        <v>0.19688247083716681</v>
      </c>
      <c r="S298" s="810">
        <f t="shared" si="107"/>
        <v>1</v>
      </c>
      <c r="T298" s="176">
        <f t="shared" si="108"/>
        <v>7</v>
      </c>
      <c r="U298" s="251">
        <f t="shared" si="109"/>
        <v>1.1968824708371668</v>
      </c>
      <c r="V298" s="383">
        <f t="shared" si="110"/>
        <v>30.933953067960775</v>
      </c>
      <c r="W298" s="402">
        <f t="shared" si="111"/>
        <v>19.443503801236798</v>
      </c>
      <c r="X298" s="157">
        <f t="shared" si="112"/>
        <v>45575</v>
      </c>
      <c r="Y298" s="385">
        <f t="shared" si="113"/>
        <v>18.278123739103084</v>
      </c>
      <c r="Z298" s="385">
        <f t="shared" si="114"/>
        <v>19.266071157447016</v>
      </c>
      <c r="AA298" s="386">
        <f t="shared" si="115"/>
        <v>22.584840136419096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0.14694675538661053</v>
      </c>
      <c r="AD298" s="231">
        <f>(INDEX(Models!$BJ298:$BT298,,AH298)*(1-AF298)+INDEX(Models!$BJ298:$BT298,,AH298+1)*AF298-ERP_i)*AE298*Ramure*Pc/MaxiM</f>
        <v>3.414195966175594E-3</v>
      </c>
      <c r="AE298" s="305">
        <f t="shared" si="117"/>
        <v>0.7</v>
      </c>
      <c r="AF298" s="177">
        <f t="shared" si="118"/>
        <v>0.19688247083716681</v>
      </c>
      <c r="AG298" s="810">
        <f t="shared" si="124"/>
        <v>1</v>
      </c>
      <c r="AH298" s="176">
        <f t="shared" si="119"/>
        <v>7</v>
      </c>
      <c r="AI298" s="225">
        <f t="shared" si="120"/>
        <v>1.1968824708371668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23.44941575667572</v>
      </c>
      <c r="C299" s="840"/>
      <c r="D299" s="393">
        <f t="shared" si="102"/>
        <v>24.717450915571874</v>
      </c>
      <c r="E299" s="385">
        <f t="shared" si="125"/>
        <v>27.240234421248651</v>
      </c>
      <c r="F299" s="385">
        <f t="shared" si="103"/>
        <v>27.304411924923382</v>
      </c>
      <c r="G299" s="110">
        <f t="shared" si="126"/>
        <v>0.76565482796669893</v>
      </c>
      <c r="H299" s="414" t="b">
        <f>Wh_hp&gt;='2023'!Maxi_hp</f>
        <v>0</v>
      </c>
      <c r="I299" s="390">
        <f>IF(H299,Wh_hp,'2023'!Maxi_hp)</f>
        <v>34.453612542643434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5.1301210761069971E-2</v>
      </c>
      <c r="M299" s="844"/>
      <c r="N299" s="844"/>
      <c r="O299" s="48">
        <f>IF(t&lt;Tnet,'2023'!Resal+('2023'!Salim-'2023'!Resal)*(1-EXP(('2023'!Tnet-t)/('2023'!Tau_j))),Resal+(Salim-Resal)*(1-EXP((Tnet-t)/(Tau_j))))*Salcycl</f>
        <v>9.2612400710798959E-2</v>
      </c>
      <c r="P299" s="169">
        <f>(INDEX(Models!$BJ299:$BT299,,T299)*(1-R299)+INDEX(Models!$BJ299:$BT299,,T299+1)*R299-ERP_i)*Q299*Ramure*Pc/MaxiM</f>
        <v>3.5264844130439531E-3</v>
      </c>
      <c r="Q299" s="305">
        <f t="shared" si="105"/>
        <v>0.7</v>
      </c>
      <c r="R299" s="177">
        <f t="shared" si="106"/>
        <v>0.19698410310508807</v>
      </c>
      <c r="S299" s="810">
        <f t="shared" si="107"/>
        <v>1</v>
      </c>
      <c r="T299" s="176">
        <f t="shared" si="108"/>
        <v>7</v>
      </c>
      <c r="U299" s="251">
        <f t="shared" si="109"/>
        <v>1.1969841031050881</v>
      </c>
      <c r="V299" s="383">
        <f t="shared" si="110"/>
        <v>30.590512172482018</v>
      </c>
      <c r="W299" s="402">
        <f t="shared" si="111"/>
        <v>23.44941575667572</v>
      </c>
      <c r="X299" s="157">
        <f t="shared" si="112"/>
        <v>45576</v>
      </c>
      <c r="Y299" s="385">
        <f t="shared" si="113"/>
        <v>22.046120289032398</v>
      </c>
      <c r="Z299" s="385">
        <f t="shared" si="114"/>
        <v>23.238271766656673</v>
      </c>
      <c r="AA299" s="386">
        <f t="shared" si="115"/>
        <v>27.240234421248651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0.14691366427706873</v>
      </c>
      <c r="AD299" s="231">
        <f>(INDEX(Models!$BJ299:$BT299,,AH299)*(1-AF299)+INDEX(Models!$BJ299:$BT299,,AH299+1)*AF299-ERP_i)*AE299*Ramure*Pc/MaxiM</f>
        <v>3.5264844130439531E-3</v>
      </c>
      <c r="AE299" s="305">
        <f t="shared" si="117"/>
        <v>0.7</v>
      </c>
      <c r="AF299" s="177">
        <f t="shared" si="118"/>
        <v>0.19698410310508807</v>
      </c>
      <c r="AG299" s="810">
        <f t="shared" si="124"/>
        <v>1</v>
      </c>
      <c r="AH299" s="176">
        <f t="shared" si="119"/>
        <v>7</v>
      </c>
      <c r="AI299" s="225">
        <f t="shared" si="120"/>
        <v>1.1969841031050881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20.168698753353027</v>
      </c>
      <c r="C300" s="840"/>
      <c r="D300" s="393">
        <f t="shared" si="102"/>
        <v>21.259822767920507</v>
      </c>
      <c r="E300" s="385">
        <f t="shared" si="125"/>
        <v>23.431079712814594</v>
      </c>
      <c r="F300" s="385">
        <f t="shared" si="103"/>
        <v>23.476039023636321</v>
      </c>
      <c r="G300" s="110">
        <f t="shared" si="126"/>
        <v>0.66558781493081487</v>
      </c>
      <c r="H300" s="414" t="b">
        <f>Wh_hp&gt;='2023'!Maxi_hp</f>
        <v>0</v>
      </c>
      <c r="I300" s="390">
        <f>IF(H300,Wh_hp,'2023'!Maxi_hp)</f>
        <v>34.605373713118908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5.1323288367855269E-2</v>
      </c>
      <c r="M300" s="844"/>
      <c r="N300" s="844"/>
      <c r="O300" s="48">
        <f>IF(t&lt;Tnet,'2023'!Resal+('2023'!Salim-'2023'!Resal)*(1-EXP(('2023'!Tnet-t)/('2023'!Tau_j))),Resal+(Salim-Resal)*(1-EXP((Tnet-t)/(Tau_j))))*Salcycl</f>
        <v>9.266568043412074E-2</v>
      </c>
      <c r="P300" s="169">
        <f>(INDEX(Models!$BJ300:$BT300,,T300)*(1-R300)+INDEX(Models!$BJ300:$BT300,,T300+1)*R300-ERP_i)*Q300*Ramure*Pc/MaxiM</f>
        <v>3.6552945342720514E-3</v>
      </c>
      <c r="Q300" s="305">
        <f t="shared" si="105"/>
        <v>0.7</v>
      </c>
      <c r="R300" s="177">
        <f t="shared" si="106"/>
        <v>0.19708169216876326</v>
      </c>
      <c r="S300" s="810">
        <f t="shared" si="107"/>
        <v>1</v>
      </c>
      <c r="T300" s="176">
        <f t="shared" si="108"/>
        <v>7</v>
      </c>
      <c r="U300" s="251">
        <f t="shared" si="109"/>
        <v>1.1970816921687633</v>
      </c>
      <c r="V300" s="383">
        <f t="shared" si="110"/>
        <v>30.249253062783829</v>
      </c>
      <c r="W300" s="402">
        <f t="shared" si="111"/>
        <v>20.168698753353027</v>
      </c>
      <c r="X300" s="157">
        <f t="shared" si="112"/>
        <v>45577</v>
      </c>
      <c r="Y300" s="385">
        <f t="shared" si="113"/>
        <v>18.963628939965137</v>
      </c>
      <c r="Z300" s="385">
        <f t="shared" si="114"/>
        <v>19.989558832259394</v>
      </c>
      <c r="AA300" s="386">
        <f t="shared" si="115"/>
        <v>23.431079712814594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0.14687845898424448</v>
      </c>
      <c r="AD300" s="231">
        <f>(INDEX(Models!$BJ300:$BT300,,AH300)*(1-AF300)+INDEX(Models!$BJ300:$BT300,,AH300+1)*AF300-ERP_i)*AE300*Ramure*Pc/MaxiM</f>
        <v>3.6552945342720514E-3</v>
      </c>
      <c r="AE300" s="305">
        <f t="shared" si="117"/>
        <v>0.7</v>
      </c>
      <c r="AF300" s="177">
        <f t="shared" si="118"/>
        <v>0.19708169216876326</v>
      </c>
      <c r="AG300" s="810">
        <f t="shared" si="124"/>
        <v>1</v>
      </c>
      <c r="AH300" s="176">
        <f t="shared" si="119"/>
        <v>7</v>
      </c>
      <c r="AI300" s="225">
        <f t="shared" si="120"/>
        <v>1.1970816921687633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16.881346328406128</v>
      </c>
      <c r="C301" s="840"/>
      <c r="D301" s="393">
        <f t="shared" si="102"/>
        <v>17.795039115164595</v>
      </c>
      <c r="E301" s="385">
        <f t="shared" si="125"/>
        <v>19.613558901130919</v>
      </c>
      <c r="F301" s="385">
        <f t="shared" si="103"/>
        <v>19.641757827384549</v>
      </c>
      <c r="G301" s="110">
        <f t="shared" si="126"/>
        <v>0.56306096106793868</v>
      </c>
      <c r="H301" s="414" t="b">
        <f>Wh_hp&gt;='2023'!Maxi_hp</f>
        <v>0</v>
      </c>
      <c r="I301" s="390">
        <f>IF(H301,Wh_hp,'2023'!Maxi_hp)</f>
        <v>35.94304448551074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5.1345365460862435E-2</v>
      </c>
      <c r="M301" s="844"/>
      <c r="N301" s="844"/>
      <c r="O301" s="48">
        <f>IF(t&lt;Tnet,'2023'!Resal+('2023'!Salim-'2023'!Resal)*(1-EXP(('2023'!Tnet-t)/('2023'!Tau_j))),Resal+(Salim-Resal)*(1-EXP((Tnet-t)/(Tau_j))))*Salcycl</f>
        <v>9.2717481571458607E-2</v>
      </c>
      <c r="P301" s="169">
        <f>(INDEX(Models!$BJ301:$BT301,,T301)*(1-R301)+INDEX(Models!$BJ301:$BT301,,T301+1)*R301-ERP_i)*Q301*Ramure*Pc/MaxiM</f>
        <v>3.8009516832312124E-3</v>
      </c>
      <c r="Q301" s="305">
        <f t="shared" si="105"/>
        <v>0.7</v>
      </c>
      <c r="R301" s="177">
        <f t="shared" si="106"/>
        <v>0.19717539700138786</v>
      </c>
      <c r="S301" s="810">
        <f t="shared" si="107"/>
        <v>1</v>
      </c>
      <c r="T301" s="176">
        <f t="shared" si="108"/>
        <v>7</v>
      </c>
      <c r="U301" s="251">
        <f t="shared" si="109"/>
        <v>1.1971753970013879</v>
      </c>
      <c r="V301" s="383">
        <f t="shared" si="110"/>
        <v>29.910366393704887</v>
      </c>
      <c r="W301" s="402">
        <f t="shared" si="111"/>
        <v>16.881346328406128</v>
      </c>
      <c r="X301" s="157">
        <f t="shared" si="112"/>
        <v>45578</v>
      </c>
      <c r="Y301" s="385">
        <f t="shared" si="113"/>
        <v>15.874294257495546</v>
      </c>
      <c r="Z301" s="385">
        <f t="shared" si="114"/>
        <v>16.733480952430469</v>
      </c>
      <c r="AA301" s="386">
        <f t="shared" si="115"/>
        <v>19.613558901130919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0.14684117060134286</v>
      </c>
      <c r="AD301" s="231">
        <f>(INDEX(Models!$BJ301:$BT301,,AH301)*(1-AF301)+INDEX(Models!$BJ301:$BT301,,AH301+1)*AF301-ERP_i)*AE301*Ramure*Pc/MaxiM</f>
        <v>3.8009516832312124E-3</v>
      </c>
      <c r="AE301" s="305">
        <f t="shared" si="117"/>
        <v>0.7</v>
      </c>
      <c r="AF301" s="177">
        <f t="shared" si="118"/>
        <v>0.19717539700138786</v>
      </c>
      <c r="AG301" s="810">
        <f t="shared" si="124"/>
        <v>1</v>
      </c>
      <c r="AH301" s="176">
        <f t="shared" si="119"/>
        <v>7</v>
      </c>
      <c r="AI301" s="225">
        <f t="shared" si="120"/>
        <v>1.1971753970013879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29.717813979337969</v>
      </c>
      <c r="C302" s="840"/>
      <c r="D302" s="393">
        <f t="shared" si="102"/>
        <v>31.32700193555268</v>
      </c>
      <c r="E302" s="385">
        <f t="shared" si="125"/>
        <v>34.530303069207157</v>
      </c>
      <c r="F302" s="385">
        <f t="shared" si="103"/>
        <v>34.667718129557947</v>
      </c>
      <c r="G302" s="110">
        <f t="shared" si="126"/>
        <v>1.0048613950705012</v>
      </c>
      <c r="H302" s="414" t="b">
        <f>Wh_hp&gt;='2023'!Maxi_hp</f>
        <v>1</v>
      </c>
      <c r="I302" s="390">
        <f>IF(H302,Wh_hp,'2023'!Maxi_hp)</f>
        <v>34.667718129557947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5.1367442040103461E-2</v>
      </c>
      <c r="M302" s="844"/>
      <c r="N302" s="844"/>
      <c r="O302" s="48">
        <f>IF(t&lt;Tnet,'2023'!Resal+('2023'!Salim-'2023'!Resal)*(1-EXP(('2023'!Tnet-t)/('2023'!Tau_j))),Resal+(Salim-Resal)*(1-EXP((Tnet-t)/(Tau_j))))*Salcycl</f>
        <v>9.276782561781402E-2</v>
      </c>
      <c r="P302" s="169">
        <f>(INDEX(Models!$BJ302:$BT302,,T302)*(1-R302)+INDEX(Models!$BJ302:$BT302,,T302+1)*R302-ERP_i)*Q302*Ramure*Pc/MaxiM</f>
        <v>3.9637757477216035E-3</v>
      </c>
      <c r="Q302" s="305">
        <f t="shared" si="105"/>
        <v>0.7</v>
      </c>
      <c r="R302" s="177">
        <f t="shared" si="106"/>
        <v>0.19726537047288062</v>
      </c>
      <c r="S302" s="810">
        <f t="shared" si="107"/>
        <v>1</v>
      </c>
      <c r="T302" s="176">
        <f t="shared" si="108"/>
        <v>7</v>
      </c>
      <c r="U302" s="251">
        <f t="shared" si="109"/>
        <v>1.1972653704728806</v>
      </c>
      <c r="V302" s="383">
        <f t="shared" si="110"/>
        <v>29.574042873099895</v>
      </c>
      <c r="W302" s="402">
        <f t="shared" si="111"/>
        <v>29.717813979337969</v>
      </c>
      <c r="X302" s="157">
        <f t="shared" si="112"/>
        <v>45579</v>
      </c>
      <c r="Y302" s="385">
        <f t="shared" si="113"/>
        <v>27.947845097298988</v>
      </c>
      <c r="Z302" s="385">
        <f t="shared" si="114"/>
        <v>29.461191124836432</v>
      </c>
      <c r="AA302" s="386">
        <f t="shared" si="115"/>
        <v>34.530303069207157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0.14680183762682261</v>
      </c>
      <c r="AD302" s="231">
        <f>(INDEX(Models!$BJ302:$BT302,,AH302)*(1-AF302)+INDEX(Models!$BJ302:$BT302,,AH302+1)*AF302-ERP_i)*AE302*Ramure*Pc/MaxiM</f>
        <v>3.9637757477216035E-3</v>
      </c>
      <c r="AE302" s="305">
        <f t="shared" si="117"/>
        <v>0.7</v>
      </c>
      <c r="AF302" s="177">
        <f t="shared" si="118"/>
        <v>0.19726537047288062</v>
      </c>
      <c r="AG302" s="810">
        <f t="shared" si="124"/>
        <v>1</v>
      </c>
      <c r="AH302" s="176">
        <f t="shared" si="119"/>
        <v>7</v>
      </c>
      <c r="AI302" s="225">
        <f t="shared" si="120"/>
        <v>1.1972653704728806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27.15615433585856</v>
      </c>
      <c r="C303" s="840"/>
      <c r="D303" s="393">
        <f t="shared" si="102"/>
        <v>28.627297351413116</v>
      </c>
      <c r="E303" s="385">
        <f t="shared" si="125"/>
        <v>31.556245115589512</v>
      </c>
      <c r="F303" s="385">
        <f t="shared" si="103"/>
        <v>31.674143576240613</v>
      </c>
      <c r="G303" s="110">
        <f t="shared" si="126"/>
        <v>0.92833964739187325</v>
      </c>
      <c r="H303" s="414" t="b">
        <f>Wh_hp&gt;='2023'!Maxi_hp</f>
        <v>0</v>
      </c>
      <c r="I303" s="390">
        <f>IF(H303,Wh_hp,'2023'!Maxi_hp)</f>
        <v>32.78605431375631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5.1389518105590115E-2</v>
      </c>
      <c r="M303" s="844"/>
      <c r="N303" s="844"/>
      <c r="O303" s="48">
        <f>IF(t&lt;Tnet,'2023'!Resal+('2023'!Salim-'2023'!Resal)*(1-EXP(('2023'!Tnet-t)/('2023'!Tau_j))),Resal+(Salim-Resal)*(1-EXP((Tnet-t)/(Tau_j))))*Salcycl</f>
        <v>9.2816738919594285E-2</v>
      </c>
      <c r="P303" s="169">
        <f>(INDEX(Models!$BJ303:$BT303,,T303)*(1-R303)+INDEX(Models!$BJ303:$BT303,,T303+1)*R303-ERP_i)*Q303*Ramure*Pc/MaxiM</f>
        <v>4.1441461860629997E-3</v>
      </c>
      <c r="Q303" s="305">
        <f t="shared" si="105"/>
        <v>0.7</v>
      </c>
      <c r="R303" s="177">
        <f t="shared" si="106"/>
        <v>0.1973517595725871</v>
      </c>
      <c r="S303" s="810">
        <f t="shared" si="107"/>
        <v>1</v>
      </c>
      <c r="T303" s="176">
        <f t="shared" si="108"/>
        <v>7</v>
      </c>
      <c r="U303" s="251">
        <f t="shared" si="109"/>
        <v>1.1973517595725871</v>
      </c>
      <c r="V303" s="383">
        <f t="shared" si="110"/>
        <v>29.24000283212759</v>
      </c>
      <c r="W303" s="402">
        <f t="shared" si="111"/>
        <v>27.15615433585856</v>
      </c>
      <c r="X303" s="157">
        <f t="shared" si="112"/>
        <v>45580</v>
      </c>
      <c r="Y303" s="385">
        <f t="shared" si="113"/>
        <v>25.541370058424825</v>
      </c>
      <c r="Z303" s="385">
        <f t="shared" si="114"/>
        <v>26.925034612117898</v>
      </c>
      <c r="AA303" s="386">
        <f t="shared" si="115"/>
        <v>31.556245115589512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0.14676050609024111</v>
      </c>
      <c r="AD303" s="231">
        <f>(INDEX(Models!$BJ303:$BT303,,AH303)*(1-AF303)+INDEX(Models!$BJ303:$BT303,,AH303+1)*AF303-ERP_i)*AE303*Ramure*Pc/MaxiM</f>
        <v>4.1441461860629997E-3</v>
      </c>
      <c r="AE303" s="305">
        <f t="shared" si="117"/>
        <v>0.7</v>
      </c>
      <c r="AF303" s="177">
        <f t="shared" si="118"/>
        <v>0.1973517595725871</v>
      </c>
      <c r="AG303" s="810">
        <f t="shared" si="124"/>
        <v>1</v>
      </c>
      <c r="AH303" s="176">
        <f t="shared" si="119"/>
        <v>7</v>
      </c>
      <c r="AI303" s="225">
        <f t="shared" si="120"/>
        <v>1.1973517595725871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17.549692894054782</v>
      </c>
      <c r="C304" s="840"/>
      <c r="D304" s="393">
        <f t="shared" si="102"/>
        <v>18.500851134918022</v>
      </c>
      <c r="E304" s="385">
        <f t="shared" si="125"/>
        <v>20.394798894119649</v>
      </c>
      <c r="F304" s="385">
        <f t="shared" si="103"/>
        <v>20.433585425409294</v>
      </c>
      <c r="G304" s="110">
        <f t="shared" si="126"/>
        <v>0.60560435846544547</v>
      </c>
      <c r="H304" s="414" t="b">
        <f>Wh_hp&gt;='2023'!Maxi_hp</f>
        <v>0</v>
      </c>
      <c r="I304" s="390">
        <f>IF(H304,Wh_hp,'2023'!Maxi_hp)</f>
        <v>30.316240270106746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5.1411593657334498E-2</v>
      </c>
      <c r="M304" s="844"/>
      <c r="N304" s="844"/>
      <c r="O304" s="48">
        <f>IF(t&lt;Tnet,'2023'!Resal+('2023'!Salim-'2023'!Resal)*(1-EXP(('2023'!Tnet-t)/('2023'!Tau_j))),Resal+(Salim-Resal)*(1-EXP((Tnet-t)/(Tau_j))))*Salcycl</f>
        <v>9.2864252745718551E-2</v>
      </c>
      <c r="P304" s="169">
        <f>(INDEX(Models!$BJ304:$BT304,,T304)*(1-R304)+INDEX(Models!$BJ304:$BT304,,T304+1)*R304-ERP_i)*Q304*Ramure*Pc/MaxiM</f>
        <v>4.3269371052481638E-3</v>
      </c>
      <c r="Q304" s="305">
        <f t="shared" si="105"/>
        <v>0.7</v>
      </c>
      <c r="R304" s="177">
        <f t="shared" si="106"/>
        <v>0.19743470562478294</v>
      </c>
      <c r="S304" s="810">
        <f t="shared" si="107"/>
        <v>1</v>
      </c>
      <c r="T304" s="176">
        <f t="shared" si="108"/>
        <v>7</v>
      </c>
      <c r="U304" s="251">
        <f t="shared" si="109"/>
        <v>1.1974347056247829</v>
      </c>
      <c r="V304" s="383">
        <f t="shared" si="110"/>
        <v>28.908292299019273</v>
      </c>
      <c r="W304" s="402">
        <f t="shared" si="111"/>
        <v>17.549692894054782</v>
      </c>
      <c r="X304" s="157">
        <f t="shared" si="112"/>
        <v>45581</v>
      </c>
      <c r="Y304" s="385">
        <f t="shared" si="113"/>
        <v>16.507838674667195</v>
      </c>
      <c r="Z304" s="385">
        <f t="shared" si="114"/>
        <v>17.402530501415328</v>
      </c>
      <c r="AA304" s="386">
        <f t="shared" si="115"/>
        <v>20.394798894119649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0.14671722963481001</v>
      </c>
      <c r="AD304" s="231">
        <f>(INDEX(Models!$BJ304:$BT304,,AH304)*(1-AF304)+INDEX(Models!$BJ304:$BT304,,AH304+1)*AF304-ERP_i)*AE304*Ramure*Pc/MaxiM</f>
        <v>4.3269371052481638E-3</v>
      </c>
      <c r="AE304" s="305">
        <f t="shared" si="117"/>
        <v>0.7</v>
      </c>
      <c r="AF304" s="177">
        <f t="shared" si="118"/>
        <v>0.19743470562478294</v>
      </c>
      <c r="AG304" s="810">
        <f t="shared" si="124"/>
        <v>1</v>
      </c>
      <c r="AH304" s="176">
        <f t="shared" si="119"/>
        <v>7</v>
      </c>
      <c r="AI304" s="225">
        <f t="shared" si="120"/>
        <v>1.1974347056247829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27.699816059503028</v>
      </c>
      <c r="C305" s="840"/>
      <c r="D305" s="393">
        <f t="shared" si="102"/>
        <v>29.201770235092468</v>
      </c>
      <c r="E305" s="385">
        <f t="shared" si="125"/>
        <v>32.192817933643802</v>
      </c>
      <c r="F305" s="385">
        <f t="shared" si="103"/>
        <v>32.331921332992074</v>
      </c>
      <c r="G305" s="110">
        <f t="shared" si="126"/>
        <v>0.96903557297440757</v>
      </c>
      <c r="H305" s="414" t="b">
        <f>Wh_hp&gt;='2023'!Maxi_hp</f>
        <v>0</v>
      </c>
      <c r="I305" s="390">
        <f>IF(H305,Wh_hp,'2023'!Maxi_hp)</f>
        <v>34.363592336640075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5.14336686953486E-2</v>
      </c>
      <c r="M305" s="844"/>
      <c r="N305" s="844"/>
      <c r="O305" s="48">
        <f>IF(t&lt;Tnet,'2023'!Resal+('2023'!Salim-'2023'!Resal)*(1-EXP(('2023'!Tnet-t)/('2023'!Tau_j))),Resal+(Salim-Resal)*(1-EXP((Tnet-t)/(Tau_j))))*Salcycl</f>
        <v>9.2910403330224725E-2</v>
      </c>
      <c r="P305" s="169">
        <f>(INDEX(Models!$BJ305:$BT305,,T305)*(1-R305)+INDEX(Models!$BJ305:$BT305,,T305+1)*R305-ERP_i)*Q305*Ramure*Pc/MaxiM</f>
        <v>4.5001819669217109E-3</v>
      </c>
      <c r="Q305" s="305">
        <f t="shared" si="105"/>
        <v>0.7</v>
      </c>
      <c r="R305" s="177">
        <f t="shared" si="106"/>
        <v>0.19751434449713545</v>
      </c>
      <c r="S305" s="810">
        <f t="shared" si="107"/>
        <v>1</v>
      </c>
      <c r="T305" s="176">
        <f t="shared" si="108"/>
        <v>7</v>
      </c>
      <c r="U305" s="251">
        <f t="shared" si="109"/>
        <v>1.1975143444971355</v>
      </c>
      <c r="V305" s="383">
        <f t="shared" si="110"/>
        <v>28.579252795252327</v>
      </c>
      <c r="W305" s="402">
        <f t="shared" si="111"/>
        <v>27.699816059503028</v>
      </c>
      <c r="X305" s="157">
        <f t="shared" si="112"/>
        <v>45582</v>
      </c>
      <c r="Y305" s="385">
        <f t="shared" si="113"/>
        <v>26.058094810645112</v>
      </c>
      <c r="Z305" s="385">
        <f t="shared" si="114"/>
        <v>27.471030702518181</v>
      </c>
      <c r="AA305" s="386">
        <f t="shared" si="115"/>
        <v>32.192817933643802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0.14667206955471315</v>
      </c>
      <c r="AD305" s="231">
        <f>(INDEX(Models!$BJ305:$BT305,,AH305)*(1-AF305)+INDEX(Models!$BJ305:$BT305,,AH305+1)*AF305-ERP_i)*AE305*Ramure*Pc/MaxiM</f>
        <v>4.5001819669217109E-3</v>
      </c>
      <c r="AE305" s="305">
        <f t="shared" si="117"/>
        <v>0.7</v>
      </c>
      <c r="AF305" s="177">
        <f t="shared" si="118"/>
        <v>0.19751434449713545</v>
      </c>
      <c r="AG305" s="810">
        <f t="shared" si="124"/>
        <v>1</v>
      </c>
      <c r="AH305" s="176">
        <f t="shared" si="119"/>
        <v>7</v>
      </c>
      <c r="AI305" s="225">
        <f t="shared" si="120"/>
        <v>1.1975143444971355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13.920707231135472</v>
      </c>
      <c r="C306" s="840"/>
      <c r="D306" s="393">
        <f t="shared" si="102"/>
        <v>14.67586475973882</v>
      </c>
      <c r="E306" s="385">
        <f t="shared" si="125"/>
        <v>16.179868156057001</v>
      </c>
      <c r="F306" s="385">
        <f t="shared" si="103"/>
        <v>16.200668961824952</v>
      </c>
      <c r="G306" s="110">
        <f t="shared" si="126"/>
        <v>0.49105083454576187</v>
      </c>
      <c r="H306" s="414" t="b">
        <f>Wh_hp&gt;='2023'!Maxi_hp</f>
        <v>0</v>
      </c>
      <c r="I306" s="390">
        <f>IF(H306,Wh_hp,'2023'!Maxi_hp)</f>
        <v>32.663950512475992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5.1455743219644301E-2</v>
      </c>
      <c r="M306" s="844"/>
      <c r="N306" s="844"/>
      <c r="O306" s="48">
        <f>IF(t&lt;Tnet,'2023'!Resal+('2023'!Salim-'2023'!Resal)*(1-EXP(('2023'!Tnet-t)/('2023'!Tau_j))),Resal+(Salim-Resal)*(1-EXP((Tnet-t)/(Tau_j))))*Salcycl</f>
        <v>9.2955231885196166E-2</v>
      </c>
      <c r="P306" s="169">
        <f>(INDEX(Models!$BJ306:$BT306,,T306)*(1-R306)+INDEX(Models!$BJ306:$BT306,,T306+1)*R306-ERP_i)*Q306*Ramure*Pc/MaxiM</f>
        <v>4.6636132134694787E-3</v>
      </c>
      <c r="Q306" s="305">
        <f t="shared" si="105"/>
        <v>0.7</v>
      </c>
      <c r="R306" s="177">
        <f t="shared" si="106"/>
        <v>0.19759080680227958</v>
      </c>
      <c r="S306" s="810">
        <f t="shared" si="107"/>
        <v>1</v>
      </c>
      <c r="T306" s="176">
        <f t="shared" si="108"/>
        <v>7</v>
      </c>
      <c r="U306" s="251">
        <f t="shared" si="109"/>
        <v>1.1975908068022796</v>
      </c>
      <c r="V306" s="383">
        <f t="shared" si="110"/>
        <v>28.252878178685432</v>
      </c>
      <c r="W306" s="402">
        <f t="shared" si="111"/>
        <v>13.920707231135472</v>
      </c>
      <c r="X306" s="157">
        <f t="shared" si="112"/>
        <v>45583</v>
      </c>
      <c r="Y306" s="385">
        <f t="shared" si="113"/>
        <v>13.097018616378096</v>
      </c>
      <c r="Z306" s="385">
        <f t="shared" si="114"/>
        <v>13.807493454056971</v>
      </c>
      <c r="AA306" s="386">
        <f t="shared" si="115"/>
        <v>16.179868156057001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0.14662509478557906</v>
      </c>
      <c r="AD306" s="231">
        <f>(INDEX(Models!$BJ306:$BT306,,AH306)*(1-AF306)+INDEX(Models!$BJ306:$BT306,,AH306+1)*AF306-ERP_i)*AE306*Ramure*Pc/MaxiM</f>
        <v>4.6636132134694787E-3</v>
      </c>
      <c r="AE306" s="305">
        <f t="shared" si="117"/>
        <v>0.7</v>
      </c>
      <c r="AF306" s="177">
        <f t="shared" si="118"/>
        <v>0.19759080680227958</v>
      </c>
      <c r="AG306" s="810">
        <f t="shared" si="124"/>
        <v>1</v>
      </c>
      <c r="AH306" s="176">
        <f t="shared" si="119"/>
        <v>7</v>
      </c>
      <c r="AI306" s="225">
        <f t="shared" si="120"/>
        <v>1.1975908068022796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6.1352918247663641</v>
      </c>
      <c r="C307" s="840"/>
      <c r="D307" s="393">
        <f t="shared" si="102"/>
        <v>6.46826393332287</v>
      </c>
      <c r="E307" s="385">
        <f t="shared" si="125"/>
        <v>7.1314832035251445</v>
      </c>
      <c r="F307" s="385">
        <f t="shared" si="103"/>
        <v>7.1314832035251445</v>
      </c>
      <c r="G307" s="110">
        <f t="shared" si="126"/>
        <v>0.21861516447995266</v>
      </c>
      <c r="H307" s="414" t="b">
        <f>Wh_hp&gt;='2023'!Maxi_hp</f>
        <v>0</v>
      </c>
      <c r="I307" s="390">
        <f>IF(H307,Wh_hp,'2023'!Maxi_hp)</f>
        <v>26.876972034227109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5.147781723023348E-2</v>
      </c>
      <c r="M307" s="844"/>
      <c r="N307" s="844"/>
      <c r="O307" s="48">
        <f>IF(t&lt;Tnet,'2023'!Resal+('2023'!Salim-'2023'!Resal)*(1-EXP(('2023'!Tnet-t)/('2023'!Tau_j))),Resal+(Salim-Resal)*(1-EXP((Tnet-t)/(Tau_j))))*Salcycl</f>
        <v>9.299878458304997E-2</v>
      </c>
      <c r="P307" s="169">
        <f>(INDEX(Models!$BJ307:$BT307,,T307)*(1-R307)+INDEX(Models!$BJ307:$BT307,,T307+1)*R307-ERP_i)*Q307*Ramure*Pc/MaxiM</f>
        <v>4.816965603458059E-3</v>
      </c>
      <c r="Q307" s="305">
        <f t="shared" si="105"/>
        <v>0.7</v>
      </c>
      <c r="R307" s="177">
        <f t="shared" si="106"/>
        <v>0.1976642180926742</v>
      </c>
      <c r="S307" s="810">
        <f t="shared" si="107"/>
        <v>1</v>
      </c>
      <c r="T307" s="176">
        <f t="shared" si="108"/>
        <v>7</v>
      </c>
      <c r="U307" s="251">
        <f t="shared" si="109"/>
        <v>1.1976642180926742</v>
      </c>
      <c r="V307" s="383">
        <f t="shared" si="110"/>
        <v>27.929161957285874</v>
      </c>
      <c r="W307" s="402">
        <f t="shared" si="111"/>
        <v>6.1352918247663641</v>
      </c>
      <c r="X307" s="157">
        <f t="shared" si="112"/>
        <v>45584</v>
      </c>
      <c r="Y307" s="385">
        <f t="shared" si="113"/>
        <v>5.7728731323810694</v>
      </c>
      <c r="Z307" s="385">
        <f t="shared" si="114"/>
        <v>6.086176198350767</v>
      </c>
      <c r="AA307" s="386">
        <f t="shared" si="115"/>
        <v>7.1314832035251445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0.14657638184686111</v>
      </c>
      <c r="AD307" s="231">
        <f>(INDEX(Models!$BJ307:$BT307,,AH307)*(1-AF307)+INDEX(Models!$BJ307:$BT307,,AH307+1)*AF307-ERP_i)*AE307*Ramure*Pc/MaxiM</f>
        <v>4.816965603458059E-3</v>
      </c>
      <c r="AE307" s="305">
        <f t="shared" si="117"/>
        <v>0.7</v>
      </c>
      <c r="AF307" s="177">
        <f t="shared" si="118"/>
        <v>0.1976642180926742</v>
      </c>
      <c r="AG307" s="810">
        <f t="shared" si="124"/>
        <v>1</v>
      </c>
      <c r="AH307" s="176">
        <f t="shared" si="119"/>
        <v>7</v>
      </c>
      <c r="AI307" s="225">
        <f t="shared" si="120"/>
        <v>1.1976642180926742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14.085203820998332</v>
      </c>
      <c r="C308" s="840"/>
      <c r="D308" s="393">
        <f t="shared" si="102"/>
        <v>14.849975960251783</v>
      </c>
      <c r="E308" s="385">
        <f t="shared" si="125"/>
        <v>16.373372779120633</v>
      </c>
      <c r="F308" s="385">
        <f t="shared" si="103"/>
        <v>16.397793935614747</v>
      </c>
      <c r="G308" s="110">
        <f t="shared" si="126"/>
        <v>0.50841046751304908</v>
      </c>
      <c r="H308" s="414" t="b">
        <f>Wh_hp&gt;='2023'!Maxi_hp</f>
        <v>0</v>
      </c>
      <c r="I308" s="390">
        <f>IF(H308,Wh_hp,'2023'!Maxi_hp)</f>
        <v>23.519569000870998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5.149989072712835E-2</v>
      </c>
      <c r="M308" s="844"/>
      <c r="N308" s="844"/>
      <c r="O308" s="48">
        <f>IF(t&lt;Tnet,'2023'!Resal+('2023'!Salim-'2023'!Resal)*(1-EXP(('2023'!Tnet-t)/('2023'!Tau_j))),Resal+(Salim-Resal)*(1-EXP((Tnet-t)/(Tau_j))))*Salcycl</f>
        <v>9.3041112507466397E-2</v>
      </c>
      <c r="P308" s="169">
        <f>(INDEX(Models!$BJ308:$BT308,,T308)*(1-R308)+INDEX(Models!$BJ308:$BT308,,T308+1)*R308-ERP_i)*Q308*Ramure*Pc/MaxiM</f>
        <v>4.9599764600284655E-3</v>
      </c>
      <c r="Q308" s="305">
        <f t="shared" si="105"/>
        <v>0.7</v>
      </c>
      <c r="R308" s="177">
        <f t="shared" si="106"/>
        <v>0.1977346990489024</v>
      </c>
      <c r="S308" s="810">
        <f t="shared" si="107"/>
        <v>1</v>
      </c>
      <c r="T308" s="176">
        <f t="shared" si="108"/>
        <v>7</v>
      </c>
      <c r="U308" s="251">
        <f t="shared" si="109"/>
        <v>1.1977346990489024</v>
      </c>
      <c r="V308" s="383">
        <f t="shared" si="110"/>
        <v>27.608097300095515</v>
      </c>
      <c r="W308" s="402">
        <f t="shared" si="111"/>
        <v>14.085203820998332</v>
      </c>
      <c r="X308" s="157">
        <f t="shared" si="112"/>
        <v>45585</v>
      </c>
      <c r="Y308" s="385">
        <f t="shared" si="113"/>
        <v>13.254575487549406</v>
      </c>
      <c r="Z308" s="385">
        <f t="shared" si="114"/>
        <v>13.974247718021328</v>
      </c>
      <c r="AA308" s="386">
        <f t="shared" si="115"/>
        <v>16.373372779120633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0.14652601473525817</v>
      </c>
      <c r="AD308" s="231">
        <f>(INDEX(Models!$BJ308:$BT308,,AH308)*(1-AF308)+INDEX(Models!$BJ308:$BT308,,AH308+1)*AF308-ERP_i)*AE308*Ramure*Pc/MaxiM</f>
        <v>4.9599764600284655E-3</v>
      </c>
      <c r="AE308" s="305">
        <f t="shared" si="117"/>
        <v>0.7</v>
      </c>
      <c r="AF308" s="177">
        <f t="shared" si="118"/>
        <v>0.1977346990489024</v>
      </c>
      <c r="AG308" s="810">
        <f t="shared" si="124"/>
        <v>1</v>
      </c>
      <c r="AH308" s="176">
        <f t="shared" si="119"/>
        <v>7</v>
      </c>
      <c r="AI308" s="225">
        <f t="shared" si="120"/>
        <v>1.1977346990489024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26.683894247166648</v>
      </c>
      <c r="C309" s="840"/>
      <c r="D309" s="393">
        <f t="shared" si="102"/>
        <v>28.133381297421575</v>
      </c>
      <c r="E309" s="385">
        <f t="shared" si="125"/>
        <v>31.020874788941903</v>
      </c>
      <c r="F309" s="385">
        <f t="shared" si="103"/>
        <v>31.17459350697187</v>
      </c>
      <c r="G309" s="110">
        <f t="shared" si="126"/>
        <v>0.97764307352893676</v>
      </c>
      <c r="H309" s="414" t="b">
        <f>Wh_hp&gt;='2023'!Maxi_hp</f>
        <v>0</v>
      </c>
      <c r="I309" s="390">
        <f>IF(H309,Wh_hp,'2023'!Maxi_hp)</f>
        <v>31.176364576102721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5.1521963710340568E-2</v>
      </c>
      <c r="M309" s="844"/>
      <c r="N309" s="844"/>
      <c r="O309" s="48">
        <f>IF(t&lt;Tnet,'2023'!Resal+('2023'!Salim-'2023'!Resal)*(1-EXP(('2023'!Tnet-t)/('2023'!Tau_j))),Resal+(Salim-Resal)*(1-EXP((Tnet-t)/(Tau_j))))*Salcycl</f>
        <v>9.3082271572484457E-2</v>
      </c>
      <c r="P309" s="169">
        <f>(INDEX(Models!$BJ309:$BT309,,T309)*(1-R309)+INDEX(Models!$BJ309:$BT309,,T309+1)*R309-ERP_i)*Q309*Ramure*Pc/MaxiM</f>
        <v>5.0923858478353918E-3</v>
      </c>
      <c r="Q309" s="305">
        <f t="shared" si="105"/>
        <v>0.7</v>
      </c>
      <c r="R309" s="177">
        <f t="shared" si="106"/>
        <v>0.19780236566157905</v>
      </c>
      <c r="S309" s="810">
        <f t="shared" si="107"/>
        <v>1</v>
      </c>
      <c r="T309" s="176">
        <f t="shared" si="108"/>
        <v>7</v>
      </c>
      <c r="U309" s="251">
        <f t="shared" si="109"/>
        <v>1.197802365661579</v>
      </c>
      <c r="V309" s="383">
        <f t="shared" si="110"/>
        <v>27.28967705310242</v>
      </c>
      <c r="W309" s="402">
        <f t="shared" si="111"/>
        <v>26.683894247166648</v>
      </c>
      <c r="X309" s="157">
        <f t="shared" si="112"/>
        <v>45586</v>
      </c>
      <c r="Y309" s="385">
        <f t="shared" si="113"/>
        <v>25.112967301607288</v>
      </c>
      <c r="Z309" s="385">
        <f t="shared" si="114"/>
        <v>26.477120545507223</v>
      </c>
      <c r="AA309" s="386">
        <f t="shared" si="115"/>
        <v>31.020874788941903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0.14647408476869919</v>
      </c>
      <c r="AD309" s="231">
        <f>(INDEX(Models!$BJ309:$BT309,,AH309)*(1-AF309)+INDEX(Models!$BJ309:$BT309,,AH309+1)*AF309-ERP_i)*AE309*Ramure*Pc/MaxiM</f>
        <v>5.0923858478353918E-3</v>
      </c>
      <c r="AE309" s="305">
        <f t="shared" si="117"/>
        <v>0.7</v>
      </c>
      <c r="AF309" s="177">
        <f t="shared" si="118"/>
        <v>0.19780236566157905</v>
      </c>
      <c r="AG309" s="810">
        <f t="shared" si="124"/>
        <v>1</v>
      </c>
      <c r="AH309" s="176">
        <f t="shared" si="119"/>
        <v>7</v>
      </c>
      <c r="AI309" s="225">
        <f t="shared" si="120"/>
        <v>1.197802365661579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15.319496522341675</v>
      </c>
      <c r="C310" s="840"/>
      <c r="D310" s="393">
        <f t="shared" si="102"/>
        <v>16.152037739990572</v>
      </c>
      <c r="E310" s="385">
        <f t="shared" si="125"/>
        <v>17.810602398888065</v>
      </c>
      <c r="F310" s="385">
        <f t="shared" si="103"/>
        <v>17.846141312283862</v>
      </c>
      <c r="G310" s="110">
        <f t="shared" si="126"/>
        <v>0.56610404888131716</v>
      </c>
      <c r="H310" s="414" t="b">
        <f>Wh_hp&gt;='2023'!Maxi_hp</f>
        <v>0</v>
      </c>
      <c r="I310" s="390">
        <f>IF(H310,Wh_hp,'2023'!Maxi_hp)</f>
        <v>32.867779364445255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5.1544036179882236E-2</v>
      </c>
      <c r="M310" s="844"/>
      <c r="N310" s="844"/>
      <c r="O310" s="48">
        <f>IF(t&lt;Tnet,'2023'!Resal+('2023'!Salim-'2023'!Resal)*(1-EXP(('2023'!Tnet-t)/('2023'!Tau_j))),Resal+(Salim-Resal)*(1-EXP((Tnet-t)/(Tau_j))))*Salcycl</f>
        <v>9.3122322409546321E-2</v>
      </c>
      <c r="P310" s="169">
        <f>(INDEX(Models!$BJ310:$BT310,,T310)*(1-R310)+INDEX(Models!$BJ310:$BT310,,T310+1)*R310-ERP_i)*Q310*Ramure*Pc/MaxiM</f>
        <v>5.2027630982563293E-3</v>
      </c>
      <c r="Q310" s="305">
        <f t="shared" si="105"/>
        <v>0.7</v>
      </c>
      <c r="R310" s="177">
        <f t="shared" si="106"/>
        <v>0.19786732940703655</v>
      </c>
      <c r="S310" s="810">
        <f t="shared" si="107"/>
        <v>1</v>
      </c>
      <c r="T310" s="176">
        <f t="shared" si="108"/>
        <v>7</v>
      </c>
      <c r="U310" s="251">
        <f t="shared" si="109"/>
        <v>1.1978673294070366</v>
      </c>
      <c r="V310" s="383">
        <f t="shared" si="110"/>
        <v>26.974196728700448</v>
      </c>
      <c r="W310" s="402">
        <f t="shared" si="111"/>
        <v>15.319496522341675</v>
      </c>
      <c r="X310" s="157">
        <f t="shared" si="112"/>
        <v>45587</v>
      </c>
      <c r="Y310" s="385">
        <f t="shared" si="113"/>
        <v>14.419150000469124</v>
      </c>
      <c r="Z310" s="385">
        <f t="shared" si="114"/>
        <v>15.202761699544578</v>
      </c>
      <c r="AA310" s="386">
        <f t="shared" si="115"/>
        <v>17.810602398888065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0.14642069038082048</v>
      </c>
      <c r="AD310" s="231">
        <f>(INDEX(Models!$BJ310:$BT310,,AH310)*(1-AF310)+INDEX(Models!$BJ310:$BT310,,AH310+1)*AF310-ERP_i)*AE310*Ramure*Pc/MaxiM</f>
        <v>5.2027630982563293E-3</v>
      </c>
      <c r="AE310" s="305">
        <f t="shared" si="117"/>
        <v>0.7</v>
      </c>
      <c r="AF310" s="177">
        <f t="shared" si="118"/>
        <v>0.19786732940703655</v>
      </c>
      <c r="AG310" s="810">
        <f t="shared" si="124"/>
        <v>1</v>
      </c>
      <c r="AH310" s="176">
        <f t="shared" si="119"/>
        <v>7</v>
      </c>
      <c r="AI310" s="225">
        <f t="shared" si="120"/>
        <v>1.1978673294070366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18.997532825110067</v>
      </c>
      <c r="C311" s="840"/>
      <c r="D311" s="393">
        <f t="shared" si="102"/>
        <v>20.030423826133688</v>
      </c>
      <c r="E311" s="385">
        <f t="shared" si="125"/>
        <v>22.088188884853178</v>
      </c>
      <c r="F311" s="385">
        <f t="shared" si="103"/>
        <v>22.157223310113981</v>
      </c>
      <c r="G311" s="110">
        <f t="shared" si="126"/>
        <v>0.71098708590899928</v>
      </c>
      <c r="H311" s="414" t="b">
        <f>Wh_hp&gt;='2023'!Maxi_hp</f>
        <v>0</v>
      </c>
      <c r="I311" s="390">
        <f>IF(H311,Wh_hp,'2023'!Maxi_hp)</f>
        <v>32.024891553571138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5.1566108135765343E-2</v>
      </c>
      <c r="M311" s="844"/>
      <c r="N311" s="844"/>
      <c r="O311" s="48">
        <f>IF(t&lt;Tnet,'2023'!Resal+('2023'!Salim-'2023'!Resal)*(1-EXP(('2023'!Tnet-t)/('2023'!Tau_j))),Resal+(Salim-Resal)*(1-EXP((Tnet-t)/(Tau_j))))*Salcycl</f>
        <v>9.3161330222532909E-2</v>
      </c>
      <c r="P311" s="169">
        <f>(INDEX(Models!$BJ311:$BT311,,T311)*(1-R311)+INDEX(Models!$BJ311:$BT311,,T311+1)*R311-ERP_i)*Q311*Ramure*Pc/MaxiM</f>
        <v>5.2866864676828088E-3</v>
      </c>
      <c r="Q311" s="305">
        <f t="shared" si="105"/>
        <v>0.7</v>
      </c>
      <c r="R311" s="177">
        <f t="shared" si="106"/>
        <v>0.19792969741695066</v>
      </c>
      <c r="S311" s="810">
        <f t="shared" si="107"/>
        <v>1</v>
      </c>
      <c r="T311" s="176">
        <f t="shared" si="108"/>
        <v>7</v>
      </c>
      <c r="U311" s="251">
        <f t="shared" si="109"/>
        <v>1.1979296974169507</v>
      </c>
      <c r="V311" s="383">
        <f t="shared" si="110"/>
        <v>26.661749831360339</v>
      </c>
      <c r="W311" s="402">
        <f t="shared" si="111"/>
        <v>18.997532825110067</v>
      </c>
      <c r="X311" s="157">
        <f t="shared" si="112"/>
        <v>45588</v>
      </c>
      <c r="Y311" s="385">
        <f t="shared" si="113"/>
        <v>17.882939574019936</v>
      </c>
      <c r="Z311" s="385">
        <f t="shared" si="114"/>
        <v>18.855230425042446</v>
      </c>
      <c r="AA311" s="386">
        <f t="shared" si="115"/>
        <v>22.088188884853178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0.14636593686627294</v>
      </c>
      <c r="AD311" s="231">
        <f>(INDEX(Models!$BJ311:$BT311,,AH311)*(1-AF311)+INDEX(Models!$BJ311:$BT311,,AH311+1)*AF311-ERP_i)*AE311*Ramure*Pc/MaxiM</f>
        <v>5.2866864676828088E-3</v>
      </c>
      <c r="AE311" s="305">
        <f t="shared" si="117"/>
        <v>0.7</v>
      </c>
      <c r="AF311" s="177">
        <f t="shared" si="118"/>
        <v>0.19792969741695066</v>
      </c>
      <c r="AG311" s="810">
        <f t="shared" si="124"/>
        <v>1</v>
      </c>
      <c r="AH311" s="176">
        <f t="shared" si="119"/>
        <v>7</v>
      </c>
      <c r="AI311" s="225">
        <f t="shared" si="120"/>
        <v>1.1979296974169507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18.855990723637554</v>
      </c>
      <c r="C312" s="840"/>
      <c r="D312" s="393">
        <f t="shared" si="102"/>
        <v>19.881648791816549</v>
      </c>
      <c r="E312" s="385">
        <f t="shared" si="125"/>
        <v>21.925049471640374</v>
      </c>
      <c r="F312" s="385">
        <f t="shared" si="103"/>
        <v>21.994818865439505</v>
      </c>
      <c r="G312" s="110">
        <f t="shared" si="126"/>
        <v>0.71397557099285669</v>
      </c>
      <c r="H312" s="414" t="b">
        <f>Wh_hp&gt;='2023'!Maxi_hp</f>
        <v>0</v>
      </c>
      <c r="I312" s="390">
        <f>IF(H312,Wh_hp,'2023'!Maxi_hp)</f>
        <v>30.314275892312452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5.1588179578001769E-2</v>
      </c>
      <c r="M312" s="844"/>
      <c r="N312" s="844"/>
      <c r="O312" s="48">
        <f>IF(t&lt;Tnet,'2023'!Resal+('2023'!Salim-'2023'!Resal)*(1-EXP(('2023'!Tnet-t)/('2023'!Tau_j))),Resal+(Salim-Resal)*(1-EXP((Tnet-t)/(Tau_j))))*Salcycl</f>
        <v>9.3199364611100316E-2</v>
      </c>
      <c r="P312" s="169">
        <f>(INDEX(Models!$BJ312:$BT312,,T312)*(1-R312)+INDEX(Models!$BJ312:$BT312,,T312+1)*R312-ERP_i)*Q312*Ramure*Pc/MaxiM</f>
        <v>5.3436215756525914E-3</v>
      </c>
      <c r="Q312" s="305">
        <f t="shared" si="105"/>
        <v>0.7</v>
      </c>
      <c r="R312" s="177">
        <f t="shared" si="106"/>
        <v>0.19798957264207728</v>
      </c>
      <c r="S312" s="810">
        <f t="shared" si="107"/>
        <v>1</v>
      </c>
      <c r="T312" s="176">
        <f t="shared" si="108"/>
        <v>7</v>
      </c>
      <c r="U312" s="251">
        <f t="shared" si="109"/>
        <v>1.1979895726420773</v>
      </c>
      <c r="V312" s="383">
        <f t="shared" si="110"/>
        <v>26.352321676182619</v>
      </c>
      <c r="W312" s="402">
        <f t="shared" si="111"/>
        <v>18.855990723637554</v>
      </c>
      <c r="X312" s="157">
        <f t="shared" si="112"/>
        <v>45589</v>
      </c>
      <c r="Y312" s="385">
        <f t="shared" si="113"/>
        <v>17.751610770848817</v>
      </c>
      <c r="Z312" s="385">
        <f t="shared" si="114"/>
        <v>18.71719688494624</v>
      </c>
      <c r="AA312" s="386">
        <f t="shared" si="115"/>
        <v>21.925049471640374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0.1463099360776097</v>
      </c>
      <c r="AD312" s="231">
        <f>(INDEX(Models!$BJ312:$BT312,,AH312)*(1-AF312)+INDEX(Models!$BJ312:$BT312,,AH312+1)*AF312-ERP_i)*AE312*Ramure*Pc/MaxiM</f>
        <v>5.3436215756525914E-3</v>
      </c>
      <c r="AE312" s="305">
        <f t="shared" si="117"/>
        <v>0.7</v>
      </c>
      <c r="AF312" s="177">
        <f t="shared" si="118"/>
        <v>0.19798957264207728</v>
      </c>
      <c r="AG312" s="810">
        <f t="shared" si="124"/>
        <v>1</v>
      </c>
      <c r="AH312" s="176">
        <f t="shared" si="119"/>
        <v>7</v>
      </c>
      <c r="AI312" s="225">
        <f t="shared" si="120"/>
        <v>1.1979895726420773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11.205863823953026</v>
      </c>
      <c r="C313" s="840"/>
      <c r="D313" s="393">
        <f t="shared" si="102"/>
        <v>11.815673703705556</v>
      </c>
      <c r="E313" s="385">
        <f t="shared" si="125"/>
        <v>13.030601359013305</v>
      </c>
      <c r="F313" s="385">
        <f t="shared" si="103"/>
        <v>13.043640390930253</v>
      </c>
      <c r="G313" s="110">
        <f t="shared" si="126"/>
        <v>0.42835180856755017</v>
      </c>
      <c r="H313" s="414" t="b">
        <f>Wh_hp&gt;='2023'!Maxi_hp</f>
        <v>0</v>
      </c>
      <c r="I313" s="390">
        <f>IF(H313,Wh_hp,'2023'!Maxi_hp)</f>
        <v>30.638103345226707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5.1610250506603506E-2</v>
      </c>
      <c r="M313" s="844"/>
      <c r="N313" s="844"/>
      <c r="O313" s="48">
        <f>IF(t&lt;Tnet,'2023'!Resal+('2023'!Salim-'2023'!Resal)*(1-EXP(('2023'!Tnet-t)/('2023'!Tau_j))),Resal+(Salim-Resal)*(1-EXP((Tnet-t)/(Tau_j))))*Salcycl</f>
        <v>9.3236499362892342E-2</v>
      </c>
      <c r="P313" s="169">
        <f>(INDEX(Models!$BJ313:$BT313,,T313)*(1-R313)+INDEX(Models!$BJ313:$BT313,,T313+1)*R313-ERP_i)*Q313*Ramure*Pc/MaxiM</f>
        <v>5.3729895746949365E-3</v>
      </c>
      <c r="Q313" s="305">
        <f t="shared" si="105"/>
        <v>0.7</v>
      </c>
      <c r="R313" s="177">
        <f t="shared" si="106"/>
        <v>0.19804705401026101</v>
      </c>
      <c r="S313" s="810">
        <f t="shared" si="107"/>
        <v>1</v>
      </c>
      <c r="T313" s="176">
        <f t="shared" si="108"/>
        <v>7</v>
      </c>
      <c r="U313" s="251">
        <f t="shared" si="109"/>
        <v>1.198047054010261</v>
      </c>
      <c r="V313" s="383">
        <f t="shared" si="110"/>
        <v>26.045898434811765</v>
      </c>
      <c r="W313" s="402">
        <f t="shared" si="111"/>
        <v>11.205863823953026</v>
      </c>
      <c r="X313" s="157">
        <f t="shared" si="112"/>
        <v>45590</v>
      </c>
      <c r="Y313" s="385">
        <f t="shared" si="113"/>
        <v>10.550683599951448</v>
      </c>
      <c r="Z313" s="385">
        <f t="shared" si="114"/>
        <v>11.124839345413982</v>
      </c>
      <c r="AA313" s="386">
        <f t="shared" si="115"/>
        <v>13.030601359013305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0.14625280607491714</v>
      </c>
      <c r="AD313" s="231">
        <f>(INDEX(Models!$BJ313:$BT313,,AH313)*(1-AF313)+INDEX(Models!$BJ313:$BT313,,AH313+1)*AF313-ERP_i)*AE313*Ramure*Pc/MaxiM</f>
        <v>5.3729895746949365E-3</v>
      </c>
      <c r="AE313" s="305">
        <f t="shared" si="117"/>
        <v>0.7</v>
      </c>
      <c r="AF313" s="177">
        <f t="shared" si="118"/>
        <v>0.19804705401026101</v>
      </c>
      <c r="AG313" s="810">
        <f t="shared" si="124"/>
        <v>1</v>
      </c>
      <c r="AH313" s="176">
        <f t="shared" si="119"/>
        <v>7</v>
      </c>
      <c r="AI313" s="225">
        <f t="shared" si="120"/>
        <v>1.198047054010261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11.38263004759229</v>
      </c>
      <c r="C314" s="840"/>
      <c r="D314" s="393">
        <f t="shared" si="102"/>
        <v>12.002338648501217</v>
      </c>
      <c r="E314" s="385">
        <f t="shared" si="125"/>
        <v>13.23698992397855</v>
      </c>
      <c r="F314" s="385">
        <f t="shared" si="103"/>
        <v>13.251454240080138</v>
      </c>
      <c r="G314" s="110">
        <f t="shared" si="126"/>
        <v>0.44027750052477066</v>
      </c>
      <c r="H314" s="414" t="b">
        <f>Wh_hp&gt;='2023'!Maxi_hp</f>
        <v>0</v>
      </c>
      <c r="I314" s="390">
        <f>IF(H314,Wh_hp,'2023'!Maxi_hp)</f>
        <v>28.51542722480329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5.1632320921582431E-2</v>
      </c>
      <c r="M314" s="844"/>
      <c r="N314" s="844"/>
      <c r="O314" s="48">
        <f>IF(t&lt;Tnet,'2023'!Resal+('2023'!Salim-'2023'!Resal)*(1-EXP(('2023'!Tnet-t)/('2023'!Tau_j))),Resal+(Salim-Resal)*(1-EXP((Tnet-t)/(Tau_j))))*Salcycl</f>
        <v>9.3272812215471054E-2</v>
      </c>
      <c r="P314" s="169">
        <f>(INDEX(Models!$BJ314:$BT314,,T314)*(1-R314)+INDEX(Models!$BJ314:$BT314,,T314+1)*R314-ERP_i)*Q314*Ramure*Pc/MaxiM</f>
        <v>5.3742082379444056E-3</v>
      </c>
      <c r="Q314" s="305">
        <f t="shared" si="105"/>
        <v>0.7</v>
      </c>
      <c r="R314" s="177">
        <f t="shared" si="106"/>
        <v>0.19810223657888271</v>
      </c>
      <c r="S314" s="810">
        <f t="shared" si="107"/>
        <v>1</v>
      </c>
      <c r="T314" s="176">
        <f t="shared" si="108"/>
        <v>7</v>
      </c>
      <c r="U314" s="251">
        <f t="shared" si="109"/>
        <v>1.1981022365788827</v>
      </c>
      <c r="V314" s="383">
        <f t="shared" si="110"/>
        <v>25.742466027514773</v>
      </c>
      <c r="W314" s="402">
        <f t="shared" si="111"/>
        <v>11.38263004759229</v>
      </c>
      <c r="X314" s="157">
        <f t="shared" si="112"/>
        <v>45591</v>
      </c>
      <c r="Y314" s="385">
        <f t="shared" si="113"/>
        <v>10.718273728498085</v>
      </c>
      <c r="Z314" s="385">
        <f t="shared" si="114"/>
        <v>11.30181254058936</v>
      </c>
      <c r="AA314" s="386">
        <f t="shared" si="115"/>
        <v>13.23698992397855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0.14619467072975972</v>
      </c>
      <c r="AD314" s="231">
        <f>(INDEX(Models!$BJ314:$BT314,,AH314)*(1-AF314)+INDEX(Models!$BJ314:$BT314,,AH314+1)*AF314-ERP_i)*AE314*Ramure*Pc/MaxiM</f>
        <v>5.3742082379444056E-3</v>
      </c>
      <c r="AE314" s="305">
        <f t="shared" si="117"/>
        <v>0.7</v>
      </c>
      <c r="AF314" s="177">
        <f t="shared" si="118"/>
        <v>0.19810223657888271</v>
      </c>
      <c r="AG314" s="810">
        <f t="shared" si="124"/>
        <v>1</v>
      </c>
      <c r="AH314" s="176">
        <f t="shared" si="119"/>
        <v>7</v>
      </c>
      <c r="AI314" s="225">
        <f t="shared" si="120"/>
        <v>1.1981022365788827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15.406748517638984</v>
      </c>
      <c r="C315" s="840"/>
      <c r="D315" s="393">
        <f t="shared" si="102"/>
        <v>16.245921706758971</v>
      </c>
      <c r="E315" s="385">
        <f t="shared" si="125"/>
        <v>17.917802955965339</v>
      </c>
      <c r="F315" s="385">
        <f t="shared" si="103"/>
        <v>17.959719726612374</v>
      </c>
      <c r="G315" s="110">
        <f t="shared" si="126"/>
        <v>0.60373465050477071</v>
      </c>
      <c r="H315" s="414" t="b">
        <f>Wh_hp&gt;='2023'!Maxi_hp</f>
        <v>0</v>
      </c>
      <c r="I315" s="390">
        <f>IF(H315,Wh_hp,'2023'!Maxi_hp)</f>
        <v>29.596972349647235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5.1654390822950647E-2</v>
      </c>
      <c r="M315" s="844"/>
      <c r="N315" s="844"/>
      <c r="O315" s="48">
        <f>IF(t&lt;Tnet,'2023'!Resal+('2023'!Salim-'2023'!Resal)*(1-EXP(('2023'!Tnet-t)/('2023'!Tau_j))),Resal+(Salim-Resal)*(1-EXP((Tnet-t)/(Tau_j))))*Salcycl</f>
        <v>9.3308384589068857E-2</v>
      </c>
      <c r="P315" s="169">
        <f>(INDEX(Models!$BJ315:$BT315,,T315)*(1-R315)+INDEX(Models!$BJ315:$BT315,,T315+1)*R315-ERP_i)*Q315*Ramure*Pc/MaxiM</f>
        <v>5.3466906917151169E-3</v>
      </c>
      <c r="Q315" s="305">
        <f t="shared" si="105"/>
        <v>0.7</v>
      </c>
      <c r="R315" s="177">
        <f t="shared" si="106"/>
        <v>0.19815521168190831</v>
      </c>
      <c r="S315" s="810">
        <f t="shared" si="107"/>
        <v>1</v>
      </c>
      <c r="T315" s="176">
        <f t="shared" si="108"/>
        <v>7</v>
      </c>
      <c r="U315" s="251">
        <f t="shared" si="109"/>
        <v>1.1981552116819083</v>
      </c>
      <c r="V315" s="383">
        <f t="shared" si="110"/>
        <v>25.44201017344821</v>
      </c>
      <c r="W315" s="402">
        <f t="shared" si="111"/>
        <v>15.406748517638984</v>
      </c>
      <c r="X315" s="157">
        <f t="shared" si="112"/>
        <v>45592</v>
      </c>
      <c r="Y315" s="385">
        <f t="shared" si="113"/>
        <v>14.509093215345446</v>
      </c>
      <c r="Z315" s="385">
        <f t="shared" si="114"/>
        <v>15.299373008049329</v>
      </c>
      <c r="AA315" s="386">
        <f t="shared" si="115"/>
        <v>17.917802955965339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0.14613565928540709</v>
      </c>
      <c r="AD315" s="231">
        <f>(INDEX(Models!$BJ315:$BT315,,AH315)*(1-AF315)+INDEX(Models!$BJ315:$BT315,,AH315+1)*AF315-ERP_i)*AE315*Ramure*Pc/MaxiM</f>
        <v>5.3466906917151169E-3</v>
      </c>
      <c r="AE315" s="305">
        <f t="shared" si="117"/>
        <v>0.7</v>
      </c>
      <c r="AF315" s="177">
        <f t="shared" si="118"/>
        <v>0.19815521168190831</v>
      </c>
      <c r="AG315" s="810">
        <f t="shared" si="124"/>
        <v>1</v>
      </c>
      <c r="AH315" s="176">
        <f t="shared" si="119"/>
        <v>7</v>
      </c>
      <c r="AI315" s="225">
        <f t="shared" si="120"/>
        <v>1.1981552116819083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21.690545924279409</v>
      </c>
      <c r="C316" s="840"/>
      <c r="D316" s="393">
        <f t="shared" si="102"/>
        <v>22.872516619274371</v>
      </c>
      <c r="E316" s="385">
        <f t="shared" si="125"/>
        <v>25.227317739841322</v>
      </c>
      <c r="F316" s="385">
        <f t="shared" si="103"/>
        <v>25.335036982165146</v>
      </c>
      <c r="G316" s="110">
        <f t="shared" si="126"/>
        <v>0.86173595179616291</v>
      </c>
      <c r="H316" s="414" t="b">
        <f>Wh_hp&gt;='2023'!Maxi_hp</f>
        <v>0</v>
      </c>
      <c r="I316" s="390">
        <f>IF(H316,Wh_hp,'2023'!Maxi_hp)</f>
        <v>26.808132600527212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5.1676460210719921E-2</v>
      </c>
      <c r="M316" s="844"/>
      <c r="N316" s="844"/>
      <c r="O316" s="48">
        <f>IF(t&lt;Tnet,'2023'!Resal+('2023'!Salim-'2023'!Resal)*(1-EXP(('2023'!Tnet-t)/('2023'!Tau_j))),Resal+(Salim-Resal)*(1-EXP((Tnet-t)/(Tau_j))))*Salcycl</f>
        <v>9.3343301291521311E-2</v>
      </c>
      <c r="P316" s="169">
        <f>(INDEX(Models!$BJ316:$BT316,,T316)*(1-R316)+INDEX(Models!$BJ316:$BT316,,T316+1)*R316-ERP_i)*Q316*Ramure*Pc/MaxiM</f>
        <v>5.2898439304090109E-3</v>
      </c>
      <c r="Q316" s="305">
        <f t="shared" si="105"/>
        <v>0.7</v>
      </c>
      <c r="R316" s="177">
        <f t="shared" si="106"/>
        <v>0.19820606707169741</v>
      </c>
      <c r="S316" s="810">
        <f t="shared" si="107"/>
        <v>1</v>
      </c>
      <c r="T316" s="176">
        <f t="shared" si="108"/>
        <v>7</v>
      </c>
      <c r="U316" s="251">
        <f t="shared" si="109"/>
        <v>1.1982060670716974</v>
      </c>
      <c r="V316" s="383">
        <f t="shared" si="110"/>
        <v>25.144516447597884</v>
      </c>
      <c r="W316" s="402">
        <f t="shared" si="111"/>
        <v>21.690545924279409</v>
      </c>
      <c r="X316" s="157">
        <f t="shared" si="112"/>
        <v>45593</v>
      </c>
      <c r="Y316" s="385">
        <f t="shared" si="113"/>
        <v>20.428989060397736</v>
      </c>
      <c r="Z316" s="385">
        <f t="shared" si="114"/>
        <v>21.542214448179902</v>
      </c>
      <c r="AA316" s="386">
        <f t="shared" si="115"/>
        <v>25.227317739841322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0.1460759058756993</v>
      </c>
      <c r="AD316" s="231">
        <f>(INDEX(Models!$BJ316:$BT316,,AH316)*(1-AF316)+INDEX(Models!$BJ316:$BT316,,AH316+1)*AF316-ERP_i)*AE316*Ramure*Pc/MaxiM</f>
        <v>5.2898439304090109E-3</v>
      </c>
      <c r="AE316" s="305">
        <f t="shared" si="117"/>
        <v>0.7</v>
      </c>
      <c r="AF316" s="177">
        <f t="shared" si="118"/>
        <v>0.19820606707169741</v>
      </c>
      <c r="AG316" s="810">
        <f t="shared" si="124"/>
        <v>1</v>
      </c>
      <c r="AH316" s="176">
        <f t="shared" si="119"/>
        <v>7</v>
      </c>
      <c r="AI316" s="225">
        <f t="shared" si="120"/>
        <v>1.1982060670716974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17.927691843847654</v>
      </c>
      <c r="C317" s="840"/>
      <c r="D317" s="393">
        <f t="shared" si="102"/>
        <v>18.905055400312396</v>
      </c>
      <c r="E317" s="385">
        <f t="shared" si="125"/>
        <v>20.852183276112729</v>
      </c>
      <c r="F317" s="385">
        <f t="shared" si="103"/>
        <v>20.917715760577856</v>
      </c>
      <c r="G317" s="110">
        <f t="shared" si="126"/>
        <v>0.71996829090641867</v>
      </c>
      <c r="H317" s="414" t="b">
        <f>Wh_hp&gt;='2023'!Maxi_hp</f>
        <v>0</v>
      </c>
      <c r="I317" s="390">
        <f>IF(H317,Wh_hp,'2023'!Maxi_hp)</f>
        <v>25.646872317786048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5.1698529084902356E-2</v>
      </c>
      <c r="M317" s="844"/>
      <c r="N317" s="844"/>
      <c r="O317" s="48">
        <f>IF(t&lt;Tnet,'2023'!Resal+('2023'!Salim-'2023'!Resal)*(1-EXP(('2023'!Tnet-t)/('2023'!Tau_j))),Resal+(Salim-Resal)*(1-EXP((Tnet-t)/(Tau_j))))*Salcycl</f>
        <v>9.3377650196987808E-2</v>
      </c>
      <c r="P317" s="169">
        <f>(INDEX(Models!$BJ317:$BT317,,T317)*(1-R317)+INDEX(Models!$BJ317:$BT317,,T317+1)*R317-ERP_i)*Q317*Ramure*Pc/MaxiM</f>
        <v>5.2032792229365658E-3</v>
      </c>
      <c r="Q317" s="305">
        <f t="shared" si="105"/>
        <v>0.7</v>
      </c>
      <c r="R317" s="177">
        <f t="shared" si="106"/>
        <v>0.19825488705573147</v>
      </c>
      <c r="S317" s="810">
        <f t="shared" si="107"/>
        <v>1</v>
      </c>
      <c r="T317" s="176">
        <f t="shared" si="108"/>
        <v>7</v>
      </c>
      <c r="U317" s="251">
        <f t="shared" si="109"/>
        <v>1.1982548870557315</v>
      </c>
      <c r="V317" s="383">
        <f t="shared" si="110"/>
        <v>24.848952045908455</v>
      </c>
      <c r="W317" s="402">
        <f t="shared" si="111"/>
        <v>17.927691843847654</v>
      </c>
      <c r="X317" s="157">
        <f t="shared" si="112"/>
        <v>45594</v>
      </c>
      <c r="Y317" s="385">
        <f t="shared" si="113"/>
        <v>16.886821817482573</v>
      </c>
      <c r="Z317" s="385">
        <f t="shared" si="114"/>
        <v>17.807440287092486</v>
      </c>
      <c r="AA317" s="386">
        <f t="shared" si="115"/>
        <v>20.852183276112729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0.14601554900527636</v>
      </c>
      <c r="AD317" s="231">
        <f>(INDEX(Models!$BJ317:$BT317,,AH317)*(1-AF317)+INDEX(Models!$BJ317:$BT317,,AH317+1)*AF317-ERP_i)*AE317*Ramure*Pc/MaxiM</f>
        <v>5.2032792229365658E-3</v>
      </c>
      <c r="AE317" s="305">
        <f t="shared" si="117"/>
        <v>0.7</v>
      </c>
      <c r="AF317" s="177">
        <f t="shared" si="118"/>
        <v>0.19825488705573147</v>
      </c>
      <c r="AG317" s="810">
        <f t="shared" si="124"/>
        <v>1</v>
      </c>
      <c r="AH317" s="176">
        <f t="shared" si="119"/>
        <v>7</v>
      </c>
      <c r="AI317" s="225">
        <f t="shared" si="120"/>
        <v>1.1982548870557315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16.946705370374175</v>
      </c>
      <c r="C318" s="840"/>
      <c r="D318" s="393">
        <f t="shared" si="102"/>
        <v>17.871004394614996</v>
      </c>
      <c r="E318" s="385">
        <f t="shared" si="125"/>
        <v>19.712366554750908</v>
      </c>
      <c r="F318" s="385">
        <f t="shared" si="103"/>
        <v>19.768453694294518</v>
      </c>
      <c r="G318" s="110">
        <f t="shared" si="126"/>
        <v>0.68860742751199455</v>
      </c>
      <c r="H318" s="414" t="b">
        <f>Wh_hp&gt;='2023'!Maxi_hp</f>
        <v>0</v>
      </c>
      <c r="I318" s="390">
        <f>IF(H318,Wh_hp,'2023'!Maxi_hp)</f>
        <v>29.156794138449072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5.1720597445509831E-2</v>
      </c>
      <c r="M318" s="844"/>
      <c r="N318" s="844"/>
      <c r="O318" s="48">
        <f>IF(t&lt;Tnet,'2023'!Resal+('2023'!Salim-'2023'!Resal)*(1-EXP(('2023'!Tnet-t)/('2023'!Tau_j))),Resal+(Salim-Resal)*(1-EXP((Tnet-t)/(Tau_j))))*Salcycl</f>
        <v>9.3411521900302885E-2</v>
      </c>
      <c r="P318" s="169">
        <f>(INDEX(Models!$BJ318:$BT318,,T318)*(1-R318)+INDEX(Models!$BJ318:$BT318,,T318+1)*R318-ERP_i)*Q318*Ramure*Pc/MaxiM</f>
        <v>5.0902404143226667E-3</v>
      </c>
      <c r="Q318" s="305">
        <f t="shared" si="105"/>
        <v>0.7</v>
      </c>
      <c r="R318" s="177">
        <f t="shared" si="106"/>
        <v>0.19830175262842031</v>
      </c>
      <c r="S318" s="810">
        <f t="shared" si="107"/>
        <v>1</v>
      </c>
      <c r="T318" s="176">
        <f t="shared" si="108"/>
        <v>7</v>
      </c>
      <c r="U318" s="251">
        <f t="shared" si="109"/>
        <v>1.1983017526284203</v>
      </c>
      <c r="V318" s="383">
        <f t="shared" si="110"/>
        <v>24.554505973363302</v>
      </c>
      <c r="W318" s="402">
        <f t="shared" si="111"/>
        <v>16.946705370374175</v>
      </c>
      <c r="X318" s="157">
        <f t="shared" si="112"/>
        <v>45595</v>
      </c>
      <c r="Y318" s="385">
        <f t="shared" si="113"/>
        <v>15.964524033153232</v>
      </c>
      <c r="Z318" s="385">
        <f t="shared" si="114"/>
        <v>16.835253396992218</v>
      </c>
      <c r="AA318" s="386">
        <f t="shared" si="115"/>
        <v>19.712366554750908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0.14595473099424841</v>
      </c>
      <c r="AD318" s="231">
        <f>(INDEX(Models!$BJ318:$BT318,,AH318)*(1-AF318)+INDEX(Models!$BJ318:$BT318,,AH318+1)*AF318-ERP_i)*AE318*Ramure*Pc/MaxiM</f>
        <v>5.0902404143226667E-3</v>
      </c>
      <c r="AE318" s="305">
        <f t="shared" si="117"/>
        <v>0.7</v>
      </c>
      <c r="AF318" s="177">
        <f t="shared" si="118"/>
        <v>0.19830175262842031</v>
      </c>
      <c r="AG318" s="810">
        <f t="shared" si="124"/>
        <v>1</v>
      </c>
      <c r="AH318" s="176">
        <f t="shared" si="119"/>
        <v>7</v>
      </c>
      <c r="AI318" s="225">
        <f t="shared" si="120"/>
        <v>1.1983017526284203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17.027349252581462</v>
      </c>
      <c r="C319" s="840"/>
      <c r="D319" s="393">
        <f t="shared" si="102"/>
        <v>17.956464589683037</v>
      </c>
      <c r="E319" s="385">
        <f t="shared" si="125"/>
        <v>19.807363893930951</v>
      </c>
      <c r="F319" s="385">
        <f t="shared" si="103"/>
        <v>19.864006819188976</v>
      </c>
      <c r="G319" s="110">
        <f t="shared" si="126"/>
        <v>0.7003449853946252</v>
      </c>
      <c r="H319" s="414" t="b">
        <f>Wh_hp&gt;='2023'!Maxi_hp</f>
        <v>0</v>
      </c>
      <c r="I319" s="390">
        <f>IF(H319,Wh_hp,'2023'!Maxi_hp)</f>
        <v>28.781907422136918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5.1742665292554335E-2</v>
      </c>
      <c r="M319" s="844"/>
      <c r="N319" s="844"/>
      <c r="O319" s="48">
        <f>IF(t&lt;Tnet,'2023'!Resal+('2023'!Salim-'2023'!Resal)*(1-EXP(('2023'!Tnet-t)/('2023'!Tau_j))),Resal+(Salim-Resal)*(1-EXP((Tnet-t)/(Tau_j))))*Salcycl</f>
        <v>9.3445009349024777E-2</v>
      </c>
      <c r="P319" s="169">
        <f>(INDEX(Models!$BJ319:$BT319,,T319)*(1-R319)+INDEX(Models!$BJ319:$BT319,,T319+1)*R319-ERP_i)*Q319*Ramure*Pc/MaxiM</f>
        <v>4.9674091759527922E-3</v>
      </c>
      <c r="Q319" s="305">
        <f t="shared" si="105"/>
        <v>0.7</v>
      </c>
      <c r="R319" s="177">
        <f t="shared" si="106"/>
        <v>0.19834674159813348</v>
      </c>
      <c r="S319" s="810">
        <f t="shared" si="107"/>
        <v>1</v>
      </c>
      <c r="T319" s="176">
        <f t="shared" si="108"/>
        <v>7</v>
      </c>
      <c r="U319" s="251">
        <f t="shared" si="109"/>
        <v>1.1983467415981335</v>
      </c>
      <c r="V319" s="383">
        <f t="shared" si="110"/>
        <v>24.261212492044319</v>
      </c>
      <c r="W319" s="402">
        <f t="shared" si="111"/>
        <v>17.027349252581462</v>
      </c>
      <c r="X319" s="157">
        <f t="shared" si="112"/>
        <v>45596</v>
      </c>
      <c r="Y319" s="385">
        <f t="shared" si="113"/>
        <v>16.042234796646159</v>
      </c>
      <c r="Z319" s="385">
        <f t="shared" si="114"/>
        <v>16.917596320618468</v>
      </c>
      <c r="AA319" s="386">
        <f t="shared" si="115"/>
        <v>19.807363893930951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0.14589359739071189</v>
      </c>
      <c r="AD319" s="231">
        <f>(INDEX(Models!$BJ319:$BT319,,AH319)*(1-AF319)+INDEX(Models!$BJ319:$BT319,,AH319+1)*AF319-ERP_i)*AE319*Ramure*Pc/MaxiM</f>
        <v>4.9674091759527922E-3</v>
      </c>
      <c r="AE319" s="305">
        <f t="shared" si="117"/>
        <v>0.7</v>
      </c>
      <c r="AF319" s="177">
        <f t="shared" si="118"/>
        <v>0.19834674159813348</v>
      </c>
      <c r="AG319" s="810">
        <f t="shared" si="124"/>
        <v>1</v>
      </c>
      <c r="AH319" s="176">
        <f t="shared" si="119"/>
        <v>7</v>
      </c>
      <c r="AI319" s="225">
        <f t="shared" si="120"/>
        <v>1.1983467415981335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23.074402956341334</v>
      </c>
      <c r="C320" s="840"/>
      <c r="D320" s="393">
        <f t="shared" si="102"/>
        <v>24.334048469051048</v>
      </c>
      <c r="E320" s="385">
        <f t="shared" si="125"/>
        <v>26.843313276283201</v>
      </c>
      <c r="F320" s="385">
        <f t="shared" si="103"/>
        <v>26.966728757639455</v>
      </c>
      <c r="G320" s="110">
        <f t="shared" si="126"/>
        <v>0.96240601443915619</v>
      </c>
      <c r="H320" s="414" t="b">
        <f>Wh_hp&gt;='2023'!Maxi_hp</f>
        <v>0</v>
      </c>
      <c r="I320" s="390">
        <f>IF(H320,Wh_hp,'2023'!Maxi_hp)</f>
        <v>26.969006906693245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5.1764732626047749E-2</v>
      </c>
      <c r="M320" s="844"/>
      <c r="N320" s="844"/>
      <c r="O320" s="48">
        <f>IF(t&lt;Tnet,'2023'!Resal+('2023'!Salim-'2023'!Resal)*(1-EXP(('2023'!Tnet-t)/('2023'!Tau_j))),Resal+(Salim-Resal)*(1-EXP((Tnet-t)/(Tau_j))))*Salcycl</f>
        <v>9.3478207455454362E-2</v>
      </c>
      <c r="P320" s="169">
        <f>(INDEX(Models!$BJ320:$BT320,,T320)*(1-R320)+INDEX(Models!$BJ320:$BT320,,T320+1)*R320-ERP_i)*Q320*Ramure*Pc/MaxiM</f>
        <v>4.8345009047739322E-3</v>
      </c>
      <c r="Q320" s="305">
        <f t="shared" si="105"/>
        <v>0.7</v>
      </c>
      <c r="R320" s="177">
        <f t="shared" si="106"/>
        <v>0.19838992870961691</v>
      </c>
      <c r="S320" s="810">
        <f t="shared" si="107"/>
        <v>1</v>
      </c>
      <c r="T320" s="176">
        <f t="shared" si="108"/>
        <v>7</v>
      </c>
      <c r="U320" s="251">
        <f t="shared" si="109"/>
        <v>1.1983899287096169</v>
      </c>
      <c r="V320" s="383">
        <f t="shared" si="110"/>
        <v>23.96953463966965</v>
      </c>
      <c r="W320" s="402">
        <f t="shared" si="111"/>
        <v>23.074402956341334</v>
      </c>
      <c r="X320" s="157">
        <f t="shared" si="112"/>
        <v>45597</v>
      </c>
      <c r="Y320" s="385">
        <f t="shared" si="113"/>
        <v>21.741793686921419</v>
      </c>
      <c r="Z320" s="385">
        <f t="shared" si="114"/>
        <v>22.928691259431066</v>
      </c>
      <c r="AA320" s="386">
        <f t="shared" si="115"/>
        <v>26.843313276283201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0.14583229635481729</v>
      </c>
      <c r="AD320" s="231">
        <f>(INDEX(Models!$BJ320:$BT320,,AH320)*(1-AF320)+INDEX(Models!$BJ320:$BT320,,AH320+1)*AF320-ERP_i)*AE320*Ramure*Pc/MaxiM</f>
        <v>4.8345009047739322E-3</v>
      </c>
      <c r="AE320" s="305">
        <f t="shared" si="117"/>
        <v>0.7</v>
      </c>
      <c r="AF320" s="177">
        <f t="shared" si="118"/>
        <v>0.19838992870961691</v>
      </c>
      <c r="AG320" s="810">
        <f t="shared" si="124"/>
        <v>1</v>
      </c>
      <c r="AH320" s="176">
        <f t="shared" si="119"/>
        <v>7</v>
      </c>
      <c r="AI320" s="225">
        <f t="shared" si="120"/>
        <v>1.1983899287096169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9.3958772071769587</v>
      </c>
      <c r="C321" s="840"/>
      <c r="D321" s="393">
        <f t="shared" si="102"/>
        <v>9.9090343834987475</v>
      </c>
      <c r="E321" s="385">
        <f t="shared" si="125"/>
        <v>10.931226643095775</v>
      </c>
      <c r="F321" s="385">
        <f t="shared" si="103"/>
        <v>10.93832166279128</v>
      </c>
      <c r="G321" s="110">
        <f t="shared" si="126"/>
        <v>0.39518135033551782</v>
      </c>
      <c r="H321" s="414" t="b">
        <f>Wh_hp&gt;='2023'!Maxi_hp</f>
        <v>0</v>
      </c>
      <c r="I321" s="390">
        <f>IF(H321,Wh_hp,'2023'!Maxi_hp)</f>
        <v>25.62517790632015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5.1786799446002063E-2</v>
      </c>
      <c r="M321" s="844"/>
      <c r="N321" s="844"/>
      <c r="O321" s="48">
        <f>IF(t&lt;Tnet,'2023'!Resal+('2023'!Salim-'2023'!Resal)*(1-EXP(('2023'!Tnet-t)/('2023'!Tau_j))),Resal+(Salim-Resal)*(1-EXP((Tnet-t)/(Tau_j))))*Salcycl</f>
        <v>9.3511212691088988E-2</v>
      </c>
      <c r="P321" s="169">
        <f>(INDEX(Models!$BJ321:$BT321,,T321)*(1-R321)+INDEX(Models!$BJ321:$BT321,,T321+1)*R321-ERP_i)*Q321*Ramure*Pc/MaxiM</f>
        <v>4.6912271103754484E-3</v>
      </c>
      <c r="Q321" s="305">
        <f t="shared" si="105"/>
        <v>0.7</v>
      </c>
      <c r="R321" s="177">
        <f t="shared" si="106"/>
        <v>0.19843138576193153</v>
      </c>
      <c r="S321" s="810">
        <f t="shared" si="107"/>
        <v>1</v>
      </c>
      <c r="T321" s="176">
        <f t="shared" si="108"/>
        <v>7</v>
      </c>
      <c r="U321" s="251">
        <f t="shared" si="109"/>
        <v>1.1984313857619315</v>
      </c>
      <c r="V321" s="383">
        <f t="shared" si="110"/>
        <v>23.679935508287194</v>
      </c>
      <c r="W321" s="402">
        <f t="shared" si="111"/>
        <v>9.3958772071769587</v>
      </c>
      <c r="X321" s="157">
        <f t="shared" si="112"/>
        <v>45598</v>
      </c>
      <c r="Y321" s="385">
        <f t="shared" si="113"/>
        <v>8.8541977680426971</v>
      </c>
      <c r="Z321" s="385">
        <f t="shared" si="114"/>
        <v>9.3377710443912729</v>
      </c>
      <c r="AA321" s="386">
        <f t="shared" si="115"/>
        <v>10.931226643095775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0.14577097801836705</v>
      </c>
      <c r="AD321" s="231">
        <f>(INDEX(Models!$BJ321:$BT321,,AH321)*(1-AF321)+INDEX(Models!$BJ321:$BT321,,AH321+1)*AF321-ERP_i)*AE321*Ramure*Pc/MaxiM</f>
        <v>4.6912271103754484E-3</v>
      </c>
      <c r="AE321" s="305">
        <f t="shared" si="117"/>
        <v>0.7</v>
      </c>
      <c r="AF321" s="177">
        <f t="shared" si="118"/>
        <v>0.19843138576193153</v>
      </c>
      <c r="AG321" s="810">
        <f t="shared" si="124"/>
        <v>1</v>
      </c>
      <c r="AH321" s="176">
        <f t="shared" si="119"/>
        <v>7</v>
      </c>
      <c r="AI321" s="225">
        <f t="shared" si="120"/>
        <v>1.1984313857619315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15.562684250450969</v>
      </c>
      <c r="C322" s="840"/>
      <c r="D322" s="393">
        <f t="shared" si="102"/>
        <v>16.413024429721769</v>
      </c>
      <c r="E322" s="385">
        <f t="shared" si="125"/>
        <v>18.106810094273051</v>
      </c>
      <c r="F322" s="385">
        <f t="shared" si="103"/>
        <v>18.149782518208916</v>
      </c>
      <c r="G322" s="110">
        <f t="shared" si="126"/>
        <v>0.66382761824429781</v>
      </c>
      <c r="H322" s="414" t="b">
        <f>Wh_hp&gt;='2023'!Maxi_hp</f>
        <v>0</v>
      </c>
      <c r="I322" s="390">
        <f>IF(H322,Wh_hp,'2023'!Maxi_hp)</f>
        <v>21.931273937161258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5.1808865752429378E-2</v>
      </c>
      <c r="M322" s="844"/>
      <c r="N322" s="844"/>
      <c r="O322" s="48">
        <f>IF(t&lt;Tnet,'2023'!Resal+('2023'!Salim-'2023'!Resal)*(1-EXP(('2023'!Tnet-t)/('2023'!Tau_j))),Resal+(Salim-Resal)*(1-EXP((Tnet-t)/(Tau_j))))*Salcycl</f>
        <v>9.3544122666145535E-2</v>
      </c>
      <c r="P322" s="169">
        <f>(INDEX(Models!$BJ322:$BT322,,T322)*(1-R322)+INDEX(Models!$BJ322:$BT322,,T322+1)*R322-ERP_i)*Q322*Ramure*Pc/MaxiM</f>
        <v>4.5372965975287493E-3</v>
      </c>
      <c r="Q322" s="305">
        <f t="shared" si="105"/>
        <v>0.7</v>
      </c>
      <c r="R322" s="177">
        <f t="shared" si="106"/>
        <v>0.19847118172206946</v>
      </c>
      <c r="S322" s="810">
        <f t="shared" si="107"/>
        <v>1</v>
      </c>
      <c r="T322" s="176">
        <f t="shared" si="108"/>
        <v>7</v>
      </c>
      <c r="U322" s="251">
        <f t="shared" si="109"/>
        <v>1.1984711817220695</v>
      </c>
      <c r="V322" s="383">
        <f t="shared" si="110"/>
        <v>23.392878275030462</v>
      </c>
      <c r="W322" s="402">
        <f t="shared" si="111"/>
        <v>15.562684250450969</v>
      </c>
      <c r="X322" s="157">
        <f t="shared" si="112"/>
        <v>45599</v>
      </c>
      <c r="Y322" s="385">
        <f t="shared" si="113"/>
        <v>14.667066615610389</v>
      </c>
      <c r="Z322" s="385">
        <f t="shared" si="114"/>
        <v>15.468470528623241</v>
      </c>
      <c r="AA322" s="386">
        <f t="shared" si="115"/>
        <v>18.106810094273051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0.1457097938241636</v>
      </c>
      <c r="AD322" s="231">
        <f>(INDEX(Models!$BJ322:$BT322,,AH322)*(1-AF322)+INDEX(Models!$BJ322:$BT322,,AH322+1)*AF322-ERP_i)*AE322*Ramure*Pc/MaxiM</f>
        <v>4.5372965975287493E-3</v>
      </c>
      <c r="AE322" s="305">
        <f t="shared" si="117"/>
        <v>0.7</v>
      </c>
      <c r="AF322" s="177">
        <f t="shared" si="118"/>
        <v>0.19847118172206946</v>
      </c>
      <c r="AG322" s="810">
        <f t="shared" si="124"/>
        <v>1</v>
      </c>
      <c r="AH322" s="176">
        <f t="shared" si="119"/>
        <v>7</v>
      </c>
      <c r="AI322" s="225">
        <f t="shared" si="120"/>
        <v>1.1984711817220695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23.563370112309993</v>
      </c>
      <c r="C323" s="840"/>
      <c r="D323" s="393">
        <f t="shared" si="102"/>
        <v>24.85144358348871</v>
      </c>
      <c r="E323" s="385">
        <f t="shared" si="125"/>
        <v>27.417049834562235</v>
      </c>
      <c r="F323" s="385">
        <f t="shared" si="103"/>
        <v>27.537455067889493</v>
      </c>
      <c r="G323" s="110">
        <f t="shared" si="126"/>
        <v>1.0196697086355615</v>
      </c>
      <c r="H323" s="414" t="b">
        <f>Wh_hp&gt;='2023'!Maxi_hp</f>
        <v>1</v>
      </c>
      <c r="I323" s="390">
        <f>IF(H323,Wh_hp,'2023'!Maxi_hp)</f>
        <v>27.537455067889493</v>
      </c>
      <c r="J323" s="85">
        <f>IF(H323,An,'2023'!An_max)</f>
        <v>2024</v>
      </c>
      <c r="K323" s="197">
        <f t="shared" si="104"/>
        <v>45600</v>
      </c>
      <c r="L323" s="147">
        <f>IF(t&lt;Tvie,1-EXP((T0-t)*PertePVj)+'2023'!Pspv,1-EXP((T0-t)*PertePVj)+Pspv)</f>
        <v>5.1830931545341352E-2</v>
      </c>
      <c r="M323" s="844"/>
      <c r="N323" s="844"/>
      <c r="O323" s="48">
        <f>IF(t&lt;Tnet,'2023'!Resal+('2023'!Salim-'2023'!Resal)*(1-EXP(('2023'!Tnet-t)/('2023'!Tau_j))),Resal+(Salim-Resal)*(1-EXP((Tnet-t)/(Tau_j))))*Salcycl</f>
        <v>9.3577035696936789E-2</v>
      </c>
      <c r="P323" s="169">
        <f>(INDEX(Models!$BJ323:$BT323,,T323)*(1-R323)+INDEX(Models!$BJ323:$BT323,,T323+1)*R323-ERP_i)*Q323*Ramure*Pc/MaxiM</f>
        <v>4.3724168784086571E-3</v>
      </c>
      <c r="Q323" s="305">
        <f t="shared" si="105"/>
        <v>0.7</v>
      </c>
      <c r="R323" s="177">
        <f t="shared" si="106"/>
        <v>0.19850938283438091</v>
      </c>
      <c r="S323" s="810">
        <f t="shared" si="107"/>
        <v>1</v>
      </c>
      <c r="T323" s="176">
        <f t="shared" si="108"/>
        <v>7</v>
      </c>
      <c r="U323" s="251">
        <f t="shared" si="109"/>
        <v>1.1985093828343809</v>
      </c>
      <c r="V323" s="383">
        <f t="shared" si="110"/>
        <v>23.108826233389404</v>
      </c>
      <c r="W323" s="402">
        <f t="shared" si="111"/>
        <v>23.563370112309993</v>
      </c>
      <c r="X323" s="157">
        <f t="shared" si="112"/>
        <v>45600</v>
      </c>
      <c r="Y323" s="385">
        <f t="shared" si="113"/>
        <v>22.209710108610246</v>
      </c>
      <c r="Z323" s="385">
        <f t="shared" si="114"/>
        <v>23.423786798706683</v>
      </c>
      <c r="AA323" s="386">
        <f t="shared" si="115"/>
        <v>27.417049834562235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0.14564889584953092</v>
      </c>
      <c r="AD323" s="231">
        <f>(INDEX(Models!$BJ323:$BT323,,AH323)*(1-AF323)+INDEX(Models!$BJ323:$BT323,,AH323+1)*AF323-ERP_i)*AE323*Ramure*Pc/MaxiM</f>
        <v>4.3724168784086571E-3</v>
      </c>
      <c r="AE323" s="305">
        <f t="shared" si="117"/>
        <v>0.7</v>
      </c>
      <c r="AF323" s="177">
        <f t="shared" si="118"/>
        <v>0.19850938283438091</v>
      </c>
      <c r="AG323" s="810">
        <f t="shared" si="124"/>
        <v>1</v>
      </c>
      <c r="AH323" s="176">
        <f t="shared" si="119"/>
        <v>7</v>
      </c>
      <c r="AI323" s="225">
        <f t="shared" si="120"/>
        <v>1.1985093828343809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22.973701798780478</v>
      </c>
      <c r="C324" s="840"/>
      <c r="D324" s="393">
        <f t="shared" si="102"/>
        <v>24.230105375900404</v>
      </c>
      <c r="E324" s="385">
        <f t="shared" si="125"/>
        <v>26.732539770141294</v>
      </c>
      <c r="F324" s="385">
        <f t="shared" si="103"/>
        <v>26.84535139605536</v>
      </c>
      <c r="G324" s="110">
        <f t="shared" si="126"/>
        <v>1.0063779322927229</v>
      </c>
      <c r="H324" s="414" t="b">
        <f>Wh_hp&gt;='2023'!Maxi_hp</f>
        <v>1</v>
      </c>
      <c r="I324" s="390">
        <f>IF(H324,Wh_hp,'2023'!Maxi_hp)</f>
        <v>26.84535139605536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5.1852996824750197E-2</v>
      </c>
      <c r="M324" s="844"/>
      <c r="N324" s="844"/>
      <c r="O324" s="48">
        <f>IF(t&lt;Tnet,'2023'!Resal+('2023'!Salim-'2023'!Resal)*(1-EXP(('2023'!Tnet-t)/('2023'!Tau_j))),Resal+(Salim-Resal)*(1-EXP((Tnet-t)/(Tau_j))))*Salcycl</f>
        <v>9.361005036401239E-2</v>
      </c>
      <c r="P324" s="169">
        <f>(INDEX(Models!$BJ324:$BT324,,T324)*(1-R324)+INDEX(Models!$BJ324:$BT324,,T324+1)*R324-ERP_i)*Q324*Ramure*Pc/MaxiM</f>
        <v>4.2022778636691769E-3</v>
      </c>
      <c r="Q324" s="305">
        <f t="shared" si="105"/>
        <v>0.7</v>
      </c>
      <c r="R324" s="177">
        <f t="shared" si="106"/>
        <v>0.19854605272595616</v>
      </c>
      <c r="S324" s="810">
        <f t="shared" si="107"/>
        <v>1</v>
      </c>
      <c r="T324" s="176">
        <f t="shared" si="108"/>
        <v>7</v>
      </c>
      <c r="U324" s="251">
        <f t="shared" si="109"/>
        <v>1.1985460527259562</v>
      </c>
      <c r="V324" s="383">
        <f t="shared" si="110"/>
        <v>22.828105686341868</v>
      </c>
      <c r="W324" s="402">
        <f t="shared" si="111"/>
        <v>22.973701798780478</v>
      </c>
      <c r="X324" s="157">
        <f t="shared" si="112"/>
        <v>45601</v>
      </c>
      <c r="Y324" s="385">
        <f t="shared" si="113"/>
        <v>21.656238013146506</v>
      </c>
      <c r="Z324" s="385">
        <f t="shared" si="114"/>
        <v>22.840591111527985</v>
      </c>
      <c r="AA324" s="386">
        <f t="shared" si="115"/>
        <v>26.732539770141294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0.145588436118606</v>
      </c>
      <c r="AD324" s="231">
        <f>(INDEX(Models!$BJ324:$BT324,,AH324)*(1-AF324)+INDEX(Models!$BJ324:$BT324,,AH324+1)*AF324-ERP_i)*AE324*Ramure*Pc/MaxiM</f>
        <v>4.2022778636691769E-3</v>
      </c>
      <c r="AE324" s="305">
        <f t="shared" si="117"/>
        <v>0.7</v>
      </c>
      <c r="AF324" s="177">
        <f t="shared" si="118"/>
        <v>0.19854605272595616</v>
      </c>
      <c r="AG324" s="810">
        <f t="shared" si="124"/>
        <v>1</v>
      </c>
      <c r="AH324" s="176">
        <f t="shared" si="119"/>
        <v>7</v>
      </c>
      <c r="AI324" s="225">
        <f t="shared" si="120"/>
        <v>1.1985460527259562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21.051272835910552</v>
      </c>
      <c r="C325" s="840"/>
      <c r="D325" s="393">
        <f t="shared" si="102"/>
        <v>22.203057828252298</v>
      </c>
      <c r="E325" s="385">
        <f t="shared" si="125"/>
        <v>24.497040704201346</v>
      </c>
      <c r="F325" s="385">
        <f t="shared" si="103"/>
        <v>24.586917755608322</v>
      </c>
      <c r="G325" s="110">
        <f t="shared" si="126"/>
        <v>0.93314083556333927</v>
      </c>
      <c r="H325" s="414" t="b">
        <f>Wh_hp&gt;='2023'!Maxi_hp</f>
        <v>0</v>
      </c>
      <c r="I325" s="390">
        <f>IF(H325,Wh_hp,'2023'!Maxi_hp)</f>
        <v>24.589985163206897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5.1875061590667682E-2</v>
      </c>
      <c r="M325" s="844"/>
      <c r="N325" s="844"/>
      <c r="O325" s="48">
        <f>IF(t&lt;Tnet,'2023'!Resal+('2023'!Salim-'2023'!Resal)*(1-EXP(('2023'!Tnet-t)/('2023'!Tau_j))),Resal+(Salim-Resal)*(1-EXP((Tnet-t)/(Tau_j))))*Salcycl</f>
        <v>9.3643265064078454E-2</v>
      </c>
      <c r="P325" s="169">
        <f>(INDEX(Models!$BJ325:$BT325,,T325)*(1-R325)+INDEX(Models!$BJ325:$BT325,,T325+1)*R325-ERP_i)*Q325*Ramure*Pc/MaxiM</f>
        <v>4.0392050918302913E-3</v>
      </c>
      <c r="Q325" s="305">
        <f t="shared" si="105"/>
        <v>0.7</v>
      </c>
      <c r="R325" s="177">
        <f t="shared" si="106"/>
        <v>0.198581252508093</v>
      </c>
      <c r="S325" s="810">
        <f t="shared" si="107"/>
        <v>1</v>
      </c>
      <c r="T325" s="176">
        <f t="shared" si="108"/>
        <v>7</v>
      </c>
      <c r="U325" s="251">
        <f t="shared" si="109"/>
        <v>1.198581252508093</v>
      </c>
      <c r="V325" s="383">
        <f t="shared" si="110"/>
        <v>22.550899662154475</v>
      </c>
      <c r="W325" s="402">
        <f t="shared" si="111"/>
        <v>21.051272835910552</v>
      </c>
      <c r="X325" s="157">
        <f t="shared" si="112"/>
        <v>45602</v>
      </c>
      <c r="Y325" s="385">
        <f t="shared" si="113"/>
        <v>19.846171596917117</v>
      </c>
      <c r="Z325" s="385">
        <f t="shared" si="114"/>
        <v>20.932021501525956</v>
      </c>
      <c r="AA325" s="386">
        <f t="shared" si="115"/>
        <v>24.497040704201346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0.14552856590812516</v>
      </c>
      <c r="AD325" s="231">
        <f>(INDEX(Models!$BJ325:$BT325,,AH325)*(1-AF325)+INDEX(Models!$BJ325:$BT325,,AH325+1)*AF325-ERP_i)*AE325*Ramure*Pc/MaxiM</f>
        <v>4.0392050918302913E-3</v>
      </c>
      <c r="AE325" s="305">
        <f t="shared" si="117"/>
        <v>0.7</v>
      </c>
      <c r="AF325" s="177">
        <f t="shared" si="118"/>
        <v>0.198581252508093</v>
      </c>
      <c r="AG325" s="810">
        <f t="shared" si="124"/>
        <v>1</v>
      </c>
      <c r="AH325" s="176">
        <f t="shared" si="119"/>
        <v>7</v>
      </c>
      <c r="AI325" s="225">
        <f t="shared" si="120"/>
        <v>1.198581252508093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15.557371773883826</v>
      </c>
      <c r="C326" s="840"/>
      <c r="D326" s="393">
        <f t="shared" si="102"/>
        <v>16.408949068652817</v>
      </c>
      <c r="E326" s="385">
        <f t="shared" si="125"/>
        <v>18.104963728563366</v>
      </c>
      <c r="F326" s="385">
        <f t="shared" si="103"/>
        <v>18.145061288786675</v>
      </c>
      <c r="G326" s="110">
        <f t="shared" si="126"/>
        <v>0.69716775946685483</v>
      </c>
      <c r="H326" s="414" t="b">
        <f>Wh_hp&gt;='2023'!Maxi_hp</f>
        <v>0</v>
      </c>
      <c r="I326" s="390">
        <f>IF(H326,Wh_hp,'2023'!Maxi_hp)</f>
        <v>19.495056583324676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5.1897125843105907E-2</v>
      </c>
      <c r="M326" s="844"/>
      <c r="N326" s="844"/>
      <c r="O326" s="48">
        <f>IF(t&lt;Tnet,'2023'!Resal+('2023'!Salim-'2023'!Resal)*(1-EXP(('2023'!Tnet-t)/('2023'!Tau_j))),Resal+(Salim-Resal)*(1-EXP((Tnet-t)/(Tau_j))))*Salcycl</f>
        <v>9.3676777558787727E-2</v>
      </c>
      <c r="P326" s="169">
        <f>(INDEX(Models!$BJ326:$BT326,,T326)*(1-R326)+INDEX(Models!$BJ326:$BT326,,T326+1)*R326-ERP_i)*Q326*Ramure*Pc/MaxiM</f>
        <v>3.8833335971095511E-3</v>
      </c>
      <c r="Q326" s="305">
        <f t="shared" si="105"/>
        <v>0.7</v>
      </c>
      <c r="R326" s="177">
        <f t="shared" si="106"/>
        <v>0.19861504087398596</v>
      </c>
      <c r="S326" s="810">
        <f t="shared" si="107"/>
        <v>1</v>
      </c>
      <c r="T326" s="176">
        <f t="shared" si="108"/>
        <v>7</v>
      </c>
      <c r="U326" s="251">
        <f t="shared" si="109"/>
        <v>1.198615040873986</v>
      </c>
      <c r="V326" s="383">
        <f t="shared" si="110"/>
        <v>22.277677983955222</v>
      </c>
      <c r="W326" s="402">
        <f t="shared" si="111"/>
        <v>15.557371773883826</v>
      </c>
      <c r="X326" s="157">
        <f t="shared" si="112"/>
        <v>45603</v>
      </c>
      <c r="Y326" s="385">
        <f t="shared" si="113"/>
        <v>14.668331740680681</v>
      </c>
      <c r="Z326" s="385">
        <f t="shared" si="114"/>
        <v>15.471244883340935</v>
      </c>
      <c r="AA326" s="386">
        <f t="shared" si="115"/>
        <v>18.104963728563366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0.1454694350515231</v>
      </c>
      <c r="AD326" s="231">
        <f>(INDEX(Models!$BJ326:$BT326,,AH326)*(1-AF326)+INDEX(Models!$BJ326:$BT326,,AH326+1)*AF326-ERP_i)*AE326*Ramure*Pc/MaxiM</f>
        <v>3.8833335971095511E-3</v>
      </c>
      <c r="AE326" s="305">
        <f t="shared" si="117"/>
        <v>0.7</v>
      </c>
      <c r="AF326" s="177">
        <f t="shared" si="118"/>
        <v>0.19861504087398596</v>
      </c>
      <c r="AG326" s="810">
        <f t="shared" si="124"/>
        <v>1</v>
      </c>
      <c r="AH326" s="176">
        <f t="shared" si="119"/>
        <v>7</v>
      </c>
      <c r="AI326" s="225">
        <f t="shared" si="120"/>
        <v>1.198615040873986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8.3272393921700925</v>
      </c>
      <c r="C327" s="840"/>
      <c r="D327" s="393">
        <f t="shared" si="102"/>
        <v>8.7832590857939241</v>
      </c>
      <c r="E327" s="385">
        <f t="shared" si="125"/>
        <v>9.6914516543498852</v>
      </c>
      <c r="F327" s="385">
        <f t="shared" si="103"/>
        <v>9.6955050766971809</v>
      </c>
      <c r="G327" s="110">
        <f t="shared" si="126"/>
        <v>0.37710219996255029</v>
      </c>
      <c r="H327" s="414" t="b">
        <f>Wh_hp&gt;='2023'!Maxi_hp</f>
        <v>0</v>
      </c>
      <c r="I327" s="390">
        <f>IF(H327,Wh_hp,'2023'!Maxi_hp)</f>
        <v>19.997041581744018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5.1919189582076641E-2</v>
      </c>
      <c r="M327" s="844"/>
      <c r="N327" s="844"/>
      <c r="O327" s="48">
        <f>IF(t&lt;Tnet,'2023'!Resal+('2023'!Salim-'2023'!Resal)*(1-EXP(('2023'!Tnet-t)/('2023'!Tau_j))),Resal+(Salim-Resal)*(1-EXP((Tnet-t)/(Tau_j))))*Salcycl</f>
        <v>9.3710684523544044E-2</v>
      </c>
      <c r="P327" s="169">
        <f>(INDEX(Models!$BJ327:$BT327,,T327)*(1-R327)+INDEX(Models!$BJ327:$BT327,,T327+1)*R327-ERP_i)*Q327*Ramure*Pc/MaxiM</f>
        <v>3.734806714462731E-3</v>
      </c>
      <c r="Q327" s="305">
        <f t="shared" si="105"/>
        <v>0.7</v>
      </c>
      <c r="R327" s="177">
        <f t="shared" si="106"/>
        <v>0.19864747419276152</v>
      </c>
      <c r="S327" s="810">
        <f t="shared" si="107"/>
        <v>1</v>
      </c>
      <c r="T327" s="176">
        <f t="shared" si="108"/>
        <v>7</v>
      </c>
      <c r="U327" s="251">
        <f t="shared" si="109"/>
        <v>1.1986474741927615</v>
      </c>
      <c r="V327" s="383">
        <f t="shared" si="110"/>
        <v>22.008910581962454</v>
      </c>
      <c r="W327" s="402">
        <f t="shared" si="111"/>
        <v>8.3272393921700925</v>
      </c>
      <c r="X327" s="157">
        <f t="shared" si="112"/>
        <v>45604</v>
      </c>
      <c r="Y327" s="385">
        <f t="shared" si="113"/>
        <v>7.8522006944559521</v>
      </c>
      <c r="Z327" s="385">
        <f t="shared" si="114"/>
        <v>8.2822061243857732</v>
      </c>
      <c r="AA327" s="386">
        <f t="shared" si="115"/>
        <v>9.6914516543498852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0.14541119124621438</v>
      </c>
      <c r="AD327" s="231">
        <f>(INDEX(Models!$BJ327:$BT327,,AH327)*(1-AF327)+INDEX(Models!$BJ327:$BT327,,AH327+1)*AF327-ERP_i)*AE327*Ramure*Pc/MaxiM</f>
        <v>3.734806714462731E-3</v>
      </c>
      <c r="AE327" s="305">
        <f t="shared" si="117"/>
        <v>0.7</v>
      </c>
      <c r="AF327" s="177">
        <f t="shared" si="118"/>
        <v>0.19864747419276152</v>
      </c>
      <c r="AG327" s="810">
        <f t="shared" si="124"/>
        <v>1</v>
      </c>
      <c r="AH327" s="176">
        <f t="shared" si="119"/>
        <v>7</v>
      </c>
      <c r="AI327" s="225">
        <f t="shared" si="120"/>
        <v>1.1986474741927615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17.646861557839991</v>
      </c>
      <c r="C328" s="840"/>
      <c r="D328" s="393">
        <f t="shared" si="102"/>
        <v>18.613679384425922</v>
      </c>
      <c r="E328" s="385">
        <f t="shared" si="125"/>
        <v>20.539120942933454</v>
      </c>
      <c r="F328" s="385">
        <f t="shared" si="103"/>
        <v>20.593202762103992</v>
      </c>
      <c r="G328" s="110">
        <f t="shared" si="126"/>
        <v>0.81074670840961838</v>
      </c>
      <c r="H328" s="414" t="b">
        <f>Wh_hp&gt;='2023'!Maxi_hp</f>
        <v>0</v>
      </c>
      <c r="I328" s="390">
        <f>IF(H328,Wh_hp,'2023'!Maxi_hp)</f>
        <v>20.599757890321698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5.1941252807591987E-2</v>
      </c>
      <c r="M328" s="844"/>
      <c r="N328" s="844"/>
      <c r="O328" s="48">
        <f>IF(t&lt;Tnet,'2023'!Resal+('2023'!Salim-'2023'!Resal)*(1-EXP(('2023'!Tnet-t)/('2023'!Tau_j))),Resal+(Salim-Resal)*(1-EXP((Tnet-t)/(Tau_j))))*Salcycl</f>
        <v>9.3745081099490216E-2</v>
      </c>
      <c r="P328" s="169">
        <f>(INDEX(Models!$BJ328:$BT328,,T328)*(1-R328)+INDEX(Models!$BJ328:$BT328,,T328+1)*R328-ERP_i)*Q328*Ramure*Pc/MaxiM</f>
        <v>3.5937754071987105E-3</v>
      </c>
      <c r="Q328" s="305">
        <f t="shared" si="105"/>
        <v>0.7</v>
      </c>
      <c r="R328" s="177">
        <f t="shared" si="106"/>
        <v>0.1986786065999897</v>
      </c>
      <c r="S328" s="810">
        <f t="shared" si="107"/>
        <v>1</v>
      </c>
      <c r="T328" s="176">
        <f t="shared" si="108"/>
        <v>7</v>
      </c>
      <c r="U328" s="251">
        <f t="shared" si="109"/>
        <v>1.1986786065999897</v>
      </c>
      <c r="V328" s="383">
        <f t="shared" si="110"/>
        <v>21.745067483214925</v>
      </c>
      <c r="W328" s="402">
        <f t="shared" si="111"/>
        <v>17.646861557839991</v>
      </c>
      <c r="X328" s="157">
        <f t="shared" si="112"/>
        <v>45605</v>
      </c>
      <c r="Y328" s="385">
        <f t="shared" si="113"/>
        <v>16.641917955416893</v>
      </c>
      <c r="Z328" s="385">
        <f t="shared" si="114"/>
        <v>17.553677981138257</v>
      </c>
      <c r="AA328" s="386">
        <f t="shared" si="115"/>
        <v>20.539120942933454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0.14535397936893435</v>
      </c>
      <c r="AD328" s="231">
        <f>(INDEX(Models!$BJ328:$BT328,,AH328)*(1-AF328)+INDEX(Models!$BJ328:$BT328,,AH328+1)*AF328-ERP_i)*AE328*Ramure*Pc/MaxiM</f>
        <v>3.5937754071987105E-3</v>
      </c>
      <c r="AE328" s="305">
        <f t="shared" si="117"/>
        <v>0.7</v>
      </c>
      <c r="AF328" s="177">
        <f t="shared" si="118"/>
        <v>0.1986786065999897</v>
      </c>
      <c r="AG328" s="810">
        <f t="shared" si="124"/>
        <v>1</v>
      </c>
      <c r="AH328" s="176">
        <f t="shared" si="119"/>
        <v>7</v>
      </c>
      <c r="AI328" s="225">
        <f t="shared" si="120"/>
        <v>1.1986786065999897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20.793018911242228</v>
      </c>
      <c r="C329" s="840"/>
      <c r="D329" s="393">
        <f t="shared" si="102"/>
        <v>21.93271552845011</v>
      </c>
      <c r="E329" s="385">
        <f t="shared" si="125"/>
        <v>24.202419932832086</v>
      </c>
      <c r="F329" s="385">
        <f t="shared" si="103"/>
        <v>24.282572357585046</v>
      </c>
      <c r="G329" s="110">
        <f t="shared" si="126"/>
        <v>0.96756451281302558</v>
      </c>
      <c r="H329" s="414" t="b">
        <f>Wh_hp&gt;='2023'!Maxi_hp</f>
        <v>0</v>
      </c>
      <c r="I329" s="390">
        <f>IF(H329,Wh_hp,'2023'!Maxi_hp)</f>
        <v>24.283857705255858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5.1963315519663822E-2</v>
      </c>
      <c r="M329" s="844"/>
      <c r="N329" s="844"/>
      <c r="O329" s="48">
        <f>IF(t&lt;Tnet,'2023'!Resal+('2023'!Salim-'2023'!Resal)*(1-EXP(('2023'!Tnet-t)/('2023'!Tau_j))),Resal+(Salim-Resal)*(1-EXP((Tnet-t)/(Tau_j))))*Salcycl</f>
        <v>9.3780060451846864E-2</v>
      </c>
      <c r="P329" s="169">
        <f>(INDEX(Models!$BJ329:$BT329,,T329)*(1-R329)+INDEX(Models!$BJ329:$BT329,,T329+1)*R329-ERP_i)*Q329*Ramure*Pc/MaxiM</f>
        <v>3.4603974786172665E-3</v>
      </c>
      <c r="Q329" s="305">
        <f t="shared" si="105"/>
        <v>0.7</v>
      </c>
      <c r="R329" s="177">
        <f t="shared" si="106"/>
        <v>0.1987084900847873</v>
      </c>
      <c r="S329" s="810">
        <f t="shared" si="107"/>
        <v>1</v>
      </c>
      <c r="T329" s="176">
        <f t="shared" si="108"/>
        <v>7</v>
      </c>
      <c r="U329" s="251">
        <f t="shared" si="109"/>
        <v>1.1987084900847873</v>
      </c>
      <c r="V329" s="383">
        <f t="shared" si="110"/>
        <v>21.486618794437696</v>
      </c>
      <c r="W329" s="402">
        <f t="shared" si="111"/>
        <v>20.793018911242228</v>
      </c>
      <c r="X329" s="157">
        <f t="shared" si="112"/>
        <v>45606</v>
      </c>
      <c r="Y329" s="385">
        <f t="shared" si="113"/>
        <v>19.610952380060755</v>
      </c>
      <c r="Z329" s="385">
        <f t="shared" si="114"/>
        <v>20.685858154118211</v>
      </c>
      <c r="AA329" s="386">
        <f t="shared" si="115"/>
        <v>24.202419932832086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0.14529794080398717</v>
      </c>
      <c r="AD329" s="231">
        <f>(INDEX(Models!$BJ329:$BT329,,AH329)*(1-AF329)+INDEX(Models!$BJ329:$BT329,,AH329+1)*AF329-ERP_i)*AE329*Ramure*Pc/MaxiM</f>
        <v>3.4603974786172665E-3</v>
      </c>
      <c r="AE329" s="305">
        <f t="shared" si="117"/>
        <v>0.7</v>
      </c>
      <c r="AF329" s="177">
        <f t="shared" si="118"/>
        <v>0.1987084900847873</v>
      </c>
      <c r="AG329" s="810">
        <f t="shared" si="124"/>
        <v>1</v>
      </c>
      <c r="AH329" s="176">
        <f t="shared" si="119"/>
        <v>7</v>
      </c>
      <c r="AI329" s="225">
        <f t="shared" si="120"/>
        <v>1.1987084900847873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20.601765748901858</v>
      </c>
      <c r="C330" s="840"/>
      <c r="D330" s="393">
        <f t="shared" si="102"/>
        <v>21.731485216248267</v>
      </c>
      <c r="E330" s="385">
        <f t="shared" si="125"/>
        <v>23.981308808930745</v>
      </c>
      <c r="F330" s="385">
        <f t="shared" si="103"/>
        <v>24.058125954082062</v>
      </c>
      <c r="G330" s="110">
        <f t="shared" si="126"/>
        <v>0.9700857240132098</v>
      </c>
      <c r="H330" s="414" t="b">
        <f>Wh_hp&gt;='2023'!Maxi_hp</f>
        <v>0</v>
      </c>
      <c r="I330" s="390">
        <f>IF(H330,Wh_hp,'2023'!Maxi_hp)</f>
        <v>24.059269183157991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5.1985377718304138E-2</v>
      </c>
      <c r="M330" s="844"/>
      <c r="N330" s="844"/>
      <c r="O330" s="48">
        <f>IF(t&lt;Tnet,'2023'!Resal+('2023'!Salim-'2023'!Resal)*(1-EXP(('2023'!Tnet-t)/('2023'!Tau_j))),Resal+(Salim-Resal)*(1-EXP((Tnet-t)/(Tau_j))))*Salcycl</f>
        <v>9.3815713337740497E-2</v>
      </c>
      <c r="P330" s="169">
        <f>(INDEX(Models!$BJ330:$BT330,,T330)*(1-R330)+INDEX(Models!$BJ330:$BT330,,T330+1)*R330-ERP_i)*Q330*Ramure*Pc/MaxiM</f>
        <v>3.334836645895138E-3</v>
      </c>
      <c r="Q330" s="305">
        <f t="shared" si="105"/>
        <v>0.7</v>
      </c>
      <c r="R330" s="177">
        <f t="shared" si="106"/>
        <v>0.19873717457363793</v>
      </c>
      <c r="S330" s="810">
        <f t="shared" si="107"/>
        <v>1</v>
      </c>
      <c r="T330" s="176">
        <f t="shared" si="108"/>
        <v>7</v>
      </c>
      <c r="U330" s="251">
        <f t="shared" si="109"/>
        <v>1.1987371745736379</v>
      </c>
      <c r="V330" s="383">
        <f t="shared" si="110"/>
        <v>21.23403469006962</v>
      </c>
      <c r="W330" s="402">
        <f t="shared" si="111"/>
        <v>20.601765748901858</v>
      </c>
      <c r="X330" s="157">
        <f t="shared" si="112"/>
        <v>45607</v>
      </c>
      <c r="Y330" s="385">
        <f t="shared" si="113"/>
        <v>19.432580504416293</v>
      </c>
      <c r="Z330" s="385">
        <f t="shared" si="114"/>
        <v>20.498186470632348</v>
      </c>
      <c r="AA330" s="386">
        <f t="shared" si="115"/>
        <v>23.981308808930745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0.14524321278917296</v>
      </c>
      <c r="AD330" s="231">
        <f>(INDEX(Models!$BJ330:$BT330,,AH330)*(1-AF330)+INDEX(Models!$BJ330:$BT330,,AH330+1)*AF330-ERP_i)*AE330*Ramure*Pc/MaxiM</f>
        <v>3.334836645895138E-3</v>
      </c>
      <c r="AE330" s="305">
        <f t="shared" si="117"/>
        <v>0.7</v>
      </c>
      <c r="AF330" s="177">
        <f t="shared" si="118"/>
        <v>0.19873717457363793</v>
      </c>
      <c r="AG330" s="810">
        <f t="shared" si="124"/>
        <v>1</v>
      </c>
      <c r="AH330" s="176">
        <f t="shared" si="119"/>
        <v>7</v>
      </c>
      <c r="AI330" s="225">
        <f t="shared" si="120"/>
        <v>1.1987371745736379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19.673354903341501</v>
      </c>
      <c r="C331" s="840"/>
      <c r="D331" s="393">
        <f t="shared" si="102"/>
        <v>20.752646931071975</v>
      </c>
      <c r="E331" s="385">
        <f t="shared" si="125"/>
        <v>22.902053368056198</v>
      </c>
      <c r="F331" s="385">
        <f t="shared" si="103"/>
        <v>22.96935912554417</v>
      </c>
      <c r="G331" s="110">
        <f t="shared" si="126"/>
        <v>0.93720840741199851</v>
      </c>
      <c r="H331" s="414" t="b">
        <f>Wh_hp&gt;='2023'!Maxi_hp</f>
        <v>0</v>
      </c>
      <c r="I331" s="390">
        <f>IF(H331,Wh_hp,'2023'!Maxi_hp)</f>
        <v>24.534938344101679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5.2007439403524924E-2</v>
      </c>
      <c r="M331" s="844"/>
      <c r="N331" s="844"/>
      <c r="O331" s="48">
        <f>IF(t&lt;Tnet,'2023'!Resal+('2023'!Salim-'2023'!Resal)*(1-EXP(('2023'!Tnet-t)/('2023'!Tau_j))),Resal+(Salim-Resal)*(1-EXP((Tnet-t)/(Tau_j))))*Salcycl</f>
        <v>9.3852127686603629E-2</v>
      </c>
      <c r="P331" s="169">
        <f>(INDEX(Models!$BJ331:$BT331,,T331)*(1-R331)+INDEX(Models!$BJ331:$BT331,,T331+1)*R331-ERP_i)*Q331*Ramure*Pc/MaxiM</f>
        <v>3.2176274332122762E-3</v>
      </c>
      <c r="Q331" s="305">
        <f t="shared" si="105"/>
        <v>0.7</v>
      </c>
      <c r="R331" s="177">
        <f t="shared" si="106"/>
        <v>0.1987647080110384</v>
      </c>
      <c r="S331" s="810">
        <f t="shared" si="107"/>
        <v>1</v>
      </c>
      <c r="T331" s="176">
        <f t="shared" si="108"/>
        <v>7</v>
      </c>
      <c r="U331" s="251">
        <f t="shared" si="109"/>
        <v>1.1987647080110384</v>
      </c>
      <c r="V331" s="383">
        <f t="shared" si="110"/>
        <v>20.985390523966689</v>
      </c>
      <c r="W331" s="402">
        <f t="shared" si="111"/>
        <v>19.673354903341501</v>
      </c>
      <c r="X331" s="157">
        <f t="shared" si="112"/>
        <v>45608</v>
      </c>
      <c r="Y331" s="385">
        <f t="shared" si="113"/>
        <v>18.558761146479924</v>
      </c>
      <c r="Z331" s="385">
        <f t="shared" si="114"/>
        <v>19.576905893441598</v>
      </c>
      <c r="AA331" s="386">
        <f t="shared" si="115"/>
        <v>22.902053368056198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0.1451899277840526</v>
      </c>
      <c r="AD331" s="231">
        <f>(INDEX(Models!$BJ331:$BT331,,AH331)*(1-AF331)+INDEX(Models!$BJ331:$BT331,,AH331+1)*AF331-ERP_i)*AE331*Ramure*Pc/MaxiM</f>
        <v>3.2176274332122762E-3</v>
      </c>
      <c r="AE331" s="305">
        <f t="shared" si="117"/>
        <v>0.7</v>
      </c>
      <c r="AF331" s="177">
        <f t="shared" si="118"/>
        <v>0.1987647080110384</v>
      </c>
      <c r="AG331" s="810">
        <f t="shared" si="124"/>
        <v>1</v>
      </c>
      <c r="AH331" s="176">
        <f t="shared" si="119"/>
        <v>7</v>
      </c>
      <c r="AI331" s="225">
        <f t="shared" si="120"/>
        <v>1.1987647080110384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7.9032166241453838</v>
      </c>
      <c r="C332" s="840"/>
      <c r="D332" s="393">
        <f t="shared" si="102"/>
        <v>8.336985833358705</v>
      </c>
      <c r="E332" s="385">
        <f t="shared" si="125"/>
        <v>9.2008478046203805</v>
      </c>
      <c r="F332" s="385">
        <f t="shared" si="103"/>
        <v>9.2041663520545196</v>
      </c>
      <c r="G332" s="110">
        <f t="shared" si="126"/>
        <v>0.38003527769841516</v>
      </c>
      <c r="H332" s="414" t="b">
        <f>Wh_hp&gt;='2023'!Maxi_hp</f>
        <v>0</v>
      </c>
      <c r="I332" s="390">
        <f>IF(H332,Wh_hp,'2023'!Maxi_hp)</f>
        <v>18.564263652887913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5.202950057533795E-2</v>
      </c>
      <c r="M332" s="844"/>
      <c r="N332" s="844"/>
      <c r="O332" s="48">
        <f>IF(t&lt;Tnet,'2023'!Resal+('2023'!Salim-'2023'!Resal)*(1-EXP(('2023'!Tnet-t)/('2023'!Tau_j))),Resal+(Salim-Resal)*(1-EXP((Tnet-t)/(Tau_j))))*Salcycl</f>
        <v>9.3889388196147644E-2</v>
      </c>
      <c r="P332" s="169">
        <f>(INDEX(Models!$BJ332:$BT332,,T332)*(1-R332)+INDEX(Models!$BJ332:$BT332,,T332+1)*R332-ERP_i)*Q332*Ramure*Pc/MaxiM</f>
        <v>3.1126062367926081E-3</v>
      </c>
      <c r="Q332" s="305">
        <f t="shared" si="105"/>
        <v>0.7</v>
      </c>
      <c r="R332" s="177">
        <f t="shared" si="106"/>
        <v>0.19879113643708779</v>
      </c>
      <c r="S332" s="810">
        <f t="shared" si="107"/>
        <v>1</v>
      </c>
      <c r="T332" s="176">
        <f t="shared" si="108"/>
        <v>7</v>
      </c>
      <c r="U332" s="251">
        <f t="shared" si="109"/>
        <v>1.1987911364370878</v>
      </c>
      <c r="V332" s="383">
        <f t="shared" si="110"/>
        <v>20.738755406657493</v>
      </c>
      <c r="W332" s="402">
        <f t="shared" si="111"/>
        <v>7.9032166241453838</v>
      </c>
      <c r="X332" s="157">
        <f t="shared" si="112"/>
        <v>45609</v>
      </c>
      <c r="Y332" s="385">
        <f t="shared" si="113"/>
        <v>7.4562175957542589</v>
      </c>
      <c r="Z332" s="385">
        <f t="shared" si="114"/>
        <v>7.8654531974144266</v>
      </c>
      <c r="AA332" s="386">
        <f t="shared" si="115"/>
        <v>9.2008478046203805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0.14513821286505357</v>
      </c>
      <c r="AD332" s="231">
        <f>(INDEX(Models!$BJ332:$BT332,,AH332)*(1-AF332)+INDEX(Models!$BJ332:$BT332,,AH332+1)*AF332-ERP_i)*AE332*Ramure*Pc/MaxiM</f>
        <v>3.1126062367926081E-3</v>
      </c>
      <c r="AE332" s="305">
        <f t="shared" si="117"/>
        <v>0.7</v>
      </c>
      <c r="AF332" s="177">
        <f t="shared" si="118"/>
        <v>0.19879113643708779</v>
      </c>
      <c r="AG332" s="810">
        <f t="shared" si="124"/>
        <v>1</v>
      </c>
      <c r="AH332" s="176">
        <f t="shared" si="119"/>
        <v>7</v>
      </c>
      <c r="AI332" s="225">
        <f t="shared" si="120"/>
        <v>1.1987911364370878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10.652982063427965</v>
      </c>
      <c r="C333" s="840"/>
      <c r="D333" s="393">
        <f t="shared" si="102"/>
        <v>11.237934077187601</v>
      </c>
      <c r="E333" s="385">
        <f t="shared" si="125"/>
        <v>12.402909280602668</v>
      </c>
      <c r="F333" s="385">
        <f t="shared" si="103"/>
        <v>12.414664989997775</v>
      </c>
      <c r="G333" s="110">
        <f t="shared" si="126"/>
        <v>0.51871359058109667</v>
      </c>
      <c r="H333" s="414" t="b">
        <f>Wh_hp&gt;='2023'!Maxi_hp</f>
        <v>0</v>
      </c>
      <c r="I333" s="390">
        <f>IF(H333,Wh_hp,'2023'!Maxi_hp)</f>
        <v>23.679818202153843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5.2051561233755317E-2</v>
      </c>
      <c r="M333" s="844"/>
      <c r="N333" s="844"/>
      <c r="O333" s="48">
        <f>IF(t&lt;Tnet,'2023'!Resal+('2023'!Salim-'2023'!Resal)*(1-EXP(('2023'!Tnet-t)/('2023'!Tau_j))),Resal+(Salim-Resal)*(1-EXP((Tnet-t)/(Tau_j))))*Salcycl</f>
        <v>9.3927575946799138E-2</v>
      </c>
      <c r="P333" s="169">
        <f>(INDEX(Models!$BJ333:$BT333,,T333)*(1-R333)+INDEX(Models!$BJ333:$BT333,,T333+1)*R333-ERP_i)*Q333*Ramure*Pc/MaxiM</f>
        <v>3.0158098339217129E-3</v>
      </c>
      <c r="Q333" s="305">
        <f t="shared" si="105"/>
        <v>0.7</v>
      </c>
      <c r="R333" s="177">
        <f t="shared" si="106"/>
        <v>0.19881650406212392</v>
      </c>
      <c r="S333" s="810">
        <f t="shared" si="107"/>
        <v>1</v>
      </c>
      <c r="T333" s="176">
        <f t="shared" si="108"/>
        <v>7</v>
      </c>
      <c r="U333" s="251">
        <f t="shared" si="109"/>
        <v>1.1988165040621239</v>
      </c>
      <c r="V333" s="383">
        <f t="shared" si="110"/>
        <v>20.494780806069549</v>
      </c>
      <c r="W333" s="402">
        <f t="shared" si="111"/>
        <v>10.652982063427965</v>
      </c>
      <c r="X333" s="157">
        <f t="shared" si="112"/>
        <v>45610</v>
      </c>
      <c r="Y333" s="385">
        <f t="shared" si="113"/>
        <v>10.051470439900106</v>
      </c>
      <c r="Z333" s="385">
        <f t="shared" si="114"/>
        <v>10.603393632866888</v>
      </c>
      <c r="AA333" s="386">
        <f t="shared" si="115"/>
        <v>12.402909280602668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0.14508818915172608</v>
      </c>
      <c r="AD333" s="231">
        <f>(INDEX(Models!$BJ333:$BT333,,AH333)*(1-AF333)+INDEX(Models!$BJ333:$BT333,,AH333+1)*AF333-ERP_i)*AE333*Ramure*Pc/MaxiM</f>
        <v>3.0158098339217129E-3</v>
      </c>
      <c r="AE333" s="305">
        <f t="shared" si="117"/>
        <v>0.7</v>
      </c>
      <c r="AF333" s="177">
        <f t="shared" si="118"/>
        <v>0.19881650406212392</v>
      </c>
      <c r="AG333" s="810">
        <f t="shared" si="124"/>
        <v>1</v>
      </c>
      <c r="AH333" s="176">
        <f t="shared" si="119"/>
        <v>7</v>
      </c>
      <c r="AI333" s="225">
        <f t="shared" si="120"/>
        <v>1.1988165040621239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20.213324389268706</v>
      </c>
      <c r="C334" s="840"/>
      <c r="D334" s="393">
        <f t="shared" si="102"/>
        <v>21.323728134530477</v>
      </c>
      <c r="E334" s="385">
        <f t="shared" si="125"/>
        <v>23.535260498491009</v>
      </c>
      <c r="F334" s="385">
        <f t="shared" si="103"/>
        <v>23.604159750589169</v>
      </c>
      <c r="G334" s="110">
        <f t="shared" si="126"/>
        <v>0.99798175610971418</v>
      </c>
      <c r="H334" s="414" t="b">
        <f>Wh_hp&gt;='2023'!Maxi_hp</f>
        <v>0</v>
      </c>
      <c r="I334" s="390">
        <f>IF(H334,Wh_hp,'2023'!Maxi_hp)</f>
        <v>23.604229885509767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5.2073621378788904E-2</v>
      </c>
      <c r="M334" s="844"/>
      <c r="N334" s="844"/>
      <c r="O334" s="48">
        <f>IF(t&lt;Tnet,'2023'!Resal+('2023'!Salim-'2023'!Resal)*(1-EXP(('2023'!Tnet-t)/('2023'!Tau_j))),Resal+(Salim-Resal)*(1-EXP((Tnet-t)/(Tau_j))))*Salcycl</f>
        <v>9.3966768037359497E-2</v>
      </c>
      <c r="P334" s="169">
        <f>(INDEX(Models!$BJ334:$BT334,,T334)*(1-R334)+INDEX(Models!$BJ334:$BT334,,T334+1)*R334-ERP_i)*Q334*Ramure*Pc/MaxiM</f>
        <v>2.9273503112010888E-3</v>
      </c>
      <c r="Q334" s="305">
        <f t="shared" si="105"/>
        <v>0.7</v>
      </c>
      <c r="R334" s="177">
        <f t="shared" si="106"/>
        <v>0.19884085333851553</v>
      </c>
      <c r="S334" s="810">
        <f t="shared" si="107"/>
        <v>1</v>
      </c>
      <c r="T334" s="176">
        <f t="shared" si="108"/>
        <v>7</v>
      </c>
      <c r="U334" s="251">
        <f t="shared" si="109"/>
        <v>1.1988408533385155</v>
      </c>
      <c r="V334" s="383">
        <f t="shared" si="110"/>
        <v>20.254031574971798</v>
      </c>
      <c r="W334" s="402">
        <f t="shared" si="111"/>
        <v>20.213324389268706</v>
      </c>
      <c r="X334" s="157">
        <f t="shared" si="112"/>
        <v>45611</v>
      </c>
      <c r="Y334" s="385">
        <f t="shared" si="113"/>
        <v>19.073896840603272</v>
      </c>
      <c r="Z334" s="385">
        <f t="shared" si="114"/>
        <v>20.121706991999588</v>
      </c>
      <c r="AA334" s="386">
        <f t="shared" si="115"/>
        <v>23.535260498491009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0.14503997126822907</v>
      </c>
      <c r="AD334" s="231">
        <f>(INDEX(Models!$BJ334:$BT334,,AH334)*(1-AF334)+INDEX(Models!$BJ334:$BT334,,AH334+1)*AF334-ERP_i)*AE334*Ramure*Pc/MaxiM</f>
        <v>2.9273503112010888E-3</v>
      </c>
      <c r="AE334" s="305">
        <f t="shared" si="117"/>
        <v>0.7</v>
      </c>
      <c r="AF334" s="177">
        <f t="shared" si="118"/>
        <v>0.19884085333851553</v>
      </c>
      <c r="AG334" s="810">
        <f t="shared" si="124"/>
        <v>1</v>
      </c>
      <c r="AH334" s="176">
        <f t="shared" si="119"/>
        <v>7</v>
      </c>
      <c r="AI334" s="225">
        <f t="shared" si="120"/>
        <v>1.1988408533385155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11.79922154932369</v>
      </c>
      <c r="C335" s="840"/>
      <c r="D335" s="393">
        <f t="shared" ref="D335:D380" si="127">Wh/(1-Ppv)</f>
        <v>12.447692570808698</v>
      </c>
      <c r="E335" s="385">
        <f t="shared" si="125"/>
        <v>13.739281741162674</v>
      </c>
      <c r="F335" s="385">
        <f t="shared" ref="F335:F380" si="128">Wh_sa/(1-Pvg*MEDIAN((-Sdif+Wh/Env_an)/Csdif,0,1))</f>
        <v>13.755477588022856</v>
      </c>
      <c r="G335" s="110">
        <f t="shared" si="126"/>
        <v>0.58847238185332507</v>
      </c>
      <c r="H335" s="414" t="b">
        <f>Wh_hp&gt;='2023'!Maxi_hp</f>
        <v>0</v>
      </c>
      <c r="I335" s="390">
        <f>IF(H335,Wh_hp,'2023'!Maxi_hp)</f>
        <v>21.890995839338444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5.2095681010450812E-2</v>
      </c>
      <c r="M335" s="844"/>
      <c r="N335" s="844"/>
      <c r="O335" s="48">
        <f>IF(t&lt;Tnet,'2023'!Resal+('2023'!Salim-'2023'!Resal)*(1-EXP(('2023'!Tnet-t)/('2023'!Tau_j))),Resal+(Salim-Resal)*(1-EXP((Tnet-t)/(Tau_j))))*Salcycl</f>
        <v>9.4007037244486738E-2</v>
      </c>
      <c r="P335" s="169">
        <f>(INDEX(Models!$BJ335:$BT335,,T335)*(1-R335)+INDEX(Models!$BJ335:$BT335,,T335+1)*R335-ERP_i)*Q335*Ramure*Pc/MaxiM</f>
        <v>2.8473484674449447E-3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0.19886422502971102</v>
      </c>
      <c r="S335" s="810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1.198864225029711</v>
      </c>
      <c r="V335" s="383">
        <f t="shared" ref="V335:V380" si="135">MaxiM*(1-Ppv)*(1-Pvg)*(1-Psa)</f>
        <v>20.017072542705513</v>
      </c>
      <c r="W335" s="402">
        <f t="shared" ref="W335:W380" si="136">Wh*(A335&gt;Tmaj)</f>
        <v>11.79922154932369</v>
      </c>
      <c r="X335" s="157">
        <f t="shared" ref="X335:X380" si="137">t</f>
        <v>45612</v>
      </c>
      <c r="Y335" s="385">
        <f t="shared" ref="Y335:Y380" si="138">Wh_pvt_s*(1-Ppv)</f>
        <v>11.135195929448512</v>
      </c>
      <c r="Z335" s="385">
        <f t="shared" ref="Z335:Z380" si="139">Wh_sa_s*(1-Psa_s)</f>
        <v>11.747172901710641</v>
      </c>
      <c r="AA335" s="386">
        <f t="shared" ref="AA335:AA380" si="140">Wh_hp*(1-Pvg_s*MEDIAN((-Sdif+Wh/Env_an)/Csdif,0,1))</f>
        <v>13.739281741162674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0.14499366684385737</v>
      </c>
      <c r="AD335" s="231">
        <f>(INDEX(Models!$BJ335:$BT335,,AH335)*(1-AF335)+INDEX(Models!$BJ335:$BT335,,AH335+1)*AF335-ERP_i)*AE335*Ramure*Pc/MaxiM</f>
        <v>2.8473484674449447E-3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0.19886422502971102</v>
      </c>
      <c r="AG335" s="810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1.198864225029711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12.473088285921749</v>
      </c>
      <c r="C336" s="840"/>
      <c r="D336" s="393">
        <f t="shared" si="127"/>
        <v>13.158900439402668</v>
      </c>
      <c r="E336" s="385">
        <f t="shared" si="125"/>
        <v>14.524949445936052</v>
      </c>
      <c r="F336" s="385">
        <f t="shared" si="128"/>
        <v>14.544008385402881</v>
      </c>
      <c r="G336" s="110">
        <f t="shared" si="126"/>
        <v>0.62952335522634717</v>
      </c>
      <c r="H336" s="414" t="b">
        <f>Wh_hp&gt;='2023'!Maxi_hp</f>
        <v>0</v>
      </c>
      <c r="I336" s="390">
        <f>IF(H336,Wh_hp,'2023'!Maxi_hp)</f>
        <v>21.900036147132251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5.211774012875281E-2</v>
      </c>
      <c r="M336" s="844"/>
      <c r="N336" s="844"/>
      <c r="O336" s="48">
        <f>IF(t&lt;Tnet,'2023'!Resal+('2023'!Salim-'2023'!Resal)*(1-EXP(('2023'!Tnet-t)/('2023'!Tau_j))),Resal+(Salim-Resal)*(1-EXP((Tnet-t)/(Tau_j))))*Salcycl</f>
        <v>9.404845170842166E-2</v>
      </c>
      <c r="P336" s="169">
        <f>(INDEX(Models!$BJ336:$BT336,,T336)*(1-R336)+INDEX(Models!$BJ336:$BT336,,T336+1)*R336-ERP_i)*Q336*Ramure*Pc/MaxiM</f>
        <v>2.7759323814473859E-3</v>
      </c>
      <c r="Q336" s="305">
        <f t="shared" si="130"/>
        <v>0.7</v>
      </c>
      <c r="R336" s="177">
        <f t="shared" si="131"/>
        <v>0.19888665827664154</v>
      </c>
      <c r="S336" s="810">
        <f t="shared" si="132"/>
        <v>1</v>
      </c>
      <c r="T336" s="176">
        <f t="shared" si="133"/>
        <v>7</v>
      </c>
      <c r="U336" s="251">
        <f t="shared" si="134"/>
        <v>1.1988866582766415</v>
      </c>
      <c r="V336" s="383">
        <f t="shared" si="135"/>
        <v>19.784468497220807</v>
      </c>
      <c r="W336" s="402">
        <f t="shared" si="136"/>
        <v>12.473088285921749</v>
      </c>
      <c r="X336" s="157">
        <f t="shared" si="137"/>
        <v>45613</v>
      </c>
      <c r="Y336" s="385">
        <f t="shared" si="138"/>
        <v>11.772287316575007</v>
      </c>
      <c r="Z336" s="385">
        <f t="shared" si="139"/>
        <v>12.419567086500871</v>
      </c>
      <c r="AA336" s="386">
        <f t="shared" si="140"/>
        <v>14.524949445936052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0.14494937605612443</v>
      </c>
      <c r="AD336" s="231">
        <f>(INDEX(Models!$BJ336:$BT336,,AH336)*(1-AF336)+INDEX(Models!$BJ336:$BT336,,AH336+1)*AF336-ERP_i)*AE336*Ramure*Pc/MaxiM</f>
        <v>2.7759323814473859E-3</v>
      </c>
      <c r="AE336" s="305">
        <f t="shared" si="142"/>
        <v>0.7</v>
      </c>
      <c r="AF336" s="177">
        <f t="shared" si="143"/>
        <v>0.19888665827664154</v>
      </c>
      <c r="AG336" s="810">
        <f t="shared" ref="AG336:AG379" si="149">INDEX(Echel_vg,AH336)</f>
        <v>1</v>
      </c>
      <c r="AH336" s="176">
        <f t="shared" si="144"/>
        <v>7</v>
      </c>
      <c r="AI336" s="225">
        <f t="shared" si="145"/>
        <v>1.1988866582766415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6.9202671923138368</v>
      </c>
      <c r="C337" s="840"/>
      <c r="D337" s="393">
        <f t="shared" si="127"/>
        <v>7.300936554851349</v>
      </c>
      <c r="E337" s="385">
        <f t="shared" si="125"/>
        <v>8.0592390145707604</v>
      </c>
      <c r="F337" s="385">
        <f t="shared" si="128"/>
        <v>8.0609216916257544</v>
      </c>
      <c r="G337" s="110">
        <f t="shared" si="126"/>
        <v>0.35296865643624614</v>
      </c>
      <c r="H337" s="414" t="b">
        <f>Wh_hp&gt;='2023'!Maxi_hp</f>
        <v>0</v>
      </c>
      <c r="I337" s="390">
        <f>IF(H337,Wh_hp,'2023'!Maxi_hp)</f>
        <v>22.404148660513918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5.2139798733706777E-2</v>
      </c>
      <c r="M337" s="844"/>
      <c r="N337" s="844"/>
      <c r="O337" s="48">
        <f>IF(t&lt;Tnet,'2023'!Resal+('2023'!Salim-'2023'!Resal)*(1-EXP(('2023'!Tnet-t)/('2023'!Tau_j))),Resal+(Salim-Resal)*(1-EXP((Tnet-t)/(Tau_j))))*Salcycl</f>
        <v>9.4091074647176087E-2</v>
      </c>
      <c r="P337" s="169">
        <f>(INDEX(Models!$BJ337:$BT337,,T337)*(1-R337)+INDEX(Models!$BJ337:$BT337,,T337+1)*R337-ERP_i)*Q337*Ramure*Pc/MaxiM</f>
        <v>2.7132357466123796E-3</v>
      </c>
      <c r="Q337" s="305">
        <f t="shared" si="130"/>
        <v>0.7</v>
      </c>
      <c r="R337" s="177">
        <f t="shared" si="131"/>
        <v>0.19890819066157794</v>
      </c>
      <c r="S337" s="810">
        <f t="shared" si="132"/>
        <v>1</v>
      </c>
      <c r="T337" s="176">
        <f t="shared" si="133"/>
        <v>7</v>
      </c>
      <c r="U337" s="251">
        <f t="shared" si="134"/>
        <v>1.1989081906615779</v>
      </c>
      <c r="V337" s="383">
        <f t="shared" si="135"/>
        <v>19.556784157988321</v>
      </c>
      <c r="W337" s="402">
        <f t="shared" si="136"/>
        <v>6.9202671923138368</v>
      </c>
      <c r="X337" s="157">
        <f t="shared" si="137"/>
        <v>45614</v>
      </c>
      <c r="Y337" s="385">
        <f t="shared" si="138"/>
        <v>6.5320812560511339</v>
      </c>
      <c r="Z337" s="385">
        <f t="shared" si="139"/>
        <v>6.8913973256020284</v>
      </c>
      <c r="AA337" s="386">
        <f t="shared" si="140"/>
        <v>8.0592390145707604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0.1449071912195834</v>
      </c>
      <c r="AD337" s="231">
        <f>(INDEX(Models!$BJ337:$BT337,,AH337)*(1-AF337)+INDEX(Models!$BJ337:$BT337,,AH337+1)*AF337-ERP_i)*AE337*Ramure*Pc/MaxiM</f>
        <v>2.7132357466123796E-3</v>
      </c>
      <c r="AE337" s="305">
        <f t="shared" si="142"/>
        <v>0.7</v>
      </c>
      <c r="AF337" s="177">
        <f t="shared" si="143"/>
        <v>0.19890819066157794</v>
      </c>
      <c r="AG337" s="810">
        <f t="shared" si="149"/>
        <v>1</v>
      </c>
      <c r="AH337" s="176">
        <f t="shared" si="144"/>
        <v>7</v>
      </c>
      <c r="AI337" s="225">
        <f t="shared" si="145"/>
        <v>1.1989081906615779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12.806996699181536</v>
      </c>
      <c r="C338" s="840"/>
      <c r="D338" s="393">
        <f t="shared" si="127"/>
        <v>13.511797126338438</v>
      </c>
      <c r="E338" s="385">
        <f t="shared" si="125"/>
        <v>14.915905340061792</v>
      </c>
      <c r="F338" s="385">
        <f t="shared" si="128"/>
        <v>14.936476999030628</v>
      </c>
      <c r="G338" s="110">
        <f t="shared" si="126"/>
        <v>0.66153757692633886</v>
      </c>
      <c r="H338" s="414" t="b">
        <f>Wh_hp&gt;='2023'!Maxi_hp</f>
        <v>0</v>
      </c>
      <c r="I338" s="390">
        <f>IF(H338,Wh_hp,'2023'!Maxi_hp)</f>
        <v>23.081621560560357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5.2161856825324926E-2</v>
      </c>
      <c r="M338" s="844"/>
      <c r="N338" s="844"/>
      <c r="O338" s="48">
        <f>IF(t&lt;Tnet,'2023'!Resal+('2023'!Salim-'2023'!Resal)*(1-EXP(('2023'!Tnet-t)/('2023'!Tau_j))),Resal+(Salim-Resal)*(1-EXP((Tnet-t)/(Tau_j))))*Salcycl</f>
        <v>9.4134964101182661E-2</v>
      </c>
      <c r="P338" s="169">
        <f>(INDEX(Models!$BJ338:$BT338,,T338)*(1-R338)+INDEX(Models!$BJ338:$BT338,,T338+1)*R338-ERP_i)*Q338*Ramure*Pc/MaxiM</f>
        <v>2.6603855201386014E-3</v>
      </c>
      <c r="Q338" s="305">
        <f t="shared" si="130"/>
        <v>0.7</v>
      </c>
      <c r="R338" s="177">
        <f t="shared" si="131"/>
        <v>0.19892885826952922</v>
      </c>
      <c r="S338" s="810">
        <f t="shared" si="132"/>
        <v>1</v>
      </c>
      <c r="T338" s="176">
        <f t="shared" si="133"/>
        <v>7</v>
      </c>
      <c r="U338" s="251">
        <f t="shared" si="134"/>
        <v>1.1989288582695292</v>
      </c>
      <c r="V338" s="383">
        <f t="shared" si="135"/>
        <v>19.334564972278123</v>
      </c>
      <c r="W338" s="402">
        <f t="shared" si="136"/>
        <v>12.806996699181536</v>
      </c>
      <c r="X338" s="157">
        <f t="shared" si="137"/>
        <v>45615</v>
      </c>
      <c r="Y338" s="385">
        <f t="shared" si="138"/>
        <v>12.089751297115992</v>
      </c>
      <c r="Z338" s="385">
        <f t="shared" si="139"/>
        <v>12.755079951332997</v>
      </c>
      <c r="AA338" s="386">
        <f t="shared" si="140"/>
        <v>14.915905340061792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0.14486719642321388</v>
      </c>
      <c r="AD338" s="231">
        <f>(INDEX(Models!$BJ338:$BT338,,AH338)*(1-AF338)+INDEX(Models!$BJ338:$BT338,,AH338+1)*AF338-ERP_i)*AE338*Ramure*Pc/MaxiM</f>
        <v>2.6603855201386014E-3</v>
      </c>
      <c r="AE338" s="305">
        <f t="shared" si="142"/>
        <v>0.7</v>
      </c>
      <c r="AF338" s="177">
        <f t="shared" si="143"/>
        <v>0.19892885826952922</v>
      </c>
      <c r="AG338" s="810">
        <f t="shared" si="149"/>
        <v>1</v>
      </c>
      <c r="AH338" s="176">
        <f t="shared" si="144"/>
        <v>7</v>
      </c>
      <c r="AI338" s="225">
        <f t="shared" si="145"/>
        <v>1.1989288582695292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2.9986956242802671</v>
      </c>
      <c r="C339" s="840"/>
      <c r="D339" s="393">
        <f t="shared" si="127"/>
        <v>3.1637948224875716</v>
      </c>
      <c r="E339" s="385">
        <f t="shared" si="125"/>
        <v>3.492741853480378</v>
      </c>
      <c r="F339" s="385">
        <f t="shared" si="128"/>
        <v>3.492741853480378</v>
      </c>
      <c r="G339" s="110">
        <f t="shared" si="126"/>
        <v>0.15643831147751275</v>
      </c>
      <c r="H339" s="414" t="b">
        <f>Wh_hp&gt;='2023'!Maxi_hp</f>
        <v>0</v>
      </c>
      <c r="I339" s="390">
        <f>IF(H339,Wh_hp,'2023'!Maxi_hp)</f>
        <v>22.83442232679824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5.2183914403619025E-2</v>
      </c>
      <c r="M339" s="844"/>
      <c r="N339" s="844"/>
      <c r="O339" s="48">
        <f>IF(t&lt;Tnet,'2023'!Resal+('2023'!Salim-'2023'!Resal)*(1-EXP(('2023'!Tnet-t)/('2023'!Tau_j))),Resal+(Salim-Resal)*(1-EXP((Tnet-t)/(Tau_j))))*Salcycl</f>
        <v>9.4180172710165808E-2</v>
      </c>
      <c r="P339" s="169">
        <f>(INDEX(Models!$BJ339:$BT339,,T339)*(1-R339)+INDEX(Models!$BJ339:$BT339,,T339+1)*R339-ERP_i)*Q339*Ramure*Pc/MaxiM</f>
        <v>2.6108595742133341E-3</v>
      </c>
      <c r="Q339" s="305">
        <f t="shared" si="130"/>
        <v>0.7</v>
      </c>
      <c r="R339" s="177">
        <f t="shared" si="131"/>
        <v>0.19894869574727725</v>
      </c>
      <c r="S339" s="810">
        <f t="shared" si="132"/>
        <v>1</v>
      </c>
      <c r="T339" s="176">
        <f t="shared" si="133"/>
        <v>7</v>
      </c>
      <c r="U339" s="251">
        <f t="shared" si="134"/>
        <v>1.1989486957472772</v>
      </c>
      <c r="V339" s="383">
        <f t="shared" si="135"/>
        <v>19.118503791377126</v>
      </c>
      <c r="W339" s="402">
        <f t="shared" si="136"/>
        <v>2.9986956242802671</v>
      </c>
      <c r="X339" s="157">
        <f t="shared" si="137"/>
        <v>45616</v>
      </c>
      <c r="Y339" s="385">
        <f t="shared" si="138"/>
        <v>2.8310223042223419</v>
      </c>
      <c r="Z339" s="385">
        <f t="shared" si="139"/>
        <v>2.9868899117079422</v>
      </c>
      <c r="AA339" s="386">
        <f t="shared" si="140"/>
        <v>3.492741853480378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0.14482946721881976</v>
      </c>
      <c r="AD339" s="231">
        <f>(INDEX(Models!$BJ339:$BT339,,AH339)*(1-AF339)+INDEX(Models!$BJ339:$BT339,,AH339+1)*AF339-ERP_i)*AE339*Ramure*Pc/MaxiM</f>
        <v>2.6108595742133341E-3</v>
      </c>
      <c r="AE339" s="305">
        <f t="shared" si="142"/>
        <v>0.7</v>
      </c>
      <c r="AF339" s="177">
        <f t="shared" si="143"/>
        <v>0.19894869574727725</v>
      </c>
      <c r="AG339" s="810">
        <f t="shared" si="149"/>
        <v>1</v>
      </c>
      <c r="AH339" s="176">
        <f t="shared" si="144"/>
        <v>7</v>
      </c>
      <c r="AI339" s="225">
        <f t="shared" si="145"/>
        <v>1.1989486957472772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7.1039656854898796</v>
      </c>
      <c r="C340" s="840"/>
      <c r="D340" s="393">
        <f t="shared" si="127"/>
        <v>7.4952631812815174</v>
      </c>
      <c r="E340" s="385">
        <f t="shared" si="125"/>
        <v>8.274988426507969</v>
      </c>
      <c r="F340" s="385">
        <f t="shared" si="128"/>
        <v>8.2772838090671943</v>
      </c>
      <c r="G340" s="110">
        <f t="shared" si="126"/>
        <v>0.37482947117864462</v>
      </c>
      <c r="H340" s="414" t="b">
        <f>Wh_hp&gt;='2023'!Maxi_hp</f>
        <v>0</v>
      </c>
      <c r="I340" s="390">
        <f>IF(H340,Wh_hp,'2023'!Maxi_hp)</f>
        <v>22.832707218785405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5.2205971468600954E-2</v>
      </c>
      <c r="M340" s="844"/>
      <c r="N340" s="844"/>
      <c r="O340" s="48">
        <f>IF(t&lt;Tnet,'2023'!Resal+('2023'!Salim-'2023'!Resal)*(1-EXP(('2023'!Tnet-t)/('2023'!Tau_j))),Resal+(Salim-Resal)*(1-EXP((Tnet-t)/(Tau_j))))*Salcycl</f>
        <v>9.4226747523741772E-2</v>
      </c>
      <c r="P340" s="169">
        <f>(INDEX(Models!$BJ340:$BT340,,T340)*(1-R340)+INDEX(Models!$BJ340:$BT340,,T340+1)*R340-ERP_i)*Q340*Ramure*Pc/MaxiM</f>
        <v>2.5646743872443081E-3</v>
      </c>
      <c r="Q340" s="305">
        <f t="shared" si="130"/>
        <v>0.7</v>
      </c>
      <c r="R340" s="177">
        <f t="shared" si="131"/>
        <v>0.19896773636013232</v>
      </c>
      <c r="S340" s="810">
        <f t="shared" si="132"/>
        <v>1</v>
      </c>
      <c r="T340" s="176">
        <f t="shared" si="133"/>
        <v>7</v>
      </c>
      <c r="U340" s="251">
        <f t="shared" si="134"/>
        <v>1.1989677363601323</v>
      </c>
      <c r="V340" s="383">
        <f t="shared" si="135"/>
        <v>18.909163693620162</v>
      </c>
      <c r="W340" s="402">
        <f t="shared" si="136"/>
        <v>7.1039656854898796</v>
      </c>
      <c r="X340" s="157">
        <f t="shared" si="137"/>
        <v>45617</v>
      </c>
      <c r="Y340" s="385">
        <f t="shared" si="138"/>
        <v>6.7073669503523439</v>
      </c>
      <c r="Z340" s="385">
        <f t="shared" si="139"/>
        <v>7.0768191700314542</v>
      </c>
      <c r="AA340" s="386">
        <f t="shared" si="140"/>
        <v>8.274988426507969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0.14479407036248151</v>
      </c>
      <c r="AD340" s="231">
        <f>(INDEX(Models!$BJ340:$BT340,,AH340)*(1-AF340)+INDEX(Models!$BJ340:$BT340,,AH340+1)*AF340-ERP_i)*AE340*Ramure*Pc/MaxiM</f>
        <v>2.5646743872443081E-3</v>
      </c>
      <c r="AE340" s="305">
        <f t="shared" si="142"/>
        <v>0.7</v>
      </c>
      <c r="AF340" s="177">
        <f t="shared" si="143"/>
        <v>0.19896773636013232</v>
      </c>
      <c r="AG340" s="810">
        <f t="shared" si="149"/>
        <v>1</v>
      </c>
      <c r="AH340" s="176">
        <f t="shared" si="144"/>
        <v>7</v>
      </c>
      <c r="AI340" s="225">
        <f t="shared" si="145"/>
        <v>1.1989677363601323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11.360368500468342</v>
      </c>
      <c r="C341" s="840"/>
      <c r="D341" s="393">
        <f t="shared" si="127"/>
        <v>11.986394234405005</v>
      </c>
      <c r="E341" s="385">
        <f t="shared" si="125"/>
        <v>13.234028716434107</v>
      </c>
      <c r="F341" s="385">
        <f t="shared" si="128"/>
        <v>13.248694963065622</v>
      </c>
      <c r="G341" s="110">
        <f t="shared" si="126"/>
        <v>0.60641536121247974</v>
      </c>
      <c r="H341" s="414" t="b">
        <f>Wh_hp&gt;='2023'!Maxi_hp</f>
        <v>0</v>
      </c>
      <c r="I341" s="390">
        <f>IF(H341,Wh_hp,'2023'!Maxi_hp)</f>
        <v>22.481417216990419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5.2228028020282924E-2</v>
      </c>
      <c r="M341" s="844"/>
      <c r="N341" s="844"/>
      <c r="O341" s="48">
        <f>IF(t&lt;Tnet,'2023'!Resal+('2023'!Salim-'2023'!Resal)*(1-EXP(('2023'!Tnet-t)/('2023'!Tau_j))),Resal+(Salim-Resal)*(1-EXP((Tnet-t)/(Tau_j))))*Salcycl</f>
        <v>9.4274729846987676E-2</v>
      </c>
      <c r="P341" s="169">
        <f>(INDEX(Models!$BJ341:$BT341,,T341)*(1-R341)+INDEX(Models!$BJ341:$BT341,,T341+1)*R341-ERP_i)*Q341*Ramure*Pc/MaxiM</f>
        <v>2.5218309889602337E-3</v>
      </c>
      <c r="Q341" s="305">
        <f t="shared" si="130"/>
        <v>0.7</v>
      </c>
      <c r="R341" s="177">
        <f t="shared" si="131"/>
        <v>0.19898601204649191</v>
      </c>
      <c r="S341" s="810">
        <f t="shared" si="132"/>
        <v>1</v>
      </c>
      <c r="T341" s="176">
        <f t="shared" si="133"/>
        <v>7</v>
      </c>
      <c r="U341" s="251">
        <f t="shared" si="134"/>
        <v>1.1989860120464919</v>
      </c>
      <c r="V341" s="383">
        <f t="shared" si="135"/>
        <v>18.707107968939411</v>
      </c>
      <c r="W341" s="402">
        <f t="shared" si="136"/>
        <v>11.360368500468342</v>
      </c>
      <c r="X341" s="157">
        <f t="shared" si="137"/>
        <v>45618</v>
      </c>
      <c r="Y341" s="385">
        <f t="shared" si="138"/>
        <v>10.727126418466613</v>
      </c>
      <c r="Z341" s="385">
        <f t="shared" si="139"/>
        <v>11.318256643588718</v>
      </c>
      <c r="AA341" s="386">
        <f t="shared" si="140"/>
        <v>13.234028716434107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0.14476106361068791</v>
      </c>
      <c r="AD341" s="231">
        <f>(INDEX(Models!$BJ341:$BT341,,AH341)*(1-AF341)+INDEX(Models!$BJ341:$BT341,,AH341+1)*AF341-ERP_i)*AE341*Ramure*Pc/MaxiM</f>
        <v>2.5218309889602337E-3</v>
      </c>
      <c r="AE341" s="305">
        <f t="shared" si="142"/>
        <v>0.7</v>
      </c>
      <c r="AF341" s="177">
        <f t="shared" si="143"/>
        <v>0.19898601204649191</v>
      </c>
      <c r="AG341" s="810">
        <f t="shared" si="149"/>
        <v>1</v>
      </c>
      <c r="AH341" s="176">
        <f t="shared" si="144"/>
        <v>7</v>
      </c>
      <c r="AI341" s="225">
        <f t="shared" si="145"/>
        <v>1.1989860120464919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11.43935917983263</v>
      </c>
      <c r="C342" s="840"/>
      <c r="D342" s="393">
        <f t="shared" si="127"/>
        <v>12.070018669926062</v>
      </c>
      <c r="E342" s="385">
        <f t="shared" si="125"/>
        <v>13.327084671835562</v>
      </c>
      <c r="F342" s="385">
        <f t="shared" si="128"/>
        <v>13.342126360624693</v>
      </c>
      <c r="G342" s="110">
        <f t="shared" si="126"/>
        <v>0.61707469347563959</v>
      </c>
      <c r="H342" s="414" t="b">
        <f>Wh_hp&gt;='2023'!Maxi_hp</f>
        <v>0</v>
      </c>
      <c r="I342" s="390">
        <f>IF(H342,Wh_hp,'2023'!Maxi_hp)</f>
        <v>21.083338860152271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5.2250084058676594E-2</v>
      </c>
      <c r="M342" s="844"/>
      <c r="N342" s="844"/>
      <c r="O342" s="48">
        <f>IF(t&lt;Tnet,'2023'!Resal+('2023'!Salim-'2023'!Resal)*(1-EXP(('2023'!Tnet-t)/('2023'!Tau_j))),Resal+(Salim-Resal)*(1-EXP((Tnet-t)/(Tau_j))))*Salcycl</f>
        <v>9.4324155121944073E-2</v>
      </c>
      <c r="P342" s="169">
        <f>(INDEX(Models!$BJ342:$BT342,,T342)*(1-R342)+INDEX(Models!$BJ342:$BT342,,T342+1)*R342-ERP_i)*Q342*Ramure*Pc/MaxiM</f>
        <v>2.4823411123385264E-3</v>
      </c>
      <c r="Q342" s="305">
        <f t="shared" si="130"/>
        <v>0.7</v>
      </c>
      <c r="R342" s="177">
        <f t="shared" si="131"/>
        <v>0.19900355347029031</v>
      </c>
      <c r="S342" s="810">
        <f t="shared" si="132"/>
        <v>1</v>
      </c>
      <c r="T342" s="176">
        <f t="shared" si="133"/>
        <v>7</v>
      </c>
      <c r="U342" s="251">
        <f t="shared" si="134"/>
        <v>1.1990035534702903</v>
      </c>
      <c r="V342" s="383">
        <f t="shared" si="135"/>
        <v>18.51289958268482</v>
      </c>
      <c r="W342" s="402">
        <f t="shared" si="136"/>
        <v>11.43935917983263</v>
      </c>
      <c r="X342" s="157">
        <f t="shared" si="137"/>
        <v>45619</v>
      </c>
      <c r="Y342" s="385">
        <f t="shared" si="138"/>
        <v>10.802689629006064</v>
      </c>
      <c r="Z342" s="385">
        <f t="shared" si="139"/>
        <v>11.398249102746293</v>
      </c>
      <c r="AA342" s="386">
        <f t="shared" si="140"/>
        <v>13.327084671835562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0.14473049557233791</v>
      </c>
      <c r="AD342" s="231">
        <f>(INDEX(Models!$BJ342:$BT342,,AH342)*(1-AF342)+INDEX(Models!$BJ342:$BT342,,AH342+1)*AF342-ERP_i)*AE342*Ramure*Pc/MaxiM</f>
        <v>2.4823411123385264E-3</v>
      </c>
      <c r="AE342" s="305">
        <f t="shared" si="142"/>
        <v>0.7</v>
      </c>
      <c r="AF342" s="177">
        <f t="shared" si="143"/>
        <v>0.19900355347029031</v>
      </c>
      <c r="AG342" s="810">
        <f t="shared" si="149"/>
        <v>1</v>
      </c>
      <c r="AH342" s="176">
        <f t="shared" si="144"/>
        <v>7</v>
      </c>
      <c r="AI342" s="225">
        <f t="shared" si="145"/>
        <v>1.1990035534702903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4.6545659405835069</v>
      </c>
      <c r="C343" s="840"/>
      <c r="D343" s="393">
        <f t="shared" si="127"/>
        <v>4.9112895536693406</v>
      </c>
      <c r="E343" s="385">
        <f t="shared" si="125"/>
        <v>5.4230943715740141</v>
      </c>
      <c r="F343" s="385">
        <f t="shared" si="128"/>
        <v>5.4230943715740141</v>
      </c>
      <c r="G343" s="110">
        <f t="shared" si="126"/>
        <v>0.25335047690572199</v>
      </c>
      <c r="H343" s="414" t="b">
        <f>Wh_hp&gt;='2023'!Maxi_hp</f>
        <v>0</v>
      </c>
      <c r="I343" s="390">
        <f>IF(H343,Wh_hp,'2023'!Maxi_hp)</f>
        <v>19.914924416032331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5.2272139583794064E-2</v>
      </c>
      <c r="M343" s="844"/>
      <c r="N343" s="844"/>
      <c r="O343" s="48">
        <f>IF(t&lt;Tnet,'2023'!Resal+('2023'!Salim-'2023'!Resal)*(1-EXP(('2023'!Tnet-t)/('2023'!Tau_j))),Resal+(Salim-Resal)*(1-EXP((Tnet-t)/(Tau_j))))*Salcycl</f>
        <v>9.4375052845729113E-2</v>
      </c>
      <c r="P343" s="169">
        <f>(INDEX(Models!$BJ343:$BT343,,T343)*(1-R343)+INDEX(Models!$BJ343:$BT343,,T343+1)*R343-ERP_i)*Q343*Ramure*Pc/MaxiM</f>
        <v>2.4462277308858809E-3</v>
      </c>
      <c r="Q343" s="305">
        <f t="shared" si="130"/>
        <v>0.7</v>
      </c>
      <c r="R343" s="177">
        <f t="shared" si="131"/>
        <v>0.19902039007140826</v>
      </c>
      <c r="S343" s="810">
        <f t="shared" si="132"/>
        <v>1</v>
      </c>
      <c r="T343" s="176">
        <f t="shared" si="133"/>
        <v>7</v>
      </c>
      <c r="U343" s="251">
        <f t="shared" si="134"/>
        <v>1.1990203900714083</v>
      </c>
      <c r="V343" s="383">
        <f t="shared" si="135"/>
        <v>18.32710113284001</v>
      </c>
      <c r="W343" s="402">
        <f t="shared" si="136"/>
        <v>4.6545659405835069</v>
      </c>
      <c r="X343" s="157">
        <f t="shared" si="137"/>
        <v>45620</v>
      </c>
      <c r="Y343" s="385">
        <f t="shared" si="138"/>
        <v>4.3959025912282765</v>
      </c>
      <c r="Z343" s="385">
        <f t="shared" si="139"/>
        <v>4.6383595701172737</v>
      </c>
      <c r="AA343" s="386">
        <f t="shared" si="140"/>
        <v>5.4230943715740141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0.14470240561736281</v>
      </c>
      <c r="AD343" s="231">
        <f>(INDEX(Models!$BJ343:$BT343,,AH343)*(1-AF343)+INDEX(Models!$BJ343:$BT343,,AH343+1)*AF343-ERP_i)*AE343*Ramure*Pc/MaxiM</f>
        <v>2.4462277308858809E-3</v>
      </c>
      <c r="AE343" s="305">
        <f t="shared" si="142"/>
        <v>0.7</v>
      </c>
      <c r="AF343" s="177">
        <f t="shared" si="143"/>
        <v>0.19902039007140826</v>
      </c>
      <c r="AG343" s="810">
        <f t="shared" si="149"/>
        <v>1</v>
      </c>
      <c r="AH343" s="176">
        <f t="shared" si="144"/>
        <v>7</v>
      </c>
      <c r="AI343" s="225">
        <f t="shared" si="145"/>
        <v>1.1990203900714083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10.448267798383787</v>
      </c>
      <c r="C344" s="840"/>
      <c r="D344" s="393">
        <f t="shared" si="127"/>
        <v>11.024800881034889</v>
      </c>
      <c r="E344" s="385">
        <f t="shared" si="125"/>
        <v>12.174398217720713</v>
      </c>
      <c r="F344" s="385">
        <f t="shared" si="128"/>
        <v>12.185979990427326</v>
      </c>
      <c r="G344" s="110">
        <f t="shared" si="126"/>
        <v>0.57481037686654668</v>
      </c>
      <c r="H344" s="414" t="b">
        <f>Wh_hp&gt;='2023'!Maxi_hp</f>
        <v>0</v>
      </c>
      <c r="I344" s="390">
        <f>IF(H344,Wh_hp,'2023'!Maxi_hp)</f>
        <v>21.504267084607424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5.2294194595647214E-2</v>
      </c>
      <c r="M344" s="844"/>
      <c r="N344" s="844"/>
      <c r="O344" s="48">
        <f>IF(t&lt;Tnet,'2023'!Resal+('2023'!Salim-'2023'!Resal)*(1-EXP(('2023'!Tnet-t)/('2023'!Tau_j))),Resal+(Salim-Resal)*(1-EXP((Tnet-t)/(Tau_j))))*Salcycl</f>
        <v>9.4427446525652659E-2</v>
      </c>
      <c r="P344" s="169">
        <f>(INDEX(Models!$BJ344:$BT344,,T344)*(1-R344)+INDEX(Models!$BJ344:$BT344,,T344+1)*R344-ERP_i)*Q344*Ramure*Pc/MaxiM</f>
        <v>2.4135107836315826E-3</v>
      </c>
      <c r="Q344" s="305">
        <f t="shared" si="130"/>
        <v>0.7</v>
      </c>
      <c r="R344" s="177">
        <f t="shared" si="131"/>
        <v>0.19903655011412713</v>
      </c>
      <c r="S344" s="810">
        <f t="shared" si="132"/>
        <v>1</v>
      </c>
      <c r="T344" s="176">
        <f t="shared" si="133"/>
        <v>7</v>
      </c>
      <c r="U344" s="251">
        <f t="shared" si="134"/>
        <v>1.1990365501141271</v>
      </c>
      <c r="V344" s="383">
        <f t="shared" si="135"/>
        <v>18.150275097063655</v>
      </c>
      <c r="W344" s="402">
        <f t="shared" si="136"/>
        <v>10.448267798383787</v>
      </c>
      <c r="X344" s="157">
        <f t="shared" si="137"/>
        <v>45621</v>
      </c>
      <c r="Y344" s="385">
        <f t="shared" si="138"/>
        <v>9.8685031523686781</v>
      </c>
      <c r="Z344" s="385">
        <f t="shared" si="139"/>
        <v>10.413044951389882</v>
      </c>
      <c r="AA344" s="386">
        <f t="shared" si="140"/>
        <v>12.174398217720713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0.14467682384227049</v>
      </c>
      <c r="AD344" s="231">
        <f>(INDEX(Models!$BJ344:$BT344,,AH344)*(1-AF344)+INDEX(Models!$BJ344:$BT344,,AH344+1)*AF344-ERP_i)*AE344*Ramure*Pc/MaxiM</f>
        <v>2.4135107836315826E-3</v>
      </c>
      <c r="AE344" s="305">
        <f t="shared" si="142"/>
        <v>0.7</v>
      </c>
      <c r="AF344" s="177">
        <f t="shared" si="143"/>
        <v>0.19903655011412713</v>
      </c>
      <c r="AG344" s="810">
        <f t="shared" si="149"/>
        <v>1</v>
      </c>
      <c r="AH344" s="176">
        <f t="shared" si="144"/>
        <v>7</v>
      </c>
      <c r="AI344" s="225">
        <f t="shared" si="145"/>
        <v>1.1990365501141271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11.775110598067986</v>
      </c>
      <c r="C345" s="840"/>
      <c r="D345" s="393">
        <f t="shared" si="127"/>
        <v>12.425147721287702</v>
      </c>
      <c r="E345" s="385">
        <f t="shared" si="125"/>
        <v>13.721581296713715</v>
      </c>
      <c r="F345" s="385">
        <f t="shared" si="128"/>
        <v>13.738189218394632</v>
      </c>
      <c r="G345" s="110">
        <f t="shared" si="126"/>
        <v>0.65410924346204924</v>
      </c>
      <c r="H345" s="414" t="b">
        <f>Wh_hp&gt;='2023'!Maxi_hp</f>
        <v>0</v>
      </c>
      <c r="I345" s="390">
        <f>IF(H345,Wh_hp,'2023'!Maxi_hp)</f>
        <v>18.227231813309963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5.2316249094248035E-2</v>
      </c>
      <c r="M345" s="844"/>
      <c r="N345" s="844"/>
      <c r="O345" s="48">
        <f>IF(t&lt;Tnet,'2023'!Resal+('2023'!Salim-'2023'!Resal)*(1-EXP(('2023'!Tnet-t)/('2023'!Tau_j))),Resal+(Salim-Resal)*(1-EXP((Tnet-t)/(Tau_j))))*Salcycl</f>
        <v>9.4481353671424503E-2</v>
      </c>
      <c r="P345" s="169">
        <f>(INDEX(Models!$BJ345:$BT345,,T345)*(1-R345)+INDEX(Models!$BJ345:$BT345,,T345+1)*R345-ERP_i)*Q345*Ramure*Pc/MaxiM</f>
        <v>2.3845268347551739E-3</v>
      </c>
      <c r="Q345" s="305">
        <f t="shared" si="130"/>
        <v>0.7</v>
      </c>
      <c r="R345" s="177">
        <f t="shared" si="131"/>
        <v>0.19905206073369541</v>
      </c>
      <c r="S345" s="810">
        <f t="shared" si="132"/>
        <v>1</v>
      </c>
      <c r="T345" s="176">
        <f t="shared" si="133"/>
        <v>7</v>
      </c>
      <c r="U345" s="251">
        <f t="shared" si="134"/>
        <v>1.1990520607336954</v>
      </c>
      <c r="V345" s="383">
        <f t="shared" si="135"/>
        <v>17.980560088661377</v>
      </c>
      <c r="W345" s="402">
        <f t="shared" si="136"/>
        <v>11.775110598067986</v>
      </c>
      <c r="X345" s="157">
        <f t="shared" si="137"/>
        <v>45622</v>
      </c>
      <c r="Y345" s="385">
        <f t="shared" si="138"/>
        <v>11.122682548683811</v>
      </c>
      <c r="Z345" s="385">
        <f t="shared" si="139"/>
        <v>11.736702816792278</v>
      </c>
      <c r="AA345" s="386">
        <f t="shared" si="140"/>
        <v>13.721581296713715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0.14465377109246239</v>
      </c>
      <c r="AD345" s="231">
        <f>(INDEX(Models!$BJ345:$BT345,,AH345)*(1-AF345)+INDEX(Models!$BJ345:$BT345,,AH345+1)*AF345-ERP_i)*AE345*Ramure*Pc/MaxiM</f>
        <v>2.3845268347551739E-3</v>
      </c>
      <c r="AE345" s="305">
        <f t="shared" si="142"/>
        <v>0.7</v>
      </c>
      <c r="AF345" s="177">
        <f t="shared" si="143"/>
        <v>0.19905206073369541</v>
      </c>
      <c r="AG345" s="810">
        <f t="shared" si="149"/>
        <v>1</v>
      </c>
      <c r="AH345" s="176">
        <f t="shared" si="144"/>
        <v>7</v>
      </c>
      <c r="AI345" s="225">
        <f t="shared" si="145"/>
        <v>1.1990520607336954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9.9976208400766033</v>
      </c>
      <c r="C346" s="840"/>
      <c r="D346" s="393">
        <f t="shared" si="127"/>
        <v>10.549778336051558</v>
      </c>
      <c r="E346" s="385">
        <f t="shared" si="125"/>
        <v>11.651250068347814</v>
      </c>
      <c r="F346" s="385">
        <f t="shared" si="128"/>
        <v>11.661519046096227</v>
      </c>
      <c r="G346" s="110">
        <f t="shared" si="126"/>
        <v>0.56032794461555935</v>
      </c>
      <c r="H346" s="414" t="b">
        <f>Wh_hp&gt;='2023'!Maxi_hp</f>
        <v>0</v>
      </c>
      <c r="I346" s="390">
        <f>IF(H346,Wh_hp,'2023'!Maxi_hp)</f>
        <v>13.863925920515646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5.2338303079608517E-2</v>
      </c>
      <c r="M346" s="844"/>
      <c r="N346" s="844"/>
      <c r="O346" s="48">
        <f>IF(t&lt;Tnet,'2023'!Resal+('2023'!Salim-'2023'!Resal)*(1-EXP(('2023'!Tnet-t)/('2023'!Tau_j))),Resal+(Salim-Resal)*(1-EXP((Tnet-t)/(Tau_j))))*Salcycl</f>
        <v>9.4536785824256953E-2</v>
      </c>
      <c r="P346" s="169">
        <f>(INDEX(Models!$BJ346:$BT346,,T346)*(1-R346)+INDEX(Models!$BJ346:$BT346,,T346+1)*R346-ERP_i)*Q346*Ramure*Pc/MaxiM</f>
        <v>2.3602884932538482E-3</v>
      </c>
      <c r="Q346" s="305">
        <f t="shared" si="130"/>
        <v>0.7</v>
      </c>
      <c r="R346" s="177">
        <f t="shared" si="131"/>
        <v>0.19906694798108315</v>
      </c>
      <c r="S346" s="810">
        <f t="shared" si="132"/>
        <v>1</v>
      </c>
      <c r="T346" s="176">
        <f t="shared" si="133"/>
        <v>7</v>
      </c>
      <c r="U346" s="251">
        <f t="shared" si="134"/>
        <v>1.1990669479810832</v>
      </c>
      <c r="V346" s="383">
        <f t="shared" si="135"/>
        <v>17.816020777430047</v>
      </c>
      <c r="W346" s="402">
        <f t="shared" si="136"/>
        <v>9.9976208400766033</v>
      </c>
      <c r="X346" s="157">
        <f t="shared" si="137"/>
        <v>45623</v>
      </c>
      <c r="Y346" s="385">
        <f t="shared" si="138"/>
        <v>9.4444834659655186</v>
      </c>
      <c r="Z346" s="385">
        <f t="shared" si="139"/>
        <v>9.966091799064138</v>
      </c>
      <c r="AA346" s="386">
        <f t="shared" si="140"/>
        <v>11.651250068347814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0.14463325904073029</v>
      </c>
      <c r="AD346" s="231">
        <f>(INDEX(Models!$BJ346:$BT346,,AH346)*(1-AF346)+INDEX(Models!$BJ346:$BT346,,AH346+1)*AF346-ERP_i)*AE346*Ramure*Pc/MaxiM</f>
        <v>2.3602884932538482E-3</v>
      </c>
      <c r="AE346" s="305">
        <f t="shared" si="142"/>
        <v>0.7</v>
      </c>
      <c r="AF346" s="177">
        <f t="shared" si="143"/>
        <v>0.19906694798108315</v>
      </c>
      <c r="AG346" s="810">
        <f t="shared" si="149"/>
        <v>1</v>
      </c>
      <c r="AH346" s="176">
        <f t="shared" si="144"/>
        <v>7</v>
      </c>
      <c r="AI346" s="225">
        <f t="shared" si="145"/>
        <v>1.1990669479810832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13.43579669094184</v>
      </c>
      <c r="C347" s="840"/>
      <c r="D347" s="393">
        <f t="shared" si="127"/>
        <v>14.178170767584003</v>
      </c>
      <c r="E347" s="385">
        <f t="shared" si="125"/>
        <v>15.659457559533163</v>
      </c>
      <c r="F347" s="385">
        <f t="shared" si="128"/>
        <v>15.683593238246148</v>
      </c>
      <c r="G347" s="110">
        <f t="shared" si="126"/>
        <v>0.76031655602667259</v>
      </c>
      <c r="H347" s="414" t="b">
        <f>Wh_hp&gt;='2023'!Maxi_hp</f>
        <v>0</v>
      </c>
      <c r="I347" s="390">
        <f>IF(H347,Wh_hp,'2023'!Maxi_hp)</f>
        <v>20.020068183984399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5.2360356551740539E-2</v>
      </c>
      <c r="M347" s="844"/>
      <c r="N347" s="844"/>
      <c r="O347" s="48">
        <f>IF(t&lt;Tnet,'2023'!Resal+('2023'!Salim-'2023'!Resal)*(1-EXP(('2023'!Tnet-t)/('2023'!Tau_j))),Resal+(Salim-Resal)*(1-EXP((Tnet-t)/(Tau_j))))*Salcycl</f>
        <v>9.4593748622370452E-2</v>
      </c>
      <c r="P347" s="169">
        <f>(INDEX(Models!$BJ347:$BT347,,T347)*(1-R347)+INDEX(Models!$BJ347:$BT347,,T347+1)*R347-ERP_i)*Q347*Ramure*Pc/MaxiM</f>
        <v>2.337124470462693E-3</v>
      </c>
      <c r="Q347" s="305">
        <f t="shared" si="130"/>
        <v>0.7</v>
      </c>
      <c r="R347" s="177">
        <f t="shared" si="131"/>
        <v>0.19908123686598644</v>
      </c>
      <c r="S347" s="810">
        <f t="shared" si="132"/>
        <v>1</v>
      </c>
      <c r="T347" s="176">
        <f t="shared" si="133"/>
        <v>7</v>
      </c>
      <c r="U347" s="251">
        <f t="shared" si="134"/>
        <v>1.1990812368659864</v>
      </c>
      <c r="V347" s="383">
        <f t="shared" si="135"/>
        <v>17.657192181312713</v>
      </c>
      <c r="W347" s="402">
        <f t="shared" si="136"/>
        <v>13.43579669094184</v>
      </c>
      <c r="X347" s="157">
        <f t="shared" si="137"/>
        <v>45624</v>
      </c>
      <c r="Y347" s="385">
        <f t="shared" si="138"/>
        <v>12.69350088350043</v>
      </c>
      <c r="Z347" s="385">
        <f t="shared" si="139"/>
        <v>13.394860558293527</v>
      </c>
      <c r="AA347" s="386">
        <f t="shared" si="140"/>
        <v>15.659457559533163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0.1446152903208959</v>
      </c>
      <c r="AD347" s="231">
        <f>(INDEX(Models!$BJ347:$BT347,,AH347)*(1-AF347)+INDEX(Models!$BJ347:$BT347,,AH347+1)*AF347-ERP_i)*AE347*Ramure*Pc/MaxiM</f>
        <v>2.337124470462693E-3</v>
      </c>
      <c r="AE347" s="305">
        <f t="shared" si="142"/>
        <v>0.7</v>
      </c>
      <c r="AF347" s="177">
        <f t="shared" si="143"/>
        <v>0.19908123686598644</v>
      </c>
      <c r="AG347" s="810">
        <f t="shared" si="149"/>
        <v>1</v>
      </c>
      <c r="AH347" s="176">
        <f t="shared" si="144"/>
        <v>7</v>
      </c>
      <c r="AI347" s="225">
        <f t="shared" si="145"/>
        <v>1.1990812368659864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3.7889523332742714</v>
      </c>
      <c r="C348" s="840"/>
      <c r="D348" s="393">
        <f t="shared" si="127"/>
        <v>3.9983980577203924</v>
      </c>
      <c r="E348" s="385">
        <f t="shared" si="125"/>
        <v>4.41642233269675</v>
      </c>
      <c r="F348" s="385">
        <f t="shared" si="128"/>
        <v>4.41642233269675</v>
      </c>
      <c r="G348" s="110">
        <f t="shared" si="126"/>
        <v>0.21595427539082729</v>
      </c>
      <c r="H348" s="414" t="b">
        <f>Wh_hp&gt;='2023'!Maxi_hp</f>
        <v>0</v>
      </c>
      <c r="I348" s="390">
        <f>IF(H348,Wh_hp,'2023'!Maxi_hp)</f>
        <v>19.556605009076051</v>
      </c>
      <c r="J348" s="85">
        <f>IF(H348,An,'2023'!An_max)</f>
        <v>2021</v>
      </c>
      <c r="K348" s="197">
        <f t="shared" si="129"/>
        <v>45625</v>
      </c>
      <c r="L348" s="147">
        <f>IF(t&lt;Tvie,1-EXP((T0-t)*PertePVj)+'2023'!Pspv,1-EXP((T0-t)*PertePVj)+Pspv)</f>
        <v>5.2382409510655981E-2</v>
      </c>
      <c r="M348" s="844"/>
      <c r="N348" s="844"/>
      <c r="O348" s="48">
        <f>IF(t&lt;Tnet,'2023'!Resal+('2023'!Salim-'2023'!Resal)*(1-EXP(('2023'!Tnet-t)/('2023'!Tau_j))),Resal+(Salim-Resal)*(1-EXP((Tnet-t)/(Tau_j))))*Salcycl</f>
        <v>9.4652241902124568E-2</v>
      </c>
      <c r="P348" s="169">
        <f>(INDEX(Models!$BJ348:$BT348,,T348)*(1-R348)+INDEX(Models!$BJ348:$BT348,,T348+1)*R348-ERP_i)*Q348*Ramure*Pc/MaxiM</f>
        <v>2.3149980609431151E-3</v>
      </c>
      <c r="Q348" s="305">
        <f t="shared" si="130"/>
        <v>0.7</v>
      </c>
      <c r="R348" s="177">
        <f t="shared" si="131"/>
        <v>0.1990949513981537</v>
      </c>
      <c r="S348" s="810">
        <f t="shared" si="132"/>
        <v>1</v>
      </c>
      <c r="T348" s="176">
        <f t="shared" si="133"/>
        <v>7</v>
      </c>
      <c r="U348" s="251">
        <f t="shared" si="134"/>
        <v>1.1990949513981537</v>
      </c>
      <c r="V348" s="383">
        <f t="shared" si="135"/>
        <v>17.504543075743616</v>
      </c>
      <c r="W348" s="402">
        <f t="shared" si="136"/>
        <v>3.7889523332742714</v>
      </c>
      <c r="X348" s="157">
        <f t="shared" si="137"/>
        <v>45625</v>
      </c>
      <c r="Y348" s="385">
        <f t="shared" si="138"/>
        <v>3.5799175866010904</v>
      </c>
      <c r="Z348" s="385">
        <f t="shared" si="139"/>
        <v>3.7778082873624608</v>
      </c>
      <c r="AA348" s="386">
        <f t="shared" si="140"/>
        <v>4.41642233269675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0.1445998587151287</v>
      </c>
      <c r="AD348" s="231">
        <f>(INDEX(Models!$BJ348:$BT348,,AH348)*(1-AF348)+INDEX(Models!$BJ348:$BT348,,AH348+1)*AF348-ERP_i)*AE348*Ramure*Pc/MaxiM</f>
        <v>2.3149980609431151E-3</v>
      </c>
      <c r="AE348" s="305">
        <f t="shared" si="142"/>
        <v>0.7</v>
      </c>
      <c r="AF348" s="177">
        <f t="shared" si="143"/>
        <v>0.1990949513981537</v>
      </c>
      <c r="AG348" s="810">
        <f t="shared" si="149"/>
        <v>1</v>
      </c>
      <c r="AH348" s="176">
        <f t="shared" si="144"/>
        <v>7</v>
      </c>
      <c r="AI348" s="225">
        <f t="shared" si="145"/>
        <v>1.1990949513981537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3.5903432395124533</v>
      </c>
      <c r="C349" s="840"/>
      <c r="D349" s="393">
        <f t="shared" si="127"/>
        <v>3.7888984227647677</v>
      </c>
      <c r="E349" s="385">
        <f t="shared" si="125"/>
        <v>4.1852973973433247</v>
      </c>
      <c r="F349" s="385">
        <f t="shared" si="128"/>
        <v>4.1852973973433247</v>
      </c>
      <c r="G349" s="110">
        <f t="shared" si="126"/>
        <v>0.20635992526940411</v>
      </c>
      <c r="H349" s="414" t="b">
        <f>Wh_hp&gt;='2023'!Maxi_hp</f>
        <v>0</v>
      </c>
      <c r="I349" s="390">
        <f>IF(H349,Wh_hp,'2023'!Maxi_hp)</f>
        <v>20.229052187489842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5.2404461956366832E-2</v>
      </c>
      <c r="M349" s="844"/>
      <c r="N349" s="844"/>
      <c r="O349" s="48">
        <f>IF(t&lt;Tnet,'2023'!Resal+('2023'!Salim-'2023'!Resal)*(1-EXP(('2023'!Tnet-t)/('2023'!Tau_j))),Resal+(Salim-Resal)*(1-EXP((Tnet-t)/(Tau_j))))*Salcycl</f>
        <v>9.471225983371627E-2</v>
      </c>
      <c r="P349" s="169">
        <f>(INDEX(Models!$BJ349:$BT349,,T349)*(1-R349)+INDEX(Models!$BJ349:$BT349,,T349+1)*R349-ERP_i)*Q349*Ramure*Pc/MaxiM</f>
        <v>2.2938713554737531E-3</v>
      </c>
      <c r="Q349" s="305">
        <f t="shared" si="130"/>
        <v>0.7</v>
      </c>
      <c r="R349" s="177">
        <f t="shared" si="131"/>
        <v>0.19910811462709432</v>
      </c>
      <c r="S349" s="810">
        <f t="shared" si="132"/>
        <v>1</v>
      </c>
      <c r="T349" s="176">
        <f t="shared" si="133"/>
        <v>7</v>
      </c>
      <c r="U349" s="251">
        <f t="shared" si="134"/>
        <v>1.1991081146270943</v>
      </c>
      <c r="V349" s="383">
        <f t="shared" si="135"/>
        <v>17.358542116753306</v>
      </c>
      <c r="W349" s="402">
        <f t="shared" si="136"/>
        <v>3.5903432395124533</v>
      </c>
      <c r="X349" s="157">
        <f t="shared" si="137"/>
        <v>45626</v>
      </c>
      <c r="Y349" s="385">
        <f t="shared" si="138"/>
        <v>3.3925417598974961</v>
      </c>
      <c r="Z349" s="385">
        <f t="shared" si="139"/>
        <v>3.5801580143587404</v>
      </c>
      <c r="AA349" s="386">
        <f t="shared" si="140"/>
        <v>4.1852973973433247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0.14458694939305977</v>
      </c>
      <c r="AD349" s="231">
        <f>(INDEX(Models!$BJ349:$BT349,,AH349)*(1-AF349)+INDEX(Models!$BJ349:$BT349,,AH349+1)*AF349-ERP_i)*AE349*Ramure*Pc/MaxiM</f>
        <v>2.2938713554737531E-3</v>
      </c>
      <c r="AE349" s="305">
        <f t="shared" si="142"/>
        <v>0.7</v>
      </c>
      <c r="AF349" s="177">
        <f t="shared" si="143"/>
        <v>0.19910811462709432</v>
      </c>
      <c r="AG349" s="810">
        <f t="shared" si="149"/>
        <v>1</v>
      </c>
      <c r="AH349" s="176">
        <f t="shared" si="144"/>
        <v>7</v>
      </c>
      <c r="AI349" s="225">
        <f t="shared" si="145"/>
        <v>1.1991081146270943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5.4240117674648829</v>
      </c>
      <c r="C350" s="840"/>
      <c r="D350" s="393">
        <f t="shared" si="127"/>
        <v>5.7241067283607485</v>
      </c>
      <c r="E350" s="385">
        <f t="shared" si="125"/>
        <v>6.323399247635586</v>
      </c>
      <c r="F350" s="385">
        <f t="shared" si="128"/>
        <v>6.3237071376580785</v>
      </c>
      <c r="G350" s="110">
        <f t="shared" si="126"/>
        <v>0.31428862961264886</v>
      </c>
      <c r="H350" s="414" t="b">
        <f>Wh_hp&gt;='2023'!Maxi_hp</f>
        <v>0</v>
      </c>
      <c r="I350" s="390">
        <f>IF(H350,Wh_hp,'2023'!Maxi_hp)</f>
        <v>9.3592865081560959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5.2426513888885085E-2</v>
      </c>
      <c r="M350" s="844"/>
      <c r="N350" s="844"/>
      <c r="O350" s="48">
        <f>IF(t&lt;Tnet,'2023'!Resal+('2023'!Salim-'2023'!Resal)*(1-EXP(('2023'!Tnet-t)/('2023'!Tau_j))),Resal+(Salim-Resal)*(1-EXP((Tnet-t)/(Tau_j))))*Salcycl</f>
        <v>9.4773791090120074E-2</v>
      </c>
      <c r="P350" s="169">
        <f>(INDEX(Models!$BJ350:$BT350,,T350)*(1-R350)+INDEX(Models!$BJ350:$BT350,,T350+1)*R350-ERP_i)*Q350*Ramure*Pc/MaxiM</f>
        <v>2.2737052165234476E-3</v>
      </c>
      <c r="Q350" s="305">
        <f t="shared" si="130"/>
        <v>0.7</v>
      </c>
      <c r="R350" s="177">
        <f t="shared" si="131"/>
        <v>0.19912074868023177</v>
      </c>
      <c r="S350" s="810">
        <f t="shared" si="132"/>
        <v>1</v>
      </c>
      <c r="T350" s="176">
        <f t="shared" si="133"/>
        <v>7</v>
      </c>
      <c r="U350" s="251">
        <f t="shared" si="134"/>
        <v>1.1991207486802318</v>
      </c>
      <c r="V350" s="383">
        <f t="shared" si="135"/>
        <v>17.219657828923065</v>
      </c>
      <c r="W350" s="402">
        <f t="shared" si="136"/>
        <v>5.4240117674648829</v>
      </c>
      <c r="X350" s="157">
        <f t="shared" si="137"/>
        <v>45627</v>
      </c>
      <c r="Y350" s="385">
        <f t="shared" si="138"/>
        <v>5.1255994047388578</v>
      </c>
      <c r="Z350" s="385">
        <f t="shared" si="139"/>
        <v>5.4091840684299362</v>
      </c>
      <c r="AA350" s="386">
        <f t="shared" si="140"/>
        <v>6.323399247635586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0.14457653920041327</v>
      </c>
      <c r="AD350" s="231">
        <f>(INDEX(Models!$BJ350:$BT350,,AH350)*(1-AF350)+INDEX(Models!$BJ350:$BT350,,AH350+1)*AF350-ERP_i)*AE350*Ramure*Pc/MaxiM</f>
        <v>2.2737052165234476E-3</v>
      </c>
      <c r="AE350" s="305">
        <f t="shared" si="142"/>
        <v>0.7</v>
      </c>
      <c r="AF350" s="177">
        <f t="shared" si="143"/>
        <v>0.19912074868023177</v>
      </c>
      <c r="AG350" s="810">
        <f t="shared" si="149"/>
        <v>1</v>
      </c>
      <c r="AH350" s="176">
        <f t="shared" si="144"/>
        <v>7</v>
      </c>
      <c r="AI350" s="225">
        <f t="shared" si="145"/>
        <v>1.1991207486802318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7.370285433718041</v>
      </c>
      <c r="C351" s="840"/>
      <c r="D351" s="393">
        <f t="shared" si="127"/>
        <v>7.7782431263116303</v>
      </c>
      <c r="E351" s="385">
        <f t="shared" si="125"/>
        <v>8.5931943432875979</v>
      </c>
      <c r="F351" s="385">
        <f t="shared" si="128"/>
        <v>8.5968298269139822</v>
      </c>
      <c r="G351" s="110">
        <f t="shared" si="126"/>
        <v>0.43051416978410051</v>
      </c>
      <c r="H351" s="414" t="b">
        <f>Wh_hp&gt;='2023'!Maxi_hp</f>
        <v>0</v>
      </c>
      <c r="I351" s="390">
        <f>IF(H351,Wh_hp,'2023'!Maxi_hp)</f>
        <v>13.44927584857693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5.2448565308222617E-2</v>
      </c>
      <c r="M351" s="844"/>
      <c r="N351" s="844"/>
      <c r="O351" s="48">
        <f>IF(t&lt;Tnet,'2023'!Resal+('2023'!Salim-'2023'!Resal)*(1-EXP(('2023'!Tnet-t)/('2023'!Tau_j))),Resal+(Salim-Resal)*(1-EXP((Tnet-t)/(Tau_j))))*Salcycl</f>
        <v>9.4836819047686288E-2</v>
      </c>
      <c r="P351" s="169">
        <f>(INDEX(Models!$BJ351:$BT351,,T351)*(1-R351)+INDEX(Models!$BJ351:$BT351,,T351+1)*R351-ERP_i)*Q351*Ramure*Pc/MaxiM</f>
        <v>2.2544592702625427E-3</v>
      </c>
      <c r="Q351" s="305">
        <f t="shared" si="130"/>
        <v>0.7</v>
      </c>
      <c r="R351" s="177">
        <f t="shared" si="131"/>
        <v>0.19913287479956177</v>
      </c>
      <c r="S351" s="810">
        <f t="shared" si="132"/>
        <v>1</v>
      </c>
      <c r="T351" s="176">
        <f t="shared" si="133"/>
        <v>7</v>
      </c>
      <c r="U351" s="251">
        <f t="shared" si="134"/>
        <v>1.1991328747995618</v>
      </c>
      <c r="V351" s="383">
        <f t="shared" si="135"/>
        <v>17.088358584217733</v>
      </c>
      <c r="W351" s="402">
        <f t="shared" si="136"/>
        <v>7.370285433718041</v>
      </c>
      <c r="X351" s="157">
        <f t="shared" si="137"/>
        <v>45628</v>
      </c>
      <c r="Y351" s="385">
        <f t="shared" si="138"/>
        <v>6.9653447486487918</v>
      </c>
      <c r="Z351" s="385">
        <f t="shared" si="139"/>
        <v>7.350888293377448</v>
      </c>
      <c r="AA351" s="386">
        <f t="shared" si="140"/>
        <v>8.5931943432875979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0.14456859699449867</v>
      </c>
      <c r="AD351" s="231">
        <f>(INDEX(Models!$BJ351:$BT351,,AH351)*(1-AF351)+INDEX(Models!$BJ351:$BT351,,AH351+1)*AF351-ERP_i)*AE351*Ramure*Pc/MaxiM</f>
        <v>2.2544592702625427E-3</v>
      </c>
      <c r="AE351" s="305">
        <f t="shared" si="142"/>
        <v>0.7</v>
      </c>
      <c r="AF351" s="177">
        <f t="shared" si="143"/>
        <v>0.19913287479956177</v>
      </c>
      <c r="AG351" s="810">
        <f t="shared" si="149"/>
        <v>1</v>
      </c>
      <c r="AH351" s="176">
        <f t="shared" si="144"/>
        <v>7</v>
      </c>
      <c r="AI351" s="225">
        <f t="shared" si="145"/>
        <v>1.1991328747995618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13.713970365809743</v>
      </c>
      <c r="C352" s="840"/>
      <c r="D352" s="393">
        <f t="shared" si="127"/>
        <v>14.473398504032797</v>
      </c>
      <c r="E352" s="385">
        <f t="shared" si="125"/>
        <v>15.990961931664438</v>
      </c>
      <c r="F352" s="385">
        <f t="shared" si="128"/>
        <v>16.016991007585073</v>
      </c>
      <c r="G352" s="110">
        <f t="shared" si="126"/>
        <v>0.80786834829795295</v>
      </c>
      <c r="H352" s="414" t="b">
        <f>Wh_hp&gt;='2023'!Maxi_hp</f>
        <v>0</v>
      </c>
      <c r="I352" s="390">
        <f>IF(H352,Wh_hp,'2023'!Maxi_hp)</f>
        <v>16.021146633315308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5.247061621439153E-2</v>
      </c>
      <c r="M352" s="844"/>
      <c r="N352" s="844"/>
      <c r="O352" s="48">
        <f>IF(t&lt;Tnet,'2023'!Resal+('2023'!Salim-'2023'!Resal)*(1-EXP(('2023'!Tnet-t)/('2023'!Tau_j))),Resal+(Salim-Resal)*(1-EXP((Tnet-t)/(Tau_j))))*Salcycl</f>
        <v>9.4901322016572587E-2</v>
      </c>
      <c r="P352" s="169">
        <f>(INDEX(Models!$BJ352:$BT352,,T352)*(1-R352)+INDEX(Models!$BJ352:$BT352,,T352+1)*R352-ERP_i)*Q352*Ramure*Pc/MaxiM</f>
        <v>2.2376943332228158E-3</v>
      </c>
      <c r="Q352" s="305">
        <f t="shared" si="130"/>
        <v>0.7</v>
      </c>
      <c r="R352" s="177">
        <f t="shared" si="131"/>
        <v>0.19914451337686989</v>
      </c>
      <c r="S352" s="810">
        <f t="shared" si="132"/>
        <v>1</v>
      </c>
      <c r="T352" s="176">
        <f t="shared" si="133"/>
        <v>7</v>
      </c>
      <c r="U352" s="251">
        <f t="shared" si="134"/>
        <v>1.1991445133768699</v>
      </c>
      <c r="V352" s="383">
        <f t="shared" si="135"/>
        <v>16.965085341685185</v>
      </c>
      <c r="W352" s="402">
        <f t="shared" si="136"/>
        <v>13.713970365809743</v>
      </c>
      <c r="X352" s="157">
        <f t="shared" si="137"/>
        <v>45629</v>
      </c>
      <c r="Y352" s="385">
        <f t="shared" si="138"/>
        <v>12.961500000926344</v>
      </c>
      <c r="Z352" s="385">
        <f t="shared" si="139"/>
        <v>13.67925915831974</v>
      </c>
      <c r="AA352" s="386">
        <f t="shared" si="140"/>
        <v>15.990961931664438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0.14456308402355642</v>
      </c>
      <c r="AD352" s="231">
        <f>(INDEX(Models!$BJ352:$BT352,,AH352)*(1-AF352)+INDEX(Models!$BJ352:$BT352,,AH352+1)*AF352-ERP_i)*AE352*Ramure*Pc/MaxiM</f>
        <v>2.2376943332228158E-3</v>
      </c>
      <c r="AE352" s="305">
        <f t="shared" si="142"/>
        <v>0.7</v>
      </c>
      <c r="AF352" s="177">
        <f t="shared" si="143"/>
        <v>0.19914451337686989</v>
      </c>
      <c r="AG352" s="810">
        <f t="shared" si="149"/>
        <v>1</v>
      </c>
      <c r="AH352" s="176">
        <f t="shared" si="144"/>
        <v>7</v>
      </c>
      <c r="AI352" s="225">
        <f t="shared" si="145"/>
        <v>1.1991445133768699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17.119370843297862</v>
      </c>
      <c r="C353" s="840"/>
      <c r="D353" s="393">
        <f t="shared" si="127"/>
        <v>18.067797725639878</v>
      </c>
      <c r="E353" s="385">
        <f t="shared" si="125"/>
        <v>19.963695451646284</v>
      </c>
      <c r="F353" s="385">
        <f t="shared" si="128"/>
        <v>20.008159739519446</v>
      </c>
      <c r="G353" s="110">
        <f t="shared" si="126"/>
        <v>1.0159668303817042</v>
      </c>
      <c r="H353" s="414" t="b">
        <f>Wh_hp&gt;='2023'!Maxi_hp</f>
        <v>1</v>
      </c>
      <c r="I353" s="390">
        <f>IF(H353,Wh_hp,'2023'!Maxi_hp)</f>
        <v>20.008159739519446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5.2492666607403482E-2</v>
      </c>
      <c r="M353" s="844"/>
      <c r="N353" s="844"/>
      <c r="O353" s="48">
        <f>IF(t&lt;Tnet,'2023'!Resal+('2023'!Salim-'2023'!Resal)*(1-EXP(('2023'!Tnet-t)/('2023'!Tau_j))),Resal+(Salim-Resal)*(1-EXP((Tnet-t)/(Tau_j))))*Salcycl</f>
        <v>9.4967273498958463E-2</v>
      </c>
      <c r="P353" s="169">
        <f>(INDEX(Models!$BJ353:$BT353,,T353)*(1-R353)+INDEX(Models!$BJ353:$BT353,,T353+1)*R353-ERP_i)*Q353*Ramure*Pc/MaxiM</f>
        <v>2.2223077210513642E-3</v>
      </c>
      <c r="Q353" s="305">
        <f t="shared" si="130"/>
        <v>0.7</v>
      </c>
      <c r="R353" s="177">
        <f t="shared" si="131"/>
        <v>0.199155683987565</v>
      </c>
      <c r="S353" s="810">
        <f t="shared" si="132"/>
        <v>1</v>
      </c>
      <c r="T353" s="176">
        <f t="shared" si="133"/>
        <v>7</v>
      </c>
      <c r="U353" s="251">
        <f t="shared" si="134"/>
        <v>1.199155683987565</v>
      </c>
      <c r="V353" s="383">
        <f t="shared" si="135"/>
        <v>16.850324569027531</v>
      </c>
      <c r="W353" s="402">
        <f t="shared" si="136"/>
        <v>17.119370843297862</v>
      </c>
      <c r="X353" s="157">
        <f t="shared" si="137"/>
        <v>45630</v>
      </c>
      <c r="Y353" s="385">
        <f t="shared" si="138"/>
        <v>16.181288197572066</v>
      </c>
      <c r="Z353" s="385">
        <f t="shared" si="139"/>
        <v>17.077744548566361</v>
      </c>
      <c r="AA353" s="386">
        <f t="shared" si="140"/>
        <v>19.963695451646284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0.14455995434662555</v>
      </c>
      <c r="AD353" s="231">
        <f>(INDEX(Models!$BJ353:$BT353,,AH353)*(1-AF353)+INDEX(Models!$BJ353:$BT353,,AH353+1)*AF353-ERP_i)*AE353*Ramure*Pc/MaxiM</f>
        <v>2.2223077210513642E-3</v>
      </c>
      <c r="AE353" s="305">
        <f t="shared" si="142"/>
        <v>0.7</v>
      </c>
      <c r="AF353" s="177">
        <f t="shared" si="143"/>
        <v>0.199155683987565</v>
      </c>
      <c r="AG353" s="810">
        <f t="shared" si="149"/>
        <v>1</v>
      </c>
      <c r="AH353" s="176">
        <f t="shared" si="144"/>
        <v>7</v>
      </c>
      <c r="AI353" s="225">
        <f t="shared" si="145"/>
        <v>1.199155683987565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9.2561301764540502</v>
      </c>
      <c r="C354" s="840"/>
      <c r="D354" s="393">
        <f t="shared" si="127"/>
        <v>9.7691545584092392</v>
      </c>
      <c r="E354" s="385">
        <f t="shared" si="125"/>
        <v>10.795059144698216</v>
      </c>
      <c r="F354" s="385">
        <f t="shared" si="128"/>
        <v>10.803674529518306</v>
      </c>
      <c r="G354" s="110">
        <f t="shared" si="126"/>
        <v>0.55200434431970702</v>
      </c>
      <c r="H354" s="414" t="b">
        <f>Wh_hp&gt;='2023'!Maxi_hp</f>
        <v>0</v>
      </c>
      <c r="I354" s="390">
        <f>IF(H354,Wh_hp,'2023'!Maxi_hp)</f>
        <v>14.0527233412349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5.2514716487270685E-2</v>
      </c>
      <c r="M354" s="844"/>
      <c r="N354" s="844"/>
      <c r="O354" s="48">
        <f>IF(t&lt;Tnet,'2023'!Resal+('2023'!Salim-'2023'!Resal)*(1-EXP(('2023'!Tnet-t)/('2023'!Tau_j))),Resal+(Salim-Resal)*(1-EXP((Tnet-t)/(Tau_j))))*Salcycl</f>
        <v>9.5034642472786285E-2</v>
      </c>
      <c r="P354" s="169">
        <f>(INDEX(Models!$BJ354:$BT354,,T354)*(1-R354)+INDEX(Models!$BJ354:$BT354,,T354+1)*R354-ERP_i)*Q354*Ramure*Pc/MaxiM</f>
        <v>2.2082599768090323E-3</v>
      </c>
      <c r="Q354" s="305">
        <f t="shared" si="130"/>
        <v>0.7</v>
      </c>
      <c r="R354" s="177">
        <f t="shared" si="131"/>
        <v>0.19916640542318342</v>
      </c>
      <c r="S354" s="810">
        <f t="shared" si="132"/>
        <v>1</v>
      </c>
      <c r="T354" s="176">
        <f t="shared" si="133"/>
        <v>7</v>
      </c>
      <c r="U354" s="251">
        <f t="shared" si="134"/>
        <v>1.1991664054231834</v>
      </c>
      <c r="V354" s="383">
        <f t="shared" si="135"/>
        <v>16.744544140262672</v>
      </c>
      <c r="W354" s="402">
        <f t="shared" si="136"/>
        <v>9.2561301764540502</v>
      </c>
      <c r="X354" s="157">
        <f t="shared" si="137"/>
        <v>45631</v>
      </c>
      <c r="Y354" s="385">
        <f t="shared" si="138"/>
        <v>8.7495855515669465</v>
      </c>
      <c r="Z354" s="385">
        <f t="shared" si="139"/>
        <v>9.2345345134317292</v>
      </c>
      <c r="AA354" s="386">
        <f t="shared" si="140"/>
        <v>10.795059144698216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0.14455915529030777</v>
      </c>
      <c r="AD354" s="231">
        <f>(INDEX(Models!$BJ354:$BT354,,AH354)*(1-AF354)+INDEX(Models!$BJ354:$BT354,,AH354+1)*AF354-ERP_i)*AE354*Ramure*Pc/MaxiM</f>
        <v>2.2082599768090323E-3</v>
      </c>
      <c r="AE354" s="305">
        <f t="shared" si="142"/>
        <v>0.7</v>
      </c>
      <c r="AF354" s="177">
        <f t="shared" si="143"/>
        <v>0.19916640542318342</v>
      </c>
      <c r="AG354" s="810">
        <f t="shared" si="149"/>
        <v>1</v>
      </c>
      <c r="AH354" s="176">
        <f t="shared" si="144"/>
        <v>7</v>
      </c>
      <c r="AI354" s="225">
        <f t="shared" si="145"/>
        <v>1.1991664054231834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15.277590593451926</v>
      </c>
      <c r="C355" s="840"/>
      <c r="D355" s="393">
        <f t="shared" si="127"/>
        <v>16.124731855397563</v>
      </c>
      <c r="E355" s="385">
        <f t="shared" si="125"/>
        <v>17.819419084025768</v>
      </c>
      <c r="F355" s="385">
        <f t="shared" si="128"/>
        <v>17.854007487628344</v>
      </c>
      <c r="G355" s="110">
        <f t="shared" si="126"/>
        <v>0.91743415173035503</v>
      </c>
      <c r="H355" s="414" t="b">
        <f>Wh_hp&gt;='2023'!Maxi_hp</f>
        <v>0</v>
      </c>
      <c r="I355" s="390">
        <f>IF(H355,Wh_hp,'2023'!Maxi_hp)</f>
        <v>17.855995616436367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5.2536765854004908E-2</v>
      </c>
      <c r="M355" s="844"/>
      <c r="N355" s="844"/>
      <c r="O355" s="48">
        <f>IF(t&lt;Tnet,'2023'!Resal+('2023'!Salim-'2023'!Resal)*(1-EXP(('2023'!Tnet-t)/('2023'!Tau_j))),Resal+(Salim-Resal)*(1-EXP((Tnet-t)/(Tau_j))))*Salcycl</f>
        <v>9.5103393698586322E-2</v>
      </c>
      <c r="P355" s="169">
        <f>(INDEX(Models!$BJ355:$BT355,,T355)*(1-R355)+INDEX(Models!$BJ355:$BT355,,T355+1)*R355-ERP_i)*Q355*Ramure*Pc/MaxiM</f>
        <v>2.1955090534903866E-3</v>
      </c>
      <c r="Q355" s="305">
        <f t="shared" si="130"/>
        <v>0.7</v>
      </c>
      <c r="R355" s="177">
        <f t="shared" si="131"/>
        <v>0.19917669572261154</v>
      </c>
      <c r="S355" s="810">
        <f t="shared" si="132"/>
        <v>1</v>
      </c>
      <c r="T355" s="176">
        <f t="shared" si="133"/>
        <v>7</v>
      </c>
      <c r="U355" s="251">
        <f t="shared" si="134"/>
        <v>1.1991766957226115</v>
      </c>
      <c r="V355" s="383">
        <f t="shared" si="135"/>
        <v>16.648211704135267</v>
      </c>
      <c r="W355" s="402">
        <f t="shared" si="136"/>
        <v>15.277590593451926</v>
      </c>
      <c r="X355" s="157">
        <f t="shared" si="137"/>
        <v>45632</v>
      </c>
      <c r="Y355" s="385">
        <f t="shared" si="138"/>
        <v>14.442592018652515</v>
      </c>
      <c r="Z355" s="385">
        <f t="shared" si="139"/>
        <v>15.243432671738953</v>
      </c>
      <c r="AA355" s="386">
        <f t="shared" si="140"/>
        <v>17.819419084025768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0.14456062793854263</v>
      </c>
      <c r="AD355" s="231">
        <f>(INDEX(Models!$BJ355:$BT355,,AH355)*(1-AF355)+INDEX(Models!$BJ355:$BT355,,AH355+1)*AF355-ERP_i)*AE355*Ramure*Pc/MaxiM</f>
        <v>2.1955090534903866E-3</v>
      </c>
      <c r="AE355" s="305">
        <f t="shared" si="142"/>
        <v>0.7</v>
      </c>
      <c r="AF355" s="177">
        <f t="shared" si="143"/>
        <v>0.19917669572261154</v>
      </c>
      <c r="AG355" s="810">
        <f t="shared" si="149"/>
        <v>1</v>
      </c>
      <c r="AH355" s="176">
        <f t="shared" si="144"/>
        <v>7</v>
      </c>
      <c r="AI355" s="225">
        <f t="shared" si="145"/>
        <v>1.1991766957226115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3.8697541893040048</v>
      </c>
      <c r="C356" s="840"/>
      <c r="D356" s="393">
        <f t="shared" si="127"/>
        <v>4.0844268218188056</v>
      </c>
      <c r="E356" s="385">
        <f t="shared" si="125"/>
        <v>4.5140441486422489</v>
      </c>
      <c r="F356" s="385">
        <f t="shared" si="128"/>
        <v>4.5140441486422489</v>
      </c>
      <c r="G356" s="110">
        <f t="shared" si="126"/>
        <v>0.23314518042751736</v>
      </c>
      <c r="H356" s="414" t="b">
        <f>Wh_hp&gt;='2023'!Maxi_hp</f>
        <v>0</v>
      </c>
      <c r="I356" s="390">
        <f>IF(H356,Wh_hp,'2023'!Maxi_hp)</f>
        <v>14.230610193408706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5.2558814707618251E-2</v>
      </c>
      <c r="M356" s="844"/>
      <c r="N356" s="844"/>
      <c r="O356" s="48">
        <f>IF(t&lt;Tnet,'2023'!Resal+('2023'!Salim-'2023'!Resal)*(1-EXP(('2023'!Tnet-t)/('2023'!Tau_j))),Resal+(Salim-Resal)*(1-EXP((Tnet-t)/(Tau_j))))*Salcycl</f>
        <v>9.5173488046780663E-2</v>
      </c>
      <c r="P356" s="169">
        <f>(INDEX(Models!$BJ356:$BT356,,T356)*(1-R356)+INDEX(Models!$BJ356:$BT356,,T356+1)*R356-ERP_i)*Q356*Ramure*Pc/MaxiM</f>
        <v>2.1840101792312784E-3</v>
      </c>
      <c r="Q356" s="305">
        <f t="shared" si="130"/>
        <v>0.7</v>
      </c>
      <c r="R356" s="177">
        <f t="shared" si="131"/>
        <v>0.19918657220207869</v>
      </c>
      <c r="S356" s="810">
        <f t="shared" si="132"/>
        <v>1</v>
      </c>
      <c r="T356" s="176">
        <f t="shared" si="133"/>
        <v>7</v>
      </c>
      <c r="U356" s="251">
        <f t="shared" si="134"/>
        <v>1.1991865722020787</v>
      </c>
      <c r="V356" s="383">
        <f t="shared" si="135"/>
        <v>16.561794670955614</v>
      </c>
      <c r="W356" s="402">
        <f t="shared" si="136"/>
        <v>3.8697541893040048</v>
      </c>
      <c r="X356" s="157">
        <f t="shared" si="137"/>
        <v>45633</v>
      </c>
      <c r="Y356" s="385">
        <f t="shared" si="138"/>
        <v>3.6585199598105529</v>
      </c>
      <c r="Z356" s="385">
        <f t="shared" si="139"/>
        <v>3.8614744815864515</v>
      </c>
      <c r="AA356" s="386">
        <f t="shared" si="140"/>
        <v>4.5140441486422489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0.14456430765128428</v>
      </c>
      <c r="AD356" s="231">
        <f>(INDEX(Models!$BJ356:$BT356,,AH356)*(1-AF356)+INDEX(Models!$BJ356:$BT356,,AH356+1)*AF356-ERP_i)*AE356*Ramure*Pc/MaxiM</f>
        <v>2.1840101792312784E-3</v>
      </c>
      <c r="AE356" s="305">
        <f t="shared" si="142"/>
        <v>0.7</v>
      </c>
      <c r="AF356" s="177">
        <f t="shared" si="143"/>
        <v>0.19918657220207869</v>
      </c>
      <c r="AG356" s="810">
        <f t="shared" si="149"/>
        <v>1</v>
      </c>
      <c r="AH356" s="176">
        <f t="shared" si="144"/>
        <v>7</v>
      </c>
      <c r="AI356" s="225">
        <f t="shared" si="145"/>
        <v>1.1991865722020787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4.7015631544573466</v>
      </c>
      <c r="C357" s="840"/>
      <c r="D357" s="393">
        <f t="shared" si="127"/>
        <v>4.9624954479847645</v>
      </c>
      <c r="E357" s="385">
        <f t="shared" si="125"/>
        <v>5.4849045381216657</v>
      </c>
      <c r="F357" s="385">
        <f t="shared" si="128"/>
        <v>5.4849045381216657</v>
      </c>
      <c r="G357" s="110">
        <f t="shared" si="126"/>
        <v>0.28456942431661858</v>
      </c>
      <c r="H357" s="414" t="b">
        <f>Wh_hp&gt;='2023'!Maxi_hp</f>
        <v>0</v>
      </c>
      <c r="I357" s="390">
        <f>IF(H357,Wh_hp,'2023'!Maxi_hp)</f>
        <v>10.283678349894517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5.2580863048122484E-2</v>
      </c>
      <c r="M357" s="844"/>
      <c r="N357" s="844"/>
      <c r="O357" s="48">
        <f>IF(t&lt;Tnet,'2023'!Resal+('2023'!Salim-'2023'!Resal)*(1-EXP(('2023'!Tnet-t)/('2023'!Tau_j))),Resal+(Salim-Resal)*(1-EXP((Tnet-t)/(Tau_j))))*Salcycl</f>
        <v>9.5244882842719925E-2</v>
      </c>
      <c r="P357" s="169">
        <f>(INDEX(Models!$BJ357:$BT357,,T357)*(1-R357)+INDEX(Models!$BJ357:$BT357,,T357+1)*R357-ERP_i)*Q357*Ramure*Pc/MaxiM</f>
        <v>2.1737157505244218E-3</v>
      </c>
      <c r="Q357" s="305">
        <f t="shared" si="130"/>
        <v>0.7</v>
      </c>
      <c r="R357" s="177">
        <f t="shared" si="131"/>
        <v>0.19919605148396657</v>
      </c>
      <c r="S357" s="810">
        <f t="shared" si="132"/>
        <v>1</v>
      </c>
      <c r="T357" s="176">
        <f t="shared" si="133"/>
        <v>7</v>
      </c>
      <c r="U357" s="251">
        <f t="shared" si="134"/>
        <v>1.1991960514839666</v>
      </c>
      <c r="V357" s="383">
        <f t="shared" si="135"/>
        <v>16.485760210684898</v>
      </c>
      <c r="W357" s="402">
        <f t="shared" si="136"/>
        <v>4.7015631544573466</v>
      </c>
      <c r="X357" s="157">
        <f t="shared" si="137"/>
        <v>45634</v>
      </c>
      <c r="Y357" s="385">
        <f t="shared" si="138"/>
        <v>4.4452443618143702</v>
      </c>
      <c r="Z357" s="385">
        <f t="shared" si="139"/>
        <v>4.6919512055836368</v>
      </c>
      <c r="AA357" s="386">
        <f t="shared" si="140"/>
        <v>5.4849045381216657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0.14457012460778029</v>
      </c>
      <c r="AD357" s="231">
        <f>(INDEX(Models!$BJ357:$BT357,,AH357)*(1-AF357)+INDEX(Models!$BJ357:$BT357,,AH357+1)*AF357-ERP_i)*AE357*Ramure*Pc/MaxiM</f>
        <v>2.1737157505244218E-3</v>
      </c>
      <c r="AE357" s="305">
        <f t="shared" si="142"/>
        <v>0.7</v>
      </c>
      <c r="AF357" s="177">
        <f t="shared" si="143"/>
        <v>0.19919605148396657</v>
      </c>
      <c r="AG357" s="810">
        <f t="shared" si="149"/>
        <v>1</v>
      </c>
      <c r="AH357" s="176">
        <f t="shared" si="144"/>
        <v>7</v>
      </c>
      <c r="AI357" s="225">
        <f t="shared" si="145"/>
        <v>1.1991960514839666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10.669574006585714</v>
      </c>
      <c r="C358" s="840"/>
      <c r="D358" s="393">
        <f t="shared" si="127"/>
        <v>11.26198732196435</v>
      </c>
      <c r="E358" s="385">
        <f t="shared" si="125"/>
        <v>12.448552639338981</v>
      </c>
      <c r="F358" s="385">
        <f t="shared" si="128"/>
        <v>12.462031224041992</v>
      </c>
      <c r="G358" s="110">
        <f t="shared" si="126"/>
        <v>0.64906412630256105</v>
      </c>
      <c r="H358" s="414" t="b">
        <f>Wh_hp&gt;='2023'!Maxi_hp</f>
        <v>0</v>
      </c>
      <c r="I358" s="390">
        <f>IF(H358,Wh_hp,'2023'!Maxi_hp)</f>
        <v>16.477677553533571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5.2602910875529596E-2</v>
      </c>
      <c r="M358" s="844"/>
      <c r="N358" s="844"/>
      <c r="O358" s="48">
        <f>IF(t&lt;Tnet,'2023'!Resal+('2023'!Salim-'2023'!Resal)*(1-EXP(('2023'!Tnet-t)/('2023'!Tau_j))),Resal+(Salim-Resal)*(1-EXP((Tnet-t)/(Tau_j))))*Salcycl</f>
        <v>9.5317532226592866E-2</v>
      </c>
      <c r="P358" s="169">
        <f>(INDEX(Models!$BJ358:$BT358,,T358)*(1-R358)+INDEX(Models!$BJ358:$BT358,,T358+1)*R358-ERP_i)*Q358*Ramure*Pc/MaxiM</f>
        <v>2.1645752643782486E-3</v>
      </c>
      <c r="Q358" s="305">
        <f t="shared" si="130"/>
        <v>0.7</v>
      </c>
      <c r="R358" s="177">
        <f t="shared" si="131"/>
        <v>0.19920514952448221</v>
      </c>
      <c r="S358" s="810">
        <f t="shared" si="132"/>
        <v>1</v>
      </c>
      <c r="T358" s="176">
        <f t="shared" si="133"/>
        <v>7</v>
      </c>
      <c r="U358" s="251">
        <f t="shared" si="134"/>
        <v>1.1992051495244822</v>
      </c>
      <c r="V358" s="383">
        <f t="shared" si="135"/>
        <v>16.420575225899857</v>
      </c>
      <c r="W358" s="402">
        <f t="shared" si="136"/>
        <v>10.669574006585714</v>
      </c>
      <c r="X358" s="157">
        <f t="shared" si="137"/>
        <v>45635</v>
      </c>
      <c r="Y358" s="385">
        <f t="shared" si="138"/>
        <v>10.088609666216579</v>
      </c>
      <c r="Z358" s="385">
        <f t="shared" si="139"/>
        <v>10.648765741448381</v>
      </c>
      <c r="AA358" s="386">
        <f t="shared" si="140"/>
        <v>12.448552639338981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0.14457800437000595</v>
      </c>
      <c r="AD358" s="231">
        <f>(INDEX(Models!$BJ358:$BT358,,AH358)*(1-AF358)+INDEX(Models!$BJ358:$BT358,,AH358+1)*AF358-ERP_i)*AE358*Ramure*Pc/MaxiM</f>
        <v>2.1645752643782486E-3</v>
      </c>
      <c r="AE358" s="305">
        <f t="shared" si="142"/>
        <v>0.7</v>
      </c>
      <c r="AF358" s="177">
        <f t="shared" si="143"/>
        <v>0.19920514952448221</v>
      </c>
      <c r="AG358" s="810">
        <f t="shared" si="149"/>
        <v>1</v>
      </c>
      <c r="AH358" s="176">
        <f t="shared" si="144"/>
        <v>7</v>
      </c>
      <c r="AI358" s="225">
        <f t="shared" si="145"/>
        <v>1.1992051495244822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13.035554166286763</v>
      </c>
      <c r="C359" s="840"/>
      <c r="D359" s="393">
        <f t="shared" si="127"/>
        <v>13.759655459552475</v>
      </c>
      <c r="E359" s="385">
        <f t="shared" si="125"/>
        <v>15.210617354073305</v>
      </c>
      <c r="F359" s="385">
        <f t="shared" si="128"/>
        <v>15.233914940677966</v>
      </c>
      <c r="G359" s="110">
        <f t="shared" si="126"/>
        <v>0.79593218517292819</v>
      </c>
      <c r="H359" s="414" t="b">
        <f>Wh_hp&gt;='2023'!Maxi_hp</f>
        <v>0</v>
      </c>
      <c r="I359" s="390">
        <f>IF(H359,Wh_hp,'2023'!Maxi_hp)</f>
        <v>16.479573454056037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5.2624958189851578E-2</v>
      </c>
      <c r="M359" s="844"/>
      <c r="N359" s="844"/>
      <c r="O359" s="48">
        <f>IF(t&lt;Tnet,'2023'!Resal+('2023'!Salim-'2023'!Resal)*(1-EXP(('2023'!Tnet-t)/('2023'!Tau_j))),Resal+(Salim-Resal)*(1-EXP((Tnet-t)/(Tau_j))))*Salcycl</f>
        <v>9.5391387525258525E-2</v>
      </c>
      <c r="P359" s="169">
        <f>(INDEX(Models!$BJ359:$BT359,,T359)*(1-R359)+INDEX(Models!$BJ359:$BT359,,T359+1)*R359-ERP_i)*Q359*Ramure*Pc/MaxiM</f>
        <v>2.1564397327891649E-3</v>
      </c>
      <c r="Q359" s="305">
        <f t="shared" si="130"/>
        <v>0.7</v>
      </c>
      <c r="R359" s="177">
        <f t="shared" si="131"/>
        <v>0.19921388164023535</v>
      </c>
      <c r="S359" s="810">
        <f t="shared" si="132"/>
        <v>1</v>
      </c>
      <c r="T359" s="176">
        <f t="shared" si="133"/>
        <v>7</v>
      </c>
      <c r="U359" s="251">
        <f t="shared" si="134"/>
        <v>1.1992138816402353</v>
      </c>
      <c r="V359" s="383">
        <f t="shared" si="135"/>
        <v>16.367433158759319</v>
      </c>
      <c r="W359" s="402">
        <f t="shared" si="136"/>
        <v>13.035554166286763</v>
      </c>
      <c r="X359" s="157">
        <f t="shared" si="137"/>
        <v>45636</v>
      </c>
      <c r="Y359" s="385">
        <f t="shared" si="138"/>
        <v>12.326625041365855</v>
      </c>
      <c r="Z359" s="385">
        <f t="shared" si="139"/>
        <v>13.011346612861351</v>
      </c>
      <c r="AA359" s="386">
        <f t="shared" si="140"/>
        <v>15.210617354073305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0.14458786846169674</v>
      </c>
      <c r="AD359" s="231">
        <f>(INDEX(Models!$BJ359:$BT359,,AH359)*(1-AF359)+INDEX(Models!$BJ359:$BT359,,AH359+1)*AF359-ERP_i)*AE359*Ramure*Pc/MaxiM</f>
        <v>2.1564397327891649E-3</v>
      </c>
      <c r="AE359" s="305">
        <f t="shared" si="142"/>
        <v>0.7</v>
      </c>
      <c r="AF359" s="177">
        <f t="shared" si="143"/>
        <v>0.19921388164023535</v>
      </c>
      <c r="AG359" s="810">
        <f t="shared" si="149"/>
        <v>1</v>
      </c>
      <c r="AH359" s="176">
        <f t="shared" si="144"/>
        <v>7</v>
      </c>
      <c r="AI359" s="225">
        <f t="shared" si="145"/>
        <v>1.1992138816402353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4.0948825625351688</v>
      </c>
      <c r="C360" s="840"/>
      <c r="D360" s="393">
        <f t="shared" si="127"/>
        <v>4.3224464208261679</v>
      </c>
      <c r="E360" s="385">
        <f t="shared" si="125"/>
        <v>4.7786465970032026</v>
      </c>
      <c r="F360" s="385">
        <f t="shared" si="128"/>
        <v>4.7786465970032026</v>
      </c>
      <c r="G360" s="110">
        <f t="shared" si="126"/>
        <v>0.25027096055084797</v>
      </c>
      <c r="H360" s="414" t="b">
        <f>Wh_hp&gt;='2023'!Maxi_hp</f>
        <v>0</v>
      </c>
      <c r="I360" s="390">
        <f>IF(H360,Wh_hp,'2023'!Maxi_hp)</f>
        <v>18.530251867552792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5.2647004991100421E-2</v>
      </c>
      <c r="M360" s="844"/>
      <c r="N360" s="844"/>
      <c r="O360" s="48">
        <f>IF(t&lt;Tnet,'2023'!Resal+('2023'!Salim-'2023'!Resal)*(1-EXP(('2023'!Tnet-t)/('2023'!Tau_j))),Resal+(Salim-Resal)*(1-EXP((Tnet-t)/(Tau_j))))*Salcycl</f>
        <v>9.5466397632988476E-2</v>
      </c>
      <c r="P360" s="169">
        <f>(INDEX(Models!$BJ360:$BT360,,T360)*(1-R360)+INDEX(Models!$BJ360:$BT360,,T360+1)*R360-ERP_i)*Q360*Ramure*Pc/MaxiM</f>
        <v>2.1492753256584485E-3</v>
      </c>
      <c r="Q360" s="305">
        <f t="shared" si="130"/>
        <v>0.7</v>
      </c>
      <c r="R360" s="177">
        <f t="shared" si="131"/>
        <v>0.19922226253376718</v>
      </c>
      <c r="S360" s="810">
        <f t="shared" si="132"/>
        <v>1</v>
      </c>
      <c r="T360" s="176">
        <f t="shared" si="133"/>
        <v>7</v>
      </c>
      <c r="U360" s="251">
        <f t="shared" si="134"/>
        <v>1.1992222625337672</v>
      </c>
      <c r="V360" s="383">
        <f t="shared" si="135"/>
        <v>16.326630638602861</v>
      </c>
      <c r="W360" s="402">
        <f t="shared" si="136"/>
        <v>4.0948825625351688</v>
      </c>
      <c r="X360" s="157">
        <f t="shared" si="137"/>
        <v>45637</v>
      </c>
      <c r="Y360" s="385">
        <f t="shared" si="138"/>
        <v>3.87245319535849</v>
      </c>
      <c r="Z360" s="385">
        <f t="shared" si="139"/>
        <v>4.0876560434815659</v>
      </c>
      <c r="AA360" s="386">
        <f t="shared" si="140"/>
        <v>4.7786465970032026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0.14459963495835257</v>
      </c>
      <c r="AD360" s="231">
        <f>(INDEX(Models!$BJ360:$BT360,,AH360)*(1-AF360)+INDEX(Models!$BJ360:$BT360,,AH360+1)*AF360-ERP_i)*AE360*Ramure*Pc/MaxiM</f>
        <v>2.1492753256584485E-3</v>
      </c>
      <c r="AE360" s="305">
        <f t="shared" si="142"/>
        <v>0.7</v>
      </c>
      <c r="AF360" s="177">
        <f t="shared" si="143"/>
        <v>0.19922226253376718</v>
      </c>
      <c r="AG360" s="810">
        <f t="shared" si="149"/>
        <v>1</v>
      </c>
      <c r="AH360" s="176">
        <f t="shared" si="144"/>
        <v>7</v>
      </c>
      <c r="AI360" s="225">
        <f t="shared" si="145"/>
        <v>1.1992222625337672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5.0550945656056019</v>
      </c>
      <c r="C361" s="840"/>
      <c r="D361" s="393">
        <f t="shared" si="127"/>
        <v>5.3361442191158925</v>
      </c>
      <c r="E361" s="385">
        <f t="shared" ref="E361:E380" si="150">Wh_pvt/(1-Psa)</f>
        <v>5.8998286537099798</v>
      </c>
      <c r="F361" s="385">
        <f t="shared" si="128"/>
        <v>5.9000124780494474</v>
      </c>
      <c r="G361" s="110">
        <f t="shared" ref="G361:G380" si="151">+Wh_hp/MaxiM</f>
        <v>0.30952494872869601</v>
      </c>
      <c r="H361" s="414" t="b">
        <f>Wh_hp&gt;='2023'!Maxi_hp</f>
        <v>0</v>
      </c>
      <c r="I361" s="390">
        <f>IF(H361,Wh_hp,'2023'!Maxi_hp)</f>
        <v>19.130983394548689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5.2669051279287893E-2</v>
      </c>
      <c r="M361" s="844"/>
      <c r="N361" s="844"/>
      <c r="O361" s="48">
        <f>IF(t&lt;Tnet,'2023'!Resal+('2023'!Salim-'2023'!Resal)*(1-EXP(('2023'!Tnet-t)/('2023'!Tau_j))),Resal+(Salim-Resal)*(1-EXP((Tnet-t)/(Tau_j))))*Salcycl</f>
        <v>9.5542509398069894E-2</v>
      </c>
      <c r="P361" s="169">
        <f>(INDEX(Models!$BJ361:$BT361,,T361)*(1-R361)+INDEX(Models!$BJ361:$BT361,,T361+1)*R361-ERP_i)*Q361*Ramure*Pc/MaxiM</f>
        <v>2.1424317496209627E-3</v>
      </c>
      <c r="Q361" s="305">
        <f t="shared" si="130"/>
        <v>0.7</v>
      </c>
      <c r="R361" s="177">
        <f t="shared" si="131"/>
        <v>0.19923030631806782</v>
      </c>
      <c r="S361" s="810">
        <f t="shared" si="132"/>
        <v>1</v>
      </c>
      <c r="T361" s="176">
        <f t="shared" si="133"/>
        <v>7</v>
      </c>
      <c r="U361" s="251">
        <f t="shared" si="134"/>
        <v>1.1992303063180678</v>
      </c>
      <c r="V361" s="383">
        <f t="shared" si="135"/>
        <v>16.297301908175598</v>
      </c>
      <c r="W361" s="402">
        <f t="shared" si="136"/>
        <v>5.0550945656056019</v>
      </c>
      <c r="X361" s="157">
        <f t="shared" si="137"/>
        <v>45638</v>
      </c>
      <c r="Y361" s="385">
        <f t="shared" si="138"/>
        <v>4.7808339392754</v>
      </c>
      <c r="Z361" s="385">
        <f t="shared" si="139"/>
        <v>5.0466354400555575</v>
      </c>
      <c r="AA361" s="386">
        <f t="shared" si="140"/>
        <v>5.8998286537099798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0.14461321908355934</v>
      </c>
      <c r="AD361" s="231">
        <f>(INDEX(Models!$BJ361:$BT361,,AH361)*(1-AF361)+INDEX(Models!$BJ361:$BT361,,AH361+1)*AF361-ERP_i)*AE361*Ramure*Pc/MaxiM</f>
        <v>2.1424317496209627E-3</v>
      </c>
      <c r="AE361" s="305">
        <f t="shared" si="142"/>
        <v>0.7</v>
      </c>
      <c r="AF361" s="177">
        <f t="shared" si="143"/>
        <v>0.19923030631806782</v>
      </c>
      <c r="AG361" s="810">
        <f t="shared" si="149"/>
        <v>1</v>
      </c>
      <c r="AH361" s="176">
        <f t="shared" si="144"/>
        <v>7</v>
      </c>
      <c r="AI361" s="225">
        <f t="shared" si="145"/>
        <v>1.1992303063180678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14.635669438657038</v>
      </c>
      <c r="C362" s="840"/>
      <c r="D362" s="393">
        <f t="shared" si="127"/>
        <v>15.449732809592213</v>
      </c>
      <c r="E362" s="385">
        <f t="shared" si="150"/>
        <v>17.083225124582682</v>
      </c>
      <c r="F362" s="385">
        <f t="shared" si="128"/>
        <v>17.114511437695512</v>
      </c>
      <c r="G362" s="110">
        <f t="shared" si="151"/>
        <v>0.89879853628912088</v>
      </c>
      <c r="H362" s="414" t="b">
        <f>Wh_hp&gt;='2023'!Maxi_hp</f>
        <v>0</v>
      </c>
      <c r="I362" s="390">
        <f>IF(H362,Wh_hp,'2023'!Maxi_hp)</f>
        <v>19.357739032195155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5.2691097054426095E-2</v>
      </c>
      <c r="M362" s="844"/>
      <c r="N362" s="844"/>
      <c r="O362" s="48">
        <f>IF(t&lt;Tnet,'2023'!Resal+('2023'!Salim-'2023'!Resal)*(1-EXP(('2023'!Tnet-t)/('2023'!Tau_j))),Resal+(Salim-Resal)*(1-EXP((Tnet-t)/(Tau_j))))*Salcycl</f>
        <v>9.5619668012211695E-2</v>
      </c>
      <c r="P362" s="169">
        <f>(INDEX(Models!$BJ362:$BT362,,T362)*(1-R362)+INDEX(Models!$BJ362:$BT362,,T362+1)*R362-ERP_i)*Q362*Ramure*Pc/MaxiM</f>
        <v>2.1360236265438081E-3</v>
      </c>
      <c r="Q362" s="305">
        <f t="shared" si="130"/>
        <v>0.7</v>
      </c>
      <c r="R362" s="177">
        <f t="shared" si="131"/>
        <v>0.19923802654012324</v>
      </c>
      <c r="S362" s="810">
        <f t="shared" si="132"/>
        <v>1</v>
      </c>
      <c r="T362" s="176">
        <f t="shared" si="133"/>
        <v>7</v>
      </c>
      <c r="U362" s="251">
        <f t="shared" si="134"/>
        <v>1.1992380265401232</v>
      </c>
      <c r="V362" s="383">
        <f t="shared" si="135"/>
        <v>16.27856889462495</v>
      </c>
      <c r="W362" s="402">
        <f t="shared" si="136"/>
        <v>14.635669438657038</v>
      </c>
      <c r="X362" s="157">
        <f t="shared" si="137"/>
        <v>45639</v>
      </c>
      <c r="Y362" s="385">
        <f t="shared" si="138"/>
        <v>13.842554491365696</v>
      </c>
      <c r="Z362" s="385">
        <f t="shared" si="139"/>
        <v>14.612503322119625</v>
      </c>
      <c r="AA362" s="386">
        <f t="shared" si="140"/>
        <v>17.083225124582682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0.14462853380698598</v>
      </c>
      <c r="AD362" s="231">
        <f>(INDEX(Models!$BJ362:$BT362,,AH362)*(1-AF362)+INDEX(Models!$BJ362:$BT362,,AH362+1)*AF362-ERP_i)*AE362*Ramure*Pc/MaxiM</f>
        <v>2.1360236265438081E-3</v>
      </c>
      <c r="AE362" s="305">
        <f t="shared" si="142"/>
        <v>0.7</v>
      </c>
      <c r="AF362" s="177">
        <f t="shared" si="143"/>
        <v>0.19923802654012324</v>
      </c>
      <c r="AG362" s="810">
        <f t="shared" si="149"/>
        <v>1</v>
      </c>
      <c r="AH362" s="176">
        <f t="shared" si="144"/>
        <v>7</v>
      </c>
      <c r="AI362" s="225">
        <f t="shared" si="145"/>
        <v>1.1992380265401232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5.5302019978056238</v>
      </c>
      <c r="C363" s="840"/>
      <c r="D363" s="393">
        <f t="shared" si="127"/>
        <v>5.8379380574637807</v>
      </c>
      <c r="E363" s="385">
        <f t="shared" si="150"/>
        <v>6.4557381036911865</v>
      </c>
      <c r="F363" s="385">
        <f t="shared" si="128"/>
        <v>6.4565222686021402</v>
      </c>
      <c r="G363" s="110">
        <f t="shared" si="151"/>
        <v>0.33922823739194868</v>
      </c>
      <c r="H363" s="414" t="b">
        <f>Wh_hp&gt;='2023'!Maxi_hp</f>
        <v>0</v>
      </c>
      <c r="I363" s="390">
        <f>IF(H363,Wh_hp,'2023'!Maxi_hp)</f>
        <v>18.722199127908961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5.2713142316526906E-2</v>
      </c>
      <c r="M363" s="844"/>
      <c r="N363" s="844"/>
      <c r="O363" s="48">
        <f>IF(t&lt;Tnet,'2023'!Resal+('2023'!Salim-'2023'!Resal)*(1-EXP(('2023'!Tnet-t)/('2023'!Tau_j))),Resal+(Salim-Resal)*(1-EXP((Tnet-t)/(Tau_j))))*Salcycl</f>
        <v>9.5697817399712656E-2</v>
      </c>
      <c r="P363" s="169">
        <f>(INDEX(Models!$BJ363:$BT363,,T363)*(1-R363)+INDEX(Models!$BJ363:$BT363,,T363+1)*R363-ERP_i)*Q363*Ramure*Pc/MaxiM</f>
        <v>2.1301640759658668E-3</v>
      </c>
      <c r="Q363" s="305">
        <f t="shared" si="130"/>
        <v>0.7</v>
      </c>
      <c r="R363" s="177">
        <f t="shared" si="131"/>
        <v>0.19924543620352853</v>
      </c>
      <c r="S363" s="810">
        <f t="shared" si="132"/>
        <v>1</v>
      </c>
      <c r="T363" s="176">
        <f t="shared" si="133"/>
        <v>7</v>
      </c>
      <c r="U363" s="251">
        <f t="shared" si="134"/>
        <v>1.1992454362035285</v>
      </c>
      <c r="V363" s="383">
        <f t="shared" si="135"/>
        <v>16.269553836902539</v>
      </c>
      <c r="W363" s="402">
        <f t="shared" si="136"/>
        <v>5.5302019978056238</v>
      </c>
      <c r="X363" s="157">
        <f t="shared" si="137"/>
        <v>45640</v>
      </c>
      <c r="Y363" s="385">
        <f t="shared" si="138"/>
        <v>5.2308656427234883</v>
      </c>
      <c r="Z363" s="385">
        <f t="shared" si="139"/>
        <v>5.521944699534016</v>
      </c>
      <c r="AA363" s="386">
        <f t="shared" si="140"/>
        <v>6.4557381036911865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0.14464549043946762</v>
      </c>
      <c r="AD363" s="231">
        <f>(INDEX(Models!$BJ363:$BT363,,AH363)*(1-AF363)+INDEX(Models!$BJ363:$BT363,,AH363+1)*AF363-ERP_i)*AE363*Ramure*Pc/MaxiM</f>
        <v>2.1301640759658668E-3</v>
      </c>
      <c r="AE363" s="305">
        <f t="shared" si="142"/>
        <v>0.7</v>
      </c>
      <c r="AF363" s="177">
        <f t="shared" si="143"/>
        <v>0.19924543620352853</v>
      </c>
      <c r="AG363" s="810">
        <f t="shared" si="149"/>
        <v>1</v>
      </c>
      <c r="AH363" s="176">
        <f t="shared" si="144"/>
        <v>7</v>
      </c>
      <c r="AI363" s="225">
        <f t="shared" si="145"/>
        <v>1.1992454362035285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4.9473160903141649</v>
      </c>
      <c r="C364" s="840"/>
      <c r="D364" s="393">
        <f t="shared" si="127"/>
        <v>5.2227381644089297</v>
      </c>
      <c r="E364" s="385">
        <f t="shared" si="150"/>
        <v>5.7759397740381848</v>
      </c>
      <c r="F364" s="385">
        <f t="shared" si="128"/>
        <v>5.7760114456797034</v>
      </c>
      <c r="G364" s="110">
        <f t="shared" si="151"/>
        <v>0.30344516482891343</v>
      </c>
      <c r="H364" s="414" t="b">
        <f>Wh_hp&gt;='2023'!Maxi_hp</f>
        <v>0</v>
      </c>
      <c r="I364" s="390">
        <f>IF(H364,Wh_hp,'2023'!Maxi_hp)</f>
        <v>18.52551005734108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5.2735187065602207E-2</v>
      </c>
      <c r="M364" s="844"/>
      <c r="N364" s="844"/>
      <c r="O364" s="48">
        <f>IF(t&lt;Tnet,'2023'!Resal+('2023'!Salim-'2023'!Resal)*(1-EXP(('2023'!Tnet-t)/('2023'!Tau_j))),Resal+(Salim-Resal)*(1-EXP((Tnet-t)/(Tau_j))))*Salcycl</f>
        <v>9.5776900603395679E-2</v>
      </c>
      <c r="P364" s="169">
        <f>(INDEX(Models!$BJ364:$BT364,,T364)*(1-R364)+INDEX(Models!$BJ364:$BT364,,T364+1)*R364-ERP_i)*Q364*Ramure*Pc/MaxiM</f>
        <v>2.1249642924106396E-3</v>
      </c>
      <c r="Q364" s="305">
        <f t="shared" si="130"/>
        <v>0.7</v>
      </c>
      <c r="R364" s="177">
        <f t="shared" si="131"/>
        <v>0.19925254779020474</v>
      </c>
      <c r="S364" s="810">
        <f t="shared" si="132"/>
        <v>1</v>
      </c>
      <c r="T364" s="176">
        <f t="shared" si="133"/>
        <v>7</v>
      </c>
      <c r="U364" s="251">
        <f t="shared" si="134"/>
        <v>1.1992525477902047</v>
      </c>
      <c r="V364" s="383">
        <f t="shared" si="135"/>
        <v>16.269379286858403</v>
      </c>
      <c r="W364" s="402">
        <f t="shared" si="136"/>
        <v>4.9473160903141649</v>
      </c>
      <c r="X364" s="157">
        <f t="shared" si="137"/>
        <v>45641</v>
      </c>
      <c r="Y364" s="385">
        <f t="shared" si="138"/>
        <v>4.6798379317054666</v>
      </c>
      <c r="Z364" s="385">
        <f t="shared" si="139"/>
        <v>4.9403692270680448</v>
      </c>
      <c r="AA364" s="386">
        <f t="shared" si="140"/>
        <v>5.7759397740381848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0.14466399922067749</v>
      </c>
      <c r="AD364" s="231">
        <f>(INDEX(Models!$BJ364:$BT364,,AH364)*(1-AF364)+INDEX(Models!$BJ364:$BT364,,AH364+1)*AF364-ERP_i)*AE364*Ramure*Pc/MaxiM</f>
        <v>2.1249642924106396E-3</v>
      </c>
      <c r="AE364" s="305">
        <f t="shared" si="142"/>
        <v>0.7</v>
      </c>
      <c r="AF364" s="177">
        <f t="shared" si="143"/>
        <v>0.19925254779020474</v>
      </c>
      <c r="AG364" s="810">
        <f t="shared" si="149"/>
        <v>1</v>
      </c>
      <c r="AH364" s="176">
        <f t="shared" si="144"/>
        <v>7</v>
      </c>
      <c r="AI364" s="225">
        <f t="shared" si="145"/>
        <v>1.1992525477902047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3.2975315554606355</v>
      </c>
      <c r="C365" s="840"/>
      <c r="D365" s="393">
        <f t="shared" si="127"/>
        <v>3.4811894737311899</v>
      </c>
      <c r="E365" s="385">
        <f t="shared" si="150"/>
        <v>3.850263658876075</v>
      </c>
      <c r="F365" s="385">
        <f t="shared" si="128"/>
        <v>3.850263658876075</v>
      </c>
      <c r="G365" s="110">
        <f t="shared" si="151"/>
        <v>0.20215672687173636</v>
      </c>
      <c r="H365" s="414" t="b">
        <f>Wh_hp&gt;='2023'!Maxi_hp</f>
        <v>0</v>
      </c>
      <c r="I365" s="390">
        <f>IF(H365,Wh_hp,'2023'!Maxi_hp)</f>
        <v>18.608834058846831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5.2757231301663987E-2</v>
      </c>
      <c r="M365" s="844"/>
      <c r="N365" s="844"/>
      <c r="O365" s="48">
        <f>IF(t&lt;Tnet,'2023'!Resal+('2023'!Salim-'2023'!Resal)*(1-EXP(('2023'!Tnet-t)/('2023'!Tau_j))),Resal+(Salim-Resal)*(1-EXP((Tnet-t)/(Tau_j))))*Salcycl</f>
        <v>9.5856860164381913E-2</v>
      </c>
      <c r="P365" s="169">
        <f>(INDEX(Models!$BJ365:$BT365,,T365)*(1-R365)+INDEX(Models!$BJ365:$BT365,,T365+1)*R365-ERP_i)*Q365*Ramure*Pc/MaxiM</f>
        <v>2.1205332522402872E-3</v>
      </c>
      <c r="Q365" s="305">
        <f t="shared" si="130"/>
        <v>0.7</v>
      </c>
      <c r="R365" s="177">
        <f t="shared" si="131"/>
        <v>0.19925937328125465</v>
      </c>
      <c r="S365" s="810">
        <f t="shared" si="132"/>
        <v>1</v>
      </c>
      <c r="T365" s="176">
        <f t="shared" si="133"/>
        <v>7</v>
      </c>
      <c r="U365" s="251">
        <f t="shared" si="134"/>
        <v>1.1992593732812546</v>
      </c>
      <c r="V365" s="383">
        <f t="shared" si="135"/>
        <v>16.277168121319747</v>
      </c>
      <c r="W365" s="402">
        <f t="shared" si="136"/>
        <v>3.2975315554606355</v>
      </c>
      <c r="X365" s="157">
        <f t="shared" si="137"/>
        <v>45642</v>
      </c>
      <c r="Y365" s="385">
        <f t="shared" si="138"/>
        <v>3.1194525234967365</v>
      </c>
      <c r="Z365" s="385">
        <f t="shared" si="139"/>
        <v>3.2931922275673493</v>
      </c>
      <c r="AA365" s="386">
        <f t="shared" si="140"/>
        <v>3.850263658876075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0.14468396989502266</v>
      </c>
      <c r="AD365" s="231">
        <f>(INDEX(Models!$BJ365:$BT365,,AH365)*(1-AF365)+INDEX(Models!$BJ365:$BT365,,AH365+1)*AF365-ERP_i)*AE365*Ramure*Pc/MaxiM</f>
        <v>2.1205332522402872E-3</v>
      </c>
      <c r="AE365" s="305">
        <f t="shared" si="142"/>
        <v>0.7</v>
      </c>
      <c r="AF365" s="177">
        <f t="shared" si="143"/>
        <v>0.19925937328125465</v>
      </c>
      <c r="AG365" s="810">
        <f t="shared" si="149"/>
        <v>1</v>
      </c>
      <c r="AH365" s="176">
        <f t="shared" si="144"/>
        <v>7</v>
      </c>
      <c r="AI365" s="225">
        <f t="shared" si="145"/>
        <v>1.1992593732812546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15.147018421902962</v>
      </c>
      <c r="C366" s="840"/>
      <c r="D366" s="393">
        <f t="shared" si="127"/>
        <v>15.991012466812661</v>
      </c>
      <c r="E366" s="385">
        <f t="shared" si="150"/>
        <v>17.687952897579638</v>
      </c>
      <c r="F366" s="385">
        <f t="shared" si="128"/>
        <v>17.721701737314262</v>
      </c>
      <c r="G366" s="110">
        <f t="shared" si="151"/>
        <v>0.92952072016528098</v>
      </c>
      <c r="H366" s="414" t="b">
        <f>Wh_hp&gt;='2023'!Maxi_hp</f>
        <v>0</v>
      </c>
      <c r="I366" s="390">
        <f>IF(H366,Wh_hp,'2023'!Maxi_hp)</f>
        <v>18.946814090960533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5.2779275024724237E-2</v>
      </c>
      <c r="M366" s="844"/>
      <c r="N366" s="844"/>
      <c r="O366" s="48">
        <f>IF(t&lt;Tnet,'2023'!Resal+('2023'!Salim-'2023'!Resal)*(1-EXP(('2023'!Tnet-t)/('2023'!Tau_j))),Resal+(Salim-Resal)*(1-EXP((Tnet-t)/(Tau_j))))*Salcycl</f>
        <v>9.5937638492873845E-2</v>
      </c>
      <c r="P366" s="169">
        <f>(INDEX(Models!$BJ366:$BT366,,T366)*(1-R366)+INDEX(Models!$BJ366:$BT366,,T366+1)*R366-ERP_i)*Q366*Ramure*Pc/MaxiM</f>
        <v>2.116922075895227E-3</v>
      </c>
      <c r="Q366" s="305">
        <f t="shared" si="130"/>
        <v>0.7</v>
      </c>
      <c r="R366" s="177">
        <f t="shared" si="131"/>
        <v>0.19926592417699007</v>
      </c>
      <c r="S366" s="810">
        <f t="shared" si="132"/>
        <v>1</v>
      </c>
      <c r="T366" s="176">
        <f t="shared" si="133"/>
        <v>7</v>
      </c>
      <c r="U366" s="251">
        <f t="shared" si="134"/>
        <v>1.1992659241769901</v>
      </c>
      <c r="V366" s="383">
        <f t="shared" si="135"/>
        <v>16.292044447740551</v>
      </c>
      <c r="W366" s="402">
        <f t="shared" si="136"/>
        <v>15.147018421902962</v>
      </c>
      <c r="X366" s="157">
        <f t="shared" si="137"/>
        <v>45643</v>
      </c>
      <c r="Y366" s="385">
        <f t="shared" si="138"/>
        <v>14.329945524533654</v>
      </c>
      <c r="Z366" s="385">
        <f t="shared" si="139"/>
        <v>15.12841215009067</v>
      </c>
      <c r="AA366" s="386">
        <f t="shared" si="140"/>
        <v>17.687952897579638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0.14470531227156364</v>
      </c>
      <c r="AD366" s="231">
        <f>(INDEX(Models!$BJ366:$BT366,,AH366)*(1-AF366)+INDEX(Models!$BJ366:$BT366,,AH366+1)*AF366-ERP_i)*AE366*Ramure*Pc/MaxiM</f>
        <v>2.116922075895227E-3</v>
      </c>
      <c r="AE366" s="305">
        <f t="shared" si="142"/>
        <v>0.7</v>
      </c>
      <c r="AF366" s="177">
        <f t="shared" si="143"/>
        <v>0.19926592417699007</v>
      </c>
      <c r="AG366" s="810">
        <f t="shared" si="149"/>
        <v>1</v>
      </c>
      <c r="AH366" s="176">
        <f t="shared" si="144"/>
        <v>7</v>
      </c>
      <c r="AI366" s="225">
        <f t="shared" si="145"/>
        <v>1.1992659241769901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12.548851941445532</v>
      </c>
      <c r="C367" s="840"/>
      <c r="D367" s="393">
        <f t="shared" si="127"/>
        <v>13.248384085648658</v>
      </c>
      <c r="E367" s="385">
        <f t="shared" si="150"/>
        <v>14.65560304660859</v>
      </c>
      <c r="F367" s="385">
        <f t="shared" si="128"/>
        <v>14.676387674054984</v>
      </c>
      <c r="G367" s="110">
        <f t="shared" si="151"/>
        <v>0.76871075794965738</v>
      </c>
      <c r="H367" s="414" t="b">
        <f>Wh_hp&gt;='2023'!Maxi_hp</f>
        <v>0</v>
      </c>
      <c r="I367" s="390">
        <f>IF(H367,Wh_hp,'2023'!Maxi_hp)</f>
        <v>18.60656481230383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5.2801318234794836E-2</v>
      </c>
      <c r="M367" s="844"/>
      <c r="N367" s="844"/>
      <c r="O367" s="48">
        <f>IF(t&lt;Tnet,'2023'!Resal+('2023'!Salim-'2023'!Resal)*(1-EXP(('2023'!Tnet-t)/('2023'!Tau_j))),Resal+(Salim-Resal)*(1-EXP((Tnet-t)/(Tau_j))))*Salcycl</f>
        <v>9.6019178227235977E-2</v>
      </c>
      <c r="P367" s="169">
        <f>(INDEX(Models!$BJ367:$BT367,,T367)*(1-R367)+INDEX(Models!$BJ367:$BT367,,T367+1)*R367-ERP_i)*Q367*Ramure*Pc/MaxiM</f>
        <v>2.1126102802265173E-3</v>
      </c>
      <c r="Q367" s="305">
        <f t="shared" si="130"/>
        <v>0.7</v>
      </c>
      <c r="R367" s="177">
        <f t="shared" si="131"/>
        <v>0.19927221151616314</v>
      </c>
      <c r="S367" s="810">
        <f t="shared" si="132"/>
        <v>1</v>
      </c>
      <c r="T367" s="176">
        <f t="shared" si="133"/>
        <v>7</v>
      </c>
      <c r="U367" s="251">
        <f t="shared" si="134"/>
        <v>1.1992722115161631</v>
      </c>
      <c r="V367" s="383">
        <f t="shared" si="135"/>
        <v>16.313158370760807</v>
      </c>
      <c r="W367" s="402">
        <f t="shared" si="136"/>
        <v>12.548851941445532</v>
      </c>
      <c r="X367" s="157">
        <f t="shared" si="137"/>
        <v>45644</v>
      </c>
      <c r="Y367" s="385">
        <f t="shared" si="138"/>
        <v>11.872688261412655</v>
      </c>
      <c r="Z367" s="385">
        <f t="shared" si="139"/>
        <v>12.53452785564127</v>
      </c>
      <c r="AA367" s="386">
        <f t="shared" si="140"/>
        <v>14.65560304660859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0.14472793676396362</v>
      </c>
      <c r="AD367" s="231">
        <f>(INDEX(Models!$BJ367:$BT367,,AH367)*(1-AF367)+INDEX(Models!$BJ367:$BT367,,AH367+1)*AF367-ERP_i)*AE367*Ramure*Pc/MaxiM</f>
        <v>2.1126102802265173E-3</v>
      </c>
      <c r="AE367" s="305">
        <f t="shared" si="142"/>
        <v>0.7</v>
      </c>
      <c r="AF367" s="177">
        <f t="shared" si="143"/>
        <v>0.19927221151616314</v>
      </c>
      <c r="AG367" s="810">
        <f t="shared" si="149"/>
        <v>1</v>
      </c>
      <c r="AH367" s="176">
        <f t="shared" si="144"/>
        <v>7</v>
      </c>
      <c r="AI367" s="225">
        <f t="shared" si="145"/>
        <v>1.1992722115161631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4.4078337617952243</v>
      </c>
      <c r="C368" s="840"/>
      <c r="D368" s="393">
        <f t="shared" si="127"/>
        <v>4.6536554851394021</v>
      </c>
      <c r="E368" s="385">
        <f t="shared" si="150"/>
        <v>5.1484266060205357</v>
      </c>
      <c r="F368" s="385">
        <f t="shared" si="128"/>
        <v>5.1484266060205357</v>
      </c>
      <c r="G368" s="110">
        <f t="shared" si="151"/>
        <v>0.2691947320938628</v>
      </c>
      <c r="H368" s="414" t="b">
        <f>Wh_hp&gt;='2023'!Maxi_hp</f>
        <v>0</v>
      </c>
      <c r="I368" s="390">
        <f>IF(H368,Wh_hp,'2023'!Maxi_hp)</f>
        <v>19.171871090766793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5.2823360931887664E-2</v>
      </c>
      <c r="M368" s="844"/>
      <c r="N368" s="844"/>
      <c r="O368" s="48">
        <f>IF(t&lt;Tnet,'2023'!Resal+('2023'!Salim-'2023'!Resal)*(1-EXP(('2023'!Tnet-t)/('2023'!Tau_j))),Resal+(Salim-Resal)*(1-EXP((Tnet-t)/(Tau_j))))*Salcycl</f>
        <v>9.6101422578803358E-2</v>
      </c>
      <c r="P368" s="169">
        <f>(INDEX(Models!$BJ368:$BT368,,T368)*(1-R368)+INDEX(Models!$BJ368:$BT368,,T368+1)*R368-ERP_i)*Q368*Ramure*Pc/MaxiM</f>
        <v>2.1077120159076132E-3</v>
      </c>
      <c r="Q368" s="305">
        <f t="shared" si="130"/>
        <v>0.7</v>
      </c>
      <c r="R368" s="177">
        <f t="shared" si="131"/>
        <v>0.19927824589443377</v>
      </c>
      <c r="S368" s="810">
        <f t="shared" si="132"/>
        <v>1</v>
      </c>
      <c r="T368" s="176">
        <f t="shared" si="133"/>
        <v>7</v>
      </c>
      <c r="U368" s="251">
        <f t="shared" si="134"/>
        <v>1.1992782458944338</v>
      </c>
      <c r="V368" s="383">
        <f t="shared" si="135"/>
        <v>16.339633704561798</v>
      </c>
      <c r="W368" s="402">
        <f t="shared" si="136"/>
        <v>4.4078337617952243</v>
      </c>
      <c r="X368" s="157">
        <f t="shared" si="137"/>
        <v>45645</v>
      </c>
      <c r="Y368" s="385">
        <f t="shared" si="138"/>
        <v>4.1705919044517969</v>
      </c>
      <c r="Z368" s="385">
        <f t="shared" si="139"/>
        <v>4.403182819790687</v>
      </c>
      <c r="AA368" s="386">
        <f t="shared" si="140"/>
        <v>5.1484266060205357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0.14475175490670592</v>
      </c>
      <c r="AD368" s="231">
        <f>(INDEX(Models!$BJ368:$BT368,,AH368)*(1-AF368)+INDEX(Models!$BJ368:$BT368,,AH368+1)*AF368-ERP_i)*AE368*Ramure*Pc/MaxiM</f>
        <v>2.1077120159076132E-3</v>
      </c>
      <c r="AE368" s="305">
        <f t="shared" si="142"/>
        <v>0.7</v>
      </c>
      <c r="AF368" s="177">
        <f t="shared" si="143"/>
        <v>0.19927824589443377</v>
      </c>
      <c r="AG368" s="810">
        <f t="shared" si="149"/>
        <v>1</v>
      </c>
      <c r="AH368" s="176">
        <f t="shared" si="144"/>
        <v>7</v>
      </c>
      <c r="AI368" s="225">
        <f t="shared" si="145"/>
        <v>1.1992782458944338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15.713832016755989</v>
      </c>
      <c r="C369" s="840"/>
      <c r="D369" s="393">
        <f t="shared" si="127"/>
        <v>16.590567229945822</v>
      </c>
      <c r="E369" s="385">
        <f t="shared" si="150"/>
        <v>18.35613999336724</v>
      </c>
      <c r="F369" s="385">
        <f t="shared" si="128"/>
        <v>18.39259137958015</v>
      </c>
      <c r="G369" s="110">
        <f t="shared" si="151"/>
        <v>0.95976568147562347</v>
      </c>
      <c r="H369" s="414" t="b">
        <f>Wh_hp&gt;='2023'!Maxi_hp</f>
        <v>0</v>
      </c>
      <c r="I369" s="390">
        <f>IF(H369,Wh_hp,'2023'!Maxi_hp)</f>
        <v>18.393584426720921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5.2845403116014822E-2</v>
      </c>
      <c r="M369" s="844"/>
      <c r="N369" s="844"/>
      <c r="O369" s="48">
        <f>IF(t&lt;Tnet,'2023'!Resal+('2023'!Salim-'2023'!Resal)*(1-EXP(('2023'!Tnet-t)/('2023'!Tau_j))),Resal+(Salim-Resal)*(1-EXP((Tnet-t)/(Tau_j))))*Salcycl</f>
        <v>9.6184315660012565E-2</v>
      </c>
      <c r="P369" s="169">
        <f>(INDEX(Models!$BJ369:$BT369,,T369)*(1-R369)+INDEX(Models!$BJ369:$BT369,,T369+1)*R369-ERP_i)*Q369*Ramure*Pc/MaxiM</f>
        <v>2.1023410458704261E-3</v>
      </c>
      <c r="Q369" s="305">
        <f t="shared" si="130"/>
        <v>0.7</v>
      </c>
      <c r="R369" s="177">
        <f t="shared" si="131"/>
        <v>0.19928403748210322</v>
      </c>
      <c r="S369" s="810">
        <f t="shared" si="132"/>
        <v>1</v>
      </c>
      <c r="T369" s="176">
        <f t="shared" si="133"/>
        <v>7</v>
      </c>
      <c r="U369" s="251">
        <f t="shared" si="134"/>
        <v>1.1992840374821032</v>
      </c>
      <c r="V369" s="383">
        <f t="shared" si="135"/>
        <v>16.370594624218821</v>
      </c>
      <c r="W369" s="402">
        <f t="shared" si="136"/>
        <v>15.713832016755989</v>
      </c>
      <c r="X369" s="157">
        <f t="shared" si="137"/>
        <v>45646</v>
      </c>
      <c r="Y369" s="385">
        <f t="shared" si="138"/>
        <v>14.869000198371291</v>
      </c>
      <c r="Z369" s="385">
        <f t="shared" si="139"/>
        <v>15.698598990374283</v>
      </c>
      <c r="AA369" s="386">
        <f t="shared" si="140"/>
        <v>18.35613999336724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0.14477667984408629</v>
      </c>
      <c r="AD369" s="231">
        <f>(INDEX(Models!$BJ369:$BT369,,AH369)*(1-AF369)+INDEX(Models!$BJ369:$BT369,,AH369+1)*AF369-ERP_i)*AE369*Ramure*Pc/MaxiM</f>
        <v>2.1023410458704261E-3</v>
      </c>
      <c r="AE369" s="305">
        <f t="shared" si="142"/>
        <v>0.7</v>
      </c>
      <c r="AF369" s="177">
        <f t="shared" si="143"/>
        <v>0.19928403748210322</v>
      </c>
      <c r="AG369" s="810">
        <f t="shared" si="149"/>
        <v>1</v>
      </c>
      <c r="AH369" s="176">
        <f t="shared" si="144"/>
        <v>7</v>
      </c>
      <c r="AI369" s="225">
        <f t="shared" si="145"/>
        <v>1.1992840374821032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12.054767424530654</v>
      </c>
      <c r="C370" s="840"/>
      <c r="D370" s="393">
        <f t="shared" si="127"/>
        <v>12.727645521404405</v>
      </c>
      <c r="E370" s="385">
        <f t="shared" si="150"/>
        <v>14.083425998042676</v>
      </c>
      <c r="F370" s="385">
        <f t="shared" si="128"/>
        <v>14.101791330491162</v>
      </c>
      <c r="G370" s="110">
        <f t="shared" si="151"/>
        <v>0.73423093931799444</v>
      </c>
      <c r="H370" s="414" t="b">
        <f>Wh_hp&gt;='2023'!Maxi_hp</f>
        <v>0</v>
      </c>
      <c r="I370" s="390">
        <f>IF(H370,Wh_hp,'2023'!Maxi_hp)</f>
        <v>18.146352200038717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5.2867444787188189E-2</v>
      </c>
      <c r="M370" s="844"/>
      <c r="N370" s="844"/>
      <c r="O370" s="48">
        <f>IF(t&lt;Tnet,'2023'!Resal+('2023'!Salim-'2023'!Resal)*(1-EXP(('2023'!Tnet-t)/('2023'!Tau_j))),Resal+(Salim-Resal)*(1-EXP((Tnet-t)/(Tau_j))))*Salcycl</f>
        <v>9.6267802793631216E-2</v>
      </c>
      <c r="P370" s="169">
        <f>(INDEX(Models!$BJ370:$BT370,,T370)*(1-R370)+INDEX(Models!$BJ370:$BT370,,T370+1)*R370-ERP_i)*Q370*Ramure*Pc/MaxiM</f>
        <v>2.0966101841952442E-3</v>
      </c>
      <c r="Q370" s="305">
        <f t="shared" si="130"/>
        <v>0.7</v>
      </c>
      <c r="R370" s="177">
        <f t="shared" si="131"/>
        <v>0.19928959604114116</v>
      </c>
      <c r="S370" s="810">
        <f t="shared" si="132"/>
        <v>1</v>
      </c>
      <c r="T370" s="176">
        <f t="shared" si="133"/>
        <v>7</v>
      </c>
      <c r="U370" s="251">
        <f t="shared" si="134"/>
        <v>1.1992895960411412</v>
      </c>
      <c r="V370" s="383">
        <f t="shared" si="135"/>
        <v>16.405165672087897</v>
      </c>
      <c r="W370" s="402">
        <f t="shared" si="136"/>
        <v>12.054767424530654</v>
      </c>
      <c r="X370" s="157">
        <f t="shared" si="137"/>
        <v>45647</v>
      </c>
      <c r="Y370" s="385">
        <f t="shared" si="138"/>
        <v>11.407367656036588</v>
      </c>
      <c r="Z370" s="385">
        <f t="shared" si="139"/>
        <v>12.044108919340713</v>
      </c>
      <c r="AA370" s="386">
        <f t="shared" si="140"/>
        <v>14.083425998042676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0.14480262678877909</v>
      </c>
      <c r="AD370" s="231">
        <f>(INDEX(Models!$BJ370:$BT370,,AH370)*(1-AF370)+INDEX(Models!$BJ370:$BT370,,AH370+1)*AF370-ERP_i)*AE370*Ramure*Pc/MaxiM</f>
        <v>2.0966101841952442E-3</v>
      </c>
      <c r="AE370" s="305">
        <f t="shared" si="142"/>
        <v>0.7</v>
      </c>
      <c r="AF370" s="177">
        <f t="shared" si="143"/>
        <v>0.19928959604114116</v>
      </c>
      <c r="AG370" s="810">
        <f t="shared" si="149"/>
        <v>1</v>
      </c>
      <c r="AH370" s="176">
        <f t="shared" si="144"/>
        <v>7</v>
      </c>
      <c r="AI370" s="225">
        <f t="shared" si="145"/>
        <v>1.1992895960411412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12.682012827437651</v>
      </c>
      <c r="C371" s="840"/>
      <c r="D371" s="393">
        <f t="shared" si="127"/>
        <v>13.390214382845302</v>
      </c>
      <c r="E371" s="385">
        <f t="shared" si="150"/>
        <v>14.817951100056378</v>
      </c>
      <c r="F371" s="385">
        <f t="shared" si="128"/>
        <v>14.838837872057637</v>
      </c>
      <c r="G371" s="110">
        <f t="shared" si="151"/>
        <v>0.77076842709172133</v>
      </c>
      <c r="H371" s="414" t="b">
        <f>Wh_hp&gt;='2023'!Maxi_hp</f>
        <v>0</v>
      </c>
      <c r="I371" s="390">
        <f>IF(H371,Wh_hp,'2023'!Maxi_hp)</f>
        <v>16.298095724245826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5.2889485945419534E-2</v>
      </c>
      <c r="M371" s="844"/>
      <c r="N371" s="844"/>
      <c r="O371" s="48">
        <f>IF(t&lt;Tnet,'2023'!Resal+('2023'!Salim-'2023'!Resal)*(1-EXP(('2023'!Tnet-t)/('2023'!Tau_j))),Resal+(Salim-Resal)*(1-EXP((Tnet-t)/(Tau_j))))*Salcycl</f>
        <v>9.6351830801064256E-2</v>
      </c>
      <c r="P371" s="169">
        <f>(INDEX(Models!$BJ371:$BT371,,T371)*(1-R371)+INDEX(Models!$BJ371:$BT371,,T371+1)*R371-ERP_i)*Q371*Ramure*Pc/MaxiM</f>
        <v>2.0906229830924372E-3</v>
      </c>
      <c r="Q371" s="305">
        <f t="shared" si="130"/>
        <v>0.7</v>
      </c>
      <c r="R371" s="177">
        <f t="shared" si="131"/>
        <v>0.19928959604114116</v>
      </c>
      <c r="S371" s="810">
        <f t="shared" si="132"/>
        <v>1</v>
      </c>
      <c r="T371" s="176">
        <f t="shared" si="133"/>
        <v>7</v>
      </c>
      <c r="U371" s="251">
        <f t="shared" si="134"/>
        <v>1.1992895960411412</v>
      </c>
      <c r="V371" s="383">
        <f t="shared" si="135"/>
        <v>16.442471881359843</v>
      </c>
      <c r="W371" s="402">
        <f t="shared" si="136"/>
        <v>12.682012827437651</v>
      </c>
      <c r="X371" s="157">
        <f t="shared" si="137"/>
        <v>45648</v>
      </c>
      <c r="Y371" s="385">
        <f t="shared" si="138"/>
        <v>12.001665526223716</v>
      </c>
      <c r="Z371" s="385">
        <f t="shared" si="139"/>
        <v>12.671874451952371</v>
      </c>
      <c r="AA371" s="386">
        <f t="shared" si="140"/>
        <v>14.817951100056378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0.14482951344709469</v>
      </c>
      <c r="AD371" s="231">
        <f>(INDEX(Models!$BJ371:$BT371,,AH371)*(1-AF371)+INDEX(Models!$BJ371:$BT371,,AH371+1)*AF371-ERP_i)*AE371*Ramure*Pc/MaxiM</f>
        <v>2.0906229830924372E-3</v>
      </c>
      <c r="AE371" s="305">
        <f t="shared" si="142"/>
        <v>0.7</v>
      </c>
      <c r="AF371" s="177">
        <f t="shared" si="143"/>
        <v>0.19928959604114116</v>
      </c>
      <c r="AG371" s="810">
        <f t="shared" si="149"/>
        <v>1</v>
      </c>
      <c r="AH371" s="176">
        <f t="shared" si="144"/>
        <v>7</v>
      </c>
      <c r="AI371" s="225">
        <f t="shared" si="145"/>
        <v>1.1992895960411412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16.295520039912599</v>
      </c>
      <c r="C372" s="840"/>
      <c r="D372" s="393">
        <f t="shared" si="127"/>
        <v>17.205911060508264</v>
      </c>
      <c r="E372" s="385">
        <f t="shared" si="150"/>
        <v>19.042278900358284</v>
      </c>
      <c r="F372" s="385">
        <f t="shared" si="128"/>
        <v>19.08141233955487</v>
      </c>
      <c r="G372" s="110">
        <f t="shared" si="151"/>
        <v>0.98867421448470827</v>
      </c>
      <c r="H372" s="414" t="b">
        <f>Wh_hp&gt;='2023'!Maxi_hp</f>
        <v>0</v>
      </c>
      <c r="I372" s="390">
        <f>IF(H372,Wh_hp,'2023'!Maxi_hp)</f>
        <v>19.0816996155081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5.2911526590720959E-2</v>
      </c>
      <c r="M372" s="844"/>
      <c r="N372" s="844"/>
      <c r="O372" s="48">
        <f>IF(t&lt;Tnet,'2023'!Resal+('2023'!Salim-'2023'!Resal)*(1-EXP(('2023'!Tnet-t)/('2023'!Tau_j))),Resal+(Salim-Resal)*(1-EXP((Tnet-t)/(Tau_j))))*Salcycl</f>
        <v>9.6436348267930641E-2</v>
      </c>
      <c r="P372" s="169">
        <f>(INDEX(Models!$BJ372:$BT372,,T372)*(1-R372)+INDEX(Models!$BJ372:$BT372,,T372+1)*R372-ERP_i)*Q372*Ramure*Pc/MaxiM</f>
        <v>2.0844942857999754E-3</v>
      </c>
      <c r="Q372" s="305">
        <f t="shared" si="130"/>
        <v>0.7</v>
      </c>
      <c r="R372" s="177">
        <f t="shared" si="131"/>
        <v>0.19928959604114116</v>
      </c>
      <c r="S372" s="810">
        <f t="shared" si="132"/>
        <v>1</v>
      </c>
      <c r="T372" s="176">
        <f t="shared" si="133"/>
        <v>7</v>
      </c>
      <c r="U372" s="251">
        <f t="shared" si="134"/>
        <v>1.1992895960411412</v>
      </c>
      <c r="V372" s="383">
        <f t="shared" si="135"/>
        <v>16.48163844187507</v>
      </c>
      <c r="W372" s="402">
        <f t="shared" si="136"/>
        <v>16.295520039912599</v>
      </c>
      <c r="X372" s="157">
        <f t="shared" si="137"/>
        <v>45649</v>
      </c>
      <c r="Y372" s="385">
        <f t="shared" si="138"/>
        <v>15.422262309122862</v>
      </c>
      <c r="Z372" s="385">
        <f t="shared" si="139"/>
        <v>16.28386654691997</v>
      </c>
      <c r="AA372" s="386">
        <f t="shared" si="140"/>
        <v>19.042278900358284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0.14485726040838603</v>
      </c>
      <c r="AD372" s="231">
        <f>(INDEX(Models!$BJ372:$BT372,,AH372)*(1-AF372)+INDEX(Models!$BJ372:$BT372,,AH372+1)*AF372-ERP_i)*AE372*Ramure*Pc/MaxiM</f>
        <v>2.0844942857999754E-3</v>
      </c>
      <c r="AE372" s="305">
        <f t="shared" si="142"/>
        <v>0.7</v>
      </c>
      <c r="AF372" s="177">
        <f t="shared" si="143"/>
        <v>0.19928959604114116</v>
      </c>
      <c r="AG372" s="810">
        <f t="shared" si="149"/>
        <v>1</v>
      </c>
      <c r="AH372" s="176">
        <f t="shared" si="144"/>
        <v>7</v>
      </c>
      <c r="AI372" s="225">
        <f t="shared" si="145"/>
        <v>1.1992895960411412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9.332165312360706</v>
      </c>
      <c r="C373" s="840"/>
      <c r="D373" s="393">
        <f t="shared" si="127"/>
        <v>9.8537599733853565</v>
      </c>
      <c r="E373" s="385">
        <f t="shared" si="150"/>
        <v>10.90646634666972</v>
      </c>
      <c r="F373" s="385">
        <f t="shared" si="128"/>
        <v>10.915047363950311</v>
      </c>
      <c r="G373" s="110">
        <f t="shared" si="151"/>
        <v>0.56407418947259813</v>
      </c>
      <c r="H373" s="414" t="b">
        <f>Wh_hp&gt;='2023'!Maxi_hp</f>
        <v>0</v>
      </c>
      <c r="I373" s="390">
        <f>IF(H373,Wh_hp,'2023'!Maxi_hp)</f>
        <v>15.376095224212161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5.2933566723104453E-2</v>
      </c>
      <c r="M373" s="844"/>
      <c r="N373" s="844"/>
      <c r="O373" s="48">
        <f>IF(t&lt;Tnet,'2023'!Resal+('2023'!Salim-'2023'!Resal)*(1-EXP(('2023'!Tnet-t)/('2023'!Tau_j))),Resal+(Salim-Resal)*(1-EXP((Tnet-t)/(Tau_j))))*Salcycl</f>
        <v>9.6521305785334119E-2</v>
      </c>
      <c r="P373" s="169">
        <f>(INDEX(Models!$BJ373:$BT373,,T373)*(1-R373)+INDEX(Models!$BJ373:$BT373,,T373+1)*R373-ERP_i)*Q373*Ramure*Pc/MaxiM</f>
        <v>2.0781927192331413E-3</v>
      </c>
      <c r="Q373" s="305">
        <f t="shared" si="130"/>
        <v>0.7</v>
      </c>
      <c r="R373" s="177">
        <f t="shared" si="131"/>
        <v>0.19928959604114116</v>
      </c>
      <c r="S373" s="810">
        <f t="shared" si="132"/>
        <v>1</v>
      </c>
      <c r="T373" s="176">
        <f t="shared" si="133"/>
        <v>7</v>
      </c>
      <c r="U373" s="251">
        <f t="shared" si="134"/>
        <v>1.1992895960411412</v>
      </c>
      <c r="V373" s="383">
        <f t="shared" si="135"/>
        <v>16.522823724470907</v>
      </c>
      <c r="W373" s="402">
        <f t="shared" si="136"/>
        <v>9.332165312360706</v>
      </c>
      <c r="X373" s="157">
        <f t="shared" si="137"/>
        <v>45650</v>
      </c>
      <c r="Y373" s="385">
        <f t="shared" si="138"/>
        <v>8.8326013726759083</v>
      </c>
      <c r="Z373" s="385">
        <f t="shared" si="139"/>
        <v>9.3262743376034152</v>
      </c>
      <c r="AA373" s="386">
        <f t="shared" si="140"/>
        <v>10.90646634666972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0.1448857914964195</v>
      </c>
      <c r="AD373" s="231">
        <f>(INDEX(Models!$BJ373:$BT373,,AH373)*(1-AF373)+INDEX(Models!$BJ373:$BT373,,AH373+1)*AF373-ERP_i)*AE373*Ramure*Pc/MaxiM</f>
        <v>2.0781927192331413E-3</v>
      </c>
      <c r="AE373" s="305">
        <f t="shared" si="142"/>
        <v>0.7</v>
      </c>
      <c r="AF373" s="177">
        <f t="shared" si="143"/>
        <v>0.19928959604114116</v>
      </c>
      <c r="AG373" s="810">
        <f t="shared" si="149"/>
        <v>1</v>
      </c>
      <c r="AH373" s="176">
        <f t="shared" si="144"/>
        <v>7</v>
      </c>
      <c r="AI373" s="225">
        <f t="shared" si="145"/>
        <v>1.1992895960411412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15.87363854486834</v>
      </c>
      <c r="C374" s="840"/>
      <c r="D374" s="393">
        <f t="shared" si="127"/>
        <v>16.761240181746366</v>
      </c>
      <c r="E374" s="385">
        <f t="shared" si="150"/>
        <v>18.553645868810904</v>
      </c>
      <c r="F374" s="385">
        <f t="shared" si="128"/>
        <v>18.589853342630963</v>
      </c>
      <c r="G374" s="110">
        <f t="shared" si="151"/>
        <v>0.95802341188420959</v>
      </c>
      <c r="H374" s="414" t="b">
        <f>Wh_hp&gt;='2023'!Maxi_hp</f>
        <v>0</v>
      </c>
      <c r="I374" s="390">
        <f>IF(H374,Wh_hp,'2023'!Maxi_hp)</f>
        <v>18.590882091539495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5.2955606342581785E-2</v>
      </c>
      <c r="M374" s="844"/>
      <c r="N374" s="844"/>
      <c r="O374" s="48">
        <f>IF(t&lt;Tnet,'2023'!Resal+('2023'!Salim-'2023'!Resal)*(1-EXP(('2023'!Tnet-t)/('2023'!Tau_j))),Resal+(Salim-Resal)*(1-EXP((Tnet-t)/(Tau_j))))*Salcycl</f>
        <v>9.6606656165493174E-2</v>
      </c>
      <c r="P374" s="169">
        <f>(INDEX(Models!$BJ374:$BT374,,T374)*(1-R374)+INDEX(Models!$BJ374:$BT374,,T374+1)*R374-ERP_i)*Q374*Ramure*Pc/MaxiM</f>
        <v>2.0715741175165465E-3</v>
      </c>
      <c r="Q374" s="305">
        <f t="shared" si="130"/>
        <v>0.7</v>
      </c>
      <c r="R374" s="177">
        <f t="shared" si="131"/>
        <v>0.19928959604114116</v>
      </c>
      <c r="S374" s="810">
        <f t="shared" si="132"/>
        <v>1</v>
      </c>
      <c r="T374" s="176">
        <f t="shared" si="133"/>
        <v>7</v>
      </c>
      <c r="U374" s="251">
        <f t="shared" si="134"/>
        <v>1.1992895960411412</v>
      </c>
      <c r="V374" s="383">
        <f t="shared" si="135"/>
        <v>16.567098665647343</v>
      </c>
      <c r="W374" s="402">
        <f t="shared" si="136"/>
        <v>15.87363854486834</v>
      </c>
      <c r="X374" s="157">
        <f t="shared" si="137"/>
        <v>45651</v>
      </c>
      <c r="Y374" s="385">
        <f t="shared" si="138"/>
        <v>15.024805935073838</v>
      </c>
      <c r="Z374" s="385">
        <f t="shared" si="139"/>
        <v>15.864943645407269</v>
      </c>
      <c r="AA374" s="386">
        <f t="shared" si="140"/>
        <v>18.553645868810904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0.14491503408089743</v>
      </c>
      <c r="AD374" s="231">
        <f>(INDEX(Models!$BJ374:$BT374,,AH374)*(1-AF374)+INDEX(Models!$BJ374:$BT374,,AH374+1)*AF374-ERP_i)*AE374*Ramure*Pc/MaxiM</f>
        <v>2.0715741175165465E-3</v>
      </c>
      <c r="AE374" s="305">
        <f t="shared" si="142"/>
        <v>0.7</v>
      </c>
      <c r="AF374" s="177">
        <f t="shared" si="143"/>
        <v>0.19928959604114116</v>
      </c>
      <c r="AG374" s="810">
        <f t="shared" si="149"/>
        <v>1</v>
      </c>
      <c r="AH374" s="176">
        <f t="shared" si="144"/>
        <v>7</v>
      </c>
      <c r="AI374" s="225">
        <f t="shared" si="145"/>
        <v>1.1992895960411412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6.4505975379142724</v>
      </c>
      <c r="C375" s="840"/>
      <c r="D375" s="393">
        <f t="shared" si="127"/>
        <v>6.8114522396609516</v>
      </c>
      <c r="E375" s="385">
        <f t="shared" si="150"/>
        <v>7.5405674628999817</v>
      </c>
      <c r="F375" s="385">
        <f t="shared" si="128"/>
        <v>7.5425319684454912</v>
      </c>
      <c r="G375" s="110">
        <f t="shared" si="151"/>
        <v>0.38753977304595244</v>
      </c>
      <c r="H375" s="414" t="b">
        <f>Wh_hp&gt;='2023'!Maxi_hp</f>
        <v>0</v>
      </c>
      <c r="I375" s="390">
        <f>IF(H375,Wh_hp,'2023'!Maxi_hp)</f>
        <v>18.041116002865003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5.2977645449165056E-2</v>
      </c>
      <c r="M375" s="844"/>
      <c r="N375" s="844"/>
      <c r="O375" s="48">
        <f>IF(t&lt;Tnet,'2023'!Resal+('2023'!Salim-'2023'!Resal)*(1-EXP(('2023'!Tnet-t)/('2023'!Tau_j))),Resal+(Salim-Resal)*(1-EXP((Tnet-t)/(Tau_j))))*Salcycl</f>
        <v>9.6692354630645336E-2</v>
      </c>
      <c r="P375" s="169">
        <f>(INDEX(Models!$BJ375:$BT375,,T375)*(1-R375)+INDEX(Models!$BJ375:$BT375,,T375+1)*R375-ERP_i)*Q375*Ramure*Pc/MaxiM</f>
        <v>2.0661588263835295E-3</v>
      </c>
      <c r="Q375" s="305">
        <f t="shared" si="130"/>
        <v>0.7</v>
      </c>
      <c r="R375" s="177">
        <f t="shared" si="131"/>
        <v>0.19928959604114116</v>
      </c>
      <c r="S375" s="810">
        <f t="shared" si="132"/>
        <v>1</v>
      </c>
      <c r="T375" s="176">
        <f t="shared" si="133"/>
        <v>7</v>
      </c>
      <c r="U375" s="251">
        <f t="shared" si="134"/>
        <v>1.1992895960411412</v>
      </c>
      <c r="V375" s="383">
        <f t="shared" si="135"/>
        <v>16.614931152092701</v>
      </c>
      <c r="W375" s="402">
        <f t="shared" si="136"/>
        <v>6.4505975379142724</v>
      </c>
      <c r="X375" s="157">
        <f t="shared" si="137"/>
        <v>45652</v>
      </c>
      <c r="Y375" s="385">
        <f t="shared" si="138"/>
        <v>6.1060218257994521</v>
      </c>
      <c r="Z375" s="385">
        <f t="shared" si="139"/>
        <v>6.4476005201540243</v>
      </c>
      <c r="AA375" s="386">
        <f t="shared" si="140"/>
        <v>7.5405674628999817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0.14494491934770384</v>
      </c>
      <c r="AD375" s="231">
        <f>(INDEX(Models!$BJ375:$BT375,,AH375)*(1-AF375)+INDEX(Models!$BJ375:$BT375,,AH375+1)*AF375-ERP_i)*AE375*Ramure*Pc/MaxiM</f>
        <v>2.0661588263835295E-3</v>
      </c>
      <c r="AE375" s="305">
        <f t="shared" si="142"/>
        <v>0.7</v>
      </c>
      <c r="AF375" s="177">
        <f t="shared" si="143"/>
        <v>0.19928959604114116</v>
      </c>
      <c r="AG375" s="810">
        <f t="shared" si="149"/>
        <v>1</v>
      </c>
      <c r="AH375" s="176">
        <f t="shared" si="144"/>
        <v>7</v>
      </c>
      <c r="AI375" s="225">
        <f t="shared" si="145"/>
        <v>1.1992895960411412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15.351006362408961</v>
      </c>
      <c r="C376" s="840"/>
      <c r="D376" s="393">
        <f t="shared" si="127"/>
        <v>16.210138585744492</v>
      </c>
      <c r="E376" s="385">
        <f t="shared" si="150"/>
        <v>17.947021915172417</v>
      </c>
      <c r="F376" s="385">
        <f t="shared" si="128"/>
        <v>17.979913839061659</v>
      </c>
      <c r="G376" s="110">
        <f t="shared" si="151"/>
        <v>0.92083763818175257</v>
      </c>
      <c r="H376" s="414" t="b">
        <f>Wh_hp&gt;='2023'!Maxi_hp</f>
        <v>0</v>
      </c>
      <c r="I376" s="390">
        <f>IF(H376,Wh_hp,'2023'!Maxi_hp)</f>
        <v>17.981774315909167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5.2999684042866035E-2</v>
      </c>
      <c r="M376" s="844"/>
      <c r="N376" s="844"/>
      <c r="O376" s="48">
        <f>IF(t&lt;Tnet,'2023'!Resal+('2023'!Salim-'2023'!Resal)*(1-EXP(('2023'!Tnet-t)/('2023'!Tau_j))),Resal+(Salim-Resal)*(1-EXP((Tnet-t)/(Tau_j))))*Salcycl</f>
        <v>9.6778358974396878E-2</v>
      </c>
      <c r="P376" s="169">
        <f>(INDEX(Models!$BJ376:$BT376,,T376)*(1-R376)+INDEX(Models!$BJ376:$BT376,,T376+1)*R376-ERP_i)*Q376*Ramure*Pc/MaxiM</f>
        <v>2.0619189588381849E-3</v>
      </c>
      <c r="Q376" s="305">
        <f t="shared" si="130"/>
        <v>0.7</v>
      </c>
      <c r="R376" s="177">
        <f t="shared" si="131"/>
        <v>0.19928959604114116</v>
      </c>
      <c r="S376" s="810">
        <f t="shared" si="132"/>
        <v>1</v>
      </c>
      <c r="T376" s="176">
        <f t="shared" si="133"/>
        <v>7</v>
      </c>
      <c r="U376" s="251">
        <f t="shared" si="134"/>
        <v>1.1992895960411412</v>
      </c>
      <c r="V376" s="383">
        <f t="shared" si="135"/>
        <v>16.666814355265775</v>
      </c>
      <c r="W376" s="402">
        <f t="shared" si="136"/>
        <v>15.351006362408961</v>
      </c>
      <c r="X376" s="157">
        <f t="shared" si="137"/>
        <v>45653</v>
      </c>
      <c r="Y376" s="385">
        <f t="shared" si="138"/>
        <v>14.531857682177453</v>
      </c>
      <c r="Z376" s="385">
        <f t="shared" si="139"/>
        <v>15.345145547802794</v>
      </c>
      <c r="AA376" s="386">
        <f t="shared" si="140"/>
        <v>17.947021915172417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0.14497538252683567</v>
      </c>
      <c r="AD376" s="231">
        <f>(INDEX(Models!$BJ376:$BT376,,AH376)*(1-AF376)+INDEX(Models!$BJ376:$BT376,,AH376+1)*AF376-ERP_i)*AE376*Ramure*Pc/MaxiM</f>
        <v>2.0619189588381849E-3</v>
      </c>
      <c r="AE376" s="305">
        <f t="shared" si="142"/>
        <v>0.7</v>
      </c>
      <c r="AF376" s="177">
        <f t="shared" si="143"/>
        <v>0.19928959604114116</v>
      </c>
      <c r="AG376" s="810">
        <f t="shared" si="149"/>
        <v>1</v>
      </c>
      <c r="AH376" s="176">
        <f t="shared" si="144"/>
        <v>7</v>
      </c>
      <c r="AI376" s="225">
        <f t="shared" si="145"/>
        <v>1.1992895960411412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8.6880179289117301</v>
      </c>
      <c r="C377" s="840"/>
      <c r="D377" s="393">
        <f t="shared" si="127"/>
        <v>9.1744637991016109</v>
      </c>
      <c r="E377" s="385">
        <f t="shared" si="150"/>
        <v>10.158459186470324</v>
      </c>
      <c r="F377" s="385">
        <f t="shared" si="128"/>
        <v>10.165021969151548</v>
      </c>
      <c r="G377" s="110">
        <f t="shared" si="151"/>
        <v>0.5187829314690674</v>
      </c>
      <c r="H377" s="414" t="b">
        <f>Wh_hp&gt;='2023'!Maxi_hp</f>
        <v>0</v>
      </c>
      <c r="I377" s="390">
        <f>IF(H377,Wh_hp,'2023'!Maxi_hp)</f>
        <v>20.470863800267029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5.3021722123696824E-2</v>
      </c>
      <c r="M377" s="844"/>
      <c r="N377" s="844"/>
      <c r="O377" s="48">
        <f>IF(t&lt;Tnet,'2023'!Resal+('2023'!Salim-'2023'!Resal)*(1-EXP(('2023'!Tnet-t)/('2023'!Tau_j))),Resal+(Salim-Resal)*(1-EXP((Tnet-t)/(Tau_j))))*Salcycl</f>
        <v>9.686462969495023E-2</v>
      </c>
      <c r="P377" s="169">
        <f>(INDEX(Models!$BJ377:$BT377,,T377)*(1-R377)+INDEX(Models!$BJ377:$BT377,,T377+1)*R377-ERP_i)*Q377*Ramure*Pc/MaxiM</f>
        <v>2.0587730383100334E-3</v>
      </c>
      <c r="Q377" s="305">
        <f t="shared" si="130"/>
        <v>0.7</v>
      </c>
      <c r="R377" s="177">
        <f t="shared" si="131"/>
        <v>0.19928959604114116</v>
      </c>
      <c r="S377" s="810">
        <f t="shared" si="132"/>
        <v>1</v>
      </c>
      <c r="T377" s="176">
        <f t="shared" si="133"/>
        <v>7</v>
      </c>
      <c r="U377" s="251">
        <f t="shared" si="134"/>
        <v>1.1992895960411412</v>
      </c>
      <c r="V377" s="383">
        <f t="shared" si="135"/>
        <v>16.723242048221614</v>
      </c>
      <c r="W377" s="402">
        <f t="shared" si="136"/>
        <v>8.6880179289117301</v>
      </c>
      <c r="X377" s="157">
        <f t="shared" si="137"/>
        <v>45654</v>
      </c>
      <c r="Y377" s="385">
        <f t="shared" si="138"/>
        <v>8.2249021474822879</v>
      </c>
      <c r="Z377" s="385">
        <f t="shared" si="139"/>
        <v>8.6854179653703163</v>
      </c>
      <c r="AA377" s="386">
        <f t="shared" si="140"/>
        <v>10.158459186470324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0.14500636307737466</v>
      </c>
      <c r="AD377" s="231">
        <f>(INDEX(Models!$BJ377:$BT377,,AH377)*(1-AF377)+INDEX(Models!$BJ377:$BT377,,AH377+1)*AF377-ERP_i)*AE377*Ramure*Pc/MaxiM</f>
        <v>2.0587730383100334E-3</v>
      </c>
      <c r="AE377" s="305">
        <f t="shared" si="142"/>
        <v>0.7</v>
      </c>
      <c r="AF377" s="177">
        <f t="shared" si="143"/>
        <v>0.19928959604114116</v>
      </c>
      <c r="AG377" s="810">
        <f t="shared" si="149"/>
        <v>1</v>
      </c>
      <c r="AH377" s="176">
        <f t="shared" si="144"/>
        <v>7</v>
      </c>
      <c r="AI377" s="225">
        <f t="shared" si="145"/>
        <v>1.1992895960411412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11.517153682882322</v>
      </c>
      <c r="C378" s="840"/>
      <c r="D378" s="393">
        <f t="shared" si="127"/>
        <v>12.162287118074552</v>
      </c>
      <c r="E378" s="385">
        <f t="shared" si="150"/>
        <v>13.46802761562622</v>
      </c>
      <c r="F378" s="385">
        <f t="shared" si="128"/>
        <v>13.483325635865159</v>
      </c>
      <c r="G378" s="110">
        <f t="shared" si="151"/>
        <v>0.6855360491572341</v>
      </c>
      <c r="H378" s="414" t="b">
        <f>Wh_hp&gt;='2023'!Maxi_hp</f>
        <v>0</v>
      </c>
      <c r="I378" s="390">
        <f>IF(H378,Wh_hp,'2023'!Maxi_hp)</f>
        <v>18.88344038484756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5.304375969166919E-2</v>
      </c>
      <c r="M378" s="844"/>
      <c r="N378" s="844"/>
      <c r="O378" s="48">
        <f>IF(t&lt;Tnet,'2023'!Resal+('2023'!Salim-'2023'!Resal)*(1-EXP(('2023'!Tnet-t)/('2023'!Tau_j))),Resal+(Salim-Resal)*(1-EXP((Tnet-t)/(Tau_j))))*Salcycl</f>
        <v>9.6951130099903277E-2</v>
      </c>
      <c r="P378" s="169">
        <f>(INDEX(Models!$BJ378:$BT378,,T378)*(1-R378)+INDEX(Models!$BJ378:$BT378,,T378+1)*R378-ERP_i)*Q378*Ramure*Pc/MaxiM</f>
        <v>2.0566402553977904E-3</v>
      </c>
      <c r="Q378" s="305">
        <f t="shared" si="130"/>
        <v>0.7</v>
      </c>
      <c r="R378" s="177">
        <f t="shared" si="131"/>
        <v>0.19928959604114116</v>
      </c>
      <c r="S378" s="810">
        <f t="shared" si="132"/>
        <v>1</v>
      </c>
      <c r="T378" s="176">
        <f t="shared" si="133"/>
        <v>7</v>
      </c>
      <c r="U378" s="251">
        <f t="shared" si="134"/>
        <v>1.1992895960411412</v>
      </c>
      <c r="V378" s="383">
        <f t="shared" si="135"/>
        <v>16.784707701089161</v>
      </c>
      <c r="W378" s="402">
        <f t="shared" si="136"/>
        <v>11.517153682882322</v>
      </c>
      <c r="X378" s="157">
        <f t="shared" si="137"/>
        <v>45655</v>
      </c>
      <c r="Y378" s="385">
        <f t="shared" si="138"/>
        <v>10.903873891038998</v>
      </c>
      <c r="Z378" s="385">
        <f t="shared" si="139"/>
        <v>11.514654454876052</v>
      </c>
      <c r="AA378" s="386">
        <f t="shared" si="140"/>
        <v>13.46802761562622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0.14503780482925174</v>
      </c>
      <c r="AD378" s="231">
        <f>(INDEX(Models!$BJ378:$BT378,,AH378)*(1-AF378)+INDEX(Models!$BJ378:$BT378,,AH378+1)*AF378-ERP_i)*AE378*Ramure*Pc/MaxiM</f>
        <v>2.0566402553977904E-3</v>
      </c>
      <c r="AE378" s="305">
        <f t="shared" si="142"/>
        <v>0.7</v>
      </c>
      <c r="AF378" s="177">
        <f t="shared" si="143"/>
        <v>0.19928959604114116</v>
      </c>
      <c r="AG378" s="810">
        <f t="shared" si="149"/>
        <v>1</v>
      </c>
      <c r="AH378" s="176">
        <f t="shared" si="144"/>
        <v>7</v>
      </c>
      <c r="AI378" s="225">
        <f t="shared" si="145"/>
        <v>1.1992895960411412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8.5724010331315341</v>
      </c>
      <c r="C379" s="840"/>
      <c r="D379" s="393">
        <f t="shared" si="127"/>
        <v>9.052794802089668</v>
      </c>
      <c r="E379" s="385">
        <f t="shared" si="150"/>
        <v>10.025663385014882</v>
      </c>
      <c r="F379" s="385">
        <f t="shared" si="128"/>
        <v>10.031810920971537</v>
      </c>
      <c r="G379" s="110">
        <f t="shared" si="151"/>
        <v>0.50796206406237698</v>
      </c>
      <c r="H379" s="414" t="b">
        <f>Wh_hp&gt;='2023'!Maxi_hp</f>
        <v>0</v>
      </c>
      <c r="I379" s="390">
        <f>IF(H379,Wh_hp,'2023'!Maxi_hp)</f>
        <v>18.889316634056641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5.3065796746795235E-2</v>
      </c>
      <c r="M379" s="844"/>
      <c r="N379" s="844"/>
      <c r="O379" s="48">
        <f>IF(t&lt;Tnet,'2023'!Resal+('2023'!Salim-'2023'!Resal)*(1-EXP(('2023'!Tnet-t)/('2023'!Tau_j))),Resal+(Salim-Resal)*(1-EXP((Tnet-t)/(Tau_j))))*Salcycl</f>
        <v>9.7037826382575132E-2</v>
      </c>
      <c r="P379" s="169">
        <f>(INDEX(Models!$BJ379:$BT379,,T379)*(1-R379)+INDEX(Models!$BJ379:$BT379,,T379+1)*R379-ERP_i)*Q379*Ramure*Pc/MaxiM</f>
        <v>2.0554403043816158E-3</v>
      </c>
      <c r="Q379" s="306">
        <f t="shared" si="130"/>
        <v>0.7</v>
      </c>
      <c r="R379" s="177">
        <f t="shared" si="131"/>
        <v>0.19928959604114116</v>
      </c>
      <c r="S379" s="810">
        <f t="shared" si="132"/>
        <v>1</v>
      </c>
      <c r="T379" s="176">
        <f t="shared" si="133"/>
        <v>7</v>
      </c>
      <c r="U379" s="307">
        <f t="shared" si="134"/>
        <v>1.1992895960411412</v>
      </c>
      <c r="V379" s="383">
        <f t="shared" si="135"/>
        <v>16.851704488346151</v>
      </c>
      <c r="W379" s="402">
        <f t="shared" si="136"/>
        <v>8.5724010331315341</v>
      </c>
      <c r="X379" s="157">
        <f t="shared" si="137"/>
        <v>45656</v>
      </c>
      <c r="Y379" s="385">
        <f t="shared" si="138"/>
        <v>8.1164039619712582</v>
      </c>
      <c r="Z379" s="385">
        <f t="shared" si="139"/>
        <v>8.5712438457574418</v>
      </c>
      <c r="AA379" s="386">
        <f t="shared" si="140"/>
        <v>10.025663385014882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0.14506965608194325</v>
      </c>
      <c r="AD379" s="231">
        <f>(INDEX(Models!$BJ379:$BT379,,AH379)*(1-AF379)+INDEX(Models!$BJ379:$BT379,,AH379+1)*AF379-ERP_i)*AE379*Ramure*Pc/MaxiM</f>
        <v>2.0554403043816158E-3</v>
      </c>
      <c r="AE379" s="306">
        <f t="shared" si="142"/>
        <v>0.7</v>
      </c>
      <c r="AF379" s="177">
        <f t="shared" si="143"/>
        <v>0.19928959604114116</v>
      </c>
      <c r="AG379" s="810">
        <f t="shared" si="149"/>
        <v>1</v>
      </c>
      <c r="AH379" s="176">
        <f t="shared" si="144"/>
        <v>7</v>
      </c>
      <c r="AI379" s="222">
        <f t="shared" si="145"/>
        <v>1.1992895960411412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5">
        <f>A379+1</f>
        <v>45657</v>
      </c>
      <c r="B380" s="802">
        <f>AVERAGE(B366:B379)</f>
        <v>11.759629774018462</v>
      </c>
      <c r="C380" s="850"/>
      <c r="D380" s="604">
        <f t="shared" si="127"/>
        <v>12.418923515224625</v>
      </c>
      <c r="E380" s="600">
        <f t="shared" si="150"/>
        <v>13.754859996311993</v>
      </c>
      <c r="F380" s="600">
        <f t="shared" si="128"/>
        <v>13.770822168887381</v>
      </c>
      <c r="G380" s="110">
        <f t="shared" si="151"/>
        <v>0.69419628136299083</v>
      </c>
      <c r="H380" s="601" t="b">
        <f>Wh_hp&gt;='2023'!Maxi_hp</f>
        <v>1</v>
      </c>
      <c r="I380" s="602">
        <f>IF(H380,Wh_hp,'2023'!Maxi_hp)</f>
        <v>13.770822168887381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5.3087833289086728E-2</v>
      </c>
      <c r="M380" s="844"/>
      <c r="N380" s="844"/>
      <c r="O380" s="48">
        <f>IF(t&lt;Tnet,'2023'!Resal+('2023'!Salim-'2023'!Resal)*(1-EXP(('2023'!Tnet-t)/('2023'!Tau_j))),Resal+(Salim-Resal)*(1-EXP((Tnet-t)/(Tau_j))))*Salcycl</f>
        <v>9.7124687670071735E-2</v>
      </c>
      <c r="P380" s="231">
        <f>(INDEX(Models!$BJ380:$BT380,,T380)*(1-R380)+INDEX(Models!$BJ380:$BT380,,T380+1)*R380-ERP_i)*Q380*Ramure*Pc/MaxiM</f>
        <v>2.055093271904989E-3</v>
      </c>
      <c r="Q380" s="328">
        <f t="shared" si="130"/>
        <v>0.7</v>
      </c>
      <c r="R380" s="314">
        <f>(Hp_vg-S380)/(INDEX(Echel_vg,T380+1)-S380)</f>
        <v>0.19928959604114116</v>
      </c>
      <c r="S380" s="811">
        <f>INDEX(Echel_vg,T380)</f>
        <v>1</v>
      </c>
      <c r="T380" s="233">
        <f t="shared" si="133"/>
        <v>7</v>
      </c>
      <c r="U380" s="301">
        <f t="shared" si="134"/>
        <v>1.1992895960411412</v>
      </c>
      <c r="V380" s="383">
        <f t="shared" si="135"/>
        <v>16.924725276745768</v>
      </c>
      <c r="W380" s="402">
        <f t="shared" si="136"/>
        <v>11.759629774018462</v>
      </c>
      <c r="X380" s="326">
        <f t="shared" si="137"/>
        <v>45657</v>
      </c>
      <c r="Y380" s="600">
        <f t="shared" si="138"/>
        <v>11.134744044942924</v>
      </c>
      <c r="Z380" s="600">
        <f t="shared" si="139"/>
        <v>11.759004093927009</v>
      </c>
      <c r="AA380" s="603">
        <f t="shared" si="140"/>
        <v>13.754859996311993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0.14510186966062327</v>
      </c>
      <c r="AD380" s="231">
        <f>(INDEX(Models!$BJ380:$BT380,,AH380)*(1-AF380)+INDEX(Models!$BJ380:$BT380,,AH380+1)*AF380-ERP_i)*AE380*Ramure*Pc/MaxiM</f>
        <v>2.055093271904989E-3</v>
      </c>
      <c r="AE380" s="328">
        <f t="shared" si="142"/>
        <v>0.7</v>
      </c>
      <c r="AF380" s="314">
        <f>(Hp_vg_s-AG380)/(INDEX(Echel_vg,AH380+1)-AG380)</f>
        <v>0.19928959604114116</v>
      </c>
      <c r="AG380" s="811">
        <f>INDEX(Echel_vg,AH380)</f>
        <v>1</v>
      </c>
      <c r="AH380" s="233">
        <f t="shared" si="144"/>
        <v>7</v>
      </c>
      <c r="AI380" s="225">
        <f t="shared" si="145"/>
        <v>1.1992895960411412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1.6923372434284072</v>
      </c>
      <c r="C381" s="375"/>
      <c r="D381" s="373">
        <f>MIN(D15:D380)</f>
        <v>1.7724712519617078</v>
      </c>
      <c r="E381" s="373">
        <f>MIN(E15:E380)</f>
        <v>1.8806297853104672</v>
      </c>
      <c r="F381" s="374">
        <f>MIN(F15:F380)</f>
        <v>1.8806297853104672</v>
      </c>
      <c r="G381" s="125">
        <f>+MIN(G15:G380)</f>
        <v>8.9380905584238016E-2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4.5010331625304212E-2</v>
      </c>
      <c r="M381" s="846"/>
      <c r="N381" s="846"/>
      <c r="O381" s="47">
        <f t="shared" si="152"/>
        <v>5.6313898525004645E-2</v>
      </c>
      <c r="P381" s="168">
        <f t="shared" si="152"/>
        <v>1.8349282830503193E-4</v>
      </c>
      <c r="Q381" s="310">
        <f t="shared" si="152"/>
        <v>0.7</v>
      </c>
      <c r="R381" s="311">
        <f t="shared" si="152"/>
        <v>3.1935127987037237E-3</v>
      </c>
      <c r="S381" s="810">
        <f t="shared" si="152"/>
        <v>0</v>
      </c>
      <c r="T381" s="176">
        <f t="shared" si="152"/>
        <v>6</v>
      </c>
      <c r="U381" s="252">
        <f>+MIN(U15:U380)</f>
        <v>0.7992906144700781</v>
      </c>
      <c r="V381" s="373">
        <f>MIN(V15:V380)</f>
        <v>16.269379286858403</v>
      </c>
      <c r="W381" s="803" t="s">
        <v>40</v>
      </c>
      <c r="X381" s="112" t="s">
        <v>7</v>
      </c>
      <c r="Y381" s="373">
        <f>MIN(Y15:Y380)</f>
        <v>1.5651182284391127</v>
      </c>
      <c r="Z381" s="373">
        <f>MIN(Z15:Z380)</f>
        <v>1.6392282782890379</v>
      </c>
      <c r="AA381" s="373">
        <f>MIN(AA15:AA380)</f>
        <v>1.8806297853104672</v>
      </c>
      <c r="AB381" s="200" t="s">
        <v>7</v>
      </c>
      <c r="AC381" s="47">
        <f t="shared" ref="AC381:AH381" si="153">MIN(AC15:AC380)</f>
        <v>0.12788744354173942</v>
      </c>
      <c r="AD381" s="168">
        <f t="shared" si="153"/>
        <v>1.8349282830503193E-4</v>
      </c>
      <c r="AE381" s="310">
        <f t="shared" si="153"/>
        <v>0.7</v>
      </c>
      <c r="AF381" s="311">
        <f t="shared" si="153"/>
        <v>3.1935127987037237E-3</v>
      </c>
      <c r="AG381" s="810">
        <f t="shared" si="153"/>
        <v>0</v>
      </c>
      <c r="AH381" s="176">
        <f t="shared" si="153"/>
        <v>6</v>
      </c>
      <c r="AI381" s="226">
        <f>MIN(AI15:AI380)</f>
        <v>0.7992906144700781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28.137556620714459</v>
      </c>
      <c r="C382" s="375"/>
      <c r="D382" s="375">
        <f>AVERAGE(D15:D380)</f>
        <v>29.584852806123621</v>
      </c>
      <c r="E382" s="375">
        <f>AVERAGE(E15:E380)</f>
        <v>32.158274802528261</v>
      </c>
      <c r="F382" s="376">
        <f>AVERAGE(F15:F380)</f>
        <v>32.187657062730068</v>
      </c>
      <c r="G382" s="126">
        <f>AVERAGE(G15:G380)</f>
        <v>0.71292181531572829</v>
      </c>
      <c r="H382" s="94"/>
      <c r="I382" s="376">
        <f>AVERAGE(I15:I380)</f>
        <v>41.222748472186446</v>
      </c>
      <c r="J382" s="59">
        <f>AVERAGE(J15:J380)</f>
        <v>2020.5218579234972</v>
      </c>
      <c r="K382" s="200" t="s">
        <v>8</v>
      </c>
      <c r="L382" s="147">
        <f t="shared" ref="L382:V382" si="154">AVERAGE(L15:L380)</f>
        <v>4.9054784433032725E-2</v>
      </c>
      <c r="M382" s="844"/>
      <c r="N382" s="844"/>
      <c r="O382" s="48">
        <f t="shared" si="154"/>
        <v>7.9836258173554178E-2</v>
      </c>
      <c r="P382" s="169">
        <f t="shared" si="154"/>
        <v>1.7369413977765017E-3</v>
      </c>
      <c r="Q382" s="312">
        <f t="shared" si="154"/>
        <v>0.69999999999999529</v>
      </c>
      <c r="R382" s="177">
        <f t="shared" si="154"/>
        <v>0.46356932841904308</v>
      </c>
      <c r="S382" s="810">
        <f t="shared" si="154"/>
        <v>0.56010928961748629</v>
      </c>
      <c r="T382" s="176">
        <f t="shared" si="154"/>
        <v>6.5601092896174862</v>
      </c>
      <c r="U382" s="251">
        <f t="shared" si="154"/>
        <v>1.0236786180365283</v>
      </c>
      <c r="V382" s="375">
        <f t="shared" si="154"/>
        <v>38.220887517935566</v>
      </c>
      <c r="X382" s="112" t="s">
        <v>8</v>
      </c>
      <c r="Y382" s="375">
        <f>AVERAGE(Y15:Y380)</f>
        <v>26.278755099583258</v>
      </c>
      <c r="Z382" s="375">
        <f>AVERAGE(Z15:Z380)</f>
        <v>27.630697558713273</v>
      </c>
      <c r="AA382" s="375">
        <f>AVERAGE(AA15:AA380)</f>
        <v>32.158274802528261</v>
      </c>
      <c r="AB382" s="200" t="s">
        <v>8</v>
      </c>
      <c r="AC382" s="48">
        <f t="shared" ref="AC382:AH382" si="155">AVERAGE(AC15:AC380)</f>
        <v>0.1400289563479262</v>
      </c>
      <c r="AD382" s="169">
        <f t="shared" si="155"/>
        <v>1.7369413977765017E-3</v>
      </c>
      <c r="AE382" s="312">
        <f t="shared" si="155"/>
        <v>0.69999999999999529</v>
      </c>
      <c r="AF382" s="177">
        <f t="shared" si="155"/>
        <v>0.46356932841904308</v>
      </c>
      <c r="AG382" s="810">
        <f t="shared" si="155"/>
        <v>0.56010928961748629</v>
      </c>
      <c r="AH382" s="176">
        <f t="shared" si="155"/>
        <v>6.5601092896174862</v>
      </c>
      <c r="AI382" s="225">
        <f>AVERAGE(AI15:AI380)</f>
        <v>1.0236786180365283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57.429627507900626</v>
      </c>
      <c r="C383" s="377"/>
      <c r="D383" s="377">
        <f>MAX(D15:D380)</f>
        <v>60.343866011746108</v>
      </c>
      <c r="E383" s="377">
        <f>MAX(E15:E380)</f>
        <v>65.381733678144613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2024</v>
      </c>
      <c r="K383" s="200" t="s">
        <v>9</v>
      </c>
      <c r="L383" s="148">
        <f t="shared" ref="L383:T383" si="156">MAX(L15:L380)</f>
        <v>5.3087833289086728E-2</v>
      </c>
      <c r="M383" s="847"/>
      <c r="N383" s="847"/>
      <c r="O383" s="49">
        <f t="shared" si="156"/>
        <v>9.7124687670071735E-2</v>
      </c>
      <c r="P383" s="170">
        <f t="shared" si="156"/>
        <v>5.3742082379444056E-3</v>
      </c>
      <c r="Q383" s="313">
        <f t="shared" si="156"/>
        <v>0.7</v>
      </c>
      <c r="R383" s="314">
        <f t="shared" si="156"/>
        <v>0.9990774197498945</v>
      </c>
      <c r="S383" s="811">
        <f t="shared" si="156"/>
        <v>1</v>
      </c>
      <c r="T383" s="233">
        <f t="shared" si="156"/>
        <v>7</v>
      </c>
      <c r="U383" s="253">
        <f>+MAX(U15:U380)</f>
        <v>1.1992895960411412</v>
      </c>
      <c r="V383" s="377">
        <f>MAX(V15:V380)</f>
        <v>56.357217942934412</v>
      </c>
      <c r="X383" s="112" t="s">
        <v>9</v>
      </c>
      <c r="Y383" s="377">
        <f>MAX(Y15:Y380)</f>
        <v>53.53124991110527</v>
      </c>
      <c r="Z383" s="377">
        <f>MAX(Z15:Z380)</f>
        <v>56.247667140669513</v>
      </c>
      <c r="AA383" s="377">
        <f>MAX(AA15:AA380)</f>
        <v>65.381733678144613</v>
      </c>
      <c r="AB383" s="200" t="s">
        <v>9</v>
      </c>
      <c r="AC383" s="49">
        <f t="shared" ref="AC383:AH383" si="157">MAX(AC15:AC380)</f>
        <v>0.14718817847536736</v>
      </c>
      <c r="AD383" s="170">
        <f t="shared" si="157"/>
        <v>5.3742082379444056E-3</v>
      </c>
      <c r="AE383" s="313">
        <f t="shared" si="157"/>
        <v>0.7</v>
      </c>
      <c r="AF383" s="314">
        <f t="shared" si="157"/>
        <v>0.9990774197498945</v>
      </c>
      <c r="AG383" s="811">
        <f t="shared" si="157"/>
        <v>1</v>
      </c>
      <c r="AH383" s="233">
        <f t="shared" si="157"/>
        <v>7</v>
      </c>
      <c r="AI383" s="227">
        <f>MAX(AI15:AI380)</f>
        <v>1.1992895960411412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'2024'!An+1</f>
        <v>2025</v>
      </c>
      <c r="K1" s="1274"/>
      <c r="L1" s="113" t="str">
        <f>"Calcul pertes et enveloppes en "&amp;TEXT(An,0)</f>
        <v>Calcul pertes et enveloppes en 2025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124.98682901857126</v>
      </c>
      <c r="AK3" s="833">
        <f>AM11-AK11</f>
        <v>-0.15114701909673789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692.36174135513909</v>
      </c>
      <c r="AK4" s="833">
        <f>AM12-AK12</f>
        <v>7.5712383958325145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817.61801872755075</v>
      </c>
      <c r="AA5" s="237">
        <f>Wh_Pvg_s-Wh_Pvg</f>
        <v>7.2979267739821658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2521.9836308334361</v>
      </c>
      <c r="AK5" s="515">
        <f>SUMIF(AK15:AK380,"VRAI",Wh)</f>
        <v>1613.3452007281674</v>
      </c>
      <c r="AL5" s="515">
        <f>SUMIF(AJ15:AJ380,"VRAI",Wh_s)</f>
        <v>2396.311821551406</v>
      </c>
      <c r="AM5" s="515">
        <f>SUMIF(AK15:AK380,"VRAI",Wh_s)</f>
        <v>1531.9712128018293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7993.3124742614036</v>
      </c>
      <c r="AK6" s="515">
        <f>SUMIF(AK15:AK380,"FAUX",Wh)</f>
        <v>8901.9509043666712</v>
      </c>
      <c r="AL6" s="515">
        <f>SUMIF(AJ15:AJ380,"FAUX",Wh_s)</f>
        <v>7292.9078580252435</v>
      </c>
      <c r="AM6" s="515">
        <f>SUMIF(AK15:AK380,"FAUX",Wh_s)</f>
        <v>8157.2484667748204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2667.7966125305657</v>
      </c>
      <c r="AK7" s="515">
        <f>SUMIF(AK15:AK380,"VRAI",Wh_sa)</f>
        <v>1899.059831400981</v>
      </c>
      <c r="AL7" s="515">
        <f>SUMIF(AJ15:AJ380,"VRAI",Wh_pvt_s)</f>
        <v>2534.8614980063426</v>
      </c>
      <c r="AM7" s="515">
        <f>SUMIF(AK15:AK380,"VRAI",Wh_sa_s)</f>
        <v>1899.059831400981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8483.5268382070026</v>
      </c>
      <c r="AK8" s="515">
        <f>SUMIF(AK15:AK380,"FAUX",Wh_sa)</f>
        <v>9866.4256213662229</v>
      </c>
      <c r="AL8" s="515">
        <f>SUMIF(AJ15:AJ380,"FAUX",Wh_pvt_s)</f>
        <v>7740.2160585646425</v>
      </c>
      <c r="AM8" s="515">
        <f>SUMIF(AK15:AK380,"FAUX",Wh_sa_s)</f>
        <v>9857.2227906931294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11151.323450737575</v>
      </c>
      <c r="E9" s="184">
        <f>SUM(E$15:E$380)</f>
        <v>11765.485452767201</v>
      </c>
      <c r="F9" s="184">
        <f>SUM(F$15:F$380)</f>
        <v>11769.608155289809</v>
      </c>
      <c r="H9" s="1275">
        <f>+SUM(Wh)</f>
        <v>10515.29610509484</v>
      </c>
      <c r="I9" s="1276"/>
      <c r="J9" s="1277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9689.2196795766467</v>
      </c>
      <c r="Y9" s="1270"/>
      <c r="Z9" s="515">
        <f>SUM(Z$15:Z$380)</f>
        <v>10275.077556570985</v>
      </c>
      <c r="AA9" s="515">
        <f>SUM(AA$15:AA$380)</f>
        <v>11756.282622094108</v>
      </c>
      <c r="AB9" s="515">
        <f>F9</f>
        <v>11769.608155289809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2975.7780971899147</v>
      </c>
      <c r="AK9" s="515">
        <f>SUMIF(AK15:AK380,"VRAI",Wh_hp)</f>
        <v>1902.5872145355331</v>
      </c>
      <c r="AL9" s="515">
        <f>SUMIF(AJ15:AJ380,"VRAI",Wh_sa_s)</f>
        <v>2975.0566056312841</v>
      </c>
      <c r="AM9" s="515">
        <f>SUMIF(AK15:AK380,"VRAI",Wh_hp)</f>
        <v>1902.5872145355331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1.7999999999999999E-2</v>
      </c>
      <c r="P10" s="420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0.39999999999999991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IF(OR(Inflex,GainD),'2024'!Resal_s+('2024'!Salim-'2024'!Resal_s)*(1-EXP(('2024'!Tnet_s-Tnet)/('2024'!Tau_j))),IF(Acti_net,'2024'!Resal+('2024'!Salim-'2024'!Resal)*(1-EXP(('2024'!Tnet-Tnet)/'2024'!Tau_j)),'2024'!Resal_s))</f>
        <v>0.10728843539779206</v>
      </c>
      <c r="AD10" s="427"/>
      <c r="AE10" s="427"/>
      <c r="AF10" s="260"/>
      <c r="AG10" s="261"/>
      <c r="AH10" s="262"/>
      <c r="AI10" s="472"/>
      <c r="AJ10" s="515">
        <f>SUMIF(AJ15:AJ380,"FAUX",Wh_sa)</f>
        <v>8789.7073555772895</v>
      </c>
      <c r="AK10" s="515">
        <f>SUMIF(AK15:AK380,"FAUX",Wh_hp)</f>
        <v>9867.0209407542789</v>
      </c>
      <c r="AL10" s="515">
        <f>SUMIF(AJ15:AJ380,"FAUX",Wh_sa_s)</f>
        <v>8781.2260164628296</v>
      </c>
      <c r="AM10" s="515">
        <f>SUMIF(AK15:AK380,"FAUX",Wh_hp)</f>
        <v>9867.0209407542789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636.02734564273487</v>
      </c>
      <c r="E11" s="51">
        <f>(E$9-D$9)*Prod_an/D$9</f>
        <v>579.13263267529294</v>
      </c>
      <c r="F11" s="186">
        <f>(F$9-E$9)*Prod_an/E$9</f>
        <v>3.6846280548703958</v>
      </c>
      <c r="G11" s="185" t="s">
        <v>6</v>
      </c>
      <c r="K11" s="194"/>
      <c r="L11" s="211">
        <f>Tvie_2025</f>
        <v>43313</v>
      </c>
      <c r="M11" s="843"/>
      <c r="N11" s="843"/>
      <c r="O11" s="202">
        <f>IF(An_Tnet,Salim_2025,'2024'!Salim)</f>
        <v>0.18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-1.6007099697463862</v>
      </c>
      <c r="V11" s="427"/>
      <c r="W11" s="518"/>
      <c r="X11" s="525" t="s">
        <v>43</v>
      </c>
      <c r="Y11" s="50">
        <f>Z$9-Prod_an_s</f>
        <v>585.85787699433786</v>
      </c>
      <c r="Z11" s="51">
        <f>(AA$9-Z$9)*Prod_an_s/Z$9</f>
        <v>1396.7506514028437</v>
      </c>
      <c r="AA11" s="186">
        <f>(AB$9-AA$9)*Prod_an_s/AA$9</f>
        <v>10.982554828852562</v>
      </c>
      <c r="AB11" s="526" t="s">
        <v>6</v>
      </c>
      <c r="AC11" s="325"/>
      <c r="AD11" s="427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1.2192800833527975</v>
      </c>
      <c r="AJ11" s="832">
        <f>IF($AJ7=0,0,($AJ9-$AJ7)*$AJ5/$AJ7)</f>
        <v>291.14823043945898</v>
      </c>
      <c r="AK11" s="833">
        <f>IF($AK7=0,0,($AK9-$AK7)*$AK5/$AK7)</f>
        <v>2.9966863377131334</v>
      </c>
      <c r="AL11" s="832">
        <f>IF($AL7=0,0,($AL9-$AL7)*$AL5/$AL7)</f>
        <v>416.13505945803024</v>
      </c>
      <c r="AM11" s="833">
        <f>IF($AM7=0,0,($AM9-$AM7)*$AM5/$AM7)</f>
        <v>2.8455393186163955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Pspv_2025</f>
        <v>0</v>
      </c>
      <c r="M12" s="212"/>
      <c r="N12" s="212"/>
      <c r="O12" s="205">
        <f>IF(An_Tnet,Tau_2025*365,'2024'!Tau_j)</f>
        <v>912.5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1.1992895960411412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0.7</v>
      </c>
      <c r="AF12" s="203"/>
      <c r="AG12" s="203"/>
      <c r="AH12" s="203"/>
      <c r="AI12" s="297">
        <f>'2024'!Hdf_s</f>
        <v>1.1992895960411412</v>
      </c>
      <c r="AJ12" s="832">
        <f>IF($AJ8=0,0,($AJ10-$AJ8)*$AJ6/$AJ8)</f>
        <v>288.48810118092149</v>
      </c>
      <c r="AK12" s="833">
        <f>IF($AK8=0,0,($AK10-$AK8)*$AK6/$AK8)</f>
        <v>0.53712501044099148</v>
      </c>
      <c r="AL12" s="832">
        <f>IF($AL8=0,0,($AL10-$AL8)*$AL6/$AL8)</f>
        <v>980.84984253606058</v>
      </c>
      <c r="AM12" s="833">
        <f>IF($AM8=0,0,($AM10-$AM8)*$AM6/$AM8)</f>
        <v>8.1083634062735062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579.63633162038047</v>
      </c>
      <c r="AK13" s="73">
        <f>+AK11+AK12</f>
        <v>3.5338113481541251</v>
      </c>
      <c r="AL13" s="73">
        <f>+AL11+AL12</f>
        <v>1396.9849019940907</v>
      </c>
      <c r="AM13" s="73">
        <f>+AM11+AM12</f>
        <v>10.953902724889902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2025</v>
      </c>
      <c r="W14" s="837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16.569782777518874</v>
      </c>
      <c r="C15" s="840"/>
      <c r="D15" s="393">
        <f t="shared" ref="D15:D78" si="0">Wh/(1-Ppv)</f>
        <v>17.499160927566297</v>
      </c>
      <c r="E15" s="400">
        <f t="shared" ref="E15:E79" si="1">Wh_pvt/(1-Psa)</f>
        <v>19.383543185297867</v>
      </c>
      <c r="F15" s="400">
        <f t="shared" ref="F15:F78" si="2">Wh_sa/(1-Pvg*MEDIAN((-Sdif+Wh/Env_an)/Csdif,0,1))</f>
        <v>19.422268877637329</v>
      </c>
      <c r="G15" s="123">
        <f>+Wh_hp/MaxiM</f>
        <v>0.97908945922506352</v>
      </c>
      <c r="H15" s="414" t="b">
        <f>Wh_hp&gt;='2024'!Maxi_hp</f>
        <v>0</v>
      </c>
      <c r="I15" s="396">
        <f>IF(H15,Wh_hp,'2024'!Maxi_hp)</f>
        <v>19.423010960329702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5.3109869318555769E-2</v>
      </c>
      <c r="M15" s="844"/>
      <c r="N15" s="844"/>
      <c r="O15" s="48">
        <f>IF(t&lt;Tnet,'2024'!Resal+('2024'!Salim-'2024'!Resal)*(1-EXP(('2024'!Tnet-t)/('2024'!Tau_j))),Resal+(Salim-Resal)*(1-EXP((Tnet-t)/(Tau_j))))*Salcycl</f>
        <v>9.721557301045182E-2</v>
      </c>
      <c r="P15" s="302">
        <f>(INDEX(Models!$BJ15:$BT15,,T15)*(1-R15)+INDEX(Models!$BJ15:$BT15,,T15+1)*R15-ERP_i)*Q15*Ramure*Pc/MaxiM</f>
        <v>2.0550948592817321E-3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0.1992905524397246</v>
      </c>
      <c r="S15" s="809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1.1992905524397246</v>
      </c>
      <c r="V15" s="382">
        <f t="shared" ref="V15:V78" si="9">MaxiM*(1-Ppv)*(1-Pvg)*(1-Psa)</f>
        <v>16.922627747800064</v>
      </c>
      <c r="W15" s="402">
        <f t="shared" ref="W15:W78" si="10">Wh*(A15&gt;Tmaj)</f>
        <v>16.569782777518874</v>
      </c>
      <c r="X15" s="156">
        <f t="shared" ref="X15:X78" si="11">t</f>
        <v>45658</v>
      </c>
      <c r="Y15" s="385">
        <f t="shared" ref="Y15:Y78" si="12">Wh_pvt_s*(1-Ppv)</f>
        <v>15.690169953359696</v>
      </c>
      <c r="Z15" s="385">
        <f>Wh_sa_s*(1-Psa_s)</f>
        <v>16.570211733084619</v>
      </c>
      <c r="AA15" s="386">
        <f t="shared" ref="AA15:AA78" si="13">Wh_hp*(1-Pvg_s*MEDIAN((-Sdif+Wh/Env_an)/Csdif,0,1))</f>
        <v>19.383543185297867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0.14514020606651096</v>
      </c>
      <c r="AD15" s="231">
        <f>(INDEX(Models!$BJ15:$BT15,,AH15)*(1-AF15)+INDEX(Models!$BJ15:$BT15,,AH15+1)*AF15-ERP_i)*AE15*Ramure*Pc/MaxiM</f>
        <v>2.0550948592817321E-3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0.1992905524397246</v>
      </c>
      <c r="AG15" s="809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1.1992905524397246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13.121296843957456</v>
      </c>
      <c r="C16" s="840"/>
      <c r="D16" s="393">
        <f t="shared" si="0"/>
        <v>13.857576267446126</v>
      </c>
      <c r="E16" s="385">
        <f t="shared" si="1"/>
        <v>15.351295178508103</v>
      </c>
      <c r="F16" s="385">
        <f t="shared" si="2"/>
        <v>15.372598095059894</v>
      </c>
      <c r="G16" s="110">
        <f t="shared" ref="G16:G79" si="21">+Wh_hp/MaxiM</f>
        <v>0.77122547741904679</v>
      </c>
      <c r="H16" s="414" t="b">
        <f>Wh_hp&gt;='2024'!Maxi_hp</f>
        <v>0</v>
      </c>
      <c r="I16" s="390">
        <f>IF(H16,Wh_hp,'2024'!Maxi_hp)</f>
        <v>17.983399088358674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5.3131904835214128E-2</v>
      </c>
      <c r="M16" s="844"/>
      <c r="N16" s="844"/>
      <c r="O16" s="48">
        <f>IF(t&lt;Tnet,'2024'!Resal+('2024'!Salim-'2024'!Resal)*(1-EXP(('2024'!Tnet-t)/('2024'!Tau_j))),Resal+(Salim-Resal)*(1-EXP((Tnet-t)/(Tau_j))))*Salcycl</f>
        <v>9.7302468208232545E-2</v>
      </c>
      <c r="P16" s="169">
        <f>(INDEX(Models!$BJ16:$BT16,,T16)*(1-R16)+INDEX(Models!$BJ16:$BT16,,T16+1)*R16-ERP_i)*Q16*Ramure*Pc/MaxiM</f>
        <v>2.0562871415037592E-3</v>
      </c>
      <c r="Q16" s="305">
        <f t="shared" si="4"/>
        <v>0.7</v>
      </c>
      <c r="R16" s="177">
        <f t="shared" si="5"/>
        <v>0.19931392413092008</v>
      </c>
      <c r="S16" s="810">
        <f t="shared" si="6"/>
        <v>1</v>
      </c>
      <c r="T16" s="176">
        <f t="shared" si="7"/>
        <v>7</v>
      </c>
      <c r="U16" s="251">
        <f t="shared" si="8"/>
        <v>1.1993139241309201</v>
      </c>
      <c r="V16" s="383">
        <f t="shared" si="9"/>
        <v>17.002143978845396</v>
      </c>
      <c r="W16" s="402">
        <f t="shared" si="10"/>
        <v>13.121296843957456</v>
      </c>
      <c r="X16" s="157">
        <f t="shared" si="11"/>
        <v>45659</v>
      </c>
      <c r="Y16" s="385">
        <f t="shared" si="12"/>
        <v>12.425471892290851</v>
      </c>
      <c r="Z16" s="385">
        <f t="shared" ref="Z16:Z78" si="22">Wh_sa_s*(1-Psa_s)</f>
        <v>13.122706273177801</v>
      </c>
      <c r="AA16" s="386">
        <f t="shared" si="13"/>
        <v>15.351295178508103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0.14517269581594255</v>
      </c>
      <c r="AD16" s="231">
        <f>(INDEX(Models!$BJ16:$BT16,,AH16)*(1-AF16)+INDEX(Models!$BJ16:$BT16,,AH16+1)*AF16-ERP_i)*AE16*Ramure*Pc/MaxiM</f>
        <v>2.0562871415037592E-3</v>
      </c>
      <c r="AE16" s="305">
        <f t="shared" si="15"/>
        <v>0.7</v>
      </c>
      <c r="AF16" s="177">
        <f t="shared" ref="AF16:AF78" si="23">(Hp_vg_s-AG16)/(INDEX(Echel_vg,AH16+1)-AG16)</f>
        <v>0.19931392413092008</v>
      </c>
      <c r="AG16" s="810">
        <f t="shared" ref="AG16:AG79" si="24">INDEX(Echel_vg,AH16)</f>
        <v>1</v>
      </c>
      <c r="AH16" s="176">
        <f t="shared" si="16"/>
        <v>7</v>
      </c>
      <c r="AI16" s="225">
        <f t="shared" si="17"/>
        <v>1.1993139241309201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12.969300137614637</v>
      </c>
      <c r="C17" s="840"/>
      <c r="D17" s="393">
        <f t="shared" si="0"/>
        <v>13.697369280292905</v>
      </c>
      <c r="E17" s="385">
        <f t="shared" si="1"/>
        <v>15.175282044336372</v>
      </c>
      <c r="F17" s="385">
        <f t="shared" si="2"/>
        <v>15.195794450362417</v>
      </c>
      <c r="G17" s="110">
        <f t="shared" si="21"/>
        <v>0.75840326010155867</v>
      </c>
      <c r="H17" s="414" t="b">
        <f>Wh_hp&gt;='2024'!Maxi_hp</f>
        <v>0</v>
      </c>
      <c r="I17" s="390">
        <f>IF(H17,Wh_hp,'2024'!Maxi_hp)</f>
        <v>19.915594108485788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5.3153939839073905E-2</v>
      </c>
      <c r="M17" s="844"/>
      <c r="N17" s="844"/>
      <c r="O17" s="48">
        <f>IF(t&lt;Tnet,'2024'!Resal+('2024'!Salim-'2024'!Resal)*(1-EXP(('2024'!Tnet-t)/('2024'!Tau_j))),Resal+(Salim-Resal)*(1-EXP((Tnet-t)/(Tau_j))))*Salcycl</f>
        <v>9.7389475841409112E-2</v>
      </c>
      <c r="P17" s="169">
        <f>(INDEX(Models!$BJ17:$BT17,,T17)*(1-R17)+INDEX(Models!$BJ17:$BT17,,T17+1)*R17-ERP_i)*Q17*Ramure*Pc/MaxiM</f>
        <v>2.0588909503015096E-3</v>
      </c>
      <c r="Q17" s="305">
        <f t="shared" si="4"/>
        <v>0.7</v>
      </c>
      <c r="R17" s="177">
        <f t="shared" si="5"/>
        <v>0.19933827340731169</v>
      </c>
      <c r="S17" s="810">
        <f t="shared" si="6"/>
        <v>1</v>
      </c>
      <c r="T17" s="176">
        <f t="shared" si="7"/>
        <v>7</v>
      </c>
      <c r="U17" s="251">
        <f t="shared" si="8"/>
        <v>1.1993382734073117</v>
      </c>
      <c r="V17" s="383">
        <f t="shared" si="9"/>
        <v>17.088655778218367</v>
      </c>
      <c r="W17" s="402">
        <f t="shared" si="10"/>
        <v>12.969300137614637</v>
      </c>
      <c r="X17" s="157">
        <f t="shared" si="11"/>
        <v>45660</v>
      </c>
      <c r="Y17" s="385">
        <f t="shared" si="12"/>
        <v>12.282248604710379</v>
      </c>
      <c r="Z17" s="385">
        <f t="shared" si="22"/>
        <v>12.971748124106769</v>
      </c>
      <c r="AA17" s="386">
        <f t="shared" si="13"/>
        <v>15.175282044336372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0.14520546727182523</v>
      </c>
      <c r="AD17" s="231">
        <f>(INDEX(Models!$BJ17:$BT17,,AH17)*(1-AF17)+INDEX(Models!$BJ17:$BT17,,AH17+1)*AF17-ERP_i)*AE17*Ramure*Pc/MaxiM</f>
        <v>2.0588909503015096E-3</v>
      </c>
      <c r="AE17" s="305">
        <f t="shared" si="15"/>
        <v>0.7</v>
      </c>
      <c r="AF17" s="177">
        <f>(Hp_vg_s-AG17)/(INDEX(Echel_vg,AH17+1)-AG17)</f>
        <v>0.19933827340731169</v>
      </c>
      <c r="AG17" s="810">
        <f>INDEX(Echel_vg,AH17)</f>
        <v>1</v>
      </c>
      <c r="AH17" s="176">
        <f t="shared" si="16"/>
        <v>7</v>
      </c>
      <c r="AI17" s="225">
        <f t="shared" si="17"/>
        <v>1.1993382734073117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13.433383023165822</v>
      </c>
      <c r="C18" s="840"/>
      <c r="D18" s="393">
        <f t="shared" si="0"/>
        <v>14.18783497140565</v>
      </c>
      <c r="E18" s="385">
        <f t="shared" si="1"/>
        <v>15.720184717669033</v>
      </c>
      <c r="F18" s="385">
        <f t="shared" si="2"/>
        <v>15.742536018744877</v>
      </c>
      <c r="G18" s="110">
        <f t="shared" si="21"/>
        <v>0.78129560738224735</v>
      </c>
      <c r="H18" s="414" t="b">
        <f>Wh_hp&gt;='2024'!Maxi_hp</f>
        <v>0</v>
      </c>
      <c r="I18" s="390">
        <f>IF(H18,Wh_hp,'2024'!Maxi_hp)</f>
        <v>20.019430838359703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5.3175974330146869E-2</v>
      </c>
      <c r="M18" s="844"/>
      <c r="N18" s="844"/>
      <c r="O18" s="48">
        <f>IF(t&lt;Tnet,'2024'!Resal+('2024'!Salim-'2024'!Resal)*(1-EXP(('2024'!Tnet-t)/('2024'!Tau_j))),Resal+(Salim-Resal)*(1-EXP((Tnet-t)/(Tau_j))))*Salcycl</f>
        <v>9.7476573830654056E-2</v>
      </c>
      <c r="P18" s="169">
        <f>(INDEX(Models!$BJ18:$BT18,,T18)*(1-R18)+INDEX(Models!$BJ18:$BT18,,T18+1)*R18-ERP_i)*Q18*Ramure*Pc/MaxiM</f>
        <v>2.0628147751773122E-3</v>
      </c>
      <c r="Q18" s="305">
        <f t="shared" si="4"/>
        <v>0.7</v>
      </c>
      <c r="R18" s="177">
        <f t="shared" si="5"/>
        <v>0.19936364103234783</v>
      </c>
      <c r="S18" s="810">
        <f t="shared" si="6"/>
        <v>1</v>
      </c>
      <c r="T18" s="176">
        <f t="shared" si="7"/>
        <v>7</v>
      </c>
      <c r="U18" s="251">
        <f t="shared" si="8"/>
        <v>1.1993636410323478</v>
      </c>
      <c r="V18" s="383">
        <f t="shared" si="9"/>
        <v>17.182655057115721</v>
      </c>
      <c r="W18" s="402">
        <f t="shared" si="10"/>
        <v>13.433383023165822</v>
      </c>
      <c r="X18" s="157">
        <f t="shared" si="11"/>
        <v>45661</v>
      </c>
      <c r="Y18" s="385">
        <f t="shared" si="12"/>
        <v>12.722482838620008</v>
      </c>
      <c r="Z18" s="385">
        <f>Wh_sa_s*(1-Psa_s)</f>
        <v>13.437008877778725</v>
      </c>
      <c r="AA18" s="386">
        <f t="shared" si="13"/>
        <v>15.720184717669033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0.14523848675417181</v>
      </c>
      <c r="AD18" s="231">
        <f>(INDEX(Models!$BJ18:$BT18,,AH18)*(1-AF18)+INDEX(Models!$BJ18:$BT18,,AH18+1)*AF18-ERP_i)*AE18*Ramure*Pc/MaxiM</f>
        <v>2.0628147751773122E-3</v>
      </c>
      <c r="AE18" s="305">
        <f t="shared" si="15"/>
        <v>0.7</v>
      </c>
      <c r="AF18" s="177">
        <f t="shared" si="23"/>
        <v>0.19936364103234783</v>
      </c>
      <c r="AG18" s="810">
        <f t="shared" si="24"/>
        <v>1</v>
      </c>
      <c r="AH18" s="176">
        <f t="shared" si="16"/>
        <v>7</v>
      </c>
      <c r="AI18" s="225">
        <f t="shared" si="17"/>
        <v>1.1993636410323478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11.496704866370257</v>
      </c>
      <c r="C19" s="840"/>
      <c r="D19" s="393">
        <f t="shared" si="0"/>
        <v>12.142670766704095</v>
      </c>
      <c r="E19" s="385">
        <f t="shared" si="1"/>
        <v>13.455433192007947</v>
      </c>
      <c r="F19" s="385">
        <f t="shared" si="2"/>
        <v>13.469963385502153</v>
      </c>
      <c r="G19" s="110">
        <f t="shared" si="21"/>
        <v>0.66448151519336351</v>
      </c>
      <c r="H19" s="414" t="b">
        <f>Wh_hp&gt;='2024'!Maxi_hp</f>
        <v>0</v>
      </c>
      <c r="I19" s="390">
        <f>IF(H19,Wh_hp,'2024'!Maxi_hp)</f>
        <v>19.724952113879578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5.3198008308445122E-2</v>
      </c>
      <c r="M19" s="844"/>
      <c r="N19" s="844"/>
      <c r="O19" s="48">
        <f>IF(t&lt;Tnet,'2024'!Resal+('2024'!Salim-'2024'!Resal)*(1-EXP(('2024'!Tnet-t)/('2024'!Tau_j))),Resal+(Salim-Resal)*(1-EXP((Tnet-t)/(Tau_j))))*Salcycl</f>
        <v>9.7563742955788707E-2</v>
      </c>
      <c r="P19" s="169">
        <f>(INDEX(Models!$BJ19:$BT19,,T19)*(1-R19)+INDEX(Models!$BJ19:$BT19,,T19+1)*R19-ERP_i)*Q19*Ramure*Pc/MaxiM</f>
        <v>2.0679657931704041E-3</v>
      </c>
      <c r="Q19" s="305">
        <f t="shared" si="4"/>
        <v>0.7</v>
      </c>
      <c r="R19" s="177">
        <f t="shared" si="5"/>
        <v>0.19939006945839721</v>
      </c>
      <c r="S19" s="810">
        <f t="shared" si="6"/>
        <v>1</v>
      </c>
      <c r="T19" s="176">
        <f t="shared" si="7"/>
        <v>7</v>
      </c>
      <c r="U19" s="251">
        <f t="shared" si="8"/>
        <v>1.1993900694583972</v>
      </c>
      <c r="V19" s="383">
        <f t="shared" si="9"/>
        <v>17.284633429499678</v>
      </c>
      <c r="W19" s="402">
        <f t="shared" si="10"/>
        <v>11.496704866370257</v>
      </c>
      <c r="X19" s="157">
        <f t="shared" si="11"/>
        <v>45662</v>
      </c>
      <c r="Y19" s="385">
        <f t="shared" si="12"/>
        <v>10.88892278284729</v>
      </c>
      <c r="Z19" s="385">
        <f t="shared" si="22"/>
        <v>11.500739202494874</v>
      </c>
      <c r="AA19" s="386">
        <f t="shared" si="13"/>
        <v>13.455433192007947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0.14527172493220752</v>
      </c>
      <c r="AD19" s="231">
        <f>(INDEX(Models!$BJ19:$BT19,,AH19)*(1-AF19)+INDEX(Models!$BJ19:$BT19,,AH19+1)*AF19-ERP_i)*AE19*Ramure*Pc/MaxiM</f>
        <v>2.0679657931704041E-3</v>
      </c>
      <c r="AE19" s="305">
        <f t="shared" si="15"/>
        <v>0.7</v>
      </c>
      <c r="AF19" s="177">
        <f t="shared" si="23"/>
        <v>0.19939006945839721</v>
      </c>
      <c r="AG19" s="810">
        <f t="shared" si="24"/>
        <v>1</v>
      </c>
      <c r="AH19" s="176">
        <f t="shared" si="16"/>
        <v>7</v>
      </c>
      <c r="AI19" s="225">
        <f t="shared" si="17"/>
        <v>1.1993900694583972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14.769680463127179</v>
      </c>
      <c r="C20" s="840"/>
      <c r="D20" s="393">
        <f t="shared" si="0"/>
        <v>15.5999082308429</v>
      </c>
      <c r="E20" s="385">
        <f t="shared" si="1"/>
        <v>17.288108765488936</v>
      </c>
      <c r="F20" s="385">
        <f t="shared" si="2"/>
        <v>17.316282676692854</v>
      </c>
      <c r="G20" s="110">
        <f t="shared" si="21"/>
        <v>0.84869183417230731</v>
      </c>
      <c r="H20" s="414" t="b">
        <f>Wh_hp&gt;='2024'!Maxi_hp</f>
        <v>0</v>
      </c>
      <c r="I20" s="390">
        <f>IF(H20,Wh_hp,'2024'!Maxi_hp)</f>
        <v>19.527156693189088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5.3220041773980431E-2</v>
      </c>
      <c r="M20" s="844"/>
      <c r="N20" s="844"/>
      <c r="O20" s="48">
        <f>IF(t&lt;Tnet,'2024'!Resal+('2024'!Salim-'2024'!Resal)*(1-EXP(('2024'!Tnet-t)/('2024'!Tau_j))),Resal+(Salim-Resal)*(1-EXP((Tnet-t)/(Tau_j))))*Salcycl</f>
        <v>9.7650966774114362E-2</v>
      </c>
      <c r="P20" s="169">
        <f>(INDEX(Models!$BJ20:$BT20,,T20)*(1-R20)+INDEX(Models!$BJ20:$BT20,,T20+1)*R20-ERP_i)*Q20*Ramure*Pc/MaxiM</f>
        <v>2.074249868476174E-3</v>
      </c>
      <c r="Q20" s="305">
        <f t="shared" si="4"/>
        <v>0.7</v>
      </c>
      <c r="R20" s="177">
        <f t="shared" si="5"/>
        <v>0.19941760289579769</v>
      </c>
      <c r="S20" s="810">
        <f t="shared" si="6"/>
        <v>1</v>
      </c>
      <c r="T20" s="176">
        <f t="shared" si="7"/>
        <v>7</v>
      </c>
      <c r="U20" s="251">
        <f t="shared" si="8"/>
        <v>1.1994176028957977</v>
      </c>
      <c r="V20" s="383">
        <f t="shared" si="9"/>
        <v>17.395082217899681</v>
      </c>
      <c r="W20" s="402">
        <f t="shared" si="10"/>
        <v>14.769680463127179</v>
      </c>
      <c r="X20" s="157">
        <f t="shared" si="11"/>
        <v>45663</v>
      </c>
      <c r="Y20" s="385">
        <f t="shared" si="12"/>
        <v>13.989675019732601</v>
      </c>
      <c r="Z20" s="385">
        <f t="shared" si="22"/>
        <v>14.776057412479494</v>
      </c>
      <c r="AA20" s="386">
        <f t="shared" si="13"/>
        <v>17.288108765488936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0.14530515668805127</v>
      </c>
      <c r="AD20" s="231">
        <f>(INDEX(Models!$BJ20:$BT20,,AH20)*(1-AF20)+INDEX(Models!$BJ20:$BT20,,AH20+1)*AF20-ERP_i)*AE20*Ramure*Pc/MaxiM</f>
        <v>2.074249868476174E-3</v>
      </c>
      <c r="AE20" s="305">
        <f t="shared" si="15"/>
        <v>0.7</v>
      </c>
      <c r="AF20" s="177">
        <f t="shared" si="23"/>
        <v>0.19941760289579769</v>
      </c>
      <c r="AG20" s="810">
        <f t="shared" si="24"/>
        <v>1</v>
      </c>
      <c r="AH20" s="176">
        <f t="shared" si="16"/>
        <v>7</v>
      </c>
      <c r="AI20" s="225">
        <f t="shared" si="17"/>
        <v>1.1994176028957977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9.1739446546791523</v>
      </c>
      <c r="C21" s="840"/>
      <c r="D21" s="393">
        <f t="shared" si="0"/>
        <v>9.6898525058890268</v>
      </c>
      <c r="E21" s="385">
        <f t="shared" si="1"/>
        <v>10.739513569523499</v>
      </c>
      <c r="F21" s="385">
        <f t="shared" si="2"/>
        <v>10.746665295924927</v>
      </c>
      <c r="G21" s="110">
        <f t="shared" si="21"/>
        <v>0.52304940674063649</v>
      </c>
      <c r="H21" s="414" t="b">
        <f>Wh_hp&gt;='2024'!Maxi_hp</f>
        <v>0</v>
      </c>
      <c r="I21" s="390">
        <f>IF(H21,Wh_hp,'2024'!Maxi_hp)</f>
        <v>12.454416389518343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5.3242074726764899E-2</v>
      </c>
      <c r="M21" s="844"/>
      <c r="N21" s="844"/>
      <c r="O21" s="48">
        <f>IF(t&lt;Tnet,'2024'!Resal+('2024'!Salim-'2024'!Resal)*(1-EXP(('2024'!Tnet-t)/('2024'!Tau_j))),Resal+(Salim-Resal)*(1-EXP((Tnet-t)/(Tau_j))))*Salcycl</f>
        <v>9.7738231516666843E-2</v>
      </c>
      <c r="P21" s="169">
        <f>(INDEX(Models!$BJ21:$BT21,,T21)*(1-R21)+INDEX(Models!$BJ21:$BT21,,T21+1)*R21-ERP_i)*Q21*Ramure*Pc/MaxiM</f>
        <v>2.0815716178009176E-3</v>
      </c>
      <c r="Q21" s="305">
        <f t="shared" si="4"/>
        <v>0.7</v>
      </c>
      <c r="R21" s="177">
        <f t="shared" si="5"/>
        <v>0.19944628738464831</v>
      </c>
      <c r="S21" s="810">
        <f t="shared" si="6"/>
        <v>1</v>
      </c>
      <c r="T21" s="176">
        <f t="shared" si="7"/>
        <v>7</v>
      </c>
      <c r="U21" s="251">
        <f t="shared" si="8"/>
        <v>1.1994462873846483</v>
      </c>
      <c r="V21" s="383">
        <f t="shared" si="9"/>
        <v>17.514492454705156</v>
      </c>
      <c r="W21" s="402">
        <f t="shared" si="10"/>
        <v>9.1739446546791523</v>
      </c>
      <c r="X21" s="157">
        <f t="shared" si="11"/>
        <v>45664</v>
      </c>
      <c r="Y21" s="385">
        <f t="shared" si="12"/>
        <v>8.6899558192969373</v>
      </c>
      <c r="Z21" s="385">
        <f t="shared" si="22"/>
        <v>9.178645974142766</v>
      </c>
      <c r="AA21" s="386">
        <f t="shared" si="13"/>
        <v>10.739513569523499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0.1453387609481821</v>
      </c>
      <c r="AD21" s="231">
        <f>(INDEX(Models!$BJ21:$BT21,,AH21)*(1-AF21)+INDEX(Models!$BJ21:$BT21,,AH21+1)*AF21-ERP_i)*AE21*Ramure*Pc/MaxiM</f>
        <v>2.0815716178009176E-3</v>
      </c>
      <c r="AE21" s="305">
        <f t="shared" si="15"/>
        <v>0.7</v>
      </c>
      <c r="AF21" s="177">
        <f t="shared" si="23"/>
        <v>0.19944628738464831</v>
      </c>
      <c r="AG21" s="810">
        <f t="shared" si="24"/>
        <v>1</v>
      </c>
      <c r="AH21" s="176">
        <f t="shared" si="16"/>
        <v>7</v>
      </c>
      <c r="AI21" s="225">
        <f t="shared" si="17"/>
        <v>1.1994462873846483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6.6700720877831445</v>
      </c>
      <c r="C22" s="840"/>
      <c r="D22" s="393">
        <f t="shared" si="0"/>
        <v>7.0453355981068517</v>
      </c>
      <c r="E22" s="385">
        <f t="shared" si="1"/>
        <v>7.8092827949227859</v>
      </c>
      <c r="F22" s="385">
        <f t="shared" si="2"/>
        <v>7.8111029135284618</v>
      </c>
      <c r="G22" s="110">
        <f t="shared" si="21"/>
        <v>0.37734796683712379</v>
      </c>
      <c r="H22" s="414" t="b">
        <f>Wh_hp&gt;='2024'!Maxi_hp</f>
        <v>0</v>
      </c>
      <c r="I22" s="390">
        <f>IF(H22,Wh_hp,'2024'!Maxi_hp)</f>
        <v>15.458337172992977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5.3264107166810293E-2</v>
      </c>
      <c r="M22" s="844"/>
      <c r="N22" s="844"/>
      <c r="O22" s="48">
        <f>IF(t&lt;Tnet,'2024'!Resal+('2024'!Salim-'2024'!Resal)*(1-EXP(('2024'!Tnet-t)/('2024'!Tau_j))),Resal+(Salim-Resal)*(1-EXP((Tnet-t)/(Tau_j))))*Salcycl</f>
        <v>9.7825525964127621E-2</v>
      </c>
      <c r="P22" s="169">
        <f>(INDEX(Models!$BJ22:$BT22,,T22)*(1-R22)+INDEX(Models!$BJ22:$BT22,,T22+1)*R22-ERP_i)*Q22*Ramure*Pc/MaxiM</f>
        <v>2.0898345383756653E-3</v>
      </c>
      <c r="Q22" s="305">
        <f t="shared" si="4"/>
        <v>0.7</v>
      </c>
      <c r="R22" s="177">
        <f t="shared" si="5"/>
        <v>0.19947617086944591</v>
      </c>
      <c r="S22" s="810">
        <f t="shared" si="6"/>
        <v>1</v>
      </c>
      <c r="T22" s="176">
        <f t="shared" si="7"/>
        <v>7</v>
      </c>
      <c r="U22" s="251">
        <f t="shared" si="8"/>
        <v>1.1994761708694459</v>
      </c>
      <c r="V22" s="383">
        <f t="shared" si="9"/>
        <v>17.643354883155766</v>
      </c>
      <c r="W22" s="402">
        <f t="shared" si="10"/>
        <v>6.6700720877831445</v>
      </c>
      <c r="X22" s="157">
        <f t="shared" si="11"/>
        <v>45665</v>
      </c>
      <c r="Y22" s="385">
        <f t="shared" si="12"/>
        <v>6.3185415466942834</v>
      </c>
      <c r="Z22" s="385">
        <f t="shared" si="22"/>
        <v>6.6740276718415066</v>
      </c>
      <c r="AA22" s="386">
        <f t="shared" si="13"/>
        <v>7.8092827949227859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0.1453725204854108</v>
      </c>
      <c r="AD22" s="231">
        <f>(INDEX(Models!$BJ22:$BT22,,AH22)*(1-AF22)+INDEX(Models!$BJ22:$BT22,,AH22+1)*AF22-ERP_i)*AE22*Ramure*Pc/MaxiM</f>
        <v>2.0898345383756653E-3</v>
      </c>
      <c r="AE22" s="305">
        <f t="shared" si="15"/>
        <v>0.7</v>
      </c>
      <c r="AF22" s="177">
        <f t="shared" si="23"/>
        <v>0.19947617086944591</v>
      </c>
      <c r="AG22" s="810">
        <f t="shared" si="24"/>
        <v>1</v>
      </c>
      <c r="AH22" s="176">
        <f t="shared" si="16"/>
        <v>7</v>
      </c>
      <c r="AI22" s="225">
        <f t="shared" si="17"/>
        <v>1.1994761708694459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2.0083682363182129</v>
      </c>
      <c r="C23" s="840"/>
      <c r="D23" s="393">
        <f t="shared" si="0"/>
        <v>2.121409983790127</v>
      </c>
      <c r="E23" s="385">
        <f t="shared" si="1"/>
        <v>2.3516685315167938</v>
      </c>
      <c r="F23" s="385">
        <f t="shared" si="2"/>
        <v>2.3516685315167938</v>
      </c>
      <c r="G23" s="110">
        <f t="shared" si="21"/>
        <v>0.11270861717196795</v>
      </c>
      <c r="H23" s="414" t="b">
        <f>Wh_hp&gt;='2024'!Maxi_hp</f>
        <v>0</v>
      </c>
      <c r="I23" s="390">
        <f>IF(H23,Wh_hp,'2024'!Maxi_hp)</f>
        <v>19.717901161584987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5.3286139094128715E-2</v>
      </c>
      <c r="M23" s="844"/>
      <c r="N23" s="844"/>
      <c r="O23" s="48">
        <f>IF(t&lt;Tnet,'2024'!Resal+('2024'!Salim-'2024'!Resal)*(1-EXP(('2024'!Tnet-t)/('2024'!Tau_j))),Resal+(Salim-Resal)*(1-EXP((Tnet-t)/(Tau_j))))*Salcycl</f>
        <v>9.7912841304277368E-2</v>
      </c>
      <c r="P23" s="169">
        <f>(INDEX(Models!$BJ23:$BT23,,T23)*(1-R23)+INDEX(Models!$BJ23:$BT23,,T23+1)*R23-ERP_i)*Q23*Ramure*Pc/MaxiM</f>
        <v>2.098993423638877E-3</v>
      </c>
      <c r="Q23" s="305">
        <f t="shared" si="4"/>
        <v>0.7</v>
      </c>
      <c r="R23" s="177">
        <f t="shared" si="5"/>
        <v>0.1995073032766741</v>
      </c>
      <c r="S23" s="810">
        <f t="shared" si="6"/>
        <v>1</v>
      </c>
      <c r="T23" s="176">
        <f t="shared" si="7"/>
        <v>7</v>
      </c>
      <c r="U23" s="251">
        <f t="shared" si="8"/>
        <v>1.1995073032766741</v>
      </c>
      <c r="V23" s="383">
        <f t="shared" si="9"/>
        <v>17.781716561565567</v>
      </c>
      <c r="W23" s="402">
        <f t="shared" si="10"/>
        <v>2.0083682363182129</v>
      </c>
      <c r="X23" s="157">
        <f t="shared" si="11"/>
        <v>45666</v>
      </c>
      <c r="Y23" s="385">
        <f t="shared" si="12"/>
        <v>1.9026305618985511</v>
      </c>
      <c r="Z23" s="385">
        <f t="shared" si="22"/>
        <v>2.009720825337872</v>
      </c>
      <c r="AA23" s="386">
        <f t="shared" si="13"/>
        <v>2.3516685315167938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0.14540642169428963</v>
      </c>
      <c r="AD23" s="231">
        <f>(INDEX(Models!$BJ23:$BT23,,AH23)*(1-AF23)+INDEX(Models!$BJ23:$BT23,,AH23+1)*AF23-ERP_i)*AE23*Ramure*Pc/MaxiM</f>
        <v>2.098993423638877E-3</v>
      </c>
      <c r="AE23" s="305">
        <f t="shared" si="15"/>
        <v>0.7</v>
      </c>
      <c r="AF23" s="177">
        <f t="shared" si="23"/>
        <v>0.1995073032766741</v>
      </c>
      <c r="AG23" s="810">
        <f t="shared" si="24"/>
        <v>1</v>
      </c>
      <c r="AH23" s="176">
        <f t="shared" si="16"/>
        <v>7</v>
      </c>
      <c r="AI23" s="225">
        <f t="shared" si="17"/>
        <v>1.1995073032766741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1.605103920802776</v>
      </c>
      <c r="C24" s="840"/>
      <c r="D24" s="393">
        <f t="shared" si="0"/>
        <v>1.6954872438957507</v>
      </c>
      <c r="E24" s="385">
        <f t="shared" si="1"/>
        <v>1.8796979659350006</v>
      </c>
      <c r="F24" s="385">
        <f t="shared" si="2"/>
        <v>1.8796979659350006</v>
      </c>
      <c r="G24" s="110">
        <f t="shared" si="21"/>
        <v>8.9336618898857037E-2</v>
      </c>
      <c r="H24" s="414" t="b">
        <f>Wh_hp&gt;='2024'!Maxi_hp</f>
        <v>0</v>
      </c>
      <c r="I24" s="390">
        <f>IF(H24,Wh_hp,'2024'!Maxi_hp)</f>
        <v>10.382626561505731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5.3308170508731934E-2</v>
      </c>
      <c r="M24" s="844"/>
      <c r="N24" s="844"/>
      <c r="O24" s="48">
        <f>IF(t&lt;Tnet,'2024'!Resal+('2024'!Salim-'2024'!Resal)*(1-EXP(('2024'!Tnet-t)/('2024'!Tau_j))),Resal+(Salim-Resal)*(1-EXP((Tnet-t)/(Tau_j))))*Salcycl</f>
        <v>9.8000170973010364E-2</v>
      </c>
      <c r="P24" s="169">
        <f>(INDEX(Models!$BJ24:$BT24,,T24)*(1-R24)+INDEX(Models!$BJ24:$BT24,,T24+1)*R24-ERP_i)*Q24*Ramure*Pc/MaxiM</f>
        <v>2.1100608139634986E-3</v>
      </c>
      <c r="Q24" s="305">
        <f t="shared" si="4"/>
        <v>0.7</v>
      </c>
      <c r="R24" s="177">
        <f t="shared" si="5"/>
        <v>0.19953973659544966</v>
      </c>
      <c r="S24" s="810">
        <f t="shared" si="6"/>
        <v>1</v>
      </c>
      <c r="T24" s="176">
        <f t="shared" si="7"/>
        <v>7</v>
      </c>
      <c r="U24" s="251">
        <f t="shared" si="8"/>
        <v>1.1995397365954497</v>
      </c>
      <c r="V24" s="383">
        <f t="shared" si="9"/>
        <v>17.929009108018111</v>
      </c>
      <c r="W24" s="402">
        <f t="shared" si="10"/>
        <v>1.605103920802776</v>
      </c>
      <c r="X24" s="157">
        <f t="shared" si="11"/>
        <v>45667</v>
      </c>
      <c r="Y24" s="385">
        <f t="shared" si="12"/>
        <v>1.5206841876821795</v>
      </c>
      <c r="Z24" s="385">
        <f t="shared" si="22"/>
        <v>1.6063138397416641</v>
      </c>
      <c r="AA24" s="386">
        <f t="shared" si="13"/>
        <v>1.8796979659350006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0.14544045434307298</v>
      </c>
      <c r="AD24" s="231">
        <f>(INDEX(Models!$BJ24:$BT24,,AH24)*(1-AF24)+INDEX(Models!$BJ24:$BT24,,AH24+1)*AF24-ERP_i)*AE24*Ramure*Pc/MaxiM</f>
        <v>2.1100608139634986E-3</v>
      </c>
      <c r="AE24" s="305">
        <f t="shared" si="15"/>
        <v>0.7</v>
      </c>
      <c r="AF24" s="177">
        <f t="shared" si="23"/>
        <v>0.19953973659544966</v>
      </c>
      <c r="AG24" s="810">
        <f t="shared" si="24"/>
        <v>1</v>
      </c>
      <c r="AH24" s="176">
        <f t="shared" si="16"/>
        <v>7</v>
      </c>
      <c r="AI24" s="225">
        <f t="shared" si="17"/>
        <v>1.1995397365954497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18.687323932410884</v>
      </c>
      <c r="C25" s="840"/>
      <c r="D25" s="393">
        <f t="shared" si="0"/>
        <v>19.740065607096426</v>
      </c>
      <c r="E25" s="385">
        <f t="shared" si="1"/>
        <v>21.886896829231073</v>
      </c>
      <c r="F25" s="385">
        <f t="shared" si="2"/>
        <v>21.933429825000896</v>
      </c>
      <c r="G25" s="110">
        <f t="shared" si="21"/>
        <v>1.033313558019227</v>
      </c>
      <c r="H25" s="414" t="b">
        <f>Wh_hp&gt;='2024'!Maxi_hp</f>
        <v>1</v>
      </c>
      <c r="I25" s="390">
        <f>IF(H25,Wh_hp,'2024'!Maxi_hp)</f>
        <v>21.933429825000896</v>
      </c>
      <c r="J25" s="85">
        <f>IF(H25,An,'2024'!An_max)</f>
        <v>2025</v>
      </c>
      <c r="K25" s="197">
        <f t="shared" si="3"/>
        <v>45668</v>
      </c>
      <c r="L25" s="147">
        <f>IF(t&lt;Tvie,1-EXP((T0-t)*PertePVj)+'2024'!Pspv,1-EXP((T0-t)*PertePVj)+Pspv)</f>
        <v>5.3330201410631939E-2</v>
      </c>
      <c r="M25" s="844"/>
      <c r="N25" s="844"/>
      <c r="O25" s="48">
        <f>IF(t&lt;Tnet,'2024'!Resal+('2024'!Salim-'2024'!Resal)*(1-EXP(('2024'!Tnet-t)/('2024'!Tau_j))),Resal+(Salim-Resal)*(1-EXP((Tnet-t)/(Tau_j))))*Salcycl</f>
        <v>9.8087510481040169E-2</v>
      </c>
      <c r="P25" s="169">
        <f>(INDEX(Models!$BJ25:$BT25,,T25)*(1-R25)+INDEX(Models!$BJ25:$BT25,,T25+1)*R25-ERP_i)*Q25*Ramure*Pc/MaxiM</f>
        <v>2.1215558232841056E-3</v>
      </c>
      <c r="Q25" s="305">
        <f t="shared" si="4"/>
        <v>0.7</v>
      </c>
      <c r="R25" s="177">
        <f t="shared" si="5"/>
        <v>0.19957352496134262</v>
      </c>
      <c r="S25" s="810">
        <f t="shared" si="6"/>
        <v>1</v>
      </c>
      <c r="T25" s="176">
        <f t="shared" si="7"/>
        <v>7</v>
      </c>
      <c r="U25" s="251">
        <f t="shared" si="8"/>
        <v>1.1995735249613426</v>
      </c>
      <c r="V25" s="383">
        <f t="shared" si="9"/>
        <v>18.084853128447165</v>
      </c>
      <c r="W25" s="402">
        <f t="shared" si="10"/>
        <v>18.687323932410884</v>
      </c>
      <c r="X25" s="157">
        <f t="shared" si="11"/>
        <v>45668</v>
      </c>
      <c r="Y25" s="385">
        <f t="shared" si="12"/>
        <v>17.705479115297159</v>
      </c>
      <c r="Z25" s="385">
        <f t="shared" si="22"/>
        <v>18.7029090203153</v>
      </c>
      <c r="AA25" s="386">
        <f t="shared" si="13"/>
        <v>21.886896829231073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0.14547461130549094</v>
      </c>
      <c r="AD25" s="231">
        <f>(INDEX(Models!$BJ25:$BT25,,AH25)*(1-AF25)+INDEX(Models!$BJ25:$BT25,,AH25+1)*AF25-ERP_i)*AE25*Ramure*Pc/MaxiM</f>
        <v>2.1215558232841056E-3</v>
      </c>
      <c r="AE25" s="305">
        <f t="shared" si="15"/>
        <v>0.7</v>
      </c>
      <c r="AF25" s="177">
        <f t="shared" si="23"/>
        <v>0.19957352496134262</v>
      </c>
      <c r="AG25" s="810">
        <f t="shared" si="24"/>
        <v>1</v>
      </c>
      <c r="AH25" s="176">
        <f t="shared" si="16"/>
        <v>7</v>
      </c>
      <c r="AI25" s="225">
        <f t="shared" si="17"/>
        <v>1.1995735249613426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15.856903263870626</v>
      </c>
      <c r="C26" s="840"/>
      <c r="D26" s="393">
        <f t="shared" si="0"/>
        <v>16.750584321366972</v>
      </c>
      <c r="E26" s="385">
        <f t="shared" si="1"/>
        <v>18.574093276983973</v>
      </c>
      <c r="F26" s="385">
        <f t="shared" si="2"/>
        <v>18.606356717224017</v>
      </c>
      <c r="G26" s="110">
        <f t="shared" si="21"/>
        <v>0.86857877023504759</v>
      </c>
      <c r="H26" s="414" t="b">
        <f>Wh_hp&gt;='2024'!Maxi_hp</f>
        <v>0</v>
      </c>
      <c r="I26" s="390">
        <f>IF(H26,Wh_hp,'2024'!Maxi_hp)</f>
        <v>20.947040284507079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5.335223179984061E-2</v>
      </c>
      <c r="M26" s="844"/>
      <c r="N26" s="844"/>
      <c r="O26" s="48">
        <f>IF(t&lt;Tnet,'2024'!Resal+('2024'!Salim-'2024'!Resal)*(1-EXP(('2024'!Tnet-t)/('2024'!Tau_j))),Resal+(Salim-Resal)*(1-EXP((Tnet-t)/(Tau_j))))*Salcycl</f>
        <v>9.8174857228513934E-2</v>
      </c>
      <c r="P26" s="169">
        <f>(INDEX(Models!$BJ26:$BT26,,T26)*(1-R26)+INDEX(Models!$BJ26:$BT26,,T26+1)*R26-ERP_i)*Q26*Ramure*Pc/MaxiM</f>
        <v>2.1334929214441522E-3</v>
      </c>
      <c r="Q26" s="305">
        <f t="shared" si="4"/>
        <v>0.7</v>
      </c>
      <c r="R26" s="177">
        <f t="shared" si="5"/>
        <v>0.19960872474347946</v>
      </c>
      <c r="S26" s="810">
        <f t="shared" si="6"/>
        <v>1</v>
      </c>
      <c r="T26" s="176">
        <f t="shared" si="7"/>
        <v>7</v>
      </c>
      <c r="U26" s="251">
        <f t="shared" si="8"/>
        <v>1.1996087247434795</v>
      </c>
      <c r="V26" s="383">
        <f t="shared" si="9"/>
        <v>18.248842935205385</v>
      </c>
      <c r="W26" s="402">
        <f t="shared" si="10"/>
        <v>15.856903263870626</v>
      </c>
      <c r="X26" s="157">
        <f t="shared" si="11"/>
        <v>45669</v>
      </c>
      <c r="Y26" s="385">
        <f t="shared" si="12"/>
        <v>15.024623129056712</v>
      </c>
      <c r="Z26" s="385">
        <f t="shared" si="22"/>
        <v>15.871397613520706</v>
      </c>
      <c r="AA26" s="386">
        <f t="shared" si="13"/>
        <v>18.574093276983973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0.14550888827570935</v>
      </c>
      <c r="AD26" s="231">
        <f>(INDEX(Models!$BJ26:$BT26,,AH26)*(1-AF26)+INDEX(Models!$BJ26:$BT26,,AH26+1)*AF26-ERP_i)*AE26*Ramure*Pc/MaxiM</f>
        <v>2.1334929214441522E-3</v>
      </c>
      <c r="AE26" s="305">
        <f t="shared" si="15"/>
        <v>0.7</v>
      </c>
      <c r="AF26" s="177">
        <f t="shared" si="23"/>
        <v>0.19960872474347946</v>
      </c>
      <c r="AG26" s="810">
        <f t="shared" si="24"/>
        <v>1</v>
      </c>
      <c r="AH26" s="176">
        <f t="shared" si="16"/>
        <v>7</v>
      </c>
      <c r="AI26" s="225">
        <f t="shared" si="17"/>
        <v>1.1996087247434795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5.1905632245361053</v>
      </c>
      <c r="C27" s="840"/>
      <c r="D27" s="393">
        <f t="shared" si="0"/>
        <v>5.4832263844082894</v>
      </c>
      <c r="E27" s="385">
        <f t="shared" si="1"/>
        <v>6.0807326110755877</v>
      </c>
      <c r="F27" s="385">
        <f t="shared" si="2"/>
        <v>6.0807326110755877</v>
      </c>
      <c r="G27" s="110">
        <f t="shared" si="21"/>
        <v>0.28117609955984596</v>
      </c>
      <c r="H27" s="414" t="b">
        <f>Wh_hp&gt;='2024'!Maxi_hp</f>
        <v>0</v>
      </c>
      <c r="I27" s="390">
        <f>IF(H27,Wh_hp,'2024'!Maxi_hp)</f>
        <v>14.546314827403963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5.3374261676370049E-2</v>
      </c>
      <c r="M27" s="844"/>
      <c r="N27" s="844"/>
      <c r="O27" s="48">
        <f>IF(t&lt;Tnet,'2024'!Resal+('2024'!Salim-'2024'!Resal)*(1-EXP(('2024'!Tnet-t)/('2024'!Tau_j))),Resal+(Salim-Resal)*(1-EXP((Tnet-t)/(Tau_j))))*Salcycl</f>
        <v>9.8262210309821268E-2</v>
      </c>
      <c r="P27" s="169">
        <f>(INDEX(Models!$BJ27:$BT27,,T27)*(1-R27)+INDEX(Models!$BJ27:$BT27,,T27+1)*R27-ERP_i)*Q27*Ramure*Pc/MaxiM</f>
        <v>2.1458858418921525E-3</v>
      </c>
      <c r="Q27" s="305">
        <f t="shared" si="4"/>
        <v>0.7</v>
      </c>
      <c r="R27" s="177">
        <f t="shared" si="5"/>
        <v>0.19964539463505471</v>
      </c>
      <c r="S27" s="810">
        <f t="shared" si="6"/>
        <v>1</v>
      </c>
      <c r="T27" s="176">
        <f t="shared" si="7"/>
        <v>7</v>
      </c>
      <c r="U27" s="251">
        <f t="shared" si="8"/>
        <v>1.1996453946350547</v>
      </c>
      <c r="V27" s="383">
        <f t="shared" si="9"/>
        <v>18.420573002147112</v>
      </c>
      <c r="W27" s="402">
        <f t="shared" si="10"/>
        <v>5.1905632245361053</v>
      </c>
      <c r="X27" s="157">
        <f t="shared" si="11"/>
        <v>45670</v>
      </c>
      <c r="Y27" s="385">
        <f t="shared" si="12"/>
        <v>4.9184049515133115</v>
      </c>
      <c r="Z27" s="385">
        <f t="shared" si="22"/>
        <v>5.1957228209569557</v>
      </c>
      <c r="AA27" s="386">
        <f t="shared" si="13"/>
        <v>6.0807326110755877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0.1455432834699317</v>
      </c>
      <c r="AD27" s="231">
        <f>(INDEX(Models!$BJ27:$BT27,,AH27)*(1-AF27)+INDEX(Models!$BJ27:$BT27,,AH27+1)*AF27-ERP_i)*AE27*Ramure*Pc/MaxiM</f>
        <v>2.1458858418921525E-3</v>
      </c>
      <c r="AE27" s="305">
        <f t="shared" si="15"/>
        <v>0.7</v>
      </c>
      <c r="AF27" s="177">
        <f t="shared" si="23"/>
        <v>0.19964539463505471</v>
      </c>
      <c r="AG27" s="810">
        <f t="shared" si="24"/>
        <v>1</v>
      </c>
      <c r="AH27" s="176">
        <f t="shared" si="16"/>
        <v>7</v>
      </c>
      <c r="AI27" s="225">
        <f t="shared" si="17"/>
        <v>1.1996453946350547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19.099838528010469</v>
      </c>
      <c r="C28" s="840"/>
      <c r="D28" s="393">
        <f t="shared" si="0"/>
        <v>20.177227647881782</v>
      </c>
      <c r="E28" s="385">
        <f t="shared" si="1"/>
        <v>22.378104621809648</v>
      </c>
      <c r="F28" s="385">
        <f t="shared" si="2"/>
        <v>22.426517813211685</v>
      </c>
      <c r="G28" s="110">
        <f t="shared" si="21"/>
        <v>1.026893026787036</v>
      </c>
      <c r="H28" s="414" t="b">
        <f>Wh_hp&gt;='2024'!Maxi_hp</f>
        <v>1</v>
      </c>
      <c r="I28" s="390">
        <f>IF(H28,Wh_hp,'2024'!Maxi_hp)</f>
        <v>22.426517813211685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5.3396291040232025E-2</v>
      </c>
      <c r="M28" s="844"/>
      <c r="N28" s="844"/>
      <c r="O28" s="48">
        <f>IF(t&lt;Tnet,'2024'!Resal+('2024'!Salim-'2024'!Resal)*(1-EXP(('2024'!Tnet-t)/('2024'!Tau_j))),Resal+(Salim-Resal)*(1-EXP((Tnet-t)/(Tau_j))))*Salcycl</f>
        <v>9.8349570310923326E-2</v>
      </c>
      <c r="P28" s="169">
        <f>(INDEX(Models!$BJ28:$BT28,,T28)*(1-R28)+INDEX(Models!$BJ28:$BT28,,T28+1)*R28-ERP_i)*Q28*Ramure*Pc/MaxiM</f>
        <v>2.1587475953807628E-3</v>
      </c>
      <c r="Q28" s="305">
        <f t="shared" si="4"/>
        <v>0.7</v>
      </c>
      <c r="R28" s="177">
        <f t="shared" si="5"/>
        <v>0.19968359574736638</v>
      </c>
      <c r="S28" s="810">
        <f t="shared" si="6"/>
        <v>1</v>
      </c>
      <c r="T28" s="176">
        <f t="shared" si="7"/>
        <v>7</v>
      </c>
      <c r="U28" s="251">
        <f t="shared" si="8"/>
        <v>1.1996835957473664</v>
      </c>
      <c r="V28" s="383">
        <f t="shared" si="9"/>
        <v>18.599637965962668</v>
      </c>
      <c r="W28" s="402">
        <f t="shared" si="10"/>
        <v>19.099838528010469</v>
      </c>
      <c r="X28" s="157">
        <f t="shared" si="11"/>
        <v>45671</v>
      </c>
      <c r="Y28" s="385">
        <f t="shared" si="12"/>
        <v>18.099393699172371</v>
      </c>
      <c r="Z28" s="385">
        <f t="shared" si="22"/>
        <v>19.120349442811683</v>
      </c>
      <c r="AA28" s="386">
        <f t="shared" si="13"/>
        <v>22.378104621809648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0.14557779731814124</v>
      </c>
      <c r="AD28" s="231">
        <f>(INDEX(Models!$BJ28:$BT28,,AH28)*(1-AF28)+INDEX(Models!$BJ28:$BT28,,AH28+1)*AF28-ERP_i)*AE28*Ramure*Pc/MaxiM</f>
        <v>2.1587475953807628E-3</v>
      </c>
      <c r="AE28" s="305">
        <f t="shared" si="15"/>
        <v>0.7</v>
      </c>
      <c r="AF28" s="177">
        <f t="shared" si="23"/>
        <v>0.19968359574736638</v>
      </c>
      <c r="AG28" s="810">
        <f t="shared" si="24"/>
        <v>1</v>
      </c>
      <c r="AH28" s="176">
        <f t="shared" si="16"/>
        <v>7</v>
      </c>
      <c r="AI28" s="225">
        <f t="shared" si="17"/>
        <v>1.1996835957473664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19.05500960024554</v>
      </c>
      <c r="C29" s="840"/>
      <c r="D29" s="393">
        <f t="shared" si="0"/>
        <v>20.130338459603571</v>
      </c>
      <c r="E29" s="385">
        <f t="shared" si="1"/>
        <v>22.32826446942352</v>
      </c>
      <c r="F29" s="385">
        <f t="shared" si="2"/>
        <v>22.376869053911307</v>
      </c>
      <c r="G29" s="110">
        <f t="shared" si="21"/>
        <v>1.014339520461492</v>
      </c>
      <c r="H29" s="414" t="b">
        <f>Wh_hp&gt;='2024'!Maxi_hp</f>
        <v>1</v>
      </c>
      <c r="I29" s="390">
        <f>IF(H29,Wh_hp,'2024'!Maxi_hp)</f>
        <v>22.376869053911307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5.3418319891438526E-2</v>
      </c>
      <c r="M29" s="844"/>
      <c r="N29" s="844"/>
      <c r="O29" s="48">
        <f>IF(t&lt;Tnet,'2024'!Resal+('2024'!Salim-'2024'!Resal)*(1-EXP(('2024'!Tnet-t)/('2024'!Tau_j))),Resal+(Salim-Resal)*(1-EXP((Tnet-t)/(Tau_j))))*Salcycl</f>
        <v>9.8436939101550158E-2</v>
      </c>
      <c r="P29" s="169">
        <f>(INDEX(Models!$BJ29:$BT29,,T29)*(1-R29)+INDEX(Models!$BJ29:$BT29,,T29+1)*R29-ERP_i)*Q29*Ramure*Pc/MaxiM</f>
        <v>2.1720904908852576E-3</v>
      </c>
      <c r="Q29" s="305">
        <f t="shared" si="4"/>
        <v>0.7</v>
      </c>
      <c r="R29" s="177">
        <f t="shared" si="5"/>
        <v>0.19972339170750408</v>
      </c>
      <c r="S29" s="810">
        <f t="shared" si="6"/>
        <v>1</v>
      </c>
      <c r="T29" s="176">
        <f t="shared" si="7"/>
        <v>7</v>
      </c>
      <c r="U29" s="251">
        <f t="shared" si="8"/>
        <v>1.1997233917075041</v>
      </c>
      <c r="V29" s="383">
        <f t="shared" si="9"/>
        <v>18.785632636669941</v>
      </c>
      <c r="W29" s="402">
        <f t="shared" si="10"/>
        <v>19.05500960024554</v>
      </c>
      <c r="X29" s="157">
        <f t="shared" si="11"/>
        <v>45672</v>
      </c>
      <c r="Y29" s="385">
        <f t="shared" si="12"/>
        <v>18.057930735868549</v>
      </c>
      <c r="Z29" s="385">
        <f t="shared" si="22"/>
        <v>19.076991574353649</v>
      </c>
      <c r="AA29" s="386">
        <f t="shared" si="13"/>
        <v>22.32826446942352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0.14561243214949318</v>
      </c>
      <c r="AD29" s="231">
        <f>(INDEX(Models!$BJ29:$BT29,,AH29)*(1-AF29)+INDEX(Models!$BJ29:$BT29,,AH29+1)*AF29-ERP_i)*AE29*Ramure*Pc/MaxiM</f>
        <v>2.1720904908852576E-3</v>
      </c>
      <c r="AE29" s="305">
        <f t="shared" si="15"/>
        <v>0.7</v>
      </c>
      <c r="AF29" s="177">
        <f t="shared" si="23"/>
        <v>0.19972339170750408</v>
      </c>
      <c r="AG29" s="810">
        <f t="shared" si="24"/>
        <v>1</v>
      </c>
      <c r="AH29" s="176">
        <f t="shared" si="16"/>
        <v>7</v>
      </c>
      <c r="AI29" s="225">
        <f t="shared" si="17"/>
        <v>1.1997233917075041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18.794318624958354</v>
      </c>
      <c r="C30" s="840"/>
      <c r="D30" s="393">
        <f t="shared" si="0"/>
        <v>19.855398008793561</v>
      </c>
      <c r="E30" s="385">
        <f t="shared" si="1"/>
        <v>22.02543944449549</v>
      </c>
      <c r="F30" s="385">
        <f t="shared" si="2"/>
        <v>22.073093900528928</v>
      </c>
      <c r="G30" s="110">
        <f t="shared" si="21"/>
        <v>0.99028663700604869</v>
      </c>
      <c r="H30" s="414" t="b">
        <f>Wh_hp&gt;='2024'!Maxi_hp</f>
        <v>0</v>
      </c>
      <c r="I30" s="390">
        <f>IF(H30,Wh_hp,'2024'!Maxi_hp)</f>
        <v>22.073480721344577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5.3440348230001433E-2</v>
      </c>
      <c r="M30" s="844"/>
      <c r="N30" s="844"/>
      <c r="O30" s="48">
        <f>IF(t&lt;Tnet,'2024'!Resal+('2024'!Salim-'2024'!Resal)*(1-EXP(('2024'!Tnet-t)/('2024'!Tau_j))),Resal+(Salim-Resal)*(1-EXP((Tnet-t)/(Tau_j))))*Salcycl</f>
        <v>9.8524319624608267E-2</v>
      </c>
      <c r="P30" s="169">
        <f>(INDEX(Models!$BJ30:$BT30,,T30)*(1-R30)+INDEX(Models!$BJ30:$BT30,,T30+1)*R30-ERP_i)*Q30*Ramure*Pc/MaxiM</f>
        <v>2.1892228395548855E-3</v>
      </c>
      <c r="Q30" s="305">
        <f t="shared" si="4"/>
        <v>0.7</v>
      </c>
      <c r="R30" s="177">
        <f t="shared" si="5"/>
        <v>0.1997648487598187</v>
      </c>
      <c r="S30" s="810">
        <f t="shared" si="6"/>
        <v>1</v>
      </c>
      <c r="T30" s="176">
        <f t="shared" si="7"/>
        <v>7</v>
      </c>
      <c r="U30" s="251">
        <f t="shared" si="8"/>
        <v>1.1997648487598187</v>
      </c>
      <c r="V30" s="383">
        <f t="shared" si="9"/>
        <v>18.978089293441212</v>
      </c>
      <c r="W30" s="402">
        <f t="shared" si="10"/>
        <v>18.794318624958354</v>
      </c>
      <c r="X30" s="157">
        <f t="shared" si="11"/>
        <v>45673</v>
      </c>
      <c r="Y30" s="385">
        <f t="shared" si="12"/>
        <v>17.811882498422698</v>
      </c>
      <c r="Z30" s="385">
        <f t="shared" si="22"/>
        <v>18.817496039595344</v>
      </c>
      <c r="AA30" s="386">
        <f t="shared" si="13"/>
        <v>22.02543944449549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0.1456471918748419</v>
      </c>
      <c r="AD30" s="231">
        <f>(INDEX(Models!$BJ30:$BT30,,AH30)*(1-AF30)+INDEX(Models!$BJ30:$BT30,,AH30+1)*AF30-ERP_i)*AE30*Ramure*Pc/MaxiM</f>
        <v>2.1892228395548855E-3</v>
      </c>
      <c r="AE30" s="305">
        <f t="shared" si="15"/>
        <v>0.7</v>
      </c>
      <c r="AF30" s="177">
        <f t="shared" si="23"/>
        <v>0.1997648487598187</v>
      </c>
      <c r="AG30" s="810">
        <f t="shared" si="24"/>
        <v>1</v>
      </c>
      <c r="AH30" s="176">
        <f t="shared" si="16"/>
        <v>7</v>
      </c>
      <c r="AI30" s="225">
        <f t="shared" si="17"/>
        <v>1.1997648487598187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11.079045252771838</v>
      </c>
      <c r="C31" s="840"/>
      <c r="D31" s="393">
        <f t="shared" si="0"/>
        <v>11.704812331291462</v>
      </c>
      <c r="E31" s="385">
        <f t="shared" si="1"/>
        <v>12.985316688676406</v>
      </c>
      <c r="F31" s="385">
        <f t="shared" si="2"/>
        <v>12.996710122352152</v>
      </c>
      <c r="G31" s="110">
        <f t="shared" si="21"/>
        <v>0.57696659252216409</v>
      </c>
      <c r="H31" s="414" t="b">
        <f>Wh_hp&gt;='2024'!Maxi_hp</f>
        <v>0</v>
      </c>
      <c r="I31" s="390">
        <f>IF(H31,Wh_hp,'2024'!Maxi_hp)</f>
        <v>13.006645214490723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5.3462376055932848E-2</v>
      </c>
      <c r="M31" s="844"/>
      <c r="N31" s="844"/>
      <c r="O31" s="48">
        <f>IF(t&lt;Tnet,'2024'!Resal+('2024'!Salim-'2024'!Resal)*(1-EXP(('2024'!Tnet-t)/('2024'!Tau_j))),Resal+(Salim-Resal)*(1-EXP((Tnet-t)/(Tau_j))))*Salcycl</f>
        <v>9.8611715685115522E-2</v>
      </c>
      <c r="P31" s="169">
        <f>(INDEX(Models!$BJ31:$BT31,,T31)*(1-R31)+INDEX(Models!$BJ31:$BT31,,T31+1)*R31-ERP_i)*Q31*Ramure*Pc/MaxiM</f>
        <v>2.2094544390676442E-3</v>
      </c>
      <c r="Q31" s="305">
        <f t="shared" si="4"/>
        <v>0.7</v>
      </c>
      <c r="R31" s="177">
        <f t="shared" si="5"/>
        <v>0.19980803587130214</v>
      </c>
      <c r="S31" s="810">
        <f t="shared" si="6"/>
        <v>1</v>
      </c>
      <c r="T31" s="176">
        <f t="shared" si="7"/>
        <v>7</v>
      </c>
      <c r="U31" s="251">
        <f t="shared" si="8"/>
        <v>1.1998080358713021</v>
      </c>
      <c r="V31" s="383">
        <f t="shared" si="9"/>
        <v>19.176614602374855</v>
      </c>
      <c r="W31" s="402">
        <f t="shared" si="10"/>
        <v>11.079045252771838</v>
      </c>
      <c r="X31" s="157">
        <f t="shared" si="11"/>
        <v>45674</v>
      </c>
      <c r="Y31" s="385">
        <f t="shared" si="12"/>
        <v>10.500499110245061</v>
      </c>
      <c r="Z31" s="385">
        <f t="shared" si="22"/>
        <v>11.093588722328017</v>
      </c>
      <c r="AA31" s="386">
        <f t="shared" si="13"/>
        <v>12.985316688676406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0.14568208166983199</v>
      </c>
      <c r="AD31" s="231">
        <f>(INDEX(Models!$BJ31:$BT31,,AH31)*(1-AF31)+INDEX(Models!$BJ31:$BT31,,AH31+1)*AF31-ERP_i)*AE31*Ramure*Pc/MaxiM</f>
        <v>2.2094544390676442E-3</v>
      </c>
      <c r="AE31" s="305">
        <f t="shared" si="15"/>
        <v>0.7</v>
      </c>
      <c r="AF31" s="177">
        <f t="shared" si="23"/>
        <v>0.19980803587130214</v>
      </c>
      <c r="AG31" s="810">
        <f t="shared" si="24"/>
        <v>1</v>
      </c>
      <c r="AH31" s="176">
        <f t="shared" si="16"/>
        <v>7</v>
      </c>
      <c r="AI31" s="225">
        <f t="shared" si="17"/>
        <v>1.1998080358713021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3.6312862727343513</v>
      </c>
      <c r="C32" s="840"/>
      <c r="D32" s="393">
        <f t="shared" si="0"/>
        <v>3.8364780101462497</v>
      </c>
      <c r="E32" s="385">
        <f t="shared" si="1"/>
        <v>4.2566008147276042</v>
      </c>
      <c r="F32" s="385">
        <f t="shared" si="2"/>
        <v>4.2566008147276042</v>
      </c>
      <c r="G32" s="110">
        <f t="shared" si="21"/>
        <v>0.1869467685330902</v>
      </c>
      <c r="H32" s="414" t="b">
        <f>Wh_hp&gt;='2024'!Maxi_hp</f>
        <v>0</v>
      </c>
      <c r="I32" s="390">
        <f>IF(H32,Wh_hp,'2024'!Maxi_hp)</f>
        <v>22.54898457519629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5.3484403369244427E-2</v>
      </c>
      <c r="M32" s="844"/>
      <c r="N32" s="844"/>
      <c r="O32" s="48">
        <f>IF(t&lt;Tnet,'2024'!Resal+('2024'!Salim-'2024'!Resal)*(1-EXP(('2024'!Tnet-t)/('2024'!Tau_j))),Resal+(Salim-Resal)*(1-EXP((Tnet-t)/(Tau_j))))*Salcycl</f>
        <v>9.8699131740931076E-2</v>
      </c>
      <c r="P32" s="169">
        <f>(INDEX(Models!$BJ32:$BT32,,T32)*(1-R32)+INDEX(Models!$BJ32:$BT32,,T32+1)*R32-ERP_i)*Q32*Ramure*Pc/MaxiM</f>
        <v>2.2327102837245067E-3</v>
      </c>
      <c r="Q32" s="305">
        <f t="shared" si="4"/>
        <v>0.7</v>
      </c>
      <c r="R32" s="177">
        <f t="shared" si="5"/>
        <v>0.19985302484101553</v>
      </c>
      <c r="S32" s="810">
        <f t="shared" si="6"/>
        <v>1</v>
      </c>
      <c r="T32" s="176">
        <f t="shared" si="7"/>
        <v>7</v>
      </c>
      <c r="U32" s="251">
        <f t="shared" si="8"/>
        <v>1.1998530248410155</v>
      </c>
      <c r="V32" s="383">
        <f t="shared" si="9"/>
        <v>19.380803909904202</v>
      </c>
      <c r="W32" s="402">
        <f t="shared" si="10"/>
        <v>3.6312862727343513</v>
      </c>
      <c r="X32" s="157">
        <f t="shared" si="11"/>
        <v>45675</v>
      </c>
      <c r="Y32" s="385">
        <f t="shared" si="12"/>
        <v>3.4418537130350297</v>
      </c>
      <c r="Z32" s="385">
        <f t="shared" si="22"/>
        <v>3.6363412555342483</v>
      </c>
      <c r="AA32" s="386">
        <f t="shared" si="13"/>
        <v>4.2566008147276042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0.14571710766189117</v>
      </c>
      <c r="AD32" s="231">
        <f>(INDEX(Models!$BJ32:$BT32,,AH32)*(1-AF32)+INDEX(Models!$BJ32:$BT32,,AH32+1)*AF32-ERP_i)*AE32*Ramure*Pc/MaxiM</f>
        <v>2.2327102837245067E-3</v>
      </c>
      <c r="AE32" s="305">
        <f t="shared" si="15"/>
        <v>0.7</v>
      </c>
      <c r="AF32" s="177">
        <f t="shared" si="23"/>
        <v>0.19985302484101553</v>
      </c>
      <c r="AG32" s="810">
        <f t="shared" si="24"/>
        <v>1</v>
      </c>
      <c r="AH32" s="176">
        <f t="shared" si="16"/>
        <v>7</v>
      </c>
      <c r="AI32" s="225">
        <f t="shared" si="17"/>
        <v>1.1998530248410155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8.4794368492139132</v>
      </c>
      <c r="C33" s="840"/>
      <c r="D33" s="393">
        <f t="shared" si="0"/>
        <v>8.958789704970151</v>
      </c>
      <c r="E33" s="385">
        <f t="shared" si="1"/>
        <v>9.9408080633965508</v>
      </c>
      <c r="F33" s="385">
        <f t="shared" si="2"/>
        <v>9.9450712769130316</v>
      </c>
      <c r="G33" s="110">
        <f t="shared" si="21"/>
        <v>0.43204704445181979</v>
      </c>
      <c r="H33" s="414" t="b">
        <f>Wh_hp&gt;='2024'!Maxi_hp</f>
        <v>0</v>
      </c>
      <c r="I33" s="390">
        <f>IF(H33,Wh_hp,'2024'!Maxi_hp)</f>
        <v>23.630965099383026</v>
      </c>
      <c r="J33" s="85">
        <f>IF(H33,An,'2024'!An_max)</f>
        <v>2020</v>
      </c>
      <c r="K33" s="197">
        <f t="shared" si="3"/>
        <v>45676</v>
      </c>
      <c r="L33" s="147">
        <f>IF(t&lt;Tvie,1-EXP((T0-t)*PertePVj)+'2024'!Pspv,1-EXP((T0-t)*PertePVj)+Pspv)</f>
        <v>5.3506430169948382E-2</v>
      </c>
      <c r="M33" s="844"/>
      <c r="N33" s="844"/>
      <c r="O33" s="48">
        <f>IF(t&lt;Tnet,'2024'!Resal+('2024'!Salim-'2024'!Resal)*(1-EXP(('2024'!Tnet-t)/('2024'!Tau_j))),Resal+(Salim-Resal)*(1-EXP((Tnet-t)/(Tau_j))))*Salcycl</f>
        <v>9.8786572697478189E-2</v>
      </c>
      <c r="P33" s="169">
        <f>(INDEX(Models!$BJ33:$BT33,,T33)*(1-R33)+INDEX(Models!$BJ33:$BT33,,T33+1)*R33-ERP_i)*Q33*Ramure*Pc/MaxiM</f>
        <v>2.2589141101184633E-3</v>
      </c>
      <c r="Q33" s="305">
        <f t="shared" si="4"/>
        <v>0.7</v>
      </c>
      <c r="R33" s="177">
        <f t="shared" si="5"/>
        <v>0.19989989041370415</v>
      </c>
      <c r="S33" s="810">
        <f t="shared" si="6"/>
        <v>1</v>
      </c>
      <c r="T33" s="176">
        <f t="shared" si="7"/>
        <v>7</v>
      </c>
      <c r="U33" s="251">
        <f t="shared" si="8"/>
        <v>1.1998998904137042</v>
      </c>
      <c r="V33" s="383">
        <f t="shared" si="9"/>
        <v>19.590252760454259</v>
      </c>
      <c r="W33" s="402">
        <f t="shared" si="10"/>
        <v>8.4794368492139132</v>
      </c>
      <c r="X33" s="157">
        <f t="shared" si="11"/>
        <v>45676</v>
      </c>
      <c r="Y33" s="385">
        <f t="shared" si="12"/>
        <v>8.0375407250974114</v>
      </c>
      <c r="Z33" s="385">
        <f t="shared" si="22"/>
        <v>8.4919126566708716</v>
      </c>
      <c r="AA33" s="386">
        <f t="shared" si="13"/>
        <v>9.9408080633965508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0.14575227662434362</v>
      </c>
      <c r="AD33" s="231">
        <f>(INDEX(Models!$BJ33:$BT33,,AH33)*(1-AF33)+INDEX(Models!$BJ33:$BT33,,AH33+1)*AF33-ERP_i)*AE33*Ramure*Pc/MaxiM</f>
        <v>2.2589141101184633E-3</v>
      </c>
      <c r="AE33" s="305">
        <f t="shared" si="15"/>
        <v>0.7</v>
      </c>
      <c r="AF33" s="177">
        <f t="shared" si="23"/>
        <v>0.19989989041370415</v>
      </c>
      <c r="AG33" s="810">
        <f t="shared" si="24"/>
        <v>1</v>
      </c>
      <c r="AH33" s="176">
        <f t="shared" si="16"/>
        <v>7</v>
      </c>
      <c r="AI33" s="225">
        <f t="shared" si="17"/>
        <v>1.1998998904137042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6.1895742710366797</v>
      </c>
      <c r="C34" s="840"/>
      <c r="D34" s="393">
        <f t="shared" si="0"/>
        <v>6.5396306030223332</v>
      </c>
      <c r="E34" s="385">
        <f t="shared" si="1"/>
        <v>7.2571770431916827</v>
      </c>
      <c r="F34" s="385">
        <f t="shared" si="2"/>
        <v>7.2574743420508208</v>
      </c>
      <c r="G34" s="110">
        <f t="shared" si="21"/>
        <v>0.31183053513623471</v>
      </c>
      <c r="H34" s="414" t="b">
        <f>Wh_hp&gt;='2024'!Maxi_hp</f>
        <v>0</v>
      </c>
      <c r="I34" s="390">
        <f>IF(H34,Wh_hp,'2024'!Maxi_hp)</f>
        <v>11.506630779358042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5.3528456458056373E-2</v>
      </c>
      <c r="M34" s="844"/>
      <c r="N34" s="844"/>
      <c r="O34" s="48">
        <f>IF(t&lt;Tnet,'2024'!Resal+('2024'!Salim-'2024'!Resal)*(1-EXP(('2024'!Tnet-t)/('2024'!Tau_j))),Resal+(Salim-Resal)*(1-EXP((Tnet-t)/(Tau_j))))*Salcycl</f>
        <v>9.8874043708567824E-2</v>
      </c>
      <c r="P34" s="169">
        <f>(INDEX(Models!$BJ34:$BT34,,T34)*(1-R34)+INDEX(Models!$BJ34:$BT34,,T34+1)*R34-ERP_i)*Q34*Ramure*Pc/MaxiM</f>
        <v>2.2880019284228842E-3</v>
      </c>
      <c r="Q34" s="305">
        <f t="shared" si="4"/>
        <v>0.7</v>
      </c>
      <c r="R34" s="177">
        <f t="shared" si="5"/>
        <v>0.19994871039773821</v>
      </c>
      <c r="S34" s="810">
        <f t="shared" si="6"/>
        <v>1</v>
      </c>
      <c r="T34" s="176">
        <f t="shared" si="7"/>
        <v>7</v>
      </c>
      <c r="U34" s="251">
        <f t="shared" si="8"/>
        <v>1.1999487103977382</v>
      </c>
      <c r="V34" s="383">
        <f t="shared" si="9"/>
        <v>19.804556643445352</v>
      </c>
      <c r="W34" s="402">
        <f t="shared" si="10"/>
        <v>6.1895742710366797</v>
      </c>
      <c r="X34" s="157">
        <f t="shared" si="11"/>
        <v>45677</v>
      </c>
      <c r="Y34" s="385">
        <f t="shared" si="12"/>
        <v>5.8673386143869006</v>
      </c>
      <c r="Z34" s="385">
        <f t="shared" si="22"/>
        <v>6.1991706506355042</v>
      </c>
      <c r="AA34" s="386">
        <f t="shared" si="13"/>
        <v>7.2571770431916827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0.14578759568071264</v>
      </c>
      <c r="AD34" s="231">
        <f>(INDEX(Models!$BJ34:$BT34,,AH34)*(1-AF34)+INDEX(Models!$BJ34:$BT34,,AH34+1)*AF34-ERP_i)*AE34*Ramure*Pc/MaxiM</f>
        <v>2.2880019284228842E-3</v>
      </c>
      <c r="AE34" s="305">
        <f t="shared" si="15"/>
        <v>0.7</v>
      </c>
      <c r="AF34" s="177">
        <f t="shared" si="23"/>
        <v>0.19994871039773821</v>
      </c>
      <c r="AG34" s="810">
        <f t="shared" si="24"/>
        <v>1</v>
      </c>
      <c r="AH34" s="176">
        <f t="shared" si="16"/>
        <v>7</v>
      </c>
      <c r="AI34" s="225">
        <f t="shared" si="17"/>
        <v>1.1999487103977382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16.797471760101757</v>
      </c>
      <c r="C35" s="840"/>
      <c r="D35" s="393">
        <f t="shared" si="0"/>
        <v>17.747879252707609</v>
      </c>
      <c r="E35" s="385">
        <f t="shared" si="1"/>
        <v>19.697138620908433</v>
      </c>
      <c r="F35" s="385">
        <f t="shared" si="2"/>
        <v>19.732380462991774</v>
      </c>
      <c r="G35" s="110">
        <f t="shared" si="21"/>
        <v>0.83844709833281683</v>
      </c>
      <c r="H35" s="414" t="b">
        <f>Wh_hp&gt;='2024'!Maxi_hp</f>
        <v>0</v>
      </c>
      <c r="I35" s="390">
        <f>IF(H35,Wh_hp,'2024'!Maxi_hp)</f>
        <v>19.738178741287463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5.355048223358061E-2</v>
      </c>
      <c r="M35" s="844"/>
      <c r="N35" s="844"/>
      <c r="O35" s="48">
        <f>IF(t&lt;Tnet,'2024'!Resal+('2024'!Salim-'2024'!Resal)*(1-EXP(('2024'!Tnet-t)/('2024'!Tau_j))),Resal+(Salim-Resal)*(1-EXP((Tnet-t)/(Tau_j))))*Salcycl</f>
        <v>9.8961549985320862E-2</v>
      </c>
      <c r="P35" s="169">
        <f>(INDEX(Models!$BJ35:$BT35,,T35)*(1-R35)+INDEX(Models!$BJ35:$BT35,,T35+1)*R35-ERP_i)*Q35*Ramure*Pc/MaxiM</f>
        <v>2.3199165060786538E-3</v>
      </c>
      <c r="Q35" s="305">
        <f t="shared" si="4"/>
        <v>0.7</v>
      </c>
      <c r="R35" s="177">
        <f t="shared" si="5"/>
        <v>0.19999956578752731</v>
      </c>
      <c r="S35" s="810">
        <f t="shared" si="6"/>
        <v>1</v>
      </c>
      <c r="T35" s="176">
        <f t="shared" si="7"/>
        <v>7</v>
      </c>
      <c r="U35" s="251">
        <f t="shared" si="8"/>
        <v>1.1999995657875273</v>
      </c>
      <c r="V35" s="383">
        <f t="shared" si="9"/>
        <v>20.023311116817901</v>
      </c>
      <c r="W35" s="402">
        <f t="shared" si="10"/>
        <v>16.797471760101757</v>
      </c>
      <c r="X35" s="157">
        <f t="shared" si="11"/>
        <v>45678</v>
      </c>
      <c r="Y35" s="385">
        <f t="shared" si="12"/>
        <v>15.923862988982798</v>
      </c>
      <c r="Z35" s="385">
        <f t="shared" si="22"/>
        <v>16.824841357162331</v>
      </c>
      <c r="AA35" s="386">
        <f t="shared" si="13"/>
        <v>19.697138620908433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0.14582307202210418</v>
      </c>
      <c r="AD35" s="231">
        <f>(INDEX(Models!$BJ35:$BT35,,AH35)*(1-AF35)+INDEX(Models!$BJ35:$BT35,,AH35+1)*AF35-ERP_i)*AE35*Ramure*Pc/MaxiM</f>
        <v>2.3199165060786538E-3</v>
      </c>
      <c r="AE35" s="305">
        <f t="shared" si="15"/>
        <v>0.7</v>
      </c>
      <c r="AF35" s="177">
        <f t="shared" si="23"/>
        <v>0.19999956578752731</v>
      </c>
      <c r="AG35" s="810">
        <f t="shared" si="24"/>
        <v>1</v>
      </c>
      <c r="AH35" s="176">
        <f t="shared" si="16"/>
        <v>7</v>
      </c>
      <c r="AI35" s="225">
        <f t="shared" si="17"/>
        <v>1.1999995657875273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20.178000222287892</v>
      </c>
      <c r="C36" s="840"/>
      <c r="D36" s="393">
        <f t="shared" si="0"/>
        <v>21.320175483188397</v>
      </c>
      <c r="E36" s="385">
        <f t="shared" si="1"/>
        <v>23.664081364574809</v>
      </c>
      <c r="F36" s="385">
        <f t="shared" si="2"/>
        <v>23.71966308925639</v>
      </c>
      <c r="G36" s="110">
        <f t="shared" si="21"/>
        <v>0.99662449954858778</v>
      </c>
      <c r="H36" s="414" t="b">
        <f>Wh_hp&gt;='2024'!Maxi_hp</f>
        <v>0</v>
      </c>
      <c r="I36" s="390">
        <f>IF(H36,Wh_hp,'2024'!Maxi_hp)</f>
        <v>23.719809070516359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5.3572507496532751E-2</v>
      </c>
      <c r="M36" s="844"/>
      <c r="N36" s="844"/>
      <c r="O36" s="48">
        <f>IF(t&lt;Tnet,'2024'!Resal+('2024'!Salim-'2024'!Resal)*(1-EXP(('2024'!Tnet-t)/('2024'!Tau_j))),Resal+(Salim-Resal)*(1-EXP((Tnet-t)/(Tau_j))))*Salcycl</f>
        <v>9.904909661506002E-2</v>
      </c>
      <c r="P36" s="169">
        <f>(INDEX(Models!$BJ36:$BT36,,T36)*(1-R36)+INDEX(Models!$BJ36:$BT36,,T36+1)*R36-ERP_i)*Q36*Ramure*Pc/MaxiM</f>
        <v>2.354592471050567E-3</v>
      </c>
      <c r="Q36" s="305">
        <f t="shared" si="4"/>
        <v>0.7</v>
      </c>
      <c r="R36" s="177">
        <f t="shared" si="5"/>
        <v>0.20005254089055291</v>
      </c>
      <c r="S36" s="810">
        <f t="shared" si="6"/>
        <v>1</v>
      </c>
      <c r="T36" s="176">
        <f t="shared" si="7"/>
        <v>7</v>
      </c>
      <c r="U36" s="251">
        <f t="shared" si="8"/>
        <v>1.2000525408905529</v>
      </c>
      <c r="V36" s="383">
        <f t="shared" si="9"/>
        <v>20.246112109107816</v>
      </c>
      <c r="W36" s="402">
        <f t="shared" si="10"/>
        <v>20.178000222287892</v>
      </c>
      <c r="X36" s="157">
        <f t="shared" si="11"/>
        <v>45679</v>
      </c>
      <c r="Y36" s="385">
        <f t="shared" si="12"/>
        <v>19.129636278131681</v>
      </c>
      <c r="Z36" s="385">
        <f t="shared" si="22"/>
        <v>20.212468920921165</v>
      </c>
      <c r="AA36" s="386">
        <f t="shared" si="13"/>
        <v>23.664081364574809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0.14585871264036118</v>
      </c>
      <c r="AD36" s="231">
        <f>(INDEX(Models!$BJ36:$BT36,,AH36)*(1-AF36)+INDEX(Models!$BJ36:$BT36,,AH36+1)*AF36-ERP_i)*AE36*Ramure*Pc/MaxiM</f>
        <v>2.354592471050567E-3</v>
      </c>
      <c r="AE36" s="305">
        <f t="shared" si="15"/>
        <v>0.7</v>
      </c>
      <c r="AF36" s="177">
        <f t="shared" si="23"/>
        <v>0.20005254089055291</v>
      </c>
      <c r="AG36" s="810">
        <f t="shared" si="24"/>
        <v>1</v>
      </c>
      <c r="AH36" s="176">
        <f t="shared" si="16"/>
        <v>7</v>
      </c>
      <c r="AI36" s="225">
        <f t="shared" si="17"/>
        <v>1.2000525408905529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20.389420258595514</v>
      </c>
      <c r="C37" s="840"/>
      <c r="D37" s="393">
        <f t="shared" si="0"/>
        <v>21.544064307873672</v>
      </c>
      <c r="E37" s="385">
        <f t="shared" si="1"/>
        <v>23.914909210162055</v>
      </c>
      <c r="F37" s="385">
        <f t="shared" si="2"/>
        <v>23.971904302877196</v>
      </c>
      <c r="G37" s="110">
        <f t="shared" si="21"/>
        <v>0.99583681515409506</v>
      </c>
      <c r="H37" s="414" t="b">
        <f>Wh_hp&gt;='2024'!Maxi_hp</f>
        <v>0</v>
      </c>
      <c r="I37" s="390">
        <f>IF(H37,Wh_hp,'2024'!Maxi_hp)</f>
        <v>23.972086810605997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5.3594532246924897E-2</v>
      </c>
      <c r="M37" s="844"/>
      <c r="N37" s="844"/>
      <c r="O37" s="48">
        <f>IF(t&lt;Tnet,'2024'!Resal+('2024'!Salim-'2024'!Resal)*(1-EXP(('2024'!Tnet-t)/('2024'!Tau_j))),Resal+(Salim-Resal)*(1-EXP((Tnet-t)/(Tau_j))))*Salcycl</f>
        <v>9.9136688391898709E-2</v>
      </c>
      <c r="P37" s="169">
        <f>(INDEX(Models!$BJ37:$BT37,,T37)*(1-R37)+INDEX(Models!$BJ37:$BT37,,T37+1)*R37-ERP_i)*Q37*Ramure*Pc/MaxiM</f>
        <v>2.3917552420032514E-3</v>
      </c>
      <c r="Q37" s="305">
        <f t="shared" si="4"/>
        <v>0.7</v>
      </c>
      <c r="R37" s="177">
        <f t="shared" si="5"/>
        <v>0.20010772345917482</v>
      </c>
      <c r="S37" s="810">
        <f t="shared" si="6"/>
        <v>1</v>
      </c>
      <c r="T37" s="176">
        <f t="shared" si="7"/>
        <v>7</v>
      </c>
      <c r="U37" s="251">
        <f t="shared" si="8"/>
        <v>1.2001077234591748</v>
      </c>
      <c r="V37" s="383">
        <f t="shared" si="9"/>
        <v>20.474369104536397</v>
      </c>
      <c r="W37" s="402">
        <f t="shared" si="10"/>
        <v>20.389420258595514</v>
      </c>
      <c r="X37" s="157">
        <f t="shared" si="11"/>
        <v>45680</v>
      </c>
      <c r="Y37" s="385">
        <f t="shared" si="12"/>
        <v>19.331140772760847</v>
      </c>
      <c r="Z37" s="385">
        <f t="shared" si="22"/>
        <v>20.425854912542093</v>
      </c>
      <c r="AA37" s="386">
        <f t="shared" si="13"/>
        <v>23.914909210162055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0.14589452407945483</v>
      </c>
      <c r="AD37" s="231">
        <f>(INDEX(Models!$BJ37:$BT37,,AH37)*(1-AF37)+INDEX(Models!$BJ37:$BT37,,AH37+1)*AF37-ERP_i)*AE37*Ramure*Pc/MaxiM</f>
        <v>2.3917552420032514E-3</v>
      </c>
      <c r="AE37" s="305">
        <f t="shared" si="15"/>
        <v>0.7</v>
      </c>
      <c r="AF37" s="177">
        <f t="shared" si="23"/>
        <v>0.20010772345917482</v>
      </c>
      <c r="AG37" s="810">
        <f t="shared" si="24"/>
        <v>1</v>
      </c>
      <c r="AH37" s="176">
        <f t="shared" si="16"/>
        <v>7</v>
      </c>
      <c r="AI37" s="225">
        <f t="shared" si="17"/>
        <v>1.2001077234591748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20.720966779376674</v>
      </c>
      <c r="C38" s="840"/>
      <c r="D38" s="393">
        <f t="shared" si="0"/>
        <v>21.89489569091684</v>
      </c>
      <c r="E38" s="385">
        <f t="shared" si="1"/>
        <v>24.306712993998897</v>
      </c>
      <c r="F38" s="385">
        <f t="shared" si="2"/>
        <v>24.366089837944379</v>
      </c>
      <c r="G38" s="110">
        <f t="shared" si="21"/>
        <v>1.0005589453397306</v>
      </c>
      <c r="H38" s="414" t="b">
        <f>Wh_hp&gt;='2024'!Maxi_hp</f>
        <v>1</v>
      </c>
      <c r="I38" s="390">
        <f>IF(H38,Wh_hp,'2024'!Maxi_hp)</f>
        <v>24.366089837944379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5.3616556484768929E-2</v>
      </c>
      <c r="M38" s="844"/>
      <c r="N38" s="844"/>
      <c r="O38" s="48">
        <f>IF(t&lt;Tnet,'2024'!Resal+('2024'!Salim-'2024'!Resal)*(1-EXP(('2024'!Tnet-t)/('2024'!Tau_j))),Resal+(Salim-Resal)*(1-EXP((Tnet-t)/(Tau_j))))*Salcycl</f>
        <v>9.9224329660596716E-2</v>
      </c>
      <c r="P38" s="169">
        <f>(INDEX(Models!$BJ38:$BT38,,T38)*(1-R38)+INDEX(Models!$BJ38:$BT38,,T38+1)*R38-ERP_i)*Q38*Ramure*Pc/MaxiM</f>
        <v>2.4368638686137634E-3</v>
      </c>
      <c r="Q38" s="305">
        <f t="shared" si="4"/>
        <v>0.7</v>
      </c>
      <c r="R38" s="177">
        <f t="shared" si="5"/>
        <v>0.20016520482735833</v>
      </c>
      <c r="S38" s="810">
        <f t="shared" si="6"/>
        <v>1</v>
      </c>
      <c r="T38" s="176">
        <f t="shared" si="7"/>
        <v>7</v>
      </c>
      <c r="U38" s="251">
        <f t="shared" si="8"/>
        <v>1.2001652048273583</v>
      </c>
      <c r="V38" s="383">
        <f t="shared" si="9"/>
        <v>20.709391361586462</v>
      </c>
      <c r="W38" s="402">
        <f t="shared" si="10"/>
        <v>20.720966779376674</v>
      </c>
      <c r="X38" s="157">
        <f t="shared" si="11"/>
        <v>45681</v>
      </c>
      <c r="Y38" s="385">
        <f t="shared" si="12"/>
        <v>19.646562475608359</v>
      </c>
      <c r="Z38" s="385">
        <f t="shared" si="22"/>
        <v>20.759621916707978</v>
      </c>
      <c r="AA38" s="386">
        <f t="shared" si="13"/>
        <v>24.306712993998897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0.14593051220733394</v>
      </c>
      <c r="AD38" s="231">
        <f>(INDEX(Models!$BJ38:$BT38,,AH38)*(1-AF38)+INDEX(Models!$BJ38:$BT38,,AH38+1)*AF38-ERP_i)*AE38*Ramure*Pc/MaxiM</f>
        <v>2.4368638686137634E-3</v>
      </c>
      <c r="AE38" s="305">
        <f t="shared" si="15"/>
        <v>0.7</v>
      </c>
      <c r="AF38" s="177">
        <f t="shared" si="23"/>
        <v>0.20016520482735833</v>
      </c>
      <c r="AG38" s="810">
        <f t="shared" si="24"/>
        <v>1</v>
      </c>
      <c r="AH38" s="176">
        <f t="shared" si="16"/>
        <v>7</v>
      </c>
      <c r="AI38" s="225">
        <f t="shared" si="17"/>
        <v>1.2001652048273583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20.683487000334395</v>
      </c>
      <c r="C39" s="840"/>
      <c r="D39" s="393">
        <f t="shared" si="0"/>
        <v>21.855801142998612</v>
      </c>
      <c r="E39" s="385">
        <f t="shared" si="1"/>
        <v>24.265674384052261</v>
      </c>
      <c r="F39" s="385">
        <f t="shared" si="2"/>
        <v>24.325111212272621</v>
      </c>
      <c r="G39" s="110">
        <f t="shared" si="21"/>
        <v>0.98719501711182134</v>
      </c>
      <c r="H39" s="414" t="b">
        <f>Wh_hp&gt;='2024'!Maxi_hp</f>
        <v>0</v>
      </c>
      <c r="I39" s="390">
        <f>IF(H39,Wh_hp,'2024'!Maxi_hp)</f>
        <v>24.325688614436949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5.3638580210076725E-2</v>
      </c>
      <c r="M39" s="844"/>
      <c r="N39" s="844"/>
      <c r="O39" s="48">
        <f>IF(t&lt;Tnet,'2024'!Resal+('2024'!Salim-'2024'!Resal)*(1-EXP(('2024'!Tnet-t)/('2024'!Tau_j))),Resal+(Salim-Resal)*(1-EXP((Tnet-t)/(Tau_j))))*Salcycl</f>
        <v>9.9312024175081309E-2</v>
      </c>
      <c r="P39" s="169">
        <f>(INDEX(Models!$BJ39:$BT39,,T39)*(1-R39)+INDEX(Models!$BJ39:$BT39,,T39+1)*R39-ERP_i)*Q39*Ramure*Pc/MaxiM</f>
        <v>2.4888026209719675E-3</v>
      </c>
      <c r="Q39" s="305">
        <f t="shared" si="4"/>
        <v>0.7</v>
      </c>
      <c r="R39" s="177">
        <f t="shared" si="5"/>
        <v>0.20022508005248496</v>
      </c>
      <c r="S39" s="810">
        <f t="shared" si="6"/>
        <v>1</v>
      </c>
      <c r="T39" s="176">
        <f t="shared" si="7"/>
        <v>7</v>
      </c>
      <c r="U39" s="251">
        <f t="shared" si="8"/>
        <v>1.200225080052485</v>
      </c>
      <c r="V39" s="383">
        <f t="shared" si="9"/>
        <v>20.95082124897279</v>
      </c>
      <c r="W39" s="402">
        <f t="shared" si="10"/>
        <v>20.683487000334395</v>
      </c>
      <c r="X39" s="157">
        <f t="shared" si="11"/>
        <v>45682</v>
      </c>
      <c r="Y39" s="385">
        <f t="shared" si="12"/>
        <v>19.612104862748129</v>
      </c>
      <c r="Z39" s="385">
        <f t="shared" si="22"/>
        <v>20.723694407472461</v>
      </c>
      <c r="AA39" s="386">
        <f t="shared" si="13"/>
        <v>24.265674384052261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0.14596668201019122</v>
      </c>
      <c r="AD39" s="231">
        <f>(INDEX(Models!$BJ39:$BT39,,AH39)*(1-AF39)+INDEX(Models!$BJ39:$BT39,,AH39+1)*AF39-ERP_i)*AE39*Ramure*Pc/MaxiM</f>
        <v>2.4888026209719675E-3</v>
      </c>
      <c r="AE39" s="305">
        <f t="shared" si="15"/>
        <v>0.7</v>
      </c>
      <c r="AF39" s="177">
        <f t="shared" si="23"/>
        <v>0.20022508005248496</v>
      </c>
      <c r="AG39" s="810">
        <f t="shared" si="24"/>
        <v>1</v>
      </c>
      <c r="AH39" s="176">
        <f t="shared" si="16"/>
        <v>7</v>
      </c>
      <c r="AI39" s="225">
        <f t="shared" si="17"/>
        <v>1.200225080052485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20.806504485015296</v>
      </c>
      <c r="C40" s="840"/>
      <c r="D40" s="393">
        <f t="shared" si="0"/>
        <v>21.986302758049952</v>
      </c>
      <c r="E40" s="385">
        <f t="shared" si="1"/>
        <v>24.412943886825211</v>
      </c>
      <c r="F40" s="385">
        <f t="shared" si="2"/>
        <v>24.473640420279157</v>
      </c>
      <c r="G40" s="110">
        <f t="shared" si="21"/>
        <v>0.98145218274379475</v>
      </c>
      <c r="H40" s="414" t="b">
        <f>Wh_hp&gt;='2024'!Maxi_hp</f>
        <v>0</v>
      </c>
      <c r="I40" s="390">
        <f>IF(H40,Wh_hp,'2024'!Maxi_hp)</f>
        <v>24.474490380311327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5.3660603422860276E-2</v>
      </c>
      <c r="M40" s="844"/>
      <c r="N40" s="844"/>
      <c r="O40" s="48">
        <f>IF(t&lt;Tnet,'2024'!Resal+('2024'!Salim-'2024'!Resal)*(1-EXP(('2024'!Tnet-t)/('2024'!Tau_j))),Resal+(Salim-Resal)*(1-EXP((Tnet-t)/(Tau_j))))*Salcycl</f>
        <v>9.9399774972850755E-2</v>
      </c>
      <c r="P40" s="169">
        <f>(INDEX(Models!$BJ40:$BT40,,T40)*(1-R40)+INDEX(Models!$BJ40:$BT40,,T40+1)*R40-ERP_i)*Q40*Ramure*Pc/MaxiM</f>
        <v>2.5473334198343779E-3</v>
      </c>
      <c r="Q40" s="305">
        <f t="shared" si="4"/>
        <v>0.7</v>
      </c>
      <c r="R40" s="177">
        <f t="shared" si="5"/>
        <v>0.20028744806239906</v>
      </c>
      <c r="S40" s="810">
        <f t="shared" si="6"/>
        <v>1</v>
      </c>
      <c r="T40" s="176">
        <f t="shared" si="7"/>
        <v>7</v>
      </c>
      <c r="U40" s="251">
        <f t="shared" si="8"/>
        <v>1.2002874480623991</v>
      </c>
      <c r="V40" s="383">
        <f t="shared" si="9"/>
        <v>21.198283541792396</v>
      </c>
      <c r="W40" s="402">
        <f t="shared" si="10"/>
        <v>20.806504485015296</v>
      </c>
      <c r="X40" s="157">
        <f t="shared" si="11"/>
        <v>45683</v>
      </c>
      <c r="Y40" s="385">
        <f t="shared" si="12"/>
        <v>19.72983254780479</v>
      </c>
      <c r="Z40" s="385">
        <f t="shared" si="22"/>
        <v>20.848579927208533</v>
      </c>
      <c r="AA40" s="386">
        <f t="shared" si="13"/>
        <v>24.412943886825211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0.14600303741083179</v>
      </c>
      <c r="AD40" s="231">
        <f>(INDEX(Models!$BJ40:$BT40,,AH40)*(1-AF40)+INDEX(Models!$BJ40:$BT40,,AH40+1)*AF40-ERP_i)*AE40*Ramure*Pc/MaxiM</f>
        <v>2.5473334198343779E-3</v>
      </c>
      <c r="AE40" s="305">
        <f t="shared" si="15"/>
        <v>0.7</v>
      </c>
      <c r="AF40" s="177">
        <f t="shared" si="23"/>
        <v>0.20028744806239906</v>
      </c>
      <c r="AG40" s="810">
        <f t="shared" si="24"/>
        <v>1</v>
      </c>
      <c r="AH40" s="176">
        <f t="shared" si="16"/>
        <v>7</v>
      </c>
      <c r="AI40" s="225">
        <f t="shared" si="17"/>
        <v>1.2002874480623991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21.673163972057342</v>
      </c>
      <c r="C41" s="840"/>
      <c r="D41" s="393">
        <f t="shared" si="0"/>
        <v>22.902637709447127</v>
      </c>
      <c r="E41" s="385">
        <f t="shared" si="1"/>
        <v>25.432894993220856</v>
      </c>
      <c r="F41" s="385">
        <f t="shared" si="2"/>
        <v>25.499505349293727</v>
      </c>
      <c r="G41" s="110">
        <f t="shared" si="21"/>
        <v>1.0103378208337839</v>
      </c>
      <c r="H41" s="414" t="b">
        <f>Wh_hp&gt;='2024'!Maxi_hp</f>
        <v>1</v>
      </c>
      <c r="I41" s="390">
        <f>IF(H41,Wh_hp,'2024'!Maxi_hp)</f>
        <v>25.499505349293727</v>
      </c>
      <c r="J41" s="85">
        <f>IF(H41,An,'2024'!An_max)</f>
        <v>2025</v>
      </c>
      <c r="K41" s="197">
        <f t="shared" si="3"/>
        <v>45684</v>
      </c>
      <c r="L41" s="147">
        <f>IF(t&lt;Tvie,1-EXP((T0-t)*PertePVj)+'2024'!Pspv,1-EXP((T0-t)*PertePVj)+Pspv)</f>
        <v>5.3682626123131572E-2</v>
      </c>
      <c r="M41" s="844"/>
      <c r="N41" s="844"/>
      <c r="O41" s="48">
        <f>IF(t&lt;Tnet,'2024'!Resal+('2024'!Salim-'2024'!Resal)*(1-EXP(('2024'!Tnet-t)/('2024'!Tau_j))),Resal+(Salim-Resal)*(1-EXP((Tnet-t)/(Tau_j))))*Salcycl</f>
        <v>9.9487584266288592E-2</v>
      </c>
      <c r="P41" s="169">
        <f>(INDEX(Models!$BJ41:$BT41,,T41)*(1-R41)+INDEX(Models!$BJ41:$BT41,,T41+1)*R41-ERP_i)*Q41*Ramure*Pc/MaxiM</f>
        <v>2.6122214984345719E-3</v>
      </c>
      <c r="Q41" s="305">
        <f t="shared" si="4"/>
        <v>0.7</v>
      </c>
      <c r="R41" s="177">
        <f t="shared" si="5"/>
        <v>0.20035241180785635</v>
      </c>
      <c r="S41" s="810">
        <f t="shared" si="6"/>
        <v>1</v>
      </c>
      <c r="T41" s="176">
        <f t="shared" si="7"/>
        <v>7</v>
      </c>
      <c r="U41" s="251">
        <f t="shared" si="8"/>
        <v>1.2003524118078563</v>
      </c>
      <c r="V41" s="383">
        <f t="shared" si="9"/>
        <v>21.451403209048937</v>
      </c>
      <c r="W41" s="402">
        <f t="shared" si="10"/>
        <v>21.673163972057342</v>
      </c>
      <c r="X41" s="157">
        <f t="shared" si="11"/>
        <v>45684</v>
      </c>
      <c r="Y41" s="385">
        <f t="shared" si="12"/>
        <v>20.552769579656388</v>
      </c>
      <c r="Z41" s="385">
        <f t="shared" si="22"/>
        <v>21.718685661931687</v>
      </c>
      <c r="AA41" s="386">
        <f t="shared" si="13"/>
        <v>25.432894993220856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0.14603958111253917</v>
      </c>
      <c r="AD41" s="231">
        <f>(INDEX(Models!$BJ41:$BT41,,AH41)*(1-AF41)+INDEX(Models!$BJ41:$BT41,,AH41+1)*AF41-ERP_i)*AE41*Ramure*Pc/MaxiM</f>
        <v>2.6122214984345719E-3</v>
      </c>
      <c r="AE41" s="305">
        <f t="shared" si="15"/>
        <v>0.7</v>
      </c>
      <c r="AF41" s="177">
        <f t="shared" si="23"/>
        <v>0.20035241180785635</v>
      </c>
      <c r="AG41" s="810">
        <f t="shared" si="24"/>
        <v>1</v>
      </c>
      <c r="AH41" s="176">
        <f t="shared" si="16"/>
        <v>7</v>
      </c>
      <c r="AI41" s="225">
        <f t="shared" si="17"/>
        <v>1.2003524118078563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4.0303699531622712</v>
      </c>
      <c r="C42" s="840"/>
      <c r="D42" s="393">
        <f t="shared" si="0"/>
        <v>4.2591036149213135</v>
      </c>
      <c r="E42" s="385">
        <f t="shared" si="1"/>
        <v>4.7301060713807637</v>
      </c>
      <c r="F42" s="385">
        <f t="shared" si="2"/>
        <v>4.7301060713807637</v>
      </c>
      <c r="G42" s="110">
        <f t="shared" si="21"/>
        <v>0.18514931100363288</v>
      </c>
      <c r="H42" s="414" t="b">
        <f>Wh_hp&gt;='2024'!Maxi_hp</f>
        <v>0</v>
      </c>
      <c r="I42" s="390">
        <f>IF(H42,Wh_hp,'2024'!Maxi_hp)</f>
        <v>17.271645259588524</v>
      </c>
      <c r="J42" s="85">
        <f>IF(H42,An,'2024'!An_max)</f>
        <v>2020</v>
      </c>
      <c r="K42" s="197">
        <f t="shared" si="3"/>
        <v>45685</v>
      </c>
      <c r="L42" s="147">
        <f>IF(t&lt;Tvie,1-EXP((T0-t)*PertePVj)+'2024'!Pspv,1-EXP((T0-t)*PertePVj)+Pspv)</f>
        <v>5.3704648310902381E-2</v>
      </c>
      <c r="M42" s="844"/>
      <c r="N42" s="844"/>
      <c r="O42" s="48">
        <f>IF(t&lt;Tnet,'2024'!Resal+('2024'!Salim-'2024'!Resal)*(1-EXP(('2024'!Tnet-t)/('2024'!Tau_j))),Resal+(Salim-Resal)*(1-EXP((Tnet-t)/(Tau_j))))*Salcycl</f>
        <v>9.9575453351717302E-2</v>
      </c>
      <c r="P42" s="169">
        <f>(INDEX(Models!$BJ42:$BT42,,T42)*(1-R42)+INDEX(Models!$BJ42:$BT42,,T42+1)*R42-ERP_i)*Q42*Ramure*Pc/MaxiM</f>
        <v>2.6832370439493253E-3</v>
      </c>
      <c r="Q42" s="305">
        <f t="shared" si="4"/>
        <v>0.7</v>
      </c>
      <c r="R42" s="177">
        <f t="shared" si="5"/>
        <v>0.20042007842053322</v>
      </c>
      <c r="S42" s="810">
        <f t="shared" si="6"/>
        <v>1</v>
      </c>
      <c r="T42" s="176">
        <f t="shared" si="7"/>
        <v>7</v>
      </c>
      <c r="U42" s="251">
        <f t="shared" si="8"/>
        <v>1.2004200784205332</v>
      </c>
      <c r="V42" s="383">
        <f t="shared" si="9"/>
        <v>21.709805418202489</v>
      </c>
      <c r="W42" s="402">
        <f t="shared" si="10"/>
        <v>4.0303699531622712</v>
      </c>
      <c r="X42" s="157">
        <f t="shared" si="11"/>
        <v>45685</v>
      </c>
      <c r="Y42" s="385">
        <f t="shared" si="12"/>
        <v>3.8222285001742553</v>
      </c>
      <c r="Z42" s="385">
        <f t="shared" si="22"/>
        <v>4.0391496094234611</v>
      </c>
      <c r="AA42" s="386">
        <f t="shared" si="13"/>
        <v>4.7301060713807637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0.14607631446954111</v>
      </c>
      <c r="AD42" s="231">
        <f>(INDEX(Models!$BJ42:$BT42,,AH42)*(1-AF42)+INDEX(Models!$BJ42:$BT42,,AH42+1)*AF42-ERP_i)*AE42*Ramure*Pc/MaxiM</f>
        <v>2.6832370439493253E-3</v>
      </c>
      <c r="AE42" s="305">
        <f t="shared" si="15"/>
        <v>0.7</v>
      </c>
      <c r="AF42" s="177">
        <f t="shared" si="23"/>
        <v>0.20042007842053322</v>
      </c>
      <c r="AG42" s="810">
        <f t="shared" si="24"/>
        <v>1</v>
      </c>
      <c r="AH42" s="176">
        <f t="shared" si="16"/>
        <v>7</v>
      </c>
      <c r="AI42" s="225">
        <f t="shared" si="17"/>
        <v>1.2004200784205332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9.1804233228702952</v>
      </c>
      <c r="C43" s="840"/>
      <c r="D43" s="393">
        <f t="shared" si="0"/>
        <v>9.7016612765956989</v>
      </c>
      <c r="E43" s="385">
        <f t="shared" si="1"/>
        <v>10.775593359660803</v>
      </c>
      <c r="F43" s="385">
        <f t="shared" si="2"/>
        <v>10.780601001817267</v>
      </c>
      <c r="G43" s="110">
        <f t="shared" si="21"/>
        <v>0.41684295803297589</v>
      </c>
      <c r="H43" s="414" t="b">
        <f>Wh_hp&gt;='2024'!Maxi_hp</f>
        <v>0</v>
      </c>
      <c r="I43" s="390">
        <f>IF(H43,Wh_hp,'2024'!Maxi_hp)</f>
        <v>16.235625620989971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5.3726669986184694E-2</v>
      </c>
      <c r="M43" s="844"/>
      <c r="N43" s="844"/>
      <c r="O43" s="48">
        <f>IF(t&lt;Tnet,'2024'!Resal+('2024'!Salim-'2024'!Resal)*(1-EXP(('2024'!Tnet-t)/('2024'!Tau_j))),Resal+(Salim-Resal)*(1-EXP((Tnet-t)/(Tau_j))))*Salcycl</f>
        <v>9.9663382536821221E-2</v>
      </c>
      <c r="P43" s="169">
        <f>(INDEX(Models!$BJ43:$BT43,,T43)*(1-R43)+INDEX(Models!$BJ43:$BT43,,T43+1)*R43-ERP_i)*Q43*Ramure*Pc/MaxiM</f>
        <v>2.7601566189256114E-3</v>
      </c>
      <c r="Q43" s="305">
        <f t="shared" si="4"/>
        <v>0.7</v>
      </c>
      <c r="R43" s="177">
        <f t="shared" si="5"/>
        <v>0.20049055937676141</v>
      </c>
      <c r="S43" s="810">
        <f t="shared" si="6"/>
        <v>1</v>
      </c>
      <c r="T43" s="176">
        <f t="shared" si="7"/>
        <v>7</v>
      </c>
      <c r="U43" s="251">
        <f t="shared" si="8"/>
        <v>1.2004905593767614</v>
      </c>
      <c r="V43" s="383">
        <f t="shared" si="9"/>
        <v>21.973115529253729</v>
      </c>
      <c r="W43" s="402">
        <f t="shared" si="10"/>
        <v>9.1804233228702952</v>
      </c>
      <c r="X43" s="157">
        <f t="shared" si="11"/>
        <v>45686</v>
      </c>
      <c r="Y43" s="385">
        <f t="shared" si="12"/>
        <v>8.7067901033389727</v>
      </c>
      <c r="Z43" s="385">
        <f t="shared" si="22"/>
        <v>9.2011365291377878</v>
      </c>
      <c r="AA43" s="386">
        <f t="shared" si="13"/>
        <v>10.775593359660803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0.14611323738487628</v>
      </c>
      <c r="AD43" s="231">
        <f>(INDEX(Models!$BJ43:$BT43,,AH43)*(1-AF43)+INDEX(Models!$BJ43:$BT43,,AH43+1)*AF43-ERP_i)*AE43*Ramure*Pc/MaxiM</f>
        <v>2.7601566189256114E-3</v>
      </c>
      <c r="AE43" s="305">
        <f t="shared" si="15"/>
        <v>0.7</v>
      </c>
      <c r="AF43" s="177">
        <f t="shared" si="23"/>
        <v>0.20049055937676141</v>
      </c>
      <c r="AG43" s="810">
        <f t="shared" si="24"/>
        <v>1</v>
      </c>
      <c r="AH43" s="176">
        <f t="shared" si="16"/>
        <v>7</v>
      </c>
      <c r="AI43" s="225">
        <f t="shared" si="17"/>
        <v>1.2004905593767614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4.3912644995614398</v>
      </c>
      <c r="C44" s="840"/>
      <c r="D44" s="393">
        <f t="shared" si="0"/>
        <v>4.6406958262425606</v>
      </c>
      <c r="E44" s="385">
        <f t="shared" si="1"/>
        <v>5.1549046310075868</v>
      </c>
      <c r="F44" s="385">
        <f t="shared" si="2"/>
        <v>5.1549046310075868</v>
      </c>
      <c r="G44" s="110">
        <f t="shared" si="21"/>
        <v>0.19687915201494294</v>
      </c>
      <c r="H44" s="414" t="b">
        <f>Wh_hp&gt;='2024'!Maxi_hp</f>
        <v>0</v>
      </c>
      <c r="I44" s="390">
        <f>IF(H44,Wh_hp,'2024'!Maxi_hp)</f>
        <v>11.307083616802787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5.3748691148990502E-2</v>
      </c>
      <c r="M44" s="844"/>
      <c r="N44" s="844"/>
      <c r="O44" s="48">
        <f>IF(t&lt;Tnet,'2024'!Resal+('2024'!Salim-'2024'!Resal)*(1-EXP(('2024'!Tnet-t)/('2024'!Tau_j))),Resal+(Salim-Resal)*(1-EXP((Tnet-t)/(Tau_j))))*Salcycl</f>
        <v>9.9751371086862994E-2</v>
      </c>
      <c r="P44" s="169">
        <f>(INDEX(Models!$BJ44:$BT44,,T44)*(1-R44)+INDEX(Models!$BJ44:$BT44,,T44+1)*R44-ERP_i)*Q44*Ramure*Pc/MaxiM</f>
        <v>2.8462351123018925E-3</v>
      </c>
      <c r="Q44" s="305">
        <f t="shared" si="4"/>
        <v>0.7</v>
      </c>
      <c r="R44" s="177">
        <f t="shared" si="5"/>
        <v>0.20056397066715625</v>
      </c>
      <c r="S44" s="810">
        <f t="shared" si="6"/>
        <v>1</v>
      </c>
      <c r="T44" s="176">
        <f t="shared" si="7"/>
        <v>7</v>
      </c>
      <c r="U44" s="251">
        <f t="shared" si="8"/>
        <v>1.2005639706671563</v>
      </c>
      <c r="V44" s="383">
        <f t="shared" si="9"/>
        <v>22.240881695909781</v>
      </c>
      <c r="W44" s="402">
        <f t="shared" si="10"/>
        <v>4.3912644995614398</v>
      </c>
      <c r="X44" s="157">
        <f t="shared" si="11"/>
        <v>45687</v>
      </c>
      <c r="Y44" s="385">
        <f t="shared" si="12"/>
        <v>4.1649379330687388</v>
      </c>
      <c r="Z44" s="385">
        <f t="shared" si="22"/>
        <v>4.4015135240616319</v>
      </c>
      <c r="AA44" s="386">
        <f t="shared" si="13"/>
        <v>5.1549046310075868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0.14615034823616038</v>
      </c>
      <c r="AD44" s="231">
        <f>(INDEX(Models!$BJ44:$BT44,,AH44)*(1-AF44)+INDEX(Models!$BJ44:$BT44,,AH44+1)*AF44-ERP_i)*AE44*Ramure*Pc/MaxiM</f>
        <v>2.8462351123018925E-3</v>
      </c>
      <c r="AE44" s="305">
        <f t="shared" si="15"/>
        <v>0.7</v>
      </c>
      <c r="AF44" s="177">
        <f t="shared" si="23"/>
        <v>0.20056397066715625</v>
      </c>
      <c r="AG44" s="810">
        <f t="shared" si="24"/>
        <v>1</v>
      </c>
      <c r="AH44" s="176">
        <f t="shared" si="16"/>
        <v>7</v>
      </c>
      <c r="AI44" s="225">
        <f t="shared" si="17"/>
        <v>1.2005639706671563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7.7553445303476023</v>
      </c>
      <c r="C45" s="840"/>
      <c r="D45" s="393">
        <f t="shared" si="0"/>
        <v>8.1960520848969054</v>
      </c>
      <c r="E45" s="385">
        <f t="shared" si="1"/>
        <v>9.1050999581772274</v>
      </c>
      <c r="F45" s="385">
        <f t="shared" si="2"/>
        <v>9.1068005415922286</v>
      </c>
      <c r="G45" s="110">
        <f t="shared" si="21"/>
        <v>0.34353804818784067</v>
      </c>
      <c r="H45" s="414" t="b">
        <f>Wh_hp&gt;='2024'!Maxi_hp</f>
        <v>0</v>
      </c>
      <c r="I45" s="390">
        <f>IF(H45,Wh_hp,'2024'!Maxi_hp)</f>
        <v>20.821047723853216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5.3770711799331683E-2</v>
      </c>
      <c r="M45" s="844"/>
      <c r="N45" s="844"/>
      <c r="O45" s="48">
        <f>IF(t&lt;Tnet,'2024'!Resal+('2024'!Salim-'2024'!Resal)*(1-EXP(('2024'!Tnet-t)/('2024'!Tau_j))),Resal+(Salim-Resal)*(1-EXP((Tnet-t)/(Tau_j))))*Salcycl</f>
        <v>9.9839417189913723E-2</v>
      </c>
      <c r="P45" s="169">
        <f>(INDEX(Models!$BJ45:$BT45,,T45)*(1-R45)+INDEX(Models!$BJ45:$BT45,,T45+1)*R45-ERP_i)*Q45*Ramure*Pc/MaxiM</f>
        <v>2.9383640578639048E-3</v>
      </c>
      <c r="Q45" s="305">
        <f t="shared" si="4"/>
        <v>0.7</v>
      </c>
      <c r="R45" s="177">
        <f t="shared" si="5"/>
        <v>0.20064043297230016</v>
      </c>
      <c r="S45" s="810">
        <f t="shared" si="6"/>
        <v>1</v>
      </c>
      <c r="T45" s="176">
        <f t="shared" si="7"/>
        <v>7</v>
      </c>
      <c r="U45" s="251">
        <f t="shared" si="8"/>
        <v>1.2006404329723002</v>
      </c>
      <c r="V45" s="383">
        <f t="shared" si="9"/>
        <v>22.512792325019259</v>
      </c>
      <c r="W45" s="402">
        <f t="shared" si="10"/>
        <v>7.7553445303476023</v>
      </c>
      <c r="X45" s="157">
        <f t="shared" si="11"/>
        <v>45688</v>
      </c>
      <c r="Y45" s="385">
        <f t="shared" si="12"/>
        <v>7.3560308158566414</v>
      </c>
      <c r="Z45" s="385">
        <f t="shared" si="22"/>
        <v>7.774046848459669</v>
      </c>
      <c r="AA45" s="386">
        <f t="shared" si="13"/>
        <v>9.1050999581772274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0.14618764382945057</v>
      </c>
      <c r="AD45" s="231">
        <f>(INDEX(Models!$BJ45:$BT45,,AH45)*(1-AF45)+INDEX(Models!$BJ45:$BT45,,AH45+1)*AF45-ERP_i)*AE45*Ramure*Pc/MaxiM</f>
        <v>2.9383640578639048E-3</v>
      </c>
      <c r="AE45" s="305">
        <f t="shared" si="15"/>
        <v>0.7</v>
      </c>
      <c r="AF45" s="177">
        <f t="shared" si="23"/>
        <v>0.20064043297230016</v>
      </c>
      <c r="AG45" s="810">
        <f t="shared" si="24"/>
        <v>1</v>
      </c>
      <c r="AH45" s="176">
        <f t="shared" si="16"/>
        <v>7</v>
      </c>
      <c r="AI45" s="225">
        <f t="shared" si="17"/>
        <v>1.2006404329723002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9.1125725921118157</v>
      </c>
      <c r="C46" s="840"/>
      <c r="D46" s="393">
        <f t="shared" si="0"/>
        <v>9.6306305179503298</v>
      </c>
      <c r="E46" s="385">
        <f t="shared" si="1"/>
        <v>10.699838857333562</v>
      </c>
      <c r="F46" s="385">
        <f t="shared" si="2"/>
        <v>10.704476296721472</v>
      </c>
      <c r="G46" s="110">
        <f t="shared" si="21"/>
        <v>0.39883502643762625</v>
      </c>
      <c r="H46" s="414" t="b">
        <f>Wh_hp&gt;='2024'!Maxi_hp</f>
        <v>0</v>
      </c>
      <c r="I46" s="390">
        <f>IF(H46,Wh_hp,'2024'!Maxi_hp)</f>
        <v>21.147132908302876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5.3792731937220117E-2</v>
      </c>
      <c r="M46" s="844"/>
      <c r="N46" s="844"/>
      <c r="O46" s="48">
        <f>IF(t&lt;Tnet,'2024'!Resal+('2024'!Salim-'2024'!Resal)*(1-EXP(('2024'!Tnet-t)/('2024'!Tau_j))),Resal+(Salim-Resal)*(1-EXP((Tnet-t)/(Tau_j))))*Salcycl</f>
        <v>9.9927517941114472E-2</v>
      </c>
      <c r="P46" s="169">
        <f>(INDEX(Models!$BJ46:$BT46,,T46)*(1-R46)+INDEX(Models!$BJ46:$BT46,,T46+1)*R46-ERP_i)*Q46*Ramure*Pc/MaxiM</f>
        <v>3.0363232252096418E-3</v>
      </c>
      <c r="Q46" s="305">
        <f t="shared" si="4"/>
        <v>0.7</v>
      </c>
      <c r="R46" s="177">
        <f t="shared" si="5"/>
        <v>0.20072007184465268</v>
      </c>
      <c r="S46" s="810">
        <f t="shared" si="6"/>
        <v>1</v>
      </c>
      <c r="T46" s="176">
        <f t="shared" si="7"/>
        <v>7</v>
      </c>
      <c r="U46" s="251">
        <f t="shared" si="8"/>
        <v>1.2007200718446527</v>
      </c>
      <c r="V46" s="383">
        <f t="shared" si="9"/>
        <v>22.788473380968615</v>
      </c>
      <c r="W46" s="402">
        <f t="shared" si="10"/>
        <v>9.1125725921118157</v>
      </c>
      <c r="X46" s="157">
        <f t="shared" si="11"/>
        <v>45689</v>
      </c>
      <c r="Y46" s="385">
        <f t="shared" si="12"/>
        <v>8.6438433926616263</v>
      </c>
      <c r="Z46" s="385">
        <f t="shared" si="22"/>
        <v>9.135253643061338</v>
      </c>
      <c r="AA46" s="386">
        <f t="shared" si="13"/>
        <v>10.699838857333562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0.14622511938110855</v>
      </c>
      <c r="AD46" s="231">
        <f>(INDEX(Models!$BJ46:$BT46,,AH46)*(1-AF46)+INDEX(Models!$BJ46:$BT46,,AH46+1)*AF46-ERP_i)*AE46*Ramure*Pc/MaxiM</f>
        <v>3.0363232252096418E-3</v>
      </c>
      <c r="AE46" s="305">
        <f t="shared" si="15"/>
        <v>0.7</v>
      </c>
      <c r="AF46" s="177">
        <f t="shared" si="23"/>
        <v>0.20072007184465268</v>
      </c>
      <c r="AG46" s="810">
        <f t="shared" si="24"/>
        <v>1</v>
      </c>
      <c r="AH46" s="176">
        <f t="shared" si="16"/>
        <v>7</v>
      </c>
      <c r="AI46" s="225">
        <f t="shared" si="17"/>
        <v>1.2007200718446527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5.16352362963862</v>
      </c>
      <c r="C47" s="840"/>
      <c r="D47" s="393">
        <f t="shared" si="0"/>
        <v>5.457201576717047</v>
      </c>
      <c r="E47" s="385">
        <f t="shared" si="1"/>
        <v>6.0636628781638091</v>
      </c>
      <c r="F47" s="385">
        <f t="shared" si="2"/>
        <v>6.0636628781638091</v>
      </c>
      <c r="G47" s="110">
        <f t="shared" si="21"/>
        <v>0.22314075116997001</v>
      </c>
      <c r="H47" s="414" t="b">
        <f>Wh_hp&gt;='2024'!Maxi_hp</f>
        <v>0</v>
      </c>
      <c r="I47" s="390">
        <f>IF(H47,Wh_hp,'2024'!Maxi_hp)</f>
        <v>24.623005802832068</v>
      </c>
      <c r="J47" s="85">
        <f>IF(H47,An,'2024'!An_max)</f>
        <v>2020</v>
      </c>
      <c r="K47" s="197">
        <f t="shared" si="3"/>
        <v>45690</v>
      </c>
      <c r="L47" s="147">
        <f>IF(t&lt;Tvie,1-EXP((T0-t)*PertePVj)+'2024'!Pspv,1-EXP((T0-t)*PertePVj)+Pspv)</f>
        <v>5.3814751562667795E-2</v>
      </c>
      <c r="M47" s="844"/>
      <c r="N47" s="844"/>
      <c r="O47" s="48">
        <f>IF(t&lt;Tnet,'2024'!Resal+('2024'!Salim-'2024'!Resal)*(1-EXP(('2024'!Tnet-t)/('2024'!Tau_j))),Resal+(Salim-Resal)*(1-EXP((Tnet-t)/(Tau_j))))*Salcycl</f>
        <v>0.10001566934578822</v>
      </c>
      <c r="P47" s="169">
        <f>(INDEX(Models!$BJ47:$BT47,,T47)*(1-R47)+INDEX(Models!$BJ47:$BT47,,T47+1)*R47-ERP_i)*Q47*Ramure*Pc/MaxiM</f>
        <v>3.1399033650378523E-3</v>
      </c>
      <c r="Q47" s="305">
        <f t="shared" si="4"/>
        <v>0.7</v>
      </c>
      <c r="R47" s="177">
        <f t="shared" si="5"/>
        <v>0.20080301789684851</v>
      </c>
      <c r="S47" s="810">
        <f t="shared" si="6"/>
        <v>1</v>
      </c>
      <c r="T47" s="176">
        <f t="shared" si="7"/>
        <v>7</v>
      </c>
      <c r="U47" s="251">
        <f t="shared" si="8"/>
        <v>1.2008030178968485</v>
      </c>
      <c r="V47" s="383">
        <f t="shared" si="9"/>
        <v>23.067551029698169</v>
      </c>
      <c r="W47" s="402">
        <f t="shared" si="10"/>
        <v>5.16352362963862</v>
      </c>
      <c r="X47" s="157">
        <f t="shared" si="11"/>
        <v>45690</v>
      </c>
      <c r="Y47" s="385">
        <f t="shared" si="12"/>
        <v>4.8981879106797566</v>
      </c>
      <c r="Z47" s="385">
        <f t="shared" si="22"/>
        <v>5.1767747581875065</v>
      </c>
      <c r="AA47" s="386">
        <f t="shared" si="13"/>
        <v>6.0636628781638091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0.14626276852727485</v>
      </c>
      <c r="AD47" s="231">
        <f>(INDEX(Models!$BJ47:$BT47,,AH47)*(1-AF47)+INDEX(Models!$BJ47:$BT47,,AH47+1)*AF47-ERP_i)*AE47*Ramure*Pc/MaxiM</f>
        <v>3.1399033650378523E-3</v>
      </c>
      <c r="AE47" s="305">
        <f t="shared" si="15"/>
        <v>0.7</v>
      </c>
      <c r="AF47" s="177">
        <f t="shared" si="23"/>
        <v>0.20080301789684851</v>
      </c>
      <c r="AG47" s="810">
        <f t="shared" si="24"/>
        <v>1</v>
      </c>
      <c r="AH47" s="176">
        <f t="shared" si="16"/>
        <v>7</v>
      </c>
      <c r="AI47" s="225">
        <f t="shared" si="17"/>
        <v>1.2008030178968485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9.3860969013302373</v>
      </c>
      <c r="C48" s="840"/>
      <c r="D48" s="393">
        <f t="shared" si="0"/>
        <v>9.9201666376669078</v>
      </c>
      <c r="E48" s="385">
        <f t="shared" si="1"/>
        <v>11.023679585477904</v>
      </c>
      <c r="F48" s="385">
        <f t="shared" si="2"/>
        <v>11.028899785366052</v>
      </c>
      <c r="G48" s="110">
        <f t="shared" si="21"/>
        <v>0.40086390937723831</v>
      </c>
      <c r="H48" s="414" t="b">
        <f>Wh_hp&gt;='2024'!Maxi_hp</f>
        <v>0</v>
      </c>
      <c r="I48" s="390">
        <f>IF(H48,Wh_hp,'2024'!Maxi_hp)</f>
        <v>23.131615520800864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5.3836770675686596E-2</v>
      </c>
      <c r="M48" s="844"/>
      <c r="N48" s="844"/>
      <c r="O48" s="48">
        <f>IF(t&lt;Tnet,'2024'!Resal+('2024'!Salim-'2024'!Resal)*(1-EXP(('2024'!Tnet-t)/('2024'!Tau_j))),Resal+(Salim-Resal)*(1-EXP((Tnet-t)/(Tau_j))))*Salcycl</f>
        <v>0.10010386634102776</v>
      </c>
      <c r="P48" s="169">
        <f>(INDEX(Models!$BJ48:$BT48,,T48)*(1-R48)+INDEX(Models!$BJ48:$BT48,,T48+1)*R48-ERP_i)*Q48*Ramure*Pc/MaxiM</f>
        <v>3.2489068299585431E-3</v>
      </c>
      <c r="Q48" s="305">
        <f t="shared" si="4"/>
        <v>0.7</v>
      </c>
      <c r="R48" s="177">
        <f t="shared" si="5"/>
        <v>0.200889406996555</v>
      </c>
      <c r="S48" s="810">
        <f t="shared" si="6"/>
        <v>1</v>
      </c>
      <c r="T48" s="176">
        <f t="shared" si="7"/>
        <v>7</v>
      </c>
      <c r="U48" s="251">
        <f t="shared" si="8"/>
        <v>1.200889406996555</v>
      </c>
      <c r="V48" s="383">
        <f t="shared" si="9"/>
        <v>23.349651638818514</v>
      </c>
      <c r="W48" s="402">
        <f t="shared" si="10"/>
        <v>9.3860969013302373</v>
      </c>
      <c r="X48" s="157">
        <f t="shared" si="11"/>
        <v>45691</v>
      </c>
      <c r="Y48" s="385">
        <f t="shared" si="12"/>
        <v>8.9042558907426521</v>
      </c>
      <c r="Z48" s="385">
        <f t="shared" si="22"/>
        <v>9.4109088313455995</v>
      </c>
      <c r="AA48" s="386">
        <f t="shared" si="13"/>
        <v>11.023679585477904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0.14630058336028698</v>
      </c>
      <c r="AD48" s="231">
        <f>(INDEX(Models!$BJ48:$BT48,,AH48)*(1-AF48)+INDEX(Models!$BJ48:$BT48,,AH48+1)*AF48-ERP_i)*AE48*Ramure*Pc/MaxiM</f>
        <v>3.2489068299585431E-3</v>
      </c>
      <c r="AE48" s="305">
        <f t="shared" si="15"/>
        <v>0.7</v>
      </c>
      <c r="AF48" s="177">
        <f t="shared" si="23"/>
        <v>0.200889406996555</v>
      </c>
      <c r="AG48" s="810">
        <f t="shared" si="24"/>
        <v>1</v>
      </c>
      <c r="AH48" s="176">
        <f t="shared" si="16"/>
        <v>7</v>
      </c>
      <c r="AI48" s="225">
        <f t="shared" si="17"/>
        <v>1.200889406996555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9.2649888542277559</v>
      </c>
      <c r="C49" s="840"/>
      <c r="D49" s="393">
        <f t="shared" si="0"/>
        <v>9.7923954154167827</v>
      </c>
      <c r="E49" s="385">
        <f t="shared" si="1"/>
        <v>10.882762249888659</v>
      </c>
      <c r="F49" s="385">
        <f t="shared" si="2"/>
        <v>10.887575379257498</v>
      </c>
      <c r="G49" s="110">
        <f t="shared" si="21"/>
        <v>0.39086723091718395</v>
      </c>
      <c r="H49" s="414" t="b">
        <f>Wh_hp&gt;='2024'!Maxi_hp</f>
        <v>0</v>
      </c>
      <c r="I49" s="390">
        <f>IF(H49,Wh_hp,'2024'!Maxi_hp)</f>
        <v>21.711002332701614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5.385878927628851E-2</v>
      </c>
      <c r="M49" s="844"/>
      <c r="N49" s="844"/>
      <c r="O49" s="48">
        <f>IF(t&lt;Tnet,'2024'!Resal+('2024'!Salim-'2024'!Resal)*(1-EXP(('2024'!Tnet-t)/('2024'!Tau_j))),Resal+(Salim-Resal)*(1-EXP((Tnet-t)/(Tau_j))))*Salcycl</f>
        <v>0.1001921028351999</v>
      </c>
      <c r="P49" s="169">
        <f>(INDEX(Models!$BJ49:$BT49,,T49)*(1-R49)+INDEX(Models!$BJ49:$BT49,,T49+1)*R49-ERP_i)*Q49*Ramure*Pc/MaxiM</f>
        <v>3.3631480556067985E-3</v>
      </c>
      <c r="Q49" s="305">
        <f t="shared" si="4"/>
        <v>0.7</v>
      </c>
      <c r="R49" s="177">
        <f t="shared" si="5"/>
        <v>0.20097938046804775</v>
      </c>
      <c r="S49" s="810">
        <f t="shared" si="6"/>
        <v>1</v>
      </c>
      <c r="T49" s="176">
        <f t="shared" si="7"/>
        <v>7</v>
      </c>
      <c r="U49" s="251">
        <f t="shared" si="8"/>
        <v>1.2009793804680478</v>
      </c>
      <c r="V49" s="383">
        <f t="shared" si="9"/>
        <v>23.634401782858227</v>
      </c>
      <c r="W49" s="402">
        <f t="shared" si="10"/>
        <v>9.2649888542277559</v>
      </c>
      <c r="X49" s="157">
        <f t="shared" si="11"/>
        <v>45692</v>
      </c>
      <c r="Y49" s="385">
        <f t="shared" si="12"/>
        <v>8.7898359225839258</v>
      </c>
      <c r="Z49" s="385">
        <f t="shared" si="22"/>
        <v>9.2901945533695809</v>
      </c>
      <c r="AA49" s="386">
        <f t="shared" si="13"/>
        <v>10.882762249888659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0.14633855449110561</v>
      </c>
      <c r="AD49" s="231">
        <f>(INDEX(Models!$BJ49:$BT49,,AH49)*(1-AF49)+INDEX(Models!$BJ49:$BT49,,AH49+1)*AF49-ERP_i)*AE49*Ramure*Pc/MaxiM</f>
        <v>3.3631480556067985E-3</v>
      </c>
      <c r="AE49" s="305">
        <f t="shared" si="15"/>
        <v>0.7</v>
      </c>
      <c r="AF49" s="177">
        <f t="shared" si="23"/>
        <v>0.20097938046804775</v>
      </c>
      <c r="AG49" s="810">
        <f t="shared" si="24"/>
        <v>1</v>
      </c>
      <c r="AH49" s="176">
        <f t="shared" si="16"/>
        <v>7</v>
      </c>
      <c r="AI49" s="225">
        <f t="shared" si="17"/>
        <v>1.2009793804680478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8.5221004915139815</v>
      </c>
      <c r="C50" s="840"/>
      <c r="D50" s="393">
        <f t="shared" si="0"/>
        <v>9.0074279835448348</v>
      </c>
      <c r="E50" s="385">
        <f t="shared" si="1"/>
        <v>10.011372099563069</v>
      </c>
      <c r="F50" s="385">
        <f t="shared" si="2"/>
        <v>10.014174657612573</v>
      </c>
      <c r="G50" s="110">
        <f t="shared" si="21"/>
        <v>0.35511257652984862</v>
      </c>
      <c r="H50" s="414" t="b">
        <f>Wh_hp&gt;='2024'!Maxi_hp</f>
        <v>0</v>
      </c>
      <c r="I50" s="390">
        <f>IF(H50,Wh_hp,'2024'!Maxi_hp)</f>
        <v>28.631560461107572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5.3880807364485306E-2</v>
      </c>
      <c r="M50" s="844"/>
      <c r="N50" s="844"/>
      <c r="O50" s="48">
        <f>IF(t&lt;Tnet,'2024'!Resal+('2024'!Salim-'2024'!Resal)*(1-EXP(('2024'!Tnet-t)/('2024'!Tau_j))),Resal+(Salim-Resal)*(1-EXP((Tnet-t)/(Tau_j))))*Salcycl</f>
        <v>0.1002803717646305</v>
      </c>
      <c r="P50" s="169">
        <f>(INDEX(Models!$BJ50:$BT50,,T50)*(1-R50)+INDEX(Models!$BJ50:$BT50,,T50+1)*R50-ERP_i)*Q50*Ramure*Pc/MaxiM</f>
        <v>3.4824539223078372E-3</v>
      </c>
      <c r="Q50" s="305">
        <f t="shared" si="4"/>
        <v>0.7</v>
      </c>
      <c r="R50" s="177">
        <f t="shared" si="5"/>
        <v>0.20107308530067236</v>
      </c>
      <c r="S50" s="810">
        <f t="shared" si="6"/>
        <v>1</v>
      </c>
      <c r="T50" s="176">
        <f t="shared" si="7"/>
        <v>7</v>
      </c>
      <c r="U50" s="251">
        <f t="shared" si="8"/>
        <v>1.2010730853006724</v>
      </c>
      <c r="V50" s="383">
        <f t="shared" si="9"/>
        <v>23.921428239602811</v>
      </c>
      <c r="W50" s="402">
        <f t="shared" si="10"/>
        <v>8.5221004915139815</v>
      </c>
      <c r="X50" s="157">
        <f t="shared" si="11"/>
        <v>45693</v>
      </c>
      <c r="Y50" s="385">
        <f t="shared" si="12"/>
        <v>8.0854785893053798</v>
      </c>
      <c r="Z50" s="385">
        <f t="shared" si="22"/>
        <v>8.5459407781195385</v>
      </c>
      <c r="AA50" s="386">
        <f t="shared" si="13"/>
        <v>10.011372099563069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0.14637667113656552</v>
      </c>
      <c r="AD50" s="231">
        <f>(INDEX(Models!$BJ50:$BT50,,AH50)*(1-AF50)+INDEX(Models!$BJ50:$BT50,,AH50+1)*AF50-ERP_i)*AE50*Ramure*Pc/MaxiM</f>
        <v>3.4824539223078372E-3</v>
      </c>
      <c r="AE50" s="305">
        <f t="shared" si="15"/>
        <v>0.7</v>
      </c>
      <c r="AF50" s="177">
        <f t="shared" si="23"/>
        <v>0.20107308530067236</v>
      </c>
      <c r="AG50" s="810">
        <f t="shared" si="24"/>
        <v>1</v>
      </c>
      <c r="AH50" s="176">
        <f t="shared" si="16"/>
        <v>7</v>
      </c>
      <c r="AI50" s="225">
        <f t="shared" si="17"/>
        <v>1.2010730853006724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16.262734665988201</v>
      </c>
      <c r="C51" s="840"/>
      <c r="D51" s="393">
        <f t="shared" si="0"/>
        <v>17.189285725286958</v>
      </c>
      <c r="E51" s="385">
        <f t="shared" si="1"/>
        <v>19.107033136489861</v>
      </c>
      <c r="F51" s="385">
        <f t="shared" si="2"/>
        <v>19.143692037783318</v>
      </c>
      <c r="G51" s="110">
        <f t="shared" si="21"/>
        <v>0.67054538733882718</v>
      </c>
      <c r="H51" s="414" t="b">
        <f>Wh_hp&gt;='2024'!Maxi_hp</f>
        <v>0</v>
      </c>
      <c r="I51" s="390">
        <f>IF(H51,Wh_hp,'2024'!Maxi_hp)</f>
        <v>29.492309215343429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5.3902824940289196E-2</v>
      </c>
      <c r="M51" s="844"/>
      <c r="N51" s="844"/>
      <c r="O51" s="48">
        <f>IF(t&lt;Tnet,'2024'!Resal+('2024'!Salim-'2024'!Resal)*(1-EXP(('2024'!Tnet-t)/('2024'!Tau_j))),Resal+(Salim-Resal)*(1-EXP((Tnet-t)/(Tau_j))))*Salcycl</f>
        <v>0.10036866516656973</v>
      </c>
      <c r="P51" s="169">
        <f>(INDEX(Models!$BJ51:$BT51,,T51)*(1-R51)+INDEX(Models!$BJ51:$BT51,,T51+1)*R51-ERP_i)*Q51*Ramure*Pc/MaxiM</f>
        <v>3.6064361206959413E-3</v>
      </c>
      <c r="Q51" s="305">
        <f t="shared" si="4"/>
        <v>0.7</v>
      </c>
      <c r="R51" s="177">
        <f t="shared" si="5"/>
        <v>0.20117067436434777</v>
      </c>
      <c r="S51" s="810">
        <f t="shared" si="6"/>
        <v>1</v>
      </c>
      <c r="T51" s="176">
        <f t="shared" si="7"/>
        <v>7</v>
      </c>
      <c r="U51" s="251">
        <f t="shared" si="8"/>
        <v>1.2011706743643478</v>
      </c>
      <c r="V51" s="383">
        <f t="shared" si="9"/>
        <v>24.211893392719226</v>
      </c>
      <c r="W51" s="402">
        <f t="shared" si="10"/>
        <v>16.262734665988201</v>
      </c>
      <c r="X51" s="157">
        <f t="shared" si="11"/>
        <v>45694</v>
      </c>
      <c r="Y51" s="385">
        <f t="shared" si="12"/>
        <v>15.430351426624002</v>
      </c>
      <c r="Z51" s="385">
        <f t="shared" si="22"/>
        <v>16.309478384871142</v>
      </c>
      <c r="AA51" s="386">
        <f t="shared" si="13"/>
        <v>19.107033136489861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0.14641492123002911</v>
      </c>
      <c r="AD51" s="231">
        <f>(INDEX(Models!$BJ51:$BT51,,AH51)*(1-AF51)+INDEX(Models!$BJ51:$BT51,,AH51+1)*AF51-ERP_i)*AE51*Ramure*Pc/MaxiM</f>
        <v>3.6064361206959413E-3</v>
      </c>
      <c r="AE51" s="305">
        <f t="shared" si="15"/>
        <v>0.7</v>
      </c>
      <c r="AF51" s="177">
        <f t="shared" si="23"/>
        <v>0.20117067436434777</v>
      </c>
      <c r="AG51" s="810">
        <f t="shared" si="24"/>
        <v>1</v>
      </c>
      <c r="AH51" s="176">
        <f t="shared" si="16"/>
        <v>7</v>
      </c>
      <c r="AI51" s="225">
        <f t="shared" si="17"/>
        <v>1.2011706743643478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8.6845075706183312</v>
      </c>
      <c r="C52" s="840"/>
      <c r="D52" s="393">
        <f t="shared" si="0"/>
        <v>9.1795112652692694</v>
      </c>
      <c r="E52" s="385">
        <f t="shared" si="1"/>
        <v>10.204638358229943</v>
      </c>
      <c r="F52" s="385">
        <f t="shared" si="2"/>
        <v>10.207591137629066</v>
      </c>
      <c r="G52" s="110">
        <f t="shared" si="21"/>
        <v>0.35314684448877298</v>
      </c>
      <c r="H52" s="414" t="b">
        <f>Wh_hp&gt;='2024'!Maxi_hp</f>
        <v>0</v>
      </c>
      <c r="I52" s="390">
        <f>IF(H52,Wh_hp,'2024'!Maxi_hp)</f>
        <v>20.449279964874634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5.3924842003711837E-2</v>
      </c>
      <c r="M52" s="844"/>
      <c r="N52" s="844"/>
      <c r="O52" s="48">
        <f>IF(t&lt;Tnet,'2024'!Resal+('2024'!Salim-'2024'!Resal)*(1-EXP(('2024'!Tnet-t)/('2024'!Tau_j))),Resal+(Salim-Resal)*(1-EXP((Tnet-t)/(Tau_j))))*Salcycl</f>
        <v>0.10045697426738488</v>
      </c>
      <c r="P52" s="169">
        <f>(INDEX(Models!$BJ52:$BT52,,T52)*(1-R52)+INDEX(Models!$BJ52:$BT52,,T52+1)*R52-ERP_i)*Q52*Ramure*Pc/MaxiM</f>
        <v>3.7246862382540363E-3</v>
      </c>
      <c r="Q52" s="305">
        <f t="shared" si="4"/>
        <v>0.7</v>
      </c>
      <c r="R52" s="177">
        <f t="shared" si="5"/>
        <v>0.2012723066322688</v>
      </c>
      <c r="S52" s="810">
        <f t="shared" si="6"/>
        <v>1</v>
      </c>
      <c r="T52" s="176">
        <f t="shared" si="7"/>
        <v>7</v>
      </c>
      <c r="U52" s="251">
        <f t="shared" si="8"/>
        <v>1.2012723066322688</v>
      </c>
      <c r="V52" s="383">
        <f t="shared" si="9"/>
        <v>24.507267159665219</v>
      </c>
      <c r="W52" s="402">
        <f t="shared" si="10"/>
        <v>8.6845075706183312</v>
      </c>
      <c r="X52" s="157">
        <f t="shared" si="11"/>
        <v>45695</v>
      </c>
      <c r="Y52" s="385">
        <f t="shared" si="12"/>
        <v>8.2404428018773412</v>
      </c>
      <c r="Z52" s="385">
        <f t="shared" si="22"/>
        <v>8.710135481550898</v>
      </c>
      <c r="AA52" s="386">
        <f t="shared" si="13"/>
        <v>10.204638358229943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0.14645329155381009</v>
      </c>
      <c r="AD52" s="231">
        <f>(INDEX(Models!$BJ52:$BT52,,AH52)*(1-AF52)+INDEX(Models!$BJ52:$BT52,,AH52+1)*AF52-ERP_i)*AE52*Ramure*Pc/MaxiM</f>
        <v>3.7246862382540363E-3</v>
      </c>
      <c r="AE52" s="305">
        <f t="shared" si="15"/>
        <v>0.7</v>
      </c>
      <c r="AF52" s="177">
        <f t="shared" si="23"/>
        <v>0.2012723066322688</v>
      </c>
      <c r="AG52" s="810">
        <f t="shared" si="24"/>
        <v>1</v>
      </c>
      <c r="AH52" s="176">
        <f t="shared" si="16"/>
        <v>7</v>
      </c>
      <c r="AI52" s="225">
        <f t="shared" si="17"/>
        <v>1.2012723066322688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25.415808117747972</v>
      </c>
      <c r="C53" s="840"/>
      <c r="D53" s="393">
        <f t="shared" si="0"/>
        <v>26.865095631860175</v>
      </c>
      <c r="E53" s="385">
        <f t="shared" si="1"/>
        <v>29.8682027241356</v>
      </c>
      <c r="F53" s="385">
        <f t="shared" si="2"/>
        <v>29.983116479380318</v>
      </c>
      <c r="G53" s="110">
        <f t="shared" si="21"/>
        <v>1.0245257763407305</v>
      </c>
      <c r="H53" s="414" t="b">
        <f>Wh_hp&gt;='2024'!Maxi_hp</f>
        <v>1</v>
      </c>
      <c r="I53" s="390">
        <f>IF(H53,Wh_hp,'2024'!Maxi_hp)</f>
        <v>29.983116479380318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5.394685855476522E-2</v>
      </c>
      <c r="M53" s="844"/>
      <c r="N53" s="844"/>
      <c r="O53" s="48">
        <f>IF(t&lt;Tnet,'2024'!Resal+('2024'!Salim-'2024'!Resal)*(1-EXP(('2024'!Tnet-t)/('2024'!Tau_j))),Resal+(Salim-Resal)*(1-EXP((Tnet-t)/(Tau_j))))*Salcycl</f>
        <v>0.10054528958478991</v>
      </c>
      <c r="P53" s="169">
        <f>(INDEX(Models!$BJ53:$BT53,,T53)*(1-R53)+INDEX(Models!$BJ53:$BT53,,T53+1)*R53-ERP_i)*Q53*Ramure*Pc/MaxiM</f>
        <v>3.8326154428858254E-3</v>
      </c>
      <c r="Q53" s="305">
        <f t="shared" si="4"/>
        <v>0.7</v>
      </c>
      <c r="R53" s="177">
        <f t="shared" si="5"/>
        <v>0.20137814741096194</v>
      </c>
      <c r="S53" s="810">
        <f t="shared" si="6"/>
        <v>1</v>
      </c>
      <c r="T53" s="176">
        <f t="shared" si="7"/>
        <v>7</v>
      </c>
      <c r="U53" s="251">
        <f t="shared" si="8"/>
        <v>1.2013781474109619</v>
      </c>
      <c r="V53" s="383">
        <f t="shared" si="9"/>
        <v>24.807387676008396</v>
      </c>
      <c r="W53" s="402">
        <f t="shared" si="10"/>
        <v>25.415808117747972</v>
      </c>
      <c r="X53" s="157">
        <f t="shared" si="11"/>
        <v>45696</v>
      </c>
      <c r="Y53" s="385">
        <f t="shared" si="12"/>
        <v>24.117502752498876</v>
      </c>
      <c r="Z53" s="385">
        <f t="shared" si="22"/>
        <v>25.492756903334051</v>
      </c>
      <c r="AA53" s="386">
        <f t="shared" si="13"/>
        <v>29.8682027241356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0.14649176789154048</v>
      </c>
      <c r="AD53" s="231">
        <f>(INDEX(Models!$BJ53:$BT53,,AH53)*(1-AF53)+INDEX(Models!$BJ53:$BT53,,AH53+1)*AF53-ERP_i)*AE53*Ramure*Pc/MaxiM</f>
        <v>3.8326154428858254E-3</v>
      </c>
      <c r="AE53" s="305">
        <f t="shared" si="15"/>
        <v>0.7</v>
      </c>
      <c r="AF53" s="177">
        <f t="shared" si="23"/>
        <v>0.20137814741096194</v>
      </c>
      <c r="AG53" s="810">
        <f t="shared" si="24"/>
        <v>1</v>
      </c>
      <c r="AH53" s="176">
        <f t="shared" si="16"/>
        <v>7</v>
      </c>
      <c r="AI53" s="225">
        <f t="shared" si="17"/>
        <v>1.2013781474109619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25.489122038224309</v>
      </c>
      <c r="C54" s="840"/>
      <c r="D54" s="393">
        <f t="shared" si="0"/>
        <v>26.943217145493865</v>
      </c>
      <c r="E54" s="385">
        <f t="shared" si="1"/>
        <v>29.957998405025993</v>
      </c>
      <c r="F54" s="385">
        <f t="shared" si="2"/>
        <v>30.076215660223141</v>
      </c>
      <c r="G54" s="110">
        <f t="shared" si="21"/>
        <v>1.0150186423570313</v>
      </c>
      <c r="H54" s="414" t="b">
        <f>Wh_hp&gt;='2024'!Maxi_hp</f>
        <v>1</v>
      </c>
      <c r="I54" s="390">
        <f>IF(H54,Wh_hp,'2024'!Maxi_hp)</f>
        <v>30.076215660223141</v>
      </c>
      <c r="J54" s="85">
        <f>IF(H54,An,'2024'!An_max)</f>
        <v>2025</v>
      </c>
      <c r="K54" s="197">
        <f t="shared" si="3"/>
        <v>45697</v>
      </c>
      <c r="L54" s="147">
        <f>IF(t&lt;Tvie,1-EXP((T0-t)*PertePVj)+'2024'!Pspv,1-EXP((T0-t)*PertePVj)+Pspv)</f>
        <v>5.3968874593461336E-2</v>
      </c>
      <c r="M54" s="844"/>
      <c r="N54" s="844"/>
      <c r="O54" s="48">
        <f>IF(t&lt;Tnet,'2024'!Resal+('2024'!Salim-'2024'!Resal)*(1-EXP(('2024'!Tnet-t)/('2024'!Tau_j))),Resal+(Salim-Resal)*(1-EXP((Tnet-t)/(Tau_j))))*Salcycl</f>
        <v>0.10063360104279687</v>
      </c>
      <c r="P54" s="169">
        <f>(INDEX(Models!$BJ54:$BT54,,T54)*(1-R54)+INDEX(Models!$BJ54:$BT54,,T54+1)*R54-ERP_i)*Q54*Ramure*Pc/MaxiM</f>
        <v>3.9305894243037084E-3</v>
      </c>
      <c r="Q54" s="305">
        <f t="shared" si="4"/>
        <v>0.7</v>
      </c>
      <c r="R54" s="177">
        <f t="shared" si="5"/>
        <v>0.20148836857783481</v>
      </c>
      <c r="S54" s="810">
        <f t="shared" si="6"/>
        <v>1</v>
      </c>
      <c r="T54" s="176">
        <f t="shared" si="7"/>
        <v>7</v>
      </c>
      <c r="U54" s="251">
        <f t="shared" si="8"/>
        <v>1.2014883685778348</v>
      </c>
      <c r="V54" s="383">
        <f t="shared" si="9"/>
        <v>25.111974277669027</v>
      </c>
      <c r="W54" s="402">
        <f t="shared" si="10"/>
        <v>25.489122038224309</v>
      </c>
      <c r="X54" s="157">
        <f t="shared" si="11"/>
        <v>45697</v>
      </c>
      <c r="Y54" s="385">
        <f t="shared" si="12"/>
        <v>24.188353564544762</v>
      </c>
      <c r="Z54" s="385">
        <f t="shared" si="22"/>
        <v>25.568242856861907</v>
      </c>
      <c r="AA54" s="386">
        <f t="shared" si="13"/>
        <v>29.957998405025993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0.14653033519848321</v>
      </c>
      <c r="AD54" s="231">
        <f>(INDEX(Models!$BJ54:$BT54,,AH54)*(1-AF54)+INDEX(Models!$BJ54:$BT54,,AH54+1)*AF54-ERP_i)*AE54*Ramure*Pc/MaxiM</f>
        <v>3.9305894243037084E-3</v>
      </c>
      <c r="AE54" s="305">
        <f t="shared" si="15"/>
        <v>0.7</v>
      </c>
      <c r="AF54" s="177">
        <f t="shared" si="23"/>
        <v>0.20148836857783481</v>
      </c>
      <c r="AG54" s="810">
        <f t="shared" si="24"/>
        <v>1</v>
      </c>
      <c r="AH54" s="176">
        <f t="shared" si="16"/>
        <v>7</v>
      </c>
      <c r="AI54" s="225">
        <f t="shared" si="17"/>
        <v>1.2014883685778348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23.920829782505511</v>
      </c>
      <c r="C55" s="840"/>
      <c r="D55" s="393">
        <f t="shared" si="0"/>
        <v>25.286045908728177</v>
      </c>
      <c r="E55" s="385">
        <f t="shared" si="1"/>
        <v>28.11816039470612</v>
      </c>
      <c r="F55" s="385">
        <f t="shared" si="2"/>
        <v>28.22202331359204</v>
      </c>
      <c r="G55" s="110">
        <f t="shared" si="21"/>
        <v>0.94067640376782291</v>
      </c>
      <c r="H55" s="414" t="b">
        <f>Wh_hp&gt;='2024'!Maxi_hp</f>
        <v>0</v>
      </c>
      <c r="I55" s="390">
        <f>IF(H55,Wh_hp,'2024'!Maxi_hp)</f>
        <v>28.226702999052218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5.3990890119812063E-2</v>
      </c>
      <c r="M55" s="844"/>
      <c r="N55" s="844"/>
      <c r="O55" s="48">
        <f>IF(t&lt;Tnet,'2024'!Resal+('2024'!Salim-'2024'!Resal)*(1-EXP(('2024'!Tnet-t)/('2024'!Tau_j))),Resal+(Salim-Resal)*(1-EXP((Tnet-t)/(Tau_j))))*Salcycl</f>
        <v>0.10072189809796921</v>
      </c>
      <c r="P55" s="169">
        <f>(INDEX(Models!$BJ55:$BT55,,T55)*(1-R55)+INDEX(Models!$BJ55:$BT55,,T55+1)*R55-ERP_i)*Q55*Ramure*Pc/MaxiM</f>
        <v>4.0189708552976332E-3</v>
      </c>
      <c r="Q55" s="305">
        <f t="shared" si="4"/>
        <v>0.7</v>
      </c>
      <c r="R55" s="177">
        <f t="shared" si="5"/>
        <v>0.20160314882636476</v>
      </c>
      <c r="S55" s="810">
        <f t="shared" si="6"/>
        <v>1</v>
      </c>
      <c r="T55" s="176">
        <f t="shared" si="7"/>
        <v>7</v>
      </c>
      <c r="U55" s="251">
        <f t="shared" si="8"/>
        <v>1.2016031488263648</v>
      </c>
      <c r="V55" s="383">
        <f t="shared" si="9"/>
        <v>25.42074646277937</v>
      </c>
      <c r="W55" s="402">
        <f t="shared" si="10"/>
        <v>23.920829782505511</v>
      </c>
      <c r="X55" s="157">
        <f t="shared" si="11"/>
        <v>45698</v>
      </c>
      <c r="Y55" s="385">
        <f t="shared" si="12"/>
        <v>22.701295817470395</v>
      </c>
      <c r="Z55" s="385">
        <f t="shared" si="22"/>
        <v>23.996910368384839</v>
      </c>
      <c r="AA55" s="386">
        <f t="shared" si="13"/>
        <v>28.11816039470612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0.14656897778765068</v>
      </c>
      <c r="AD55" s="231">
        <f>(INDEX(Models!$BJ55:$BT55,,AH55)*(1-AF55)+INDEX(Models!$BJ55:$BT55,,AH55+1)*AF55-ERP_i)*AE55*Ramure*Pc/MaxiM</f>
        <v>4.0189708552976332E-3</v>
      </c>
      <c r="AE55" s="305">
        <f t="shared" si="15"/>
        <v>0.7</v>
      </c>
      <c r="AF55" s="177">
        <f t="shared" si="23"/>
        <v>0.20160314882636476</v>
      </c>
      <c r="AG55" s="810">
        <f t="shared" si="24"/>
        <v>1</v>
      </c>
      <c r="AH55" s="176">
        <f t="shared" si="16"/>
        <v>7</v>
      </c>
      <c r="AI55" s="225">
        <f t="shared" si="17"/>
        <v>1.2016031488263648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15.204452943277973</v>
      </c>
      <c r="C56" s="840"/>
      <c r="D56" s="393">
        <f t="shared" si="0"/>
        <v>16.072579663921267</v>
      </c>
      <c r="E56" s="385">
        <f t="shared" si="1"/>
        <v>17.874512283680147</v>
      </c>
      <c r="F56" s="385">
        <f t="shared" si="2"/>
        <v>17.904999771760355</v>
      </c>
      <c r="G56" s="110">
        <f t="shared" si="21"/>
        <v>0.58942682539714575</v>
      </c>
      <c r="H56" s="414" t="b">
        <f>Wh_hp&gt;='2024'!Maxi_hp</f>
        <v>0</v>
      </c>
      <c r="I56" s="390">
        <f>IF(H56,Wh_hp,'2024'!Maxi_hp)</f>
        <v>25.264298487786281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5.4012905133829392E-2</v>
      </c>
      <c r="M56" s="844"/>
      <c r="N56" s="844"/>
      <c r="O56" s="48">
        <f>IF(t&lt;Tnet,'2024'!Resal+('2024'!Salim-'2024'!Resal)*(1-EXP(('2024'!Tnet-t)/('2024'!Tau_j))),Resal+(Salim-Resal)*(1-EXP((Tnet-t)/(Tau_j))))*Salcycl</f>
        <v>0.1008101698754649</v>
      </c>
      <c r="P56" s="169">
        <f>(INDEX(Models!$BJ56:$BT56,,T56)*(1-R56)+INDEX(Models!$BJ56:$BT56,,T56+1)*R56-ERP_i)*Q56*Ramure*Pc/MaxiM</f>
        <v>4.0981179313565224E-3</v>
      </c>
      <c r="Q56" s="305">
        <f t="shared" si="4"/>
        <v>0.7</v>
      </c>
      <c r="R56" s="177">
        <f t="shared" si="5"/>
        <v>0.20172267391905363</v>
      </c>
      <c r="S56" s="810">
        <f t="shared" si="6"/>
        <v>1</v>
      </c>
      <c r="T56" s="176">
        <f t="shared" si="7"/>
        <v>7</v>
      </c>
      <c r="U56" s="251">
        <f t="shared" si="8"/>
        <v>1.2017226739190536</v>
      </c>
      <c r="V56" s="383">
        <f t="shared" si="9"/>
        <v>25.733423892454542</v>
      </c>
      <c r="W56" s="402">
        <f t="shared" si="10"/>
        <v>15.204452943277973</v>
      </c>
      <c r="X56" s="157">
        <f t="shared" si="11"/>
        <v>45699</v>
      </c>
      <c r="Y56" s="385">
        <f t="shared" si="12"/>
        <v>14.430060198692402</v>
      </c>
      <c r="Z56" s="385">
        <f t="shared" si="22"/>
        <v>15.253971515048873</v>
      </c>
      <c r="AA56" s="386">
        <f t="shared" si="13"/>
        <v>17.874512283680147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0.14660767952946555</v>
      </c>
      <c r="AD56" s="231">
        <f>(INDEX(Models!$BJ56:$BT56,,AH56)*(1-AF56)+INDEX(Models!$BJ56:$BT56,,AH56+1)*AF56-ERP_i)*AE56*Ramure*Pc/MaxiM</f>
        <v>4.0981179313565224E-3</v>
      </c>
      <c r="AE56" s="305">
        <f t="shared" si="15"/>
        <v>0.7</v>
      </c>
      <c r="AF56" s="177">
        <f t="shared" si="23"/>
        <v>0.20172267391905363</v>
      </c>
      <c r="AG56" s="810">
        <f t="shared" si="24"/>
        <v>1</v>
      </c>
      <c r="AH56" s="176">
        <f t="shared" si="16"/>
        <v>7</v>
      </c>
      <c r="AI56" s="225">
        <f t="shared" si="17"/>
        <v>1.2017226739190536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21.980902416577329</v>
      </c>
      <c r="C57" s="840"/>
      <c r="D57" s="393">
        <f t="shared" si="0"/>
        <v>23.236483959966275</v>
      </c>
      <c r="E57" s="385">
        <f t="shared" si="1"/>
        <v>25.844113832389422</v>
      </c>
      <c r="F57" s="385">
        <f t="shared" si="2"/>
        <v>25.928075967730145</v>
      </c>
      <c r="G57" s="110">
        <f t="shared" si="21"/>
        <v>0.84301811723474795</v>
      </c>
      <c r="H57" s="414" t="b">
        <f>Wh_hp&gt;='2024'!Maxi_hp</f>
        <v>0</v>
      </c>
      <c r="I57" s="390">
        <f>IF(H57,Wh_hp,'2024'!Maxi_hp)</f>
        <v>31.080312640486358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5.4034919635525092E-2</v>
      </c>
      <c r="M57" s="844"/>
      <c r="N57" s="844"/>
      <c r="O57" s="48">
        <f>IF(t&lt;Tnet,'2024'!Resal+('2024'!Salim-'2024'!Resal)*(1-EXP(('2024'!Tnet-t)/('2024'!Tau_j))),Resal+(Salim-Resal)*(1-EXP((Tnet-t)/(Tau_j))))*Salcycl</f>
        <v>0.10089840531328659</v>
      </c>
      <c r="P57" s="169">
        <f>(INDEX(Models!$BJ57:$BT57,,T57)*(1-R57)+INDEX(Models!$BJ57:$BT57,,T57+1)*R57-ERP_i)*Q57*Ramure*Pc/MaxiM</f>
        <v>4.1683831181704867E-3</v>
      </c>
      <c r="Q57" s="305">
        <f t="shared" si="4"/>
        <v>0.7</v>
      </c>
      <c r="R57" s="177">
        <f t="shared" si="5"/>
        <v>0.20184713694827194</v>
      </c>
      <c r="S57" s="810">
        <f t="shared" si="6"/>
        <v>1</v>
      </c>
      <c r="T57" s="176">
        <f t="shared" si="7"/>
        <v>7</v>
      </c>
      <c r="U57" s="251">
        <f t="shared" si="8"/>
        <v>1.2018471369482719</v>
      </c>
      <c r="V57" s="383">
        <f t="shared" si="9"/>
        <v>26.049726384704645</v>
      </c>
      <c r="W57" s="402">
        <f t="shared" si="10"/>
        <v>21.980902416577329</v>
      </c>
      <c r="X57" s="157">
        <f t="shared" si="11"/>
        <v>45700</v>
      </c>
      <c r="Y57" s="385">
        <f t="shared" si="12"/>
        <v>20.862471816717257</v>
      </c>
      <c r="Z57" s="385">
        <f t="shared" si="22"/>
        <v>22.054166955802497</v>
      </c>
      <c r="AA57" s="386">
        <f t="shared" si="13"/>
        <v>25.844113832389422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0.14664642406260925</v>
      </c>
      <c r="AD57" s="231">
        <f>(INDEX(Models!$BJ57:$BT57,,AH57)*(1-AF57)+INDEX(Models!$BJ57:$BT57,,AH57+1)*AF57-ERP_i)*AE57*Ramure*Pc/MaxiM</f>
        <v>4.1683831181704867E-3</v>
      </c>
      <c r="AE57" s="305">
        <f t="shared" si="15"/>
        <v>0.7</v>
      </c>
      <c r="AF57" s="177">
        <f t="shared" si="23"/>
        <v>0.20184713694827194</v>
      </c>
      <c r="AG57" s="810">
        <f t="shared" si="24"/>
        <v>1</v>
      </c>
      <c r="AH57" s="176">
        <f t="shared" si="16"/>
        <v>7</v>
      </c>
      <c r="AI57" s="225">
        <f t="shared" si="17"/>
        <v>1.2018471369482719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26.002127049055538</v>
      </c>
      <c r="C58" s="840"/>
      <c r="D58" s="393">
        <f t="shared" si="0"/>
        <v>27.488046557280946</v>
      </c>
      <c r="E58" s="385">
        <f t="shared" si="1"/>
        <v>30.575791587559994</v>
      </c>
      <c r="F58" s="385">
        <f t="shared" si="2"/>
        <v>30.702674250843632</v>
      </c>
      <c r="G58" s="110">
        <f t="shared" si="21"/>
        <v>0.98597645010028268</v>
      </c>
      <c r="H58" s="414" t="b">
        <f>Wh_hp&gt;='2024'!Maxi_hp</f>
        <v>0</v>
      </c>
      <c r="I58" s="390">
        <f>IF(H58,Wh_hp,'2024'!Maxi_hp)</f>
        <v>32.091869543727995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5.4056933624911263E-2</v>
      </c>
      <c r="M58" s="844"/>
      <c r="N58" s="844"/>
      <c r="O58" s="48">
        <f>IF(t&lt;Tnet,'2024'!Resal+('2024'!Salim-'2024'!Resal)*(1-EXP(('2024'!Tnet-t)/('2024'!Tau_j))),Resal+(Salim-Resal)*(1-EXP((Tnet-t)/(Tau_j))))*Salcycl</f>
        <v>0.10098659331310082</v>
      </c>
      <c r="P58" s="169">
        <f>(INDEX(Models!$BJ58:$BT58,,T58)*(1-R58)+INDEX(Models!$BJ58:$BT58,,T58+1)*R58-ERP_i)*Q58*Ramure*Pc/MaxiM</f>
        <v>4.2165987709660525E-3</v>
      </c>
      <c r="Q58" s="305">
        <f t="shared" si="4"/>
        <v>0.7</v>
      </c>
      <c r="R58" s="177">
        <f t="shared" si="5"/>
        <v>0.20197673860510323</v>
      </c>
      <c r="S58" s="810">
        <f t="shared" si="6"/>
        <v>1</v>
      </c>
      <c r="T58" s="176">
        <f t="shared" si="7"/>
        <v>7</v>
      </c>
      <c r="U58" s="251">
        <f t="shared" si="8"/>
        <v>1.2019767386051032</v>
      </c>
      <c r="V58" s="383">
        <f t="shared" si="9"/>
        <v>26.369731761068792</v>
      </c>
      <c r="W58" s="402">
        <f t="shared" si="10"/>
        <v>26.002127049055538</v>
      </c>
      <c r="X58" s="157">
        <f t="shared" si="11"/>
        <v>45701</v>
      </c>
      <c r="Y58" s="385">
        <f t="shared" si="12"/>
        <v>24.680388309073255</v>
      </c>
      <c r="Z58" s="385">
        <f t="shared" si="22"/>
        <v>26.090775635842441</v>
      </c>
      <c r="AA58" s="386">
        <f t="shared" si="13"/>
        <v>30.575791587559994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0.14668519501363686</v>
      </c>
      <c r="AD58" s="231">
        <f>(INDEX(Models!$BJ58:$BT58,,AH58)*(1-AF58)+INDEX(Models!$BJ58:$BT58,,AH58+1)*AF58-ERP_i)*AE58*Ramure*Pc/MaxiM</f>
        <v>4.2165987709660525E-3</v>
      </c>
      <c r="AE58" s="305">
        <f t="shared" si="15"/>
        <v>0.7</v>
      </c>
      <c r="AF58" s="177">
        <f t="shared" si="23"/>
        <v>0.20197673860510323</v>
      </c>
      <c r="AG58" s="810">
        <f t="shared" si="24"/>
        <v>1</v>
      </c>
      <c r="AH58" s="176">
        <f t="shared" si="16"/>
        <v>7</v>
      </c>
      <c r="AI58" s="225">
        <f t="shared" si="17"/>
        <v>1.2019767386051032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13.619046267120769</v>
      </c>
      <c r="C59" s="840"/>
      <c r="D59" s="393">
        <f t="shared" si="0"/>
        <v>14.397656364023568</v>
      </c>
      <c r="E59" s="385">
        <f t="shared" si="1"/>
        <v>16.016521874217016</v>
      </c>
      <c r="F59" s="385">
        <f t="shared" si="2"/>
        <v>16.036944285261104</v>
      </c>
      <c r="G59" s="110">
        <f t="shared" si="21"/>
        <v>0.50869002447721312</v>
      </c>
      <c r="H59" s="414" t="b">
        <f>Wh_hp&gt;='2024'!Maxi_hp</f>
        <v>0</v>
      </c>
      <c r="I59" s="390">
        <f>IF(H59,Wh_hp,'2024'!Maxi_hp)</f>
        <v>32.218134869509122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5.4078947101999675E-2</v>
      </c>
      <c r="M59" s="844"/>
      <c r="N59" s="844"/>
      <c r="O59" s="48">
        <f>IF(t&lt;Tnet,'2024'!Resal+('2024'!Salim-'2024'!Resal)*(1-EXP(('2024'!Tnet-t)/('2024'!Tau_j))),Resal+(Salim-Resal)*(1-EXP((Tnet-t)/(Tau_j))))*Salcycl</f>
        <v>0.10107472289595254</v>
      </c>
      <c r="P59" s="169">
        <f>(INDEX(Models!$BJ59:$BT59,,T59)*(1-R59)+INDEX(Models!$BJ59:$BT59,,T59+1)*R59-ERP_i)*Q59*Ramure*Pc/MaxiM</f>
        <v>4.2407103199860671E-3</v>
      </c>
      <c r="Q59" s="305">
        <f t="shared" si="4"/>
        <v>0.7</v>
      </c>
      <c r="R59" s="177">
        <f t="shared" si="5"/>
        <v>0.20211168745628871</v>
      </c>
      <c r="S59" s="810">
        <f t="shared" si="6"/>
        <v>1</v>
      </c>
      <c r="T59" s="176">
        <f t="shared" si="7"/>
        <v>7</v>
      </c>
      <c r="U59" s="251">
        <f t="shared" si="8"/>
        <v>1.2021116874562887</v>
      </c>
      <c r="V59" s="383">
        <f t="shared" si="9"/>
        <v>26.693237473034433</v>
      </c>
      <c r="W59" s="402">
        <f t="shared" si="10"/>
        <v>13.619046267120769</v>
      </c>
      <c r="X59" s="157">
        <f t="shared" si="11"/>
        <v>45702</v>
      </c>
      <c r="Y59" s="385">
        <f t="shared" si="12"/>
        <v>12.927443406511516</v>
      </c>
      <c r="Z59" s="385">
        <f t="shared" si="22"/>
        <v>13.666514099570946</v>
      </c>
      <c r="AA59" s="386">
        <f t="shared" si="13"/>
        <v>16.016521874217016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0.14672397622289343</v>
      </c>
      <c r="AD59" s="231">
        <f>(INDEX(Models!$BJ59:$BT59,,AH59)*(1-AF59)+INDEX(Models!$BJ59:$BT59,,AH59+1)*AF59-ERP_i)*AE59*Ramure*Pc/MaxiM</f>
        <v>4.2407103199860671E-3</v>
      </c>
      <c r="AE59" s="305">
        <f t="shared" si="15"/>
        <v>0.7</v>
      </c>
      <c r="AF59" s="177">
        <f t="shared" si="23"/>
        <v>0.20211168745628871</v>
      </c>
      <c r="AG59" s="810">
        <f t="shared" si="24"/>
        <v>1</v>
      </c>
      <c r="AH59" s="176">
        <f t="shared" si="16"/>
        <v>7</v>
      </c>
      <c r="AI59" s="225">
        <f t="shared" si="17"/>
        <v>1.2021116874562887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16.058987957046185</v>
      </c>
      <c r="C60" s="840"/>
      <c r="D60" s="393">
        <f t="shared" si="0"/>
        <v>16.977486263418051</v>
      </c>
      <c r="E60" s="385">
        <f t="shared" si="1"/>
        <v>18.888276930616005</v>
      </c>
      <c r="F60" s="385">
        <f t="shared" si="2"/>
        <v>18.922024955126172</v>
      </c>
      <c r="G60" s="110">
        <f t="shared" si="21"/>
        <v>0.59287432833213327</v>
      </c>
      <c r="H60" s="414" t="b">
        <f>Wh_hp&gt;='2024'!Maxi_hp</f>
        <v>0</v>
      </c>
      <c r="I60" s="390">
        <f>IF(H60,Wh_hp,'2024'!Maxi_hp)</f>
        <v>32.495097407012501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5.4100960066802317E-2</v>
      </c>
      <c r="M60" s="844"/>
      <c r="N60" s="844"/>
      <c r="O60" s="48">
        <f>IF(t&lt;Tnet,'2024'!Resal+('2024'!Salim-'2024'!Resal)*(1-EXP(('2024'!Tnet-t)/('2024'!Tau_j))),Resal+(Salim-Resal)*(1-EXP((Tnet-t)/(Tau_j))))*Salcycl</f>
        <v>0.10116278336118389</v>
      </c>
      <c r="P60" s="169">
        <f>(INDEX(Models!$BJ60:$BT60,,T60)*(1-R60)+INDEX(Models!$BJ60:$BT60,,T60+1)*R60-ERP_i)*Q60*Ramure*Pc/MaxiM</f>
        <v>4.2416285062020333E-3</v>
      </c>
      <c r="Q60" s="305">
        <f t="shared" si="4"/>
        <v>0.7</v>
      </c>
      <c r="R60" s="177">
        <f t="shared" si="5"/>
        <v>0.20225220022935297</v>
      </c>
      <c r="S60" s="810">
        <f t="shared" si="6"/>
        <v>1</v>
      </c>
      <c r="T60" s="176">
        <f t="shared" si="7"/>
        <v>7</v>
      </c>
      <c r="U60" s="251">
        <f t="shared" si="8"/>
        <v>1.202252200229353</v>
      </c>
      <c r="V60" s="383">
        <f t="shared" si="9"/>
        <v>27.019963774476093</v>
      </c>
      <c r="W60" s="402">
        <f t="shared" si="10"/>
        <v>16.058987957046185</v>
      </c>
      <c r="X60" s="157">
        <f t="shared" si="11"/>
        <v>45703</v>
      </c>
      <c r="Y60" s="385">
        <f t="shared" si="12"/>
        <v>15.244280540349061</v>
      </c>
      <c r="Z60" s="385">
        <f t="shared" si="22"/>
        <v>16.116181428226906</v>
      </c>
      <c r="AA60" s="386">
        <f t="shared" si="13"/>
        <v>18.888276930616005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0.14676275197425812</v>
      </c>
      <c r="AD60" s="231">
        <f>(INDEX(Models!$BJ60:$BT60,,AH60)*(1-AF60)+INDEX(Models!$BJ60:$BT60,,AH60+1)*AF60-ERP_i)*AE60*Ramure*Pc/MaxiM</f>
        <v>4.2416285062020333E-3</v>
      </c>
      <c r="AE60" s="305">
        <f t="shared" si="15"/>
        <v>0.7</v>
      </c>
      <c r="AF60" s="177">
        <f t="shared" si="23"/>
        <v>0.20225220022935297</v>
      </c>
      <c r="AG60" s="810">
        <f t="shared" si="24"/>
        <v>1</v>
      </c>
      <c r="AH60" s="176">
        <f t="shared" si="16"/>
        <v>7</v>
      </c>
      <c r="AI60" s="225">
        <f t="shared" si="17"/>
        <v>1.202252200229353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8.8391901693567778</v>
      </c>
      <c r="C61" s="840"/>
      <c r="D61" s="393">
        <f t="shared" si="0"/>
        <v>9.3449675936203302</v>
      </c>
      <c r="E61" s="385">
        <f t="shared" si="1"/>
        <v>10.397747473875711</v>
      </c>
      <c r="F61" s="385">
        <f t="shared" si="2"/>
        <v>10.399201533702668</v>
      </c>
      <c r="G61" s="110">
        <f t="shared" si="21"/>
        <v>0.32187335853691862</v>
      </c>
      <c r="H61" s="414" t="b">
        <f>Wh_hp&gt;='2024'!Maxi_hp</f>
        <v>0</v>
      </c>
      <c r="I61" s="390">
        <f>IF(H61,Wh_hp,'2024'!Maxi_hp)</f>
        <v>33.091277518761402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5.412297251933107E-2</v>
      </c>
      <c r="M61" s="844"/>
      <c r="N61" s="844"/>
      <c r="O61" s="48">
        <f>IF(t&lt;Tnet,'2024'!Resal+('2024'!Salim-'2024'!Resal)*(1-EXP(('2024'!Tnet-t)/('2024'!Tau_j))),Resal+(Salim-Resal)*(1-EXP((Tnet-t)/(Tau_j))))*Salcycl</f>
        <v>0.10125076444686555</v>
      </c>
      <c r="P61" s="169">
        <f>(INDEX(Models!$BJ61:$BT61,,T61)*(1-R61)+INDEX(Models!$BJ61:$BT61,,T61+1)*R61-ERP_i)*Q61*Ramure*Pc/MaxiM</f>
        <v>4.2202337161383573E-3</v>
      </c>
      <c r="Q61" s="305">
        <f t="shared" si="4"/>
        <v>0.7</v>
      </c>
      <c r="R61" s="177">
        <f t="shared" si="5"/>
        <v>0.20239850210598354</v>
      </c>
      <c r="S61" s="810">
        <f t="shared" si="6"/>
        <v>1</v>
      </c>
      <c r="T61" s="176">
        <f t="shared" si="7"/>
        <v>7</v>
      </c>
      <c r="U61" s="251">
        <f t="shared" si="8"/>
        <v>1.2023985021059835</v>
      </c>
      <c r="V61" s="383">
        <f t="shared" si="9"/>
        <v>27.349631077565807</v>
      </c>
      <c r="W61" s="402">
        <f t="shared" si="10"/>
        <v>8.8391901693567778</v>
      </c>
      <c r="X61" s="157">
        <f t="shared" si="11"/>
        <v>45704</v>
      </c>
      <c r="Y61" s="385">
        <f t="shared" si="12"/>
        <v>8.3911990480796188</v>
      </c>
      <c r="Z61" s="385">
        <f t="shared" si="22"/>
        <v>8.8713424729528185</v>
      </c>
      <c r="AA61" s="386">
        <f t="shared" si="13"/>
        <v>10.397747473875711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0.14680150722625054</v>
      </c>
      <c r="AD61" s="231">
        <f>(INDEX(Models!$BJ61:$BT61,,AH61)*(1-AF61)+INDEX(Models!$BJ61:$BT61,,AH61+1)*AF61-ERP_i)*AE61*Ramure*Pc/MaxiM</f>
        <v>4.2202337161383573E-3</v>
      </c>
      <c r="AE61" s="305">
        <f t="shared" si="15"/>
        <v>0.7</v>
      </c>
      <c r="AF61" s="177">
        <f t="shared" si="23"/>
        <v>0.20239850210598354</v>
      </c>
      <c r="AG61" s="810">
        <f t="shared" si="24"/>
        <v>1</v>
      </c>
      <c r="AH61" s="176">
        <f t="shared" si="16"/>
        <v>7</v>
      </c>
      <c r="AI61" s="225">
        <f t="shared" si="17"/>
        <v>1.2023985021059835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10.526958251674664</v>
      </c>
      <c r="C62" s="840"/>
      <c r="D62" s="393">
        <f t="shared" si="0"/>
        <v>11.129568568878629</v>
      </c>
      <c r="E62" s="385">
        <f t="shared" si="1"/>
        <v>12.384608116567582</v>
      </c>
      <c r="F62" s="385">
        <f t="shared" si="2"/>
        <v>12.390544410002548</v>
      </c>
      <c r="G62" s="110">
        <f t="shared" si="21"/>
        <v>0.37887519569978345</v>
      </c>
      <c r="H62" s="414" t="b">
        <f>Wh_hp&gt;='2024'!Maxi_hp</f>
        <v>0</v>
      </c>
      <c r="I62" s="390">
        <f>IF(H62,Wh_hp,'2024'!Maxi_hp)</f>
        <v>33.499351483700778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5.4144984459598033E-2</v>
      </c>
      <c r="M62" s="844"/>
      <c r="N62" s="844"/>
      <c r="O62" s="48">
        <f>IF(t&lt;Tnet,'2024'!Resal+('2024'!Salim-'2024'!Resal)*(1-EXP(('2024'!Tnet-t)/('2024'!Tau_j))),Resal+(Salim-Resal)*(1-EXP((Tnet-t)/(Tau_j))))*Salcycl</f>
        <v>0.10133865649006818</v>
      </c>
      <c r="P62" s="169">
        <f>(INDEX(Models!$BJ62:$BT62,,T62)*(1-R62)+INDEX(Models!$BJ62:$BT62,,T62+1)*R62-ERP_i)*Q62*Ramure*Pc/MaxiM</f>
        <v>4.1773746767098047E-3</v>
      </c>
      <c r="Q62" s="305">
        <f t="shared" si="4"/>
        <v>0.7</v>
      </c>
      <c r="R62" s="177">
        <f t="shared" si="5"/>
        <v>0.20255082702370864</v>
      </c>
      <c r="S62" s="810">
        <f t="shared" si="6"/>
        <v>1</v>
      </c>
      <c r="T62" s="176">
        <f t="shared" si="7"/>
        <v>7</v>
      </c>
      <c r="U62" s="251">
        <f t="shared" si="8"/>
        <v>1.2025508270237086</v>
      </c>
      <c r="V62" s="383">
        <f t="shared" si="9"/>
        <v>27.681959950518163</v>
      </c>
      <c r="W62" s="402">
        <f t="shared" si="10"/>
        <v>10.526958251674664</v>
      </c>
      <c r="X62" s="157">
        <f t="shared" si="11"/>
        <v>45705</v>
      </c>
      <c r="Y62" s="385">
        <f t="shared" si="12"/>
        <v>9.993950856322197</v>
      </c>
      <c r="Z62" s="385">
        <f t="shared" si="22"/>
        <v>10.566049438995979</v>
      </c>
      <c r="AA62" s="386">
        <f t="shared" si="13"/>
        <v>12.384608116567582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0.14684022784207576</v>
      </c>
      <c r="AD62" s="231">
        <f>(INDEX(Models!$BJ62:$BT62,,AH62)*(1-AF62)+INDEX(Models!$BJ62:$BT62,,AH62+1)*AF62-ERP_i)*AE62*Ramure*Pc/MaxiM</f>
        <v>4.1773746767098047E-3</v>
      </c>
      <c r="AE62" s="305">
        <f t="shared" si="15"/>
        <v>0.7</v>
      </c>
      <c r="AF62" s="177">
        <f t="shared" si="23"/>
        <v>0.20255082702370864</v>
      </c>
      <c r="AG62" s="810">
        <f t="shared" si="24"/>
        <v>1</v>
      </c>
      <c r="AH62" s="176">
        <f t="shared" si="16"/>
        <v>7</v>
      </c>
      <c r="AI62" s="225">
        <f t="shared" si="17"/>
        <v>1.2025508270237086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23.308435590917586</v>
      </c>
      <c r="C63" s="840"/>
      <c r="D63" s="393">
        <f t="shared" si="0"/>
        <v>24.64328849762579</v>
      </c>
      <c r="E63" s="385">
        <f t="shared" si="1"/>
        <v>27.424898622576396</v>
      </c>
      <c r="F63" s="385">
        <f t="shared" si="2"/>
        <v>27.51090426478267</v>
      </c>
      <c r="G63" s="110">
        <f t="shared" si="21"/>
        <v>0.83112455490709369</v>
      </c>
      <c r="H63" s="414" t="b">
        <f>Wh_hp&gt;='2024'!Maxi_hp</f>
        <v>0</v>
      </c>
      <c r="I63" s="390">
        <f>IF(H63,Wh_hp,'2024'!Maxi_hp)</f>
        <v>33.359346298317604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5.4166995887614866E-2</v>
      </c>
      <c r="M63" s="844"/>
      <c r="N63" s="844"/>
      <c r="O63" s="48">
        <f>IF(t&lt;Tnet,'2024'!Resal+('2024'!Salim-'2024'!Resal)*(1-EXP(('2024'!Tnet-t)/('2024'!Tau_j))),Resal+(Salim-Resal)*(1-EXP((Tnet-t)/(Tau_j))))*Salcycl</f>
        <v>0.10142645058533652</v>
      </c>
      <c r="P63" s="169">
        <f>(INDEX(Models!$BJ63:$BT63,,T63)*(1-R63)+INDEX(Models!$BJ63:$BT63,,T63+1)*R63-ERP_i)*Q63*Ramure*Pc/MaxiM</f>
        <v>4.1138674392181785E-3</v>
      </c>
      <c r="Q63" s="305">
        <f t="shared" si="4"/>
        <v>0.7</v>
      </c>
      <c r="R63" s="177">
        <f t="shared" si="5"/>
        <v>0.20270941798590725</v>
      </c>
      <c r="S63" s="810">
        <f t="shared" si="6"/>
        <v>1</v>
      </c>
      <c r="T63" s="176">
        <f t="shared" si="7"/>
        <v>7</v>
      </c>
      <c r="U63" s="251">
        <f t="shared" si="8"/>
        <v>1.2027094179859072</v>
      </c>
      <c r="V63" s="383">
        <f t="shared" si="9"/>
        <v>28.016671112607106</v>
      </c>
      <c r="W63" s="402">
        <f t="shared" si="10"/>
        <v>23.308435590917586</v>
      </c>
      <c r="X63" s="157">
        <f t="shared" si="11"/>
        <v>45706</v>
      </c>
      <c r="Y63" s="385">
        <f t="shared" si="12"/>
        <v>22.1294274737227</v>
      </c>
      <c r="Z63" s="385">
        <f t="shared" si="22"/>
        <v>23.396759657895434</v>
      </c>
      <c r="AA63" s="386">
        <f t="shared" si="13"/>
        <v>27.424898622576396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0.14687890081624466</v>
      </c>
      <c r="AD63" s="231">
        <f>(INDEX(Models!$BJ63:$BT63,,AH63)*(1-AF63)+INDEX(Models!$BJ63:$BT63,,AH63+1)*AF63-ERP_i)*AE63*Ramure*Pc/MaxiM</f>
        <v>4.1138674392181785E-3</v>
      </c>
      <c r="AE63" s="305">
        <f t="shared" si="15"/>
        <v>0.7</v>
      </c>
      <c r="AF63" s="177">
        <f t="shared" si="23"/>
        <v>0.20270941798590725</v>
      </c>
      <c r="AG63" s="810">
        <f t="shared" si="24"/>
        <v>1</v>
      </c>
      <c r="AH63" s="176">
        <f t="shared" si="16"/>
        <v>7</v>
      </c>
      <c r="AI63" s="225">
        <f t="shared" si="17"/>
        <v>1.2027094179859072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17.827227612573282</v>
      </c>
      <c r="C64" s="840"/>
      <c r="D64" s="393">
        <f t="shared" si="0"/>
        <v>18.848615358467846</v>
      </c>
      <c r="E64" s="385">
        <f t="shared" si="1"/>
        <v>20.978199180597798</v>
      </c>
      <c r="F64" s="385">
        <f t="shared" si="2"/>
        <v>21.017983862780387</v>
      </c>
      <c r="G64" s="110">
        <f t="shared" si="21"/>
        <v>0.62740250337355563</v>
      </c>
      <c r="H64" s="414" t="b">
        <f>Wh_hp&gt;='2024'!Maxi_hp</f>
        <v>0</v>
      </c>
      <c r="I64" s="390">
        <f>IF(H64,Wh_hp,'2024'!Maxi_hp)</f>
        <v>33.466194315132412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5.4189006803393669E-2</v>
      </c>
      <c r="M64" s="844"/>
      <c r="N64" s="844"/>
      <c r="O64" s="48">
        <f>IF(t&lt;Tnet,'2024'!Resal+('2024'!Salim-'2024'!Resal)*(1-EXP(('2024'!Tnet-t)/('2024'!Tau_j))),Resal+(Salim-Resal)*(1-EXP((Tnet-t)/(Tau_j))))*Salcycl</f>
        <v>0.1015141387397803</v>
      </c>
      <c r="P64" s="169">
        <f>(INDEX(Models!$BJ64:$BT64,,T64)*(1-R64)+INDEX(Models!$BJ64:$BT64,,T64+1)*R64-ERP_i)*Q64*Ramure*Pc/MaxiM</f>
        <v>4.030494613072355E-3</v>
      </c>
      <c r="Q64" s="305">
        <f t="shared" si="4"/>
        <v>0.7</v>
      </c>
      <c r="R64" s="177">
        <f t="shared" si="5"/>
        <v>0.20287452738015443</v>
      </c>
      <c r="S64" s="810">
        <f t="shared" si="6"/>
        <v>1</v>
      </c>
      <c r="T64" s="176">
        <f t="shared" si="7"/>
        <v>7</v>
      </c>
      <c r="U64" s="251">
        <f t="shared" si="8"/>
        <v>1.2028745273801544</v>
      </c>
      <c r="V64" s="383">
        <f t="shared" si="9"/>
        <v>28.353485427478979</v>
      </c>
      <c r="W64" s="402">
        <f t="shared" si="10"/>
        <v>17.827227612573282</v>
      </c>
      <c r="X64" s="157">
        <f t="shared" si="11"/>
        <v>45707</v>
      </c>
      <c r="Y64" s="385">
        <f t="shared" si="12"/>
        <v>16.926360555142889</v>
      </c>
      <c r="Z64" s="385">
        <f t="shared" si="22"/>
        <v>17.896134298392951</v>
      </c>
      <c r="AA64" s="386">
        <f t="shared" si="13"/>
        <v>20.978199180597798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0.14691751449549448</v>
      </c>
      <c r="AD64" s="231">
        <f>(INDEX(Models!$BJ64:$BT64,,AH64)*(1-AF64)+INDEX(Models!$BJ64:$BT64,,AH64+1)*AF64-ERP_i)*AE64*Ramure*Pc/MaxiM</f>
        <v>4.030494613072355E-3</v>
      </c>
      <c r="AE64" s="305">
        <f t="shared" si="15"/>
        <v>0.7</v>
      </c>
      <c r="AF64" s="177">
        <f t="shared" si="23"/>
        <v>0.20287452738015443</v>
      </c>
      <c r="AG64" s="810">
        <f t="shared" si="24"/>
        <v>1</v>
      </c>
      <c r="AH64" s="176">
        <f t="shared" si="16"/>
        <v>7</v>
      </c>
      <c r="AI64" s="225">
        <f t="shared" si="17"/>
        <v>1.2028745273801544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17.49541114071733</v>
      </c>
      <c r="C65" s="840"/>
      <c r="D65" s="393">
        <f t="shared" si="0"/>
        <v>18.498218375361922</v>
      </c>
      <c r="E65" s="385">
        <f t="shared" si="1"/>
        <v>20.59022002168081</v>
      </c>
      <c r="F65" s="385">
        <f t="shared" si="2"/>
        <v>20.626068556054783</v>
      </c>
      <c r="G65" s="110">
        <f t="shared" si="21"/>
        <v>0.60840262803454714</v>
      </c>
      <c r="H65" s="414" t="b">
        <f>Wh_hp&gt;='2024'!Maxi_hp</f>
        <v>0</v>
      </c>
      <c r="I65" s="390">
        <f>IF(H65,Wh_hp,'2024'!Maxi_hp)</f>
        <v>34.378402325425711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5.421101720694621E-2</v>
      </c>
      <c r="M65" s="844"/>
      <c r="N65" s="844"/>
      <c r="O65" s="48">
        <f>IF(t&lt;Tnet,'2024'!Resal+('2024'!Salim-'2024'!Resal)*(1-EXP(('2024'!Tnet-t)/('2024'!Tau_j))),Resal+(Salim-Resal)*(1-EXP((Tnet-t)/(Tau_j))))*Salcycl</f>
        <v>0.10160171402326344</v>
      </c>
      <c r="P65" s="169">
        <f>(INDEX(Models!$BJ65:$BT65,,T65)*(1-R65)+INDEX(Models!$BJ65:$BT65,,T65+1)*R65-ERP_i)*Q65*Ramure*Pc/MaxiM</f>
        <v>3.9278549156641614E-3</v>
      </c>
      <c r="Q65" s="305">
        <f t="shared" si="4"/>
        <v>0.7</v>
      </c>
      <c r="R65" s="177">
        <f t="shared" si="5"/>
        <v>0.20304641730488271</v>
      </c>
      <c r="S65" s="810">
        <f t="shared" si="6"/>
        <v>1</v>
      </c>
      <c r="T65" s="176">
        <f t="shared" si="7"/>
        <v>7</v>
      </c>
      <c r="U65" s="251">
        <f t="shared" si="8"/>
        <v>1.2030464173048827</v>
      </c>
      <c r="V65" s="383">
        <f t="shared" si="9"/>
        <v>28.693223177447578</v>
      </c>
      <c r="W65" s="402">
        <f t="shared" si="10"/>
        <v>17.49541114071733</v>
      </c>
      <c r="X65" s="157">
        <f t="shared" si="11"/>
        <v>45708</v>
      </c>
      <c r="Y65" s="385">
        <f t="shared" si="12"/>
        <v>16.612180483301916</v>
      </c>
      <c r="Z65" s="385">
        <f t="shared" si="22"/>
        <v>17.564362437637737</v>
      </c>
      <c r="AA65" s="386">
        <f t="shared" si="13"/>
        <v>20.59022002168081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0.14695605879184134</v>
      </c>
      <c r="AD65" s="231">
        <f>(INDEX(Models!$BJ65:$BT65,,AH65)*(1-AF65)+INDEX(Models!$BJ65:$BT65,,AH65+1)*AF65-ERP_i)*AE65*Ramure*Pc/MaxiM</f>
        <v>3.9278549156641614E-3</v>
      </c>
      <c r="AE65" s="305">
        <f t="shared" si="15"/>
        <v>0.7</v>
      </c>
      <c r="AF65" s="177">
        <f t="shared" si="23"/>
        <v>0.20304641730488271</v>
      </c>
      <c r="AG65" s="810">
        <f t="shared" si="24"/>
        <v>1</v>
      </c>
      <c r="AH65" s="176">
        <f t="shared" si="16"/>
        <v>7</v>
      </c>
      <c r="AI65" s="225">
        <f t="shared" si="17"/>
        <v>1.2030464173048827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19.081725354783263</v>
      </c>
      <c r="C66" s="840"/>
      <c r="D66" s="393">
        <f t="shared" si="0"/>
        <v>20.175926947669218</v>
      </c>
      <c r="E66" s="385">
        <f t="shared" si="1"/>
        <v>22.459850521524245</v>
      </c>
      <c r="F66" s="385">
        <f t="shared" si="2"/>
        <v>22.503590961221324</v>
      </c>
      <c r="G66" s="110">
        <f t="shared" si="21"/>
        <v>0.65593083549348719</v>
      </c>
      <c r="H66" s="414" t="b">
        <f>Wh_hp&gt;='2024'!Maxi_hp</f>
        <v>0</v>
      </c>
      <c r="I66" s="390">
        <f>IF(H66,Wh_hp,'2024'!Maxi_hp)</f>
        <v>33.562567282376634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5.4233027098284592E-2</v>
      </c>
      <c r="M66" s="844"/>
      <c r="N66" s="844"/>
      <c r="O66" s="48">
        <f>IF(t&lt;Tnet,'2024'!Resal+('2024'!Salim-'2024'!Resal)*(1-EXP(('2024'!Tnet-t)/('2024'!Tau_j))),Resal+(Salim-Resal)*(1-EXP((Tnet-t)/(Tau_j))))*Salcycl</f>
        <v>0.10168917071225583</v>
      </c>
      <c r="P66" s="169">
        <f>(INDEX(Models!$BJ66:$BT66,,T66)*(1-R66)+INDEX(Models!$BJ66:$BT66,,T66+1)*R66-ERP_i)*Q66*Ramure*Pc/MaxiM</f>
        <v>3.8094944541581435E-3</v>
      </c>
      <c r="Q66" s="305">
        <f t="shared" si="4"/>
        <v>0.7</v>
      </c>
      <c r="R66" s="177">
        <f t="shared" si="5"/>
        <v>0.2032253599043119</v>
      </c>
      <c r="S66" s="810">
        <f t="shared" si="6"/>
        <v>1</v>
      </c>
      <c r="T66" s="176">
        <f t="shared" si="7"/>
        <v>7</v>
      </c>
      <c r="U66" s="251">
        <f t="shared" si="8"/>
        <v>1.2032253599043119</v>
      </c>
      <c r="V66" s="383">
        <f t="shared" si="9"/>
        <v>29.036679767691144</v>
      </c>
      <c r="W66" s="402">
        <f t="shared" si="10"/>
        <v>19.081725354783263</v>
      </c>
      <c r="X66" s="157">
        <f t="shared" si="11"/>
        <v>45709</v>
      </c>
      <c r="Y66" s="385">
        <f t="shared" si="12"/>
        <v>18.119358758729135</v>
      </c>
      <c r="Z66" s="385">
        <f t="shared" si="22"/>
        <v>19.158375453878435</v>
      </c>
      <c r="AA66" s="386">
        <f t="shared" si="13"/>
        <v>22.459850521524245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0.14699452538572616</v>
      </c>
      <c r="AD66" s="231">
        <f>(INDEX(Models!$BJ66:$BT66,,AH66)*(1-AF66)+INDEX(Models!$BJ66:$BT66,,AH66+1)*AF66-ERP_i)*AE66*Ramure*Pc/MaxiM</f>
        <v>3.8094944541581435E-3</v>
      </c>
      <c r="AE66" s="305">
        <f t="shared" si="15"/>
        <v>0.7</v>
      </c>
      <c r="AF66" s="177">
        <f t="shared" si="23"/>
        <v>0.2032253599043119</v>
      </c>
      <c r="AG66" s="810">
        <f t="shared" si="24"/>
        <v>1</v>
      </c>
      <c r="AH66" s="176">
        <f t="shared" si="16"/>
        <v>7</v>
      </c>
      <c r="AI66" s="225">
        <f t="shared" si="17"/>
        <v>1.2032253599043119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27.851839495723645</v>
      </c>
      <c r="C67" s="840"/>
      <c r="D67" s="393">
        <f t="shared" si="0"/>
        <v>29.449630259710808</v>
      </c>
      <c r="E67" s="385">
        <f t="shared" si="1"/>
        <v>32.786528525277028</v>
      </c>
      <c r="F67" s="385">
        <f t="shared" si="2"/>
        <v>32.898712738641763</v>
      </c>
      <c r="G67" s="110">
        <f t="shared" si="21"/>
        <v>0.9476149851867306</v>
      </c>
      <c r="H67" s="414" t="b">
        <f>Wh_hp&gt;='2024'!Maxi_hp</f>
        <v>0</v>
      </c>
      <c r="I67" s="390">
        <f>IF(H67,Wh_hp,'2024'!Maxi_hp)</f>
        <v>34.11239789666849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5.4255036477420693E-2</v>
      </c>
      <c r="M67" s="844"/>
      <c r="N67" s="844"/>
      <c r="O67" s="48">
        <f>IF(t&lt;Tnet,'2024'!Resal+('2024'!Salim-'2024'!Resal)*(1-EXP(('2024'!Tnet-t)/('2024'!Tau_j))),Resal+(Salim-Resal)*(1-EXP((Tnet-t)/(Tau_j))))*Salcycl</f>
        <v>0.10177650442600575</v>
      </c>
      <c r="P67" s="169">
        <f>(INDEX(Models!$BJ67:$BT67,,T67)*(1-R67)+INDEX(Models!$BJ67:$BT67,,T67+1)*R67-ERP_i)*Q67*Ramure*Pc/MaxiM</f>
        <v>3.6843344110254637E-3</v>
      </c>
      <c r="Q67" s="305">
        <f t="shared" si="4"/>
        <v>0.7</v>
      </c>
      <c r="R67" s="177">
        <f t="shared" si="5"/>
        <v>0.20341163771156734</v>
      </c>
      <c r="S67" s="810">
        <f t="shared" si="6"/>
        <v>1</v>
      </c>
      <c r="T67" s="176">
        <f t="shared" si="7"/>
        <v>7</v>
      </c>
      <c r="U67" s="251">
        <f t="shared" si="8"/>
        <v>1.2034116377115673</v>
      </c>
      <c r="V67" s="383">
        <f t="shared" si="9"/>
        <v>29.383423364749511</v>
      </c>
      <c r="W67" s="402">
        <f t="shared" si="10"/>
        <v>27.851839495723645</v>
      </c>
      <c r="X67" s="157">
        <f t="shared" si="11"/>
        <v>45710</v>
      </c>
      <c r="Y67" s="385">
        <f t="shared" si="12"/>
        <v>26.448542774578012</v>
      </c>
      <c r="Z67" s="385">
        <f t="shared" si="22"/>
        <v>27.965829895690018</v>
      </c>
      <c r="AA67" s="386">
        <f t="shared" si="13"/>
        <v>32.786528525277028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0.14703290791736168</v>
      </c>
      <c r="AD67" s="231">
        <f>(INDEX(Models!$BJ67:$BT67,,AH67)*(1-AF67)+INDEX(Models!$BJ67:$BT67,,AH67+1)*AF67-ERP_i)*AE67*Ramure*Pc/MaxiM</f>
        <v>3.6843344110254637E-3</v>
      </c>
      <c r="AE67" s="305">
        <f t="shared" si="15"/>
        <v>0.7</v>
      </c>
      <c r="AF67" s="177">
        <f t="shared" si="23"/>
        <v>0.20341163771156734</v>
      </c>
      <c r="AG67" s="810">
        <f t="shared" si="24"/>
        <v>1</v>
      </c>
      <c r="AH67" s="176">
        <f t="shared" si="16"/>
        <v>7</v>
      </c>
      <c r="AI67" s="225">
        <f t="shared" si="17"/>
        <v>1.2034116377115673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28.063783569839455</v>
      </c>
      <c r="C68" s="840"/>
      <c r="D68" s="393">
        <f t="shared" si="0"/>
        <v>29.674423605439845</v>
      </c>
      <c r="E68" s="385">
        <f t="shared" si="1"/>
        <v>33.040000732968252</v>
      </c>
      <c r="F68" s="385">
        <f t="shared" si="2"/>
        <v>33.148318804432222</v>
      </c>
      <c r="G68" s="110">
        <f t="shared" si="21"/>
        <v>0.94358144601259564</v>
      </c>
      <c r="H68" s="414" t="b">
        <f>Wh_hp&gt;='2024'!Maxi_hp</f>
        <v>0</v>
      </c>
      <c r="I68" s="390">
        <f>IF(H68,Wh_hp,'2024'!Maxi_hp)</f>
        <v>35.162786198923072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5.4277045344366281E-2</v>
      </c>
      <c r="M68" s="844"/>
      <c r="N68" s="844"/>
      <c r="O68" s="48">
        <f>IF(t&lt;Tnet,'2024'!Resal+('2024'!Salim-'2024'!Resal)*(1-EXP(('2024'!Tnet-t)/('2024'!Tau_j))),Resal+(Salim-Resal)*(1-EXP((Tnet-t)/(Tau_j))))*Salcycl</f>
        <v>0.1018637122537996</v>
      </c>
      <c r="P68" s="169">
        <f>(INDEX(Models!$BJ68:$BT68,,T68)*(1-R68)+INDEX(Models!$BJ68:$BT68,,T68+1)*R68-ERP_i)*Q68*Ramure*Pc/MaxiM</f>
        <v>3.5526455470701952E-3</v>
      </c>
      <c r="Q68" s="305">
        <f t="shared" si="4"/>
        <v>0.7</v>
      </c>
      <c r="R68" s="177">
        <f t="shared" si="5"/>
        <v>0.20360554399986963</v>
      </c>
      <c r="S68" s="810">
        <f t="shared" si="6"/>
        <v>1</v>
      </c>
      <c r="T68" s="176">
        <f t="shared" si="7"/>
        <v>7</v>
      </c>
      <c r="U68" s="251">
        <f t="shared" si="8"/>
        <v>1.2036055439998696</v>
      </c>
      <c r="V68" s="383">
        <f t="shared" si="9"/>
        <v>29.733268109600317</v>
      </c>
      <c r="W68" s="402">
        <f t="shared" si="10"/>
        <v>28.063783569839455</v>
      </c>
      <c r="X68" s="157">
        <f t="shared" si="11"/>
        <v>45711</v>
      </c>
      <c r="Y68" s="385">
        <f t="shared" si="12"/>
        <v>26.65119927734332</v>
      </c>
      <c r="Z68" s="385">
        <f t="shared" si="22"/>
        <v>28.180768105652913</v>
      </c>
      <c r="AA68" s="386">
        <f t="shared" si="13"/>
        <v>33.040000732968252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0.14707120216455263</v>
      </c>
      <c r="AD68" s="231">
        <f>(INDEX(Models!$BJ68:$BT68,,AH68)*(1-AF68)+INDEX(Models!$BJ68:$BT68,,AH68+1)*AF68-ERP_i)*AE68*Ramure*Pc/MaxiM</f>
        <v>3.5526455470701952E-3</v>
      </c>
      <c r="AE68" s="305">
        <f t="shared" si="15"/>
        <v>0.7</v>
      </c>
      <c r="AF68" s="177">
        <f t="shared" si="23"/>
        <v>0.20360554399986963</v>
      </c>
      <c r="AG68" s="810">
        <f t="shared" si="24"/>
        <v>1</v>
      </c>
      <c r="AH68" s="176">
        <f t="shared" si="16"/>
        <v>7</v>
      </c>
      <c r="AI68" s="225">
        <f t="shared" si="17"/>
        <v>1.2036055439998696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17.214853174413662</v>
      </c>
      <c r="C69" s="840"/>
      <c r="D69" s="393">
        <f t="shared" si="0"/>
        <v>18.203273711155731</v>
      </c>
      <c r="E69" s="385">
        <f t="shared" si="1"/>
        <v>20.269795426215545</v>
      </c>
      <c r="F69" s="385">
        <f t="shared" si="2"/>
        <v>20.296744883290454</v>
      </c>
      <c r="G69" s="110">
        <f t="shared" si="21"/>
        <v>0.57099193619578092</v>
      </c>
      <c r="H69" s="414" t="b">
        <f>Wh_hp&gt;='2024'!Maxi_hp</f>
        <v>0</v>
      </c>
      <c r="I69" s="390">
        <f>IF(H69,Wh_hp,'2024'!Maxi_hp)</f>
        <v>36.637666820783267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5.4299053699133459E-2</v>
      </c>
      <c r="M69" s="844"/>
      <c r="N69" s="844"/>
      <c r="O69" s="48">
        <f>IF(t&lt;Tnet,'2024'!Resal+('2024'!Salim-'2024'!Resal)*(1-EXP(('2024'!Tnet-t)/('2024'!Tau_j))),Resal+(Salim-Resal)*(1-EXP((Tnet-t)/(Tau_j))))*Salcycl</f>
        <v>0.10195079287219229</v>
      </c>
      <c r="P69" s="169">
        <f>(INDEX(Models!$BJ69:$BT69,,T69)*(1-R69)+INDEX(Models!$BJ69:$BT69,,T69+1)*R69-ERP_i)*Q69*Ramure*Pc/MaxiM</f>
        <v>3.414705588649607E-3</v>
      </c>
      <c r="Q69" s="305">
        <f t="shared" si="4"/>
        <v>0.7</v>
      </c>
      <c r="R69" s="177">
        <f t="shared" si="5"/>
        <v>0.20380738314164426</v>
      </c>
      <c r="S69" s="810">
        <f t="shared" si="6"/>
        <v>1</v>
      </c>
      <c r="T69" s="176">
        <f t="shared" si="7"/>
        <v>7</v>
      </c>
      <c r="U69" s="251">
        <f t="shared" si="8"/>
        <v>1.2038073831416443</v>
      </c>
      <c r="V69" s="383">
        <f t="shared" si="9"/>
        <v>30.086027614744772</v>
      </c>
      <c r="W69" s="402">
        <f t="shared" si="10"/>
        <v>17.214853174413662</v>
      </c>
      <c r="X69" s="157">
        <f t="shared" si="11"/>
        <v>45712</v>
      </c>
      <c r="Y69" s="385">
        <f t="shared" si="12"/>
        <v>16.349200277087181</v>
      </c>
      <c r="Z69" s="385">
        <f t="shared" si="22"/>
        <v>17.287917857159282</v>
      </c>
      <c r="AA69" s="386">
        <f t="shared" si="13"/>
        <v>20.269795426215545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0.14710940620543753</v>
      </c>
      <c r="AD69" s="231">
        <f>(INDEX(Models!$BJ69:$BT69,,AH69)*(1-AF69)+INDEX(Models!$BJ69:$BT69,,AH69+1)*AF69-ERP_i)*AE69*Ramure*Pc/MaxiM</f>
        <v>3.414705588649607E-3</v>
      </c>
      <c r="AE69" s="305">
        <f t="shared" si="15"/>
        <v>0.7</v>
      </c>
      <c r="AF69" s="177">
        <f t="shared" si="23"/>
        <v>0.20380738314164426</v>
      </c>
      <c r="AG69" s="810">
        <f t="shared" si="24"/>
        <v>1</v>
      </c>
      <c r="AH69" s="176">
        <f t="shared" si="16"/>
        <v>7</v>
      </c>
      <c r="AI69" s="225">
        <f t="shared" si="17"/>
        <v>1.2038073831416443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27.680562647450468</v>
      </c>
      <c r="C70" s="840"/>
      <c r="D70" s="393">
        <f t="shared" si="0"/>
        <v>29.27057114392111</v>
      </c>
      <c r="E70" s="385">
        <f t="shared" si="1"/>
        <v>32.596660978523346</v>
      </c>
      <c r="F70" s="385">
        <f t="shared" si="2"/>
        <v>32.689728452953837</v>
      </c>
      <c r="G70" s="110">
        <f t="shared" si="21"/>
        <v>0.90891659177397111</v>
      </c>
      <c r="H70" s="414" t="b">
        <f>Wh_hp&gt;='2024'!Maxi_hp</f>
        <v>0</v>
      </c>
      <c r="I70" s="390">
        <f>IF(H70,Wh_hp,'2024'!Maxi_hp)</f>
        <v>35.339882745455832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5.4321061541733995E-2</v>
      </c>
      <c r="M70" s="844"/>
      <c r="N70" s="844"/>
      <c r="O70" s="48">
        <f>IF(t&lt;Tnet,'2024'!Resal+('2024'!Salim-'2024'!Resal)*(1-EXP(('2024'!Tnet-t)/('2024'!Tau_j))),Resal+(Salim-Resal)*(1-EXP((Tnet-t)/(Tau_j))))*Salcycl</f>
        <v>0.10203774665121886</v>
      </c>
      <c r="P70" s="169">
        <f>(INDEX(Models!$BJ70:$BT70,,T70)*(1-R70)+INDEX(Models!$BJ70:$BT70,,T70+1)*R70-ERP_i)*Q70*Ramure*Pc/MaxiM</f>
        <v>3.2707798210950645E-3</v>
      </c>
      <c r="Q70" s="305">
        <f t="shared" si="4"/>
        <v>0.7</v>
      </c>
      <c r="R70" s="177">
        <f t="shared" si="5"/>
        <v>0.20401747097535305</v>
      </c>
      <c r="S70" s="810">
        <f t="shared" si="6"/>
        <v>1</v>
      </c>
      <c r="T70" s="176">
        <f t="shared" si="7"/>
        <v>7</v>
      </c>
      <c r="U70" s="251">
        <f t="shared" si="8"/>
        <v>1.2040174709753531</v>
      </c>
      <c r="V70" s="383">
        <f t="shared" si="9"/>
        <v>30.44151552200201</v>
      </c>
      <c r="W70" s="402">
        <f t="shared" si="10"/>
        <v>27.680562647450468</v>
      </c>
      <c r="X70" s="157">
        <f t="shared" si="11"/>
        <v>45713</v>
      </c>
      <c r="Y70" s="385">
        <f t="shared" si="12"/>
        <v>26.290009850637095</v>
      </c>
      <c r="Z70" s="385">
        <f t="shared" si="22"/>
        <v>27.800143136842532</v>
      </c>
      <c r="AA70" s="386">
        <f t="shared" si="13"/>
        <v>32.596660978523346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0.1471475205647918</v>
      </c>
      <c r="AD70" s="231">
        <f>(INDEX(Models!$BJ70:$BT70,,AH70)*(1-AF70)+INDEX(Models!$BJ70:$BT70,,AH70+1)*AF70-ERP_i)*AE70*Ramure*Pc/MaxiM</f>
        <v>3.2707798210950645E-3</v>
      </c>
      <c r="AE70" s="305">
        <f t="shared" si="15"/>
        <v>0.7</v>
      </c>
      <c r="AF70" s="177">
        <f t="shared" si="23"/>
        <v>0.20401747097535305</v>
      </c>
      <c r="AG70" s="810">
        <f t="shared" si="24"/>
        <v>1</v>
      </c>
      <c r="AH70" s="176">
        <f t="shared" si="16"/>
        <v>7</v>
      </c>
      <c r="AI70" s="225">
        <f t="shared" si="17"/>
        <v>1.2040174709753531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31.667866630826875</v>
      </c>
      <c r="C71" s="840"/>
      <c r="D71" s="393">
        <f t="shared" si="0"/>
        <v>33.487690502155772</v>
      </c>
      <c r="E71" s="385">
        <f t="shared" si="1"/>
        <v>37.296588811394301</v>
      </c>
      <c r="F71" s="385">
        <f t="shared" si="2"/>
        <v>37.413360442633895</v>
      </c>
      <c r="G71" s="110">
        <f t="shared" si="21"/>
        <v>1.0281926607440854</v>
      </c>
      <c r="H71" s="414" t="b">
        <f>Wh_hp&gt;='2024'!Maxi_hp</f>
        <v>1</v>
      </c>
      <c r="I71" s="390">
        <f>IF(H71,Wh_hp,'2024'!Maxi_hp)</f>
        <v>37.413360442633895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5.4343068872179989E-2</v>
      </c>
      <c r="M71" s="844"/>
      <c r="N71" s="844"/>
      <c r="O71" s="48">
        <f>IF(t&lt;Tnet,'2024'!Resal+('2024'!Salim-'2024'!Resal)*(1-EXP(('2024'!Tnet-t)/('2024'!Tau_j))),Resal+(Salim-Resal)*(1-EXP((Tnet-t)/(Tau_j))))*Salcycl</f>
        <v>0.10212457574873152</v>
      </c>
      <c r="P71" s="169">
        <f>(INDEX(Models!$BJ71:$BT71,,T71)*(1-R71)+INDEX(Models!$BJ71:$BT71,,T71+1)*R71-ERP_i)*Q71*Ramure*Pc/MaxiM</f>
        <v>3.1211211678950374E-3</v>
      </c>
      <c r="Q71" s="305">
        <f t="shared" si="4"/>
        <v>0.7</v>
      </c>
      <c r="R71" s="177">
        <f t="shared" si="5"/>
        <v>0.20423613517980543</v>
      </c>
      <c r="S71" s="810">
        <f t="shared" si="6"/>
        <v>1</v>
      </c>
      <c r="T71" s="176">
        <f t="shared" si="7"/>
        <v>7</v>
      </c>
      <c r="U71" s="251">
        <f t="shared" si="8"/>
        <v>1.2042361351798054</v>
      </c>
      <c r="V71" s="383">
        <f t="shared" si="9"/>
        <v>30.79954549365231</v>
      </c>
      <c r="W71" s="402">
        <f t="shared" si="10"/>
        <v>31.667866630826875</v>
      </c>
      <c r="X71" s="157">
        <f t="shared" si="11"/>
        <v>45714</v>
      </c>
      <c r="Y71" s="385">
        <f t="shared" si="12"/>
        <v>30.078576143728355</v>
      </c>
      <c r="Z71" s="385">
        <f t="shared" si="22"/>
        <v>31.807069935875905</v>
      </c>
      <c r="AA71" s="386">
        <f t="shared" si="13"/>
        <v>37.296588811394301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0.1471855483427299</v>
      </c>
      <c r="AD71" s="231">
        <f>(INDEX(Models!$BJ71:$BT71,,AH71)*(1-AF71)+INDEX(Models!$BJ71:$BT71,,AH71+1)*AF71-ERP_i)*AE71*Ramure*Pc/MaxiM</f>
        <v>3.1211211678950374E-3</v>
      </c>
      <c r="AE71" s="305">
        <f t="shared" si="15"/>
        <v>0.7</v>
      </c>
      <c r="AF71" s="177">
        <f t="shared" si="23"/>
        <v>0.20423613517980543</v>
      </c>
      <c r="AG71" s="810">
        <f t="shared" si="24"/>
        <v>1</v>
      </c>
      <c r="AH71" s="176">
        <f t="shared" si="16"/>
        <v>7</v>
      </c>
      <c r="AI71" s="225">
        <f t="shared" si="17"/>
        <v>1.2042361351798054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25.93100324435262</v>
      </c>
      <c r="C72" s="840"/>
      <c r="D72" s="393">
        <f t="shared" si="0"/>
        <v>27.421790986925433</v>
      </c>
      <c r="E72" s="385">
        <f t="shared" si="1"/>
        <v>30.543701991454206</v>
      </c>
      <c r="F72" s="385">
        <f t="shared" si="2"/>
        <v>30.612937287981108</v>
      </c>
      <c r="G72" s="110">
        <f t="shared" si="21"/>
        <v>0.83160317505922698</v>
      </c>
      <c r="H72" s="414" t="b">
        <f>Wh_hp&gt;='2024'!Maxi_hp</f>
        <v>0</v>
      </c>
      <c r="I72" s="390">
        <f>IF(H72,Wh_hp,'2024'!Maxi_hp)</f>
        <v>37.047346489228502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5.4365075690483211E-2</v>
      </c>
      <c r="M72" s="844"/>
      <c r="N72" s="844"/>
      <c r="O72" s="48">
        <f>IF(t&lt;Tnet,'2024'!Resal+('2024'!Salim-'2024'!Resal)*(1-EXP(('2024'!Tnet-t)/('2024'!Tau_j))),Resal+(Salim-Resal)*(1-EXP((Tnet-t)/(Tau_j))))*Salcycl</f>
        <v>0.10221128419214703</v>
      </c>
      <c r="P72" s="169">
        <f>(INDEX(Models!$BJ72:$BT72,,T72)*(1-R72)+INDEX(Models!$BJ72:$BT72,,T72+1)*R72-ERP_i)*Q72*Ramure*Pc/MaxiM</f>
        <v>2.974728902339008E-3</v>
      </c>
      <c r="Q72" s="305">
        <f t="shared" si="4"/>
        <v>0.7</v>
      </c>
      <c r="R72" s="177">
        <f t="shared" si="5"/>
        <v>0.20446371565565347</v>
      </c>
      <c r="S72" s="810">
        <f t="shared" si="6"/>
        <v>1</v>
      </c>
      <c r="T72" s="176">
        <f t="shared" si="7"/>
        <v>7</v>
      </c>
      <c r="U72" s="251">
        <f t="shared" si="8"/>
        <v>1.2044637156556535</v>
      </c>
      <c r="V72" s="383">
        <f t="shared" si="9"/>
        <v>31.159657479851468</v>
      </c>
      <c r="W72" s="402">
        <f t="shared" si="10"/>
        <v>25.93100324435262</v>
      </c>
      <c r="X72" s="157">
        <f t="shared" si="11"/>
        <v>45715</v>
      </c>
      <c r="Y72" s="385">
        <f t="shared" si="12"/>
        <v>24.630906938433533</v>
      </c>
      <c r="Z72" s="385">
        <f t="shared" si="22"/>
        <v>26.046951424111704</v>
      </c>
      <c r="AA72" s="386">
        <f t="shared" si="13"/>
        <v>30.543701991454206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0.14722349532485102</v>
      </c>
      <c r="AD72" s="231">
        <f>(INDEX(Models!$BJ72:$BT72,,AH72)*(1-AF72)+INDEX(Models!$BJ72:$BT72,,AH72+1)*AF72-ERP_i)*AE72*Ramure*Pc/MaxiM</f>
        <v>2.974728902339008E-3</v>
      </c>
      <c r="AE72" s="305">
        <f t="shared" si="15"/>
        <v>0.7</v>
      </c>
      <c r="AF72" s="177">
        <f t="shared" si="23"/>
        <v>0.20446371565565347</v>
      </c>
      <c r="AG72" s="810">
        <f t="shared" si="24"/>
        <v>1</v>
      </c>
      <c r="AH72" s="176">
        <f t="shared" si="16"/>
        <v>7</v>
      </c>
      <c r="AI72" s="225">
        <f t="shared" si="17"/>
        <v>1.2044637156556535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26.926490453216214</v>
      </c>
      <c r="C73" s="840"/>
      <c r="D73" s="393">
        <f t="shared" si="0"/>
        <v>28.475171965788416</v>
      </c>
      <c r="E73" s="385">
        <f t="shared" si="1"/>
        <v>31.720067566141108</v>
      </c>
      <c r="F73" s="385">
        <f t="shared" si="2"/>
        <v>31.791626098957813</v>
      </c>
      <c r="G73" s="110">
        <f t="shared" si="21"/>
        <v>0.85372455930996083</v>
      </c>
      <c r="H73" s="414" t="b">
        <f>Wh_hp&gt;='2024'!Maxi_hp</f>
        <v>0</v>
      </c>
      <c r="I73" s="390">
        <f>IF(H73,Wh_hp,'2024'!Maxi_hp)</f>
        <v>31.801666100904498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5.438708199665554E-2</v>
      </c>
      <c r="M73" s="844"/>
      <c r="N73" s="844"/>
      <c r="O73" s="48">
        <f>IF(t&lt;Tnet,'2024'!Resal+('2024'!Salim-'2024'!Resal)*(1-EXP(('2024'!Tnet-t)/('2024'!Tau_j))),Resal+(Salim-Resal)*(1-EXP((Tnet-t)/(Tau_j))))*Salcycl</f>
        <v>0.10229787794703138</v>
      </c>
      <c r="P73" s="169">
        <f>(INDEX(Models!$BJ73:$BT73,,T73)*(1-R73)+INDEX(Models!$BJ73:$BT73,,T73+1)*R73-ERP_i)*Q73*Ramure*Pc/MaxiM</f>
        <v>2.8428607962495706E-3</v>
      </c>
      <c r="Q73" s="305">
        <f t="shared" si="4"/>
        <v>0.7</v>
      </c>
      <c r="R73" s="177">
        <f t="shared" si="5"/>
        <v>0.20470056491372346</v>
      </c>
      <c r="S73" s="810">
        <f t="shared" si="6"/>
        <v>1</v>
      </c>
      <c r="T73" s="176">
        <f t="shared" si="7"/>
        <v>7</v>
      </c>
      <c r="U73" s="251">
        <f t="shared" si="8"/>
        <v>1.2047005649137235</v>
      </c>
      <c r="V73" s="383">
        <f t="shared" si="9"/>
        <v>31.521307104765441</v>
      </c>
      <c r="W73" s="402">
        <f t="shared" si="10"/>
        <v>26.926490453216214</v>
      </c>
      <c r="X73" s="157">
        <f t="shared" si="11"/>
        <v>45716</v>
      </c>
      <c r="Y73" s="385">
        <f t="shared" si="12"/>
        <v>25.577814749179062</v>
      </c>
      <c r="Z73" s="385">
        <f t="shared" si="22"/>
        <v>27.048926957540356</v>
      </c>
      <c r="AA73" s="386">
        <f t="shared" si="13"/>
        <v>31.720067566141108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0.14726137007308446</v>
      </c>
      <c r="AD73" s="231">
        <f>(INDEX(Models!$BJ73:$BT73,,AH73)*(1-AF73)+INDEX(Models!$BJ73:$BT73,,AH73+1)*AF73-ERP_i)*AE73*Ramure*Pc/MaxiM</f>
        <v>2.8428607962495706E-3</v>
      </c>
      <c r="AE73" s="305">
        <f t="shared" si="15"/>
        <v>0.7</v>
      </c>
      <c r="AF73" s="177">
        <f t="shared" si="23"/>
        <v>0.20470056491372346</v>
      </c>
      <c r="AG73" s="810">
        <f t="shared" si="24"/>
        <v>1</v>
      </c>
      <c r="AH73" s="176">
        <f t="shared" si="16"/>
        <v>7</v>
      </c>
      <c r="AI73" s="225">
        <f t="shared" si="17"/>
        <v>1.2047005649137235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31.937781759283485</v>
      </c>
      <c r="C74" s="840"/>
      <c r="D74" s="393">
        <f t="shared" si="0"/>
        <v>33.77547451747779</v>
      </c>
      <c r="E74" s="385">
        <f t="shared" si="1"/>
        <v>37.627992650136775</v>
      </c>
      <c r="F74" s="385">
        <f t="shared" si="2"/>
        <v>37.730811639617201</v>
      </c>
      <c r="G74" s="110">
        <f t="shared" si="21"/>
        <v>1.0016771201596428</v>
      </c>
      <c r="H74" s="414" t="b">
        <f>Wh_hp&gt;='2024'!Maxi_hp</f>
        <v>1</v>
      </c>
      <c r="I74" s="390">
        <f>IF(H74,Wh_hp,'2024'!Maxi_hp)</f>
        <v>37.730811639617201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5.4409087790709076E-2</v>
      </c>
      <c r="M74" s="844"/>
      <c r="N74" s="844"/>
      <c r="O74" s="48">
        <f>IF(t&lt;Tnet,'2024'!Resal+('2024'!Salim-'2024'!Resal)*(1-EXP(('2024'!Tnet-t)/('2024'!Tau_j))),Resal+(Salim-Resal)*(1-EXP((Tnet-t)/(Tau_j))))*Salcycl</f>
        <v>0.10238436497209702</v>
      </c>
      <c r="P74" s="169">
        <f>(INDEX(Models!$BJ74:$BT74,,T74)*(1-R74)+INDEX(Models!$BJ74:$BT74,,T74+1)*R74-ERP_i)*Q74*Ramure*Pc/MaxiM</f>
        <v>2.7250669946487054E-3</v>
      </c>
      <c r="Q74" s="305">
        <f t="shared" si="4"/>
        <v>0.7</v>
      </c>
      <c r="R74" s="177">
        <f t="shared" si="5"/>
        <v>0.20494704846977063</v>
      </c>
      <c r="S74" s="810">
        <f t="shared" si="6"/>
        <v>1</v>
      </c>
      <c r="T74" s="176">
        <f t="shared" si="7"/>
        <v>7</v>
      </c>
      <c r="U74" s="251">
        <f t="shared" si="8"/>
        <v>1.2049470484697706</v>
      </c>
      <c r="V74" s="383">
        <f t="shared" si="9"/>
        <v>31.884307943654921</v>
      </c>
      <c r="W74" s="402">
        <f t="shared" si="10"/>
        <v>31.937781759283485</v>
      </c>
      <c r="X74" s="157">
        <f t="shared" si="11"/>
        <v>45717</v>
      </c>
      <c r="Y74" s="385">
        <f t="shared" si="12"/>
        <v>30.339681601724436</v>
      </c>
      <c r="Z74" s="385">
        <f t="shared" si="22"/>
        <v>32.08542003733772</v>
      </c>
      <c r="AA74" s="386">
        <f t="shared" si="13"/>
        <v>37.627992650136775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0.14729918399670225</v>
      </c>
      <c r="AD74" s="231">
        <f>(INDEX(Models!$BJ74:$BT74,,AH74)*(1-AF74)+INDEX(Models!$BJ74:$BT74,,AH74+1)*AF74-ERP_i)*AE74*Ramure*Pc/MaxiM</f>
        <v>2.7250669946487054E-3</v>
      </c>
      <c r="AE74" s="305">
        <f t="shared" si="15"/>
        <v>0.7</v>
      </c>
      <c r="AF74" s="177">
        <f t="shared" si="23"/>
        <v>0.20494704846977063</v>
      </c>
      <c r="AG74" s="810">
        <f t="shared" si="24"/>
        <v>1</v>
      </c>
      <c r="AH74" s="176">
        <f t="shared" si="16"/>
        <v>7</v>
      </c>
      <c r="AI74" s="225">
        <f t="shared" si="17"/>
        <v>1.2049470484697706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10.244834509406271</v>
      </c>
      <c r="C75" s="840"/>
      <c r="D75" s="393">
        <f t="shared" si="0"/>
        <v>10.834572112462094</v>
      </c>
      <c r="E75" s="385">
        <f t="shared" si="1"/>
        <v>12.071553295853564</v>
      </c>
      <c r="F75" s="385">
        <f t="shared" si="2"/>
        <v>12.072352641314257</v>
      </c>
      <c r="G75" s="110">
        <f t="shared" si="21"/>
        <v>0.31687268237562566</v>
      </c>
      <c r="H75" s="414" t="b">
        <f>Wh_hp&gt;='2024'!Maxi_hp</f>
        <v>0</v>
      </c>
      <c r="I75" s="390">
        <f>IF(H75,Wh_hp,'2024'!Maxi_hp)</f>
        <v>27.571693836230367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5.443109307265559E-2</v>
      </c>
      <c r="M75" s="844"/>
      <c r="N75" s="844"/>
      <c r="O75" s="48">
        <f>IF(t&lt;Tnet,'2024'!Resal+('2024'!Salim-'2024'!Resal)*(1-EXP(('2024'!Tnet-t)/('2024'!Tau_j))),Resal+(Salim-Resal)*(1-EXP((Tnet-t)/(Tau_j))))*Salcycl</f>
        <v>0.10247075526033228</v>
      </c>
      <c r="P75" s="169">
        <f>(INDEX(Models!$BJ75:$BT75,,T75)*(1-R75)+INDEX(Models!$BJ75:$BT75,,T75+1)*R75-ERP_i)*Q75*Ramure*Pc/MaxiM</f>
        <v>2.6209104918281335E-3</v>
      </c>
      <c r="Q75" s="305">
        <f t="shared" si="4"/>
        <v>0.7</v>
      </c>
      <c r="R75" s="177">
        <f t="shared" si="5"/>
        <v>0.20520354524517992</v>
      </c>
      <c r="S75" s="810">
        <f t="shared" si="6"/>
        <v>1</v>
      </c>
      <c r="T75" s="176">
        <f t="shared" si="7"/>
        <v>7</v>
      </c>
      <c r="U75" s="251">
        <f t="shared" si="8"/>
        <v>1.2052035452451799</v>
      </c>
      <c r="V75" s="383">
        <f t="shared" si="9"/>
        <v>32.248473568824103</v>
      </c>
      <c r="W75" s="402">
        <f t="shared" si="10"/>
        <v>10.244834509406271</v>
      </c>
      <c r="X75" s="157">
        <f t="shared" si="11"/>
        <v>45718</v>
      </c>
      <c r="Y75" s="385">
        <f t="shared" si="12"/>
        <v>9.7327099661181293</v>
      </c>
      <c r="Z75" s="385">
        <f t="shared" si="22"/>
        <v>10.292967434541469</v>
      </c>
      <c r="AA75" s="386">
        <f t="shared" si="13"/>
        <v>12.071553295853564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0.14733695140318182</v>
      </c>
      <c r="AD75" s="231">
        <f>(INDEX(Models!$BJ75:$BT75,,AH75)*(1-AF75)+INDEX(Models!$BJ75:$BT75,,AH75+1)*AF75-ERP_i)*AE75*Ramure*Pc/MaxiM</f>
        <v>2.6209104918281335E-3</v>
      </c>
      <c r="AE75" s="305">
        <f t="shared" si="15"/>
        <v>0.7</v>
      </c>
      <c r="AF75" s="177">
        <f t="shared" si="23"/>
        <v>0.20520354524517992</v>
      </c>
      <c r="AG75" s="810">
        <f t="shared" si="24"/>
        <v>1</v>
      </c>
      <c r="AH75" s="176">
        <f t="shared" si="16"/>
        <v>7</v>
      </c>
      <c r="AI75" s="225">
        <f t="shared" si="17"/>
        <v>1.2052035452451799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30.611854009411264</v>
      </c>
      <c r="C76" s="840"/>
      <c r="D76" s="393">
        <f t="shared" si="0"/>
        <v>32.374759982358306</v>
      </c>
      <c r="E76" s="385">
        <f t="shared" si="1"/>
        <v>36.074449494921048</v>
      </c>
      <c r="F76" s="385">
        <f t="shared" si="2"/>
        <v>36.157906719760597</v>
      </c>
      <c r="G76" s="110">
        <f t="shared" si="21"/>
        <v>0.9384131479692297</v>
      </c>
      <c r="H76" s="414" t="b">
        <f>Wh_hp&gt;='2024'!Maxi_hp</f>
        <v>0</v>
      </c>
      <c r="I76" s="390">
        <f>IF(H76,Wh_hp,'2024'!Maxi_hp)</f>
        <v>36.162203215099751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5.445309784250707E-2</v>
      </c>
      <c r="M76" s="844"/>
      <c r="N76" s="844"/>
      <c r="O76" s="48">
        <f>IF(t&lt;Tnet,'2024'!Resal+('2024'!Salim-'2024'!Resal)*(1-EXP(('2024'!Tnet-t)/('2024'!Tau_j))),Resal+(Salim-Resal)*(1-EXP((Tnet-t)/(Tau_j))))*Salcycl</f>
        <v>0.10255706086612972</v>
      </c>
      <c r="P76" s="169">
        <f>(INDEX(Models!$BJ76:$BT76,,T76)*(1-R76)+INDEX(Models!$BJ76:$BT76,,T76+1)*R76-ERP_i)*Q76*Ramure*Pc/MaxiM</f>
        <v>2.5299674067989198E-3</v>
      </c>
      <c r="Q76" s="305">
        <f t="shared" si="4"/>
        <v>0.7</v>
      </c>
      <c r="R76" s="177">
        <f t="shared" si="5"/>
        <v>0.20547044797306624</v>
      </c>
      <c r="S76" s="810">
        <f t="shared" si="6"/>
        <v>1</v>
      </c>
      <c r="T76" s="176">
        <f t="shared" si="7"/>
        <v>7</v>
      </c>
      <c r="U76" s="251">
        <f t="shared" si="8"/>
        <v>1.2054704479730662</v>
      </c>
      <c r="V76" s="383">
        <f t="shared" si="9"/>
        <v>32.613617546850286</v>
      </c>
      <c r="W76" s="402">
        <f t="shared" si="10"/>
        <v>30.611854009411264</v>
      </c>
      <c r="X76" s="157">
        <f t="shared" si="11"/>
        <v>45719</v>
      </c>
      <c r="Y76" s="385">
        <f t="shared" si="12"/>
        <v>29.083120932527272</v>
      </c>
      <c r="Z76" s="385">
        <f t="shared" si="22"/>
        <v>30.757988700684365</v>
      </c>
      <c r="AA76" s="386">
        <f t="shared" si="13"/>
        <v>36.074449494921048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0.14737468952880881</v>
      </c>
      <c r="AD76" s="231">
        <f>(INDEX(Models!$BJ76:$BT76,,AH76)*(1-AF76)+INDEX(Models!$BJ76:$BT76,,AH76+1)*AF76-ERP_i)*AE76*Ramure*Pc/MaxiM</f>
        <v>2.5299674067989198E-3</v>
      </c>
      <c r="AE76" s="305">
        <f t="shared" si="15"/>
        <v>0.7</v>
      </c>
      <c r="AF76" s="177">
        <f t="shared" si="23"/>
        <v>0.20547044797306624</v>
      </c>
      <c r="AG76" s="810">
        <f t="shared" si="24"/>
        <v>1</v>
      </c>
      <c r="AH76" s="176">
        <f t="shared" si="16"/>
        <v>7</v>
      </c>
      <c r="AI76" s="225">
        <f t="shared" si="17"/>
        <v>1.2054704479730662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3.6365883369384662</v>
      </c>
      <c r="C77" s="840"/>
      <c r="D77" s="393">
        <f t="shared" si="0"/>
        <v>3.8461053167572281</v>
      </c>
      <c r="E77" s="385">
        <f t="shared" si="1"/>
        <v>4.2860384273761243</v>
      </c>
      <c r="F77" s="385">
        <f t="shared" si="2"/>
        <v>4.2860384273761243</v>
      </c>
      <c r="G77" s="110">
        <f t="shared" si="21"/>
        <v>0.10999760983535026</v>
      </c>
      <c r="H77" s="414" t="b">
        <f>Wh_hp&gt;='2024'!Maxi_hp</f>
        <v>0</v>
      </c>
      <c r="I77" s="390">
        <f>IF(H77,Wh_hp,'2024'!Maxi_hp)</f>
        <v>30.44612113653443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5.4475102100275397E-2</v>
      </c>
      <c r="M77" s="844"/>
      <c r="N77" s="844"/>
      <c r="O77" s="48">
        <f>IF(t&lt;Tnet,'2024'!Resal+('2024'!Salim-'2024'!Resal)*(1-EXP(('2024'!Tnet-t)/('2024'!Tau_j))),Resal+(Salim-Resal)*(1-EXP((Tnet-t)/(Tau_j))))*Salcycl</f>
        <v>0.10264329591842215</v>
      </c>
      <c r="P77" s="169">
        <f>(INDEX(Models!$BJ77:$BT77,,T77)*(1-R77)+INDEX(Models!$BJ77:$BT77,,T77+1)*R77-ERP_i)*Q77*Ramure*Pc/MaxiM</f>
        <v>2.451827206620771E-3</v>
      </c>
      <c r="Q77" s="305">
        <f t="shared" si="4"/>
        <v>0.7</v>
      </c>
      <c r="R77" s="177">
        <f t="shared" si="5"/>
        <v>0.20574816360914472</v>
      </c>
      <c r="S77" s="810">
        <f t="shared" si="6"/>
        <v>1</v>
      </c>
      <c r="T77" s="176">
        <f t="shared" si="7"/>
        <v>7</v>
      </c>
      <c r="U77" s="251">
        <f t="shared" si="8"/>
        <v>1.2057481636091447</v>
      </c>
      <c r="V77" s="383">
        <f t="shared" si="9"/>
        <v>32.979553429795033</v>
      </c>
      <c r="W77" s="402">
        <f t="shared" si="10"/>
        <v>3.6365883369384662</v>
      </c>
      <c r="X77" s="157">
        <f t="shared" si="11"/>
        <v>45720</v>
      </c>
      <c r="Y77" s="385">
        <f t="shared" si="12"/>
        <v>3.4551589583276674</v>
      </c>
      <c r="Z77" s="385">
        <f t="shared" si="22"/>
        <v>3.6542231368021532</v>
      </c>
      <c r="AA77" s="386">
        <f t="shared" si="13"/>
        <v>4.2860384273761243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0.14741241854911757</v>
      </c>
      <c r="AD77" s="231">
        <f>(INDEX(Models!$BJ77:$BT77,,AH77)*(1-AF77)+INDEX(Models!$BJ77:$BT77,,AH77+1)*AF77-ERP_i)*AE77*Ramure*Pc/MaxiM</f>
        <v>2.451827206620771E-3</v>
      </c>
      <c r="AE77" s="305">
        <f t="shared" si="15"/>
        <v>0.7</v>
      </c>
      <c r="AF77" s="177">
        <f t="shared" si="23"/>
        <v>0.20574816360914472</v>
      </c>
      <c r="AG77" s="810">
        <f t="shared" si="24"/>
        <v>1</v>
      </c>
      <c r="AH77" s="176">
        <f t="shared" si="16"/>
        <v>7</v>
      </c>
      <c r="AI77" s="225">
        <f t="shared" si="17"/>
        <v>1.2057481636091447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12.736938234106823</v>
      </c>
      <c r="C78" s="840"/>
      <c r="D78" s="393">
        <f t="shared" si="0"/>
        <v>13.47107270941035</v>
      </c>
      <c r="E78" s="385">
        <f t="shared" si="1"/>
        <v>15.013390452931285</v>
      </c>
      <c r="F78" s="385">
        <f t="shared" si="2"/>
        <v>15.017586125007977</v>
      </c>
      <c r="G78" s="110">
        <f t="shared" si="21"/>
        <v>0.38115700824893345</v>
      </c>
      <c r="H78" s="414" t="b">
        <f>Wh_hp&gt;='2024'!Maxi_hp</f>
        <v>0</v>
      </c>
      <c r="I78" s="390">
        <f>IF(H78,Wh_hp,'2024'!Maxi_hp)</f>
        <v>38.571800708819332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5.4497105845972449E-2</v>
      </c>
      <c r="M78" s="844"/>
      <c r="N78" s="844"/>
      <c r="O78" s="48">
        <f>IF(t&lt;Tnet,'2024'!Resal+('2024'!Salim-'2024'!Resal)*(1-EXP(('2024'!Tnet-t)/('2024'!Tau_j))),Resal+(Salim-Resal)*(1-EXP((Tnet-t)/(Tau_j))))*Salcycl</f>
        <v>0.10272947661997321</v>
      </c>
      <c r="P78" s="169">
        <f>(INDEX(Models!$BJ78:$BT78,,T78)*(1-R78)+INDEX(Models!$BJ78:$BT78,,T78+1)*R78-ERP_i)*Q78*Ramure*Pc/MaxiM</f>
        <v>2.38609288357049E-3</v>
      </c>
      <c r="Q78" s="305">
        <f t="shared" si="4"/>
        <v>0.7</v>
      </c>
      <c r="R78" s="177">
        <f t="shared" si="5"/>
        <v>0.20603711374666123</v>
      </c>
      <c r="S78" s="810">
        <f t="shared" si="6"/>
        <v>1</v>
      </c>
      <c r="T78" s="176">
        <f t="shared" si="7"/>
        <v>7</v>
      </c>
      <c r="U78" s="251">
        <f t="shared" si="8"/>
        <v>1.2060371137466612</v>
      </c>
      <c r="V78" s="383">
        <f t="shared" si="9"/>
        <v>33.346094754334068</v>
      </c>
      <c r="W78" s="402">
        <f t="shared" si="10"/>
        <v>12.736938234106823</v>
      </c>
      <c r="X78" s="157">
        <f t="shared" si="11"/>
        <v>45721</v>
      </c>
      <c r="Y78" s="385">
        <f t="shared" si="12"/>
        <v>12.102118982669825</v>
      </c>
      <c r="Z78" s="385">
        <f t="shared" si="22"/>
        <v>12.799663604941145</v>
      </c>
      <c r="AA78" s="386">
        <f t="shared" si="13"/>
        <v>15.013390452931285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0.1474501615694622</v>
      </c>
      <c r="AD78" s="231">
        <f>(INDEX(Models!$BJ78:$BT78,,AH78)*(1-AF78)+INDEX(Models!$BJ78:$BT78,,AH78+1)*AF78-ERP_i)*AE78*Ramure*Pc/MaxiM</f>
        <v>2.38609288357049E-3</v>
      </c>
      <c r="AE78" s="305">
        <f t="shared" si="15"/>
        <v>0.7</v>
      </c>
      <c r="AF78" s="177">
        <f t="shared" si="23"/>
        <v>0.20603711374666123</v>
      </c>
      <c r="AG78" s="810">
        <f t="shared" si="24"/>
        <v>1</v>
      </c>
      <c r="AH78" s="176">
        <f t="shared" si="16"/>
        <v>7</v>
      </c>
      <c r="AI78" s="225">
        <f t="shared" si="17"/>
        <v>1.2060371137466612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15.02350615525966</v>
      </c>
      <c r="C79" s="840"/>
      <c r="D79" s="393">
        <f t="shared" ref="D79:D142" si="25">Wh/(1-Ppv)</f>
        <v>15.889804119293039</v>
      </c>
      <c r="E79" s="385">
        <f t="shared" si="1"/>
        <v>17.710745411252255</v>
      </c>
      <c r="F79" s="385">
        <f t="shared" ref="F79:F142" si="26">Wh_sa/(1-Pvg*MEDIAN((-Sdif+Wh/Env_an)/Csdif,0,1))</f>
        <v>17.719342490181919</v>
      </c>
      <c r="G79" s="110">
        <f t="shared" si="21"/>
        <v>0.44479377892251298</v>
      </c>
      <c r="H79" s="414" t="b">
        <f>Wh_hp&gt;='2024'!Maxi_hp</f>
        <v>0</v>
      </c>
      <c r="I79" s="390">
        <f>IF(H79,Wh_hp,'2024'!Maxi_hp)</f>
        <v>22.950602771895554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5.4519109079610328E-2</v>
      </c>
      <c r="M79" s="844"/>
      <c r="N79" s="844"/>
      <c r="O79" s="48">
        <f>IF(t&lt;Tnet,'2024'!Resal+('2024'!Salim-'2024'!Resal)*(1-EXP(('2024'!Tnet-t)/('2024'!Tau_j))),Resal+(Salim-Resal)*(1-EXP((Tnet-t)/(Tau_j))))*Salcycl</f>
        <v>0.1028156212331022</v>
      </c>
      <c r="P79" s="169">
        <f>(INDEX(Models!$BJ79:$BT79,,T79)*(1-R79)+INDEX(Models!$BJ79:$BT79,,T79+1)*R79-ERP_i)*Q79*Ramure*Pc/MaxiM</f>
        <v>2.3323213510516323E-3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0.20633773503457986</v>
      </c>
      <c r="S79" s="810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1.2063377350345799</v>
      </c>
      <c r="V79" s="383">
        <f t="shared" ref="V79:V142" si="33">MaxiM*(1-Ppv)*(1-Pvg)*(1-Psa)</f>
        <v>33.713920614285975</v>
      </c>
      <c r="W79" s="402">
        <f t="shared" ref="W79:W142" si="34">Wh*(A79&gt;Tmaj)</f>
        <v>15.02350615525966</v>
      </c>
      <c r="X79" s="157">
        <f t="shared" ref="X79:X142" si="35">t</f>
        <v>45722</v>
      </c>
      <c r="Y79" s="385">
        <f t="shared" ref="Y79:Y142" si="36">Wh_pvt_s*(1-Ppv)</f>
        <v>14.275460445928793</v>
      </c>
      <c r="Z79" s="385">
        <f t="shared" ref="Z79:Z142" si="37">Wh_sa_s*(1-Psa_s)</f>
        <v>15.098623973280068</v>
      </c>
      <c r="AA79" s="386">
        <f t="shared" ref="AA79:AA142" si="38">Wh_hp*(1-Pvg_s*MEDIAN((-Sdif+Wh/Env_an)/Csdif,0,1))</f>
        <v>17.710745411252255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0.14748794459620063</v>
      </c>
      <c r="AD79" s="231">
        <f>(INDEX(Models!$BJ79:$BT79,,AH79)*(1-AF79)+INDEX(Models!$BJ79:$BT79,,AH79+1)*AF79-ERP_i)*AE79*Ramure*Pc/MaxiM</f>
        <v>2.3323213510516323E-3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0.20633773503457986</v>
      </c>
      <c r="AG79" s="810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1.2063377350345799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32.739276573465261</v>
      </c>
      <c r="C80" s="840"/>
      <c r="D80" s="393">
        <f t="shared" si="25"/>
        <v>34.627921935174882</v>
      </c>
      <c r="E80" s="385">
        <f t="shared" ref="E80:E143" si="47">Wh_pvt/(1-Psa)</f>
        <v>38.599921399012466</v>
      </c>
      <c r="F80" s="385">
        <f t="shared" si="26"/>
        <v>38.683564933002991</v>
      </c>
      <c r="G80" s="110">
        <f t="shared" ref="G80:G143" si="48">+Wh_hp/MaxiM</f>
        <v>0.96043190220715768</v>
      </c>
      <c r="H80" s="414" t="b">
        <f>Wh_hp&gt;='2024'!Maxi_hp</f>
        <v>0</v>
      </c>
      <c r="I80" s="390">
        <f>IF(H80,Wh_hp,'2024'!Maxi_hp)</f>
        <v>38.686228765533436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5.4541111801200692E-2</v>
      </c>
      <c r="M80" s="844"/>
      <c r="N80" s="844"/>
      <c r="O80" s="48">
        <f>IF(t&lt;Tnet,'2024'!Resal+('2024'!Salim-'2024'!Resal)*(1-EXP(('2024'!Tnet-t)/('2024'!Tau_j))),Resal+(Salim-Resal)*(1-EXP((Tnet-t)/(Tau_j))))*Salcycl</f>
        <v>0.10290175005224766</v>
      </c>
      <c r="P80" s="169">
        <f>(INDEX(Models!$BJ80:$BT80,,T80)*(1-R80)+INDEX(Models!$BJ80:$BT80,,T80+1)*R80-ERP_i)*Q80*Ramure*Pc/MaxiM</f>
        <v>2.2913643672570292E-3</v>
      </c>
      <c r="Q80" s="305">
        <f t="shared" si="28"/>
        <v>0.7</v>
      </c>
      <c r="R80" s="177">
        <f t="shared" si="29"/>
        <v>0.20665047959812832</v>
      </c>
      <c r="S80" s="810">
        <f t="shared" si="30"/>
        <v>1</v>
      </c>
      <c r="T80" s="176">
        <f t="shared" si="31"/>
        <v>7</v>
      </c>
      <c r="U80" s="251">
        <f t="shared" si="32"/>
        <v>1.2066504795981283</v>
      </c>
      <c r="V80" s="383">
        <f t="shared" si="33"/>
        <v>34.083666133691175</v>
      </c>
      <c r="W80" s="402">
        <f t="shared" si="34"/>
        <v>32.739276573465261</v>
      </c>
      <c r="X80" s="157">
        <f t="shared" si="35"/>
        <v>45723</v>
      </c>
      <c r="Y80" s="385">
        <f t="shared" si="36"/>
        <v>31.110738118273762</v>
      </c>
      <c r="Z80" s="385">
        <f t="shared" si="37"/>
        <v>32.905437250204564</v>
      </c>
      <c r="AA80" s="386">
        <f t="shared" si="38"/>
        <v>38.599921399012466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0.14752579648915015</v>
      </c>
      <c r="AD80" s="231">
        <f>(INDEX(Models!$BJ80:$BT80,,AH80)*(1-AF80)+INDEX(Models!$BJ80:$BT80,,AH80+1)*AF80-ERP_i)*AE80*Ramure*Pc/MaxiM</f>
        <v>2.2913643672570292E-3</v>
      </c>
      <c r="AE80" s="305">
        <f t="shared" si="40"/>
        <v>0.7</v>
      </c>
      <c r="AF80" s="177">
        <f t="shared" si="41"/>
        <v>0.20665047959812832</v>
      </c>
      <c r="AG80" s="810">
        <f t="shared" ref="AG80:AG143" si="49">INDEX(Echel_vg,AH80)</f>
        <v>1</v>
      </c>
      <c r="AH80" s="176">
        <f t="shared" si="42"/>
        <v>7</v>
      </c>
      <c r="AI80" s="225">
        <f t="shared" si="43"/>
        <v>1.2066504795981283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25.891405626020664</v>
      </c>
      <c r="C81" s="840"/>
      <c r="D81" s="393">
        <f t="shared" si="25"/>
        <v>27.385652082877602</v>
      </c>
      <c r="E81" s="385">
        <f t="shared" si="47"/>
        <v>30.52985755268995</v>
      </c>
      <c r="F81" s="385">
        <f t="shared" si="26"/>
        <v>30.574427885134103</v>
      </c>
      <c r="G81" s="110">
        <f t="shared" si="48"/>
        <v>0.750846688086938</v>
      </c>
      <c r="H81" s="414" t="b">
        <f>Wh_hp&gt;='2024'!Maxi_hp</f>
        <v>0</v>
      </c>
      <c r="I81" s="390">
        <f>IF(H81,Wh_hp,'2024'!Maxi_hp)</f>
        <v>30.587494288179425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5.4563114010755642E-2</v>
      </c>
      <c r="M81" s="844"/>
      <c r="N81" s="844"/>
      <c r="O81" s="48">
        <f>IF(t&lt;Tnet,'2024'!Resal+('2024'!Salim-'2024'!Resal)*(1-EXP(('2024'!Tnet-t)/('2024'!Tau_j))),Resal+(Salim-Resal)*(1-EXP((Tnet-t)/(Tau_j))))*Salcycl</f>
        <v>0.10298788536389079</v>
      </c>
      <c r="P81" s="169">
        <f>(INDEX(Models!$BJ81:$BT81,,T81)*(1-R81)+INDEX(Models!$BJ81:$BT81,,T81+1)*R81-ERP_i)*Q81*Ramure*Pc/MaxiM</f>
        <v>2.2603478168330025E-3</v>
      </c>
      <c r="Q81" s="305">
        <f t="shared" si="28"/>
        <v>0.7</v>
      </c>
      <c r="R81" s="177">
        <f t="shared" si="29"/>
        <v>0.20697581546069621</v>
      </c>
      <c r="S81" s="810">
        <f t="shared" si="30"/>
        <v>1</v>
      </c>
      <c r="T81" s="176">
        <f t="shared" si="31"/>
        <v>7</v>
      </c>
      <c r="U81" s="251">
        <f t="shared" si="32"/>
        <v>1.2069758154606962</v>
      </c>
      <c r="V81" s="383">
        <f t="shared" si="33"/>
        <v>34.455229947724192</v>
      </c>
      <c r="W81" s="402">
        <f t="shared" si="34"/>
        <v>25.891405626020664</v>
      </c>
      <c r="X81" s="157">
        <f t="shared" si="35"/>
        <v>45724</v>
      </c>
      <c r="Y81" s="385">
        <f t="shared" si="36"/>
        <v>24.604765518253902</v>
      </c>
      <c r="Z81" s="385">
        <f t="shared" si="37"/>
        <v>26.024757318950019</v>
      </c>
      <c r="AA81" s="386">
        <f t="shared" si="38"/>
        <v>30.52985755268995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0.14756374889613569</v>
      </c>
      <c r="AD81" s="231">
        <f>(INDEX(Models!$BJ81:$BT81,,AH81)*(1-AF81)+INDEX(Models!$BJ81:$BT81,,AH81+1)*AF81-ERP_i)*AE81*Ramure*Pc/MaxiM</f>
        <v>2.2603478168330025E-3</v>
      </c>
      <c r="AE81" s="305">
        <f t="shared" si="40"/>
        <v>0.7</v>
      </c>
      <c r="AF81" s="177">
        <f t="shared" si="41"/>
        <v>0.20697581546069621</v>
      </c>
      <c r="AG81" s="810">
        <f t="shared" si="49"/>
        <v>1</v>
      </c>
      <c r="AH81" s="176">
        <f t="shared" si="42"/>
        <v>7</v>
      </c>
      <c r="AI81" s="225">
        <f t="shared" si="43"/>
        <v>1.2069758154606962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27.574445031346773</v>
      </c>
      <c r="C82" s="840"/>
      <c r="D82" s="393">
        <f t="shared" si="25"/>
        <v>29.166501913078115</v>
      </c>
      <c r="E82" s="385">
        <f t="shared" si="47"/>
        <v>32.518294245387565</v>
      </c>
      <c r="F82" s="385">
        <f t="shared" si="26"/>
        <v>32.569519453660618</v>
      </c>
      <c r="G82" s="110">
        <f t="shared" si="48"/>
        <v>0.79119416787097552</v>
      </c>
      <c r="H82" s="414" t="b">
        <f>Wh_hp&gt;='2024'!Maxi_hp</f>
        <v>0</v>
      </c>
      <c r="I82" s="390">
        <f>IF(H82,Wh_hp,'2024'!Maxi_hp)</f>
        <v>40.500150797480835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5.4585115708286946E-2</v>
      </c>
      <c r="M82" s="844"/>
      <c r="N82" s="844"/>
      <c r="O82" s="48">
        <f>IF(t&lt;Tnet,'2024'!Resal+('2024'!Salim-'2024'!Resal)*(1-EXP(('2024'!Tnet-t)/('2024'!Tau_j))),Resal+(Salim-Resal)*(1-EXP((Tnet-t)/(Tau_j))))*Salcycl</f>
        <v>0.10307405139446624</v>
      </c>
      <c r="P82" s="169">
        <f>(INDEX(Models!$BJ82:$BT82,,T82)*(1-R82)+INDEX(Models!$BJ82:$BT82,,T82+1)*R82-ERP_i)*Q82*Ramure*Pc/MaxiM</f>
        <v>2.2389809620624456E-3</v>
      </c>
      <c r="Q82" s="305">
        <f t="shared" si="28"/>
        <v>0.7</v>
      </c>
      <c r="R82" s="177">
        <f t="shared" si="29"/>
        <v>0.2073142269659658</v>
      </c>
      <c r="S82" s="810">
        <f t="shared" si="30"/>
        <v>1</v>
      </c>
      <c r="T82" s="176">
        <f t="shared" si="31"/>
        <v>7</v>
      </c>
      <c r="U82" s="251">
        <f t="shared" si="32"/>
        <v>1.2073142269659658</v>
      </c>
      <c r="V82" s="383">
        <f t="shared" si="33"/>
        <v>34.828424590405092</v>
      </c>
      <c r="W82" s="402">
        <f t="shared" si="34"/>
        <v>27.574445031346773</v>
      </c>
      <c r="X82" s="157">
        <f t="shared" si="35"/>
        <v>45725</v>
      </c>
      <c r="Y82" s="385">
        <f t="shared" si="36"/>
        <v>26.205514903295381</v>
      </c>
      <c r="Z82" s="385">
        <f t="shared" si="37"/>
        <v>27.718534305632449</v>
      </c>
      <c r="AA82" s="386">
        <f t="shared" si="38"/>
        <v>32.518294245387565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0.14760183617060169</v>
      </c>
      <c r="AD82" s="231">
        <f>(INDEX(Models!$BJ82:$BT82,,AH82)*(1-AF82)+INDEX(Models!$BJ82:$BT82,,AH82+1)*AF82-ERP_i)*AE82*Ramure*Pc/MaxiM</f>
        <v>2.2389809620624456E-3</v>
      </c>
      <c r="AE82" s="305">
        <f t="shared" si="40"/>
        <v>0.7</v>
      </c>
      <c r="AF82" s="177">
        <f t="shared" si="41"/>
        <v>0.2073142269659658</v>
      </c>
      <c r="AG82" s="810">
        <f t="shared" si="49"/>
        <v>1</v>
      </c>
      <c r="AH82" s="176">
        <f t="shared" si="42"/>
        <v>7</v>
      </c>
      <c r="AI82" s="225">
        <f t="shared" si="43"/>
        <v>1.2073142269659658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20.83271023881165</v>
      </c>
      <c r="C83" s="840"/>
      <c r="D83" s="393">
        <f t="shared" si="25"/>
        <v>22.03603455355351</v>
      </c>
      <c r="E83" s="385">
        <f t="shared" si="47"/>
        <v>24.570760996399141</v>
      </c>
      <c r="F83" s="385">
        <f t="shared" si="26"/>
        <v>24.593591027476716</v>
      </c>
      <c r="G83" s="110">
        <f t="shared" si="48"/>
        <v>0.59101760910143908</v>
      </c>
      <c r="H83" s="414" t="b">
        <f>Wh_hp&gt;='2024'!Maxi_hp</f>
        <v>0</v>
      </c>
      <c r="I83" s="390">
        <f>IF(H83,Wh_hp,'2024'!Maxi_hp)</f>
        <v>40.033914552307429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5.4607116893806706E-2</v>
      </c>
      <c r="M83" s="844"/>
      <c r="N83" s="844"/>
      <c r="O83" s="48">
        <f>IF(t&lt;Tnet,'2024'!Resal+('2024'!Salim-'2024'!Resal)*(1-EXP(('2024'!Tnet-t)/('2024'!Tau_j))),Resal+(Salim-Resal)*(1-EXP((Tnet-t)/(Tau_j))))*Salcycl</f>
        <v>0.1031602742469839</v>
      </c>
      <c r="P83" s="169">
        <f>(INDEX(Models!$BJ83:$BT83,,T83)*(1-R83)+INDEX(Models!$BJ83:$BT83,,T83+1)*R83-ERP_i)*Q83*Ramure*Pc/MaxiM</f>
        <v>2.2269827266732439E-3</v>
      </c>
      <c r="Q83" s="305">
        <f t="shared" si="28"/>
        <v>0.7</v>
      </c>
      <c r="R83" s="177">
        <f t="shared" si="29"/>
        <v>0.20766621519903516</v>
      </c>
      <c r="S83" s="810">
        <f t="shared" si="30"/>
        <v>1</v>
      </c>
      <c r="T83" s="176">
        <f t="shared" si="31"/>
        <v>7</v>
      </c>
      <c r="U83" s="251">
        <f t="shared" si="32"/>
        <v>1.2076662151990352</v>
      </c>
      <c r="V83" s="383">
        <f t="shared" si="33"/>
        <v>35.203062531474046</v>
      </c>
      <c r="W83" s="402">
        <f t="shared" si="34"/>
        <v>20.83271023881165</v>
      </c>
      <c r="X83" s="157">
        <f t="shared" si="35"/>
        <v>45726</v>
      </c>
      <c r="Y83" s="385">
        <f t="shared" si="36"/>
        <v>19.799487471901692</v>
      </c>
      <c r="Z83" s="385">
        <f t="shared" si="37"/>
        <v>20.9431315019511</v>
      </c>
      <c r="AA83" s="386">
        <f t="shared" si="38"/>
        <v>24.570760996399141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0.14764009527338906</v>
      </c>
      <c r="AD83" s="231">
        <f>(INDEX(Models!$BJ83:$BT83,,AH83)*(1-AF83)+INDEX(Models!$BJ83:$BT83,,AH83+1)*AF83-ERP_i)*AE83*Ramure*Pc/MaxiM</f>
        <v>2.2269827266732439E-3</v>
      </c>
      <c r="AE83" s="305">
        <f t="shared" si="40"/>
        <v>0.7</v>
      </c>
      <c r="AF83" s="177">
        <f t="shared" si="41"/>
        <v>0.20766621519903516</v>
      </c>
      <c r="AG83" s="810">
        <f t="shared" si="49"/>
        <v>1</v>
      </c>
      <c r="AH83" s="176">
        <f t="shared" si="42"/>
        <v>7</v>
      </c>
      <c r="AI83" s="225">
        <f t="shared" si="43"/>
        <v>1.2076662151990352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13.560448773148931</v>
      </c>
      <c r="C84" s="840"/>
      <c r="D84" s="393">
        <f t="shared" si="25"/>
        <v>14.344051657540518</v>
      </c>
      <c r="E84" s="385">
        <f t="shared" si="47"/>
        <v>15.995536082557749</v>
      </c>
      <c r="F84" s="385">
        <f t="shared" si="26"/>
        <v>15.999660677396095</v>
      </c>
      <c r="G84" s="110">
        <f t="shared" si="48"/>
        <v>0.38038716113138132</v>
      </c>
      <c r="H84" s="414" t="b">
        <f>Wh_hp&gt;='2024'!Maxi_hp</f>
        <v>0</v>
      </c>
      <c r="I84" s="390">
        <f>IF(H84,Wh_hp,'2024'!Maxi_hp)</f>
        <v>32.943027804132434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5.462911756732669E-2</v>
      </c>
      <c r="M84" s="844"/>
      <c r="N84" s="844"/>
      <c r="O84" s="48">
        <f>IF(t&lt;Tnet,'2024'!Resal+('2024'!Salim-'2024'!Resal)*(1-EXP(('2024'!Tnet-t)/('2024'!Tau_j))),Resal+(Salim-Resal)*(1-EXP((Tnet-t)/(Tau_j))))*Salcycl</f>
        <v>0.10324658182716884</v>
      </c>
      <c r="P84" s="169">
        <f>(INDEX(Models!$BJ84:$BT84,,T84)*(1-R84)+INDEX(Models!$BJ84:$BT84,,T84+1)*R84-ERP_i)*Q84*Ramure*Pc/MaxiM</f>
        <v>2.2240820027245901E-3</v>
      </c>
      <c r="Q84" s="305">
        <f t="shared" si="28"/>
        <v>0.7</v>
      </c>
      <c r="R84" s="177">
        <f t="shared" si="29"/>
        <v>0.20803229840516724</v>
      </c>
      <c r="S84" s="810">
        <f t="shared" si="30"/>
        <v>1</v>
      </c>
      <c r="T84" s="176">
        <f t="shared" si="31"/>
        <v>7</v>
      </c>
      <c r="U84" s="251">
        <f t="shared" si="32"/>
        <v>1.2080322984051672</v>
      </c>
      <c r="V84" s="383">
        <f t="shared" si="33"/>
        <v>35.578956164782134</v>
      </c>
      <c r="W84" s="402">
        <f t="shared" si="34"/>
        <v>13.560448773148931</v>
      </c>
      <c r="X84" s="157">
        <f t="shared" si="35"/>
        <v>45727</v>
      </c>
      <c r="Y84" s="385">
        <f t="shared" si="36"/>
        <v>12.888561018451862</v>
      </c>
      <c r="Z84" s="385">
        <f t="shared" si="37"/>
        <v>13.633338256924525</v>
      </c>
      <c r="AA84" s="386">
        <f t="shared" si="38"/>
        <v>15.995536082557749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0.14767856565989498</v>
      </c>
      <c r="AD84" s="231">
        <f>(INDEX(Models!$BJ84:$BT84,,AH84)*(1-AF84)+INDEX(Models!$BJ84:$BT84,,AH84+1)*AF84-ERP_i)*AE84*Ramure*Pc/MaxiM</f>
        <v>2.2240820027245901E-3</v>
      </c>
      <c r="AE84" s="305">
        <f t="shared" si="40"/>
        <v>0.7</v>
      </c>
      <c r="AF84" s="177">
        <f t="shared" si="41"/>
        <v>0.20803229840516724</v>
      </c>
      <c r="AG84" s="810">
        <f t="shared" si="49"/>
        <v>1</v>
      </c>
      <c r="AH84" s="176">
        <f t="shared" si="42"/>
        <v>7</v>
      </c>
      <c r="AI84" s="225">
        <f t="shared" si="43"/>
        <v>1.2080322984051672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15.174163715038585</v>
      </c>
      <c r="C85" s="840"/>
      <c r="D85" s="393">
        <f t="shared" si="25"/>
        <v>16.051390126556889</v>
      </c>
      <c r="E85" s="385">
        <f t="shared" si="47"/>
        <v>17.901172000157551</v>
      </c>
      <c r="F85" s="385">
        <f t="shared" si="26"/>
        <v>17.9081333960847</v>
      </c>
      <c r="G85" s="110">
        <f t="shared" si="48"/>
        <v>0.42124394933361881</v>
      </c>
      <c r="H85" s="414" t="b">
        <f>Wh_hp&gt;='2024'!Maxi_hp</f>
        <v>0</v>
      </c>
      <c r="I85" s="390">
        <f>IF(H85,Wh_hp,'2024'!Maxi_hp)</f>
        <v>41.337289787164842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5.4651117728858889E-2</v>
      </c>
      <c r="M85" s="844"/>
      <c r="N85" s="844"/>
      <c r="O85" s="48">
        <f>IF(t&lt;Tnet,'2024'!Resal+('2024'!Salim-'2024'!Resal)*(1-EXP(('2024'!Tnet-t)/('2024'!Tau_j))),Resal+(Salim-Resal)*(1-EXP((Tnet-t)/(Tau_j))))*Salcycl</f>
        <v>0.10333300375999854</v>
      </c>
      <c r="P85" s="169">
        <f>(INDEX(Models!$BJ85:$BT85,,T85)*(1-R85)+INDEX(Models!$BJ85:$BT85,,T85+1)*R85-ERP_i)*Q85*Ramure*Pc/MaxiM</f>
        <v>2.2300179199683991E-3</v>
      </c>
      <c r="Q85" s="305">
        <f t="shared" si="28"/>
        <v>0.7</v>
      </c>
      <c r="R85" s="177">
        <f t="shared" si="29"/>
        <v>0.20841301240465127</v>
      </c>
      <c r="S85" s="810">
        <f t="shared" si="30"/>
        <v>1</v>
      </c>
      <c r="T85" s="176">
        <f t="shared" si="31"/>
        <v>7</v>
      </c>
      <c r="U85" s="251">
        <f t="shared" si="32"/>
        <v>1.2084130124046513</v>
      </c>
      <c r="V85" s="383">
        <f t="shared" si="33"/>
        <v>35.955917803895467</v>
      </c>
      <c r="W85" s="402">
        <f t="shared" si="34"/>
        <v>15.174163715038585</v>
      </c>
      <c r="X85" s="157">
        <f t="shared" si="35"/>
        <v>45728</v>
      </c>
      <c r="Y85" s="385">
        <f t="shared" si="36"/>
        <v>14.423054980395008</v>
      </c>
      <c r="Z85" s="385">
        <f t="shared" si="37"/>
        <v>15.256859399616074</v>
      </c>
      <c r="AA85" s="386">
        <f t="shared" si="38"/>
        <v>17.901172000157551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0.14771728915392829</v>
      </c>
      <c r="AD85" s="231">
        <f>(INDEX(Models!$BJ85:$BT85,,AH85)*(1-AF85)+INDEX(Models!$BJ85:$BT85,,AH85+1)*AF85-ERP_i)*AE85*Ramure*Pc/MaxiM</f>
        <v>2.2300179199683991E-3</v>
      </c>
      <c r="AE85" s="305">
        <f t="shared" si="40"/>
        <v>0.7</v>
      </c>
      <c r="AF85" s="177">
        <f t="shared" si="41"/>
        <v>0.20841301240465127</v>
      </c>
      <c r="AG85" s="810">
        <f t="shared" si="49"/>
        <v>1</v>
      </c>
      <c r="AH85" s="176">
        <f t="shared" si="42"/>
        <v>7</v>
      </c>
      <c r="AI85" s="225">
        <f t="shared" si="43"/>
        <v>1.2084130124046513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9.2848889549372213</v>
      </c>
      <c r="C86" s="840"/>
      <c r="D86" s="393">
        <f t="shared" si="25"/>
        <v>9.8218818544420579</v>
      </c>
      <c r="E86" s="385">
        <f t="shared" si="47"/>
        <v>10.954825177989624</v>
      </c>
      <c r="F86" s="385">
        <f t="shared" si="26"/>
        <v>10.954825177989624</v>
      </c>
      <c r="G86" s="110">
        <f t="shared" si="48"/>
        <v>0.2549708241873011</v>
      </c>
      <c r="H86" s="414" t="b">
        <f>Wh_hp&gt;='2024'!Maxi_hp</f>
        <v>0</v>
      </c>
      <c r="I86" s="390">
        <f>IF(H86,Wh_hp,'2024'!Maxi_hp)</f>
        <v>39.947876857948046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5.4673117378415181E-2</v>
      </c>
      <c r="M86" s="844"/>
      <c r="N86" s="844"/>
      <c r="O86" s="48">
        <f>IF(t&lt;Tnet,'2024'!Resal+('2024'!Salim-'2024'!Resal)*(1-EXP(('2024'!Tnet-t)/('2024'!Tau_j))),Resal+(Salim-Resal)*(1-EXP((Tnet-t)/(Tau_j))))*Salcycl</f>
        <v>0.1034195712975749</v>
      </c>
      <c r="P86" s="169">
        <f>(INDEX(Models!$BJ86:$BT86,,T86)*(1-R86)+INDEX(Models!$BJ86:$BT86,,T86+1)*R86-ERP_i)*Q86*Ramure*Pc/MaxiM</f>
        <v>2.2412650735948807E-3</v>
      </c>
      <c r="Q86" s="305">
        <f t="shared" si="28"/>
        <v>0.7</v>
      </c>
      <c r="R86" s="177">
        <f t="shared" si="29"/>
        <v>0.20880891100212784</v>
      </c>
      <c r="S86" s="810">
        <f t="shared" si="30"/>
        <v>1</v>
      </c>
      <c r="T86" s="176">
        <f t="shared" si="31"/>
        <v>7</v>
      </c>
      <c r="U86" s="251">
        <f t="shared" si="32"/>
        <v>1.2088089110021278</v>
      </c>
      <c r="V86" s="383">
        <f t="shared" si="33"/>
        <v>36.333878933555695</v>
      </c>
      <c r="W86" s="402">
        <f t="shared" si="34"/>
        <v>9.2848889549372213</v>
      </c>
      <c r="X86" s="157">
        <f t="shared" si="35"/>
        <v>45729</v>
      </c>
      <c r="Y86" s="385">
        <f t="shared" si="36"/>
        <v>8.8257425353522105</v>
      </c>
      <c r="Z86" s="385">
        <f t="shared" si="37"/>
        <v>9.3361806350800283</v>
      </c>
      <c r="AA86" s="386">
        <f t="shared" si="38"/>
        <v>10.954825177989624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0.14775630980965068</v>
      </c>
      <c r="AD86" s="231">
        <f>(INDEX(Models!$BJ86:$BT86,,AH86)*(1-AF86)+INDEX(Models!$BJ86:$BT86,,AH86+1)*AF86-ERP_i)*AE86*Ramure*Pc/MaxiM</f>
        <v>2.2412650735948807E-3</v>
      </c>
      <c r="AE86" s="305">
        <f t="shared" si="40"/>
        <v>0.7</v>
      </c>
      <c r="AF86" s="177">
        <f t="shared" si="41"/>
        <v>0.20880891100212784</v>
      </c>
      <c r="AG86" s="810">
        <f t="shared" si="49"/>
        <v>1</v>
      </c>
      <c r="AH86" s="176">
        <f t="shared" si="42"/>
        <v>7</v>
      </c>
      <c r="AI86" s="225">
        <f t="shared" si="43"/>
        <v>1.2088089110021278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13.666947270764036</v>
      </c>
      <c r="C87" s="840"/>
      <c r="D87" s="393">
        <f t="shared" si="25"/>
        <v>14.457713600709932</v>
      </c>
      <c r="E87" s="385">
        <f t="shared" si="47"/>
        <v>16.126955357751001</v>
      </c>
      <c r="F87" s="385">
        <f t="shared" si="26"/>
        <v>16.130702602212924</v>
      </c>
      <c r="G87" s="110">
        <f t="shared" si="48"/>
        <v>0.37151389099049403</v>
      </c>
      <c r="H87" s="414" t="b">
        <f>Wh_hp&gt;='2024'!Maxi_hp</f>
        <v>0</v>
      </c>
      <c r="I87" s="390">
        <f>IF(H87,Wh_hp,'2024'!Maxi_hp)</f>
        <v>39.828022010256511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5.4695116516007447E-2</v>
      </c>
      <c r="M87" s="844"/>
      <c r="N87" s="844"/>
      <c r="O87" s="48">
        <f>IF(t&lt;Tnet,'2024'!Resal+('2024'!Salim-'2024'!Resal)*(1-EXP(('2024'!Tnet-t)/('2024'!Tau_j))),Resal+(Salim-Resal)*(1-EXP((Tnet-t)/(Tau_j))))*Salcycl</f>
        <v>0.10350631721931269</v>
      </c>
      <c r="P87" s="169">
        <f>(INDEX(Models!$BJ87:$BT87,,T87)*(1-R87)+INDEX(Models!$BJ87:$BT87,,T87+1)*R87-ERP_i)*Q87*Ramure*Pc/MaxiM</f>
        <v>2.2502312740938783E-3</v>
      </c>
      <c r="Q87" s="305">
        <f t="shared" si="28"/>
        <v>0.7</v>
      </c>
      <c r="R87" s="177">
        <f t="shared" si="29"/>
        <v>0.20922056638855802</v>
      </c>
      <c r="S87" s="810">
        <f t="shared" si="30"/>
        <v>1</v>
      </c>
      <c r="T87" s="176">
        <f t="shared" si="31"/>
        <v>7</v>
      </c>
      <c r="U87" s="251">
        <f t="shared" si="32"/>
        <v>1.209220566388558</v>
      </c>
      <c r="V87" s="383">
        <f t="shared" si="33"/>
        <v>36.712925956982836</v>
      </c>
      <c r="W87" s="402">
        <f t="shared" si="34"/>
        <v>13.666947270764036</v>
      </c>
      <c r="X87" s="157">
        <f t="shared" si="35"/>
        <v>45730</v>
      </c>
      <c r="Y87" s="385">
        <f t="shared" si="36"/>
        <v>12.991760917345609</v>
      </c>
      <c r="Z87" s="385">
        <f t="shared" si="37"/>
        <v>13.743461124905535</v>
      </c>
      <c r="AA87" s="386">
        <f t="shared" si="38"/>
        <v>16.126955357751001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0.14779567376305172</v>
      </c>
      <c r="AD87" s="231">
        <f>(INDEX(Models!$BJ87:$BT87,,AH87)*(1-AF87)+INDEX(Models!$BJ87:$BT87,,AH87+1)*AF87-ERP_i)*AE87*Ramure*Pc/MaxiM</f>
        <v>2.2502312740938783E-3</v>
      </c>
      <c r="AE87" s="305">
        <f t="shared" si="40"/>
        <v>0.7</v>
      </c>
      <c r="AF87" s="177">
        <f t="shared" si="41"/>
        <v>0.20922056638855802</v>
      </c>
      <c r="AG87" s="810">
        <f t="shared" si="49"/>
        <v>1</v>
      </c>
      <c r="AH87" s="176">
        <f t="shared" si="42"/>
        <v>7</v>
      </c>
      <c r="AI87" s="225">
        <f t="shared" si="43"/>
        <v>1.209220566388558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12.960361428501379</v>
      </c>
      <c r="C88" s="840"/>
      <c r="D88" s="393">
        <f t="shared" si="25"/>
        <v>13.710563933931216</v>
      </c>
      <c r="E88" s="385">
        <f t="shared" si="47"/>
        <v>15.295025754104115</v>
      </c>
      <c r="F88" s="385">
        <f t="shared" si="26"/>
        <v>15.29746248598472</v>
      </c>
      <c r="G88" s="110">
        <f t="shared" si="48"/>
        <v>0.34866996037436754</v>
      </c>
      <c r="H88" s="414" t="b">
        <f>Wh_hp&gt;='2024'!Maxi_hp</f>
        <v>0</v>
      </c>
      <c r="I88" s="390">
        <f>IF(H88,Wh_hp,'2024'!Maxi_hp)</f>
        <v>32.760869095233581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5.4717115141647676E-2</v>
      </c>
      <c r="M88" s="844"/>
      <c r="N88" s="844"/>
      <c r="O88" s="48">
        <f>IF(t&lt;Tnet,'2024'!Resal+('2024'!Salim-'2024'!Resal)*(1-EXP(('2024'!Tnet-t)/('2024'!Tau_j))),Resal+(Salim-Resal)*(1-EXP((Tnet-t)/(Tau_j))))*Salcycl</f>
        <v>0.10359327572545879</v>
      </c>
      <c r="P88" s="169">
        <f>(INDEX(Models!$BJ88:$BT88,,T88)*(1-R88)+INDEX(Models!$BJ88:$BT88,,T88+1)*R88-ERP_i)*Q88*Ramure*Pc/MaxiM</f>
        <v>2.2570066579639227E-3</v>
      </c>
      <c r="Q88" s="305">
        <f t="shared" si="28"/>
        <v>0.7</v>
      </c>
      <c r="R88" s="177">
        <f t="shared" si="29"/>
        <v>0.20964856953386324</v>
      </c>
      <c r="S88" s="810">
        <f t="shared" si="30"/>
        <v>1</v>
      </c>
      <c r="T88" s="176">
        <f t="shared" si="31"/>
        <v>7</v>
      </c>
      <c r="U88" s="251">
        <f t="shared" si="32"/>
        <v>1.2096485695338632</v>
      </c>
      <c r="V88" s="383">
        <f t="shared" si="33"/>
        <v>37.092871196711876</v>
      </c>
      <c r="W88" s="402">
        <f t="shared" si="34"/>
        <v>12.960361428501379</v>
      </c>
      <c r="X88" s="157">
        <f t="shared" si="35"/>
        <v>45731</v>
      </c>
      <c r="Y88" s="385">
        <f t="shared" si="36"/>
        <v>12.320702797825591</v>
      </c>
      <c r="Z88" s="385">
        <f t="shared" si="37"/>
        <v>13.033879059041475</v>
      </c>
      <c r="AA88" s="386">
        <f t="shared" si="38"/>
        <v>15.295025754104115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0.14783542907444311</v>
      </c>
      <c r="AD88" s="231">
        <f>(INDEX(Models!$BJ88:$BT88,,AH88)*(1-AF88)+INDEX(Models!$BJ88:$BT88,,AH88+1)*AF88-ERP_i)*AE88*Ramure*Pc/MaxiM</f>
        <v>2.2570066579639227E-3</v>
      </c>
      <c r="AE88" s="305">
        <f t="shared" si="40"/>
        <v>0.7</v>
      </c>
      <c r="AF88" s="177">
        <f t="shared" si="41"/>
        <v>0.20964856953386324</v>
      </c>
      <c r="AG88" s="810">
        <f t="shared" si="49"/>
        <v>1</v>
      </c>
      <c r="AH88" s="176">
        <f t="shared" si="42"/>
        <v>7</v>
      </c>
      <c r="AI88" s="225">
        <f t="shared" si="43"/>
        <v>1.2096485695338632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12.69336298399179</v>
      </c>
      <c r="C89" s="840"/>
      <c r="D89" s="393">
        <f t="shared" si="25"/>
        <v>13.428422948616838</v>
      </c>
      <c r="E89" s="385">
        <f t="shared" si="47"/>
        <v>14.981736628305233</v>
      </c>
      <c r="F89" s="385">
        <f t="shared" si="26"/>
        <v>14.983611551372656</v>
      </c>
      <c r="G89" s="110">
        <f t="shared" si="48"/>
        <v>0.33800500407364337</v>
      </c>
      <c r="H89" s="414" t="b">
        <f>Wh_hp&gt;='2024'!Maxi_hp</f>
        <v>0</v>
      </c>
      <c r="I89" s="390">
        <f>IF(H89,Wh_hp,'2024'!Maxi_hp)</f>
        <v>45.209296903916872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5.4739113255347749E-2</v>
      </c>
      <c r="M89" s="844"/>
      <c r="N89" s="844"/>
      <c r="O89" s="48">
        <f>IF(t&lt;Tnet,'2024'!Resal+('2024'!Salim-'2024'!Resal)*(1-EXP(('2024'!Tnet-t)/('2024'!Tau_j))),Resal+(Salim-Resal)*(1-EXP((Tnet-t)/(Tau_j))))*Salcycl</f>
        <v>0.10368048232497265</v>
      </c>
      <c r="P89" s="169">
        <f>(INDEX(Models!$BJ89:$BT89,,T89)*(1-R89)+INDEX(Models!$BJ89:$BT89,,T89+1)*R89-ERP_i)*Q89*Ramure*Pc/MaxiM</f>
        <v>2.2616786260414297E-3</v>
      </c>
      <c r="Q89" s="305">
        <f t="shared" si="28"/>
        <v>0.7</v>
      </c>
      <c r="R89" s="177">
        <f t="shared" si="29"/>
        <v>0.21009353056808089</v>
      </c>
      <c r="S89" s="810">
        <f t="shared" si="30"/>
        <v>1</v>
      </c>
      <c r="T89" s="176">
        <f t="shared" si="31"/>
        <v>7</v>
      </c>
      <c r="U89" s="251">
        <f t="shared" si="32"/>
        <v>1.2100935305680809</v>
      </c>
      <c r="V89" s="383">
        <f t="shared" si="33"/>
        <v>37.47352693075171</v>
      </c>
      <c r="W89" s="402">
        <f t="shared" si="34"/>
        <v>12.69336298399179</v>
      </c>
      <c r="X89" s="157">
        <f t="shared" si="35"/>
        <v>45732</v>
      </c>
      <c r="Y89" s="385">
        <f t="shared" si="36"/>
        <v>12.067486849205652</v>
      </c>
      <c r="Z89" s="385">
        <f t="shared" si="37"/>
        <v>12.76630295236737</v>
      </c>
      <c r="AA89" s="386">
        <f t="shared" si="38"/>
        <v>14.981736628305233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0.14787562556347494</v>
      </c>
      <c r="AD89" s="231">
        <f>(INDEX(Models!$BJ89:$BT89,,AH89)*(1-AF89)+INDEX(Models!$BJ89:$BT89,,AH89+1)*AF89-ERP_i)*AE89*Ramure*Pc/MaxiM</f>
        <v>2.2616786260414297E-3</v>
      </c>
      <c r="AE89" s="305">
        <f t="shared" si="40"/>
        <v>0.7</v>
      </c>
      <c r="AF89" s="177">
        <f t="shared" si="41"/>
        <v>0.21009353056808089</v>
      </c>
      <c r="AG89" s="810">
        <f t="shared" si="49"/>
        <v>1</v>
      </c>
      <c r="AH89" s="176">
        <f t="shared" si="42"/>
        <v>7</v>
      </c>
      <c r="AI89" s="225">
        <f t="shared" si="43"/>
        <v>1.2100935305680809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11.005798398101312</v>
      </c>
      <c r="C90" s="840"/>
      <c r="D90" s="393">
        <f t="shared" si="25"/>
        <v>11.643404143137934</v>
      </c>
      <c r="E90" s="385">
        <f t="shared" si="47"/>
        <v>12.991506442199771</v>
      </c>
      <c r="F90" s="385">
        <f t="shared" si="26"/>
        <v>12.991506442199771</v>
      </c>
      <c r="G90" s="110">
        <f t="shared" si="48"/>
        <v>0.29007959520175552</v>
      </c>
      <c r="H90" s="414" t="b">
        <f>Wh_hp&gt;='2024'!Maxi_hp</f>
        <v>0</v>
      </c>
      <c r="I90" s="390">
        <f>IF(H90,Wh_hp,'2024'!Maxi_hp)</f>
        <v>26.308361762464799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5.4761110857119544E-2</v>
      </c>
      <c r="M90" s="844"/>
      <c r="N90" s="844"/>
      <c r="O90" s="48">
        <f>IF(t&lt;Tnet,'2024'!Resal+('2024'!Salim-'2024'!Resal)*(1-EXP(('2024'!Tnet-t)/('2024'!Tau_j))),Resal+(Salim-Resal)*(1-EXP((Tnet-t)/(Tau_j))))*Salcycl</f>
        <v>0.10376797371880241</v>
      </c>
      <c r="P90" s="169">
        <f>(INDEX(Models!$BJ90:$BT90,,T90)*(1-R90)+INDEX(Models!$BJ90:$BT90,,T90+1)*R90-ERP_i)*Q90*Ramure*Pc/MaxiM</f>
        <v>2.2643318135902968E-3</v>
      </c>
      <c r="Q90" s="305">
        <f t="shared" si="28"/>
        <v>0.7</v>
      </c>
      <c r="R90" s="177">
        <f t="shared" si="29"/>
        <v>0.21055607914869223</v>
      </c>
      <c r="S90" s="810">
        <f t="shared" si="30"/>
        <v>1</v>
      </c>
      <c r="T90" s="176">
        <f t="shared" si="31"/>
        <v>7</v>
      </c>
      <c r="U90" s="251">
        <f t="shared" si="32"/>
        <v>1.2105560791486922</v>
      </c>
      <c r="V90" s="383">
        <f t="shared" si="33"/>
        <v>37.854705399106528</v>
      </c>
      <c r="W90" s="402">
        <f t="shared" si="34"/>
        <v>11.005798398101312</v>
      </c>
      <c r="X90" s="157">
        <f t="shared" si="35"/>
        <v>45733</v>
      </c>
      <c r="Y90" s="385">
        <f t="shared" si="36"/>
        <v>10.463653366992121</v>
      </c>
      <c r="Z90" s="385">
        <f t="shared" si="37"/>
        <v>11.069850687671458</v>
      </c>
      <c r="AA90" s="386">
        <f t="shared" si="38"/>
        <v>12.991506442199771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0.14791631463817612</v>
      </c>
      <c r="AD90" s="231">
        <f>(INDEX(Models!$BJ90:$BT90,,AH90)*(1-AF90)+INDEX(Models!$BJ90:$BT90,,AH90+1)*AF90-ERP_i)*AE90*Ramure*Pc/MaxiM</f>
        <v>2.2643318135902968E-3</v>
      </c>
      <c r="AE90" s="305">
        <f t="shared" si="40"/>
        <v>0.7</v>
      </c>
      <c r="AF90" s="177">
        <f t="shared" si="41"/>
        <v>0.21055607914869223</v>
      </c>
      <c r="AG90" s="810">
        <f t="shared" si="49"/>
        <v>1</v>
      </c>
      <c r="AH90" s="176">
        <f t="shared" si="42"/>
        <v>7</v>
      </c>
      <c r="AI90" s="225">
        <f t="shared" si="43"/>
        <v>1.2105560791486922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14.251170870978283</v>
      </c>
      <c r="C91" s="840"/>
      <c r="D91" s="393">
        <f t="shared" si="25"/>
        <v>15.077143659615023</v>
      </c>
      <c r="E91" s="385">
        <f t="shared" si="47"/>
        <v>16.82446134487132</v>
      </c>
      <c r="F91" s="385">
        <f t="shared" si="26"/>
        <v>16.828420844307242</v>
      </c>
      <c r="G91" s="110">
        <f t="shared" si="48"/>
        <v>0.37195721826054889</v>
      </c>
      <c r="H91" s="414" t="b">
        <f>Wh_hp&gt;='2024'!Maxi_hp</f>
        <v>0</v>
      </c>
      <c r="I91" s="390">
        <f>IF(H91,Wh_hp,'2024'!Maxi_hp)</f>
        <v>32.389497861269035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5.4783107946975051E-2</v>
      </c>
      <c r="M91" s="844"/>
      <c r="N91" s="844"/>
      <c r="O91" s="48">
        <f>IF(t&lt;Tnet,'2024'!Resal+('2024'!Salim-'2024'!Resal)*(1-EXP(('2024'!Tnet-t)/('2024'!Tau_j))),Resal+(Salim-Resal)*(1-EXP((Tnet-t)/(Tau_j))))*Salcycl</f>
        <v>0.10385578767958233</v>
      </c>
      <c r="P91" s="169">
        <f>(INDEX(Models!$BJ91:$BT91,,T91)*(1-R91)+INDEX(Models!$BJ91:$BT91,,T91+1)*R91-ERP_i)*Q91*Ramure*Pc/MaxiM</f>
        <v>2.2650480675522212E-3</v>
      </c>
      <c r="Q91" s="305">
        <f t="shared" si="28"/>
        <v>0.7</v>
      </c>
      <c r="R91" s="177">
        <f t="shared" si="29"/>
        <v>0.21103686481159256</v>
      </c>
      <c r="S91" s="810">
        <f t="shared" si="30"/>
        <v>1</v>
      </c>
      <c r="T91" s="176">
        <f t="shared" si="31"/>
        <v>7</v>
      </c>
      <c r="U91" s="251">
        <f t="shared" si="32"/>
        <v>1.2110368648115926</v>
      </c>
      <c r="V91" s="383">
        <f t="shared" si="33"/>
        <v>38.23621880567211</v>
      </c>
      <c r="W91" s="402">
        <f t="shared" si="34"/>
        <v>14.251170870978283</v>
      </c>
      <c r="X91" s="157">
        <f t="shared" si="35"/>
        <v>45734</v>
      </c>
      <c r="Y91" s="385">
        <f t="shared" si="36"/>
        <v>13.549830919940746</v>
      </c>
      <c r="Z91" s="385">
        <f t="shared" si="37"/>
        <v>14.335155279028408</v>
      </c>
      <c r="AA91" s="386">
        <f t="shared" si="38"/>
        <v>16.82446134487132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0.14795754911949913</v>
      </c>
      <c r="AD91" s="231">
        <f>(INDEX(Models!$BJ91:$BT91,,AH91)*(1-AF91)+INDEX(Models!$BJ91:$BT91,,AH91+1)*AF91-ERP_i)*AE91*Ramure*Pc/MaxiM</f>
        <v>2.2650480675522212E-3</v>
      </c>
      <c r="AE91" s="305">
        <f t="shared" si="40"/>
        <v>0.7</v>
      </c>
      <c r="AF91" s="177">
        <f t="shared" si="41"/>
        <v>0.21103686481159256</v>
      </c>
      <c r="AG91" s="810">
        <f t="shared" si="49"/>
        <v>1</v>
      </c>
      <c r="AH91" s="176">
        <f t="shared" si="42"/>
        <v>7</v>
      </c>
      <c r="AI91" s="225">
        <f t="shared" si="43"/>
        <v>1.2110368648115926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25.136549263976029</v>
      </c>
      <c r="C92" s="840"/>
      <c r="D92" s="393">
        <f t="shared" si="25"/>
        <v>26.59403831348655</v>
      </c>
      <c r="E92" s="385">
        <f t="shared" si="47"/>
        <v>29.678990167187525</v>
      </c>
      <c r="F92" s="385">
        <f t="shared" si="26"/>
        <v>29.71271047825018</v>
      </c>
      <c r="G92" s="110">
        <f t="shared" si="48"/>
        <v>0.65016871943919663</v>
      </c>
      <c r="H92" s="414" t="b">
        <f>Wh_hp&gt;='2024'!Maxi_hp</f>
        <v>0</v>
      </c>
      <c r="I92" s="390">
        <f>IF(H92,Wh_hp,'2024'!Maxi_hp)</f>
        <v>42.780968964285989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5.4805104524926151E-2</v>
      </c>
      <c r="M92" s="844"/>
      <c r="N92" s="844"/>
      <c r="O92" s="48">
        <f>IF(t&lt;Tnet,'2024'!Resal+('2024'!Salim-'2024'!Resal)*(1-EXP(('2024'!Tnet-t)/('2024'!Tau_j))),Resal+(Salim-Resal)*(1-EXP((Tnet-t)/(Tau_j))))*Salcycl</f>
        <v>0.10394396292875331</v>
      </c>
      <c r="P92" s="169">
        <f>(INDEX(Models!$BJ92:$BT92,,T92)*(1-R92)+INDEX(Models!$BJ92:$BT92,,T92+1)*R92-ERP_i)*Q92*Ramure*Pc/MaxiM</f>
        <v>2.2639064299885586E-3</v>
      </c>
      <c r="Q92" s="305">
        <f t="shared" si="28"/>
        <v>0.7</v>
      </c>
      <c r="R92" s="177">
        <f t="shared" si="29"/>
        <v>0.21153655730295795</v>
      </c>
      <c r="S92" s="810">
        <f t="shared" si="30"/>
        <v>1</v>
      </c>
      <c r="T92" s="176">
        <f t="shared" si="31"/>
        <v>7</v>
      </c>
      <c r="U92" s="251">
        <f t="shared" si="32"/>
        <v>1.211536557302958</v>
      </c>
      <c r="V92" s="383">
        <f t="shared" si="33"/>
        <v>38.617879326350426</v>
      </c>
      <c r="W92" s="402">
        <f t="shared" si="34"/>
        <v>25.136549263976029</v>
      </c>
      <c r="X92" s="157">
        <f t="shared" si="35"/>
        <v>45735</v>
      </c>
      <c r="Y92" s="385">
        <f t="shared" si="36"/>
        <v>23.900687674153538</v>
      </c>
      <c r="Z92" s="385">
        <f t="shared" si="37"/>
        <v>25.286517932516524</v>
      </c>
      <c r="AA92" s="386">
        <f t="shared" si="38"/>
        <v>29.678990167187525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0.14799938306281143</v>
      </c>
      <c r="AD92" s="231">
        <f>(INDEX(Models!$BJ92:$BT92,,AH92)*(1-AF92)+INDEX(Models!$BJ92:$BT92,,AH92+1)*AF92-ERP_i)*AE92*Ramure*Pc/MaxiM</f>
        <v>2.2639064299885586E-3</v>
      </c>
      <c r="AE92" s="305">
        <f t="shared" si="40"/>
        <v>0.7</v>
      </c>
      <c r="AF92" s="177">
        <f t="shared" si="41"/>
        <v>0.21153655730295795</v>
      </c>
      <c r="AG92" s="810">
        <f t="shared" si="49"/>
        <v>1</v>
      </c>
      <c r="AH92" s="176">
        <f t="shared" si="42"/>
        <v>7</v>
      </c>
      <c r="AI92" s="225">
        <f t="shared" si="43"/>
        <v>1.211536557302958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28.244131651726295</v>
      </c>
      <c r="C93" s="840"/>
      <c r="D93" s="393">
        <f t="shared" si="25"/>
        <v>29.882502629292905</v>
      </c>
      <c r="E93" s="385">
        <f t="shared" si="47"/>
        <v>33.35221861332262</v>
      </c>
      <c r="F93" s="385">
        <f t="shared" si="26"/>
        <v>33.397969301332928</v>
      </c>
      <c r="G93" s="110">
        <f t="shared" si="48"/>
        <v>0.7235035783795043</v>
      </c>
      <c r="H93" s="414" t="b">
        <f>Wh_hp&gt;='2024'!Maxi_hp</f>
        <v>0</v>
      </c>
      <c r="I93" s="390">
        <f>IF(H93,Wh_hp,'2024'!Maxi_hp)</f>
        <v>45.417095514762579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5.4827100590984723E-2</v>
      </c>
      <c r="M93" s="844"/>
      <c r="N93" s="844"/>
      <c r="O93" s="48">
        <f>IF(t&lt;Tnet,'2024'!Resal+('2024'!Salim-'2024'!Resal)*(1-EXP(('2024'!Tnet-t)/('2024'!Tau_j))),Resal+(Salim-Resal)*(1-EXP((Tnet-t)/(Tau_j))))*Salcycl</f>
        <v>0.10403253901207417</v>
      </c>
      <c r="P93" s="169">
        <f>(INDEX(Models!$BJ93:$BT93,,T93)*(1-R93)+INDEX(Models!$BJ93:$BT93,,T93+1)*R93-ERP_i)*Q93*Ramure*Pc/MaxiM</f>
        <v>2.2607707901959938E-3</v>
      </c>
      <c r="Q93" s="305">
        <f t="shared" si="28"/>
        <v>0.7</v>
      </c>
      <c r="R93" s="177">
        <f t="shared" si="29"/>
        <v>0.21205584688905499</v>
      </c>
      <c r="S93" s="810">
        <f t="shared" si="30"/>
        <v>1</v>
      </c>
      <c r="T93" s="176">
        <f t="shared" si="31"/>
        <v>7</v>
      </c>
      <c r="U93" s="251">
        <f t="shared" si="32"/>
        <v>1.212055846889055</v>
      </c>
      <c r="V93" s="383">
        <f t="shared" si="33"/>
        <v>39.003171649205989</v>
      </c>
      <c r="W93" s="402">
        <f t="shared" si="34"/>
        <v>28.244131651726295</v>
      </c>
      <c r="X93" s="157">
        <f t="shared" si="35"/>
        <v>45736</v>
      </c>
      <c r="Y93" s="385">
        <f t="shared" si="36"/>
        <v>26.856798476124055</v>
      </c>
      <c r="Z93" s="385">
        <f t="shared" si="37"/>
        <v>28.414693748537125</v>
      </c>
      <c r="AA93" s="386">
        <f t="shared" si="38"/>
        <v>33.35221861332262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0.14804187157771828</v>
      </c>
      <c r="AD93" s="231">
        <f>(INDEX(Models!$BJ93:$BT93,,AH93)*(1-AF93)+INDEX(Models!$BJ93:$BT93,,AH93+1)*AF93-ERP_i)*AE93*Ramure*Pc/MaxiM</f>
        <v>2.2607707901959938E-3</v>
      </c>
      <c r="AE93" s="305">
        <f t="shared" si="40"/>
        <v>0.7</v>
      </c>
      <c r="AF93" s="177">
        <f t="shared" si="41"/>
        <v>0.21205584688905499</v>
      </c>
      <c r="AG93" s="810">
        <f t="shared" si="49"/>
        <v>1</v>
      </c>
      <c r="AH93" s="176">
        <f t="shared" si="42"/>
        <v>7</v>
      </c>
      <c r="AI93" s="225">
        <f t="shared" si="43"/>
        <v>1.212055846889055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37.730632381321449</v>
      </c>
      <c r="C94" s="840"/>
      <c r="D94" s="393">
        <f t="shared" si="25"/>
        <v>39.920220387491028</v>
      </c>
      <c r="E94" s="385">
        <f t="shared" si="47"/>
        <v>44.559862627149293</v>
      </c>
      <c r="F94" s="385">
        <f t="shared" si="26"/>
        <v>44.654368441658143</v>
      </c>
      <c r="G94" s="110">
        <f t="shared" si="48"/>
        <v>0.95762516258694241</v>
      </c>
      <c r="H94" s="414" t="b">
        <f>Wh_hp&gt;='2024'!Maxi_hp</f>
        <v>0</v>
      </c>
      <c r="I94" s="390">
        <f>IF(H94,Wh_hp,'2024'!Maxi_hp)</f>
        <v>48.198985258159908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5.4849096145162757E-2</v>
      </c>
      <c r="M94" s="844"/>
      <c r="N94" s="844"/>
      <c r="O94" s="48">
        <f>IF(t&lt;Tnet,'2024'!Resal+('2024'!Salim-'2024'!Resal)*(1-EXP(('2024'!Tnet-t)/('2024'!Tau_j))),Resal+(Salim-Resal)*(1-EXP((Tnet-t)/(Tau_j))))*Salcycl</f>
        <v>0.1041215561744447</v>
      </c>
      <c r="P94" s="169">
        <f>(INDEX(Models!$BJ94:$BT94,,T94)*(1-R94)+INDEX(Models!$BJ94:$BT94,,T94+1)*R94-ERP_i)*Q94*Ramure*Pc/MaxiM</f>
        <v>2.2523094013465281E-3</v>
      </c>
      <c r="Q94" s="305">
        <f t="shared" si="28"/>
        <v>0.7</v>
      </c>
      <c r="R94" s="177">
        <f t="shared" si="29"/>
        <v>0.21259544464081515</v>
      </c>
      <c r="S94" s="810">
        <f t="shared" si="30"/>
        <v>1</v>
      </c>
      <c r="T94" s="176">
        <f t="shared" si="31"/>
        <v>7</v>
      </c>
      <c r="U94" s="251">
        <f t="shared" si="32"/>
        <v>1.2125954446408151</v>
      </c>
      <c r="V94" s="383">
        <f t="shared" si="33"/>
        <v>39.39484304176348</v>
      </c>
      <c r="W94" s="402">
        <f t="shared" si="34"/>
        <v>37.730632381321449</v>
      </c>
      <c r="X94" s="157">
        <f t="shared" si="35"/>
        <v>45737</v>
      </c>
      <c r="Y94" s="385">
        <f t="shared" si="36"/>
        <v>35.879074043014228</v>
      </c>
      <c r="Z94" s="385">
        <f t="shared" si="37"/>
        <v>37.961212221963642</v>
      </c>
      <c r="AA94" s="386">
        <f t="shared" si="38"/>
        <v>44.559862627149293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0.14808507064753024</v>
      </c>
      <c r="AD94" s="231">
        <f>(INDEX(Models!$BJ94:$BT94,,AH94)*(1-AF94)+INDEX(Models!$BJ94:$BT94,,AH94+1)*AF94-ERP_i)*AE94*Ramure*Pc/MaxiM</f>
        <v>2.2523094013465281E-3</v>
      </c>
      <c r="AE94" s="305">
        <f t="shared" si="40"/>
        <v>0.7</v>
      </c>
      <c r="AF94" s="177">
        <f t="shared" si="41"/>
        <v>0.21259544464081515</v>
      </c>
      <c r="AG94" s="810">
        <f t="shared" si="49"/>
        <v>1</v>
      </c>
      <c r="AH94" s="176">
        <f t="shared" si="42"/>
        <v>7</v>
      </c>
      <c r="AI94" s="225">
        <f t="shared" si="43"/>
        <v>1.2125954446408151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35.761312840407335</v>
      </c>
      <c r="C95" s="840"/>
      <c r="D95" s="393">
        <f t="shared" si="25"/>
        <v>37.837497622772226</v>
      </c>
      <c r="E95" s="385">
        <f t="shared" si="47"/>
        <v>42.239299607224318</v>
      </c>
      <c r="F95" s="385">
        <f t="shared" si="26"/>
        <v>42.32029653642617</v>
      </c>
      <c r="G95" s="110">
        <f t="shared" si="48"/>
        <v>0.89842694636693832</v>
      </c>
      <c r="H95" s="414" t="b">
        <f>Wh_hp&gt;='2024'!Maxi_hp</f>
        <v>0</v>
      </c>
      <c r="I95" s="390">
        <f>IF(H95,Wh_hp,'2024'!Maxi_hp)</f>
        <v>46.410432138632295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5.4871091187472021E-2</v>
      </c>
      <c r="M95" s="844"/>
      <c r="N95" s="844"/>
      <c r="O95" s="48">
        <f>IF(t&lt;Tnet,'2024'!Resal+('2024'!Salim-'2024'!Resal)*(1-EXP(('2024'!Tnet-t)/('2024'!Tau_j))),Resal+(Salim-Resal)*(1-EXP((Tnet-t)/(Tau_j))))*Salcycl</f>
        <v>0.10421105523490361</v>
      </c>
      <c r="P95" s="169">
        <f>(INDEX(Models!$BJ95:$BT95,,T95)*(1-R95)+INDEX(Models!$BJ95:$BT95,,T95+1)*R95-ERP_i)*Q95*Ramure*Pc/MaxiM</f>
        <v>2.2376658365302659E-3</v>
      </c>
      <c r="Q95" s="305">
        <f t="shared" si="28"/>
        <v>0.7</v>
      </c>
      <c r="R95" s="177">
        <f t="shared" si="29"/>
        <v>0.21315608268975494</v>
      </c>
      <c r="S95" s="810">
        <f t="shared" si="30"/>
        <v>1</v>
      </c>
      <c r="T95" s="176">
        <f t="shared" si="31"/>
        <v>7</v>
      </c>
      <c r="U95" s="251">
        <f t="shared" si="32"/>
        <v>1.2131560826897549</v>
      </c>
      <c r="V95" s="383">
        <f t="shared" si="33"/>
        <v>39.79145170079596</v>
      </c>
      <c r="W95" s="402">
        <f t="shared" si="34"/>
        <v>35.761312840407335</v>
      </c>
      <c r="X95" s="157">
        <f t="shared" si="35"/>
        <v>45738</v>
      </c>
      <c r="Y95" s="385">
        <f t="shared" si="36"/>
        <v>34.00803748174522</v>
      </c>
      <c r="Z95" s="385">
        <f t="shared" si="37"/>
        <v>35.982432834980521</v>
      </c>
      <c r="AA95" s="386">
        <f t="shared" si="38"/>
        <v>42.239299607224318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0.14812903694960103</v>
      </c>
      <c r="AD95" s="231">
        <f>(INDEX(Models!$BJ95:$BT95,,AH95)*(1-AF95)+INDEX(Models!$BJ95:$BT95,,AH95+1)*AF95-ERP_i)*AE95*Ramure*Pc/MaxiM</f>
        <v>2.2376658365302659E-3</v>
      </c>
      <c r="AE95" s="305">
        <f t="shared" si="40"/>
        <v>0.7</v>
      </c>
      <c r="AF95" s="177">
        <f t="shared" si="41"/>
        <v>0.21315608268975494</v>
      </c>
      <c r="AG95" s="810">
        <f t="shared" si="49"/>
        <v>1</v>
      </c>
      <c r="AH95" s="176">
        <f t="shared" si="42"/>
        <v>7</v>
      </c>
      <c r="AI95" s="225">
        <f t="shared" si="43"/>
        <v>1.2131560826897549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41.059937247920232</v>
      </c>
      <c r="C96" s="840"/>
      <c r="D96" s="393">
        <f t="shared" si="25"/>
        <v>43.444753844712146</v>
      </c>
      <c r="E96" s="385">
        <f t="shared" si="47"/>
        <v>48.503746908211831</v>
      </c>
      <c r="F96" s="385">
        <f t="shared" si="26"/>
        <v>48.611523908671693</v>
      </c>
      <c r="G96" s="110">
        <f t="shared" si="48"/>
        <v>1.0216071649905403</v>
      </c>
      <c r="H96" s="414" t="b">
        <f>Wh_hp&gt;='2024'!Maxi_hp</f>
        <v>0</v>
      </c>
      <c r="I96" s="390">
        <f>IF(H96,Wh_hp,'2024'!Maxi_hp)</f>
        <v>49.043918463336865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5.4893085717924506E-2</v>
      </c>
      <c r="M96" s="844"/>
      <c r="N96" s="844"/>
      <c r="O96" s="48">
        <f>IF(t&lt;Tnet,'2024'!Resal+('2024'!Salim-'2024'!Resal)*(1-EXP(('2024'!Tnet-t)/('2024'!Tau_j))),Resal+(Salim-Resal)*(1-EXP((Tnet-t)/(Tau_j))))*Salcycl</f>
        <v>0.10430107746259867</v>
      </c>
      <c r="P96" s="169">
        <f>(INDEX(Models!$BJ96:$BT96,,T96)*(1-R96)+INDEX(Models!$BJ96:$BT96,,T96+1)*R96-ERP_i)*Q96*Ramure*Pc/MaxiM</f>
        <v>2.2171080392859436E-3</v>
      </c>
      <c r="Q96" s="305">
        <f t="shared" si="28"/>
        <v>0.7</v>
      </c>
      <c r="R96" s="177">
        <f t="shared" si="29"/>
        <v>0.21373851445159064</v>
      </c>
      <c r="S96" s="810">
        <f t="shared" si="30"/>
        <v>1</v>
      </c>
      <c r="T96" s="176">
        <f t="shared" si="31"/>
        <v>7</v>
      </c>
      <c r="U96" s="251">
        <f t="shared" si="32"/>
        <v>1.2137385144515906</v>
      </c>
      <c r="V96" s="383">
        <f t="shared" si="33"/>
        <v>40.191512603869064</v>
      </c>
      <c r="W96" s="402">
        <f t="shared" si="34"/>
        <v>41.059937247920232</v>
      </c>
      <c r="X96" s="157">
        <f t="shared" si="35"/>
        <v>45739</v>
      </c>
      <c r="Y96" s="385">
        <f t="shared" si="36"/>
        <v>39.048756564995081</v>
      </c>
      <c r="Z96" s="385">
        <f t="shared" si="37"/>
        <v>41.316761072113621</v>
      </c>
      <c r="AA96" s="386">
        <f t="shared" si="38"/>
        <v>48.503746908211831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0.14817382767765991</v>
      </c>
      <c r="AD96" s="231">
        <f>(INDEX(Models!$BJ96:$BT96,,AH96)*(1-AF96)+INDEX(Models!$BJ96:$BT96,,AH96+1)*AF96-ERP_i)*AE96*Ramure*Pc/MaxiM</f>
        <v>2.2171080392859436E-3</v>
      </c>
      <c r="AE96" s="305">
        <f t="shared" si="40"/>
        <v>0.7</v>
      </c>
      <c r="AF96" s="177">
        <f t="shared" si="41"/>
        <v>0.21373851445159064</v>
      </c>
      <c r="AG96" s="810">
        <f t="shared" si="49"/>
        <v>1</v>
      </c>
      <c r="AH96" s="176">
        <f t="shared" si="42"/>
        <v>7</v>
      </c>
      <c r="AI96" s="225">
        <f t="shared" si="43"/>
        <v>1.2137385144515906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40.443928726489311</v>
      </c>
      <c r="C97" s="840"/>
      <c r="D97" s="393">
        <f t="shared" si="25"/>
        <v>42.793962594614754</v>
      </c>
      <c r="E97" s="385">
        <f t="shared" si="47"/>
        <v>47.782005700680827</v>
      </c>
      <c r="F97" s="385">
        <f t="shared" si="26"/>
        <v>47.886367154702633</v>
      </c>
      <c r="G97" s="110">
        <f t="shared" si="48"/>
        <v>0.99630285342403824</v>
      </c>
      <c r="H97" s="414" t="b">
        <f>Wh_hp&gt;='2024'!Maxi_hp</f>
        <v>0</v>
      </c>
      <c r="I97" s="390">
        <f>IF(H97,Wh_hp,'2024'!Maxi_hp)</f>
        <v>48.279322574126304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5.4915079736532202E-2</v>
      </c>
      <c r="M97" s="844"/>
      <c r="N97" s="844"/>
      <c r="O97" s="48">
        <f>IF(t&lt;Tnet,'2024'!Resal+('2024'!Salim-'2024'!Resal)*(1-EXP(('2024'!Tnet-t)/('2024'!Tau_j))),Resal+(Salim-Resal)*(1-EXP((Tnet-t)/(Tau_j))))*Salcycl</f>
        <v>0.1043916644544496</v>
      </c>
      <c r="P97" s="169">
        <f>(INDEX(Models!$BJ97:$BT97,,T97)*(1-R97)+INDEX(Models!$BJ97:$BT97,,T97+1)*R97-ERP_i)*Q97*Ramure*Pc/MaxiM</f>
        <v>2.1908917070411296E-3</v>
      </c>
      <c r="Q97" s="305">
        <f t="shared" si="28"/>
        <v>0.7</v>
      </c>
      <c r="R97" s="177">
        <f t="shared" si="29"/>
        <v>0.21434351481363856</v>
      </c>
      <c r="S97" s="810">
        <f t="shared" si="30"/>
        <v>1</v>
      </c>
      <c r="T97" s="176">
        <f t="shared" si="31"/>
        <v>7</v>
      </c>
      <c r="U97" s="251">
        <f t="shared" si="32"/>
        <v>1.2143435148136386</v>
      </c>
      <c r="V97" s="383">
        <f t="shared" si="33"/>
        <v>40.593541441458228</v>
      </c>
      <c r="W97" s="402">
        <f t="shared" si="34"/>
        <v>40.443928726489311</v>
      </c>
      <c r="X97" s="157">
        <f t="shared" si="35"/>
        <v>45740</v>
      </c>
      <c r="Y97" s="385">
        <f t="shared" si="36"/>
        <v>38.464748987379487</v>
      </c>
      <c r="Z97" s="385">
        <f t="shared" si="37"/>
        <v>40.699780689185481</v>
      </c>
      <c r="AA97" s="386">
        <f t="shared" si="38"/>
        <v>47.782005700680827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0.14821950036715245</v>
      </c>
      <c r="AD97" s="231">
        <f>(INDEX(Models!$BJ97:$BT97,,AH97)*(1-AF97)+INDEX(Models!$BJ97:$BT97,,AH97+1)*AF97-ERP_i)*AE97*Ramure*Pc/MaxiM</f>
        <v>2.1908917070411296E-3</v>
      </c>
      <c r="AE97" s="305">
        <f t="shared" si="40"/>
        <v>0.7</v>
      </c>
      <c r="AF97" s="177">
        <f t="shared" si="41"/>
        <v>0.21434351481363856</v>
      </c>
      <c r="AG97" s="810">
        <f t="shared" si="49"/>
        <v>1</v>
      </c>
      <c r="AH97" s="176">
        <f t="shared" si="42"/>
        <v>7</v>
      </c>
      <c r="AI97" s="225">
        <f t="shared" si="43"/>
        <v>1.2143435148136386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38.197050577472488</v>
      </c>
      <c r="C98" s="840"/>
      <c r="D98" s="393">
        <f t="shared" si="25"/>
        <v>40.417467975977793</v>
      </c>
      <c r="E98" s="385">
        <f t="shared" si="47"/>
        <v>45.133103634839429</v>
      </c>
      <c r="F98" s="385">
        <f t="shared" si="26"/>
        <v>45.221224142075641</v>
      </c>
      <c r="G98" s="110">
        <f t="shared" si="48"/>
        <v>0.93152842955841542</v>
      </c>
      <c r="H98" s="414" t="b">
        <f>Wh_hp&gt;='2024'!Maxi_hp</f>
        <v>0</v>
      </c>
      <c r="I98" s="390">
        <f>IF(H98,Wh_hp,'2024'!Maxi_hp)</f>
        <v>45.226476614605296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5.4937073243306989E-2</v>
      </c>
      <c r="M98" s="844"/>
      <c r="N98" s="844"/>
      <c r="O98" s="48">
        <f>IF(t&lt;Tnet,'2024'!Resal+('2024'!Salim-'2024'!Resal)*(1-EXP(('2024'!Tnet-t)/('2024'!Tau_j))),Resal+(Salim-Resal)*(1-EXP((Tnet-t)/(Tau_j))))*Salcycl</f>
        <v>0.10448285801514245</v>
      </c>
      <c r="P98" s="169">
        <f>(INDEX(Models!$BJ98:$BT98,,T98)*(1-R98)+INDEX(Models!$BJ98:$BT98,,T98+1)*R98-ERP_i)*Q98*Ramure*Pc/MaxiM</f>
        <v>2.1592584278138176E-3</v>
      </c>
      <c r="Q98" s="305">
        <f t="shared" si="28"/>
        <v>0.7</v>
      </c>
      <c r="R98" s="177">
        <f t="shared" si="29"/>
        <v>0.21497188028183634</v>
      </c>
      <c r="S98" s="810">
        <f t="shared" si="30"/>
        <v>1</v>
      </c>
      <c r="T98" s="176">
        <f t="shared" si="31"/>
        <v>7</v>
      </c>
      <c r="U98" s="251">
        <f t="shared" si="32"/>
        <v>1.2149718802818363</v>
      </c>
      <c r="V98" s="383">
        <f t="shared" si="33"/>
        <v>40.996054635592664</v>
      </c>
      <c r="W98" s="402">
        <f t="shared" si="34"/>
        <v>38.197050577472488</v>
      </c>
      <c r="X98" s="157">
        <f t="shared" si="35"/>
        <v>45741</v>
      </c>
      <c r="Y98" s="385">
        <f t="shared" si="36"/>
        <v>36.329536136741446</v>
      </c>
      <c r="Z98" s="385">
        <f t="shared" si="37"/>
        <v>38.44139380371071</v>
      </c>
      <c r="AA98" s="386">
        <f t="shared" si="38"/>
        <v>45.133103634839429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0.14826611272447954</v>
      </c>
      <c r="AD98" s="231">
        <f>(INDEX(Models!$BJ98:$BT98,,AH98)*(1-AF98)+INDEX(Models!$BJ98:$BT98,,AH98+1)*AF98-ERP_i)*AE98*Ramure*Pc/MaxiM</f>
        <v>2.1592584278138176E-3</v>
      </c>
      <c r="AE98" s="305">
        <f t="shared" si="40"/>
        <v>0.7</v>
      </c>
      <c r="AF98" s="177">
        <f t="shared" si="41"/>
        <v>0.21497188028183634</v>
      </c>
      <c r="AG98" s="810">
        <f t="shared" si="49"/>
        <v>1</v>
      </c>
      <c r="AH98" s="176">
        <f t="shared" si="42"/>
        <v>7</v>
      </c>
      <c r="AI98" s="225">
        <f t="shared" si="43"/>
        <v>1.2149718802818363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40.652890217011162</v>
      </c>
      <c r="C99" s="840"/>
      <c r="D99" s="393">
        <f t="shared" si="25"/>
        <v>43.017068112798206</v>
      </c>
      <c r="E99" s="385">
        <f t="shared" si="47"/>
        <v>48.040934419342491</v>
      </c>
      <c r="F99" s="385">
        <f t="shared" si="26"/>
        <v>48.140483749149737</v>
      </c>
      <c r="G99" s="110">
        <f t="shared" si="48"/>
        <v>0.98195785311134987</v>
      </c>
      <c r="H99" s="414" t="b">
        <f>Wh_hp&gt;='2024'!Maxi_hp</f>
        <v>0</v>
      </c>
      <c r="I99" s="390">
        <f>IF(H99,Wh_hp,'2024'!Maxi_hp)</f>
        <v>50.66707986781163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5.4959066238260634E-2</v>
      </c>
      <c r="M99" s="844"/>
      <c r="N99" s="844"/>
      <c r="O99" s="48">
        <f>IF(t&lt;Tnet,'2024'!Resal+('2024'!Salim-'2024'!Resal)*(1-EXP(('2024'!Tnet-t)/('2024'!Tau_j))),Resal+(Salim-Resal)*(1-EXP((Tnet-t)/(Tau_j))))*Salcycl</f>
        <v>0.10457470004000484</v>
      </c>
      <c r="P99" s="169">
        <f>(INDEX(Models!$BJ99:$BT99,,T99)*(1-R99)+INDEX(Models!$BJ99:$BT99,,T99+1)*R99-ERP_i)*Q99*Ramure*Pc/MaxiM</f>
        <v>2.1224341114337015E-3</v>
      </c>
      <c r="Q99" s="305">
        <f t="shared" si="28"/>
        <v>0.7</v>
      </c>
      <c r="R99" s="177">
        <f t="shared" si="29"/>
        <v>0.2156244290829592</v>
      </c>
      <c r="S99" s="810">
        <f t="shared" si="30"/>
        <v>1</v>
      </c>
      <c r="T99" s="176">
        <f t="shared" si="31"/>
        <v>7</v>
      </c>
      <c r="U99" s="251">
        <f t="shared" si="32"/>
        <v>1.2156244290829592</v>
      </c>
      <c r="V99" s="383">
        <f t="shared" si="33"/>
        <v>41.397569362452003</v>
      </c>
      <c r="W99" s="402">
        <f t="shared" si="34"/>
        <v>40.652890217011162</v>
      </c>
      <c r="X99" s="157">
        <f t="shared" si="35"/>
        <v>45742</v>
      </c>
      <c r="Y99" s="385">
        <f t="shared" si="36"/>
        <v>38.667110189626058</v>
      </c>
      <c r="Z99" s="385">
        <f t="shared" si="37"/>
        <v>40.915804605110033</v>
      </c>
      <c r="AA99" s="386">
        <f t="shared" si="38"/>
        <v>48.040934419342491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0.14831372246089577</v>
      </c>
      <c r="AD99" s="231">
        <f>(INDEX(Models!$BJ99:$BT99,,AH99)*(1-AF99)+INDEX(Models!$BJ99:$BT99,,AH99+1)*AF99-ERP_i)*AE99*Ramure*Pc/MaxiM</f>
        <v>2.1224341114337015E-3</v>
      </c>
      <c r="AE99" s="305">
        <f t="shared" si="40"/>
        <v>0.7</v>
      </c>
      <c r="AF99" s="177">
        <f t="shared" si="41"/>
        <v>0.2156244290829592</v>
      </c>
      <c r="AG99" s="810">
        <f t="shared" si="49"/>
        <v>1</v>
      </c>
      <c r="AH99" s="176">
        <f t="shared" si="42"/>
        <v>7</v>
      </c>
      <c r="AI99" s="225">
        <f t="shared" si="43"/>
        <v>1.2156244290829592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38.965447766859839</v>
      </c>
      <c r="C100" s="840"/>
      <c r="D100" s="393">
        <f t="shared" si="25"/>
        <v>41.232451610060053</v>
      </c>
      <c r="E100" s="385">
        <f t="shared" si="47"/>
        <v>46.052655618360212</v>
      </c>
      <c r="F100" s="385">
        <f t="shared" si="26"/>
        <v>46.139303231967567</v>
      </c>
      <c r="G100" s="110">
        <f t="shared" si="48"/>
        <v>0.93207419760274601</v>
      </c>
      <c r="H100" s="414" t="b">
        <f>Wh_hp&gt;='2024'!Maxi_hp</f>
        <v>0</v>
      </c>
      <c r="I100" s="390">
        <f>IF(H100,Wh_hp,'2024'!Maxi_hp)</f>
        <v>49.81019451356466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5.498105872140524E-2</v>
      </c>
      <c r="M100" s="844"/>
      <c r="N100" s="844"/>
      <c r="O100" s="48">
        <f>IF(t&lt;Tnet,'2024'!Resal+('2024'!Salim-'2024'!Resal)*(1-EXP(('2024'!Tnet-t)/('2024'!Tau_j))),Resal+(Salim-Resal)*(1-EXP((Tnet-t)/(Tau_j))))*Salcycl</f>
        <v>0.10466723240121788</v>
      </c>
      <c r="P100" s="169">
        <f>(INDEX(Models!$BJ100:$BT100,,T100)*(1-R100)+INDEX(Models!$BJ100:$BT100,,T100+1)*R100-ERP_i)*Q100*Ramure*Pc/MaxiM</f>
        <v>2.0791530152922972E-3</v>
      </c>
      <c r="Q100" s="305">
        <f t="shared" si="28"/>
        <v>0.7</v>
      </c>
      <c r="R100" s="177">
        <f t="shared" si="29"/>
        <v>0.2163020012173309</v>
      </c>
      <c r="S100" s="810">
        <f t="shared" si="30"/>
        <v>1</v>
      </c>
      <c r="T100" s="176">
        <f t="shared" si="31"/>
        <v>7</v>
      </c>
      <c r="U100" s="251">
        <f t="shared" si="32"/>
        <v>1.2163020012173309</v>
      </c>
      <c r="V100" s="383">
        <f t="shared" si="33"/>
        <v>41.796665342942447</v>
      </c>
      <c r="W100" s="402">
        <f t="shared" si="34"/>
        <v>38.965447766859839</v>
      </c>
      <c r="X100" s="157">
        <f t="shared" si="35"/>
        <v>45743</v>
      </c>
      <c r="Y100" s="385">
        <f t="shared" si="36"/>
        <v>37.063807023964401</v>
      </c>
      <c r="Z100" s="385">
        <f t="shared" si="37"/>
        <v>39.220173697066528</v>
      </c>
      <c r="AA100" s="386">
        <f t="shared" si="38"/>
        <v>46.052655618360212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0.14836238713169284</v>
      </c>
      <c r="AD100" s="231">
        <f>(INDEX(Models!$BJ100:$BT100,,AH100)*(1-AF100)+INDEX(Models!$BJ100:$BT100,,AH100+1)*AF100-ERP_i)*AE100*Ramure*Pc/MaxiM</f>
        <v>2.0791530152922972E-3</v>
      </c>
      <c r="AE100" s="305">
        <f t="shared" si="40"/>
        <v>0.7</v>
      </c>
      <c r="AF100" s="177">
        <f t="shared" si="41"/>
        <v>0.2163020012173309</v>
      </c>
      <c r="AG100" s="810">
        <f t="shared" si="49"/>
        <v>1</v>
      </c>
      <c r="AH100" s="176">
        <f t="shared" si="42"/>
        <v>7</v>
      </c>
      <c r="AI100" s="225">
        <f t="shared" si="43"/>
        <v>1.2163020012173309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29.486471078389389</v>
      </c>
      <c r="C101" s="840"/>
      <c r="D101" s="393">
        <f t="shared" si="25"/>
        <v>31.202715627817799</v>
      </c>
      <c r="E101" s="385">
        <f t="shared" si="47"/>
        <v>34.854042429539504</v>
      </c>
      <c r="F101" s="385">
        <f t="shared" si="26"/>
        <v>34.894454914301548</v>
      </c>
      <c r="G101" s="110">
        <f t="shared" si="48"/>
        <v>0.69825654815510541</v>
      </c>
      <c r="H101" s="414" t="b">
        <f>Wh_hp&gt;='2024'!Maxi_hp</f>
        <v>0</v>
      </c>
      <c r="I101" s="390">
        <f>IF(H101,Wh_hp,'2024'!Maxi_hp)</f>
        <v>49.482894626918331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5.5003050692752686E-2</v>
      </c>
      <c r="M101" s="844"/>
      <c r="N101" s="844"/>
      <c r="O101" s="48">
        <f>IF(t&lt;Tnet,'2024'!Resal+('2024'!Salim-'2024'!Resal)*(1-EXP(('2024'!Tnet-t)/('2024'!Tau_j))),Resal+(Salim-Resal)*(1-EXP((Tnet-t)/(Tau_j))))*Salcycl</f>
        <v>0.10476049683772491</v>
      </c>
      <c r="P101" s="169">
        <f>(INDEX(Models!$BJ101:$BT101,,T101)*(1-R101)+INDEX(Models!$BJ101:$BT101,,T101+1)*R101-ERP_i)*Q101*Ramure*Pc/MaxiM</f>
        <v>2.0324863551474375E-3</v>
      </c>
      <c r="Q101" s="305">
        <f t="shared" si="28"/>
        <v>0.7</v>
      </c>
      <c r="R101" s="177">
        <f t="shared" si="29"/>
        <v>0.21700545845706221</v>
      </c>
      <c r="S101" s="810">
        <f t="shared" si="30"/>
        <v>1</v>
      </c>
      <c r="T101" s="176">
        <f t="shared" si="31"/>
        <v>7</v>
      </c>
      <c r="U101" s="251">
        <f t="shared" si="32"/>
        <v>1.2170054584570622</v>
      </c>
      <c r="V101" s="383">
        <f t="shared" si="33"/>
        <v>42.191741306433798</v>
      </c>
      <c r="W101" s="402">
        <f t="shared" si="34"/>
        <v>29.486471078389389</v>
      </c>
      <c r="X101" s="157">
        <f t="shared" si="35"/>
        <v>45744</v>
      </c>
      <c r="Y101" s="385">
        <f t="shared" si="36"/>
        <v>28.048717699319781</v>
      </c>
      <c r="Z101" s="385">
        <f t="shared" si="37"/>
        <v>29.681278569080636</v>
      </c>
      <c r="AA101" s="386">
        <f t="shared" si="38"/>
        <v>34.854042429539504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0.1484121639811527</v>
      </c>
      <c r="AD101" s="231">
        <f>(INDEX(Models!$BJ101:$BT101,,AH101)*(1-AF101)+INDEX(Models!$BJ101:$BT101,,AH101+1)*AF101-ERP_i)*AE101*Ramure*Pc/MaxiM</f>
        <v>2.0324863551474375E-3</v>
      </c>
      <c r="AE101" s="305">
        <f t="shared" si="40"/>
        <v>0.7</v>
      </c>
      <c r="AF101" s="177">
        <f t="shared" si="41"/>
        <v>0.21700545845706221</v>
      </c>
      <c r="AG101" s="810">
        <f t="shared" si="49"/>
        <v>1</v>
      </c>
      <c r="AH101" s="176">
        <f t="shared" si="42"/>
        <v>7</v>
      </c>
      <c r="AI101" s="225">
        <f t="shared" si="43"/>
        <v>1.2170054584570622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25.395745256110452</v>
      </c>
      <c r="C102" s="840"/>
      <c r="D102" s="393">
        <f t="shared" si="25"/>
        <v>26.874516668624604</v>
      </c>
      <c r="E102" s="385">
        <f t="shared" si="47"/>
        <v>30.022513339878355</v>
      </c>
      <c r="F102" s="385">
        <f t="shared" si="26"/>
        <v>30.047738221528391</v>
      </c>
      <c r="G102" s="110">
        <f t="shared" si="48"/>
        <v>0.59572351304955107</v>
      </c>
      <c r="H102" s="414" t="b">
        <f>Wh_hp&gt;='2024'!Maxi_hp</f>
        <v>0</v>
      </c>
      <c r="I102" s="390">
        <f>IF(H102,Wh_hp,'2024'!Maxi_hp)</f>
        <v>51.787106415664866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5.502504215231474E-2</v>
      </c>
      <c r="M102" s="844"/>
      <c r="N102" s="844"/>
      <c r="O102" s="48">
        <f>IF(t&lt;Tnet,'2024'!Resal+('2024'!Salim-'2024'!Resal)*(1-EXP(('2024'!Tnet-t)/('2024'!Tau_j))),Resal+(Salim-Resal)*(1-EXP((Tnet-t)/(Tau_j))))*Salcycl</f>
        <v>0.10485453484909689</v>
      </c>
      <c r="P102" s="169">
        <f>(INDEX(Models!$BJ102:$BT102,,T102)*(1-R102)+INDEX(Models!$BJ102:$BT102,,T102+1)*R102-ERP_i)*Q102*Ramure*Pc/MaxiM</f>
        <v>1.9825705837862306E-3</v>
      </c>
      <c r="Q102" s="305">
        <f t="shared" si="28"/>
        <v>0.7</v>
      </c>
      <c r="R102" s="177">
        <f t="shared" si="29"/>
        <v>0.21773568428457146</v>
      </c>
      <c r="S102" s="810">
        <f t="shared" si="30"/>
        <v>1</v>
      </c>
      <c r="T102" s="176">
        <f t="shared" si="31"/>
        <v>7</v>
      </c>
      <c r="U102" s="251">
        <f t="shared" si="32"/>
        <v>1.2177356842845715</v>
      </c>
      <c r="V102" s="383">
        <f t="shared" si="33"/>
        <v>42.581316695156531</v>
      </c>
      <c r="W102" s="402">
        <f t="shared" si="34"/>
        <v>25.395745256110452</v>
      </c>
      <c r="X102" s="157">
        <f t="shared" si="35"/>
        <v>45745</v>
      </c>
      <c r="Y102" s="385">
        <f t="shared" si="36"/>
        <v>24.158547165533854</v>
      </c>
      <c r="Z102" s="385">
        <f t="shared" si="37"/>
        <v>25.565277645619709</v>
      </c>
      <c r="AA102" s="386">
        <f t="shared" si="38"/>
        <v>30.022513339878355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0.14846310979361557</v>
      </c>
      <c r="AD102" s="231">
        <f>(INDEX(Models!$BJ102:$BT102,,AH102)*(1-AF102)+INDEX(Models!$BJ102:$BT102,,AH102+1)*AF102-ERP_i)*AE102*Ramure*Pc/MaxiM</f>
        <v>1.9825705837862306E-3</v>
      </c>
      <c r="AE102" s="305">
        <f t="shared" si="40"/>
        <v>0.7</v>
      </c>
      <c r="AF102" s="177">
        <f t="shared" si="41"/>
        <v>0.21773568428457146</v>
      </c>
      <c r="AG102" s="810">
        <f t="shared" si="49"/>
        <v>1</v>
      </c>
      <c r="AH102" s="176">
        <f t="shared" si="42"/>
        <v>7</v>
      </c>
      <c r="AI102" s="225">
        <f t="shared" si="43"/>
        <v>1.2177356842845715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7.4541186233046899</v>
      </c>
      <c r="C103" s="840"/>
      <c r="D103" s="393">
        <f t="shared" si="25"/>
        <v>7.8883488220153293</v>
      </c>
      <c r="E103" s="385">
        <f t="shared" si="47"/>
        <v>8.8132991728884296</v>
      </c>
      <c r="F103" s="385">
        <f t="shared" si="26"/>
        <v>8.8132991728884296</v>
      </c>
      <c r="G103" s="110">
        <f t="shared" si="48"/>
        <v>0.17316243800853545</v>
      </c>
      <c r="H103" s="414" t="b">
        <f>Wh_hp&gt;='2024'!Maxi_hp</f>
        <v>0</v>
      </c>
      <c r="I103" s="390">
        <f>IF(H103,Wh_hp,'2024'!Maxi_hp)</f>
        <v>50.64313114829168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5.5047033100103393E-2</v>
      </c>
      <c r="M103" s="844"/>
      <c r="N103" s="844"/>
      <c r="O103" s="48">
        <f>IF(t&lt;Tnet,'2024'!Resal+('2024'!Salim-'2024'!Resal)*(1-EXP(('2024'!Tnet-t)/('2024'!Tau_j))),Resal+(Salim-Resal)*(1-EXP((Tnet-t)/(Tau_j))))*Salcycl</f>
        <v>0.10494938759351818</v>
      </c>
      <c r="P103" s="169">
        <f>(INDEX(Models!$BJ103:$BT103,,T103)*(1-R103)+INDEX(Models!$BJ103:$BT103,,T103+1)*R103-ERP_i)*Q103*Ramure*Pc/MaxiM</f>
        <v>1.9295254814526977E-3</v>
      </c>
      <c r="Q103" s="305">
        <f t="shared" si="28"/>
        <v>0.7</v>
      </c>
      <c r="R103" s="177">
        <f t="shared" si="29"/>
        <v>0.21849358376586614</v>
      </c>
      <c r="S103" s="810">
        <f t="shared" si="30"/>
        <v>1</v>
      </c>
      <c r="T103" s="176">
        <f t="shared" si="31"/>
        <v>7</v>
      </c>
      <c r="U103" s="251">
        <f t="shared" si="32"/>
        <v>1.2184935837658661</v>
      </c>
      <c r="V103" s="383">
        <f t="shared" si="33"/>
        <v>42.963911787338866</v>
      </c>
      <c r="W103" s="402">
        <f t="shared" si="34"/>
        <v>7.4541186233046899</v>
      </c>
      <c r="X103" s="157">
        <f t="shared" si="35"/>
        <v>45746</v>
      </c>
      <c r="Y103" s="385">
        <f t="shared" si="36"/>
        <v>7.0912951907258792</v>
      </c>
      <c r="Z103" s="385">
        <f t="shared" si="37"/>
        <v>7.5043895718855325</v>
      </c>
      <c r="AA103" s="386">
        <f t="shared" si="38"/>
        <v>8.8132991728884296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0.14851528075086559</v>
      </c>
      <c r="AD103" s="231">
        <f>(INDEX(Models!$BJ103:$BT103,,AH103)*(1-AF103)+INDEX(Models!$BJ103:$BT103,,AH103+1)*AF103-ERP_i)*AE103*Ramure*Pc/MaxiM</f>
        <v>1.9295254814526977E-3</v>
      </c>
      <c r="AE103" s="305">
        <f t="shared" si="40"/>
        <v>0.7</v>
      </c>
      <c r="AF103" s="177">
        <f t="shared" si="41"/>
        <v>0.21849358376586614</v>
      </c>
      <c r="AG103" s="810">
        <f t="shared" si="49"/>
        <v>1</v>
      </c>
      <c r="AH103" s="176">
        <f t="shared" si="42"/>
        <v>7</v>
      </c>
      <c r="AI103" s="225">
        <f t="shared" si="43"/>
        <v>1.2184935837658661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26.880650389760977</v>
      </c>
      <c r="C104" s="840"/>
      <c r="D104" s="393">
        <f t="shared" si="25"/>
        <v>28.447210493991875</v>
      </c>
      <c r="E104" s="385">
        <f t="shared" si="47"/>
        <v>31.786194321267601</v>
      </c>
      <c r="F104" s="385">
        <f t="shared" si="26"/>
        <v>31.786194321267601</v>
      </c>
      <c r="G104" s="110">
        <f t="shared" si="48"/>
        <v>0.61909320197402373</v>
      </c>
      <c r="H104" s="414" t="b">
        <f>Wh_hp&gt;='2024'!Maxi_hp</f>
        <v>0</v>
      </c>
      <c r="I104" s="390">
        <f>IF(H104,Wh_hp,'2024'!Maxi_hp)</f>
        <v>46.771911898558628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5.5069023536130524E-2</v>
      </c>
      <c r="M104" s="844"/>
      <c r="N104" s="844"/>
      <c r="O104" s="48">
        <f>IF(t&lt;Tnet,'2024'!Resal+('2024'!Salim-'2024'!Resal)*(1-EXP(('2024'!Tnet-t)/('2024'!Tau_j))),Resal+(Salim-Resal)*(1-EXP((Tnet-t)/(Tau_j))))*Salcycl</f>
        <v>0.10504509578995648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0.39929003025361376</v>
      </c>
      <c r="S104" s="810">
        <f t="shared" si="30"/>
        <v>-2</v>
      </c>
      <c r="T104" s="176">
        <f t="shared" si="31"/>
        <v>4</v>
      </c>
      <c r="U104" s="251">
        <f t="shared" si="32"/>
        <v>-1.6007099697463862</v>
      </c>
      <c r="V104" s="383">
        <f t="shared" si="33"/>
        <v>43.419391949467489</v>
      </c>
      <c r="W104" s="402">
        <f t="shared" si="34"/>
        <v>26.880650389760977</v>
      </c>
      <c r="X104" s="157">
        <f t="shared" si="35"/>
        <v>45747</v>
      </c>
      <c r="Y104" s="385">
        <f t="shared" si="36"/>
        <v>25.551545001123568</v>
      </c>
      <c r="Z104" s="385">
        <f t="shared" si="37"/>
        <v>27.040647028783866</v>
      </c>
      <c r="AA104" s="386">
        <f t="shared" si="38"/>
        <v>31.759048621387183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0.14856873229589915</v>
      </c>
      <c r="AD104" s="231">
        <f>(INDEX(Models!$BJ104:$BT104,,AH104)*(1-AF104)+INDEX(Models!$BJ104:$BT104,,AH104+1)*AF104-ERP_i)*AE104*Ramure*Pc/MaxiM</f>
        <v>1.8734538410150245E-3</v>
      </c>
      <c r="AE104" s="305">
        <f t="shared" si="40"/>
        <v>0.7</v>
      </c>
      <c r="AF104" s="177">
        <f t="shared" si="41"/>
        <v>0.21928008335279747</v>
      </c>
      <c r="AG104" s="810">
        <f t="shared" si="49"/>
        <v>1</v>
      </c>
      <c r="AH104" s="176">
        <f t="shared" si="42"/>
        <v>7</v>
      </c>
      <c r="AI104" s="225">
        <f t="shared" si="43"/>
        <v>1.2192800833527975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30.721471558625261</v>
      </c>
      <c r="C105" s="840"/>
      <c r="D105" s="393">
        <f t="shared" si="25"/>
        <v>32.512625021307308</v>
      </c>
      <c r="E105" s="385">
        <f t="shared" si="47"/>
        <v>36.332707656244494</v>
      </c>
      <c r="F105" s="385">
        <f t="shared" si="26"/>
        <v>36.332713457679112</v>
      </c>
      <c r="G105" s="110">
        <f t="shared" si="48"/>
        <v>0.7016969739959823</v>
      </c>
      <c r="H105" s="414" t="b">
        <f>Wh_hp&gt;='2024'!Maxi_hp</f>
        <v>0</v>
      </c>
      <c r="I105" s="390">
        <f>IF(H105,Wh_hp,'2024'!Maxi_hp)</f>
        <v>47.56351472577898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5.5091013460408234E-2</v>
      </c>
      <c r="M105" s="844"/>
      <c r="N105" s="844"/>
      <c r="O105" s="48">
        <f>IF(t&lt;Tnet,'2024'!Resal+('2024'!Salim-'2024'!Resal)*(1-EXP(('2024'!Tnet-t)/('2024'!Tau_j))),Resal+(Salim-Resal)*(1-EXP((Tnet-t)/(Tau_j))))*Salcycl</f>
        <v>0.10514169962448776</v>
      </c>
      <c r="P105" s="169">
        <f>(INDEX(Models!$BJ105:$BT105,,T105)*(1-R105)+INDEX(Models!$BJ105:$BT105,,T105+1)*R105-ERP_i)*Q105*Ramure*Pc/MaxiM</f>
        <v>2.7825114402455365E-7</v>
      </c>
      <c r="Q105" s="305">
        <f t="shared" si="28"/>
        <v>0.7</v>
      </c>
      <c r="R105" s="177">
        <f t="shared" si="29"/>
        <v>0.40010607750904192</v>
      </c>
      <c r="S105" s="810">
        <f t="shared" si="30"/>
        <v>-2</v>
      </c>
      <c r="T105" s="176">
        <f t="shared" si="31"/>
        <v>4</v>
      </c>
      <c r="U105" s="251">
        <f t="shared" si="32"/>
        <v>-1.5998939224909581</v>
      </c>
      <c r="V105" s="383">
        <f t="shared" si="33"/>
        <v>43.781673648736898</v>
      </c>
      <c r="W105" s="402">
        <f t="shared" si="34"/>
        <v>30.721471558625261</v>
      </c>
      <c r="X105" s="157">
        <f t="shared" si="35"/>
        <v>45748</v>
      </c>
      <c r="Y105" s="385">
        <f t="shared" si="36"/>
        <v>29.198263875731239</v>
      </c>
      <c r="Z105" s="385">
        <f t="shared" si="37"/>
        <v>30.900609785350824</v>
      </c>
      <c r="AA105" s="386">
        <f t="shared" si="38"/>
        <v>36.294883021862496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0.14862351900300633</v>
      </c>
      <c r="AD105" s="231">
        <f>(INDEX(Models!$BJ105:$BT105,,AH105)*(1-AF105)+INDEX(Models!$BJ105:$BT105,,AH105+1)*AF105-ERP_i)*AE105*Ramure*Pc/MaxiM</f>
        <v>1.8144412079881035E-3</v>
      </c>
      <c r="AE105" s="305">
        <f t="shared" si="40"/>
        <v>0.7</v>
      </c>
      <c r="AF105" s="177">
        <f t="shared" si="41"/>
        <v>0.22009613060822564</v>
      </c>
      <c r="AG105" s="810">
        <f t="shared" si="49"/>
        <v>1</v>
      </c>
      <c r="AH105" s="176">
        <f t="shared" si="42"/>
        <v>7</v>
      </c>
      <c r="AI105" s="225">
        <f t="shared" si="43"/>
        <v>1.2200961306082256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19.545051868202219</v>
      </c>
      <c r="C106" s="840"/>
      <c r="D106" s="393">
        <f t="shared" si="25"/>
        <v>20.685068084997834</v>
      </c>
      <c r="E106" s="385">
        <f t="shared" si="47"/>
        <v>23.11798748755464</v>
      </c>
      <c r="F106" s="385">
        <f t="shared" si="26"/>
        <v>23.117990043428534</v>
      </c>
      <c r="G106" s="110">
        <f t="shared" si="48"/>
        <v>0.44287337247947384</v>
      </c>
      <c r="H106" s="414" t="b">
        <f>Wh_hp&gt;='2024'!Maxi_hp</f>
        <v>0</v>
      </c>
      <c r="I106" s="390">
        <f>IF(H106,Wh_hp,'2024'!Maxi_hp)</f>
        <v>43.51711445287431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5.511300287294818E-2</v>
      </c>
      <c r="M106" s="844"/>
      <c r="N106" s="844"/>
      <c r="O106" s="48">
        <f>IF(t&lt;Tnet,'2024'!Resal+('2024'!Salim-'2024'!Resal)*(1-EXP(('2024'!Tnet-t)/('2024'!Tau_j))),Resal+(Salim-Resal)*(1-EXP((Tnet-t)/(Tau_j))))*Salcycl</f>
        <v>0.10523923866065532</v>
      </c>
      <c r="P106" s="169">
        <f>(INDEX(Models!$BJ106:$BT106,,T106)*(1-R106)+INDEX(Models!$BJ106:$BT106,,T106+1)*R106-ERP_i)*Q106*Ramure*Pc/MaxiM</f>
        <v>5.4167091052806773E-7</v>
      </c>
      <c r="Q106" s="305">
        <f t="shared" si="28"/>
        <v>0.7</v>
      </c>
      <c r="R106" s="177">
        <f t="shared" si="29"/>
        <v>0.40095264074859349</v>
      </c>
      <c r="S106" s="810">
        <f t="shared" si="30"/>
        <v>-2</v>
      </c>
      <c r="T106" s="176">
        <f t="shared" si="31"/>
        <v>4</v>
      </c>
      <c r="U106" s="251">
        <f t="shared" si="32"/>
        <v>-1.5990473592514065</v>
      </c>
      <c r="V106" s="383">
        <f t="shared" si="33"/>
        <v>44.132351720872222</v>
      </c>
      <c r="W106" s="402">
        <f t="shared" si="34"/>
        <v>19.545051868202219</v>
      </c>
      <c r="X106" s="157">
        <f t="shared" si="35"/>
        <v>45749</v>
      </c>
      <c r="Y106" s="385">
        <f t="shared" si="36"/>
        <v>18.589493625602746</v>
      </c>
      <c r="Z106" s="385">
        <f t="shared" si="37"/>
        <v>19.673774411251802</v>
      </c>
      <c r="AA106" s="386">
        <f t="shared" si="38"/>
        <v>23.109720610544077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0.14867969445396856</v>
      </c>
      <c r="AD106" s="231">
        <f>(INDEX(Models!$BJ106:$BT106,,AH106)*(1-AF106)+INDEX(Models!$BJ106:$BT106,,AH106+1)*AF106-ERP_i)*AE106*Ramure*Pc/MaxiM</f>
        <v>1.7525556522225872E-3</v>
      </c>
      <c r="AE106" s="305">
        <f t="shared" si="40"/>
        <v>0.7</v>
      </c>
      <c r="AF106" s="177">
        <f t="shared" si="41"/>
        <v>0.22094269384777721</v>
      </c>
      <c r="AG106" s="810">
        <f t="shared" si="49"/>
        <v>1</v>
      </c>
      <c r="AH106" s="176">
        <f t="shared" si="42"/>
        <v>7</v>
      </c>
      <c r="AI106" s="225">
        <f t="shared" si="43"/>
        <v>1.2209426938477772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20.477305038689927</v>
      </c>
      <c r="C107" s="840"/>
      <c r="D107" s="393">
        <f t="shared" si="25"/>
        <v>21.672201701205193</v>
      </c>
      <c r="E107" s="385">
        <f t="shared" si="47"/>
        <v>24.223892025941172</v>
      </c>
      <c r="F107" s="385">
        <f t="shared" si="26"/>
        <v>24.223896403608482</v>
      </c>
      <c r="G107" s="110">
        <f t="shared" si="48"/>
        <v>0.46043448876490811</v>
      </c>
      <c r="H107" s="414" t="b">
        <f>Wh_hp&gt;='2024'!Maxi_hp</f>
        <v>0</v>
      </c>
      <c r="I107" s="390">
        <f>IF(H107,Wh_hp,'2024'!Maxi_hp)</f>
        <v>53.130196848122523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5.5134991773762354E-2</v>
      </c>
      <c r="M107" s="844"/>
      <c r="N107" s="844"/>
      <c r="O107" s="48">
        <f>IF(t&lt;Tnet,'2024'!Resal+('2024'!Salim-'2024'!Resal)*(1-EXP(('2024'!Tnet-t)/('2024'!Tau_j))),Resal+(Salim-Resal)*(1-EXP((Tnet-t)/(Tau_j))))*Salcycl</f>
        <v>0.10533775175365684</v>
      </c>
      <c r="P107" s="169">
        <f>(INDEX(Models!$BJ107:$BT107,,T107)*(1-R107)+INDEX(Models!$BJ107:$BT107,,T107+1)*R107-ERP_i)*Q107*Ramure*Pc/MaxiM</f>
        <v>7.8849383204018972E-7</v>
      </c>
      <c r="Q107" s="305">
        <f t="shared" si="28"/>
        <v>0.7</v>
      </c>
      <c r="R107" s="177">
        <f t="shared" si="29"/>
        <v>0.40183070859244419</v>
      </c>
      <c r="S107" s="810">
        <f t="shared" si="30"/>
        <v>-2</v>
      </c>
      <c r="T107" s="176">
        <f t="shared" si="31"/>
        <v>4</v>
      </c>
      <c r="U107" s="251">
        <f t="shared" si="32"/>
        <v>-1.5981692914075558</v>
      </c>
      <c r="V107" s="383">
        <f t="shared" si="33"/>
        <v>44.473846101284032</v>
      </c>
      <c r="W107" s="402">
        <f t="shared" si="34"/>
        <v>20.477305038689927</v>
      </c>
      <c r="X107" s="157">
        <f t="shared" si="35"/>
        <v>45750</v>
      </c>
      <c r="Y107" s="385">
        <f t="shared" si="36"/>
        <v>19.476429523792916</v>
      </c>
      <c r="Z107" s="385">
        <f t="shared" si="37"/>
        <v>20.612922855885351</v>
      </c>
      <c r="AA107" s="386">
        <f t="shared" si="38"/>
        <v>24.21452640313294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0.14873731112005575</v>
      </c>
      <c r="AD107" s="231">
        <f>(INDEX(Models!$BJ107:$BT107,,AH107)*(1-AF107)+INDEX(Models!$BJ107:$BT107,,AH107+1)*AF107-ERP_i)*AE107*Ramure*Pc/MaxiM</f>
        <v>1.6876996494832356E-3</v>
      </c>
      <c r="AE107" s="305">
        <f t="shared" si="40"/>
        <v>0.7</v>
      </c>
      <c r="AF107" s="177">
        <f t="shared" si="41"/>
        <v>0.2218207616916279</v>
      </c>
      <c r="AG107" s="810">
        <f t="shared" si="49"/>
        <v>1</v>
      </c>
      <c r="AH107" s="176">
        <f t="shared" si="42"/>
        <v>7</v>
      </c>
      <c r="AI107" s="225">
        <f t="shared" si="43"/>
        <v>1.2218207616916279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40.952414700832108</v>
      </c>
      <c r="C108" s="840"/>
      <c r="D108" s="393">
        <f t="shared" si="25"/>
        <v>43.343088577710063</v>
      </c>
      <c r="E108" s="385">
        <f t="shared" si="47"/>
        <v>48.451704348699131</v>
      </c>
      <c r="F108" s="385">
        <f t="shared" si="26"/>
        <v>48.451747585331027</v>
      </c>
      <c r="G108" s="110">
        <f t="shared" si="48"/>
        <v>0.91392249432467221</v>
      </c>
      <c r="H108" s="414" t="b">
        <f>Wh_hp&gt;='2024'!Maxi_hp</f>
        <v>0</v>
      </c>
      <c r="I108" s="390">
        <f>IF(H108,Wh_hp,'2024'!Maxi_hp)</f>
        <v>54.788293499905031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5.5156980162862745E-2</v>
      </c>
      <c r="M108" s="844"/>
      <c r="N108" s="844"/>
      <c r="O108" s="48">
        <f>IF(t&lt;Tnet,'2024'!Resal+('2024'!Salim-'2024'!Resal)*(1-EXP(('2024'!Tnet-t)/('2024'!Tau_j))),Resal+(Salim-Resal)*(1-EXP((Tnet-t)/(Tau_j))))*Salcycl</f>
        <v>0.10543727696807487</v>
      </c>
      <c r="P108" s="169">
        <f>(INDEX(Models!$BJ108:$BT108,,T108)*(1-R108)+INDEX(Models!$BJ108:$BT108,,T108+1)*R108-ERP_i)*Q108*Ramure*Pc/MaxiM</f>
        <v>1.0174822039772551E-6</v>
      </c>
      <c r="Q108" s="305">
        <f t="shared" si="28"/>
        <v>0.7</v>
      </c>
      <c r="R108" s="177">
        <f t="shared" si="29"/>
        <v>0.40274128942032639</v>
      </c>
      <c r="S108" s="810">
        <f t="shared" si="30"/>
        <v>-2</v>
      </c>
      <c r="T108" s="176">
        <f t="shared" si="31"/>
        <v>4</v>
      </c>
      <c r="U108" s="251">
        <f t="shared" si="32"/>
        <v>-1.5972587105796736</v>
      </c>
      <c r="V108" s="383">
        <f t="shared" si="33"/>
        <v>44.809499526791939</v>
      </c>
      <c r="W108" s="402">
        <f t="shared" si="34"/>
        <v>40.952414700832108</v>
      </c>
      <c r="X108" s="157">
        <f t="shared" si="35"/>
        <v>45751</v>
      </c>
      <c r="Y108" s="385">
        <f t="shared" si="36"/>
        <v>38.912129922399828</v>
      </c>
      <c r="Z108" s="385">
        <f t="shared" si="37"/>
        <v>41.183698355634903</v>
      </c>
      <c r="AA108" s="386">
        <f t="shared" si="38"/>
        <v>48.382900795249739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0.14879642024939643</v>
      </c>
      <c r="AD108" s="231">
        <f>(INDEX(Models!$BJ108:$BT108,,AH108)*(1-AF108)+INDEX(Models!$BJ108:$BT108,,AH108+1)*AF108-ERP_i)*AE108*Ramure*Pc/MaxiM</f>
        <v>1.62016282582776E-3</v>
      </c>
      <c r="AE108" s="305">
        <f t="shared" si="40"/>
        <v>0.7</v>
      </c>
      <c r="AF108" s="177">
        <f t="shared" si="41"/>
        <v>0.2227313425195101</v>
      </c>
      <c r="AG108" s="810">
        <f t="shared" si="49"/>
        <v>1</v>
      </c>
      <c r="AH108" s="176">
        <f t="shared" si="42"/>
        <v>7</v>
      </c>
      <c r="AI108" s="225">
        <f t="shared" si="43"/>
        <v>1.2227313425195101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45.951743094022383</v>
      </c>
      <c r="C109" s="840"/>
      <c r="D109" s="393">
        <f t="shared" si="25"/>
        <v>48.635393941971962</v>
      </c>
      <c r="E109" s="385">
        <f t="shared" si="47"/>
        <v>54.373898351615317</v>
      </c>
      <c r="F109" s="385">
        <f t="shared" si="26"/>
        <v>54.373965155861008</v>
      </c>
      <c r="G109" s="110">
        <f t="shared" si="48"/>
        <v>1.0180004045115796</v>
      </c>
      <c r="H109" s="414" t="b">
        <f>Wh_hp&gt;='2024'!Maxi_hp</f>
        <v>0</v>
      </c>
      <c r="I109" s="390">
        <f>IF(H109,Wh_hp,'2024'!Maxi_hp)</f>
        <v>55.766032914356472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5.5178968040261123E-2</v>
      </c>
      <c r="M109" s="844"/>
      <c r="N109" s="844"/>
      <c r="O109" s="48">
        <f>IF(t&lt;Tnet,'2024'!Resal+('2024'!Salim-'2024'!Resal)*(1-EXP(('2024'!Tnet-t)/('2024'!Tau_j))),Resal+(Salim-Resal)*(1-EXP((Tnet-t)/(Tau_j))))*Salcycl</f>
        <v>0.10553785149879502</v>
      </c>
      <c r="P109" s="169">
        <f>(INDEX(Models!$BJ109:$BT109,,T109)*(1-R109)+INDEX(Models!$BJ109:$BT109,,T109+1)*R109-ERP_i)*Q109*Ramure*Pc/MaxiM</f>
        <v>1.2286072111478439E-6</v>
      </c>
      <c r="Q109" s="305">
        <f t="shared" si="28"/>
        <v>0.7</v>
      </c>
      <c r="R109" s="177">
        <f t="shared" si="29"/>
        <v>0.40368541072274144</v>
      </c>
      <c r="S109" s="810">
        <f t="shared" si="30"/>
        <v>-2</v>
      </c>
      <c r="T109" s="176">
        <f t="shared" si="31"/>
        <v>4</v>
      </c>
      <c r="U109" s="251">
        <f t="shared" si="32"/>
        <v>-1.5963145892772586</v>
      </c>
      <c r="V109" s="383">
        <f t="shared" si="33"/>
        <v>45.139218894583152</v>
      </c>
      <c r="W109" s="402">
        <f t="shared" si="34"/>
        <v>45.951743094022383</v>
      </c>
      <c r="X109" s="157">
        <f t="shared" si="35"/>
        <v>45752</v>
      </c>
      <c r="Y109" s="385">
        <f t="shared" si="36"/>
        <v>43.658431964244592</v>
      </c>
      <c r="Z109" s="385">
        <f t="shared" si="37"/>
        <v>46.208149996077758</v>
      </c>
      <c r="AA109" s="386">
        <f t="shared" si="38"/>
        <v>54.289530539346359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0.1488570717591971</v>
      </c>
      <c r="AD109" s="231">
        <f>(INDEX(Models!$BJ109:$BT109,,AH109)*(1-AF109)+INDEX(Models!$BJ109:$BT109,,AH109+1)*AF109-ERP_i)*AE109*Ramure*Pc/MaxiM</f>
        <v>1.5528500868497476E-3</v>
      </c>
      <c r="AE109" s="305">
        <f t="shared" si="40"/>
        <v>0.7</v>
      </c>
      <c r="AF109" s="177">
        <f t="shared" si="41"/>
        <v>0.22367546382192516</v>
      </c>
      <c r="AG109" s="810">
        <f t="shared" si="49"/>
        <v>1</v>
      </c>
      <c r="AH109" s="176">
        <f t="shared" si="42"/>
        <v>7</v>
      </c>
      <c r="AI109" s="225">
        <f t="shared" si="43"/>
        <v>1.2236754638219252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10.846620121175695</v>
      </c>
      <c r="C110" s="840"/>
      <c r="D110" s="393">
        <f t="shared" si="25"/>
        <v>11.48034619979571</v>
      </c>
      <c r="E110" s="385">
        <f t="shared" si="47"/>
        <v>12.836374536475549</v>
      </c>
      <c r="F110" s="385">
        <f t="shared" si="26"/>
        <v>12.836374536475549</v>
      </c>
      <c r="G110" s="110">
        <f t="shared" si="48"/>
        <v>0.23858139337871165</v>
      </c>
      <c r="H110" s="414" t="b">
        <f>Wh_hp&gt;='2024'!Maxi_hp</f>
        <v>0</v>
      </c>
      <c r="I110" s="390">
        <f>IF(H110,Wh_hp,'2024'!Maxi_hp)</f>
        <v>56.273634835365598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5.5200955405969587E-2</v>
      </c>
      <c r="M110" s="844"/>
      <c r="N110" s="844"/>
      <c r="O110" s="48">
        <f>IF(t&lt;Tnet,'2024'!Resal+('2024'!Salim-'2024'!Resal)*(1-EXP(('2024'!Tnet-t)/('2024'!Tau_j))),Resal+(Salim-Resal)*(1-EXP((Tnet-t)/(Tau_j))))*Salcycl</f>
        <v>0.10563951159469379</v>
      </c>
      <c r="P110" s="169">
        <f>(INDEX(Models!$BJ110:$BT110,,T110)*(1-R110)+INDEX(Models!$BJ110:$BT110,,T110+1)*R110-ERP_i)*Q110*Ramure*Pc/MaxiM</f>
        <v>1.4212157119260175E-6</v>
      </c>
      <c r="Q110" s="305">
        <f t="shared" si="28"/>
        <v>0.7</v>
      </c>
      <c r="R110" s="177">
        <f t="shared" si="29"/>
        <v>0.40466411834117366</v>
      </c>
      <c r="S110" s="810">
        <f t="shared" si="30"/>
        <v>-2</v>
      </c>
      <c r="T110" s="176">
        <f t="shared" si="31"/>
        <v>4</v>
      </c>
      <c r="U110" s="251">
        <f t="shared" si="32"/>
        <v>-1.5953358816588263</v>
      </c>
      <c r="V110" s="383">
        <f t="shared" si="33"/>
        <v>45.462911219448792</v>
      </c>
      <c r="W110" s="402">
        <f t="shared" si="34"/>
        <v>10.846620121175695</v>
      </c>
      <c r="X110" s="157">
        <f t="shared" si="35"/>
        <v>45753</v>
      </c>
      <c r="Y110" s="385">
        <f t="shared" si="36"/>
        <v>10.321731574409867</v>
      </c>
      <c r="Z110" s="385">
        <f t="shared" si="37"/>
        <v>10.924790444559562</v>
      </c>
      <c r="AA110" s="386">
        <f t="shared" si="38"/>
        <v>12.836374536475549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0.14891931413220097</v>
      </c>
      <c r="AD110" s="231">
        <f>(INDEX(Models!$BJ110:$BT110,,AH110)*(1-AF110)+INDEX(Models!$BJ110:$BT110,,AH110+1)*AF110-ERP_i)*AE110*Ramure*Pc/MaxiM</f>
        <v>1.4857144997346165E-3</v>
      </c>
      <c r="AE110" s="305">
        <f t="shared" si="40"/>
        <v>0.7</v>
      </c>
      <c r="AF110" s="177">
        <f t="shared" si="41"/>
        <v>0.22465417144035738</v>
      </c>
      <c r="AG110" s="810">
        <f t="shared" si="49"/>
        <v>1</v>
      </c>
      <c r="AH110" s="176">
        <f t="shared" si="42"/>
        <v>7</v>
      </c>
      <c r="AI110" s="225">
        <f t="shared" si="43"/>
        <v>1.2246541714403574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32.821766936434003</v>
      </c>
      <c r="C111" s="840"/>
      <c r="D111" s="393">
        <f t="shared" si="25"/>
        <v>34.740224339218081</v>
      </c>
      <c r="E111" s="385">
        <f t="shared" si="47"/>
        <v>38.848112850758795</v>
      </c>
      <c r="F111" s="385">
        <f t="shared" si="26"/>
        <v>38.848149747964349</v>
      </c>
      <c r="G111" s="110">
        <f t="shared" si="48"/>
        <v>0.7169375067238154</v>
      </c>
      <c r="H111" s="414" t="b">
        <f>Wh_hp&gt;='2024'!Maxi_hp</f>
        <v>0</v>
      </c>
      <c r="I111" s="390">
        <f>IF(H111,Wh_hp,'2024'!Maxi_hp)</f>
        <v>55.325751817582876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5.5222942259999797E-2</v>
      </c>
      <c r="M111" s="844"/>
      <c r="N111" s="844"/>
      <c r="O111" s="48">
        <f>IF(t&lt;Tnet,'2024'!Resal+('2024'!Salim-'2024'!Resal)*(1-EXP(('2024'!Tnet-t)/('2024'!Tau_j))),Resal+(Salim-Resal)*(1-EXP((Tnet-t)/(Tau_j))))*Salcycl</f>
        <v>0.10574229248462656</v>
      </c>
      <c r="P111" s="169">
        <f>(INDEX(Models!$BJ111:$BT111,,T111)*(1-R111)+INDEX(Models!$BJ111:$BT111,,T111+1)*R111-ERP_i)*Q111*Ramure*Pc/MaxiM</f>
        <v>1.594592547364903E-6</v>
      </c>
      <c r="Q111" s="305">
        <f t="shared" si="28"/>
        <v>0.7</v>
      </c>
      <c r="R111" s="177">
        <f t="shared" si="29"/>
        <v>0.40567847558993275</v>
      </c>
      <c r="S111" s="810">
        <f t="shared" si="30"/>
        <v>-2</v>
      </c>
      <c r="T111" s="176">
        <f t="shared" si="31"/>
        <v>4</v>
      </c>
      <c r="U111" s="251">
        <f t="shared" si="32"/>
        <v>-1.5943215244100672</v>
      </c>
      <c r="V111" s="383">
        <f t="shared" si="33"/>
        <v>45.780483605217448</v>
      </c>
      <c r="W111" s="402">
        <f t="shared" si="34"/>
        <v>32.821766936434003</v>
      </c>
      <c r="X111" s="157">
        <f t="shared" si="35"/>
        <v>45754</v>
      </c>
      <c r="Y111" s="385">
        <f t="shared" si="36"/>
        <v>31.208340229912579</v>
      </c>
      <c r="Z111" s="385">
        <f t="shared" si="37"/>
        <v>33.032491606608232</v>
      </c>
      <c r="AA111" s="386">
        <f t="shared" si="38"/>
        <v>38.81532231327202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0.14898319431670617</v>
      </c>
      <c r="AD111" s="231">
        <f>(INDEX(Models!$BJ111:$BT111,,AH111)*(1-AF111)+INDEX(Models!$BJ111:$BT111,,AH111+1)*AF111-ERP_i)*AE111*Ramure*Pc/MaxiM</f>
        <v>1.4187085966665006E-3</v>
      </c>
      <c r="AE111" s="305">
        <f t="shared" si="40"/>
        <v>0.7</v>
      </c>
      <c r="AF111" s="177">
        <f t="shared" si="41"/>
        <v>0.22566852868911647</v>
      </c>
      <c r="AG111" s="810">
        <f t="shared" si="49"/>
        <v>1</v>
      </c>
      <c r="AH111" s="176">
        <f t="shared" si="42"/>
        <v>7</v>
      </c>
      <c r="AI111" s="225">
        <f t="shared" si="43"/>
        <v>1.2256685286891165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26.147931657713727</v>
      </c>
      <c r="C112" s="840"/>
      <c r="D112" s="393">
        <f t="shared" si="25"/>
        <v>27.676942362459545</v>
      </c>
      <c r="E112" s="385">
        <f t="shared" si="47"/>
        <v>30.95322442134324</v>
      </c>
      <c r="F112" s="385">
        <f t="shared" si="26"/>
        <v>30.953245081761711</v>
      </c>
      <c r="G112" s="110">
        <f t="shared" si="48"/>
        <v>0.56730001566001131</v>
      </c>
      <c r="H112" s="414" t="b">
        <f>Wh_hp&gt;='2024'!Maxi_hp</f>
        <v>0</v>
      </c>
      <c r="I112" s="390">
        <f>IF(H112,Wh_hp,'2024'!Maxi_hp)</f>
        <v>53.843386079314278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5.5244928602363852E-2</v>
      </c>
      <c r="M112" s="844"/>
      <c r="N112" s="844"/>
      <c r="O112" s="48">
        <f>IF(t&lt;Tnet,'2024'!Resal+('2024'!Salim-'2024'!Resal)*(1-EXP(('2024'!Tnet-t)/('2024'!Tau_j))),Resal+(Salim-Resal)*(1-EXP((Tnet-t)/(Tau_j))))*Salcycl</f>
        <v>0.1058462283052034</v>
      </c>
      <c r="P112" s="169">
        <f>(INDEX(Models!$BJ112:$BT112,,T112)*(1-R112)+INDEX(Models!$BJ112:$BT112,,T112+1)*R112-ERP_i)*Q112*Ramure*Pc/MaxiM</f>
        <v>1.7479579762737149E-6</v>
      </c>
      <c r="Q112" s="305">
        <f t="shared" si="28"/>
        <v>0.7</v>
      </c>
      <c r="R112" s="177">
        <f t="shared" si="29"/>
        <v>0.40672956225212764</v>
      </c>
      <c r="S112" s="810">
        <f t="shared" si="30"/>
        <v>-2</v>
      </c>
      <c r="T112" s="176">
        <f t="shared" si="31"/>
        <v>4</v>
      </c>
      <c r="U112" s="251">
        <f t="shared" si="32"/>
        <v>-1.5932704377478724</v>
      </c>
      <c r="V112" s="383">
        <f t="shared" si="33"/>
        <v>46.091843263560037</v>
      </c>
      <c r="W112" s="402">
        <f t="shared" si="34"/>
        <v>26.147931657713727</v>
      </c>
      <c r="X112" s="157">
        <f t="shared" si="35"/>
        <v>45755</v>
      </c>
      <c r="Y112" s="385">
        <f t="shared" si="36"/>
        <v>24.871722223962244</v>
      </c>
      <c r="Z112" s="385">
        <f t="shared" si="37"/>
        <v>26.326106074421944</v>
      </c>
      <c r="AA112" s="386">
        <f t="shared" si="38"/>
        <v>30.937267335179254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0.14904875762940731</v>
      </c>
      <c r="AD112" s="231">
        <f>(INDEX(Models!$BJ112:$BT112,,AH112)*(1-AF112)+INDEX(Models!$BJ112:$BT112,,AH112+1)*AF112-ERP_i)*AE112*Ramure*Pc/MaxiM</f>
        <v>1.3517843127237555E-3</v>
      </c>
      <c r="AE112" s="305">
        <f t="shared" si="40"/>
        <v>0.7</v>
      </c>
      <c r="AF112" s="177">
        <f t="shared" si="41"/>
        <v>0.22671961535131135</v>
      </c>
      <c r="AG112" s="810">
        <f t="shared" si="49"/>
        <v>1</v>
      </c>
      <c r="AH112" s="176">
        <f t="shared" si="42"/>
        <v>7</v>
      </c>
      <c r="AI112" s="225">
        <f t="shared" si="43"/>
        <v>1.2267196153513114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34.170672526759162</v>
      </c>
      <c r="C113" s="840"/>
      <c r="D113" s="393">
        <f t="shared" si="25"/>
        <v>36.169657915869038</v>
      </c>
      <c r="E113" s="385">
        <f t="shared" si="47"/>
        <v>40.456028872687341</v>
      </c>
      <c r="F113" s="385">
        <f t="shared" si="26"/>
        <v>40.456076310148987</v>
      </c>
      <c r="G113" s="110">
        <f t="shared" si="48"/>
        <v>0.73648563086945429</v>
      </c>
      <c r="H113" s="414" t="b">
        <f>Wh_hp&gt;='2024'!Maxi_hp</f>
        <v>0</v>
      </c>
      <c r="I113" s="390">
        <f>IF(H113,Wh_hp,'2024'!Maxi_hp)</f>
        <v>46.323967550802834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5.5266914433073633E-2</v>
      </c>
      <c r="M113" s="844"/>
      <c r="N113" s="844"/>
      <c r="O113" s="48">
        <f>IF(t&lt;Tnet,'2024'!Resal+('2024'!Salim-'2024'!Resal)*(1-EXP(('2024'!Tnet-t)/('2024'!Tau_j))),Resal+(Salim-Resal)*(1-EXP((Tnet-t)/(Tau_j))))*Salcycl</f>
        <v>0.10595135202981124</v>
      </c>
      <c r="P113" s="169">
        <f>(INDEX(Models!$BJ113:$BT113,,T113)*(1-R113)+INDEX(Models!$BJ113:$BT113,,T113+1)*R113-ERP_i)*Q113*Ramure*Pc/MaxiM</f>
        <v>1.8804649901480257E-6</v>
      </c>
      <c r="Q113" s="305">
        <f t="shared" si="28"/>
        <v>0.7</v>
      </c>
      <c r="R113" s="177">
        <f t="shared" si="29"/>
        <v>0.40781847344218058</v>
      </c>
      <c r="S113" s="810">
        <f t="shared" si="30"/>
        <v>-2</v>
      </c>
      <c r="T113" s="176">
        <f t="shared" si="31"/>
        <v>4</v>
      </c>
      <c r="U113" s="251">
        <f t="shared" si="32"/>
        <v>-1.5921815265578194</v>
      </c>
      <c r="V113" s="383">
        <f t="shared" si="33"/>
        <v>46.396897515898274</v>
      </c>
      <c r="W113" s="402">
        <f t="shared" si="34"/>
        <v>34.170672526759162</v>
      </c>
      <c r="X113" s="157">
        <f t="shared" si="35"/>
        <v>45756</v>
      </c>
      <c r="Y113" s="385">
        <f t="shared" si="36"/>
        <v>32.494893871336863</v>
      </c>
      <c r="Z113" s="385">
        <f t="shared" si="37"/>
        <v>34.395846157792761</v>
      </c>
      <c r="AA113" s="386">
        <f t="shared" si="38"/>
        <v>40.42366301916136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0.14911604766028569</v>
      </c>
      <c r="AD113" s="231">
        <f>(INDEX(Models!$BJ113:$BT113,,AH113)*(1-AF113)+INDEX(Models!$BJ113:$BT113,,AH113+1)*AF113-ERP_i)*AE113*Ramure*Pc/MaxiM</f>
        <v>1.284892926451363E-3</v>
      </c>
      <c r="AE113" s="305">
        <f t="shared" si="40"/>
        <v>0.7</v>
      </c>
      <c r="AF113" s="177">
        <f t="shared" si="41"/>
        <v>0.2278085265413643</v>
      </c>
      <c r="AG113" s="810">
        <f t="shared" si="49"/>
        <v>1</v>
      </c>
      <c r="AH113" s="176">
        <f t="shared" si="42"/>
        <v>7</v>
      </c>
      <c r="AI113" s="225">
        <f t="shared" si="43"/>
        <v>1.2278085265413643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46.586930224355811</v>
      </c>
      <c r="C114" s="840"/>
      <c r="D114" s="393">
        <f t="shared" si="25"/>
        <v>49.313414664158216</v>
      </c>
      <c r="E114" s="385">
        <f t="shared" si="47"/>
        <v>55.163979163209198</v>
      </c>
      <c r="F114" s="385">
        <f t="shared" si="26"/>
        <v>55.164088811379891</v>
      </c>
      <c r="G114" s="110">
        <f t="shared" si="48"/>
        <v>0.99767378819746333</v>
      </c>
      <c r="H114" s="414" t="b">
        <f>Wh_hp&gt;='2024'!Maxi_hp</f>
        <v>0</v>
      </c>
      <c r="I114" s="390">
        <f>IF(H114,Wh_hp,'2024'!Maxi_hp)</f>
        <v>55.540517907478055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5.5288899752141019E-2</v>
      </c>
      <c r="M114" s="844"/>
      <c r="N114" s="844"/>
      <c r="O114" s="48">
        <f>IF(t&lt;Tnet,'2024'!Resal+('2024'!Salim-'2024'!Resal)*(1-EXP(('2024'!Tnet-t)/('2024'!Tau_j))),Resal+(Salim-Resal)*(1-EXP((Tnet-t)/(Tau_j))))*Salcycl</f>
        <v>0.10605769539832126</v>
      </c>
      <c r="P114" s="169">
        <f>(INDEX(Models!$BJ114:$BT114,,T114)*(1-R114)+INDEX(Models!$BJ114:$BT114,,T114+1)*R114-ERP_i)*Q114*Ramure*Pc/MaxiM</f>
        <v>1.9943003742586864E-6</v>
      </c>
      <c r="Q114" s="305">
        <f t="shared" si="28"/>
        <v>0.7</v>
      </c>
      <c r="R114" s="177">
        <f t="shared" si="29"/>
        <v>0.40894631832725459</v>
      </c>
      <c r="S114" s="810">
        <f t="shared" si="30"/>
        <v>-2</v>
      </c>
      <c r="T114" s="176">
        <f t="shared" si="31"/>
        <v>4</v>
      </c>
      <c r="U114" s="251">
        <f t="shared" si="32"/>
        <v>-1.5910536816727454</v>
      </c>
      <c r="V114" s="383">
        <f t="shared" si="33"/>
        <v>46.695553663665251</v>
      </c>
      <c r="W114" s="402">
        <f t="shared" si="34"/>
        <v>46.586930224355811</v>
      </c>
      <c r="X114" s="157">
        <f t="shared" si="35"/>
        <v>45757</v>
      </c>
      <c r="Y114" s="385">
        <f t="shared" si="36"/>
        <v>44.285589272244046</v>
      </c>
      <c r="Z114" s="385">
        <f t="shared" si="37"/>
        <v>46.877388505994119</v>
      </c>
      <c r="AA114" s="386">
        <f t="shared" si="38"/>
        <v>55.097047367676531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0.14918510617874942</v>
      </c>
      <c r="AD114" s="231">
        <f>(INDEX(Models!$BJ114:$BT114,,AH114)*(1-AF114)+INDEX(Models!$BJ114:$BT114,,AH114+1)*AF114-ERP_i)*AE114*Ramure*Pc/MaxiM</f>
        <v>1.2193616675953522E-3</v>
      </c>
      <c r="AE114" s="305">
        <f t="shared" si="40"/>
        <v>0.7</v>
      </c>
      <c r="AF114" s="177">
        <f t="shared" si="41"/>
        <v>0.2289363714264383</v>
      </c>
      <c r="AG114" s="810">
        <f t="shared" si="49"/>
        <v>1</v>
      </c>
      <c r="AH114" s="176">
        <f t="shared" si="42"/>
        <v>7</v>
      </c>
      <c r="AI114" s="225">
        <f t="shared" si="43"/>
        <v>1.2289363714264383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38.711949133101371</v>
      </c>
      <c r="C115" s="840"/>
      <c r="D115" s="393">
        <f t="shared" si="25"/>
        <v>40.978506579969995</v>
      </c>
      <c r="E115" s="385">
        <f t="shared" si="47"/>
        <v>45.845731955414834</v>
      </c>
      <c r="F115" s="385">
        <f t="shared" si="26"/>
        <v>45.845803732205326</v>
      </c>
      <c r="G115" s="110">
        <f t="shared" si="48"/>
        <v>0.82387333293481624</v>
      </c>
      <c r="H115" s="414" t="b">
        <f>Wh_hp&gt;='2024'!Maxi_hp</f>
        <v>0</v>
      </c>
      <c r="I115" s="390">
        <f>IF(H115,Wh_hp,'2024'!Maxi_hp)</f>
        <v>56.677954021859833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5.5310884559577889E-2</v>
      </c>
      <c r="M115" s="844"/>
      <c r="N115" s="844"/>
      <c r="O115" s="48">
        <f>IF(t&lt;Tnet,'2024'!Resal+('2024'!Salim-'2024'!Resal)*(1-EXP(('2024'!Tnet-t)/('2024'!Tau_j))),Resal+(Salim-Resal)*(1-EXP((Tnet-t)/(Tau_j))))*Salcycl</f>
        <v>0.10616528884691463</v>
      </c>
      <c r="P115" s="169">
        <f>(INDEX(Models!$BJ115:$BT115,,T115)*(1-R115)+INDEX(Models!$BJ115:$BT115,,T115+1)*R115-ERP_i)*Q115*Ramure*Pc/MaxiM</f>
        <v>2.0919718328987663E-6</v>
      </c>
      <c r="Q115" s="305">
        <f t="shared" si="28"/>
        <v>0.7</v>
      </c>
      <c r="R115" s="177">
        <f t="shared" si="29"/>
        <v>0.41011421869997222</v>
      </c>
      <c r="S115" s="810">
        <f t="shared" si="30"/>
        <v>-2</v>
      </c>
      <c r="T115" s="176">
        <f t="shared" si="31"/>
        <v>4</v>
      </c>
      <c r="U115" s="251">
        <f t="shared" si="32"/>
        <v>-1.5898857813000278</v>
      </c>
      <c r="V115" s="383">
        <f t="shared" si="33"/>
        <v>46.987719117933224</v>
      </c>
      <c r="W115" s="402">
        <f t="shared" si="34"/>
        <v>38.711949133101371</v>
      </c>
      <c r="X115" s="157">
        <f t="shared" si="35"/>
        <v>45758</v>
      </c>
      <c r="Y115" s="385">
        <f t="shared" si="36"/>
        <v>36.813861168146339</v>
      </c>
      <c r="Z115" s="385">
        <f t="shared" si="37"/>
        <v>38.96928689707979</v>
      </c>
      <c r="AA115" s="386">
        <f t="shared" si="38"/>
        <v>45.806124594656865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0.1492559730402202</v>
      </c>
      <c r="AD115" s="231">
        <f>(INDEX(Models!$BJ115:$BT115,,AH115)*(1-AF115)+INDEX(Models!$BJ115:$BT115,,AH115+1)*AF115-ERP_i)*AE115*Ramure*Pc/MaxiM</f>
        <v>1.1564690694293074E-3</v>
      </c>
      <c r="AE115" s="305">
        <f t="shared" si="40"/>
        <v>0.7</v>
      </c>
      <c r="AF115" s="177">
        <f t="shared" si="41"/>
        <v>0.23010427179915593</v>
      </c>
      <c r="AG115" s="810">
        <f t="shared" si="49"/>
        <v>1</v>
      </c>
      <c r="AH115" s="176">
        <f t="shared" si="42"/>
        <v>7</v>
      </c>
      <c r="AI115" s="225">
        <f t="shared" si="43"/>
        <v>1.2301042717991559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33.896372020866615</v>
      </c>
      <c r="C116" s="840"/>
      <c r="D116" s="393">
        <f t="shared" si="25"/>
        <v>35.88181583050968</v>
      </c>
      <c r="E116" s="385">
        <f t="shared" si="47"/>
        <v>40.148571611426007</v>
      </c>
      <c r="F116" s="385">
        <f t="shared" si="26"/>
        <v>40.148623618963299</v>
      </c>
      <c r="G116" s="110">
        <f t="shared" si="48"/>
        <v>0.71702929883408939</v>
      </c>
      <c r="H116" s="414" t="b">
        <f>Wh_hp&gt;='2024'!Maxi_hp</f>
        <v>0</v>
      </c>
      <c r="I116" s="390">
        <f>IF(H116,Wh_hp,'2024'!Maxi_hp)</f>
        <v>57.166150894542305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5.5332868855396122E-2</v>
      </c>
      <c r="M116" s="844"/>
      <c r="N116" s="844"/>
      <c r="O116" s="48">
        <f>IF(t&lt;Tnet,'2024'!Resal+('2024'!Salim-'2024'!Resal)*(1-EXP(('2024'!Tnet-t)/('2024'!Tau_j))),Resal+(Salim-Resal)*(1-EXP((Tnet-t)/(Tau_j))))*Salcycl</f>
        <v>0.10627416143746538</v>
      </c>
      <c r="P116" s="169">
        <f>(INDEX(Models!$BJ116:$BT116,,T116)*(1-R116)+INDEX(Models!$BJ116:$BT116,,T116+1)*R116-ERP_i)*Q116*Ramure*Pc/MaxiM</f>
        <v>2.1743349347436072E-6</v>
      </c>
      <c r="Q116" s="305">
        <f t="shared" si="28"/>
        <v>0.7</v>
      </c>
      <c r="R116" s="177">
        <f t="shared" si="29"/>
        <v>0.41132330739487477</v>
      </c>
      <c r="S116" s="810">
        <f t="shared" si="30"/>
        <v>-2</v>
      </c>
      <c r="T116" s="176">
        <f t="shared" si="31"/>
        <v>4</v>
      </c>
      <c r="U116" s="251">
        <f t="shared" si="32"/>
        <v>-1.5886766926051252</v>
      </c>
      <c r="V116" s="383">
        <f t="shared" si="33"/>
        <v>47.273301498841562</v>
      </c>
      <c r="W116" s="402">
        <f t="shared" si="34"/>
        <v>33.896372020866615</v>
      </c>
      <c r="X116" s="157">
        <f t="shared" si="35"/>
        <v>45759</v>
      </c>
      <c r="Y116" s="385">
        <f t="shared" si="36"/>
        <v>32.242414298095305</v>
      </c>
      <c r="Z116" s="385">
        <f t="shared" si="37"/>
        <v>34.130979299585512</v>
      </c>
      <c r="AA116" s="386">
        <f t="shared" si="38"/>
        <v>40.122405377468539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0.14932868609237526</v>
      </c>
      <c r="AD116" s="231">
        <f>(INDEX(Models!$BJ116:$BT116,,AH116)*(1-AF116)+INDEX(Models!$BJ116:$BT116,,AH116+1)*AF116-ERP_i)*AE116*Ramure*Pc/MaxiM</f>
        <v>1.0961341639384363E-3</v>
      </c>
      <c r="AE116" s="305">
        <f t="shared" si="40"/>
        <v>0.7</v>
      </c>
      <c r="AF116" s="177">
        <f t="shared" si="41"/>
        <v>0.23131336049405848</v>
      </c>
      <c r="AG116" s="810">
        <f t="shared" si="49"/>
        <v>1</v>
      </c>
      <c r="AH116" s="176">
        <f t="shared" si="42"/>
        <v>7</v>
      </c>
      <c r="AI116" s="225">
        <f t="shared" si="43"/>
        <v>1.2313133604940585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7.5122608422217825</v>
      </c>
      <c r="C117" s="840"/>
      <c r="D117" s="393">
        <f t="shared" si="25"/>
        <v>7.9524685679201124</v>
      </c>
      <c r="E117" s="385">
        <f t="shared" si="47"/>
        <v>8.8992045807638682</v>
      </c>
      <c r="F117" s="385">
        <f t="shared" si="26"/>
        <v>8.8992045807638682</v>
      </c>
      <c r="G117" s="110">
        <f t="shared" si="48"/>
        <v>0.15797886623461813</v>
      </c>
      <c r="H117" s="414" t="b">
        <f>Wh_hp&gt;='2024'!Maxi_hp</f>
        <v>0</v>
      </c>
      <c r="I117" s="390">
        <f>IF(H117,Wh_hp,'2024'!Maxi_hp)</f>
        <v>56.753271585996224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5.535485263960771E-2</v>
      </c>
      <c r="M117" s="844"/>
      <c r="N117" s="844"/>
      <c r="O117" s="48">
        <f>IF(t&lt;Tnet,'2024'!Resal+('2024'!Salim-'2024'!Resal)*(1-EXP(('2024'!Tnet-t)/('2024'!Tau_j))),Resal+(Salim-Resal)*(1-EXP((Tnet-t)/(Tau_j))))*Salcycl</f>
        <v>0.10638434078593713</v>
      </c>
      <c r="P117" s="169">
        <f>(INDEX(Models!$BJ117:$BT117,,T117)*(1-R117)+INDEX(Models!$BJ117:$BT117,,T117+1)*R117-ERP_i)*Q117*Ramure*Pc/MaxiM</f>
        <v>2.2422844102796751E-6</v>
      </c>
      <c r="Q117" s="305">
        <f t="shared" si="28"/>
        <v>0.7</v>
      </c>
      <c r="R117" s="177">
        <f t="shared" si="29"/>
        <v>0.41257472654121208</v>
      </c>
      <c r="S117" s="810">
        <f t="shared" si="30"/>
        <v>-2</v>
      </c>
      <c r="T117" s="176">
        <f t="shared" si="31"/>
        <v>4</v>
      </c>
      <c r="U117" s="251">
        <f t="shared" si="32"/>
        <v>-1.5874252734587879</v>
      </c>
      <c r="V117" s="383">
        <f t="shared" si="33"/>
        <v>47.55220857478367</v>
      </c>
      <c r="W117" s="402">
        <f t="shared" si="34"/>
        <v>7.5122608422217825</v>
      </c>
      <c r="X117" s="157">
        <f t="shared" si="35"/>
        <v>45760</v>
      </c>
      <c r="Y117" s="385">
        <f t="shared" si="36"/>
        <v>7.1506182307535555</v>
      </c>
      <c r="Z117" s="385">
        <f t="shared" si="37"/>
        <v>7.569634217393082</v>
      </c>
      <c r="AA117" s="386">
        <f t="shared" si="38"/>
        <v>8.8992045807638682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0.14940328108028073</v>
      </c>
      <c r="AD117" s="231">
        <f>(INDEX(Models!$BJ117:$BT117,,AH117)*(1-AF117)+INDEX(Models!$BJ117:$BT117,,AH117+1)*AF117-ERP_i)*AE117*Ramure*Pc/MaxiM</f>
        <v>1.0382798869505727E-3</v>
      </c>
      <c r="AE117" s="305">
        <f t="shared" si="40"/>
        <v>0.7</v>
      </c>
      <c r="AF117" s="177">
        <f t="shared" si="41"/>
        <v>0.23256477964039579</v>
      </c>
      <c r="AG117" s="810">
        <f t="shared" si="49"/>
        <v>1</v>
      </c>
      <c r="AH117" s="176">
        <f t="shared" si="42"/>
        <v>7</v>
      </c>
      <c r="AI117" s="225">
        <f t="shared" si="43"/>
        <v>1.2325647796403958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36.827046680010568</v>
      </c>
      <c r="C118" s="840"/>
      <c r="D118" s="393">
        <f t="shared" si="25"/>
        <v>38.985966129228395</v>
      </c>
      <c r="E118" s="385">
        <f t="shared" si="47"/>
        <v>43.63266388819649</v>
      </c>
      <c r="F118" s="385">
        <f t="shared" si="26"/>
        <v>43.632731181562079</v>
      </c>
      <c r="G118" s="110">
        <f t="shared" si="48"/>
        <v>0.77004748065329687</v>
      </c>
      <c r="H118" s="414" t="b">
        <f>Wh_hp&gt;='2024'!Maxi_hp</f>
        <v>0</v>
      </c>
      <c r="I118" s="390">
        <f>IF(H118,Wh_hp,'2024'!Maxi_hp)</f>
        <v>57.09243105824325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5.5376835912224531E-2</v>
      </c>
      <c r="M118" s="844"/>
      <c r="N118" s="844"/>
      <c r="O118" s="48">
        <f>IF(t&lt;Tnet,'2024'!Resal+('2024'!Salim-'2024'!Resal)*(1-EXP(('2024'!Tnet-t)/('2024'!Tau_j))),Resal+(Salim-Resal)*(1-EXP((Tnet-t)/(Tau_j))))*Salcycl</f>
        <v>0.10649585298928126</v>
      </c>
      <c r="P118" s="169">
        <f>(INDEX(Models!$BJ118:$BT118,,T118)*(1-R118)+INDEX(Models!$BJ118:$BT118,,T118+1)*R118-ERP_i)*Q118*Ramure*Pc/MaxiM</f>
        <v>2.2967600479635095E-6</v>
      </c>
      <c r="Q118" s="305">
        <f t="shared" si="28"/>
        <v>0.7</v>
      </c>
      <c r="R118" s="177">
        <f t="shared" si="29"/>
        <v>0.41386962564486285</v>
      </c>
      <c r="S118" s="810">
        <f t="shared" si="30"/>
        <v>-2</v>
      </c>
      <c r="T118" s="176">
        <f t="shared" si="31"/>
        <v>4</v>
      </c>
      <c r="U118" s="251">
        <f t="shared" si="32"/>
        <v>-1.5861303743551372</v>
      </c>
      <c r="V118" s="383">
        <f t="shared" si="33"/>
        <v>47.824348263578251</v>
      </c>
      <c r="W118" s="402">
        <f t="shared" si="34"/>
        <v>36.827046680010568</v>
      </c>
      <c r="X118" s="157">
        <f t="shared" si="35"/>
        <v>45761</v>
      </c>
      <c r="Y118" s="385">
        <f t="shared" si="36"/>
        <v>35.032320928517478</v>
      </c>
      <c r="Z118" s="385">
        <f t="shared" si="37"/>
        <v>37.086027804905953</v>
      </c>
      <c r="AA118" s="386">
        <f t="shared" si="38"/>
        <v>43.603934905296342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0.14947979154970012</v>
      </c>
      <c r="AD118" s="231">
        <f>(INDEX(Models!$BJ118:$BT118,,AH118)*(1-AF118)+INDEX(Models!$BJ118:$BT118,,AH118+1)*AF118-ERP_i)*AE118*Ramure*Pc/MaxiM</f>
        <v>9.8283294759070805E-4</v>
      </c>
      <c r="AE118" s="305">
        <f t="shared" si="40"/>
        <v>0.7</v>
      </c>
      <c r="AF118" s="177">
        <f t="shared" si="41"/>
        <v>0.23385967874404656</v>
      </c>
      <c r="AG118" s="810">
        <f t="shared" si="49"/>
        <v>1</v>
      </c>
      <c r="AH118" s="176">
        <f t="shared" si="42"/>
        <v>7</v>
      </c>
      <c r="AI118" s="225">
        <f t="shared" si="43"/>
        <v>1.2338596787440466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40.716607158169346</v>
      </c>
      <c r="C119" s="840"/>
      <c r="D119" s="393">
        <f t="shared" si="25"/>
        <v>43.104548208356832</v>
      </c>
      <c r="E119" s="385">
        <f t="shared" si="47"/>
        <v>48.24823041859942</v>
      </c>
      <c r="F119" s="385">
        <f t="shared" si="26"/>
        <v>48.24831854438338</v>
      </c>
      <c r="G119" s="110">
        <f t="shared" si="48"/>
        <v>0.84668123762292824</v>
      </c>
      <c r="H119" s="414" t="b">
        <f>Wh_hp&gt;='2024'!Maxi_hp</f>
        <v>0</v>
      </c>
      <c r="I119" s="390">
        <f>IF(H119,Wh_hp,'2024'!Maxi_hp)</f>
        <v>57.996745654334866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5.5398818673258465E-2</v>
      </c>
      <c r="M119" s="844"/>
      <c r="N119" s="844"/>
      <c r="O119" s="48">
        <f>IF(t&lt;Tnet,'2024'!Resal+('2024'!Salim-'2024'!Resal)*(1-EXP(('2024'!Tnet-t)/('2024'!Tau_j))),Resal+(Salim-Resal)*(1-EXP((Tnet-t)/(Tau_j))))*Salcycl</f>
        <v>0.10660872255036589</v>
      </c>
      <c r="P119" s="169">
        <f>(INDEX(Models!$BJ119:$BT119,,T119)*(1-R119)+INDEX(Models!$BJ119:$BT119,,T119+1)*R119-ERP_i)*Q119*Ramure*Pc/MaxiM</f>
        <v>2.3387528903456127E-6</v>
      </c>
      <c r="Q119" s="305">
        <f t="shared" si="28"/>
        <v>0.7</v>
      </c>
      <c r="R119" s="177">
        <f t="shared" si="29"/>
        <v>0.41520915949248804</v>
      </c>
      <c r="S119" s="810">
        <f t="shared" si="30"/>
        <v>-2</v>
      </c>
      <c r="T119" s="176">
        <f t="shared" si="31"/>
        <v>4</v>
      </c>
      <c r="U119" s="251">
        <f t="shared" si="32"/>
        <v>-1.584790840507512</v>
      </c>
      <c r="V119" s="383">
        <f t="shared" si="33"/>
        <v>48.08962864872057</v>
      </c>
      <c r="W119" s="402">
        <f t="shared" si="34"/>
        <v>40.716607158169346</v>
      </c>
      <c r="X119" s="157">
        <f t="shared" si="35"/>
        <v>45762</v>
      </c>
      <c r="Y119" s="385">
        <f t="shared" si="36"/>
        <v>38.731096197497131</v>
      </c>
      <c r="Z119" s="385">
        <f t="shared" si="37"/>
        <v>41.002591319118707</v>
      </c>
      <c r="AA119" s="386">
        <f t="shared" si="38"/>
        <v>48.213285929050386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0.14955824874792351</v>
      </c>
      <c r="AD119" s="231">
        <f>(INDEX(Models!$BJ119:$BT119,,AH119)*(1-AF119)+INDEX(Models!$BJ119:$BT119,,AH119+1)*AF119-ERP_i)*AE119*Ramure*Pc/MaxiM</f>
        <v>9.2972370495438678E-4</v>
      </c>
      <c r="AE119" s="305">
        <f t="shared" si="40"/>
        <v>0.7</v>
      </c>
      <c r="AF119" s="177">
        <f t="shared" si="41"/>
        <v>0.23519921259167176</v>
      </c>
      <c r="AG119" s="810">
        <f t="shared" si="49"/>
        <v>1</v>
      </c>
      <c r="AH119" s="176">
        <f t="shared" si="42"/>
        <v>7</v>
      </c>
      <c r="AI119" s="225">
        <f t="shared" si="43"/>
        <v>1.2351992125916718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44.154197409644901</v>
      </c>
      <c r="C120" s="840"/>
      <c r="D120" s="393">
        <f t="shared" si="25"/>
        <v>46.744833522458855</v>
      </c>
      <c r="E120" s="385">
        <f t="shared" si="47"/>
        <v>52.329604448514836</v>
      </c>
      <c r="F120" s="385">
        <f t="shared" si="26"/>
        <v>52.329713070140862</v>
      </c>
      <c r="G120" s="110">
        <f t="shared" si="48"/>
        <v>0.91325851785100498</v>
      </c>
      <c r="H120" s="414" t="b">
        <f>Wh_hp&gt;='2024'!Maxi_hp</f>
        <v>1</v>
      </c>
      <c r="I120" s="390">
        <f>IF(H120,Wh_hp,'2024'!Maxi_hp)</f>
        <v>52.329713070140862</v>
      </c>
      <c r="J120" s="85">
        <f>IF(H120,An,'2024'!An_max)</f>
        <v>2025</v>
      </c>
      <c r="K120" s="197">
        <f t="shared" si="27"/>
        <v>45763</v>
      </c>
      <c r="L120" s="147">
        <f>IF(t&lt;Tvie,1-EXP((T0-t)*PertePVj)+'2024'!Pspv,1-EXP((T0-t)*PertePVj)+Pspv)</f>
        <v>5.5420800922721503E-2</v>
      </c>
      <c r="M120" s="844"/>
      <c r="N120" s="844"/>
      <c r="O120" s="48">
        <f>IF(t&lt;Tnet,'2024'!Resal+('2024'!Salim-'2024'!Resal)*(1-EXP(('2024'!Tnet-t)/('2024'!Tau_j))),Resal+(Salim-Resal)*(1-EXP((Tnet-t)/(Tau_j))))*Salcycl</f>
        <v>0.10672297230051934</v>
      </c>
      <c r="P120" s="169">
        <f>(INDEX(Models!$BJ120:$BT120,,T120)*(1-R120)+INDEX(Models!$BJ120:$BT120,,T120+1)*R120-ERP_i)*Q120*Ramure*Pc/MaxiM</f>
        <v>2.3693117453653732E-6</v>
      </c>
      <c r="Q120" s="305">
        <f t="shared" si="28"/>
        <v>0.7</v>
      </c>
      <c r="R120" s="177">
        <f t="shared" si="29"/>
        <v>0.41659448587140213</v>
      </c>
      <c r="S120" s="810">
        <f t="shared" si="30"/>
        <v>-2</v>
      </c>
      <c r="T120" s="176">
        <f t="shared" si="31"/>
        <v>4</v>
      </c>
      <c r="U120" s="251">
        <f t="shared" si="32"/>
        <v>-1.5834055141285979</v>
      </c>
      <c r="V120" s="383">
        <f t="shared" si="33"/>
        <v>48.347957980217728</v>
      </c>
      <c r="W120" s="402">
        <f t="shared" si="34"/>
        <v>44.154197409644901</v>
      </c>
      <c r="X120" s="157">
        <f t="shared" si="35"/>
        <v>45763</v>
      </c>
      <c r="Y120" s="385">
        <f t="shared" si="36"/>
        <v>42.000620030689895</v>
      </c>
      <c r="Z120" s="385">
        <f t="shared" si="37"/>
        <v>44.464900425203744</v>
      </c>
      <c r="AA120" s="386">
        <f t="shared" si="38"/>
        <v>52.289420342830482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0.14963868152153992</v>
      </c>
      <c r="AD120" s="231">
        <f>(INDEX(Models!$BJ120:$BT120,,AH120)*(1-AF120)+INDEX(Models!$BJ120:$BT120,,AH120+1)*AF120-ERP_i)*AE120*Ramure*Pc/MaxiM</f>
        <v>8.7888605207799779E-4</v>
      </c>
      <c r="AE120" s="305">
        <f t="shared" si="40"/>
        <v>0.7</v>
      </c>
      <c r="AF120" s="177">
        <f t="shared" si="41"/>
        <v>0.23658453897058584</v>
      </c>
      <c r="AG120" s="810">
        <f t="shared" si="49"/>
        <v>1</v>
      </c>
      <c r="AH120" s="176">
        <f t="shared" si="42"/>
        <v>7</v>
      </c>
      <c r="AI120" s="225">
        <f t="shared" si="43"/>
        <v>1.2365845389705858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48.327853372200195</v>
      </c>
      <c r="C121" s="840"/>
      <c r="D121" s="393">
        <f t="shared" si="25"/>
        <v>51.164558890704285</v>
      </c>
      <c r="E121" s="385">
        <f t="shared" si="47"/>
        <v>57.284786631562262</v>
      </c>
      <c r="F121" s="385">
        <f t="shared" si="26"/>
        <v>57.284922424535502</v>
      </c>
      <c r="G121" s="110">
        <f t="shared" si="48"/>
        <v>0.99441508153063174</v>
      </c>
      <c r="H121" s="414" t="b">
        <f>Wh_hp&gt;='2024'!Maxi_hp</f>
        <v>1</v>
      </c>
      <c r="I121" s="390">
        <f>IF(H121,Wh_hp,'2024'!Maxi_hp)</f>
        <v>57.284922424535502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5.5442782660625411E-2</v>
      </c>
      <c r="M121" s="844"/>
      <c r="N121" s="844"/>
      <c r="O121" s="48">
        <f>IF(t&lt;Tnet,'2024'!Resal+('2024'!Salim-'2024'!Resal)*(1-EXP(('2024'!Tnet-t)/('2024'!Tau_j))),Resal+(Salim-Resal)*(1-EXP((Tnet-t)/(Tau_j))))*Salcycl</f>
        <v>0.10683862331933533</v>
      </c>
      <c r="P121" s="169">
        <f>(INDEX(Models!$BJ121:$BT121,,T121)*(1-R121)+INDEX(Models!$BJ121:$BT121,,T121+1)*R121-ERP_i)*Q121*Ramure*Pc/MaxiM</f>
        <v>2.3895485121699304E-6</v>
      </c>
      <c r="Q121" s="305">
        <f t="shared" si="28"/>
        <v>0.7</v>
      </c>
      <c r="R121" s="177">
        <f t="shared" si="29"/>
        <v>0.41802676309914344</v>
      </c>
      <c r="S121" s="810">
        <f t="shared" si="30"/>
        <v>-2</v>
      </c>
      <c r="T121" s="176">
        <f t="shared" si="31"/>
        <v>4</v>
      </c>
      <c r="U121" s="251">
        <f t="shared" si="32"/>
        <v>-1.5819732369008566</v>
      </c>
      <c r="V121" s="383">
        <f t="shared" si="33"/>
        <v>48.599275441848285</v>
      </c>
      <c r="W121" s="402">
        <f t="shared" si="34"/>
        <v>48.327853372200195</v>
      </c>
      <c r="X121" s="157">
        <f t="shared" si="35"/>
        <v>45764</v>
      </c>
      <c r="Y121" s="385">
        <f t="shared" si="36"/>
        <v>45.969750576994919</v>
      </c>
      <c r="Z121" s="385">
        <f t="shared" si="37"/>
        <v>48.668042266917773</v>
      </c>
      <c r="AA121" s="386">
        <f t="shared" si="38"/>
        <v>57.237740692824325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0.14972111621067008</v>
      </c>
      <c r="AD121" s="231">
        <f>(INDEX(Models!$BJ121:$BT121,,AH121)*(1-AF121)+INDEX(Models!$BJ121:$BT121,,AH121+1)*AF121-ERP_i)*AE121*Ramure*Pc/MaxiM</f>
        <v>8.3025678074186463E-4</v>
      </c>
      <c r="AE121" s="305">
        <f t="shared" si="40"/>
        <v>0.7</v>
      </c>
      <c r="AF121" s="177">
        <f t="shared" si="41"/>
        <v>0.23801681619832715</v>
      </c>
      <c r="AG121" s="810">
        <f t="shared" si="49"/>
        <v>1</v>
      </c>
      <c r="AH121" s="176">
        <f t="shared" si="42"/>
        <v>7</v>
      </c>
      <c r="AI121" s="225">
        <f t="shared" si="43"/>
        <v>1.2380168161983272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38.109361560235868</v>
      </c>
      <c r="C122" s="840"/>
      <c r="D122" s="393">
        <f t="shared" si="25"/>
        <v>40.347210038520906</v>
      </c>
      <c r="E122" s="385">
        <f t="shared" si="47"/>
        <v>45.179404656536121</v>
      </c>
      <c r="F122" s="385">
        <f t="shared" si="26"/>
        <v>45.179479187545411</v>
      </c>
      <c r="G122" s="110">
        <f t="shared" si="48"/>
        <v>0.78023116894626476</v>
      </c>
      <c r="H122" s="414" t="b">
        <f>Wh_hp&gt;='2024'!Maxi_hp</f>
        <v>1</v>
      </c>
      <c r="I122" s="390">
        <f>IF(H122,Wh_hp,'2024'!Maxi_hp)</f>
        <v>45.179479187545411</v>
      </c>
      <c r="J122" s="85">
        <f>IF(H122,An,'2024'!An_max)</f>
        <v>2025</v>
      </c>
      <c r="K122" s="197">
        <f t="shared" si="27"/>
        <v>45765</v>
      </c>
      <c r="L122" s="147">
        <f>IF(t&lt;Tvie,1-EXP((T0-t)*PertePVj)+'2024'!Pspv,1-EXP((T0-t)*PertePVj)+Pspv)</f>
        <v>5.5464763886982182E-2</v>
      </c>
      <c r="M122" s="844"/>
      <c r="N122" s="844"/>
      <c r="O122" s="48">
        <f>IF(t&lt;Tnet,'2024'!Resal+('2024'!Salim-'2024'!Resal)*(1-EXP(('2024'!Tnet-t)/('2024'!Tau_j))),Resal+(Salim-Resal)*(1-EXP((Tnet-t)/(Tau_j))))*Salcycl</f>
        <v>0.10695569485146236</v>
      </c>
      <c r="P122" s="169">
        <f>(INDEX(Models!$BJ122:$BT122,,T122)*(1-R122)+INDEX(Models!$BJ122:$BT122,,T122+1)*R122-ERP_i)*Q122*Ramure*Pc/MaxiM</f>
        <v>2.4046005685870808E-6</v>
      </c>
      <c r="Q122" s="305">
        <f t="shared" si="28"/>
        <v>0.7</v>
      </c>
      <c r="R122" s="177">
        <f t="shared" si="29"/>
        <v>0.41950714735732175</v>
      </c>
      <c r="S122" s="810">
        <f t="shared" si="30"/>
        <v>-2</v>
      </c>
      <c r="T122" s="176">
        <f t="shared" si="31"/>
        <v>4</v>
      </c>
      <c r="U122" s="251">
        <f t="shared" si="32"/>
        <v>-1.5804928526426782</v>
      </c>
      <c r="V122" s="383">
        <f t="shared" si="33"/>
        <v>48.843643149436474</v>
      </c>
      <c r="W122" s="402">
        <f t="shared" si="34"/>
        <v>38.109361560235868</v>
      </c>
      <c r="X122" s="157">
        <f t="shared" si="35"/>
        <v>45765</v>
      </c>
      <c r="Y122" s="385">
        <f t="shared" si="36"/>
        <v>36.261335268646867</v>
      </c>
      <c r="Z122" s="385">
        <f t="shared" si="37"/>
        <v>38.390664405354208</v>
      </c>
      <c r="AA122" s="386">
        <f t="shared" si="38"/>
        <v>45.155159038899484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0.14980557653928131</v>
      </c>
      <c r="AD122" s="231">
        <f>(INDEX(Models!$BJ122:$BT122,,AH122)*(1-AF122)+INDEX(Models!$BJ122:$BT122,,AH122+1)*AF122-ERP_i)*AE122*Ramure*Pc/MaxiM</f>
        <v>7.846431145280624E-4</v>
      </c>
      <c r="AE122" s="305">
        <f t="shared" si="40"/>
        <v>0.7</v>
      </c>
      <c r="AF122" s="177">
        <f t="shared" si="41"/>
        <v>0.23949720045650547</v>
      </c>
      <c r="AG122" s="810">
        <f t="shared" si="49"/>
        <v>1</v>
      </c>
      <c r="AH122" s="176">
        <f t="shared" si="42"/>
        <v>7</v>
      </c>
      <c r="AI122" s="225">
        <f t="shared" si="43"/>
        <v>1.2394972004565055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8.9040913920660714</v>
      </c>
      <c r="C123" s="840"/>
      <c r="D123" s="393">
        <f t="shared" si="25"/>
        <v>9.4271746226708117</v>
      </c>
      <c r="E123" s="385">
        <f t="shared" si="47"/>
        <v>10.557623788254206</v>
      </c>
      <c r="F123" s="385">
        <f t="shared" si="26"/>
        <v>10.557623788254206</v>
      </c>
      <c r="G123" s="110">
        <f t="shared" si="48"/>
        <v>0.18141525025464214</v>
      </c>
      <c r="H123" s="414" t="b">
        <f>Wh_hp&gt;='2024'!Maxi_hp</f>
        <v>0</v>
      </c>
      <c r="I123" s="390">
        <f>IF(H123,Wh_hp,'2024'!Maxi_hp)</f>
        <v>58.078197981437626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5.5486744601803695E-2</v>
      </c>
      <c r="M123" s="844"/>
      <c r="N123" s="844"/>
      <c r="O123" s="48">
        <f>IF(t&lt;Tnet,'2024'!Resal+('2024'!Salim-'2024'!Resal)*(1-EXP(('2024'!Tnet-t)/('2024'!Tau_j))),Resal+(Salim-Resal)*(1-EXP((Tnet-t)/(Tau_j))))*Salcycl</f>
        <v>0.10707420422018325</v>
      </c>
      <c r="P123" s="169">
        <f>(INDEX(Models!$BJ123:$BT123,,T123)*(1-R123)+INDEX(Models!$BJ123:$BT123,,T123+1)*R123-ERP_i)*Q123*Ramure*Pc/MaxiM</f>
        <v>2.4122418158602371E-6</v>
      </c>
      <c r="Q123" s="305">
        <f t="shared" si="28"/>
        <v>0.7</v>
      </c>
      <c r="R123" s="177">
        <f t="shared" si="29"/>
        <v>0.42103678982503134</v>
      </c>
      <c r="S123" s="810">
        <f t="shared" si="30"/>
        <v>-2</v>
      </c>
      <c r="T123" s="176">
        <f t="shared" si="31"/>
        <v>4</v>
      </c>
      <c r="U123" s="251">
        <f t="shared" si="32"/>
        <v>-1.5789632101749687</v>
      </c>
      <c r="V123" s="383">
        <f t="shared" si="33"/>
        <v>49.08115442746049</v>
      </c>
      <c r="W123" s="402">
        <f t="shared" si="34"/>
        <v>8.9040913920660714</v>
      </c>
      <c r="X123" s="157">
        <f t="shared" si="35"/>
        <v>45766</v>
      </c>
      <c r="Y123" s="385">
        <f t="shared" si="36"/>
        <v>8.4771193949128421</v>
      </c>
      <c r="Z123" s="385">
        <f t="shared" si="37"/>
        <v>8.9751195618096258</v>
      </c>
      <c r="AA123" s="386">
        <f t="shared" si="38"/>
        <v>10.557623788254206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0.1498920835013256</v>
      </c>
      <c r="AD123" s="231">
        <f>(INDEX(Models!$BJ123:$BT123,,AH123)*(1-AF123)+INDEX(Models!$BJ123:$BT123,,AH123+1)*AF123-ERP_i)*AE123*Ramure*Pc/MaxiM</f>
        <v>7.4160641172078606E-4</v>
      </c>
      <c r="AE123" s="305">
        <f t="shared" si="40"/>
        <v>0.7</v>
      </c>
      <c r="AF123" s="177">
        <f t="shared" si="41"/>
        <v>0.24102684292421506</v>
      </c>
      <c r="AG123" s="810">
        <f t="shared" si="49"/>
        <v>1</v>
      </c>
      <c r="AH123" s="176">
        <f t="shared" si="42"/>
        <v>7</v>
      </c>
      <c r="AI123" s="225">
        <f t="shared" si="43"/>
        <v>1.2410268429242151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9.3400736317816264</v>
      </c>
      <c r="C124" s="840"/>
      <c r="D124" s="393">
        <f t="shared" si="25"/>
        <v>9.8889993767854332</v>
      </c>
      <c r="E124" s="385">
        <f t="shared" si="47"/>
        <v>11.076315821829878</v>
      </c>
      <c r="F124" s="385">
        <f t="shared" si="26"/>
        <v>11.076315821829878</v>
      </c>
      <c r="G124" s="110">
        <f t="shared" si="48"/>
        <v>0.18940764011877742</v>
      </c>
      <c r="H124" s="414" t="b">
        <f>Wh_hp&gt;='2024'!Maxi_hp</f>
        <v>0</v>
      </c>
      <c r="I124" s="390">
        <f>IF(H124,Wh_hp,'2024'!Maxi_hp)</f>
        <v>49.816269691728465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5.5508724805101828E-2</v>
      </c>
      <c r="M124" s="844"/>
      <c r="N124" s="844"/>
      <c r="O124" s="48">
        <f>IF(t&lt;Tnet,'2024'!Resal+('2024'!Salim-'2024'!Resal)*(1-EXP(('2024'!Tnet-t)/('2024'!Tau_j))),Resal+(Salim-Resal)*(1-EXP((Tnet-t)/(Tau_j))))*Salcycl</f>
        <v>0.10719416673768091</v>
      </c>
      <c r="P124" s="169">
        <f>(INDEX(Models!$BJ124:$BT124,,T124)*(1-R124)+INDEX(Models!$BJ124:$BT124,,T124+1)*R124-ERP_i)*Q124*Ramure*Pc/MaxiM</f>
        <v>2.4138228087805436E-6</v>
      </c>
      <c r="Q124" s="305">
        <f t="shared" si="28"/>
        <v>0.7</v>
      </c>
      <c r="R124" s="177">
        <f t="shared" si="29"/>
        <v>0.42261683360796676</v>
      </c>
      <c r="S124" s="810">
        <f t="shared" si="30"/>
        <v>-2</v>
      </c>
      <c r="T124" s="176">
        <f t="shared" si="31"/>
        <v>4</v>
      </c>
      <c r="U124" s="251">
        <f t="shared" si="32"/>
        <v>-1.5773831663920332</v>
      </c>
      <c r="V124" s="383">
        <f t="shared" si="33"/>
        <v>49.311902522209337</v>
      </c>
      <c r="W124" s="402">
        <f t="shared" si="34"/>
        <v>9.3400736317816264</v>
      </c>
      <c r="X124" s="157">
        <f t="shared" si="35"/>
        <v>45767</v>
      </c>
      <c r="Y124" s="385">
        <f t="shared" si="36"/>
        <v>8.8924634816319621</v>
      </c>
      <c r="Z124" s="385">
        <f t="shared" si="37"/>
        <v>9.415082717198187</v>
      </c>
      <c r="AA124" s="386">
        <f t="shared" si="38"/>
        <v>11.076315821829878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0.14998065524257007</v>
      </c>
      <c r="AD124" s="231">
        <f>(INDEX(Models!$BJ124:$BT124,,AH124)*(1-AF124)+INDEX(Models!$BJ124:$BT124,,AH124+1)*AF124-ERP_i)*AE124*Ramure*Pc/MaxiM</f>
        <v>7.0109416522057884E-4</v>
      </c>
      <c r="AE124" s="305">
        <f t="shared" si="40"/>
        <v>0.7</v>
      </c>
      <c r="AF124" s="177">
        <f t="shared" si="41"/>
        <v>0.24260688670715047</v>
      </c>
      <c r="AG124" s="810">
        <f t="shared" si="49"/>
        <v>1</v>
      </c>
      <c r="AH124" s="176">
        <f t="shared" si="42"/>
        <v>7</v>
      </c>
      <c r="AI124" s="225">
        <f t="shared" si="43"/>
        <v>1.2426068867071505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9.039085975667021</v>
      </c>
      <c r="C125" s="840"/>
      <c r="D125" s="393">
        <f t="shared" si="25"/>
        <v>9.5705450867536896</v>
      </c>
      <c r="E125" s="385">
        <f t="shared" si="47"/>
        <v>10.721084674168639</v>
      </c>
      <c r="F125" s="385">
        <f t="shared" si="26"/>
        <v>10.721084674168639</v>
      </c>
      <c r="G125" s="110">
        <f t="shared" si="48"/>
        <v>0.18247471921534958</v>
      </c>
      <c r="H125" s="414" t="b">
        <f>Wh_hp&gt;='2024'!Maxi_hp</f>
        <v>0</v>
      </c>
      <c r="I125" s="390">
        <f>IF(H125,Wh_hp,'2024'!Maxi_hp)</f>
        <v>54.888327904191918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5.5530704496888572E-2</v>
      </c>
      <c r="M125" s="844"/>
      <c r="N125" s="844"/>
      <c r="O125" s="48">
        <f>IF(t&lt;Tnet,'2024'!Resal+('2024'!Salim-'2024'!Resal)*(1-EXP(('2024'!Tnet-t)/('2024'!Tau_j))),Resal+(Salim-Resal)*(1-EXP((Tnet-t)/(Tau_j))))*Salcycl</f>
        <v>0.10731559561198671</v>
      </c>
      <c r="P125" s="169">
        <f>(INDEX(Models!$BJ125:$BT125,,T125)*(1-R125)+INDEX(Models!$BJ125:$BT125,,T125+1)*R125-ERP_i)*Q125*Ramure*Pc/MaxiM</f>
        <v>2.4107969185631684E-6</v>
      </c>
      <c r="Q125" s="305">
        <f t="shared" si="28"/>
        <v>0.7</v>
      </c>
      <c r="R125" s="177">
        <f t="shared" si="29"/>
        <v>0.42424841046034523</v>
      </c>
      <c r="S125" s="810">
        <f t="shared" si="30"/>
        <v>-2</v>
      </c>
      <c r="T125" s="176">
        <f t="shared" si="31"/>
        <v>4</v>
      </c>
      <c r="U125" s="251">
        <f t="shared" si="32"/>
        <v>-1.5757515895396548</v>
      </c>
      <c r="V125" s="383">
        <f t="shared" si="33"/>
        <v>49.535980782076727</v>
      </c>
      <c r="W125" s="402">
        <f t="shared" si="34"/>
        <v>9.039085975667021</v>
      </c>
      <c r="X125" s="157">
        <f t="shared" si="35"/>
        <v>45768</v>
      </c>
      <c r="Y125" s="385">
        <f t="shared" si="36"/>
        <v>8.6061529606752973</v>
      </c>
      <c r="Z125" s="385">
        <f t="shared" si="37"/>
        <v>9.1121574853218146</v>
      </c>
      <c r="AA125" s="386">
        <f t="shared" si="38"/>
        <v>10.721084674168639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0.1500713069381282</v>
      </c>
      <c r="AD125" s="231">
        <f>(INDEX(Models!$BJ125:$BT125,,AH125)*(1-AF125)+INDEX(Models!$BJ125:$BT125,,AH125+1)*AF125-ERP_i)*AE125*Ramure*Pc/MaxiM</f>
        <v>6.6306032196433945E-4</v>
      </c>
      <c r="AE125" s="305">
        <f t="shared" si="40"/>
        <v>0.7</v>
      </c>
      <c r="AF125" s="177">
        <f t="shared" si="41"/>
        <v>0.24423846355952894</v>
      </c>
      <c r="AG125" s="810">
        <f t="shared" si="49"/>
        <v>1</v>
      </c>
      <c r="AH125" s="176">
        <f t="shared" si="42"/>
        <v>7</v>
      </c>
      <c r="AI125" s="225">
        <f t="shared" si="43"/>
        <v>1.2442384635595289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26.106732636014897</v>
      </c>
      <c r="C126" s="840"/>
      <c r="D126" s="393">
        <f t="shared" si="25"/>
        <v>27.642338735908147</v>
      </c>
      <c r="E126" s="385">
        <f t="shared" si="47"/>
        <v>30.969674126907815</v>
      </c>
      <c r="F126" s="385">
        <f t="shared" si="26"/>
        <v>30.969698035216897</v>
      </c>
      <c r="G126" s="110">
        <f t="shared" si="48"/>
        <v>0.52472085604105589</v>
      </c>
      <c r="H126" s="414" t="b">
        <f>Wh_hp&gt;='2024'!Maxi_hp</f>
        <v>0</v>
      </c>
      <c r="I126" s="390">
        <f>IF(H126,Wh_hp,'2024'!Maxi_hp)</f>
        <v>59.567608044722562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5.5552683677175807E-2</v>
      </c>
      <c r="M126" s="844"/>
      <c r="N126" s="844"/>
      <c r="O126" s="48">
        <f>IF(t&lt;Tnet,'2024'!Resal+('2024'!Salim-'2024'!Resal)*(1-EXP(('2024'!Tnet-t)/('2024'!Tau_j))),Resal+(Salim-Resal)*(1-EXP((Tnet-t)/(Tau_j))))*Salcycl</f>
        <v>0.10743850185070994</v>
      </c>
      <c r="P126" s="169">
        <f>(INDEX(Models!$BJ126:$BT126,,T126)*(1-R126)+INDEX(Models!$BJ126:$BT126,,T126+1)*R126-ERP_i)*Q126*Ramure*Pc/MaxiM</f>
        <v>2.4047220989858853E-6</v>
      </c>
      <c r="Q126" s="305">
        <f t="shared" si="28"/>
        <v>0.7</v>
      </c>
      <c r="R126" s="177">
        <f t="shared" si="29"/>
        <v>0.42593263729785114</v>
      </c>
      <c r="S126" s="810">
        <f t="shared" si="30"/>
        <v>-2</v>
      </c>
      <c r="T126" s="176">
        <f t="shared" si="31"/>
        <v>4</v>
      </c>
      <c r="U126" s="251">
        <f t="shared" si="32"/>
        <v>-1.5740673627021489</v>
      </c>
      <c r="V126" s="383">
        <f t="shared" si="33"/>
        <v>49.753482656784229</v>
      </c>
      <c r="W126" s="402">
        <f t="shared" si="34"/>
        <v>26.106732636014897</v>
      </c>
      <c r="X126" s="157">
        <f t="shared" si="35"/>
        <v>45769</v>
      </c>
      <c r="Y126" s="385">
        <f t="shared" si="36"/>
        <v>24.852055525139427</v>
      </c>
      <c r="Z126" s="385">
        <f t="shared" si="37"/>
        <v>26.313861128750009</v>
      </c>
      <c r="AA126" s="386">
        <f t="shared" si="38"/>
        <v>30.963459652850439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0.15016405066584337</v>
      </c>
      <c r="AD126" s="231">
        <f>(INDEX(Models!$BJ126:$BT126,,AH126)*(1-AF126)+INDEX(Models!$BJ126:$BT126,,AH126+1)*AF126-ERP_i)*AE126*Ramure*Pc/MaxiM</f>
        <v>6.274628577280563E-4</v>
      </c>
      <c r="AE126" s="305">
        <f t="shared" si="40"/>
        <v>0.7</v>
      </c>
      <c r="AF126" s="177">
        <f t="shared" si="41"/>
        <v>0.24592269039703485</v>
      </c>
      <c r="AG126" s="810">
        <f t="shared" si="49"/>
        <v>1</v>
      </c>
      <c r="AH126" s="176">
        <f t="shared" si="42"/>
        <v>7</v>
      </c>
      <c r="AI126" s="225">
        <f t="shared" si="43"/>
        <v>1.2459226903970348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8.7758907175341143</v>
      </c>
      <c r="C127" s="840"/>
      <c r="D127" s="393">
        <f t="shared" si="25"/>
        <v>9.2923075733372826</v>
      </c>
      <c r="E127" s="385">
        <f t="shared" si="47"/>
        <v>10.412282851696581</v>
      </c>
      <c r="F127" s="385">
        <f t="shared" si="26"/>
        <v>10.412282851696581</v>
      </c>
      <c r="G127" s="110">
        <f t="shared" si="48"/>
        <v>0.17564209344037132</v>
      </c>
      <c r="H127" s="414" t="b">
        <f>Wh_hp&gt;='2024'!Maxi_hp</f>
        <v>0</v>
      </c>
      <c r="I127" s="390">
        <f>IF(H127,Wh_hp,'2024'!Maxi_hp)</f>
        <v>59.226386677752629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5.5574662345975301E-2</v>
      </c>
      <c r="M127" s="844"/>
      <c r="N127" s="844"/>
      <c r="O127" s="48">
        <f>IF(t&lt;Tnet,'2024'!Resal+('2024'!Salim-'2024'!Resal)*(1-EXP(('2024'!Tnet-t)/('2024'!Tau_j))),Resal+(Salim-Resal)*(1-EXP((Tnet-t)/(Tau_j))))*Salcycl</f>
        <v>0.10756289416175521</v>
      </c>
      <c r="P127" s="169">
        <f>(INDEX(Models!$BJ127:$BT127,,T127)*(1-R127)+INDEX(Models!$BJ127:$BT127,,T127+1)*R127-ERP_i)*Q127*Ramure*Pc/MaxiM</f>
        <v>2.3972626896601669E-6</v>
      </c>
      <c r="Q127" s="305">
        <f t="shared" si="28"/>
        <v>0.7</v>
      </c>
      <c r="R127" s="177">
        <f t="shared" si="29"/>
        <v>0.42767061250107785</v>
      </c>
      <c r="S127" s="810">
        <f t="shared" si="30"/>
        <v>-2</v>
      </c>
      <c r="T127" s="176">
        <f t="shared" si="31"/>
        <v>4</v>
      </c>
      <c r="U127" s="251">
        <f t="shared" si="32"/>
        <v>-1.5723293874989221</v>
      </c>
      <c r="V127" s="383">
        <f t="shared" si="33"/>
        <v>49.964501717796054</v>
      </c>
      <c r="W127" s="402">
        <f t="shared" si="34"/>
        <v>8.7758907175341143</v>
      </c>
      <c r="X127" s="157">
        <f t="shared" si="35"/>
        <v>45770</v>
      </c>
      <c r="Y127" s="385">
        <f t="shared" si="36"/>
        <v>8.3560343070357277</v>
      </c>
      <c r="Z127" s="385">
        <f t="shared" si="37"/>
        <v>8.8477447331012087</v>
      </c>
      <c r="AA127" s="386">
        <f t="shared" si="38"/>
        <v>10.412282851696581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0.15025889527582756</v>
      </c>
      <c r="AD127" s="231">
        <f>(INDEX(Models!$BJ127:$BT127,,AH127)*(1-AF127)+INDEX(Models!$BJ127:$BT127,,AH127+1)*AF127-ERP_i)*AE127*Ramure*Pc/MaxiM</f>
        <v>5.9426195570962614E-4</v>
      </c>
      <c r="AE127" s="305">
        <f t="shared" si="40"/>
        <v>0.7</v>
      </c>
      <c r="AF127" s="177">
        <f t="shared" si="41"/>
        <v>0.24766066560026156</v>
      </c>
      <c r="AG127" s="810">
        <f t="shared" si="49"/>
        <v>1</v>
      </c>
      <c r="AH127" s="176">
        <f t="shared" si="42"/>
        <v>7</v>
      </c>
      <c r="AI127" s="225">
        <f t="shared" si="43"/>
        <v>1.2476606656002616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30.189240813085434</v>
      </c>
      <c r="C128" s="840"/>
      <c r="D128" s="393">
        <f t="shared" si="25"/>
        <v>31.966469104021538</v>
      </c>
      <c r="E128" s="385">
        <f t="shared" si="47"/>
        <v>35.824349561436357</v>
      </c>
      <c r="F128" s="385">
        <f t="shared" si="26"/>
        <v>35.824386547565148</v>
      </c>
      <c r="G128" s="110">
        <f t="shared" si="48"/>
        <v>0.60174850200772878</v>
      </c>
      <c r="H128" s="414" t="b">
        <f>Wh_hp&gt;='2024'!Maxi_hp</f>
        <v>0</v>
      </c>
      <c r="I128" s="390">
        <f>IF(H128,Wh_hp,'2024'!Maxi_hp)</f>
        <v>54.494579426141378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5.5596640503299155E-2</v>
      </c>
      <c r="M128" s="844"/>
      <c r="N128" s="844"/>
      <c r="O128" s="48">
        <f>IF(t&lt;Tnet,'2024'!Resal+('2024'!Salim-'2024'!Resal)*(1-EXP(('2024'!Tnet-t)/('2024'!Tau_j))),Resal+(Salim-Resal)*(1-EXP((Tnet-t)/(Tau_j))))*Salcycl</f>
        <v>0.1076887788513457</v>
      </c>
      <c r="P128" s="169">
        <f>(INDEX(Models!$BJ128:$BT128,,T128)*(1-R128)+INDEX(Models!$BJ128:$BT128,,T128+1)*R128-ERP_i)*Q128*Ramure*Pc/MaxiM</f>
        <v>2.3950349339210839E-6</v>
      </c>
      <c r="Q128" s="305">
        <f t="shared" si="28"/>
        <v>0.7</v>
      </c>
      <c r="R128" s="177">
        <f t="shared" si="29"/>
        <v>0.4294634120103431</v>
      </c>
      <c r="S128" s="810">
        <f t="shared" si="30"/>
        <v>-2</v>
      </c>
      <c r="T128" s="176">
        <f t="shared" si="31"/>
        <v>4</v>
      </c>
      <c r="U128" s="251">
        <f t="shared" si="32"/>
        <v>-1.5705365879896569</v>
      </c>
      <c r="V128" s="383">
        <f t="shared" si="33"/>
        <v>50.169131416650906</v>
      </c>
      <c r="W128" s="402">
        <f t="shared" si="34"/>
        <v>30.189240813085434</v>
      </c>
      <c r="X128" s="157">
        <f t="shared" si="35"/>
        <v>45771</v>
      </c>
      <c r="Y128" s="385">
        <f t="shared" si="36"/>
        <v>28.738740842437512</v>
      </c>
      <c r="Z128" s="385">
        <f t="shared" si="37"/>
        <v>30.430578791834453</v>
      </c>
      <c r="AA128" s="386">
        <f t="shared" si="38"/>
        <v>35.815674900795145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0.15035584625661041</v>
      </c>
      <c r="AD128" s="231">
        <f>(INDEX(Models!$BJ128:$BT128,,AH128)*(1-AF128)+INDEX(Models!$BJ128:$BT128,,AH128+1)*AF128-ERP_i)*AE128*Ramure*Pc/MaxiM</f>
        <v>5.6412225415292886E-4</v>
      </c>
      <c r="AE128" s="305">
        <f t="shared" si="40"/>
        <v>0.7</v>
      </c>
      <c r="AF128" s="177">
        <f t="shared" si="41"/>
        <v>0.24945346510952682</v>
      </c>
      <c r="AG128" s="810">
        <f t="shared" si="49"/>
        <v>1</v>
      </c>
      <c r="AH128" s="176">
        <f t="shared" si="42"/>
        <v>7</v>
      </c>
      <c r="AI128" s="225">
        <f t="shared" si="43"/>
        <v>1.2494534651095268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45.239786039685995</v>
      </c>
      <c r="C129" s="840"/>
      <c r="D129" s="393">
        <f t="shared" si="25"/>
        <v>47.904148587748566</v>
      </c>
      <c r="E129" s="385">
        <f t="shared" si="47"/>
        <v>53.693136352596035</v>
      </c>
      <c r="F129" s="385">
        <f t="shared" si="26"/>
        <v>53.693246058951431</v>
      </c>
      <c r="G129" s="110">
        <f t="shared" si="48"/>
        <v>0.89819428847469529</v>
      </c>
      <c r="H129" s="414" t="b">
        <f>Wh_hp&gt;='2024'!Maxi_hp</f>
        <v>0</v>
      </c>
      <c r="I129" s="390">
        <f>IF(H129,Wh_hp,'2024'!Maxi_hp)</f>
        <v>58.750852702335024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5.5618618149159138E-2</v>
      </c>
      <c r="M129" s="844"/>
      <c r="N129" s="844"/>
      <c r="O129" s="48">
        <f>IF(t&lt;Tnet,'2024'!Resal+('2024'!Salim-'2024'!Resal)*(1-EXP(('2024'!Tnet-t)/('2024'!Tau_j))),Resal+(Salim-Resal)*(1-EXP((Tnet-t)/(Tau_j))))*Salcycl</f>
        <v>0.10781615971978085</v>
      </c>
      <c r="P129" s="169">
        <f>(INDEX(Models!$BJ129:$BT129,,T129)*(1-R129)+INDEX(Models!$BJ129:$BT129,,T129+1)*R129-ERP_i)*Q129*Ramure*Pc/MaxiM</f>
        <v>2.3909344975674993E-6</v>
      </c>
      <c r="Q129" s="305">
        <f t="shared" si="28"/>
        <v>0.7</v>
      </c>
      <c r="R129" s="177">
        <f t="shared" si="29"/>
        <v>0.43131208521431574</v>
      </c>
      <c r="S129" s="810">
        <f t="shared" si="30"/>
        <v>-2</v>
      </c>
      <c r="T129" s="176">
        <f t="shared" si="31"/>
        <v>4</v>
      </c>
      <c r="U129" s="251">
        <f t="shared" si="32"/>
        <v>-1.5686879147856843</v>
      </c>
      <c r="V129" s="383">
        <f t="shared" si="33"/>
        <v>50.367466024873927</v>
      </c>
      <c r="W129" s="402">
        <f t="shared" si="34"/>
        <v>45.239786039685995</v>
      </c>
      <c r="X129" s="157">
        <f t="shared" si="35"/>
        <v>45772</v>
      </c>
      <c r="Y129" s="385">
        <f t="shared" si="36"/>
        <v>43.058079796591578</v>
      </c>
      <c r="Z129" s="385">
        <f t="shared" si="37"/>
        <v>45.593952426512715</v>
      </c>
      <c r="AA129" s="386">
        <f t="shared" si="38"/>
        <v>53.668666592247064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0.15045490559850822</v>
      </c>
      <c r="AD129" s="231">
        <f>(INDEX(Models!$BJ129:$BT129,,AH129)*(1-AF129)+INDEX(Models!$BJ129:$BT129,,AH129+1)*AF129-ERP_i)*AE129*Ramure*Pc/MaxiM</f>
        <v>5.3568359519397452E-4</v>
      </c>
      <c r="AE129" s="305">
        <f t="shared" si="40"/>
        <v>0.7</v>
      </c>
      <c r="AF129" s="177">
        <f t="shared" si="41"/>
        <v>0.25130213831349946</v>
      </c>
      <c r="AG129" s="810">
        <f t="shared" si="49"/>
        <v>1</v>
      </c>
      <c r="AH129" s="176">
        <f t="shared" si="42"/>
        <v>7</v>
      </c>
      <c r="AI129" s="225">
        <f t="shared" si="43"/>
        <v>1.2513021383134995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49.217606545299901</v>
      </c>
      <c r="C130" s="840"/>
      <c r="D130" s="393">
        <f t="shared" si="25"/>
        <v>52.117452634549345</v>
      </c>
      <c r="E130" s="385">
        <f t="shared" si="47"/>
        <v>58.424037589679003</v>
      </c>
      <c r="F130" s="385">
        <f t="shared" si="26"/>
        <v>58.424171715559702</v>
      </c>
      <c r="G130" s="110">
        <f t="shared" si="48"/>
        <v>0.97345711863164364</v>
      </c>
      <c r="H130" s="414" t="b">
        <f>Wh_hp&gt;='2024'!Maxi_hp</f>
        <v>1</v>
      </c>
      <c r="I130" s="390">
        <f>IF(H130,Wh_hp,'2024'!Maxi_hp)</f>
        <v>58.424171715559702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5.564059528356724E-2</v>
      </c>
      <c r="M130" s="844"/>
      <c r="N130" s="844"/>
      <c r="O130" s="48">
        <f>IF(t&lt;Tnet,'2024'!Resal+('2024'!Salim-'2024'!Resal)*(1-EXP(('2024'!Tnet-t)/('2024'!Tau_j))),Resal+(Salim-Resal)*(1-EXP((Tnet-t)/(Tau_j))))*Salcycl</f>
        <v>0.10794503795546917</v>
      </c>
      <c r="P130" s="169">
        <f>(INDEX(Models!$BJ130:$BT130,,T130)*(1-R130)+INDEX(Models!$BJ130:$BT130,,T130+1)*R130-ERP_i)*Q130*Ramure*Pc/MaxiM</f>
        <v>2.3862066841398577E-6</v>
      </c>
      <c r="Q130" s="305">
        <f t="shared" si="28"/>
        <v>0.7</v>
      </c>
      <c r="R130" s="177">
        <f t="shared" si="29"/>
        <v>0.43321765063660278</v>
      </c>
      <c r="S130" s="810">
        <f t="shared" si="30"/>
        <v>-2</v>
      </c>
      <c r="T130" s="176">
        <f t="shared" si="31"/>
        <v>4</v>
      </c>
      <c r="U130" s="251">
        <f t="shared" si="32"/>
        <v>-1.5667823493633972</v>
      </c>
      <c r="V130" s="383">
        <f t="shared" si="33"/>
        <v>50.559599544788014</v>
      </c>
      <c r="W130" s="402">
        <f t="shared" si="34"/>
        <v>49.217606545299901</v>
      </c>
      <c r="X130" s="157">
        <f t="shared" si="35"/>
        <v>45773</v>
      </c>
      <c r="Y130" s="385">
        <f t="shared" si="36"/>
        <v>46.843776208648542</v>
      </c>
      <c r="Z130" s="385">
        <f t="shared" si="37"/>
        <v>49.603758881095217</v>
      </c>
      <c r="AA130" s="386">
        <f t="shared" si="38"/>
        <v>58.395565882421856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0.15055607165497359</v>
      </c>
      <c r="AD130" s="231">
        <f>(INDEX(Models!$BJ130:$BT130,,AH130)*(1-AF130)+INDEX(Models!$BJ130:$BT130,,AH130+1)*AF130-ERP_i)*AE130*Ramure*Pc/MaxiM</f>
        <v>5.0892064889336639E-4</v>
      </c>
      <c r="AE130" s="305">
        <f t="shared" si="40"/>
        <v>0.7</v>
      </c>
      <c r="AF130" s="177">
        <f t="shared" si="41"/>
        <v>0.25320770373578649</v>
      </c>
      <c r="AG130" s="810">
        <f t="shared" si="49"/>
        <v>1</v>
      </c>
      <c r="AH130" s="176">
        <f t="shared" si="42"/>
        <v>7</v>
      </c>
      <c r="AI130" s="225">
        <f t="shared" si="43"/>
        <v>1.2532077037357865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35.902780292001758</v>
      </c>
      <c r="C131" s="840"/>
      <c r="D131" s="393">
        <f t="shared" si="25"/>
        <v>38.019016533620139</v>
      </c>
      <c r="E131" s="385">
        <f t="shared" si="47"/>
        <v>42.625819543847811</v>
      </c>
      <c r="F131" s="385">
        <f t="shared" si="26"/>
        <v>42.625878657103108</v>
      </c>
      <c r="G131" s="110">
        <f t="shared" si="48"/>
        <v>0.70750421851715761</v>
      </c>
      <c r="H131" s="414" t="b">
        <f>Wh_hp&gt;='2024'!Maxi_hp</f>
        <v>1</v>
      </c>
      <c r="I131" s="390">
        <f>IF(H131,Wh_hp,'2024'!Maxi_hp)</f>
        <v>42.625878657103108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5.566257190653523E-2</v>
      </c>
      <c r="M131" s="844"/>
      <c r="N131" s="844"/>
      <c r="O131" s="48">
        <f>IF(t&lt;Tnet,'2024'!Resal+('2024'!Salim-'2024'!Resal)*(1-EXP(('2024'!Tnet-t)/('2024'!Tau_j))),Resal+(Salim-Resal)*(1-EXP((Tnet-t)/(Tau_j))))*Salcycl</f>
        <v>0.10807541202788622</v>
      </c>
      <c r="P131" s="169">
        <f>(INDEX(Models!$BJ131:$BT131,,T131)*(1-R131)+INDEX(Models!$BJ131:$BT131,,T131+1)*R131-ERP_i)*Q131*Ramure*Pc/MaxiM</f>
        <v>2.3821917283749661E-6</v>
      </c>
      <c r="Q131" s="305">
        <f t="shared" si="28"/>
        <v>0.7</v>
      </c>
      <c r="R131" s="177">
        <f t="shared" si="29"/>
        <v>0.43518109142631078</v>
      </c>
      <c r="S131" s="810">
        <f t="shared" si="30"/>
        <v>-2</v>
      </c>
      <c r="T131" s="176">
        <f t="shared" si="31"/>
        <v>4</v>
      </c>
      <c r="U131" s="251">
        <f t="shared" si="32"/>
        <v>-1.5648189085736892</v>
      </c>
      <c r="V131" s="383">
        <f t="shared" si="33"/>
        <v>50.745626124471187</v>
      </c>
      <c r="W131" s="402">
        <f t="shared" si="34"/>
        <v>35.902780292001758</v>
      </c>
      <c r="X131" s="157">
        <f t="shared" si="35"/>
        <v>45774</v>
      </c>
      <c r="Y131" s="385">
        <f t="shared" si="36"/>
        <v>34.179060952761795</v>
      </c>
      <c r="Z131" s="385">
        <f t="shared" si="37"/>
        <v>36.193695109349157</v>
      </c>
      <c r="AA131" s="386">
        <f t="shared" si="38"/>
        <v>42.613873056373215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0.15065933900283848</v>
      </c>
      <c r="AD131" s="231">
        <f>(INDEX(Models!$BJ131:$BT131,,AH131)*(1-AF131)+INDEX(Models!$BJ131:$BT131,,AH131+1)*AF131-ERP_i)*AE131*Ramure*Pc/MaxiM</f>
        <v>4.8381099311449384E-4</v>
      </c>
      <c r="AE131" s="305">
        <f t="shared" si="40"/>
        <v>0.7</v>
      </c>
      <c r="AF131" s="177">
        <f t="shared" si="41"/>
        <v>0.2551711445254945</v>
      </c>
      <c r="AG131" s="810">
        <f t="shared" si="49"/>
        <v>1</v>
      </c>
      <c r="AH131" s="176">
        <f t="shared" si="42"/>
        <v>7</v>
      </c>
      <c r="AI131" s="225">
        <f t="shared" si="43"/>
        <v>1.2551711445254945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22.208426757003174</v>
      </c>
      <c r="C132" s="840"/>
      <c r="D132" s="393">
        <f t="shared" si="25"/>
        <v>23.518016898264488</v>
      </c>
      <c r="E132" s="385">
        <f t="shared" si="47"/>
        <v>26.371617873770919</v>
      </c>
      <c r="F132" s="385">
        <f t="shared" si="26"/>
        <v>26.37163007824763</v>
      </c>
      <c r="G132" s="110">
        <f t="shared" si="48"/>
        <v>0.43609435526474405</v>
      </c>
      <c r="H132" s="414" t="b">
        <f>Wh_hp&gt;='2024'!Maxi_hp</f>
        <v>0</v>
      </c>
      <c r="I132" s="390">
        <f>IF(H132,Wh_hp,'2024'!Maxi_hp)</f>
        <v>46.447787354157064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5.5684548018075208E-2</v>
      </c>
      <c r="M132" s="844"/>
      <c r="N132" s="844"/>
      <c r="O132" s="48">
        <f>IF(t&lt;Tnet,'2024'!Resal+('2024'!Salim-'2024'!Resal)*(1-EXP(('2024'!Tnet-t)/('2024'!Tau_j))),Resal+(Salim-Resal)*(1-EXP((Tnet-t)/(Tau_j))))*Salcycl</f>
        <v>0.1082072775802127</v>
      </c>
      <c r="P132" s="169">
        <f>(INDEX(Models!$BJ132:$BT132,,T132)*(1-R132)+INDEX(Models!$BJ132:$BT132,,T132+1)*R132-ERP_i)*Q132*Ramure*Pc/MaxiM</f>
        <v>2.3803315165497221E-6</v>
      </c>
      <c r="Q132" s="305">
        <f t="shared" si="28"/>
        <v>0.7</v>
      </c>
      <c r="R132" s="177">
        <f t="shared" si="29"/>
        <v>0.43720335066061256</v>
      </c>
      <c r="S132" s="810">
        <f t="shared" si="30"/>
        <v>-2</v>
      </c>
      <c r="T132" s="176">
        <f t="shared" si="31"/>
        <v>4</v>
      </c>
      <c r="U132" s="251">
        <f t="shared" si="32"/>
        <v>-1.5627966493393874</v>
      </c>
      <c r="V132" s="383">
        <f t="shared" si="33"/>
        <v>50.925640066766739</v>
      </c>
      <c r="W132" s="402">
        <f t="shared" si="34"/>
        <v>22.208426757003174</v>
      </c>
      <c r="X132" s="157">
        <f t="shared" si="35"/>
        <v>45775</v>
      </c>
      <c r="Y132" s="385">
        <f t="shared" si="36"/>
        <v>21.146730939927661</v>
      </c>
      <c r="Z132" s="385">
        <f t="shared" si="37"/>
        <v>22.393714828604153</v>
      </c>
      <c r="AA132" s="386">
        <f t="shared" si="38"/>
        <v>26.369269840575889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0.1507646983025038</v>
      </c>
      <c r="AD132" s="231">
        <f>(INDEX(Models!$BJ132:$BT132,,AH132)*(1-AF132)+INDEX(Models!$BJ132:$BT132,,AH132+1)*AF132-ERP_i)*AE132*Ramure*Pc/MaxiM</f>
        <v>4.6033502697619599E-4</v>
      </c>
      <c r="AE132" s="305">
        <f t="shared" si="40"/>
        <v>0.7</v>
      </c>
      <c r="AF132" s="177">
        <f t="shared" si="41"/>
        <v>0.25719340375979627</v>
      </c>
      <c r="AG132" s="810">
        <f t="shared" si="49"/>
        <v>1</v>
      </c>
      <c r="AH132" s="176">
        <f t="shared" si="42"/>
        <v>7</v>
      </c>
      <c r="AI132" s="225">
        <f t="shared" si="43"/>
        <v>1.2571934037597963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40.356509012107423</v>
      </c>
      <c r="C133" s="840"/>
      <c r="D133" s="393">
        <f t="shared" si="25"/>
        <v>42.737252794268265</v>
      </c>
      <c r="E133" s="385">
        <f t="shared" si="47"/>
        <v>47.93002137793502</v>
      </c>
      <c r="F133" s="385">
        <f t="shared" si="26"/>
        <v>47.930101263298603</v>
      </c>
      <c r="G133" s="110">
        <f t="shared" si="48"/>
        <v>0.78975907560509118</v>
      </c>
      <c r="H133" s="414" t="b">
        <f>Wh_hp&gt;='2024'!Maxi_hp</f>
        <v>0</v>
      </c>
      <c r="I133" s="390">
        <f>IF(H133,Wh_hp,'2024'!Maxi_hp)</f>
        <v>53.503420570987252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5.5706523618198944E-2</v>
      </c>
      <c r="M133" s="844"/>
      <c r="N133" s="844"/>
      <c r="O133" s="48">
        <f>IF(t&lt;Tnet,'2024'!Resal+('2024'!Salim-'2024'!Resal)*(1-EXP(('2024'!Tnet-t)/('2024'!Tau_j))),Resal+(Salim-Resal)*(1-EXP((Tnet-t)/(Tau_j))))*Salcycl</f>
        <v>0.1083406273225091</v>
      </c>
      <c r="P133" s="169">
        <f>(INDEX(Models!$BJ133:$BT133,,T133)*(1-R133)+INDEX(Models!$BJ133:$BT133,,T133+1)*R133-ERP_i)*Q133*Ramure*Pc/MaxiM</f>
        <v>2.3821763901434695E-6</v>
      </c>
      <c r="Q133" s="305">
        <f t="shared" si="28"/>
        <v>0.7</v>
      </c>
      <c r="R133" s="177">
        <f t="shared" si="29"/>
        <v>0.43928532646951823</v>
      </c>
      <c r="S133" s="810">
        <f t="shared" si="30"/>
        <v>-2</v>
      </c>
      <c r="T133" s="176">
        <f t="shared" si="31"/>
        <v>4</v>
      </c>
      <c r="U133" s="251">
        <f t="shared" si="32"/>
        <v>-1.5607146735304818</v>
      </c>
      <c r="V133" s="383">
        <f t="shared" si="33"/>
        <v>51.099735836820912</v>
      </c>
      <c r="W133" s="402">
        <f t="shared" si="34"/>
        <v>40.356509012107423</v>
      </c>
      <c r="X133" s="157">
        <f t="shared" si="35"/>
        <v>45776</v>
      </c>
      <c r="Y133" s="385">
        <f t="shared" si="36"/>
        <v>38.419806555712299</v>
      </c>
      <c r="Z133" s="385">
        <f t="shared" si="37"/>
        <v>40.68629882197579</v>
      </c>
      <c r="AA133" s="386">
        <f t="shared" si="38"/>
        <v>47.915397144012552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0.15087213615926587</v>
      </c>
      <c r="AD133" s="231">
        <f>(INDEX(Models!$BJ133:$BT133,,AH133)*(1-AF133)+INDEX(Models!$BJ133:$BT133,,AH133+1)*AF133-ERP_i)*AE133*Ramure*Pc/MaxiM</f>
        <v>4.384758888188864E-4</v>
      </c>
      <c r="AE133" s="305">
        <f t="shared" si="40"/>
        <v>0.7</v>
      </c>
      <c r="AF133" s="177">
        <f t="shared" si="41"/>
        <v>0.25927537956870195</v>
      </c>
      <c r="AG133" s="810">
        <f t="shared" si="49"/>
        <v>1</v>
      </c>
      <c r="AH133" s="176">
        <f t="shared" si="42"/>
        <v>7</v>
      </c>
      <c r="AI133" s="225">
        <f t="shared" si="43"/>
        <v>1.2592753795687019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46.83258428389238</v>
      </c>
      <c r="C134" s="840"/>
      <c r="D134" s="393">
        <f t="shared" si="25"/>
        <v>49.596524113838051</v>
      </c>
      <c r="E134" s="385">
        <f t="shared" si="47"/>
        <v>50.515869907663713</v>
      </c>
      <c r="F134" s="385">
        <f t="shared" si="26"/>
        <v>50.515961208849312</v>
      </c>
      <c r="G134" s="110">
        <f t="shared" si="48"/>
        <v>0.82949033182645804</v>
      </c>
      <c r="H134" s="414" t="b">
        <f>Wh_hp&gt;='2024'!Maxi_hp</f>
        <v>0</v>
      </c>
      <c r="I134" s="390">
        <f>IF(H134,Wh_hp,'2024'!Maxi_hp)</f>
        <v>61.024126150933135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5.5728498706918317E-2</v>
      </c>
      <c r="M134" s="844"/>
      <c r="N134" s="844"/>
      <c r="O134" s="48">
        <f>IF(t&lt;Tnet,'2024'!Resal+('2024'!Salim-'2024'!Resal)*(1-EXP(('2024'!Tnet-t)/('2024'!Tau_j))),Resal+(Salim-Resal)*(1-EXP((Tnet-t)/(Tau_j))))*Salcycl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2.3893920013883566E-6</v>
      </c>
      <c r="Q134" s="305">
        <f t="shared" si="28"/>
        <v>0.7</v>
      </c>
      <c r="R134" s="177">
        <f t="shared" si="29"/>
        <v>0.44142786699534153</v>
      </c>
      <c r="S134" s="810">
        <f t="shared" si="30"/>
        <v>-2</v>
      </c>
      <c r="T134" s="176">
        <f t="shared" si="31"/>
        <v>4</v>
      </c>
      <c r="U134" s="251">
        <f t="shared" si="32"/>
        <v>-1.5585721330046585</v>
      </c>
      <c r="V134" s="383">
        <f t="shared" si="33"/>
        <v>56.459436872844009</v>
      </c>
      <c r="W134" s="402">
        <f t="shared" si="34"/>
        <v>46.83258428389238</v>
      </c>
      <c r="X134" s="157">
        <f t="shared" si="35"/>
        <v>45777</v>
      </c>
      <c r="Y134" s="385">
        <f t="shared" si="36"/>
        <v>42.512965505048541</v>
      </c>
      <c r="Z134" s="385">
        <f t="shared" si="37"/>
        <v>45.021972437833242</v>
      </c>
      <c r="AA134" s="386">
        <f t="shared" si="38"/>
        <v>50.499980605823218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0.10847545092637721</v>
      </c>
      <c r="AD134" s="231">
        <f>(INDEX(Models!$BJ134:$BT134,,AH134)*(1-AF134)+INDEX(Models!$BJ134:$BT134,,AH134+1)*AF134-ERP_i)*AE134*Ramure*Pc/MaxiM</f>
        <v>4.1821937794578616E-4</v>
      </c>
      <c r="AE134" s="305">
        <f t="shared" si="40"/>
        <v>0.7</v>
      </c>
      <c r="AF134" s="177">
        <f t="shared" si="41"/>
        <v>0.26141792009452525</v>
      </c>
      <c r="AG134" s="810">
        <f t="shared" si="49"/>
        <v>1</v>
      </c>
      <c r="AH134" s="176">
        <f t="shared" si="42"/>
        <v>7</v>
      </c>
      <c r="AI134" s="225">
        <f t="shared" si="43"/>
        <v>1.2614179200945252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47.749752814791009</v>
      </c>
      <c r="C135" s="840"/>
      <c r="D135" s="393">
        <f t="shared" si="25"/>
        <v>50.56899840963861</v>
      </c>
      <c r="E135" s="385">
        <f t="shared" si="47"/>
        <v>51.516279172481411</v>
      </c>
      <c r="F135" s="385">
        <f t="shared" si="26"/>
        <v>51.516375251726664</v>
      </c>
      <c r="G135" s="110">
        <f t="shared" si="48"/>
        <v>0.84310578707810857</v>
      </c>
      <c r="H135" s="414" t="b">
        <f>Wh_hp&gt;='2024'!Maxi_hp</f>
        <v>0</v>
      </c>
      <c r="I135" s="390">
        <f>IF(H135,Wh_hp,'2024'!Maxi_hp)</f>
        <v>55.440910682526471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5.5750473284245317E-2</v>
      </c>
      <c r="M135" s="844"/>
      <c r="N135" s="844"/>
      <c r="O135" s="48">
        <f>IF(t&lt;Tnet,'2024'!Resal+('2024'!Salim-'2024'!Resal)*(1-EXP(('2024'!Tnet-t)/('2024'!Tau_j))),Resal+(Salim-Resal)*(1-EXP((Tnet-t)/(Tau_j))))*Salcycl</f>
        <v>1.8387988768971755E-2</v>
      </c>
      <c r="P135" s="169">
        <f>(INDEX(Models!$BJ135:$BT135,,T135)*(1-R135)+INDEX(Models!$BJ135:$BT135,,T135+1)*R135-ERP_i)*Q135*Ramure*Pc/MaxiM</f>
        <v>2.403795573765875E-6</v>
      </c>
      <c r="Q135" s="305">
        <f t="shared" si="28"/>
        <v>0.7</v>
      </c>
      <c r="R135" s="177">
        <f t="shared" si="29"/>
        <v>0.4436317652017896</v>
      </c>
      <c r="S135" s="810">
        <f t="shared" si="30"/>
        <v>-2</v>
      </c>
      <c r="T135" s="176">
        <f t="shared" si="31"/>
        <v>4</v>
      </c>
      <c r="U135" s="251">
        <f t="shared" si="32"/>
        <v>-1.5563682347982104</v>
      </c>
      <c r="V135" s="383">
        <f t="shared" si="33"/>
        <v>56.635511012191785</v>
      </c>
      <c r="W135" s="402">
        <f t="shared" si="34"/>
        <v>47.749752814791009</v>
      </c>
      <c r="X135" s="157">
        <f t="shared" si="35"/>
        <v>45778</v>
      </c>
      <c r="Y135" s="385">
        <f t="shared" si="36"/>
        <v>43.347527648305565</v>
      </c>
      <c r="Z135" s="385">
        <f t="shared" si="37"/>
        <v>45.906856632562942</v>
      </c>
      <c r="AA135" s="386">
        <f t="shared" si="38"/>
        <v>51.500404965005188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0.10861173492214461</v>
      </c>
      <c r="AD135" s="231">
        <f>(INDEX(Models!$BJ135:$BT135,,AH135)*(1-AF135)+INDEX(Models!$BJ135:$BT135,,AH135+1)*AF135-ERP_i)*AE135*Ramure*Pc/MaxiM</f>
        <v>3.9955876456099584E-4</v>
      </c>
      <c r="AE135" s="305">
        <f t="shared" si="40"/>
        <v>0.7</v>
      </c>
      <c r="AF135" s="177">
        <f t="shared" si="41"/>
        <v>0.26362181830097331</v>
      </c>
      <c r="AG135" s="810">
        <f t="shared" si="49"/>
        <v>1</v>
      </c>
      <c r="AH135" s="176">
        <f t="shared" si="42"/>
        <v>7</v>
      </c>
      <c r="AI135" s="225">
        <f t="shared" si="43"/>
        <v>1.2636218183009733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27.911375863919528</v>
      </c>
      <c r="C136" s="840"/>
      <c r="D136" s="393">
        <f t="shared" si="25"/>
        <v>29.560009963266978</v>
      </c>
      <c r="E136" s="385">
        <f t="shared" si="47"/>
        <v>30.11954265572875</v>
      </c>
      <c r="F136" s="385">
        <f t="shared" si="26"/>
        <v>30.119562673441106</v>
      </c>
      <c r="G136" s="110">
        <f t="shared" si="48"/>
        <v>0.4913608841309659</v>
      </c>
      <c r="H136" s="414" t="b">
        <f>Wh_hp&gt;='2024'!Maxi_hp</f>
        <v>0</v>
      </c>
      <c r="I136" s="390">
        <f>IF(H136,Wh_hp,'2024'!Maxi_hp)</f>
        <v>48.436895497277384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5.5772447350191712E-2</v>
      </c>
      <c r="M136" s="844"/>
      <c r="N136" s="844"/>
      <c r="O136" s="48">
        <f>IF(t&lt;Tnet,'2024'!Resal+('2024'!Salim-'2024'!Resal)*(1-EXP(('2024'!Tnet-t)/('2024'!Tau_j))),Resal+(Salim-Resal)*(1-EXP((Tnet-t)/(Tau_j))))*Salcycl</f>
        <v>1.8577064693754534E-2</v>
      </c>
      <c r="P136" s="169">
        <f>(INDEX(Models!$BJ136:$BT136,,T136)*(1-R136)+INDEX(Models!$BJ136:$BT136,,T136+1)*R136-ERP_i)*Q136*Ramure*Pc/MaxiM</f>
        <v>2.4311328065687073E-6</v>
      </c>
      <c r="Q136" s="305">
        <f t="shared" si="28"/>
        <v>0.7</v>
      </c>
      <c r="R136" s="177">
        <f t="shared" si="29"/>
        <v>0.44589775355013761</v>
      </c>
      <c r="S136" s="810">
        <f t="shared" si="30"/>
        <v>-2</v>
      </c>
      <c r="T136" s="176">
        <f t="shared" si="31"/>
        <v>4</v>
      </c>
      <c r="U136" s="251">
        <f t="shared" si="32"/>
        <v>-1.5541022464498624</v>
      </c>
      <c r="V136" s="383">
        <f t="shared" si="33"/>
        <v>56.804128002828186</v>
      </c>
      <c r="W136" s="402">
        <f t="shared" si="34"/>
        <v>27.911375863919528</v>
      </c>
      <c r="X136" s="157">
        <f t="shared" si="35"/>
        <v>45779</v>
      </c>
      <c r="Y136" s="385">
        <f t="shared" si="36"/>
        <v>25.344263088008304</v>
      </c>
      <c r="Z136" s="385">
        <f t="shared" si="37"/>
        <v>26.841266193603538</v>
      </c>
      <c r="AA136" s="386">
        <f t="shared" si="38"/>
        <v>30.116409547304951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0.10874946259968418</v>
      </c>
      <c r="AD136" s="231">
        <f>(INDEX(Models!$BJ136:$BT136,,AH136)*(1-AF136)+INDEX(Models!$BJ136:$BT136,,AH136+1)*AF136-ERP_i)*AE136*Ramure*Pc/MaxiM</f>
        <v>3.8294427733942939E-4</v>
      </c>
      <c r="AE136" s="305">
        <f t="shared" si="40"/>
        <v>0.7</v>
      </c>
      <c r="AF136" s="177">
        <f t="shared" si="41"/>
        <v>0.26588780664932132</v>
      </c>
      <c r="AG136" s="810">
        <f t="shared" si="49"/>
        <v>1</v>
      </c>
      <c r="AH136" s="176">
        <f t="shared" si="42"/>
        <v>7</v>
      </c>
      <c r="AI136" s="225">
        <f t="shared" si="43"/>
        <v>1.2658878066493213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38.354043062849151</v>
      </c>
      <c r="C137" s="840"/>
      <c r="D137" s="393">
        <f t="shared" si="25"/>
        <v>40.62043681165418</v>
      </c>
      <c r="E137" s="385">
        <f t="shared" si="47"/>
        <v>41.397314499732126</v>
      </c>
      <c r="F137" s="385">
        <f t="shared" si="26"/>
        <v>41.397368906429897</v>
      </c>
      <c r="G137" s="110">
        <f t="shared" si="48"/>
        <v>0.67328474466251087</v>
      </c>
      <c r="H137" s="414" t="b">
        <f>Wh_hp&gt;='2024'!Maxi_hp</f>
        <v>0</v>
      </c>
      <c r="I137" s="390">
        <f>IF(H137,Wh_hp,'2024'!Maxi_hp)</f>
        <v>59.778288949958807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5.5794420904769604E-2</v>
      </c>
      <c r="M137" s="844"/>
      <c r="N137" s="844"/>
      <c r="O137" s="48">
        <f>IF(t&lt;Tnet,'2024'!Resal+('2024'!Salim-'2024'!Resal)*(1-EXP(('2024'!Tnet-t)/('2024'!Tau_j))),Resal+(Salim-Resal)*(1-EXP((Tnet-t)/(Tau_j))))*Salcycl</f>
        <v>1.8766378869406391E-2</v>
      </c>
      <c r="P137" s="169">
        <f>(INDEX(Models!$BJ137:$BT137,,T137)*(1-R137)+INDEX(Models!$BJ137:$BT137,,T137+1)*R137-ERP_i)*Q137*Ramure*Pc/MaxiM</f>
        <v>2.4645437092445277E-6</v>
      </c>
      <c r="Q137" s="305">
        <f t="shared" si="28"/>
        <v>0.7</v>
      </c>
      <c r="R137" s="177">
        <f t="shared" si="29"/>
        <v>0.44822649856258878</v>
      </c>
      <c r="S137" s="810">
        <f t="shared" si="30"/>
        <v>-2</v>
      </c>
      <c r="T137" s="176">
        <f t="shared" si="31"/>
        <v>4</v>
      </c>
      <c r="U137" s="251">
        <f t="shared" si="32"/>
        <v>-1.5517735014374112</v>
      </c>
      <c r="V137" s="383">
        <f t="shared" si="33"/>
        <v>56.965495280592627</v>
      </c>
      <c r="W137" s="402">
        <f t="shared" si="34"/>
        <v>38.354043062849151</v>
      </c>
      <c r="X137" s="157">
        <f t="shared" si="35"/>
        <v>45780</v>
      </c>
      <c r="Y137" s="385">
        <f t="shared" si="36"/>
        <v>34.824603126928487</v>
      </c>
      <c r="Z137" s="385">
        <f t="shared" si="37"/>
        <v>36.882437361044396</v>
      </c>
      <c r="AA137" s="386">
        <f t="shared" si="38"/>
        <v>41.389256087326984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0.10888861391404754</v>
      </c>
      <c r="AD137" s="231">
        <f>(INDEX(Models!$BJ137:$BT137,,AH137)*(1-AF137)+INDEX(Models!$BJ137:$BT137,,AH137+1)*AF137-ERP_i)*AE137*Ramure*Pc/MaxiM</f>
        <v>3.6749882100483027E-4</v>
      </c>
      <c r="AE137" s="305">
        <f t="shared" si="40"/>
        <v>0.7</v>
      </c>
      <c r="AF137" s="177">
        <f t="shared" si="41"/>
        <v>0.2682165516617725</v>
      </c>
      <c r="AG137" s="810">
        <f t="shared" si="49"/>
        <v>1</v>
      </c>
      <c r="AH137" s="176">
        <f t="shared" si="42"/>
        <v>7</v>
      </c>
      <c r="AI137" s="225">
        <f t="shared" si="43"/>
        <v>1.2682165516617725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21.750920105615659</v>
      </c>
      <c r="C138" s="840"/>
      <c r="D138" s="393">
        <f t="shared" si="25"/>
        <v>23.036748325428491</v>
      </c>
      <c r="E138" s="385">
        <f t="shared" si="47"/>
        <v>23.481869076932991</v>
      </c>
      <c r="F138" s="385">
        <f t="shared" si="26"/>
        <v>23.481875867361286</v>
      </c>
      <c r="G138" s="110">
        <f t="shared" si="48"/>
        <v>0.38079377733298753</v>
      </c>
      <c r="H138" s="414" t="b">
        <f>Wh_hp&gt;='2024'!Maxi_hp</f>
        <v>0</v>
      </c>
      <c r="I138" s="390">
        <f>IF(H138,Wh_hp,'2024'!Maxi_hp)</f>
        <v>54.701655711301164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5.581639394799065E-2</v>
      </c>
      <c r="M138" s="844"/>
      <c r="N138" s="844"/>
      <c r="O138" s="48">
        <f>IF(t&lt;Tnet,'2024'!Resal+('2024'!Salim-'2024'!Resal)*(1-EXP(('2024'!Tnet-t)/('2024'!Tau_j))),Resal+(Salim-Resal)*(1-EXP((Tnet-t)/(Tau_j))))*Salcycl</f>
        <v>1.8955933620367422E-2</v>
      </c>
      <c r="P138" s="169">
        <f>(INDEX(Models!$BJ138:$BT138,,T138)*(1-R138)+INDEX(Models!$BJ138:$BT138,,T138+1)*R138-ERP_i)*Q138*Ramure*Pc/MaxiM</f>
        <v>2.5054167120838912E-6</v>
      </c>
      <c r="Q138" s="305">
        <f t="shared" si="28"/>
        <v>0.7</v>
      </c>
      <c r="R138" s="177">
        <f t="shared" si="29"/>
        <v>0.45061859529562098</v>
      </c>
      <c r="S138" s="810">
        <f t="shared" si="30"/>
        <v>-2</v>
      </c>
      <c r="T138" s="176">
        <f t="shared" si="31"/>
        <v>4</v>
      </c>
      <c r="U138" s="251">
        <f t="shared" si="32"/>
        <v>-1.549381404704379</v>
      </c>
      <c r="V138" s="383">
        <f t="shared" si="33"/>
        <v>57.119819690062236</v>
      </c>
      <c r="W138" s="402">
        <f t="shared" si="34"/>
        <v>21.750920105615659</v>
      </c>
      <c r="X138" s="157">
        <f t="shared" si="35"/>
        <v>45781</v>
      </c>
      <c r="Y138" s="385">
        <f t="shared" si="36"/>
        <v>19.753089222404395</v>
      </c>
      <c r="Z138" s="385">
        <f t="shared" si="37"/>
        <v>20.920813595778867</v>
      </c>
      <c r="AA138" s="386">
        <f t="shared" si="38"/>
        <v>23.480918547804283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0.1090291653971438</v>
      </c>
      <c r="AD138" s="231">
        <f>(INDEX(Models!$BJ138:$BT138,,AH138)*(1-AF138)+INDEX(Models!$BJ138:$BT138,,AH138+1)*AF138-ERP_i)*AE138*Ramure*Pc/MaxiM</f>
        <v>3.5321548415947763E-4</v>
      </c>
      <c r="AE138" s="305">
        <f t="shared" si="40"/>
        <v>0.7</v>
      </c>
      <c r="AF138" s="177">
        <f t="shared" si="41"/>
        <v>0.2706086483948047</v>
      </c>
      <c r="AG138" s="810">
        <f t="shared" si="49"/>
        <v>1</v>
      </c>
      <c r="AH138" s="176">
        <f t="shared" si="42"/>
        <v>7</v>
      </c>
      <c r="AI138" s="225">
        <f t="shared" si="43"/>
        <v>1.2706086483948047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44.452509112168457</v>
      </c>
      <c r="C139" s="840"/>
      <c r="D139" s="393">
        <f t="shared" si="25"/>
        <v>47.081460985059785</v>
      </c>
      <c r="E139" s="385">
        <f t="shared" si="47"/>
        <v>48.000464949987865</v>
      </c>
      <c r="F139" s="385">
        <f t="shared" si="26"/>
        <v>48.000548393911785</v>
      </c>
      <c r="G139" s="110">
        <f t="shared" si="48"/>
        <v>0.77622773609431273</v>
      </c>
      <c r="H139" s="414" t="b">
        <f>Wh_hp&gt;='2024'!Maxi_hp</f>
        <v>0</v>
      </c>
      <c r="I139" s="390">
        <f>IF(H139,Wh_hp,'2024'!Maxi_hp)</f>
        <v>58.762376134897934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5.5838366479866952E-2</v>
      </c>
      <c r="M139" s="844"/>
      <c r="N139" s="844"/>
      <c r="O139" s="48">
        <f>IF(t&lt;Tnet,'2024'!Resal+('2024'!Salim-'2024'!Resal)*(1-EXP(('2024'!Tnet-t)/('2024'!Tau_j))),Resal+(Salim-Resal)*(1-EXP((Tnet-t)/(Tau_j))))*Salcycl</f>
        <v>1.9145730481686014E-2</v>
      </c>
      <c r="P139" s="169">
        <f>(INDEX(Models!$BJ139:$BT139,,T139)*(1-R139)+INDEX(Models!$BJ139:$BT139,,T139+1)*R139-ERP_i)*Q139*Ramure*Pc/MaxiM</f>
        <v>2.5552376355146449E-6</v>
      </c>
      <c r="Q139" s="305">
        <f t="shared" si="28"/>
        <v>0.7</v>
      </c>
      <c r="R139" s="177">
        <f t="shared" si="29"/>
        <v>0.45307456174888205</v>
      </c>
      <c r="S139" s="810">
        <f t="shared" si="30"/>
        <v>-2</v>
      </c>
      <c r="T139" s="176">
        <f t="shared" si="31"/>
        <v>4</v>
      </c>
      <c r="U139" s="251">
        <f t="shared" si="32"/>
        <v>-1.5469254382511179</v>
      </c>
      <c r="V139" s="383">
        <f t="shared" si="33"/>
        <v>57.267307948925712</v>
      </c>
      <c r="W139" s="402">
        <f t="shared" si="34"/>
        <v>44.452509112168457</v>
      </c>
      <c r="X139" s="157">
        <f t="shared" si="35"/>
        <v>45782</v>
      </c>
      <c r="Y139" s="385">
        <f t="shared" si="36"/>
        <v>40.36327114524962</v>
      </c>
      <c r="Z139" s="385">
        <f t="shared" si="37"/>
        <v>42.750382680518996</v>
      </c>
      <c r="AA139" s="386">
        <f t="shared" si="38"/>
        <v>47.989442421891674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0.1091710900767362</v>
      </c>
      <c r="AD139" s="231">
        <f>(INDEX(Models!$BJ139:$BT139,,AH139)*(1-AF139)+INDEX(Models!$BJ139:$BT139,,AH139+1)*AF139-ERP_i)*AE139*Ramure*Pc/MaxiM</f>
        <v>3.4008944392188934E-4</v>
      </c>
      <c r="AE139" s="305">
        <f t="shared" si="40"/>
        <v>0.7</v>
      </c>
      <c r="AF139" s="177">
        <f t="shared" si="41"/>
        <v>0.27306461484806577</v>
      </c>
      <c r="AG139" s="810">
        <f t="shared" si="49"/>
        <v>1</v>
      </c>
      <c r="AH139" s="176">
        <f t="shared" si="42"/>
        <v>7</v>
      </c>
      <c r="AI139" s="225">
        <f t="shared" si="43"/>
        <v>1.2730646148480658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37.5415847252658</v>
      </c>
      <c r="C140" s="840"/>
      <c r="D140" s="393">
        <f t="shared" si="25"/>
        <v>39.762745127810859</v>
      </c>
      <c r="E140" s="385">
        <f t="shared" si="47"/>
        <v>40.546747722545632</v>
      </c>
      <c r="F140" s="385">
        <f t="shared" si="26"/>
        <v>40.546801346698352</v>
      </c>
      <c r="G140" s="110">
        <f t="shared" si="48"/>
        <v>0.65394069120033083</v>
      </c>
      <c r="H140" s="414" t="b">
        <f>Wh_hp&gt;='2024'!Maxi_hp</f>
        <v>0</v>
      </c>
      <c r="I140" s="390">
        <f>IF(H140,Wh_hp,'2024'!Maxi_hp)</f>
        <v>63.468441538808548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5.5860338500410389E-2</v>
      </c>
      <c r="M140" s="844"/>
      <c r="N140" s="844"/>
      <c r="O140" s="48">
        <f>IF(t&lt;Tnet,'2024'!Resal+('2024'!Salim-'2024'!Resal)*(1-EXP(('2024'!Tnet-t)/('2024'!Tau_j))),Resal+(Salim-Resal)*(1-EXP((Tnet-t)/(Tau_j))))*Salcycl</f>
        <v>1.9335770160891049E-2</v>
      </c>
      <c r="P140" s="169">
        <f>(INDEX(Models!$BJ140:$BT140,,T140)*(1-R140)+INDEX(Models!$BJ140:$BT140,,T140+1)*R140-ERP_i)*Q140*Ramure*Pc/MaxiM</f>
        <v>2.6155941162007144E-6</v>
      </c>
      <c r="Q140" s="305">
        <f t="shared" si="28"/>
        <v>0.7</v>
      </c>
      <c r="R140" s="177">
        <f t="shared" si="29"/>
        <v>0.45559483323795513</v>
      </c>
      <c r="S140" s="810">
        <f t="shared" si="30"/>
        <v>-2</v>
      </c>
      <c r="T140" s="176">
        <f t="shared" si="31"/>
        <v>4</v>
      </c>
      <c r="U140" s="251">
        <f t="shared" si="32"/>
        <v>-1.5444051667620449</v>
      </c>
      <c r="V140" s="383">
        <f t="shared" si="33"/>
        <v>57.408166652580867</v>
      </c>
      <c r="W140" s="402">
        <f t="shared" si="34"/>
        <v>37.5415847252658</v>
      </c>
      <c r="X140" s="157">
        <f t="shared" si="35"/>
        <v>45783</v>
      </c>
      <c r="Y140" s="385">
        <f t="shared" si="36"/>
        <v>34.091431269332375</v>
      </c>
      <c r="Z140" s="385">
        <f t="shared" si="37"/>
        <v>36.108462189994754</v>
      </c>
      <c r="AA140" s="386">
        <f t="shared" si="38"/>
        <v>40.54007436872449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0.10931435740405537</v>
      </c>
      <c r="AD140" s="231">
        <f>(INDEX(Models!$BJ140:$BT140,,AH140)*(1-AF140)+INDEX(Models!$BJ140:$BT140,,AH140+1)*AF140-ERP_i)*AE140*Ramure*Pc/MaxiM</f>
        <v>3.281178930519069E-4</v>
      </c>
      <c r="AE140" s="305">
        <f t="shared" si="40"/>
        <v>0.7</v>
      </c>
      <c r="AF140" s="177">
        <f t="shared" si="41"/>
        <v>0.27558488633713885</v>
      </c>
      <c r="AG140" s="810">
        <f t="shared" si="49"/>
        <v>1</v>
      </c>
      <c r="AH140" s="176">
        <f t="shared" si="42"/>
        <v>7</v>
      </c>
      <c r="AI140" s="225">
        <f t="shared" si="43"/>
        <v>1.2755848863371388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52.946611280024051</v>
      </c>
      <c r="C141" s="840"/>
      <c r="D141" s="393">
        <f t="shared" si="25"/>
        <v>56.080520300985206</v>
      </c>
      <c r="E141" s="385">
        <f t="shared" si="47"/>
        <v>57.197358934468276</v>
      </c>
      <c r="F141" s="385">
        <f t="shared" si="26"/>
        <v>57.197495147687604</v>
      </c>
      <c r="G141" s="110">
        <f t="shared" si="48"/>
        <v>0.92012861689423053</v>
      </c>
      <c r="H141" s="414" t="b">
        <f>Wh_hp&gt;='2024'!Maxi_hp</f>
        <v>0</v>
      </c>
      <c r="I141" s="390">
        <f>IF(H141,Wh_hp,'2024'!Maxi_hp)</f>
        <v>60.14956112877281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5.588231000963273E-2</v>
      </c>
      <c r="M141" s="844"/>
      <c r="N141" s="844"/>
      <c r="O141" s="48">
        <f>IF(t&lt;Tnet,'2024'!Resal+('2024'!Salim-'2024'!Resal)*(1-EXP(('2024'!Tnet-t)/('2024'!Tau_j))),Resal+(Salim-Resal)*(1-EXP((Tnet-t)/(Tau_j))))*Salcycl</f>
        <v>1.9526052501176585E-2</v>
      </c>
      <c r="P141" s="169">
        <f>(INDEX(Models!$BJ141:$BT141,,T141)*(1-R141)+INDEX(Models!$BJ141:$BT141,,T141+1)*R141-ERP_i)*Q141*Ramure*Pc/MaxiM</f>
        <v>2.6881798198778845E-6</v>
      </c>
      <c r="Q141" s="305">
        <f t="shared" si="28"/>
        <v>0.7</v>
      </c>
      <c r="R141" s="177">
        <f t="shared" si="29"/>
        <v>0.45817975676207712</v>
      </c>
      <c r="S141" s="810">
        <f t="shared" si="30"/>
        <v>-2</v>
      </c>
      <c r="T141" s="176">
        <f t="shared" si="31"/>
        <v>4</v>
      </c>
      <c r="U141" s="251">
        <f t="shared" si="32"/>
        <v>-1.5418202432379229</v>
      </c>
      <c r="V141" s="383">
        <f t="shared" si="33"/>
        <v>57.542602270779525</v>
      </c>
      <c r="W141" s="402">
        <f t="shared" si="34"/>
        <v>52.946611280024051</v>
      </c>
      <c r="X141" s="157">
        <f t="shared" si="35"/>
        <v>45784</v>
      </c>
      <c r="Y141" s="385">
        <f t="shared" si="36"/>
        <v>48.076738905167929</v>
      </c>
      <c r="Z141" s="385">
        <f t="shared" si="37"/>
        <v>50.922400263105388</v>
      </c>
      <c r="AA141" s="386">
        <f t="shared" si="38"/>
        <v>57.181417186734322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0.1094589331913407</v>
      </c>
      <c r="AD141" s="231">
        <f>(INDEX(Models!$BJ141:$BT141,,AH141)*(1-AF141)+INDEX(Models!$BJ141:$BT141,,AH141+1)*AF141-ERP_i)*AE141*Ramure*Pc/MaxiM</f>
        <v>3.1729996833859361E-4</v>
      </c>
      <c r="AE141" s="305">
        <f t="shared" si="40"/>
        <v>0.7</v>
      </c>
      <c r="AF141" s="177">
        <f t="shared" si="41"/>
        <v>0.27816980986126083</v>
      </c>
      <c r="AG141" s="810">
        <f t="shared" si="49"/>
        <v>1</v>
      </c>
      <c r="AH141" s="176">
        <f t="shared" si="42"/>
        <v>7</v>
      </c>
      <c r="AI141" s="225">
        <f t="shared" si="43"/>
        <v>1.2781698098612608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48.126435863667311</v>
      </c>
      <c r="C142" s="840"/>
      <c r="D142" s="393">
        <f t="shared" si="25"/>
        <v>50.976225074961889</v>
      </c>
      <c r="E142" s="385">
        <f t="shared" si="47"/>
        <v>52.001516959412747</v>
      </c>
      <c r="F142" s="385">
        <f t="shared" si="26"/>
        <v>52.001627130394468</v>
      </c>
      <c r="G142" s="110">
        <f t="shared" si="48"/>
        <v>0.83450180387986694</v>
      </c>
      <c r="H142" s="414" t="b">
        <f>Wh_hp&gt;='2024'!Maxi_hp</f>
        <v>0</v>
      </c>
      <c r="I142" s="390">
        <f>IF(H142,Wh_hp,'2024'!Maxi_hp)</f>
        <v>57.498688083785559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5.5904281007545964E-2</v>
      </c>
      <c r="M142" s="844"/>
      <c r="N142" s="844"/>
      <c r="O142" s="48">
        <f>IF(t&lt;Tnet,'2024'!Resal+('2024'!Salim-'2024'!Resal)*(1-EXP(('2024'!Tnet-t)/('2024'!Tau_j))),Resal+(Salim-Resal)*(1-EXP((Tnet-t)/(Tau_j))))*Salcycl</f>
        <v>1.9716576446242882E-2</v>
      </c>
      <c r="P142" s="169">
        <f>(INDEX(Models!$BJ142:$BT142,,T142)*(1-R142)+INDEX(Models!$BJ142:$BT142,,T142+1)*R142-ERP_i)*Q142*Ramure*Pc/MaxiM</f>
        <v>2.7745892958829932E-6</v>
      </c>
      <c r="Q142" s="305">
        <f t="shared" si="28"/>
        <v>0.7</v>
      </c>
      <c r="R142" s="177">
        <f t="shared" si="29"/>
        <v>0.4608295854005835</v>
      </c>
      <c r="S142" s="810">
        <f t="shared" si="30"/>
        <v>-2</v>
      </c>
      <c r="T142" s="176">
        <f t="shared" si="31"/>
        <v>4</v>
      </c>
      <c r="U142" s="251">
        <f t="shared" si="32"/>
        <v>-1.5391704145994165</v>
      </c>
      <c r="V142" s="383">
        <f t="shared" si="33"/>
        <v>57.670821165068901</v>
      </c>
      <c r="W142" s="402">
        <f t="shared" si="34"/>
        <v>48.126435863667311</v>
      </c>
      <c r="X142" s="157">
        <f t="shared" si="35"/>
        <v>45785</v>
      </c>
      <c r="Y142" s="385">
        <f t="shared" si="36"/>
        <v>43.703245988934</v>
      </c>
      <c r="Z142" s="385">
        <f t="shared" si="37"/>
        <v>46.291117637493819</v>
      </c>
      <c r="AA142" s="386">
        <f t="shared" si="38"/>
        <v>51.989404901174687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0.10960477956061621</v>
      </c>
      <c r="AD142" s="231">
        <f>(INDEX(Models!$BJ142:$BT142,,AH142)*(1-AF142)+INDEX(Models!$BJ142:$BT142,,AH142+1)*AF142-ERP_i)*AE142*Ramure*Pc/MaxiM</f>
        <v>3.0780942344816399E-4</v>
      </c>
      <c r="AE142" s="305">
        <f t="shared" si="40"/>
        <v>0.7</v>
      </c>
      <c r="AF142" s="177">
        <f t="shared" si="41"/>
        <v>0.28081963849976721</v>
      </c>
      <c r="AG142" s="810">
        <f t="shared" si="49"/>
        <v>1</v>
      </c>
      <c r="AH142" s="176">
        <f t="shared" si="42"/>
        <v>7</v>
      </c>
      <c r="AI142" s="225">
        <f t="shared" si="43"/>
        <v>1.2808196384997672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55.111621786852403</v>
      </c>
      <c r="C143" s="840"/>
      <c r="D143" s="393">
        <f t="shared" ref="D143:D206" si="50">Wh/(1-Ppv)</f>
        <v>58.376394719243272</v>
      </c>
      <c r="E143" s="385">
        <f t="shared" si="47"/>
        <v>59.56211805490824</v>
      </c>
      <c r="F143" s="385">
        <f t="shared" ref="F143:F206" si="51">Wh_sa/(1-Pvg*MEDIAN((-Sdif+Wh/Env_an)/Csdif,0,1))</f>
        <v>59.562277463820259</v>
      </c>
      <c r="G143" s="110">
        <f t="shared" si="48"/>
        <v>0.95360307554491042</v>
      </c>
      <c r="H143" s="414" t="b">
        <f>Wh_hp&gt;='2024'!Maxi_hp</f>
        <v>1</v>
      </c>
      <c r="I143" s="390">
        <f>IF(H143,Wh_hp,'2024'!Maxi_hp)</f>
        <v>59.562277463820259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5.5926251494161972E-2</v>
      </c>
      <c r="M143" s="844"/>
      <c r="N143" s="844"/>
      <c r="O143" s="48">
        <f>IF(t&lt;Tnet,'2024'!Resal+('2024'!Salim-'2024'!Resal)*(1-EXP(('2024'!Tnet-t)/('2024'!Tau_j))),Resal+(Salim-Resal)*(1-EXP((Tnet-t)/(Tau_j))))*Salcycl</f>
        <v>1.9907340007148312E-2</v>
      </c>
      <c r="P143" s="169">
        <f>(INDEX(Models!$BJ143:$BT143,,T143)*(1-R143)+INDEX(Models!$BJ143:$BT143,,T143+1)*R143-ERP_i)*Q143*Ramure*Pc/MaxiM</f>
        <v>2.8663230413928598E-6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0.46354447277445976</v>
      </c>
      <c r="S143" s="810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-1.5364555272255402</v>
      </c>
      <c r="V143" s="383">
        <f t="shared" ref="V143:V206" si="58">MaxiM*(1-Ppv)*(1-Pvg)*(1-Psa)</f>
        <v>57.793030171452322</v>
      </c>
      <c r="W143" s="402">
        <f t="shared" ref="W143:W206" si="59">Wh*(A143&gt;Tmaj)</f>
        <v>55.111621786852403</v>
      </c>
      <c r="X143" s="157">
        <f t="shared" ref="X143:X206" si="60">t</f>
        <v>45786</v>
      </c>
      <c r="Y143" s="385">
        <f t="shared" ref="Y143:Y206" si="61">Wh_pvt_s*(1-Ppv)</f>
        <v>50.045733331644165</v>
      </c>
      <c r="Z143" s="385">
        <f t="shared" ref="Z143:Z206" si="62">Wh_sa_s*(1-Psa_s)</f>
        <v>53.010406666693463</v>
      </c>
      <c r="AA143" s="386">
        <f t="shared" ref="AA143:AA206" si="63">Wh_hp*(1-Pvg_s*MEDIAN((-Sdif+Wh/Env_an)/Csdif,0,1))</f>
        <v>59.545652477642612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0.10975185490498926</v>
      </c>
      <c r="AD143" s="231">
        <f>(INDEX(Models!$BJ143:$BT143,,AH143)*(1-AF143)+INDEX(Models!$BJ143:$BT143,,AH143+1)*AF143-ERP_i)*AE143*Ramure*Pc/MaxiM</f>
        <v>2.9893297896716153E-4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0.28353452587364347</v>
      </c>
      <c r="AG143" s="810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1.2835345258736435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51.112489020501762</v>
      </c>
      <c r="C144" s="840"/>
      <c r="D144" s="393">
        <f t="shared" si="50"/>
        <v>54.141616151671762</v>
      </c>
      <c r="E144" s="385">
        <f t="shared" ref="E144:E169" si="72">Wh_pvt/(1-Psa)</f>
        <v>55.252091484837905</v>
      </c>
      <c r="F144" s="385">
        <f t="shared" si="51"/>
        <v>55.252227791209307</v>
      </c>
      <c r="G144" s="110">
        <f t="shared" ref="G144:G169" si="73">+Wh_hp/MaxiM</f>
        <v>0.88262755778554192</v>
      </c>
      <c r="H144" s="414" t="b">
        <f>Wh_hp&gt;='2024'!Maxi_hp</f>
        <v>1</v>
      </c>
      <c r="I144" s="390">
        <f>IF(H144,Wh_hp,'2024'!Maxi_hp)</f>
        <v>55.252227791209307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5.5948221469492743E-2</v>
      </c>
      <c r="M144" s="844"/>
      <c r="N144" s="844"/>
      <c r="O144" s="48">
        <f>IF(t&lt;Tnet,'2024'!Resal+('2024'!Salim-'2024'!Resal)*(1-EXP(('2024'!Tnet-t)/('2024'!Tau_j))),Resal+(Salim-Resal)*(1-EXP((Tnet-t)/(Tau_j))))*Salcycl</f>
        <v>2.0098340231534614E-2</v>
      </c>
      <c r="P144" s="169">
        <f>(INDEX(Models!$BJ144:$BT144,,T144)*(1-R144)+INDEX(Models!$BJ144:$BT144,,T144+1)*R144-ERP_i)*Q144*Ramure*Pc/MaxiM</f>
        <v>2.9639648808657147E-6</v>
      </c>
      <c r="Q144" s="305">
        <f t="shared" si="53"/>
        <v>0.7</v>
      </c>
      <c r="R144" s="177">
        <f t="shared" si="54"/>
        <v>0.46632446761183433</v>
      </c>
      <c r="S144" s="810">
        <f t="shared" si="55"/>
        <v>-2</v>
      </c>
      <c r="T144" s="176">
        <f t="shared" si="56"/>
        <v>4</v>
      </c>
      <c r="U144" s="251">
        <f t="shared" si="57"/>
        <v>-1.5336755323881657</v>
      </c>
      <c r="V144" s="383">
        <f t="shared" si="58"/>
        <v>57.909435489138886</v>
      </c>
      <c r="W144" s="402">
        <f t="shared" si="59"/>
        <v>51.112489020501762</v>
      </c>
      <c r="X144" s="157">
        <f t="shared" si="60"/>
        <v>45787</v>
      </c>
      <c r="Y144" s="385">
        <f t="shared" si="61"/>
        <v>46.417235449371269</v>
      </c>
      <c r="Z144" s="385">
        <f t="shared" si="62"/>
        <v>49.168103386896256</v>
      </c>
      <c r="AA144" s="386">
        <f t="shared" si="63"/>
        <v>55.23886043882559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0.10990011386372482</v>
      </c>
      <c r="AD144" s="231">
        <f>(INDEX(Models!$BJ144:$BT144,,AH144)*(1-AF144)+INDEX(Models!$BJ144:$BT144,,AH144+1)*AF144-ERP_i)*AE144*Ramure*Pc/MaxiM</f>
        <v>2.9067139421578322E-4</v>
      </c>
      <c r="AE144" s="305">
        <f t="shared" si="65"/>
        <v>0.7</v>
      </c>
      <c r="AF144" s="177">
        <f t="shared" si="66"/>
        <v>0.28631452071101804</v>
      </c>
      <c r="AG144" s="810">
        <f t="shared" ref="AG144:AG207" si="74">INDEX(Echel_vg,AH144)</f>
        <v>1</v>
      </c>
      <c r="AH144" s="176">
        <f t="shared" si="67"/>
        <v>7</v>
      </c>
      <c r="AI144" s="225">
        <f t="shared" si="68"/>
        <v>1.286314520711018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55.546770974308295</v>
      </c>
      <c r="C145" s="840"/>
      <c r="D145" s="393">
        <f t="shared" si="50"/>
        <v>58.8400603888117</v>
      </c>
      <c r="E145" s="385">
        <f t="shared" si="72"/>
        <v>60.058624240157748</v>
      </c>
      <c r="F145" s="385">
        <f t="shared" si="51"/>
        <v>60.058797286162218</v>
      </c>
      <c r="G145" s="110">
        <f t="shared" si="73"/>
        <v>0.95736862722619198</v>
      </c>
      <c r="H145" s="414" t="b">
        <f>Wh_hp&gt;='2024'!Maxi_hp</f>
        <v>1</v>
      </c>
      <c r="I145" s="390">
        <f>IF(H145,Wh_hp,'2024'!Maxi_hp)</f>
        <v>60.058797286162218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5.5970190933550046E-2</v>
      </c>
      <c r="M145" s="844"/>
      <c r="N145" s="844"/>
      <c r="O145" s="48">
        <f>IF(t&lt;Tnet,'2024'!Resal+('2024'!Salim-'2024'!Resal)*(1-EXP(('2024'!Tnet-t)/('2024'!Tau_j))),Resal+(Salim-Resal)*(1-EXP((Tnet-t)/(Tau_j))))*Salcycl</f>
        <v>2.028957317559172E-2</v>
      </c>
      <c r="P145" s="169">
        <f>(INDEX(Models!$BJ145:$BT145,,T145)*(1-R145)+INDEX(Models!$BJ145:$BT145,,T145+1)*R145-ERP_i)*Q145*Ramure*Pc/MaxiM</f>
        <v>3.0681309622385797E-6</v>
      </c>
      <c r="Q145" s="305">
        <f t="shared" si="53"/>
        <v>0.7</v>
      </c>
      <c r="R145" s="177">
        <f t="shared" si="54"/>
        <v>0.46916950845852567</v>
      </c>
      <c r="S145" s="810">
        <f t="shared" si="55"/>
        <v>-2</v>
      </c>
      <c r="T145" s="176">
        <f t="shared" si="56"/>
        <v>4</v>
      </c>
      <c r="U145" s="251">
        <f t="shared" si="57"/>
        <v>-1.5308304915414743</v>
      </c>
      <c r="V145" s="383">
        <f t="shared" si="58"/>
        <v>58.020243211913431</v>
      </c>
      <c r="W145" s="402">
        <f t="shared" si="59"/>
        <v>55.546770974308295</v>
      </c>
      <c r="X145" s="157">
        <f t="shared" si="60"/>
        <v>45788</v>
      </c>
      <c r="Y145" s="385">
        <f t="shared" si="61"/>
        <v>50.444374398463331</v>
      </c>
      <c r="Z145" s="385">
        <f t="shared" si="62"/>
        <v>53.435149943355832</v>
      </c>
      <c r="AA145" s="386">
        <f t="shared" si="63"/>
        <v>60.042834272700262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0.11004950731229475</v>
      </c>
      <c r="AD145" s="231">
        <f>(INDEX(Models!$BJ145:$BT145,,AH145)*(1-AF145)+INDEX(Models!$BJ145:$BT145,,AH145+1)*AF145-ERP_i)*AE145*Ramure*Pc/MaxiM</f>
        <v>2.8302656281174255E-4</v>
      </c>
      <c r="AE145" s="305">
        <f t="shared" si="65"/>
        <v>0.7</v>
      </c>
      <c r="AF145" s="177">
        <f t="shared" si="66"/>
        <v>0.28915956155770939</v>
      </c>
      <c r="AG145" s="810">
        <f t="shared" si="74"/>
        <v>1</v>
      </c>
      <c r="AH145" s="176">
        <f t="shared" si="67"/>
        <v>7</v>
      </c>
      <c r="AI145" s="225">
        <f t="shared" si="68"/>
        <v>1.2891595615577094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42.747042872284482</v>
      </c>
      <c r="C146" s="840"/>
      <c r="D146" s="393">
        <f t="shared" si="50"/>
        <v>45.282508318085505</v>
      </c>
      <c r="E146" s="385">
        <f t="shared" si="72"/>
        <v>46.22933285040417</v>
      </c>
      <c r="F146" s="385">
        <f t="shared" si="51"/>
        <v>46.229424280304663</v>
      </c>
      <c r="G146" s="110">
        <f t="shared" si="73"/>
        <v>0.73542376983141722</v>
      </c>
      <c r="H146" s="414" t="b">
        <f>Wh_hp&gt;='2024'!Maxi_hp</f>
        <v>0</v>
      </c>
      <c r="I146" s="390">
        <f>IF(H146,Wh_hp,'2024'!Maxi_hp)</f>
        <v>59.107632705662361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5.599215988634576E-2</v>
      </c>
      <c r="M146" s="844"/>
      <c r="N146" s="844"/>
      <c r="O146" s="48">
        <f>IF(t&lt;Tnet,'2024'!Resal+('2024'!Salim-'2024'!Resal)*(1-EXP(('2024'!Tnet-t)/('2024'!Tau_j))),Resal+(Salim-Resal)*(1-EXP((Tnet-t)/(Tau_j))))*Salcycl</f>
        <v>2.0481033879129102E-2</v>
      </c>
      <c r="P146" s="169">
        <f>(INDEX(Models!$BJ146:$BT146,,T146)*(1-R146)+INDEX(Models!$BJ146:$BT146,,T146+1)*R146-ERP_i)*Q146*Ramure*Pc/MaxiM</f>
        <v>3.1794704070403392E-6</v>
      </c>
      <c r="Q146" s="305">
        <f t="shared" si="53"/>
        <v>0.7</v>
      </c>
      <c r="R146" s="177">
        <f t="shared" si="54"/>
        <v>0.4720794185767887</v>
      </c>
      <c r="S146" s="810">
        <f t="shared" si="55"/>
        <v>-2</v>
      </c>
      <c r="T146" s="176">
        <f t="shared" si="56"/>
        <v>4</v>
      </c>
      <c r="U146" s="251">
        <f t="shared" si="57"/>
        <v>-1.5279205814232113</v>
      </c>
      <c r="V146" s="383">
        <f t="shared" si="58"/>
        <v>58.125659321115755</v>
      </c>
      <c r="W146" s="402">
        <f t="shared" si="59"/>
        <v>42.747042872284482</v>
      </c>
      <c r="X146" s="157">
        <f t="shared" si="60"/>
        <v>45789</v>
      </c>
      <c r="Y146" s="385">
        <f t="shared" si="61"/>
        <v>38.825041529866461</v>
      </c>
      <c r="Z146" s="385">
        <f t="shared" si="62"/>
        <v>41.127880384120644</v>
      </c>
      <c r="AA146" s="386">
        <f t="shared" si="63"/>
        <v>46.221487490636278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0.11019998236853616</v>
      </c>
      <c r="AD146" s="231">
        <f>(INDEX(Models!$BJ146:$BT146,,AH146)*(1-AF146)+INDEX(Models!$BJ146:$BT146,,AH146+1)*AF146-ERP_i)*AE146*Ramure*Pc/MaxiM</f>
        <v>2.7600148026866967E-4</v>
      </c>
      <c r="AE146" s="305">
        <f t="shared" si="65"/>
        <v>0.7</v>
      </c>
      <c r="AF146" s="177">
        <f t="shared" si="66"/>
        <v>0.29206947167597241</v>
      </c>
      <c r="AG146" s="810">
        <f t="shared" si="74"/>
        <v>1</v>
      </c>
      <c r="AH146" s="176">
        <f t="shared" si="67"/>
        <v>7</v>
      </c>
      <c r="AI146" s="225">
        <f t="shared" si="68"/>
        <v>1.2920694716759724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44.365923622539974</v>
      </c>
      <c r="C147" s="840"/>
      <c r="D147" s="393">
        <f t="shared" si="50"/>
        <v>46.998503848318613</v>
      </c>
      <c r="E147" s="385">
        <f t="shared" si="72"/>
        <v>47.990599907387995</v>
      </c>
      <c r="F147" s="385">
        <f t="shared" si="51"/>
        <v>47.990704380321311</v>
      </c>
      <c r="G147" s="110">
        <f t="shared" si="73"/>
        <v>0.76196128713705769</v>
      </c>
      <c r="H147" s="414" t="b">
        <f>Wh_hp&gt;='2024'!Maxi_hp</f>
        <v>0</v>
      </c>
      <c r="I147" s="390">
        <f>IF(H147,Wh_hp,'2024'!Maxi_hp)</f>
        <v>65.445503800800012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5.6014128327891877E-2</v>
      </c>
      <c r="M147" s="844"/>
      <c r="N147" s="844"/>
      <c r="O147" s="48">
        <f>IF(t&lt;Tnet,'2024'!Resal+('2024'!Salim-'2024'!Resal)*(1-EXP(('2024'!Tnet-t)/('2024'!Tau_j))),Resal+(Salim-Resal)*(1-EXP((Tnet-t)/(Tau_j))))*Salcycl</f>
        <v>2.0672716344115792E-2</v>
      </c>
      <c r="P147" s="169">
        <f>(INDEX(Models!$BJ147:$BT147,,T147)*(1-R147)+INDEX(Models!$BJ147:$BT147,,T147+1)*R147-ERP_i)*Q147*Ramure*Pc/MaxiM</f>
        <v>3.298665802702467E-6</v>
      </c>
      <c r="Q147" s="305">
        <f t="shared" si="53"/>
        <v>0.7</v>
      </c>
      <c r="R147" s="177">
        <f t="shared" si="54"/>
        <v>0.4750539010771504</v>
      </c>
      <c r="S147" s="810">
        <f t="shared" si="55"/>
        <v>-2</v>
      </c>
      <c r="T147" s="176">
        <f t="shared" si="56"/>
        <v>4</v>
      </c>
      <c r="U147" s="251">
        <f t="shared" si="57"/>
        <v>-1.5249460989228496</v>
      </c>
      <c r="V147" s="383">
        <f t="shared" si="58"/>
        <v>58.225889694177653</v>
      </c>
      <c r="W147" s="402">
        <f t="shared" si="59"/>
        <v>44.365923622539974</v>
      </c>
      <c r="X147" s="157">
        <f t="shared" si="60"/>
        <v>45790</v>
      </c>
      <c r="Y147" s="385">
        <f t="shared" si="61"/>
        <v>40.296172864549931</v>
      </c>
      <c r="Z147" s="385">
        <f t="shared" si="62"/>
        <v>42.687262673934107</v>
      </c>
      <c r="AA147" s="386">
        <f t="shared" si="63"/>
        <v>47.982165799429922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0.11035148241596716</v>
      </c>
      <c r="AD147" s="231">
        <f>(INDEX(Models!$BJ147:$BT147,,AH147)*(1-AF147)+INDEX(Models!$BJ147:$BT147,,AH147+1)*AF147-ERP_i)*AE147*Ramure*Pc/MaxiM</f>
        <v>2.6960021026719373E-4</v>
      </c>
      <c r="AE147" s="305">
        <f t="shared" si="65"/>
        <v>0.7</v>
      </c>
      <c r="AF147" s="177">
        <f t="shared" si="66"/>
        <v>0.29504395417633411</v>
      </c>
      <c r="AG147" s="810">
        <f t="shared" si="74"/>
        <v>1</v>
      </c>
      <c r="AH147" s="176">
        <f t="shared" si="67"/>
        <v>7</v>
      </c>
      <c r="AI147" s="225">
        <f t="shared" si="68"/>
        <v>1.2950439541763341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48.885381943475394</v>
      </c>
      <c r="C148" s="840"/>
      <c r="D148" s="393">
        <f t="shared" si="50"/>
        <v>51.787342449957606</v>
      </c>
      <c r="E148" s="385">
        <f t="shared" si="72"/>
        <v>52.890890437508574</v>
      </c>
      <c r="F148" s="385">
        <f t="shared" si="51"/>
        <v>52.891029778315023</v>
      </c>
      <c r="G148" s="110">
        <f t="shared" si="73"/>
        <v>0.83820966370149053</v>
      </c>
      <c r="H148" s="414" t="b">
        <f>Wh_hp&gt;='2024'!Maxi_hp</f>
        <v>0</v>
      </c>
      <c r="I148" s="390">
        <f>IF(H148,Wh_hp,'2024'!Maxi_hp)</f>
        <v>63.25386320981476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5.6036096258200385E-2</v>
      </c>
      <c r="M148" s="844"/>
      <c r="N148" s="844"/>
      <c r="O148" s="48">
        <f>IF(t&lt;Tnet,'2024'!Resal+('2024'!Salim-'2024'!Resal)*(1-EXP(('2024'!Tnet-t)/('2024'!Tau_j))),Resal+(Salim-Resal)*(1-EXP((Tnet-t)/(Tau_j))))*Salcycl</f>
        <v>2.0864613517044599E-2</v>
      </c>
      <c r="P148" s="169">
        <f>(INDEX(Models!$BJ148:$BT148,,T148)*(1-R148)+INDEX(Models!$BJ148:$BT148,,T148+1)*R148-ERP_i)*Q148*Ramure*Pc/MaxiM</f>
        <v>3.4264335198433573E-6</v>
      </c>
      <c r="Q148" s="305">
        <f t="shared" si="53"/>
        <v>0.7</v>
      </c>
      <c r="R148" s="177">
        <f t="shared" si="54"/>
        <v>0.47809253432963228</v>
      </c>
      <c r="S148" s="810">
        <f t="shared" si="55"/>
        <v>-2</v>
      </c>
      <c r="T148" s="176">
        <f t="shared" si="56"/>
        <v>4</v>
      </c>
      <c r="U148" s="251">
        <f t="shared" si="57"/>
        <v>-1.5219074656703677</v>
      </c>
      <c r="V148" s="383">
        <f t="shared" si="58"/>
        <v>58.321140098720015</v>
      </c>
      <c r="W148" s="402">
        <f t="shared" si="59"/>
        <v>48.885381943475394</v>
      </c>
      <c r="X148" s="157">
        <f t="shared" si="60"/>
        <v>45791</v>
      </c>
      <c r="Y148" s="385">
        <f t="shared" si="61"/>
        <v>44.401059163124131</v>
      </c>
      <c r="Z148" s="385">
        <f t="shared" si="62"/>
        <v>47.036818873181254</v>
      </c>
      <c r="AA148" s="386">
        <f t="shared" si="63"/>
        <v>52.880300842504191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0.1105039471452109</v>
      </c>
      <c r="AD148" s="231">
        <f>(INDEX(Models!$BJ148:$BT148,,AH148)*(1-AF148)+INDEX(Models!$BJ148:$BT148,,AH148+1)*AF148-ERP_i)*AE148*Ramure*Pc/MaxiM</f>
        <v>2.6382784936385064E-4</v>
      </c>
      <c r="AE148" s="305">
        <f t="shared" si="65"/>
        <v>0.7</v>
      </c>
      <c r="AF148" s="177">
        <f t="shared" si="66"/>
        <v>0.29808258742881599</v>
      </c>
      <c r="AG148" s="810">
        <f t="shared" si="74"/>
        <v>1</v>
      </c>
      <c r="AH148" s="176">
        <f t="shared" si="67"/>
        <v>7</v>
      </c>
      <c r="AI148" s="225">
        <f t="shared" si="68"/>
        <v>1.298082587428816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52.058324811629703</v>
      </c>
      <c r="C149" s="840"/>
      <c r="D149" s="393">
        <f t="shared" si="50"/>
        <v>55.149922689558188</v>
      </c>
      <c r="E149" s="385">
        <f t="shared" si="72"/>
        <v>56.336177654815863</v>
      </c>
      <c r="F149" s="385">
        <f t="shared" si="51"/>
        <v>56.336347225275233</v>
      </c>
      <c r="G149" s="110">
        <f t="shared" si="73"/>
        <v>0.891249632318452</v>
      </c>
      <c r="H149" s="414" t="b">
        <f>Wh_hp&gt;='2024'!Maxi_hp</f>
        <v>0</v>
      </c>
      <c r="I149" s="390">
        <f>IF(H149,Wh_hp,'2024'!Maxi_hp)</f>
        <v>64.201306106001624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5.6058063677282943E-2</v>
      </c>
      <c r="M149" s="844"/>
      <c r="N149" s="844"/>
      <c r="O149" s="48">
        <f>IF(t&lt;Tnet,'2024'!Resal+('2024'!Salim-'2024'!Resal)*(1-EXP(('2024'!Tnet-t)/('2024'!Tau_j))),Resal+(Salim-Resal)*(1-EXP((Tnet-t)/(Tau_j))))*Salcycl</f>
        <v>2.1056717275462364E-2</v>
      </c>
      <c r="P149" s="169">
        <f>(INDEX(Models!$BJ149:$BT149,,T149)*(1-R149)+INDEX(Models!$BJ149:$BT149,,T149+1)*R149-ERP_i)*Q149*Ramure*Pc/MaxiM</f>
        <v>3.563594714433003E-6</v>
      </c>
      <c r="Q149" s="305">
        <f t="shared" si="53"/>
        <v>0.7</v>
      </c>
      <c r="R149" s="177">
        <f t="shared" si="54"/>
        <v>0.48119476770166392</v>
      </c>
      <c r="S149" s="810">
        <f t="shared" si="55"/>
        <v>-2</v>
      </c>
      <c r="T149" s="176">
        <f t="shared" si="56"/>
        <v>4</v>
      </c>
      <c r="U149" s="251">
        <f t="shared" si="57"/>
        <v>-1.5188052322983361</v>
      </c>
      <c r="V149" s="383">
        <f t="shared" si="58"/>
        <v>58.41045438090071</v>
      </c>
      <c r="W149" s="402">
        <f t="shared" si="59"/>
        <v>52.058324811629703</v>
      </c>
      <c r="X149" s="157">
        <f t="shared" si="60"/>
        <v>45792</v>
      </c>
      <c r="Y149" s="385">
        <f t="shared" si="61"/>
        <v>47.283345553879556</v>
      </c>
      <c r="Z149" s="385">
        <f t="shared" si="62"/>
        <v>50.091370808335625</v>
      </c>
      <c r="AA149" s="386">
        <f t="shared" si="63"/>
        <v>56.324037425423889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0.11065731261436396</v>
      </c>
      <c r="AD149" s="231">
        <f>(INDEX(Models!$BJ149:$BT149,,AH149)*(1-AF149)+INDEX(Models!$BJ149:$BT149,,AH149+1)*AF149-ERP_i)*AE149*Ramure*Pc/MaxiM</f>
        <v>2.5869563512785583E-4</v>
      </c>
      <c r="AE149" s="305">
        <f t="shared" si="65"/>
        <v>0.7</v>
      </c>
      <c r="AF149" s="177">
        <f t="shared" si="66"/>
        <v>0.30118482080084785</v>
      </c>
      <c r="AG149" s="810">
        <f t="shared" si="74"/>
        <v>1</v>
      </c>
      <c r="AH149" s="176">
        <f t="shared" si="67"/>
        <v>7</v>
      </c>
      <c r="AI149" s="225">
        <f t="shared" si="68"/>
        <v>1.3011848208008479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50.212448593669166</v>
      </c>
      <c r="C150" s="840"/>
      <c r="D150" s="393">
        <f t="shared" si="50"/>
        <v>53.195663001807972</v>
      </c>
      <c r="E150" s="385">
        <f t="shared" si="72"/>
        <v>54.35055903175634</v>
      </c>
      <c r="F150" s="385">
        <f t="shared" si="51"/>
        <v>54.350720019855153</v>
      </c>
      <c r="G150" s="110">
        <f t="shared" si="73"/>
        <v>0.85843534287616496</v>
      </c>
      <c r="H150" s="414" t="b">
        <f>Wh_hp&gt;='2024'!Maxi_hp</f>
        <v>1</v>
      </c>
      <c r="I150" s="390">
        <f>IF(H150,Wh_hp,'2024'!Maxi_hp)</f>
        <v>54.350720019855153</v>
      </c>
      <c r="J150" s="85">
        <f>IF(H150,An,'2024'!An_max)</f>
        <v>2025</v>
      </c>
      <c r="K150" s="197">
        <f t="shared" si="52"/>
        <v>45793</v>
      </c>
      <c r="L150" s="147">
        <f>IF(t&lt;Tvie,1-EXP((T0-t)*PertePVj)+'2024'!Pspv,1-EXP((T0-t)*PertePVj)+Pspv)</f>
        <v>5.6080030585151541E-2</v>
      </c>
      <c r="M150" s="844"/>
      <c r="N150" s="844"/>
      <c r="O150" s="48">
        <f>IF(t&lt;Tnet,'2024'!Resal+('2024'!Salim-'2024'!Resal)*(1-EXP(('2024'!Tnet-t)/('2024'!Tau_j))),Resal+(Salim-Resal)*(1-EXP((Tnet-t)/(Tau_j))))*Salcycl</f>
        <v>2.1249018418993154E-2</v>
      </c>
      <c r="P150" s="169">
        <f>(INDEX(Models!$BJ150:$BT150,,T150)*(1-R150)+INDEX(Models!$BJ150:$BT150,,T150+1)*R150-ERP_i)*Q150*Ramure*Pc/MaxiM</f>
        <v>3.7128987982797078E-6</v>
      </c>
      <c r="Q150" s="305">
        <f t="shared" si="53"/>
        <v>0.7</v>
      </c>
      <c r="R150" s="177">
        <f t="shared" si="54"/>
        <v>0.48435991767056485</v>
      </c>
      <c r="S150" s="810">
        <f t="shared" si="55"/>
        <v>-2</v>
      </c>
      <c r="T150" s="176">
        <f t="shared" si="56"/>
        <v>4</v>
      </c>
      <c r="U150" s="251">
        <f t="shared" si="57"/>
        <v>-1.5156400823294351</v>
      </c>
      <c r="V150" s="383">
        <f t="shared" si="58"/>
        <v>58.492944526287253</v>
      </c>
      <c r="W150" s="402">
        <f t="shared" si="59"/>
        <v>50.212448593669166</v>
      </c>
      <c r="X150" s="157">
        <f t="shared" si="60"/>
        <v>45793</v>
      </c>
      <c r="Y150" s="385">
        <f t="shared" si="61"/>
        <v>45.608535337016448</v>
      </c>
      <c r="Z150" s="385">
        <f t="shared" si="62"/>
        <v>48.318222746457977</v>
      </c>
      <c r="AA150" s="386">
        <f t="shared" si="63"/>
        <v>54.339685412118271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0.11081151132901942</v>
      </c>
      <c r="AD150" s="231">
        <f>(INDEX(Models!$BJ150:$BT150,,AH150)*(1-AF150)+INDEX(Models!$BJ150:$BT150,,AH150+1)*AF150-ERP_i)*AE150*Ramure*Pc/MaxiM</f>
        <v>2.5449323339189994E-4</v>
      </c>
      <c r="AE150" s="305">
        <f t="shared" si="65"/>
        <v>0.7</v>
      </c>
      <c r="AF150" s="177">
        <f t="shared" si="66"/>
        <v>0.30434997076974857</v>
      </c>
      <c r="AG150" s="810">
        <f t="shared" si="74"/>
        <v>1</v>
      </c>
      <c r="AH150" s="176">
        <f t="shared" si="67"/>
        <v>7</v>
      </c>
      <c r="AI150" s="225">
        <f t="shared" si="68"/>
        <v>1.3043499707697486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53.999290901866836</v>
      </c>
      <c r="C151" s="840"/>
      <c r="D151" s="393">
        <f t="shared" si="50"/>
        <v>57.208819945799455</v>
      </c>
      <c r="E151" s="385">
        <f t="shared" si="72"/>
        <v>58.462340611685725</v>
      </c>
      <c r="F151" s="385">
        <f t="shared" si="51"/>
        <v>58.462541538843666</v>
      </c>
      <c r="G151" s="110">
        <f t="shared" si="73"/>
        <v>0.92197822076341895</v>
      </c>
      <c r="H151" s="414" t="b">
        <f>Wh_hp&gt;='2024'!Maxi_hp</f>
        <v>0</v>
      </c>
      <c r="I151" s="390">
        <f>IF(H151,Wh_hp,'2024'!Maxi_hp)</f>
        <v>59.772823260261717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5.610199698181817E-2</v>
      </c>
      <c r="M151" s="844"/>
      <c r="N151" s="844"/>
      <c r="O151" s="48">
        <f>IF(t&lt;Tnet,'2024'!Resal+('2024'!Salim-'2024'!Resal)*(1-EXP(('2024'!Tnet-t)/('2024'!Tau_j))),Resal+(Salim-Resal)*(1-EXP((Tnet-t)/(Tau_j))))*Salcycl</f>
        <v>2.1441506665159329E-2</v>
      </c>
      <c r="P151" s="169">
        <f>(INDEX(Models!$BJ151:$BT151,,T151)*(1-R151)+INDEX(Models!$BJ151:$BT151,,T151+1)*R151-ERP_i)*Q151*Ramure*Pc/MaxiM</f>
        <v>3.8679738974083179E-6</v>
      </c>
      <c r="Q151" s="305">
        <f t="shared" si="53"/>
        <v>0.7</v>
      </c>
      <c r="R151" s="177">
        <f t="shared" si="54"/>
        <v>0.48758716435854388</v>
      </c>
      <c r="S151" s="810">
        <f t="shared" si="55"/>
        <v>-2</v>
      </c>
      <c r="T151" s="176">
        <f t="shared" si="56"/>
        <v>4</v>
      </c>
      <c r="U151" s="251">
        <f t="shared" si="57"/>
        <v>-1.5124128356414561</v>
      </c>
      <c r="V151" s="383">
        <f t="shared" si="58"/>
        <v>58.568918880587397</v>
      </c>
      <c r="W151" s="402">
        <f t="shared" si="59"/>
        <v>53.999290901866836</v>
      </c>
      <c r="X151" s="157">
        <f t="shared" si="60"/>
        <v>45794</v>
      </c>
      <c r="Y151" s="385">
        <f t="shared" si="61"/>
        <v>49.048319082094338</v>
      </c>
      <c r="Z151" s="385">
        <f t="shared" si="62"/>
        <v>51.963579672018383</v>
      </c>
      <c r="AA151" s="386">
        <f t="shared" si="63"/>
        <v>58.449516306698939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0.11096647234251276</v>
      </c>
      <c r="AD151" s="231">
        <f>(INDEX(Models!$BJ151:$BT151,,AH151)*(1-AF151)+INDEX(Models!$BJ151:$BT151,,AH151+1)*AF151-ERP_i)*AE151*Ramure*Pc/MaxiM</f>
        <v>2.5074389375008999E-4</v>
      </c>
      <c r="AE151" s="305">
        <f t="shared" si="65"/>
        <v>0.7</v>
      </c>
      <c r="AF151" s="177">
        <f t="shared" si="66"/>
        <v>0.30757721745772759</v>
      </c>
      <c r="AG151" s="810">
        <f t="shared" si="74"/>
        <v>1</v>
      </c>
      <c r="AH151" s="176">
        <f t="shared" si="67"/>
        <v>7</v>
      </c>
      <c r="AI151" s="225">
        <f t="shared" si="68"/>
        <v>1.3075772174577276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52.777836066233498</v>
      </c>
      <c r="C152" s="840"/>
      <c r="D152" s="393">
        <f t="shared" si="50"/>
        <v>55.916067354100157</v>
      </c>
      <c r="E152" s="385">
        <f t="shared" si="72"/>
        <v>57.152514608227243</v>
      </c>
      <c r="F152" s="385">
        <f t="shared" si="51"/>
        <v>57.152711999140344</v>
      </c>
      <c r="G152" s="110">
        <f t="shared" si="73"/>
        <v>0.90005097340017792</v>
      </c>
      <c r="H152" s="414" t="b">
        <f>Wh_hp&gt;='2024'!Maxi_hp</f>
        <v>0</v>
      </c>
      <c r="I152" s="390">
        <f>IF(H152,Wh_hp,'2024'!Maxi_hp)</f>
        <v>66.086546918529152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5.6123962867294597E-2</v>
      </c>
      <c r="M152" s="844"/>
      <c r="N152" s="844"/>
      <c r="O152" s="48">
        <f>IF(t&lt;Tnet,'2024'!Resal+('2024'!Salim-'2024'!Resal)*(1-EXP(('2024'!Tnet-t)/('2024'!Tau_j))),Resal+(Salim-Resal)*(1-EXP((Tnet-t)/(Tau_j))))*Salcycl</f>
        <v>2.163417065028134E-2</v>
      </c>
      <c r="P152" s="169">
        <f>(INDEX(Models!$BJ152:$BT152,,T152)*(1-R152)+INDEX(Models!$BJ152:$BT152,,T152+1)*R152-ERP_i)*Q152*Ramure*Pc/MaxiM</f>
        <v>4.0290238054119694E-6</v>
      </c>
      <c r="Q152" s="305">
        <f t="shared" si="53"/>
        <v>0.7</v>
      </c>
      <c r="R152" s="177">
        <f t="shared" si="54"/>
        <v>0.49087554853770965</v>
      </c>
      <c r="S152" s="810">
        <f t="shared" si="55"/>
        <v>-2</v>
      </c>
      <c r="T152" s="176">
        <f t="shared" si="56"/>
        <v>4</v>
      </c>
      <c r="U152" s="251">
        <f t="shared" si="57"/>
        <v>-1.5091244514622904</v>
      </c>
      <c r="V152" s="383">
        <f t="shared" si="58"/>
        <v>58.638685212232453</v>
      </c>
      <c r="W152" s="402">
        <f t="shared" si="59"/>
        <v>52.777836066233498</v>
      </c>
      <c r="X152" s="157">
        <f t="shared" si="60"/>
        <v>45795</v>
      </c>
      <c r="Y152" s="385">
        <f t="shared" si="61"/>
        <v>47.94041286945825</v>
      </c>
      <c r="Z152" s="385">
        <f t="shared" si="62"/>
        <v>50.791005368767522</v>
      </c>
      <c r="AA152" s="386">
        <f t="shared" si="63"/>
        <v>57.140588814561582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0.11112212137680916</v>
      </c>
      <c r="AD152" s="231">
        <f>(INDEX(Models!$BJ152:$BT152,,AH152)*(1-AF152)+INDEX(Models!$BJ152:$BT152,,AH152+1)*AF152-ERP_i)*AE152*Ramure*Pc/MaxiM</f>
        <v>2.4745110349070866E-4</v>
      </c>
      <c r="AE152" s="305">
        <f t="shared" si="65"/>
        <v>0.7</v>
      </c>
      <c r="AF152" s="177">
        <f t="shared" si="66"/>
        <v>0.31086560163689336</v>
      </c>
      <c r="AG152" s="810">
        <f t="shared" si="74"/>
        <v>1</v>
      </c>
      <c r="AH152" s="176">
        <f t="shared" si="67"/>
        <v>7</v>
      </c>
      <c r="AI152" s="225">
        <f t="shared" si="68"/>
        <v>1.3108656016368934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55.786501843692662</v>
      </c>
      <c r="C153" s="840"/>
      <c r="D153" s="393">
        <f t="shared" si="50"/>
        <v>59.105007344792178</v>
      </c>
      <c r="E153" s="385">
        <f t="shared" si="72"/>
        <v>60.423879232057779</v>
      </c>
      <c r="F153" s="385">
        <f t="shared" si="51"/>
        <v>60.42411479351496</v>
      </c>
      <c r="G153" s="110">
        <f t="shared" si="73"/>
        <v>0.9503247164658426</v>
      </c>
      <c r="H153" s="414" t="b">
        <f>Wh_hp&gt;='2024'!Maxi_hp</f>
        <v>0</v>
      </c>
      <c r="I153" s="390">
        <f>IF(H153,Wh_hp,'2024'!Maxi_hp)</f>
        <v>64.867381436850934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5.6145928241592813E-2</v>
      </c>
      <c r="M153" s="844"/>
      <c r="N153" s="844"/>
      <c r="O153" s="48">
        <f>IF(t&lt;Tnet,'2024'!Resal+('2024'!Salim-'2024'!Resal)*(1-EXP(('2024'!Tnet-t)/('2024'!Tau_j))),Resal+(Salim-Resal)*(1-EXP((Tnet-t)/(Tau_j))))*Salcycl</f>
        <v>2.1826997935708116E-2</v>
      </c>
      <c r="P153" s="169">
        <f>(INDEX(Models!$BJ153:$BT153,,T153)*(1-R153)+INDEX(Models!$BJ153:$BT153,,T153+1)*R153-ERP_i)*Q153*Ramure*Pc/MaxiM</f>
        <v>4.1962516613119112E-6</v>
      </c>
      <c r="Q153" s="305">
        <f t="shared" si="53"/>
        <v>0.7</v>
      </c>
      <c r="R153" s="177">
        <f t="shared" si="54"/>
        <v>0.49422396915154687</v>
      </c>
      <c r="S153" s="810">
        <f t="shared" si="55"/>
        <v>-2</v>
      </c>
      <c r="T153" s="176">
        <f t="shared" si="56"/>
        <v>4</v>
      </c>
      <c r="U153" s="251">
        <f t="shared" si="57"/>
        <v>-1.5057760308484531</v>
      </c>
      <c r="V153" s="383">
        <f t="shared" si="58"/>
        <v>58.702551101442481</v>
      </c>
      <c r="W153" s="402">
        <f t="shared" si="59"/>
        <v>55.786501843692662</v>
      </c>
      <c r="X153" s="157">
        <f t="shared" si="60"/>
        <v>45796</v>
      </c>
      <c r="Y153" s="385">
        <f t="shared" si="61"/>
        <v>50.673649887657668</v>
      </c>
      <c r="Z153" s="385">
        <f t="shared" si="62"/>
        <v>53.688013225659219</v>
      </c>
      <c r="AA153" s="386">
        <f t="shared" si="63"/>
        <v>60.410382819214149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0.11127838096428702</v>
      </c>
      <c r="AD153" s="231">
        <f>(INDEX(Models!$BJ153:$BT153,,AH153)*(1-AF153)+INDEX(Models!$BJ153:$BT153,,AH153+1)*AF153-ERP_i)*AE153*Ramure*Pc/MaxiM</f>
        <v>2.4461905042854433E-4</v>
      </c>
      <c r="AE153" s="305">
        <f t="shared" si="65"/>
        <v>0.7</v>
      </c>
      <c r="AF153" s="177">
        <f t="shared" si="66"/>
        <v>0.31421402225073058</v>
      </c>
      <c r="AG153" s="810">
        <f t="shared" si="74"/>
        <v>1</v>
      </c>
      <c r="AH153" s="176">
        <f t="shared" si="67"/>
        <v>7</v>
      </c>
      <c r="AI153" s="225">
        <f t="shared" si="68"/>
        <v>1.3142140222507306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48.906755186057261</v>
      </c>
      <c r="C154" s="840"/>
      <c r="D154" s="393">
        <f t="shared" si="50"/>
        <v>51.81721921596359</v>
      </c>
      <c r="E154" s="385">
        <f t="shared" si="72"/>
        <v>52.983923896607081</v>
      </c>
      <c r="F154" s="385">
        <f t="shared" si="51"/>
        <v>52.984099961643047</v>
      </c>
      <c r="G154" s="110">
        <f t="shared" si="73"/>
        <v>0.83230119517702172</v>
      </c>
      <c r="H154" s="414" t="b">
        <f>Wh_hp&gt;='2024'!Maxi_hp</f>
        <v>0</v>
      </c>
      <c r="I154" s="390">
        <f>IF(H154,Wh_hp,'2024'!Maxi_hp)</f>
        <v>62.875000616079284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5.6167893104724698E-2</v>
      </c>
      <c r="M154" s="844"/>
      <c r="N154" s="844"/>
      <c r="O154" s="48">
        <f>IF(t&lt;Tnet,'2024'!Resal+('2024'!Salim-'2024'!Resal)*(1-EXP(('2024'!Tnet-t)/('2024'!Tau_j))),Resal+(Salim-Resal)*(1-EXP((Tnet-t)/(Tau_j))))*Salcycl</f>
        <v>2.2019975019596551E-2</v>
      </c>
      <c r="P154" s="169">
        <f>(INDEX(Models!$BJ154:$BT154,,T154)*(1-R154)+INDEX(Models!$BJ154:$BT154,,T154+1)*R154-ERP_i)*Q154*Ramure*Pc/MaxiM</f>
        <v>4.3698592228664884E-6</v>
      </c>
      <c r="Q154" s="305">
        <f t="shared" si="53"/>
        <v>0.7</v>
      </c>
      <c r="R154" s="177">
        <f t="shared" si="54"/>
        <v>0.49763118139767526</v>
      </c>
      <c r="S154" s="810">
        <f t="shared" si="55"/>
        <v>-2</v>
      </c>
      <c r="T154" s="176">
        <f t="shared" si="56"/>
        <v>4</v>
      </c>
      <c r="U154" s="251">
        <f t="shared" si="57"/>
        <v>-1.5023688186023247</v>
      </c>
      <c r="V154" s="383">
        <f t="shared" si="58"/>
        <v>58.760823929798718</v>
      </c>
      <c r="W154" s="402">
        <f t="shared" si="59"/>
        <v>48.906755186057261</v>
      </c>
      <c r="X154" s="157">
        <f t="shared" si="60"/>
        <v>45797</v>
      </c>
      <c r="Y154" s="385">
        <f t="shared" si="61"/>
        <v>44.427248393946101</v>
      </c>
      <c r="Z154" s="385">
        <f t="shared" si="62"/>
        <v>47.071134865383016</v>
      </c>
      <c r="AA154" s="386">
        <f t="shared" si="63"/>
        <v>52.974339416206703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0.11143517061050298</v>
      </c>
      <c r="AD154" s="231">
        <f>(INDEX(Models!$BJ154:$BT154,,AH154)*(1-AF154)+INDEX(Models!$BJ154:$BT154,,AH154+1)*AF154-ERP_i)*AE154*Ramure*Pc/MaxiM</f>
        <v>2.4225258162076353E-4</v>
      </c>
      <c r="AE154" s="305">
        <f t="shared" si="65"/>
        <v>0.7</v>
      </c>
      <c r="AF154" s="177">
        <f t="shared" si="66"/>
        <v>0.31762123449685919</v>
      </c>
      <c r="AG154" s="810">
        <f t="shared" si="74"/>
        <v>1</v>
      </c>
      <c r="AH154" s="176">
        <f t="shared" si="67"/>
        <v>7</v>
      </c>
      <c r="AI154" s="225">
        <f t="shared" si="68"/>
        <v>1.3176212344968592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48.478086679357745</v>
      </c>
      <c r="C155" s="840"/>
      <c r="D155" s="393">
        <f t="shared" si="50"/>
        <v>51.364235765387299</v>
      </c>
      <c r="E155" s="385">
        <f t="shared" si="72"/>
        <v>52.531113989255786</v>
      </c>
      <c r="F155" s="385">
        <f t="shared" si="51"/>
        <v>52.53129300267851</v>
      </c>
      <c r="G155" s="110">
        <f t="shared" si="73"/>
        <v>0.82426271260454653</v>
      </c>
      <c r="H155" s="414" t="b">
        <f>Wh_hp&gt;='2024'!Maxi_hp</f>
        <v>0</v>
      </c>
      <c r="I155" s="390">
        <f>IF(H155,Wh_hp,'2024'!Maxi_hp)</f>
        <v>62.49902622803689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5.618985745670213E-2</v>
      </c>
      <c r="M155" s="844"/>
      <c r="N155" s="844"/>
      <c r="O155" s="48">
        <f>IF(t&lt;Tnet,'2024'!Resal+('2024'!Salim-'2024'!Resal)*(1-EXP(('2024'!Tnet-t)/('2024'!Tau_j))),Resal+(Salim-Resal)*(1-EXP((Tnet-t)/(Tau_j))))*Salcycl</f>
        <v>2.2213087354422997E-2</v>
      </c>
      <c r="P155" s="169">
        <f>(INDEX(Models!$BJ155:$BT155,,T155)*(1-R155)+INDEX(Models!$BJ155:$BT155,,T155+1)*R155-ERP_i)*Q155*Ramure*Pc/MaxiM</f>
        <v>4.5500460852741361E-6</v>
      </c>
      <c r="Q155" s="305">
        <f t="shared" si="53"/>
        <v>0.7</v>
      </c>
      <c r="R155" s="177">
        <f t="shared" si="54"/>
        <v>0.50109579541442972</v>
      </c>
      <c r="S155" s="810">
        <f t="shared" si="55"/>
        <v>-2</v>
      </c>
      <c r="T155" s="176">
        <f t="shared" si="56"/>
        <v>4</v>
      </c>
      <c r="U155" s="251">
        <f t="shared" si="57"/>
        <v>-1.4989042045855703</v>
      </c>
      <c r="V155" s="383">
        <f t="shared" si="58"/>
        <v>58.813810889944435</v>
      </c>
      <c r="W155" s="402">
        <f t="shared" si="59"/>
        <v>48.478086679357745</v>
      </c>
      <c r="X155" s="157">
        <f t="shared" si="60"/>
        <v>45798</v>
      </c>
      <c r="Y155" s="385">
        <f t="shared" si="61"/>
        <v>44.038934805460499</v>
      </c>
      <c r="Z155" s="385">
        <f t="shared" si="62"/>
        <v>46.660798417347145</v>
      </c>
      <c r="AA155" s="386">
        <f t="shared" si="63"/>
        <v>52.521836580232311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0.11159240697784535</v>
      </c>
      <c r="AD155" s="231">
        <f>(INDEX(Models!$BJ155:$BT155,,AH155)*(1-AF155)+INDEX(Models!$BJ155:$BT155,,AH155+1)*AF155-ERP_i)*AE155*Ramure*Pc/MaxiM</f>
        <v>2.4035716025080543E-4</v>
      </c>
      <c r="AE155" s="305">
        <f t="shared" si="65"/>
        <v>0.7</v>
      </c>
      <c r="AF155" s="177">
        <f t="shared" si="66"/>
        <v>0.32108584851361344</v>
      </c>
      <c r="AG155" s="810">
        <f t="shared" si="74"/>
        <v>1</v>
      </c>
      <c r="AH155" s="176">
        <f t="shared" si="67"/>
        <v>7</v>
      </c>
      <c r="AI155" s="225">
        <f t="shared" si="68"/>
        <v>1.3210858485136134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35.906201113294614</v>
      </c>
      <c r="C156" s="840"/>
      <c r="D156" s="393">
        <f t="shared" si="50"/>
        <v>38.04476674274423</v>
      </c>
      <c r="E156" s="385">
        <f t="shared" si="72"/>
        <v>38.916747823329871</v>
      </c>
      <c r="F156" s="385">
        <f t="shared" si="51"/>
        <v>38.91682952435896</v>
      </c>
      <c r="G156" s="110">
        <f t="shared" si="73"/>
        <v>0.61000674176951886</v>
      </c>
      <c r="H156" s="414" t="b">
        <f>Wh_hp&gt;='2024'!Maxi_hp</f>
        <v>0</v>
      </c>
      <c r="I156" s="390">
        <f>IF(H156,Wh_hp,'2024'!Maxi_hp)</f>
        <v>62.066231268120049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5.621182129753699E-2</v>
      </c>
      <c r="M156" s="844"/>
      <c r="N156" s="844"/>
      <c r="O156" s="48">
        <f>IF(t&lt;Tnet,'2024'!Resal+('2024'!Salim-'2024'!Resal)*(1-EXP(('2024'!Tnet-t)/('2024'!Tau_j))),Resal+(Salim-Resal)*(1-EXP((Tnet-t)/(Tau_j))))*Salcycl</f>
        <v>2.2406319370368914E-2</v>
      </c>
      <c r="P156" s="169">
        <f>(INDEX(Models!$BJ156:$BT156,,T156)*(1-R156)+INDEX(Models!$BJ156:$BT156,,T156+1)*R156-ERP_i)*Q156*Ramure*Pc/MaxiM</f>
        <v>4.7403970518616561E-6</v>
      </c>
      <c r="Q156" s="305">
        <f t="shared" si="53"/>
        <v>0.7</v>
      </c>
      <c r="R156" s="177">
        <f t="shared" si="54"/>
        <v>0.50461627561087408</v>
      </c>
      <c r="S156" s="810">
        <f t="shared" si="55"/>
        <v>-2</v>
      </c>
      <c r="T156" s="176">
        <f t="shared" si="56"/>
        <v>4</v>
      </c>
      <c r="U156" s="251">
        <f t="shared" si="57"/>
        <v>-1.4953837243891259</v>
      </c>
      <c r="V156" s="383">
        <f t="shared" si="58"/>
        <v>58.861818772492278</v>
      </c>
      <c r="W156" s="402">
        <f t="shared" si="59"/>
        <v>35.906201113294614</v>
      </c>
      <c r="X156" s="157">
        <f t="shared" si="60"/>
        <v>45799</v>
      </c>
      <c r="Y156" s="385">
        <f t="shared" si="61"/>
        <v>32.62129756596223</v>
      </c>
      <c r="Z156" s="385">
        <f t="shared" si="62"/>
        <v>34.564215045382937</v>
      </c>
      <c r="AA156" s="386">
        <f t="shared" si="63"/>
        <v>38.912710615849278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0.11175000408979953</v>
      </c>
      <c r="AD156" s="231">
        <f>(INDEX(Models!$BJ156:$BT156,,AH156)*(1-AF156)+INDEX(Models!$BJ156:$BT156,,AH156+1)*AF156-ERP_i)*AE156*Ramure*Pc/MaxiM</f>
        <v>2.3898428176888473E-4</v>
      </c>
      <c r="AE156" s="305">
        <f t="shared" si="65"/>
        <v>0.7</v>
      </c>
      <c r="AF156" s="177">
        <f t="shared" si="66"/>
        <v>0.32460632871005779</v>
      </c>
      <c r="AG156" s="810">
        <f t="shared" si="74"/>
        <v>1</v>
      </c>
      <c r="AH156" s="176">
        <f t="shared" si="67"/>
        <v>7</v>
      </c>
      <c r="AI156" s="225">
        <f t="shared" si="68"/>
        <v>1.3246063287100578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20.398097469292612</v>
      </c>
      <c r="C157" s="840"/>
      <c r="D157" s="393">
        <f t="shared" si="50"/>
        <v>21.613506753085016</v>
      </c>
      <c r="E157" s="385">
        <f t="shared" si="72"/>
        <v>22.113258761057519</v>
      </c>
      <c r="F157" s="385">
        <f t="shared" si="51"/>
        <v>22.113265987167338</v>
      </c>
      <c r="G157" s="110">
        <f t="shared" si="73"/>
        <v>0.34628554266087819</v>
      </c>
      <c r="H157" s="414" t="b">
        <f>Wh_hp&gt;='2024'!Maxi_hp</f>
        <v>0</v>
      </c>
      <c r="I157" s="390">
        <f>IF(H157,Wh_hp,'2024'!Maxi_hp)</f>
        <v>58.102638040850181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5.6233784627241157E-2</v>
      </c>
      <c r="M157" s="844"/>
      <c r="N157" s="844"/>
      <c r="O157" s="48">
        <f>IF(t&lt;Tnet,'2024'!Resal+('2024'!Salim-'2024'!Resal)*(1-EXP(('2024'!Tnet-t)/('2024'!Tau_j))),Resal+(Salim-Resal)*(1-EXP((Tnet-t)/(Tau_j))))*Salcycl</f>
        <v>2.2599654504680669E-2</v>
      </c>
      <c r="P157" s="169">
        <f>(INDEX(Models!$BJ157:$BT157,,T157)*(1-R157)+INDEX(Models!$BJ157:$BT157,,T157+1)*R157-ERP_i)*Q157*Ramure*Pc/MaxiM</f>
        <v>4.9418476518561784E-6</v>
      </c>
      <c r="Q157" s="305">
        <f t="shared" si="53"/>
        <v>0.7</v>
      </c>
      <c r="R157" s="177">
        <f t="shared" si="54"/>
        <v>0.50819094067629189</v>
      </c>
      <c r="S157" s="810">
        <f t="shared" si="55"/>
        <v>-2</v>
      </c>
      <c r="T157" s="176">
        <f t="shared" si="56"/>
        <v>4</v>
      </c>
      <c r="U157" s="251">
        <f t="shared" si="57"/>
        <v>-1.4918090593237081</v>
      </c>
      <c r="V157" s="383">
        <f t="shared" si="58"/>
        <v>58.905154323984419</v>
      </c>
      <c r="W157" s="402">
        <f t="shared" si="59"/>
        <v>20.398097469292612</v>
      </c>
      <c r="X157" s="157">
        <f t="shared" si="60"/>
        <v>45800</v>
      </c>
      <c r="Y157" s="385">
        <f t="shared" si="61"/>
        <v>18.533972016333394</v>
      </c>
      <c r="Z157" s="385">
        <f t="shared" si="62"/>
        <v>19.638308422614006</v>
      </c>
      <c r="AA157" s="386">
        <f t="shared" si="63"/>
        <v>22.112918060914961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0.11190787355536203</v>
      </c>
      <c r="AD157" s="231">
        <f>(INDEX(Models!$BJ157:$BT157,,AH157)*(1-AF157)+INDEX(Models!$BJ157:$BT157,,AH157+1)*AF157-ERP_i)*AE157*Ramure*Pc/MaxiM</f>
        <v>2.3794248588522154E-4</v>
      </c>
      <c r="AE157" s="305">
        <f t="shared" si="65"/>
        <v>0.7</v>
      </c>
      <c r="AF157" s="177">
        <f t="shared" si="66"/>
        <v>0.32818099377547583</v>
      </c>
      <c r="AG157" s="810">
        <f t="shared" si="74"/>
        <v>1</v>
      </c>
      <c r="AH157" s="176">
        <f t="shared" si="67"/>
        <v>7</v>
      </c>
      <c r="AI157" s="225">
        <f t="shared" si="68"/>
        <v>1.3281809937754758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16.60537295095655</v>
      </c>
      <c r="C158" s="840"/>
      <c r="D158" s="393">
        <f t="shared" si="50"/>
        <v>17.595204321526037</v>
      </c>
      <c r="E158" s="385">
        <f t="shared" si="72"/>
        <v>18.005607487681683</v>
      </c>
      <c r="F158" s="385">
        <f t="shared" si="51"/>
        <v>18.005607487681683</v>
      </c>
      <c r="G158" s="110">
        <f t="shared" si="73"/>
        <v>0.28171234369248832</v>
      </c>
      <c r="H158" s="414" t="b">
        <f>Wh_hp&gt;='2024'!Maxi_hp</f>
        <v>0</v>
      </c>
      <c r="I158" s="390">
        <f>IF(H158,Wh_hp,'2024'!Maxi_hp)</f>
        <v>29.473911948934084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5.625574744582662E-2</v>
      </c>
      <c r="M158" s="844"/>
      <c r="N158" s="844"/>
      <c r="O158" s="48">
        <f>IF(t&lt;Tnet,'2024'!Resal+('2024'!Salim-'2024'!Resal)*(1-EXP(('2024'!Tnet-t)/('2024'!Tau_j))),Resal+(Salim-Resal)*(1-EXP((Tnet-t)/(Tau_j))))*Salcycl</f>
        <v>2.2793075237057019E-2</v>
      </c>
      <c r="P158" s="169">
        <f>(INDEX(Models!$BJ158:$BT158,,T158)*(1-R158)+INDEX(Models!$BJ158:$BT158,,T158+1)*R158-ERP_i)*Q158*Ramure*Pc/MaxiM</f>
        <v>5.1550021914028046E-6</v>
      </c>
      <c r="Q158" s="305">
        <f t="shared" si="53"/>
        <v>0.7</v>
      </c>
      <c r="R158" s="177">
        <f t="shared" si="54"/>
        <v>0.51181796430095572</v>
      </c>
      <c r="S158" s="810">
        <f t="shared" si="55"/>
        <v>-2</v>
      </c>
      <c r="T158" s="176">
        <f t="shared" si="56"/>
        <v>4</v>
      </c>
      <c r="U158" s="251">
        <f t="shared" si="57"/>
        <v>-1.4881820356990443</v>
      </c>
      <c r="V158" s="383">
        <f t="shared" si="58"/>
        <v>58.944124111042164</v>
      </c>
      <c r="W158" s="402">
        <f t="shared" si="59"/>
        <v>16.60537295095655</v>
      </c>
      <c r="X158" s="157">
        <f t="shared" si="60"/>
        <v>45801</v>
      </c>
      <c r="Y158" s="385">
        <f t="shared" si="61"/>
        <v>15.088387219442236</v>
      </c>
      <c r="Z158" s="385">
        <f t="shared" si="62"/>
        <v>15.987792432755635</v>
      </c>
      <c r="AA158" s="386">
        <f t="shared" si="63"/>
        <v>18.005607487681683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0.11206592481295127</v>
      </c>
      <c r="AD158" s="231">
        <f>(INDEX(Models!$BJ158:$BT158,,AH158)*(1-AF158)+INDEX(Models!$BJ158:$BT158,,AH158+1)*AF158-ERP_i)*AE158*Ramure*Pc/MaxiM</f>
        <v>2.3723164764010305E-4</v>
      </c>
      <c r="AE158" s="305">
        <f t="shared" si="65"/>
        <v>0.7</v>
      </c>
      <c r="AF158" s="177">
        <f t="shared" si="66"/>
        <v>0.33180801740013921</v>
      </c>
      <c r="AG158" s="810">
        <f t="shared" si="74"/>
        <v>1</v>
      </c>
      <c r="AH158" s="176">
        <f t="shared" si="67"/>
        <v>7</v>
      </c>
      <c r="AI158" s="225">
        <f t="shared" si="68"/>
        <v>1.3318080174001392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40.446119410458337</v>
      </c>
      <c r="C159" s="840"/>
      <c r="D159" s="393">
        <f t="shared" si="50"/>
        <v>42.858073639317631</v>
      </c>
      <c r="E159" s="385">
        <f t="shared" si="72"/>
        <v>43.866411680750744</v>
      </c>
      <c r="F159" s="385">
        <f t="shared" si="51"/>
        <v>43.866541754037442</v>
      </c>
      <c r="G159" s="110">
        <f t="shared" si="73"/>
        <v>0.68576947846227521</v>
      </c>
      <c r="H159" s="414" t="b">
        <f>Wh_hp&gt;='2024'!Maxi_hp</f>
        <v>0</v>
      </c>
      <c r="I159" s="390">
        <f>IF(H159,Wh_hp,'2024'!Maxi_hp)</f>
        <v>60.701429062818967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5.627770975330515E-2</v>
      </c>
      <c r="M159" s="844"/>
      <c r="N159" s="844"/>
      <c r="O159" s="48">
        <f>IF(t&lt;Tnet,'2024'!Resal+('2024'!Salim-'2024'!Resal)*(1-EXP(('2024'!Tnet-t)/('2024'!Tau_j))),Resal+(Salim-Resal)*(1-EXP((Tnet-t)/(Tau_j))))*Salcycl</f>
        <v>2.2986563131070663E-2</v>
      </c>
      <c r="P159" s="169">
        <f>(INDEX(Models!$BJ159:$BT159,,T159)*(1-R159)+INDEX(Models!$BJ159:$BT159,,T159+1)*R159-ERP_i)*Q159*Ramure*Pc/MaxiM</f>
        <v>5.3805048561132375E-6</v>
      </c>
      <c r="Q159" s="305">
        <f t="shared" si="53"/>
        <v>0.7</v>
      </c>
      <c r="R159" s="177">
        <f t="shared" si="54"/>
        <v>0.51549537663512934</v>
      </c>
      <c r="S159" s="810">
        <f t="shared" si="55"/>
        <v>-2</v>
      </c>
      <c r="T159" s="176">
        <f t="shared" si="56"/>
        <v>4</v>
      </c>
      <c r="U159" s="251">
        <f t="shared" si="57"/>
        <v>-1.4845046233648707</v>
      </c>
      <c r="V159" s="383">
        <f t="shared" si="58"/>
        <v>58.979034487439911</v>
      </c>
      <c r="W159" s="402">
        <f t="shared" si="59"/>
        <v>40.446119410458337</v>
      </c>
      <c r="X159" s="157">
        <f t="shared" si="60"/>
        <v>45802</v>
      </c>
      <c r="Y159" s="385">
        <f t="shared" si="61"/>
        <v>36.747202857316829</v>
      </c>
      <c r="Z159" s="385">
        <f t="shared" si="62"/>
        <v>38.938576779521526</v>
      </c>
      <c r="AA159" s="386">
        <f t="shared" si="63"/>
        <v>43.860815845112668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0.11222406539297457</v>
      </c>
      <c r="AD159" s="231">
        <f>(INDEX(Models!$BJ159:$BT159,,AH159)*(1-AF159)+INDEX(Models!$BJ159:$BT159,,AH159+1)*AF159-ERP_i)*AE159*Ramure*Pc/MaxiM</f>
        <v>2.3685325063650355E-4</v>
      </c>
      <c r="AE159" s="305">
        <f t="shared" si="65"/>
        <v>0.7</v>
      </c>
      <c r="AF159" s="177">
        <f t="shared" si="66"/>
        <v>0.33548542973431306</v>
      </c>
      <c r="AG159" s="810">
        <f t="shared" si="74"/>
        <v>1</v>
      </c>
      <c r="AH159" s="176">
        <f t="shared" si="67"/>
        <v>7</v>
      </c>
      <c r="AI159" s="225">
        <f t="shared" si="68"/>
        <v>1.3354854297343131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23.806379018979676</v>
      </c>
      <c r="C160" s="840"/>
      <c r="D160" s="393">
        <f t="shared" si="50"/>
        <v>25.226630002421533</v>
      </c>
      <c r="E160" s="385">
        <f t="shared" si="72"/>
        <v>25.825262132290742</v>
      </c>
      <c r="F160" s="385">
        <f t="shared" si="51"/>
        <v>25.825283573344834</v>
      </c>
      <c r="G160" s="110">
        <f t="shared" si="73"/>
        <v>0.40342632978647747</v>
      </c>
      <c r="H160" s="414" t="b">
        <f>Wh_hp&gt;='2024'!Maxi_hp</f>
        <v>0</v>
      </c>
      <c r="I160" s="390">
        <f>IF(H160,Wh_hp,'2024'!Maxi_hp)</f>
        <v>63.484208413127426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5.6299671549688735E-2</v>
      </c>
      <c r="M160" s="844"/>
      <c r="N160" s="844"/>
      <c r="O160" s="48">
        <f>IF(t&lt;Tnet,'2024'!Resal+('2024'!Salim-'2024'!Resal)*(1-EXP(('2024'!Tnet-t)/('2024'!Tau_j))),Resal+(Salim-Resal)*(1-EXP((Tnet-t)/(Tau_j))))*Salcycl</f>
        <v>2.3180098881579476E-2</v>
      </c>
      <c r="P160" s="169">
        <f>(INDEX(Models!$BJ160:$BT160,,T160)*(1-R160)+INDEX(Models!$BJ160:$BT160,,T160+1)*R160-ERP_i)*Q160*Ramure*Pc/MaxiM</f>
        <v>5.6190105538405163E-6</v>
      </c>
      <c r="Q160" s="305">
        <f t="shared" si="53"/>
        <v>0.7</v>
      </c>
      <c r="R160" s="177">
        <f t="shared" si="54"/>
        <v>0.5192210665077952</v>
      </c>
      <c r="S160" s="810">
        <f t="shared" si="55"/>
        <v>-2</v>
      </c>
      <c r="T160" s="176">
        <f t="shared" si="56"/>
        <v>4</v>
      </c>
      <c r="U160" s="251">
        <f t="shared" si="57"/>
        <v>-1.4807789334922048</v>
      </c>
      <c r="V160" s="383">
        <f t="shared" si="58"/>
        <v>59.010191595771559</v>
      </c>
      <c r="W160" s="402">
        <f t="shared" si="59"/>
        <v>23.806379018979676</v>
      </c>
      <c r="X160" s="157">
        <f t="shared" si="60"/>
        <v>45803</v>
      </c>
      <c r="Y160" s="385">
        <f t="shared" si="61"/>
        <v>21.631668127032739</v>
      </c>
      <c r="Z160" s="385">
        <f t="shared" si="62"/>
        <v>22.922179292397814</v>
      </c>
      <c r="AA160" s="386">
        <f t="shared" si="63"/>
        <v>25.824379956481316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0.11238220119802399</v>
      </c>
      <c r="AD160" s="231">
        <f>(INDEX(Models!$BJ160:$BT160,,AH160)*(1-AF160)+INDEX(Models!$BJ160:$BT160,,AH160+1)*AF160-ERP_i)*AE160*Ramure*Pc/MaxiM</f>
        <v>2.3680891205543449E-4</v>
      </c>
      <c r="AE160" s="305">
        <f t="shared" si="65"/>
        <v>0.7</v>
      </c>
      <c r="AF160" s="177">
        <f t="shared" si="66"/>
        <v>0.33921111960697892</v>
      </c>
      <c r="AG160" s="810">
        <f t="shared" si="74"/>
        <v>1</v>
      </c>
      <c r="AH160" s="176">
        <f t="shared" si="67"/>
        <v>7</v>
      </c>
      <c r="AI160" s="225">
        <f t="shared" si="68"/>
        <v>1.3392111196069789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46.907913467955176</v>
      </c>
      <c r="C161" s="840"/>
      <c r="D161" s="393">
        <f t="shared" si="50"/>
        <v>49.707522287360966</v>
      </c>
      <c r="E161" s="385">
        <f t="shared" si="72"/>
        <v>50.897175687363827</v>
      </c>
      <c r="F161" s="385">
        <f t="shared" si="51"/>
        <v>50.897386804546336</v>
      </c>
      <c r="G161" s="110">
        <f t="shared" si="73"/>
        <v>0.79453760287443775</v>
      </c>
      <c r="H161" s="414" t="b">
        <f>Wh_hp&gt;='2024'!Maxi_hp</f>
        <v>0</v>
      </c>
      <c r="I161" s="390">
        <f>IF(H161,Wh_hp,'2024'!Maxi_hp)</f>
        <v>63.520031293079448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5.6321632834989255E-2</v>
      </c>
      <c r="M161" s="844"/>
      <c r="N161" s="844"/>
      <c r="O161" s="48">
        <f>IF(t&lt;Tnet,'2024'!Resal+('2024'!Salim-'2024'!Resal)*(1-EXP(('2024'!Tnet-t)/('2024'!Tau_j))),Resal+(Salim-Resal)*(1-EXP((Tnet-t)/(Tau_j))))*Salcycl</f>
        <v>2.3373662368032316E-2</v>
      </c>
      <c r="P161" s="169">
        <f>(INDEX(Models!$BJ161:$BT161,,T161)*(1-R161)+INDEX(Models!$BJ161:$BT161,,T161+1)*R161-ERP_i)*Q161*Ramure*Pc/MaxiM</f>
        <v>5.8711829613713606E-6</v>
      </c>
      <c r="Q161" s="305">
        <f t="shared" si="53"/>
        <v>0.7</v>
      </c>
      <c r="R161" s="177">
        <f t="shared" si="54"/>
        <v>0.52299278442057573</v>
      </c>
      <c r="S161" s="810">
        <f t="shared" si="55"/>
        <v>-2</v>
      </c>
      <c r="T161" s="176">
        <f t="shared" si="56"/>
        <v>4</v>
      </c>
      <c r="U161" s="251">
        <f t="shared" si="57"/>
        <v>-1.4770072155794243</v>
      </c>
      <c r="V161" s="383">
        <f t="shared" si="58"/>
        <v>59.037901368330175</v>
      </c>
      <c r="W161" s="402">
        <f t="shared" si="59"/>
        <v>46.907913467955176</v>
      </c>
      <c r="X161" s="157">
        <f t="shared" si="60"/>
        <v>45804</v>
      </c>
      <c r="Y161" s="385">
        <f t="shared" si="61"/>
        <v>42.618229369210873</v>
      </c>
      <c r="Z161" s="385">
        <f t="shared" si="62"/>
        <v>45.161816623225285</v>
      </c>
      <c r="AA161" s="386">
        <f t="shared" si="63"/>
        <v>50.888861102113616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0.11254023679949213</v>
      </c>
      <c r="AD161" s="231">
        <f>(INDEX(Models!$BJ161:$BT161,,AH161)*(1-AF161)+INDEX(Models!$BJ161:$BT161,,AH161+1)*AF161-ERP_i)*AE161*Ramure*Pc/MaxiM</f>
        <v>2.3710035470426725E-4</v>
      </c>
      <c r="AE161" s="305">
        <f t="shared" si="65"/>
        <v>0.7</v>
      </c>
      <c r="AF161" s="177">
        <f t="shared" si="66"/>
        <v>0.34298283751975944</v>
      </c>
      <c r="AG161" s="810">
        <f t="shared" si="74"/>
        <v>1</v>
      </c>
      <c r="AH161" s="176">
        <f t="shared" si="67"/>
        <v>7</v>
      </c>
      <c r="AI161" s="225">
        <f t="shared" si="68"/>
        <v>1.3429828375197594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55.905508865583329</v>
      </c>
      <c r="C162" s="840"/>
      <c r="D162" s="393">
        <f t="shared" si="50"/>
        <v>59.24350058662354</v>
      </c>
      <c r="E162" s="385">
        <f t="shared" si="72"/>
        <v>60.67340483796152</v>
      </c>
      <c r="F162" s="385">
        <f t="shared" si="51"/>
        <v>60.67374879896591</v>
      </c>
      <c r="G162" s="110">
        <f t="shared" si="73"/>
        <v>0.94654834320859815</v>
      </c>
      <c r="H162" s="414" t="b">
        <f>Wh_hp&gt;='2024'!Maxi_hp</f>
        <v>0</v>
      </c>
      <c r="I162" s="390">
        <f>IF(H162,Wh_hp,'2024'!Maxi_hp)</f>
        <v>62.361941334367771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5.6343593609218479E-2</v>
      </c>
      <c r="M162" s="844"/>
      <c r="N162" s="844"/>
      <c r="O162" s="48">
        <f>IF(t&lt;Tnet,'2024'!Resal+('2024'!Salim-'2024'!Resal)*(1-EXP(('2024'!Tnet-t)/('2024'!Tau_j))),Resal+(Salim-Resal)*(1-EXP((Tnet-t)/(Tau_j))))*Salcycl</f>
        <v>2.3567232713522134E-2</v>
      </c>
      <c r="P162" s="169">
        <f>(INDEX(Models!$BJ162:$BT162,,T162)*(1-R162)+INDEX(Models!$BJ162:$BT162,,T162+1)*R162-ERP_i)*Q162*Ramure*Pc/MaxiM</f>
        <v>6.1376923837309392E-6</v>
      </c>
      <c r="Q162" s="305">
        <f t="shared" si="53"/>
        <v>0.7</v>
      </c>
      <c r="R162" s="177">
        <f t="shared" si="54"/>
        <v>0.52680814632580963</v>
      </c>
      <c r="S162" s="810">
        <f t="shared" si="55"/>
        <v>-2</v>
      </c>
      <c r="T162" s="176">
        <f t="shared" si="56"/>
        <v>4</v>
      </c>
      <c r="U162" s="251">
        <f t="shared" si="57"/>
        <v>-1.4731918536741904</v>
      </c>
      <c r="V162" s="383">
        <f t="shared" si="58"/>
        <v>59.062469514070088</v>
      </c>
      <c r="W162" s="402">
        <f t="shared" si="59"/>
        <v>55.905508865583329</v>
      </c>
      <c r="X162" s="157">
        <f t="shared" si="60"/>
        <v>45805</v>
      </c>
      <c r="Y162" s="385">
        <f t="shared" si="61"/>
        <v>50.791469001504787</v>
      </c>
      <c r="Z162" s="385">
        <f t="shared" si="62"/>
        <v>53.824112947813042</v>
      </c>
      <c r="AA162" s="386">
        <f t="shared" si="63"/>
        <v>60.660426261625879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0.11269807574922237</v>
      </c>
      <c r="AD162" s="231">
        <f>(INDEX(Models!$BJ162:$BT162,,AH162)*(1-AF162)+INDEX(Models!$BJ162:$BT162,,AH162+1)*AF162-ERP_i)*AE162*Ramure*Pc/MaxiM</f>
        <v>2.3772937897347053E-4</v>
      </c>
      <c r="AE162" s="305">
        <f t="shared" si="65"/>
        <v>0.7</v>
      </c>
      <c r="AF162" s="177">
        <f t="shared" si="66"/>
        <v>0.34679819942499335</v>
      </c>
      <c r="AG162" s="810">
        <f t="shared" si="74"/>
        <v>1</v>
      </c>
      <c r="AH162" s="176">
        <f t="shared" si="67"/>
        <v>7</v>
      </c>
      <c r="AI162" s="225">
        <f t="shared" si="68"/>
        <v>1.3467981994249933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60.24128670064195</v>
      </c>
      <c r="C163" s="840"/>
      <c r="D163" s="393">
        <f t="shared" si="50"/>
        <v>63.839643569449855</v>
      </c>
      <c r="E163" s="385">
        <f t="shared" si="72"/>
        <v>65.393443335993965</v>
      </c>
      <c r="F163" s="385">
        <f t="shared" si="51"/>
        <v>65.393863123176274</v>
      </c>
      <c r="G163" s="110">
        <f t="shared" si="73"/>
        <v>1.0196079969873806</v>
      </c>
      <c r="H163" s="414" t="b">
        <f>Wh_hp&gt;='2024'!Maxi_hp</f>
        <v>1</v>
      </c>
      <c r="I163" s="390">
        <f>IF(H163,Wh_hp,'2024'!Maxi_hp)</f>
        <v>65.393863123176274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5.6365553872388507E-2</v>
      </c>
      <c r="M163" s="844"/>
      <c r="N163" s="844"/>
      <c r="O163" s="48">
        <f>IF(t&lt;Tnet,'2024'!Resal+('2024'!Salim-'2024'!Resal)*(1-EXP(('2024'!Tnet-t)/('2024'!Tau_j))),Resal+(Salim-Resal)*(1-EXP((Tnet-t)/(Tau_j))))*Salcycl</f>
        <v>2.3760788349385796E-2</v>
      </c>
      <c r="P163" s="169">
        <f>(INDEX(Models!$BJ163:$BT163,,T163)*(1-R163)+INDEX(Models!$BJ163:$BT163,,T163+1)*R163-ERP_i)*Q163*Ramure*Pc/MaxiM</f>
        <v>6.4193666235079975E-6</v>
      </c>
      <c r="Q163" s="305">
        <f t="shared" si="53"/>
        <v>0.7</v>
      </c>
      <c r="R163" s="177">
        <f t="shared" si="54"/>
        <v>0.53066463819078735</v>
      </c>
      <c r="S163" s="810">
        <f t="shared" si="55"/>
        <v>-2</v>
      </c>
      <c r="T163" s="176">
        <f t="shared" si="56"/>
        <v>4</v>
      </c>
      <c r="U163" s="251">
        <f t="shared" si="57"/>
        <v>-1.4693353618092126</v>
      </c>
      <c r="V163" s="383">
        <f t="shared" si="58"/>
        <v>59.082791502848067</v>
      </c>
      <c r="W163" s="402">
        <f t="shared" si="59"/>
        <v>60.24128670064195</v>
      </c>
      <c r="X163" s="157">
        <f t="shared" si="60"/>
        <v>45806</v>
      </c>
      <c r="Y163" s="385">
        <f t="shared" si="61"/>
        <v>54.730750692354377</v>
      </c>
      <c r="Z163" s="385">
        <f t="shared" si="62"/>
        <v>57.999949998596087</v>
      </c>
      <c r="AA163" s="386">
        <f t="shared" si="63"/>
        <v>65.378253377133319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0.11285562090463969</v>
      </c>
      <c r="AD163" s="231">
        <f>(INDEX(Models!$BJ163:$BT163,,AH163)*(1-AF163)+INDEX(Models!$BJ163:$BT163,,AH163+1)*AF163-ERP_i)*AE163*Ramure*Pc/MaxiM</f>
        <v>2.387035311486427E-4</v>
      </c>
      <c r="AE163" s="305">
        <f t="shared" si="65"/>
        <v>0.7</v>
      </c>
      <c r="AF163" s="177">
        <f t="shared" si="66"/>
        <v>0.35065469128997107</v>
      </c>
      <c r="AG163" s="810">
        <f t="shared" si="74"/>
        <v>1</v>
      </c>
      <c r="AH163" s="176">
        <f t="shared" si="67"/>
        <v>7</v>
      </c>
      <c r="AI163" s="225">
        <f t="shared" si="68"/>
        <v>1.3506546912899711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52.181516143054921</v>
      </c>
      <c r="C164" s="840"/>
      <c r="D164" s="393">
        <f t="shared" si="50"/>
        <v>55.299730447070928</v>
      </c>
      <c r="E164" s="385">
        <f t="shared" si="72"/>
        <v>56.6569074055556</v>
      </c>
      <c r="F164" s="385">
        <f t="shared" si="51"/>
        <v>56.657224228854311</v>
      </c>
      <c r="G164" s="110">
        <f t="shared" si="73"/>
        <v>0.88296839096321067</v>
      </c>
      <c r="H164" s="414" t="b">
        <f>Wh_hp&gt;='2024'!Maxi_hp</f>
        <v>0</v>
      </c>
      <c r="I164" s="390">
        <f>IF(H164,Wh_hp,'2024'!Maxi_hp)</f>
        <v>59.86002152871599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5.638751362451111E-2</v>
      </c>
      <c r="M164" s="844"/>
      <c r="N164" s="844"/>
      <c r="O164" s="48">
        <f>IF(t&lt;Tnet,'2024'!Resal+('2024'!Salim-'2024'!Resal)*(1-EXP(('2024'!Tnet-t)/('2024'!Tau_j))),Resal+(Salim-Resal)*(1-EXP((Tnet-t)/(Tau_j))))*Salcycl</f>
        <v>2.3954307085098454E-2</v>
      </c>
      <c r="P164" s="169">
        <f>(INDEX(Models!$BJ164:$BT164,,T164)*(1-R164)+INDEX(Models!$BJ164:$BT164,,T164+1)*R164-ERP_i)*Q164*Ramure*Pc/MaxiM</f>
        <v>6.7145067055681312E-6</v>
      </c>
      <c r="Q164" s="305">
        <f t="shared" si="53"/>
        <v>0.7</v>
      </c>
      <c r="R164" s="177">
        <f t="shared" si="54"/>
        <v>0.53455962134285739</v>
      </c>
      <c r="S164" s="810">
        <f t="shared" si="55"/>
        <v>-2</v>
      </c>
      <c r="T164" s="176">
        <f t="shared" si="56"/>
        <v>4</v>
      </c>
      <c r="U164" s="251">
        <f t="shared" si="57"/>
        <v>-1.4654403786571426</v>
      </c>
      <c r="V164" s="383">
        <f t="shared" si="58"/>
        <v>59.09776397330694</v>
      </c>
      <c r="W164" s="402">
        <f t="shared" si="59"/>
        <v>52.181516143054921</v>
      </c>
      <c r="X164" s="157">
        <f t="shared" si="60"/>
        <v>45807</v>
      </c>
      <c r="Y164" s="385">
        <f t="shared" si="61"/>
        <v>47.411042731532049</v>
      </c>
      <c r="Z164" s="385">
        <f t="shared" si="62"/>
        <v>50.24418754105583</v>
      </c>
      <c r="AA164" s="386">
        <f t="shared" si="63"/>
        <v>56.64589760893216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0.11301277476565012</v>
      </c>
      <c r="AD164" s="231">
        <f>(INDEX(Models!$BJ164:$BT164,,AH164)*(1-AF164)+INDEX(Models!$BJ164:$BT164,,AH164+1)*AF164-ERP_i)*AE164*Ramure*Pc/MaxiM</f>
        <v>2.400475777108248E-4</v>
      </c>
      <c r="AE164" s="305">
        <f t="shared" si="65"/>
        <v>0.7</v>
      </c>
      <c r="AF164" s="177">
        <f t="shared" si="66"/>
        <v>0.35454967444204111</v>
      </c>
      <c r="AG164" s="810">
        <f t="shared" si="74"/>
        <v>1</v>
      </c>
      <c r="AH164" s="176">
        <f t="shared" si="67"/>
        <v>7</v>
      </c>
      <c r="AI164" s="225">
        <f t="shared" si="68"/>
        <v>1.3545496744420411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55.411047304337522</v>
      </c>
      <c r="C165" s="840"/>
      <c r="D165" s="393">
        <f t="shared" si="50"/>
        <v>58.723615499421989</v>
      </c>
      <c r="E165" s="385">
        <f t="shared" si="72"/>
        <v>60.17674957789135</v>
      </c>
      <c r="F165" s="385">
        <f t="shared" si="51"/>
        <v>60.177134296191333</v>
      </c>
      <c r="G165" s="110">
        <f t="shared" si="73"/>
        <v>0.93745853996292372</v>
      </c>
      <c r="H165" s="414" t="b">
        <f>Wh_hp&gt;='2024'!Maxi_hp</f>
        <v>0</v>
      </c>
      <c r="I165" s="390">
        <f>IF(H165,Wh_hp,'2024'!Maxi_hp)</f>
        <v>63.940669699990565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5.6409472865598165E-2</v>
      </c>
      <c r="M165" s="844"/>
      <c r="N165" s="844"/>
      <c r="O165" s="48">
        <f>IF(t&lt;Tnet,'2024'!Resal+('2024'!Salim-'2024'!Resal)*(1-EXP(('2024'!Tnet-t)/('2024'!Tau_j))),Resal+(Salim-Resal)*(1-EXP((Tnet-t)/(Tau_j))))*Salcycl</f>
        <v>2.4147766183157841E-2</v>
      </c>
      <c r="P165" s="169">
        <f>(INDEX(Models!$BJ165:$BT165,,T165)*(1-R165)+INDEX(Models!$BJ165:$BT165,,T165+1)*R165-ERP_i)*Q165*Ramure*Pc/MaxiM</f>
        <v>7.0203220987201066E-6</v>
      </c>
      <c r="Q165" s="305">
        <f t="shared" si="53"/>
        <v>0.7</v>
      </c>
      <c r="R165" s="177">
        <f t="shared" si="54"/>
        <v>0.53849033858255879</v>
      </c>
      <c r="S165" s="810">
        <f t="shared" si="55"/>
        <v>-2</v>
      </c>
      <c r="T165" s="176">
        <f t="shared" si="56"/>
        <v>4</v>
      </c>
      <c r="U165" s="251">
        <f t="shared" si="57"/>
        <v>-1.4615096614174412</v>
      </c>
      <c r="V165" s="383">
        <f t="shared" si="58"/>
        <v>59.107694033217747</v>
      </c>
      <c r="W165" s="402">
        <f t="shared" si="59"/>
        <v>55.411047304337522</v>
      </c>
      <c r="X165" s="157">
        <f t="shared" si="60"/>
        <v>45808</v>
      </c>
      <c r="Y165" s="385">
        <f t="shared" si="61"/>
        <v>50.345448906616895</v>
      </c>
      <c r="Z165" s="385">
        <f t="shared" si="62"/>
        <v>53.355186872754459</v>
      </c>
      <c r="AA165" s="386">
        <f t="shared" si="63"/>
        <v>60.163901954407443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0.11316943982145085</v>
      </c>
      <c r="AD165" s="231">
        <f>(INDEX(Models!$BJ165:$BT165,,AH165)*(1-AF165)+INDEX(Models!$BJ165:$BT165,,AH165+1)*AF165-ERP_i)*AE165*Ramure*Pc/MaxiM</f>
        <v>2.4146317304562834E-4</v>
      </c>
      <c r="AE165" s="305">
        <f t="shared" si="65"/>
        <v>0.7</v>
      </c>
      <c r="AF165" s="177">
        <f t="shared" si="66"/>
        <v>0.35848039168174228</v>
      </c>
      <c r="AG165" s="810">
        <f t="shared" si="74"/>
        <v>1</v>
      </c>
      <c r="AH165" s="176">
        <f t="shared" si="67"/>
        <v>7</v>
      </c>
      <c r="AI165" s="225">
        <f t="shared" si="68"/>
        <v>1.3584803916817423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56.230834884996924</v>
      </c>
      <c r="C166" s="840"/>
      <c r="D166" s="393">
        <f t="shared" si="50"/>
        <v>59.593798233538514</v>
      </c>
      <c r="E166" s="385">
        <f t="shared" si="72"/>
        <v>61.080569065390144</v>
      </c>
      <c r="F166" s="385">
        <f t="shared" si="51"/>
        <v>61.080986000439701</v>
      </c>
      <c r="G166" s="110">
        <f t="shared" si="73"/>
        <v>0.9512444356852815</v>
      </c>
      <c r="H166" s="414" t="b">
        <f>Wh_hp&gt;='2024'!Maxi_hp</f>
        <v>0</v>
      </c>
      <c r="I166" s="390">
        <f>IF(H166,Wh_hp,'2024'!Maxi_hp)</f>
        <v>65.184195459638048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5.6431431595661663E-2</v>
      </c>
      <c r="M166" s="844"/>
      <c r="N166" s="844"/>
      <c r="O166" s="48">
        <f>IF(t&lt;Tnet,'2024'!Resal+('2024'!Salim-'2024'!Resal)*(1-EXP(('2024'!Tnet-t)/('2024'!Tau_j))),Resal+(Salim-Resal)*(1-EXP((Tnet-t)/(Tau_j))))*Salcycl</f>
        <v>2.4341142438603625E-2</v>
      </c>
      <c r="P166" s="169">
        <f>(INDEX(Models!$BJ166:$BT166,,T166)*(1-R166)+INDEX(Models!$BJ166:$BT166,,T166+1)*R166-ERP_i)*Q166*Ramure*Pc/MaxiM</f>
        <v>7.3369584002528454E-6</v>
      </c>
      <c r="Q166" s="305">
        <f t="shared" si="53"/>
        <v>0.7</v>
      </c>
      <c r="R166" s="177">
        <f t="shared" si="54"/>
        <v>0.54245392104422452</v>
      </c>
      <c r="S166" s="810">
        <f t="shared" si="55"/>
        <v>-2</v>
      </c>
      <c r="T166" s="176">
        <f t="shared" si="56"/>
        <v>4</v>
      </c>
      <c r="U166" s="251">
        <f t="shared" si="57"/>
        <v>-1.4575460789557755</v>
      </c>
      <c r="V166" s="383">
        <f t="shared" si="58"/>
        <v>59.112888381010215</v>
      </c>
      <c r="W166" s="402">
        <f t="shared" si="59"/>
        <v>56.230834884996924</v>
      </c>
      <c r="X166" s="157">
        <f t="shared" si="60"/>
        <v>45809</v>
      </c>
      <c r="Y166" s="385">
        <f t="shared" si="61"/>
        <v>51.091133823530264</v>
      </c>
      <c r="Z166" s="385">
        <f t="shared" si="62"/>
        <v>54.146710196091092</v>
      </c>
      <c r="AA166" s="386">
        <f t="shared" si="63"/>
        <v>61.067180065042933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0.11332551890525844</v>
      </c>
      <c r="AD166" s="231">
        <f>(INDEX(Models!$BJ166:$BT166,,AH166)*(1-AF166)+INDEX(Models!$BJ166:$BT166,,AH166+1)*AF166-ERP_i)*AE166*Ramure*Pc/MaxiM</f>
        <v>2.4294808937251692E-4</v>
      </c>
      <c r="AE166" s="305">
        <f t="shared" si="65"/>
        <v>0.7</v>
      </c>
      <c r="AF166" s="177">
        <f t="shared" si="66"/>
        <v>0.36244397414340823</v>
      </c>
      <c r="AG166" s="810">
        <f t="shared" si="74"/>
        <v>1</v>
      </c>
      <c r="AH166" s="176">
        <f t="shared" si="67"/>
        <v>7</v>
      </c>
      <c r="AI166" s="225">
        <f t="shared" si="68"/>
        <v>1.3624439741434082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46.602021208492239</v>
      </c>
      <c r="C167" s="840"/>
      <c r="D167" s="393">
        <f t="shared" si="50"/>
        <v>49.390269336393338</v>
      </c>
      <c r="E167" s="385">
        <f t="shared" si="72"/>
        <v>50.632508165626803</v>
      </c>
      <c r="F167" s="385">
        <f t="shared" si="51"/>
        <v>50.632778902765246</v>
      </c>
      <c r="G167" s="110">
        <f t="shared" si="73"/>
        <v>0.78834432447448599</v>
      </c>
      <c r="H167" s="414" t="b">
        <f>Wh_hp&gt;='2024'!Maxi_hp</f>
        <v>0</v>
      </c>
      <c r="I167" s="390">
        <f>IF(H167,Wh_hp,'2024'!Maxi_hp)</f>
        <v>63.527913970143331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5.6453389814713373E-2</v>
      </c>
      <c r="M167" s="844"/>
      <c r="N167" s="844"/>
      <c r="O167" s="48">
        <f>IF(t&lt;Tnet,'2024'!Resal+('2024'!Salim-'2024'!Resal)*(1-EXP(('2024'!Tnet-t)/('2024'!Tau_j))),Resal+(Salim-Resal)*(1-EXP((Tnet-t)/(Tau_j))))*Salcycl</f>
        <v>2.4534412262768257E-2</v>
      </c>
      <c r="P167" s="169">
        <f>(INDEX(Models!$BJ167:$BT167,,T167)*(1-R167)+INDEX(Models!$BJ167:$BT167,,T167+1)*R167-ERP_i)*Q167*Ramure*Pc/MaxiM</f>
        <v>7.6645443440223244E-6</v>
      </c>
      <c r="Q167" s="305">
        <f t="shared" si="53"/>
        <v>0.7</v>
      </c>
      <c r="R167" s="177">
        <f t="shared" si="54"/>
        <v>0.54644739577575452</v>
      </c>
      <c r="S167" s="810">
        <f t="shared" si="55"/>
        <v>-2</v>
      </c>
      <c r="T167" s="176">
        <f t="shared" si="56"/>
        <v>4</v>
      </c>
      <c r="U167" s="251">
        <f t="shared" si="57"/>
        <v>-1.4535526042242455</v>
      </c>
      <c r="V167" s="383">
        <f t="shared" si="58"/>
        <v>59.113653466214352</v>
      </c>
      <c r="W167" s="402">
        <f t="shared" si="59"/>
        <v>46.602021208492239</v>
      </c>
      <c r="X167" s="157">
        <f t="shared" si="60"/>
        <v>45810</v>
      </c>
      <c r="Y167" s="385">
        <f t="shared" si="61"/>
        <v>42.345681496406648</v>
      </c>
      <c r="Z167" s="385">
        <f t="shared" si="62"/>
        <v>44.879268325802286</v>
      </c>
      <c r="AA167" s="386">
        <f t="shared" si="63"/>
        <v>50.624142348713114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0.1134809155548462</v>
      </c>
      <c r="AD167" s="231">
        <f>(INDEX(Models!$BJ167:$BT167,,AH167)*(1-AF167)+INDEX(Models!$BJ167:$BT167,,AH167+1)*AF167-ERP_i)*AE167*Ramure*Pc/MaxiM</f>
        <v>2.44500078166565E-4</v>
      </c>
      <c r="AE167" s="305">
        <f t="shared" si="65"/>
        <v>0.7</v>
      </c>
      <c r="AF167" s="177">
        <f t="shared" si="66"/>
        <v>0.36643744887493823</v>
      </c>
      <c r="AG167" s="810">
        <f t="shared" si="74"/>
        <v>1</v>
      </c>
      <c r="AH167" s="176">
        <f t="shared" si="67"/>
        <v>7</v>
      </c>
      <c r="AI167" s="225">
        <f t="shared" si="68"/>
        <v>1.3664374488749382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54.313038049890082</v>
      </c>
      <c r="C168" s="840"/>
      <c r="D168" s="393">
        <f t="shared" si="50"/>
        <v>57.563984054142708</v>
      </c>
      <c r="E168" s="385">
        <f t="shared" si="72"/>
        <v>59.023490470444479</v>
      </c>
      <c r="F168" s="385">
        <f t="shared" si="51"/>
        <v>59.023908082530738</v>
      </c>
      <c r="G168" s="110">
        <f t="shared" si="73"/>
        <v>0.91884141678006703</v>
      </c>
      <c r="H168" s="414" t="b">
        <f>Wh_hp&gt;='2024'!Maxi_hp</f>
        <v>1</v>
      </c>
      <c r="I168" s="390">
        <f>IF(H168,Wh_hp,'2024'!Maxi_hp)</f>
        <v>59.023908082530738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5.6475347522765285E-2</v>
      </c>
      <c r="M168" s="844"/>
      <c r="N168" s="844"/>
      <c r="O168" s="48">
        <f>IF(t&lt;Tnet,'2024'!Resal+('2024'!Salim-'2024'!Resal)*(1-EXP(('2024'!Tnet-t)/('2024'!Tau_j))),Resal+(Salim-Resal)*(1-EXP((Tnet-t)/(Tau_j))))*Salcycl</f>
        <v>2.4727551770809122E-2</v>
      </c>
      <c r="P168" s="169">
        <f>(INDEX(Models!$BJ168:$BT168,,T168)*(1-R168)+INDEX(Models!$BJ168:$BT168,,T168+1)*R168-ERP_i)*Q168*Ramure*Pc/MaxiM</f>
        <v>8.0031907414735965E-6</v>
      </c>
      <c r="Q168" s="305">
        <f t="shared" si="53"/>
        <v>0.7</v>
      </c>
      <c r="R168" s="177">
        <f t="shared" si="54"/>
        <v>0.55046769400157203</v>
      </c>
      <c r="S168" s="810">
        <f t="shared" si="55"/>
        <v>-2</v>
      </c>
      <c r="T168" s="176">
        <f t="shared" si="56"/>
        <v>4</v>
      </c>
      <c r="U168" s="251">
        <f t="shared" si="57"/>
        <v>-1.449532305998428</v>
      </c>
      <c r="V168" s="383">
        <f t="shared" si="58"/>
        <v>59.110295488758702</v>
      </c>
      <c r="W168" s="402">
        <f t="shared" si="59"/>
        <v>54.313038049890082</v>
      </c>
      <c r="X168" s="157">
        <f t="shared" si="60"/>
        <v>45811</v>
      </c>
      <c r="Y168" s="385">
        <f t="shared" si="61"/>
        <v>49.35135091832985</v>
      </c>
      <c r="Z168" s="385">
        <f t="shared" si="62"/>
        <v>52.305311566324541</v>
      </c>
      <c r="AA168" s="386">
        <f t="shared" si="63"/>
        <v>59.011065532215007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0.11363553437667878</v>
      </c>
      <c r="AD168" s="231">
        <f>(INDEX(Models!$BJ168:$BT168,,AH168)*(1-AF168)+INDEX(Models!$BJ168:$BT168,,AH168+1)*AF168-ERP_i)*AE168*Ramure*Pc/MaxiM</f>
        <v>2.461168705728889E-4</v>
      </c>
      <c r="AE168" s="305">
        <f t="shared" si="65"/>
        <v>0.7</v>
      </c>
      <c r="AF168" s="177">
        <f t="shared" si="66"/>
        <v>0.37045774710075596</v>
      </c>
      <c r="AG168" s="810">
        <f t="shared" si="74"/>
        <v>1</v>
      </c>
      <c r="AH168" s="176">
        <f t="shared" si="67"/>
        <v>7</v>
      </c>
      <c r="AI168" s="225">
        <f t="shared" si="68"/>
        <v>1.370457747100756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26.900628273799242</v>
      </c>
      <c r="C169" s="840"/>
      <c r="D169" s="393">
        <f t="shared" si="50"/>
        <v>28.511448253797695</v>
      </c>
      <c r="E169" s="385">
        <f t="shared" si="72"/>
        <v>29.240127940291174</v>
      </c>
      <c r="F169" s="385">
        <f t="shared" si="51"/>
        <v>29.240182074066059</v>
      </c>
      <c r="G169" s="110">
        <f t="shared" si="73"/>
        <v>0.45514438485044251</v>
      </c>
      <c r="H169" s="414" t="b">
        <f>Wh_hp&gt;='2024'!Maxi_hp</f>
        <v>0</v>
      </c>
      <c r="I169" s="390">
        <f>IF(H169,Wh_hp,'2024'!Maxi_hp)</f>
        <v>55.953130597510338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5.6497304719829278E-2</v>
      </c>
      <c r="M169" s="844"/>
      <c r="N169" s="844"/>
      <c r="O169" s="48">
        <f>IF(t&lt;Tnet,'2024'!Resal+('2024'!Salim-'2024'!Resal)*(1-EXP(('2024'!Tnet-t)/('2024'!Tau_j))),Resal+(Salim-Resal)*(1-EXP((Tnet-t)/(Tau_j))))*Salcycl</f>
        <v>2.4920536872528647E-2</v>
      </c>
      <c r="P169" s="169">
        <f>(INDEX(Models!$BJ169:$BT169,,T169)*(1-R169)+INDEX(Models!$BJ169:$BT169,,T169+1)*R169-ERP_i)*Q169*Ramure*Pc/MaxiM</f>
        <v>8.352989484116051E-6</v>
      </c>
      <c r="Q169" s="305">
        <f t="shared" si="53"/>
        <v>0.7</v>
      </c>
      <c r="R169" s="177">
        <f t="shared" si="54"/>
        <v>0.55451166002529995</v>
      </c>
      <c r="S169" s="810">
        <f t="shared" si="55"/>
        <v>-2</v>
      </c>
      <c r="T169" s="176">
        <f t="shared" si="56"/>
        <v>4</v>
      </c>
      <c r="U169" s="251">
        <f t="shared" si="57"/>
        <v>-1.4454883399747001</v>
      </c>
      <c r="V169" s="383">
        <f t="shared" si="58"/>
        <v>59.103120395727885</v>
      </c>
      <c r="W169" s="402">
        <f t="shared" si="59"/>
        <v>26.900628273799242</v>
      </c>
      <c r="X169" s="157">
        <f t="shared" si="60"/>
        <v>45812</v>
      </c>
      <c r="Y169" s="385">
        <f t="shared" si="61"/>
        <v>24.447607445409052</v>
      </c>
      <c r="Z169" s="385">
        <f t="shared" si="62"/>
        <v>25.911539593587911</v>
      </c>
      <c r="AA169" s="386">
        <f t="shared" si="63"/>
        <v>29.238576164880683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0.11378928141134913</v>
      </c>
      <c r="AD169" s="231">
        <f>(INDEX(Models!$BJ169:$BT169,,AH169)*(1-AF169)+INDEX(Models!$BJ169:$BT169,,AH169+1)*AF169-ERP_i)*AE169*Ramure*Pc/MaxiM</f>
        <v>2.4779617838363241E-4</v>
      </c>
      <c r="AE169" s="305">
        <f t="shared" si="65"/>
        <v>0.7</v>
      </c>
      <c r="AF169" s="177">
        <f t="shared" si="66"/>
        <v>0.37450171312448366</v>
      </c>
      <c r="AG169" s="810">
        <f t="shared" si="74"/>
        <v>1</v>
      </c>
      <c r="AH169" s="176">
        <f t="shared" si="67"/>
        <v>7</v>
      </c>
      <c r="AI169" s="225">
        <f t="shared" si="68"/>
        <v>1.3745017131244837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37.434523084461702</v>
      </c>
      <c r="C170" s="840"/>
      <c r="D170" s="393">
        <f t="shared" si="50"/>
        <v>39.677040084829216</v>
      </c>
      <c r="E170" s="385">
        <f t="shared" ref="E170:E232" si="75">Wh_pvt/(1-Psa)</f>
        <v>40.699131344991834</v>
      </c>
      <c r="F170" s="385">
        <f t="shared" si="51"/>
        <v>40.699300296220102</v>
      </c>
      <c r="G170" s="110">
        <f t="shared" ref="G170:G232" si="76">+Wh_hp/MaxiM</f>
        <v>0.63348807668100482</v>
      </c>
      <c r="H170" s="414" t="b">
        <f>Wh_hp&gt;='2024'!Maxi_hp</f>
        <v>0</v>
      </c>
      <c r="I170" s="390">
        <f>IF(H170,Wh_hp,'2024'!Maxi_hp)</f>
        <v>47.290496424932876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5.6519261405917121E-2</v>
      </c>
      <c r="M170" s="844"/>
      <c r="N170" s="844"/>
      <c r="O170" s="48">
        <f>IF(t&lt;Tnet,'2024'!Resal+('2024'!Salim-'2024'!Resal)*(1-EXP(('2024'!Tnet-t)/('2024'!Tau_j))),Resal+(Salim-Resal)*(1-EXP((Tnet-t)/(Tau_j))))*Salcycl</f>
        <v>2.5113343365948549E-2</v>
      </c>
      <c r="P170" s="169">
        <f>(INDEX(Models!$BJ170:$BT170,,T170)*(1-R170)+INDEX(Models!$BJ170:$BT170,,T170+1)*R170-ERP_i)*Q170*Ramure*Pc/MaxiM</f>
        <v>8.7134145346598462E-6</v>
      </c>
      <c r="Q170" s="305">
        <f t="shared" si="53"/>
        <v>0.7</v>
      </c>
      <c r="R170" s="177">
        <f t="shared" si="54"/>
        <v>0.55857606072151755</v>
      </c>
      <c r="S170" s="810">
        <f t="shared" si="55"/>
        <v>-2</v>
      </c>
      <c r="T170" s="176">
        <f t="shared" si="56"/>
        <v>4</v>
      </c>
      <c r="U170" s="251">
        <f t="shared" si="57"/>
        <v>-1.4414239392784824</v>
      </c>
      <c r="V170" s="383">
        <f t="shared" si="58"/>
        <v>59.092433903135657</v>
      </c>
      <c r="W170" s="402">
        <f t="shared" si="59"/>
        <v>37.434523084461702</v>
      </c>
      <c r="X170" s="157">
        <f t="shared" si="60"/>
        <v>45813</v>
      </c>
      <c r="Y170" s="385">
        <f t="shared" si="61"/>
        <v>34.019697777800822</v>
      </c>
      <c r="Z170" s="385">
        <f t="shared" si="62"/>
        <v>36.057649495309136</v>
      </c>
      <c r="AA170" s="386">
        <f t="shared" si="63"/>
        <v>40.69446031751724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0.11394206449795707</v>
      </c>
      <c r="AD170" s="231">
        <f>(INDEX(Models!$BJ170:$BT170,,AH170)*(1-AF170)+INDEX(Models!$BJ170:$BT170,,AH170+1)*AF170-ERP_i)*AE170*Ramure*Pc/MaxiM</f>
        <v>2.4961488121866911E-4</v>
      </c>
      <c r="AE170" s="305">
        <f t="shared" si="65"/>
        <v>0.7</v>
      </c>
      <c r="AF170" s="177">
        <f t="shared" si="66"/>
        <v>0.37856611382070127</v>
      </c>
      <c r="AG170" s="810">
        <f t="shared" si="74"/>
        <v>1</v>
      </c>
      <c r="AH170" s="176">
        <f t="shared" si="67"/>
        <v>7</v>
      </c>
      <c r="AI170" s="225">
        <f t="shared" si="68"/>
        <v>1.3785661138207013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45.126562843299133</v>
      </c>
      <c r="C171" s="840"/>
      <c r="D171" s="393">
        <f t="shared" si="50"/>
        <v>47.830984971699486</v>
      </c>
      <c r="E171" s="385">
        <f t="shared" si="75"/>
        <v>49.07281913345404</v>
      </c>
      <c r="F171" s="385">
        <f t="shared" si="51"/>
        <v>49.073114354582806</v>
      </c>
      <c r="G171" s="110">
        <f t="shared" si="76"/>
        <v>0.76383782129939359</v>
      </c>
      <c r="H171" s="414" t="b">
        <f>Wh_hp&gt;='2024'!Maxi_hp</f>
        <v>0</v>
      </c>
      <c r="I171" s="390">
        <f>IF(H171,Wh_hp,'2024'!Maxi_hp)</f>
        <v>63.423622728283476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5.6541217581040804E-2</v>
      </c>
      <c r="M171" s="844"/>
      <c r="N171" s="844"/>
      <c r="O171" s="48">
        <f>IF(t&lt;Tnet,'2024'!Resal+('2024'!Salim-'2024'!Resal)*(1-EXP(('2024'!Tnet-t)/('2024'!Tau_j))),Resal+(Salim-Resal)*(1-EXP((Tnet-t)/(Tau_j))))*Salcycl</f>
        <v>2.5305947033068737E-2</v>
      </c>
      <c r="P171" s="169">
        <f>(INDEX(Models!$BJ171:$BT171,,T171)*(1-R171)+INDEX(Models!$BJ171:$BT171,,T171+1)*R171-ERP_i)*Q171*Ramure*Pc/MaxiM</f>
        <v>9.078905737124399E-6</v>
      </c>
      <c r="Q171" s="305">
        <f t="shared" si="53"/>
        <v>0.7</v>
      </c>
      <c r="R171" s="177">
        <f t="shared" si="54"/>
        <v>0.56265759555922945</v>
      </c>
      <c r="S171" s="810">
        <f t="shared" si="55"/>
        <v>-2</v>
      </c>
      <c r="T171" s="176">
        <f t="shared" si="56"/>
        <v>4</v>
      </c>
      <c r="U171" s="251">
        <f t="shared" si="57"/>
        <v>-1.4373424044407705</v>
      </c>
      <c r="V171" s="383">
        <f t="shared" si="58"/>
        <v>59.078541757444313</v>
      </c>
      <c r="W171" s="402">
        <f t="shared" si="59"/>
        <v>45.126562843299133</v>
      </c>
      <c r="X171" s="157">
        <f t="shared" si="60"/>
        <v>45814</v>
      </c>
      <c r="Y171" s="385">
        <f t="shared" si="61"/>
        <v>41.009257551225176</v>
      </c>
      <c r="Z171" s="385">
        <f t="shared" si="62"/>
        <v>43.466930739762098</v>
      </c>
      <c r="AA171" s="386">
        <f t="shared" si="63"/>
        <v>49.064935348082031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0.11409379363502539</v>
      </c>
      <c r="AD171" s="231">
        <f>(INDEX(Models!$BJ171:$BT171,,AH171)*(1-AF171)+INDEX(Models!$BJ171:$BT171,,AH171+1)*AF171-ERP_i)*AE171*Ramure*Pc/MaxiM</f>
        <v>2.5152816586936923E-4</v>
      </c>
      <c r="AE171" s="305">
        <f t="shared" si="65"/>
        <v>0.7</v>
      </c>
      <c r="AF171" s="177">
        <f t="shared" si="66"/>
        <v>0.38264764865841316</v>
      </c>
      <c r="AG171" s="810">
        <f t="shared" si="74"/>
        <v>1</v>
      </c>
      <c r="AH171" s="176">
        <f t="shared" si="67"/>
        <v>7</v>
      </c>
      <c r="AI171" s="225">
        <f t="shared" si="68"/>
        <v>1.3826476486584132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30.792860675855334</v>
      </c>
      <c r="C172" s="840"/>
      <c r="D172" s="393">
        <f t="shared" si="50"/>
        <v>32.639027651460147</v>
      </c>
      <c r="E172" s="385">
        <f t="shared" si="75"/>
        <v>33.493044133726528</v>
      </c>
      <c r="F172" s="385">
        <f t="shared" si="51"/>
        <v>33.493144215535693</v>
      </c>
      <c r="G172" s="110">
        <f t="shared" si="76"/>
        <v>0.52136386379486965</v>
      </c>
      <c r="H172" s="414" t="b">
        <f>Wh_hp&gt;='2024'!Maxi_hp</f>
        <v>0</v>
      </c>
      <c r="I172" s="390">
        <f>IF(H172,Wh_hp,'2024'!Maxi_hp)</f>
        <v>52.756129092485281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5.6563173245212317E-2</v>
      </c>
      <c r="M172" s="844"/>
      <c r="N172" s="844"/>
      <c r="O172" s="48">
        <f>IF(t&lt;Tnet,'2024'!Resal+('2024'!Salim-'2024'!Resal)*(1-EXP(('2024'!Tnet-t)/('2024'!Tau_j))),Resal+(Salim-Resal)*(1-EXP((Tnet-t)/(Tau_j))))*Salcycl</f>
        <v>2.5498323737208891E-2</v>
      </c>
      <c r="P172" s="169">
        <f>(INDEX(Models!$BJ172:$BT172,,T172)*(1-R172)+INDEX(Models!$BJ172:$BT172,,T172+1)*R172-ERP_i)*Q172*Ramure*Pc/MaxiM</f>
        <v>9.4489583102453942E-6</v>
      </c>
      <c r="Q172" s="305">
        <f t="shared" si="53"/>
        <v>0.7</v>
      </c>
      <c r="R172" s="177">
        <f t="shared" si="54"/>
        <v>0.56675290709349024</v>
      </c>
      <c r="S172" s="810">
        <f t="shared" si="55"/>
        <v>-2</v>
      </c>
      <c r="T172" s="176">
        <f t="shared" si="56"/>
        <v>4</v>
      </c>
      <c r="U172" s="251">
        <f t="shared" si="57"/>
        <v>-1.4332470929065098</v>
      </c>
      <c r="V172" s="383">
        <f t="shared" si="58"/>
        <v>59.061749127927982</v>
      </c>
      <c r="W172" s="402">
        <f t="shared" si="59"/>
        <v>30.792860675855334</v>
      </c>
      <c r="X172" s="157">
        <f t="shared" si="60"/>
        <v>45815</v>
      </c>
      <c r="Y172" s="385">
        <f t="shared" si="61"/>
        <v>27.986451611378513</v>
      </c>
      <c r="Z172" s="385">
        <f t="shared" si="62"/>
        <v>29.664362061894135</v>
      </c>
      <c r="AA172" s="386">
        <f t="shared" si="63"/>
        <v>33.490458809193228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0.11424438133552298</v>
      </c>
      <c r="AD172" s="231">
        <f>(INDEX(Models!$BJ172:$BT172,,AH172)*(1-AF172)+INDEX(Models!$BJ172:$BT172,,AH172+1)*AF172-ERP_i)*AE172*Ramure*Pc/MaxiM</f>
        <v>2.5353551047230694E-4</v>
      </c>
      <c r="AE172" s="305">
        <f t="shared" si="65"/>
        <v>0.7</v>
      </c>
      <c r="AF172" s="177">
        <f t="shared" si="66"/>
        <v>0.38674296019267396</v>
      </c>
      <c r="AG172" s="810">
        <f t="shared" si="74"/>
        <v>1</v>
      </c>
      <c r="AH172" s="176">
        <f t="shared" si="67"/>
        <v>7</v>
      </c>
      <c r="AI172" s="225">
        <f t="shared" si="68"/>
        <v>1.386742960192674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21.604481636734395</v>
      </c>
      <c r="C173" s="840"/>
      <c r="D173" s="393">
        <f t="shared" si="50"/>
        <v>22.900297935793901</v>
      </c>
      <c r="E173" s="385">
        <f t="shared" si="75"/>
        <v>23.504129590582966</v>
      </c>
      <c r="F173" s="385">
        <f t="shared" si="51"/>
        <v>23.504151331415354</v>
      </c>
      <c r="G173" s="110">
        <f t="shared" si="76"/>
        <v>0.36591167879846459</v>
      </c>
      <c r="H173" s="414" t="b">
        <f>Wh_hp&gt;='2024'!Maxi_hp</f>
        <v>0</v>
      </c>
      <c r="I173" s="390">
        <f>IF(H173,Wh_hp,'2024'!Maxi_hp)</f>
        <v>64.288784503922017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5.6585128398443429E-2</v>
      </c>
      <c r="M173" s="844"/>
      <c r="N173" s="844"/>
      <c r="O173" s="48">
        <f>IF(t&lt;Tnet,'2024'!Resal+('2024'!Salim-'2024'!Resal)*(1-EXP(('2024'!Tnet-t)/('2024'!Tau_j))),Resal+(Salim-Resal)*(1-EXP((Tnet-t)/(Tau_j))))*Salcycl</f>
        <v>2.5690449521304271E-2</v>
      </c>
      <c r="P173" s="169">
        <f>(INDEX(Models!$BJ173:$BT173,,T173)*(1-R173)+INDEX(Models!$BJ173:$BT173,,T173+1)*R173-ERP_i)*Q173*Ramure*Pc/MaxiM</f>
        <v>9.8230376092277817E-6</v>
      </c>
      <c r="Q173" s="305">
        <f t="shared" si="53"/>
        <v>0.7</v>
      </c>
      <c r="R173" s="177">
        <f t="shared" si="54"/>
        <v>0.57085859185610355</v>
      </c>
      <c r="S173" s="810">
        <f t="shared" si="55"/>
        <v>-2</v>
      </c>
      <c r="T173" s="176">
        <f t="shared" si="56"/>
        <v>4</v>
      </c>
      <c r="U173" s="251">
        <f t="shared" si="57"/>
        <v>-1.4291414081438965</v>
      </c>
      <c r="V173" s="383">
        <f t="shared" si="58"/>
        <v>59.042360903979244</v>
      </c>
      <c r="W173" s="402">
        <f t="shared" si="59"/>
        <v>21.604481636734395</v>
      </c>
      <c r="X173" s="157">
        <f t="shared" si="60"/>
        <v>45816</v>
      </c>
      <c r="Y173" s="385">
        <f t="shared" si="61"/>
        <v>19.637107362814852</v>
      </c>
      <c r="Z173" s="385">
        <f t="shared" si="62"/>
        <v>20.814922420587433</v>
      </c>
      <c r="AA173" s="386">
        <f t="shared" si="63"/>
        <v>23.503585544299156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0.11439374297356367</v>
      </c>
      <c r="AD173" s="231">
        <f>(INDEX(Models!$BJ173:$BT173,,AH173)*(1-AF173)+INDEX(Models!$BJ173:$BT173,,AH173+1)*AF173-ERP_i)*AE173*Ramure*Pc/MaxiM</f>
        <v>2.5563639982513589E-4</v>
      </c>
      <c r="AE173" s="305">
        <f t="shared" si="65"/>
        <v>0.7</v>
      </c>
      <c r="AF173" s="177">
        <f t="shared" si="66"/>
        <v>0.39084864495528726</v>
      </c>
      <c r="AG173" s="810">
        <f t="shared" si="74"/>
        <v>1</v>
      </c>
      <c r="AH173" s="176">
        <f t="shared" si="67"/>
        <v>7</v>
      </c>
      <c r="AI173" s="225">
        <f t="shared" si="68"/>
        <v>1.3908486449552873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44.480360822562595</v>
      </c>
      <c r="C174" s="840"/>
      <c r="D174" s="393">
        <f t="shared" si="50"/>
        <v>47.149347872922121</v>
      </c>
      <c r="E174" s="385">
        <f t="shared" si="75"/>
        <v>48.40210572820763</v>
      </c>
      <c r="F174" s="385">
        <f t="shared" si="51"/>
        <v>48.402425695472829</v>
      </c>
      <c r="G174" s="110">
        <f t="shared" si="76"/>
        <v>0.75363753625239194</v>
      </c>
      <c r="H174" s="414" t="b">
        <f>Wh_hp&gt;='2024'!Maxi_hp</f>
        <v>0</v>
      </c>
      <c r="I174" s="390">
        <f>IF(H174,Wh_hp,'2024'!Maxi_hp)</f>
        <v>60.786891370501721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5.660708304074602E-2</v>
      </c>
      <c r="M174" s="844"/>
      <c r="N174" s="844"/>
      <c r="O174" s="48">
        <f>IF(t&lt;Tnet,'2024'!Resal+('2024'!Salim-'2024'!Resal)*(1-EXP(('2024'!Tnet-t)/('2024'!Tau_j))),Resal+(Salim-Resal)*(1-EXP((Tnet-t)/(Tau_j))))*Salcycl</f>
        <v>2.5882300706504806E-2</v>
      </c>
      <c r="P174" s="169">
        <f>(INDEX(Models!$BJ174:$BT174,,T174)*(1-R174)+INDEX(Models!$BJ174:$BT174,,T174+1)*R174-ERP_i)*Q174*Ramure*Pc/MaxiM</f>
        <v>1.0200580537655683E-5</v>
      </c>
      <c r="Q174" s="305">
        <f t="shared" si="53"/>
        <v>0.7</v>
      </c>
      <c r="R174" s="177">
        <f t="shared" si="54"/>
        <v>0.57497121157154818</v>
      </c>
      <c r="S174" s="810">
        <f t="shared" si="55"/>
        <v>-2</v>
      </c>
      <c r="T174" s="176">
        <f t="shared" si="56"/>
        <v>4</v>
      </c>
      <c r="U174" s="251">
        <f t="shared" si="57"/>
        <v>-1.4250287884284518</v>
      </c>
      <c r="V174" s="383">
        <f t="shared" si="58"/>
        <v>59.020681689237868</v>
      </c>
      <c r="W174" s="402">
        <f t="shared" si="59"/>
        <v>44.480360822562595</v>
      </c>
      <c r="X174" s="157">
        <f t="shared" si="60"/>
        <v>45817</v>
      </c>
      <c r="Y174" s="385">
        <f t="shared" si="61"/>
        <v>40.425484339016954</v>
      </c>
      <c r="Z174" s="385">
        <f t="shared" si="62"/>
        <v>42.851163722234062</v>
      </c>
      <c r="AA174" s="386">
        <f t="shared" si="63"/>
        <v>48.394338188833878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0.11454179712036647</v>
      </c>
      <c r="AD174" s="231">
        <f>(INDEX(Models!$BJ174:$BT174,,AH174)*(1-AF174)+INDEX(Models!$BJ174:$BT174,,AH174+1)*AF174-ERP_i)*AE174*Ramure*Pc/MaxiM</f>
        <v>2.5783032138609451E-4</v>
      </c>
      <c r="AE174" s="305">
        <f t="shared" si="65"/>
        <v>0.7</v>
      </c>
      <c r="AF174" s="177">
        <f t="shared" si="66"/>
        <v>0.39496126467073189</v>
      </c>
      <c r="AG174" s="810">
        <f t="shared" si="74"/>
        <v>1</v>
      </c>
      <c r="AH174" s="176">
        <f t="shared" si="67"/>
        <v>7</v>
      </c>
      <c r="AI174" s="225">
        <f t="shared" si="68"/>
        <v>1.3949612646707319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57.733762478953516</v>
      </c>
      <c r="C175" s="840"/>
      <c r="D175" s="393">
        <f t="shared" si="50"/>
        <v>61.19942711177967</v>
      </c>
      <c r="E175" s="385">
        <f t="shared" si="75"/>
        <v>62.837852092305475</v>
      </c>
      <c r="F175" s="385">
        <f t="shared" si="51"/>
        <v>62.838496647956177</v>
      </c>
      <c r="G175" s="110">
        <f t="shared" si="76"/>
        <v>0.97858752709452645</v>
      </c>
      <c r="H175" s="414" t="b">
        <f>Wh_hp&gt;='2024'!Maxi_hp</f>
        <v>1</v>
      </c>
      <c r="I175" s="390">
        <f>IF(H175,Wh_hp,'2024'!Maxi_hp)</f>
        <v>62.838496647956177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5.6629037172131969E-2</v>
      </c>
      <c r="M175" s="844"/>
      <c r="N175" s="844"/>
      <c r="O175" s="48">
        <f>IF(t&lt;Tnet,'2024'!Resal+('2024'!Salim-'2024'!Resal)*(1-EXP(('2024'!Tnet-t)/('2024'!Tau_j))),Resal+(Salim-Resal)*(1-EXP((Tnet-t)/(Tau_j))))*Salcycl</f>
        <v>2.6073853990410886E-2</v>
      </c>
      <c r="P175" s="169">
        <f>(INDEX(Models!$BJ175:$BT175,,T175)*(1-R175)+INDEX(Models!$BJ175:$BT175,,T175+1)*R175-ERP_i)*Q175*Ramure*Pc/MaxiM</f>
        <v>1.0580997171396178E-5</v>
      </c>
      <c r="Q175" s="305">
        <f t="shared" si="53"/>
        <v>0.7</v>
      </c>
      <c r="R175" s="177">
        <f t="shared" si="54"/>
        <v>0.57908730462035729</v>
      </c>
      <c r="S175" s="810">
        <f t="shared" si="55"/>
        <v>-2</v>
      </c>
      <c r="T175" s="176">
        <f t="shared" si="56"/>
        <v>4</v>
      </c>
      <c r="U175" s="251">
        <f t="shared" si="57"/>
        <v>-1.4209126953796427</v>
      </c>
      <c r="V175" s="383">
        <f t="shared" si="58"/>
        <v>58.997015794866627</v>
      </c>
      <c r="W175" s="402">
        <f t="shared" si="59"/>
        <v>57.733762478953516</v>
      </c>
      <c r="X175" s="157">
        <f t="shared" si="60"/>
        <v>45818</v>
      </c>
      <c r="Y175" s="385">
        <f t="shared" si="61"/>
        <v>52.468045643275673</v>
      </c>
      <c r="Z175" s="385">
        <f t="shared" si="62"/>
        <v>55.617617788442828</v>
      </c>
      <c r="AA175" s="386">
        <f t="shared" si="63"/>
        <v>62.822651286156145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0.11468846586710441</v>
      </c>
      <c r="AD175" s="231">
        <f>(INDEX(Models!$BJ175:$BT175,,AH175)*(1-AF175)+INDEX(Models!$BJ175:$BT175,,AH175+1)*AF175-ERP_i)*AE175*Ramure*Pc/MaxiM</f>
        <v>2.6011676137360816E-4</v>
      </c>
      <c r="AE175" s="305">
        <f t="shared" si="65"/>
        <v>0.7</v>
      </c>
      <c r="AF175" s="177">
        <f t="shared" si="66"/>
        <v>0.399077357719541</v>
      </c>
      <c r="AG175" s="810">
        <f t="shared" si="74"/>
        <v>1</v>
      </c>
      <c r="AH175" s="176">
        <f t="shared" si="67"/>
        <v>7</v>
      </c>
      <c r="AI175" s="225">
        <f t="shared" si="68"/>
        <v>1.399077357719541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55.540422304761904</v>
      </c>
      <c r="C176" s="840"/>
      <c r="D176" s="393">
        <f t="shared" si="50"/>
        <v>58.875794390697074</v>
      </c>
      <c r="E176" s="385">
        <f t="shared" si="75"/>
        <v>60.463883524264382</v>
      </c>
      <c r="F176" s="385">
        <f t="shared" si="51"/>
        <v>60.464491335230008</v>
      </c>
      <c r="G176" s="110">
        <f t="shared" si="76"/>
        <v>0.94181450678474865</v>
      </c>
      <c r="H176" s="414" t="b">
        <f>Wh_hp&gt;='2024'!Maxi_hp</f>
        <v>1</v>
      </c>
      <c r="I176" s="390">
        <f>IF(H176,Wh_hp,'2024'!Maxi_hp)</f>
        <v>60.464491335230008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5.6650990792613265E-2</v>
      </c>
      <c r="M176" s="844"/>
      <c r="N176" s="844"/>
      <c r="O176" s="48">
        <f>IF(t&lt;Tnet,'2024'!Resal+('2024'!Salim-'2024'!Resal)*(1-EXP(('2024'!Tnet-t)/('2024'!Tau_j))),Resal+(Salim-Resal)*(1-EXP((Tnet-t)/(Tau_j))))*Salcycl</f>
        <v>2.6265086544267447E-2</v>
      </c>
      <c r="P176" s="169">
        <f>(INDEX(Models!$BJ176:$BT176,,T176)*(1-R176)+INDEX(Models!$BJ176:$BT176,,T176+1)*R176-ERP_i)*Q176*Ramure*Pc/MaxiM</f>
        <v>1.0963672584608333E-5</v>
      </c>
      <c r="Q176" s="305">
        <f t="shared" si="53"/>
        <v>0.7</v>
      </c>
      <c r="R176" s="177">
        <f t="shared" si="54"/>
        <v>0.58320339766916662</v>
      </c>
      <c r="S176" s="810">
        <f t="shared" si="55"/>
        <v>-2</v>
      </c>
      <c r="T176" s="176">
        <f t="shared" si="56"/>
        <v>4</v>
      </c>
      <c r="U176" s="251">
        <f t="shared" si="57"/>
        <v>-1.4167966023308334</v>
      </c>
      <c r="V176" s="383">
        <f t="shared" si="58"/>
        <v>58.971667233388487</v>
      </c>
      <c r="W176" s="402">
        <f t="shared" si="59"/>
        <v>55.540422304761904</v>
      </c>
      <c r="X176" s="157">
        <f t="shared" si="60"/>
        <v>45819</v>
      </c>
      <c r="Y176" s="385">
        <f t="shared" si="61"/>
        <v>50.476954913389946</v>
      </c>
      <c r="Z176" s="385">
        <f t="shared" si="62"/>
        <v>53.508250308972386</v>
      </c>
      <c r="AA176" s="386">
        <f t="shared" si="63"/>
        <v>60.449938961439557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0.11483367513233064</v>
      </c>
      <c r="AD176" s="231">
        <f>(INDEX(Models!$BJ176:$BT176,,AH176)*(1-AF176)+INDEX(Models!$BJ176:$BT176,,AH176+1)*AF176-ERP_i)*AE176*Ramure*Pc/MaxiM</f>
        <v>2.6249520095813264E-4</v>
      </c>
      <c r="AE176" s="305">
        <f t="shared" si="65"/>
        <v>0.7</v>
      </c>
      <c r="AF176" s="177">
        <f t="shared" si="66"/>
        <v>0.40319345076835034</v>
      </c>
      <c r="AG176" s="810">
        <f t="shared" si="74"/>
        <v>1</v>
      </c>
      <c r="AH176" s="176">
        <f t="shared" si="67"/>
        <v>7</v>
      </c>
      <c r="AI176" s="225">
        <f t="shared" si="68"/>
        <v>1.4031934507683503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43.200450932295212</v>
      </c>
      <c r="C177" s="840"/>
      <c r="D177" s="393">
        <f t="shared" si="50"/>
        <v>45.795835763472958</v>
      </c>
      <c r="E177" s="385">
        <f t="shared" si="75"/>
        <v>47.0403337081896</v>
      </c>
      <c r="F177" s="385">
        <f t="shared" si="51"/>
        <v>47.040663846066323</v>
      </c>
      <c r="G177" s="110">
        <f t="shared" si="76"/>
        <v>0.73290388323949085</v>
      </c>
      <c r="H177" s="414" t="b">
        <f>Wh_hp&gt;='2024'!Maxi_hp</f>
        <v>0</v>
      </c>
      <c r="I177" s="390">
        <f>IF(H177,Wh_hp,'2024'!Maxi_hp)</f>
        <v>55.539743241792053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5.6672943902201678E-2</v>
      </c>
      <c r="M177" s="844"/>
      <c r="N177" s="844"/>
      <c r="O177" s="48">
        <f>IF(t&lt;Tnet,'2024'!Resal+('2024'!Salim-'2024'!Resal)*(1-EXP(('2024'!Tnet-t)/('2024'!Tau_j))),Resal+(Salim-Resal)*(1-EXP((Tnet-t)/(Tau_j))))*Salcycl</f>
        <v>2.6455976108434337E-2</v>
      </c>
      <c r="P177" s="169">
        <f>(INDEX(Models!$BJ177:$BT177,,T177)*(1-R177)+INDEX(Models!$BJ177:$BT177,,T177+1)*R177-ERP_i)*Q177*Ramure*Pc/MaxiM</f>
        <v>1.1348155721016784E-5</v>
      </c>
      <c r="Q177" s="305">
        <f t="shared" si="53"/>
        <v>0.7</v>
      </c>
      <c r="R177" s="177">
        <f t="shared" si="54"/>
        <v>0.58731601738461126</v>
      </c>
      <c r="S177" s="810">
        <f t="shared" si="55"/>
        <v>-2</v>
      </c>
      <c r="T177" s="176">
        <f t="shared" si="56"/>
        <v>4</v>
      </c>
      <c r="U177" s="251">
        <f t="shared" si="57"/>
        <v>-1.4126839826153887</v>
      </c>
      <c r="V177" s="383">
        <f t="shared" si="58"/>
        <v>58.943969134563162</v>
      </c>
      <c r="W177" s="402">
        <f t="shared" si="59"/>
        <v>43.200450932295212</v>
      </c>
      <c r="X177" s="157">
        <f t="shared" si="60"/>
        <v>45820</v>
      </c>
      <c r="Y177" s="385">
        <f t="shared" si="61"/>
        <v>39.266206247962849</v>
      </c>
      <c r="Z177" s="385">
        <f t="shared" si="62"/>
        <v>41.625230607073746</v>
      </c>
      <c r="AA177" s="386">
        <f t="shared" si="63"/>
        <v>47.032955416417195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0.1149773549517546</v>
      </c>
      <c r="AD177" s="231">
        <f>(INDEX(Models!$BJ177:$BT177,,AH177)*(1-AF177)+INDEX(Models!$BJ177:$BT177,,AH177+1)*AF177-ERP_i)*AE177*Ramure*Pc/MaxiM</f>
        <v>2.649694754534618E-4</v>
      </c>
      <c r="AE177" s="305">
        <f t="shared" si="65"/>
        <v>0.7</v>
      </c>
      <c r="AF177" s="177">
        <f t="shared" si="66"/>
        <v>0.40730607048379497</v>
      </c>
      <c r="AG177" s="810">
        <f t="shared" si="74"/>
        <v>1</v>
      </c>
      <c r="AH177" s="176">
        <f t="shared" si="67"/>
        <v>7</v>
      </c>
      <c r="AI177" s="225">
        <f t="shared" si="68"/>
        <v>1.407306070483795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54.730194033490044</v>
      </c>
      <c r="C178" s="840"/>
      <c r="D178" s="393">
        <f t="shared" si="50"/>
        <v>58.019609806492255</v>
      </c>
      <c r="E178" s="385">
        <f t="shared" si="75"/>
        <v>59.607953196031872</v>
      </c>
      <c r="F178" s="385">
        <f t="shared" si="51"/>
        <v>59.608581360079882</v>
      </c>
      <c r="G178" s="110">
        <f t="shared" si="76"/>
        <v>0.92899726498360669</v>
      </c>
      <c r="H178" s="414" t="b">
        <f>Wh_hp&gt;='2024'!Maxi_hp</f>
        <v>0</v>
      </c>
      <c r="I178" s="390">
        <f>IF(H178,Wh_hp,'2024'!Maxi_hp)</f>
        <v>65.896682461422955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5.6694896500909198E-2</v>
      </c>
      <c r="M178" s="844"/>
      <c r="N178" s="844"/>
      <c r="O178" s="48">
        <f>IF(t&lt;Tnet,'2024'!Resal+('2024'!Salim-'2024'!Resal)*(1-EXP(('2024'!Tnet-t)/('2024'!Tau_j))),Resal+(Salim-Resal)*(1-EXP((Tnet-t)/(Tau_j))))*Salcycl</f>
        <v>2.66465010854516E-2</v>
      </c>
      <c r="P178" s="169">
        <f>(INDEX(Models!$BJ178:$BT178,,T178)*(1-R178)+INDEX(Models!$BJ178:$BT178,,T178+1)*R178-ERP_i)*Q178*Ramure*Pc/MaxiM</f>
        <v>1.1727698987355555E-5</v>
      </c>
      <c r="Q178" s="305">
        <f t="shared" si="53"/>
        <v>0.7</v>
      </c>
      <c r="R178" s="177">
        <f t="shared" si="54"/>
        <v>0.59142170214722456</v>
      </c>
      <c r="S178" s="810">
        <f t="shared" si="55"/>
        <v>-2</v>
      </c>
      <c r="T178" s="176">
        <f t="shared" si="56"/>
        <v>4</v>
      </c>
      <c r="U178" s="251">
        <f t="shared" si="57"/>
        <v>-1.4085782978527754</v>
      </c>
      <c r="V178" s="383">
        <f t="shared" si="58"/>
        <v>58.913121697305876</v>
      </c>
      <c r="W178" s="402">
        <f t="shared" si="59"/>
        <v>54.730194033490044</v>
      </c>
      <c r="X178" s="157">
        <f t="shared" si="60"/>
        <v>45821</v>
      </c>
      <c r="Y178" s="385">
        <f t="shared" si="61"/>
        <v>49.744062114100139</v>
      </c>
      <c r="Z178" s="385">
        <f t="shared" si="62"/>
        <v>52.73379941397517</v>
      </c>
      <c r="AA178" s="386">
        <f t="shared" si="63"/>
        <v>59.594256877981394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0.11511943974824507</v>
      </c>
      <c r="AD178" s="231">
        <f>(INDEX(Models!$BJ178:$BT178,,AH178)*(1-AF178)+INDEX(Models!$BJ178:$BT178,,AH178+1)*AF178-ERP_i)*AE178*Ramure*Pc/MaxiM</f>
        <v>2.6743525792959538E-4</v>
      </c>
      <c r="AE178" s="305">
        <f t="shared" si="65"/>
        <v>0.7</v>
      </c>
      <c r="AF178" s="177">
        <f t="shared" si="66"/>
        <v>0.41141175524640827</v>
      </c>
      <c r="AG178" s="810">
        <f t="shared" si="74"/>
        <v>1</v>
      </c>
      <c r="AH178" s="176">
        <f t="shared" si="67"/>
        <v>7</v>
      </c>
      <c r="AI178" s="225">
        <f t="shared" si="68"/>
        <v>1.4114117552464083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47.308542986369083</v>
      </c>
      <c r="C179" s="840"/>
      <c r="D179" s="393">
        <f t="shared" si="50"/>
        <v>50.153066887276054</v>
      </c>
      <c r="E179" s="385">
        <f t="shared" si="75"/>
        <v>51.536123307956409</v>
      </c>
      <c r="F179" s="385">
        <f t="shared" si="51"/>
        <v>51.536572026354705</v>
      </c>
      <c r="G179" s="110">
        <f t="shared" si="76"/>
        <v>0.80348169402372793</v>
      </c>
      <c r="H179" s="414" t="b">
        <f>Wh_hp&gt;='2024'!Maxi_hp</f>
        <v>0</v>
      </c>
      <c r="I179" s="390">
        <f>IF(H179,Wh_hp,'2024'!Maxi_hp)</f>
        <v>55.28412997128946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5.6716848588747704E-2</v>
      </c>
      <c r="M179" s="844"/>
      <c r="N179" s="844"/>
      <c r="O179" s="48">
        <f>IF(t&lt;Tnet,'2024'!Resal+('2024'!Salim-'2024'!Resal)*(1-EXP(('2024'!Tnet-t)/('2024'!Tau_j))),Resal+(Salim-Resal)*(1-EXP((Tnet-t)/(Tau_j))))*Salcycl</f>
        <v>2.6836640630026481E-2</v>
      </c>
      <c r="P179" s="169">
        <f>(INDEX(Models!$BJ179:$BT179,,T179)*(1-R179)+INDEX(Models!$BJ179:$BT179,,T179+1)*R179-ERP_i)*Q179*Ramure*Pc/MaxiM</f>
        <v>1.2105154834908404E-5</v>
      </c>
      <c r="Q179" s="305">
        <f t="shared" si="53"/>
        <v>0.7</v>
      </c>
      <c r="R179" s="177">
        <f t="shared" si="54"/>
        <v>0.59551701368148535</v>
      </c>
      <c r="S179" s="810">
        <f t="shared" si="55"/>
        <v>-2</v>
      </c>
      <c r="T179" s="176">
        <f t="shared" si="56"/>
        <v>4</v>
      </c>
      <c r="U179" s="251">
        <f t="shared" si="57"/>
        <v>-1.4044829863185146</v>
      </c>
      <c r="V179" s="383">
        <f t="shared" si="58"/>
        <v>58.879228444684379</v>
      </c>
      <c r="W179" s="402">
        <f t="shared" si="59"/>
        <v>47.308542986369083</v>
      </c>
      <c r="X179" s="157">
        <f t="shared" si="60"/>
        <v>45822</v>
      </c>
      <c r="Y179" s="385">
        <f t="shared" si="61"/>
        <v>43.002036536116393</v>
      </c>
      <c r="Z179" s="385">
        <f t="shared" si="62"/>
        <v>45.587622838148604</v>
      </c>
      <c r="AA179" s="386">
        <f t="shared" si="63"/>
        <v>51.526568332538588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0.11525986858006199</v>
      </c>
      <c r="AD179" s="231">
        <f>(INDEX(Models!$BJ179:$BT179,,AH179)*(1-AF179)+INDEX(Models!$BJ179:$BT179,,AH179+1)*AF179-ERP_i)*AE179*Ramure*Pc/MaxiM</f>
        <v>2.6987140046967135E-4</v>
      </c>
      <c r="AE179" s="305">
        <f t="shared" si="65"/>
        <v>0.7</v>
      </c>
      <c r="AF179" s="177">
        <f t="shared" si="66"/>
        <v>0.41550706678066907</v>
      </c>
      <c r="AG179" s="810">
        <f t="shared" si="74"/>
        <v>1</v>
      </c>
      <c r="AH179" s="176">
        <f t="shared" si="67"/>
        <v>7</v>
      </c>
      <c r="AI179" s="225">
        <f t="shared" si="68"/>
        <v>1.4155070667806691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54.850200446161175</v>
      </c>
      <c r="C180" s="840"/>
      <c r="D180" s="393">
        <f t="shared" si="50"/>
        <v>58.149535309835962</v>
      </c>
      <c r="E180" s="385">
        <f t="shared" si="75"/>
        <v>59.764760112603433</v>
      </c>
      <c r="F180" s="385">
        <f t="shared" si="51"/>
        <v>59.765433679156097</v>
      </c>
      <c r="G180" s="110">
        <f t="shared" si="76"/>
        <v>0.93215335637672136</v>
      </c>
      <c r="H180" s="414" t="b">
        <f>Wh_hp&gt;='2024'!Maxi_hp</f>
        <v>1</v>
      </c>
      <c r="I180" s="390">
        <f>IF(H180,Wh_hp,'2024'!Maxi_hp)</f>
        <v>59.765433679156097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5.6738800165729075E-2</v>
      </c>
      <c r="M180" s="844"/>
      <c r="N180" s="844"/>
      <c r="O180" s="48">
        <f>IF(t&lt;Tnet,'2024'!Resal+('2024'!Salim-'2024'!Resal)*(1-EXP(('2024'!Tnet-t)/('2024'!Tau_j))),Resal+(Salim-Resal)*(1-EXP((Tnet-t)/(Tau_j))))*Salcycl</f>
        <v>2.7026374735282254E-2</v>
      </c>
      <c r="P180" s="169">
        <f>(INDEX(Models!$BJ180:$BT180,,T180)*(1-R180)+INDEX(Models!$BJ180:$BT180,,T180+1)*R180-ERP_i)*Q180*Ramure*Pc/MaxiM</f>
        <v>1.2479731891007618E-5</v>
      </c>
      <c r="Q180" s="305">
        <f t="shared" si="53"/>
        <v>0.7</v>
      </c>
      <c r="R180" s="177">
        <f t="shared" si="54"/>
        <v>0.59959854851919725</v>
      </c>
      <c r="S180" s="810">
        <f t="shared" si="55"/>
        <v>-2</v>
      </c>
      <c r="T180" s="176">
        <f t="shared" si="56"/>
        <v>4</v>
      </c>
      <c r="U180" s="251">
        <f t="shared" si="57"/>
        <v>-1.4004014514808028</v>
      </c>
      <c r="V180" s="383">
        <f t="shared" si="58"/>
        <v>58.842392966177087</v>
      </c>
      <c r="W180" s="402">
        <f t="shared" si="59"/>
        <v>54.850200446161175</v>
      </c>
      <c r="X180" s="157">
        <f t="shared" si="60"/>
        <v>45823</v>
      </c>
      <c r="Y180" s="385">
        <f t="shared" si="61"/>
        <v>49.856624856006881</v>
      </c>
      <c r="Z180" s="385">
        <f t="shared" si="62"/>
        <v>52.855587471176158</v>
      </c>
      <c r="AA180" s="386">
        <f t="shared" si="63"/>
        <v>59.750738125388146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0.11539858536546228</v>
      </c>
      <c r="AD180" s="231">
        <f>(INDEX(Models!$BJ180:$BT180,,AH180)*(1-AF180)+INDEX(Models!$BJ180:$BT180,,AH180+1)*AF180-ERP_i)*AE180*Ramure*Pc/MaxiM</f>
        <v>2.7227683781101821E-4</v>
      </c>
      <c r="AE180" s="305">
        <f t="shared" si="65"/>
        <v>0.7</v>
      </c>
      <c r="AF180" s="177">
        <f t="shared" si="66"/>
        <v>0.41958860161838096</v>
      </c>
      <c r="AG180" s="810">
        <f t="shared" si="74"/>
        <v>1</v>
      </c>
      <c r="AH180" s="176">
        <f t="shared" si="67"/>
        <v>7</v>
      </c>
      <c r="AI180" s="225">
        <f t="shared" si="68"/>
        <v>1.419588601618381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52.248816813321646</v>
      </c>
      <c r="C181" s="840"/>
      <c r="D181" s="393">
        <f t="shared" si="50"/>
        <v>55.392963006531275</v>
      </c>
      <c r="E181" s="385">
        <f t="shared" si="75"/>
        <v>56.942697485315087</v>
      </c>
      <c r="F181" s="385">
        <f t="shared" si="51"/>
        <v>56.943312730550538</v>
      </c>
      <c r="G181" s="110">
        <f t="shared" si="76"/>
        <v>0.88854241882637797</v>
      </c>
      <c r="H181" s="414" t="b">
        <f>Wh_hp&gt;='2024'!Maxi_hp</f>
        <v>0</v>
      </c>
      <c r="I181" s="390">
        <f>IF(H181,Wh_hp,'2024'!Maxi_hp)</f>
        <v>65.565674070131692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5.6760751231865081E-2</v>
      </c>
      <c r="M181" s="844"/>
      <c r="N181" s="844"/>
      <c r="O181" s="48">
        <f>IF(t&lt;Tnet,'2024'!Resal+('2024'!Salim-'2024'!Resal)*(1-EXP(('2024'!Tnet-t)/('2024'!Tau_j))),Resal+(Salim-Resal)*(1-EXP((Tnet-t)/(Tau_j))))*Salcycl</f>
        <v>2.721568431463002E-2</v>
      </c>
      <c r="P181" s="169">
        <f>(INDEX(Models!$BJ181:$BT181,,T181)*(1-R181)+INDEX(Models!$BJ181:$BT181,,T181+1)*R181-ERP_i)*Q181*Ramure*Pc/MaxiM</f>
        <v>1.2850631163678228E-5</v>
      </c>
      <c r="Q181" s="305">
        <f t="shared" si="53"/>
        <v>0.7</v>
      </c>
      <c r="R181" s="177">
        <f t="shared" si="54"/>
        <v>0.60366294921541486</v>
      </c>
      <c r="S181" s="810">
        <f t="shared" si="55"/>
        <v>-2</v>
      </c>
      <c r="T181" s="176">
        <f t="shared" si="56"/>
        <v>4</v>
      </c>
      <c r="U181" s="251">
        <f t="shared" si="57"/>
        <v>-1.3963370507845851</v>
      </c>
      <c r="V181" s="383">
        <f t="shared" si="58"/>
        <v>58.802718697841598</v>
      </c>
      <c r="W181" s="402">
        <f t="shared" si="59"/>
        <v>52.248816813321646</v>
      </c>
      <c r="X181" s="157">
        <f t="shared" si="60"/>
        <v>45824</v>
      </c>
      <c r="Y181" s="385">
        <f t="shared" si="61"/>
        <v>47.494648829352251</v>
      </c>
      <c r="Z181" s="385">
        <f t="shared" si="62"/>
        <v>50.352706263421496</v>
      </c>
      <c r="AA181" s="386">
        <f t="shared" si="63"/>
        <v>56.930163379497351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0.11553553908198752</v>
      </c>
      <c r="AD181" s="231">
        <f>(INDEX(Models!$BJ181:$BT181,,AH181)*(1-AF181)+INDEX(Models!$BJ181:$BT181,,AH181+1)*AF181-ERP_i)*AE181*Ramure*Pc/MaxiM</f>
        <v>2.7465057945951399E-4</v>
      </c>
      <c r="AE181" s="305">
        <f t="shared" si="65"/>
        <v>0.7</v>
      </c>
      <c r="AF181" s="177">
        <f t="shared" si="66"/>
        <v>0.42365300231459857</v>
      </c>
      <c r="AG181" s="810">
        <f t="shared" si="74"/>
        <v>1</v>
      </c>
      <c r="AH181" s="176">
        <f t="shared" si="67"/>
        <v>7</v>
      </c>
      <c r="AI181" s="225">
        <f t="shared" si="68"/>
        <v>1.4236530023145986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52.82789640122607</v>
      </c>
      <c r="C182" s="840"/>
      <c r="D182" s="393">
        <f t="shared" si="50"/>
        <v>56.008192917286515</v>
      </c>
      <c r="E182" s="385">
        <f t="shared" si="75"/>
        <v>57.586320181653392</v>
      </c>
      <c r="F182" s="385">
        <f t="shared" si="51"/>
        <v>57.586971535335572</v>
      </c>
      <c r="G182" s="110">
        <f t="shared" si="76"/>
        <v>0.89903876728152787</v>
      </c>
      <c r="H182" s="414" t="b">
        <f>Wh_hp&gt;='2024'!Maxi_hp</f>
        <v>0</v>
      </c>
      <c r="I182" s="390">
        <f>IF(H182,Wh_hp,'2024'!Maxi_hp)</f>
        <v>63.498775239752014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5.6782701787167822E-2</v>
      </c>
      <c r="M182" s="844"/>
      <c r="N182" s="844"/>
      <c r="O182" s="48">
        <f>IF(t&lt;Tnet,'2024'!Resal+('2024'!Salim-'2024'!Resal)*(1-EXP(('2024'!Tnet-t)/('2024'!Tau_j))),Resal+(Salim-Resal)*(1-EXP((Tnet-t)/(Tau_j))))*Salcycl</f>
        <v>2.7404551278649988E-2</v>
      </c>
      <c r="P182" s="169">
        <f>(INDEX(Models!$BJ182:$BT182,,T182)*(1-R182)+INDEX(Models!$BJ182:$BT182,,T182+1)*R182-ERP_i)*Q182*Ramure*Pc/MaxiM</f>
        <v>1.3217049035909485E-5</v>
      </c>
      <c r="Q182" s="305">
        <f t="shared" si="53"/>
        <v>0.7</v>
      </c>
      <c r="R182" s="177">
        <f t="shared" si="54"/>
        <v>0.60770691523914255</v>
      </c>
      <c r="S182" s="810">
        <f t="shared" si="55"/>
        <v>-2</v>
      </c>
      <c r="T182" s="176">
        <f t="shared" si="56"/>
        <v>4</v>
      </c>
      <c r="U182" s="251">
        <f t="shared" si="57"/>
        <v>-1.3922930847608574</v>
      </c>
      <c r="V182" s="383">
        <f t="shared" si="58"/>
        <v>58.760308919434927</v>
      </c>
      <c r="W182" s="402">
        <f t="shared" si="59"/>
        <v>52.82789640122607</v>
      </c>
      <c r="X182" s="157">
        <f t="shared" si="60"/>
        <v>45825</v>
      </c>
      <c r="Y182" s="385">
        <f t="shared" si="61"/>
        <v>48.02275386149649</v>
      </c>
      <c r="Z182" s="385">
        <f t="shared" si="62"/>
        <v>50.913775598144724</v>
      </c>
      <c r="AA182" s="386">
        <f t="shared" si="63"/>
        <v>57.573321016791994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0.11567068393891905</v>
      </c>
      <c r="AD182" s="231">
        <f>(INDEX(Models!$BJ182:$BT182,,AH182)*(1-AF182)+INDEX(Models!$BJ182:$BT182,,AH182+1)*AF182-ERP_i)*AE182*Ramure*Pc/MaxiM</f>
        <v>2.7699171416919533E-4</v>
      </c>
      <c r="AE182" s="305">
        <f t="shared" si="65"/>
        <v>0.7</v>
      </c>
      <c r="AF182" s="177">
        <f t="shared" si="66"/>
        <v>0.42769696833832627</v>
      </c>
      <c r="AG182" s="810">
        <f t="shared" si="74"/>
        <v>1</v>
      </c>
      <c r="AH182" s="176">
        <f t="shared" si="67"/>
        <v>7</v>
      </c>
      <c r="AI182" s="225">
        <f t="shared" si="68"/>
        <v>1.4276969683383263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55.17406846049991</v>
      </c>
      <c r="C183" s="840"/>
      <c r="D183" s="393">
        <f t="shared" si="50"/>
        <v>58.496968382685331</v>
      </c>
      <c r="E183" s="385">
        <f t="shared" si="75"/>
        <v>60.156874531524167</v>
      </c>
      <c r="F183" s="385">
        <f t="shared" si="51"/>
        <v>60.157620985118584</v>
      </c>
      <c r="G183" s="110">
        <f t="shared" si="76"/>
        <v>0.93968752881450535</v>
      </c>
      <c r="H183" s="414" t="b">
        <f>Wh_hp&gt;='2024'!Maxi_hp</f>
        <v>0</v>
      </c>
      <c r="I183" s="390">
        <f>IF(H183,Wh_hp,'2024'!Maxi_hp)</f>
        <v>60.833252001548445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5.6804651831649067E-2</v>
      </c>
      <c r="M183" s="844"/>
      <c r="N183" s="844"/>
      <c r="O183" s="48">
        <f>IF(t&lt;Tnet,'2024'!Resal+('2024'!Salim-'2024'!Resal)*(1-EXP(('2024'!Tnet-t)/('2024'!Tau_j))),Resal+(Salim-Resal)*(1-EXP((Tnet-t)/(Tau_j))))*Salcycl</f>
        <v>2.7592958606401544E-2</v>
      </c>
      <c r="P183" s="169">
        <f>(INDEX(Models!$BJ183:$BT183,,T183)*(1-R183)+INDEX(Models!$BJ183:$BT183,,T183+1)*R183-ERP_i)*Q183*Ramure*Pc/MaxiM</f>
        <v>1.3578180269230557E-5</v>
      </c>
      <c r="Q183" s="305">
        <f t="shared" si="53"/>
        <v>0.7</v>
      </c>
      <c r="R183" s="177">
        <f t="shared" si="54"/>
        <v>0.61172721346496028</v>
      </c>
      <c r="S183" s="810">
        <f t="shared" si="55"/>
        <v>-2</v>
      </c>
      <c r="T183" s="176">
        <f t="shared" si="56"/>
        <v>4</v>
      </c>
      <c r="U183" s="251">
        <f t="shared" si="57"/>
        <v>-1.3882727865350397</v>
      </c>
      <c r="V183" s="383">
        <f t="shared" si="58"/>
        <v>58.715266746229169</v>
      </c>
      <c r="W183" s="402">
        <f t="shared" si="59"/>
        <v>55.17406846049991</v>
      </c>
      <c r="X183" s="157">
        <f t="shared" si="60"/>
        <v>45826</v>
      </c>
      <c r="Y183" s="385">
        <f t="shared" si="61"/>
        <v>50.156820453008741</v>
      </c>
      <c r="Z183" s="385">
        <f t="shared" si="62"/>
        <v>53.177552826581852</v>
      </c>
      <c r="AA183" s="386">
        <f t="shared" si="63"/>
        <v>60.142266641065234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0.11580397952158092</v>
      </c>
      <c r="AD183" s="231">
        <f>(INDEX(Models!$BJ183:$BT183,,AH183)*(1-AF183)+INDEX(Models!$BJ183:$BT183,,AH183+1)*AF183-ERP_i)*AE183*Ramure*Pc/MaxiM</f>
        <v>2.7929941396436197E-4</v>
      </c>
      <c r="AE183" s="305">
        <f t="shared" si="65"/>
        <v>0.7</v>
      </c>
      <c r="AF183" s="177">
        <f t="shared" si="66"/>
        <v>0.431717266564144</v>
      </c>
      <c r="AG183" s="810">
        <f t="shared" si="74"/>
        <v>1</v>
      </c>
      <c r="AH183" s="176">
        <f t="shared" si="67"/>
        <v>7</v>
      </c>
      <c r="AI183" s="225">
        <f t="shared" si="68"/>
        <v>1.431717266564144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56.539920602165537</v>
      </c>
      <c r="C184" s="840"/>
      <c r="D184" s="393">
        <f t="shared" si="50"/>
        <v>59.946475042671572</v>
      </c>
      <c r="E184" s="385">
        <f t="shared" si="75"/>
        <v>61.659428879144485</v>
      </c>
      <c r="F184" s="385">
        <f t="shared" si="51"/>
        <v>61.660243067382268</v>
      </c>
      <c r="G184" s="110">
        <f t="shared" si="76"/>
        <v>0.9637310494274397</v>
      </c>
      <c r="H184" s="414" t="b">
        <f>Wh_hp&gt;='2024'!Maxi_hp</f>
        <v>1</v>
      </c>
      <c r="I184" s="390">
        <f>IF(H184,Wh_hp,'2024'!Maxi_hp)</f>
        <v>61.660243067382268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5.6826601365320584E-2</v>
      </c>
      <c r="M184" s="844"/>
      <c r="N184" s="844"/>
      <c r="O184" s="48">
        <f>IF(t&lt;Tnet,'2024'!Resal+('2024'!Salim-'2024'!Resal)*(1-EXP(('2024'!Tnet-t)/('2024'!Tau_j))),Resal+(Salim-Resal)*(1-EXP((Tnet-t)/(Tau_j))))*Salcycl</f>
        <v>2.7780890410619676E-2</v>
      </c>
      <c r="P184" s="169">
        <f>(INDEX(Models!$BJ184:$BT184,,T184)*(1-R184)+INDEX(Models!$BJ184:$BT184,,T184+1)*R184-ERP_i)*Q184*Ramure*Pc/MaxiM</f>
        <v>1.392595675399332E-5</v>
      </c>
      <c r="Q184" s="305">
        <f t="shared" si="53"/>
        <v>0.7</v>
      </c>
      <c r="R184" s="177">
        <f t="shared" si="54"/>
        <v>0.61572068819649028</v>
      </c>
      <c r="S184" s="810">
        <f t="shared" si="55"/>
        <v>-2</v>
      </c>
      <c r="T184" s="176">
        <f t="shared" si="56"/>
        <v>4</v>
      </c>
      <c r="U184" s="251">
        <f t="shared" si="57"/>
        <v>-1.3842793118035097</v>
      </c>
      <c r="V184" s="383">
        <f t="shared" si="58"/>
        <v>58.667695556801974</v>
      </c>
      <c r="W184" s="402">
        <f t="shared" si="59"/>
        <v>56.539920602165537</v>
      </c>
      <c r="X184" s="157">
        <f t="shared" si="60"/>
        <v>45827</v>
      </c>
      <c r="Y184" s="385">
        <f t="shared" si="61"/>
        <v>51.400206228223702</v>
      </c>
      <c r="Z184" s="385">
        <f t="shared" si="62"/>
        <v>54.497090675616704</v>
      </c>
      <c r="AA184" s="386">
        <f t="shared" si="63"/>
        <v>61.643787247053439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0.1159353909063779</v>
      </c>
      <c r="AD184" s="231">
        <f>(INDEX(Models!$BJ184:$BT184,,AH184)*(1-AF184)+INDEX(Models!$BJ184:$BT184,,AH184+1)*AF184-ERP_i)*AE184*Ramure*Pc/MaxiM</f>
        <v>2.8146199074955314E-4</v>
      </c>
      <c r="AE184" s="305">
        <f t="shared" si="65"/>
        <v>0.7</v>
      </c>
      <c r="AF184" s="177">
        <f t="shared" si="66"/>
        <v>0.435710741295674</v>
      </c>
      <c r="AG184" s="810">
        <f t="shared" si="74"/>
        <v>1</v>
      </c>
      <c r="AH184" s="176">
        <f t="shared" si="67"/>
        <v>7</v>
      </c>
      <c r="AI184" s="225">
        <f t="shared" si="68"/>
        <v>1.435710741295674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33.37933802266538</v>
      </c>
      <c r="C185" s="840"/>
      <c r="D185" s="393">
        <f t="shared" si="50"/>
        <v>35.391281046542503</v>
      </c>
      <c r="E185" s="385">
        <f t="shared" si="75"/>
        <v>36.409596735903577</v>
      </c>
      <c r="F185" s="385">
        <f t="shared" si="51"/>
        <v>36.409796585566042</v>
      </c>
      <c r="G185" s="110">
        <f t="shared" si="76"/>
        <v>0.56943630210711293</v>
      </c>
      <c r="H185" s="414" t="b">
        <f>Wh_hp&gt;='2024'!Maxi_hp</f>
        <v>0</v>
      </c>
      <c r="I185" s="390">
        <f>IF(H185,Wh_hp,'2024'!Maxi_hp)</f>
        <v>56.819376844927362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5.6848550388194474E-2</v>
      </c>
      <c r="M185" s="844"/>
      <c r="N185" s="844"/>
      <c r="O185" s="48">
        <f>IF(t&lt;Tnet,'2024'!Resal+('2024'!Salim-'2024'!Resal)*(1-EXP(('2024'!Tnet-t)/('2024'!Tau_j))),Resal+(Salim-Resal)*(1-EXP((Tnet-t)/(Tau_j))))*Salcycl</f>
        <v>2.7968331996297797E-2</v>
      </c>
      <c r="P185" s="169">
        <f>(INDEX(Models!$BJ185:$BT185,,T185)*(1-R185)+INDEX(Models!$BJ185:$BT185,,T185+1)*R185-ERP_i)*Q185*Ramure*Pc/MaxiM</f>
        <v>1.4259984272382614E-5</v>
      </c>
      <c r="Q185" s="305">
        <f t="shared" si="53"/>
        <v>0.7</v>
      </c>
      <c r="R185" s="177">
        <f t="shared" si="54"/>
        <v>0.61968427065815601</v>
      </c>
      <c r="S185" s="810">
        <f t="shared" si="55"/>
        <v>-2</v>
      </c>
      <c r="T185" s="176">
        <f t="shared" si="56"/>
        <v>4</v>
      </c>
      <c r="U185" s="251">
        <f t="shared" si="57"/>
        <v>-1.380315729341844</v>
      </c>
      <c r="V185" s="383">
        <f t="shared" si="58"/>
        <v>58.617698106870463</v>
      </c>
      <c r="W185" s="402">
        <f t="shared" si="59"/>
        <v>33.37933802266538</v>
      </c>
      <c r="X185" s="157">
        <f t="shared" si="60"/>
        <v>45828</v>
      </c>
      <c r="Y185" s="385">
        <f t="shared" si="61"/>
        <v>30.350978562095818</v>
      </c>
      <c r="Z185" s="385">
        <f t="shared" si="62"/>
        <v>32.180386908791867</v>
      </c>
      <c r="AA185" s="386">
        <f t="shared" si="63"/>
        <v>36.405824928853768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0.11606488874567406</v>
      </c>
      <c r="AD185" s="231">
        <f>(INDEX(Models!$BJ185:$BT185,,AH185)*(1-AF185)+INDEX(Models!$BJ185:$BT185,,AH185+1)*AF185-ERP_i)*AE185*Ramure*Pc/MaxiM</f>
        <v>2.8339183340393497E-4</v>
      </c>
      <c r="AE185" s="305">
        <f t="shared" si="65"/>
        <v>0.7</v>
      </c>
      <c r="AF185" s="177">
        <f t="shared" si="66"/>
        <v>0.43967432375733972</v>
      </c>
      <c r="AG185" s="810">
        <f t="shared" si="74"/>
        <v>1</v>
      </c>
      <c r="AH185" s="176">
        <f t="shared" si="67"/>
        <v>7</v>
      </c>
      <c r="AI185" s="225">
        <f t="shared" si="68"/>
        <v>1.4396743237573397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23.33160073581664</v>
      </c>
      <c r="C186" s="840"/>
      <c r="D186" s="393">
        <f t="shared" si="50"/>
        <v>24.73849106470669</v>
      </c>
      <c r="E186" s="385">
        <f t="shared" si="75"/>
        <v>25.455188775342641</v>
      </c>
      <c r="F186" s="385">
        <f t="shared" si="51"/>
        <v>25.45524093565669</v>
      </c>
      <c r="G186" s="110">
        <f t="shared" si="76"/>
        <v>0.39838057184423081</v>
      </c>
      <c r="H186" s="414" t="b">
        <f>Wh_hp&gt;='2024'!Maxi_hp</f>
        <v>0</v>
      </c>
      <c r="I186" s="390">
        <f>IF(H186,Wh_hp,'2024'!Maxi_hp)</f>
        <v>51.722405668054598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5.6870498900282507E-2</v>
      </c>
      <c r="M186" s="844"/>
      <c r="N186" s="844"/>
      <c r="O186" s="48">
        <f>IF(t&lt;Tnet,'2024'!Resal+('2024'!Salim-'2024'!Resal)*(1-EXP(('2024'!Tnet-t)/('2024'!Tau_j))),Resal+(Salim-Resal)*(1-EXP((Tnet-t)/(Tau_j))))*Salcycl</f>
        <v>2.8155269912206914E-2</v>
      </c>
      <c r="P186" s="169">
        <f>(INDEX(Models!$BJ186:$BT186,,T186)*(1-R186)+INDEX(Models!$BJ186:$BT186,,T186+1)*R186-ERP_i)*Q186*Ramure*Pc/MaxiM</f>
        <v>1.4579064174930968E-5</v>
      </c>
      <c r="Q186" s="305">
        <f t="shared" si="53"/>
        <v>0.7</v>
      </c>
      <c r="R186" s="177">
        <f t="shared" si="54"/>
        <v>0.62361498789785741</v>
      </c>
      <c r="S186" s="810">
        <f t="shared" si="55"/>
        <v>-2</v>
      </c>
      <c r="T186" s="176">
        <f t="shared" si="56"/>
        <v>4</v>
      </c>
      <c r="U186" s="251">
        <f t="shared" si="57"/>
        <v>-1.3763850121021426</v>
      </c>
      <c r="V186" s="383">
        <f t="shared" si="58"/>
        <v>58.565377028979313</v>
      </c>
      <c r="W186" s="402">
        <f t="shared" si="59"/>
        <v>23.33160073581664</v>
      </c>
      <c r="X186" s="157">
        <f t="shared" si="60"/>
        <v>45829</v>
      </c>
      <c r="Y186" s="385">
        <f t="shared" si="61"/>
        <v>21.217237962975414</v>
      </c>
      <c r="Z186" s="385">
        <f t="shared" si="62"/>
        <v>22.496632687489335</v>
      </c>
      <c r="AA186" s="386">
        <f t="shared" si="63"/>
        <v>25.454220967254127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0.11619244932184786</v>
      </c>
      <c r="AD186" s="231">
        <f>(INDEX(Models!$BJ186:$BT186,,AH186)*(1-AF186)+INDEX(Models!$BJ186:$BT186,,AH186+1)*AF186-ERP_i)*AE186*Ramure*Pc/MaxiM</f>
        <v>2.8508618226340818E-4</v>
      </c>
      <c r="AE186" s="305">
        <f t="shared" si="65"/>
        <v>0.7</v>
      </c>
      <c r="AF186" s="177">
        <f t="shared" si="66"/>
        <v>0.44360504099704112</v>
      </c>
      <c r="AG186" s="810">
        <f t="shared" si="74"/>
        <v>1</v>
      </c>
      <c r="AH186" s="176">
        <f t="shared" si="67"/>
        <v>7</v>
      </c>
      <c r="AI186" s="225">
        <f t="shared" si="68"/>
        <v>1.4436050409970411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43.885643921099039</v>
      </c>
      <c r="C187" s="840"/>
      <c r="D187" s="393">
        <f t="shared" si="50"/>
        <v>46.533021368475922</v>
      </c>
      <c r="E187" s="385">
        <f t="shared" si="75"/>
        <v>47.890313894413005</v>
      </c>
      <c r="F187" s="385">
        <f t="shared" si="51"/>
        <v>47.890772109632785</v>
      </c>
      <c r="G187" s="110">
        <f t="shared" si="76"/>
        <v>0.7500390461489066</v>
      </c>
      <c r="H187" s="414" t="b">
        <f>Wh_hp&gt;='2024'!Maxi_hp</f>
        <v>0</v>
      </c>
      <c r="I187" s="390">
        <f>IF(H187,Wh_hp,'2024'!Maxi_hp)</f>
        <v>65.775267938024328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5.6892446901596672E-2</v>
      </c>
      <c r="M187" s="844"/>
      <c r="N187" s="844"/>
      <c r="O187" s="48">
        <f>IF(t&lt;Tnet,'2024'!Resal+('2024'!Salim-'2024'!Resal)*(1-EXP(('2024'!Tnet-t)/('2024'!Tau_j))),Resal+(Salim-Resal)*(1-EXP((Tnet-t)/(Tau_j))))*Salcycl</f>
        <v>2.8341691994953195E-2</v>
      </c>
      <c r="P187" s="169">
        <f>(INDEX(Models!$BJ187:$BT187,,T187)*(1-R187)+INDEX(Models!$BJ187:$BT187,,T187+1)*R187-ERP_i)*Q187*Ramure*Pc/MaxiM</f>
        <v>1.4882012655345868E-5</v>
      </c>
      <c r="Q187" s="305">
        <f t="shared" si="53"/>
        <v>0.7</v>
      </c>
      <c r="R187" s="177">
        <f t="shared" si="54"/>
        <v>0.62750997104992745</v>
      </c>
      <c r="S187" s="810">
        <f t="shared" si="55"/>
        <v>-2</v>
      </c>
      <c r="T187" s="176">
        <f t="shared" si="56"/>
        <v>4</v>
      </c>
      <c r="U187" s="251">
        <f t="shared" si="57"/>
        <v>-1.3724900289500725</v>
      </c>
      <c r="V187" s="383">
        <f t="shared" si="58"/>
        <v>58.510834778471626</v>
      </c>
      <c r="W187" s="402">
        <f t="shared" si="59"/>
        <v>43.885643921099039</v>
      </c>
      <c r="X187" s="157">
        <f t="shared" si="60"/>
        <v>45830</v>
      </c>
      <c r="Y187" s="385">
        <f t="shared" si="61"/>
        <v>39.905157506811797</v>
      </c>
      <c r="Z187" s="385">
        <f t="shared" si="62"/>
        <v>42.312414290089045</v>
      </c>
      <c r="AA187" s="386">
        <f t="shared" si="63"/>
        <v>47.881949505604425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0.11631805457009392</v>
      </c>
      <c r="AD187" s="231">
        <f>(INDEX(Models!$BJ187:$BT187,,AH187)*(1-AF187)+INDEX(Models!$BJ187:$BT187,,AH187+1)*AF187-ERP_i)*AE187*Ramure*Pc/MaxiM</f>
        <v>2.8654243494235951E-4</v>
      </c>
      <c r="AE187" s="305">
        <f t="shared" si="65"/>
        <v>0.7</v>
      </c>
      <c r="AF187" s="177">
        <f t="shared" si="66"/>
        <v>0.44750002414911116</v>
      </c>
      <c r="AG187" s="810">
        <f t="shared" si="74"/>
        <v>1</v>
      </c>
      <c r="AH187" s="176">
        <f t="shared" si="67"/>
        <v>7</v>
      </c>
      <c r="AI187" s="225">
        <f t="shared" si="68"/>
        <v>1.4475000241491112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41.746666132142401</v>
      </c>
      <c r="C188" s="840"/>
      <c r="D188" s="393">
        <f t="shared" si="50"/>
        <v>44.266041050679839</v>
      </c>
      <c r="E188" s="385">
        <f t="shared" si="75"/>
        <v>45.565927016338961</v>
      </c>
      <c r="F188" s="385">
        <f t="shared" si="51"/>
        <v>45.566335944510733</v>
      </c>
      <c r="G188" s="110">
        <f t="shared" si="76"/>
        <v>0.71417325716190339</v>
      </c>
      <c r="H188" s="414" t="b">
        <f>Wh_hp&gt;='2024'!Maxi_hp</f>
        <v>0</v>
      </c>
      <c r="I188" s="390">
        <f>IF(H188,Wh_hp,'2024'!Maxi_hp)</f>
        <v>56.866605968442144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5.6914394392148737E-2</v>
      </c>
      <c r="M188" s="844"/>
      <c r="N188" s="844"/>
      <c r="O188" s="48">
        <f>IF(t&lt;Tnet,'2024'!Resal+('2024'!Salim-'2024'!Resal)*(1-EXP(('2024'!Tnet-t)/('2024'!Tau_j))),Resal+(Salim-Resal)*(1-EXP((Tnet-t)/(Tau_j))))*Salcycl</f>
        <v>2.8527587405233926E-2</v>
      </c>
      <c r="P188" s="169">
        <f>(INDEX(Models!$BJ188:$BT188,,T188)*(1-R188)+INDEX(Models!$BJ188:$BT188,,T188+1)*R188-ERP_i)*Q188*Ramure*Pc/MaxiM</f>
        <v>1.5167509367445787E-5</v>
      </c>
      <c r="Q188" s="305">
        <f t="shared" si="53"/>
        <v>0.7</v>
      </c>
      <c r="R188" s="177">
        <f t="shared" si="54"/>
        <v>0.63136646291490495</v>
      </c>
      <c r="S188" s="810">
        <f t="shared" si="55"/>
        <v>-2</v>
      </c>
      <c r="T188" s="176">
        <f t="shared" si="56"/>
        <v>4</v>
      </c>
      <c r="U188" s="251">
        <f t="shared" si="57"/>
        <v>-1.3686335370850951</v>
      </c>
      <c r="V188" s="383">
        <f t="shared" si="58"/>
        <v>58.454173643935341</v>
      </c>
      <c r="W188" s="402">
        <f t="shared" si="59"/>
        <v>41.746666132142401</v>
      </c>
      <c r="X188" s="157">
        <f t="shared" si="60"/>
        <v>45831</v>
      </c>
      <c r="Y188" s="385">
        <f t="shared" si="61"/>
        <v>37.962647265184117</v>
      </c>
      <c r="Z188" s="385">
        <f t="shared" si="62"/>
        <v>40.253659942901876</v>
      </c>
      <c r="AA188" s="386">
        <f t="shared" si="63"/>
        <v>45.558577834210297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0.11644169206978443</v>
      </c>
      <c r="AD188" s="231">
        <f>(INDEX(Models!$BJ188:$BT188,,AH188)*(1-AF188)+INDEX(Models!$BJ188:$BT188,,AH188+1)*AF188-ERP_i)*AE188*Ramure*Pc/MaxiM</f>
        <v>2.8775520685446379E-4</v>
      </c>
      <c r="AE188" s="305">
        <f t="shared" si="65"/>
        <v>0.7</v>
      </c>
      <c r="AF188" s="177">
        <f t="shared" si="66"/>
        <v>0.45135651601408866</v>
      </c>
      <c r="AG188" s="810">
        <f t="shared" si="74"/>
        <v>1</v>
      </c>
      <c r="AH188" s="176">
        <f t="shared" si="67"/>
        <v>7</v>
      </c>
      <c r="AI188" s="225">
        <f t="shared" si="68"/>
        <v>1.4513565160140887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40.236869893555713</v>
      </c>
      <c r="C189" s="840"/>
      <c r="D189" s="393">
        <f t="shared" si="50"/>
        <v>42.666122827902761</v>
      </c>
      <c r="E189" s="385">
        <f t="shared" si="75"/>
        <v>43.927408154994026</v>
      </c>
      <c r="F189" s="385">
        <f t="shared" si="51"/>
        <v>43.927784964105726</v>
      </c>
      <c r="G189" s="110">
        <f t="shared" si="76"/>
        <v>0.68903591803518704</v>
      </c>
      <c r="H189" s="414" t="b">
        <f>Wh_hp&gt;='2024'!Maxi_hp</f>
        <v>0</v>
      </c>
      <c r="I189" s="390">
        <f>IF(H189,Wh_hp,'2024'!Maxi_hp)</f>
        <v>64.123502417734827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5.6936341371950583E-2</v>
      </c>
      <c r="M189" s="844"/>
      <c r="N189" s="844"/>
      <c r="O189" s="48">
        <f>IF(t&lt;Tnet,'2024'!Resal+('2024'!Salim-'2024'!Resal)*(1-EXP(('2024'!Tnet-t)/('2024'!Tau_j))),Resal+(Salim-Resal)*(1-EXP((Tnet-t)/(Tau_j))))*Salcycl</f>
        <v>2.8712946656013354E-2</v>
      </c>
      <c r="P189" s="169">
        <f>(INDEX(Models!$BJ189:$BT189,,T189)*(1-R189)+INDEX(Models!$BJ189:$BT189,,T189+1)*R189-ERP_i)*Q189*Ramure*Pc/MaxiM</f>
        <v>1.5434236747029605E-5</v>
      </c>
      <c r="Q189" s="305">
        <f t="shared" si="53"/>
        <v>0.7</v>
      </c>
      <c r="R189" s="177">
        <f t="shared" si="54"/>
        <v>0.63518182482013885</v>
      </c>
      <c r="S189" s="810">
        <f t="shared" si="55"/>
        <v>-2</v>
      </c>
      <c r="T189" s="176">
        <f t="shared" si="56"/>
        <v>4</v>
      </c>
      <c r="U189" s="251">
        <f t="shared" si="57"/>
        <v>-1.3648181751798611</v>
      </c>
      <c r="V189" s="383">
        <f t="shared" si="58"/>
        <v>58.395495737406279</v>
      </c>
      <c r="W189" s="402">
        <f t="shared" si="59"/>
        <v>40.236869893555713</v>
      </c>
      <c r="X189" s="157">
        <f t="shared" si="60"/>
        <v>45832</v>
      </c>
      <c r="Y189" s="385">
        <f t="shared" si="61"/>
        <v>36.591990175050654</v>
      </c>
      <c r="Z189" s="385">
        <f t="shared" si="62"/>
        <v>38.801187852243153</v>
      </c>
      <c r="AA189" s="386">
        <f t="shared" si="63"/>
        <v>43.920736220352843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0.11656335500444774</v>
      </c>
      <c r="AD189" s="231">
        <f>(INDEX(Models!$BJ189:$BT189,,AH189)*(1-AF189)+INDEX(Models!$BJ189:$BT189,,AH189+1)*AF189-ERP_i)*AE189*Ramure*Pc/MaxiM</f>
        <v>2.8871907943468355E-4</v>
      </c>
      <c r="AE189" s="305">
        <f t="shared" si="65"/>
        <v>0.7</v>
      </c>
      <c r="AF189" s="177">
        <f t="shared" si="66"/>
        <v>0.45517187791932257</v>
      </c>
      <c r="AG189" s="810">
        <f t="shared" si="74"/>
        <v>1</v>
      </c>
      <c r="AH189" s="176">
        <f t="shared" si="67"/>
        <v>7</v>
      </c>
      <c r="AI189" s="225">
        <f t="shared" si="68"/>
        <v>1.4551718779193226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33.137142857894446</v>
      </c>
      <c r="C190" s="840"/>
      <c r="D190" s="393">
        <f t="shared" si="50"/>
        <v>35.138575983060981</v>
      </c>
      <c r="E190" s="385">
        <f t="shared" si="75"/>
        <v>36.184218916154713</v>
      </c>
      <c r="F190" s="385">
        <f t="shared" si="51"/>
        <v>36.18443619364362</v>
      </c>
      <c r="G190" s="110">
        <f t="shared" si="76"/>
        <v>0.56804452423634588</v>
      </c>
      <c r="H190" s="414" t="b">
        <f>Wh_hp&gt;='2024'!Maxi_hp</f>
        <v>0</v>
      </c>
      <c r="I190" s="390">
        <f>IF(H190,Wh_hp,'2024'!Maxi_hp)</f>
        <v>60.228576007833119</v>
      </c>
      <c r="J190" s="85">
        <f>IF(H190,An,'2024'!An_max)</f>
        <v>2019</v>
      </c>
      <c r="K190" s="197">
        <f t="shared" si="52"/>
        <v>45833</v>
      </c>
      <c r="L190" s="147">
        <f>IF(t&lt;Tvie,1-EXP((T0-t)*PertePVj)+'2024'!Pspv,1-EXP((T0-t)*PertePVj)+Pspv)</f>
        <v>5.6958287841014199E-2</v>
      </c>
      <c r="M190" s="844"/>
      <c r="N190" s="844"/>
      <c r="O190" s="48">
        <f>IF(t&lt;Tnet,'2024'!Resal+('2024'!Salim-'2024'!Resal)*(1-EXP(('2024'!Tnet-t)/('2024'!Tau_j))),Resal+(Salim-Resal)*(1-EXP((Tnet-t)/(Tau_j))))*Salcycl</f>
        <v>2.8897761632403214E-2</v>
      </c>
      <c r="P190" s="169">
        <f>(INDEX(Models!$BJ190:$BT190,,T190)*(1-R190)+INDEX(Models!$BJ190:$BT190,,T190+1)*R190-ERP_i)*Q190*Ramure*Pc/MaxiM</f>
        <v>1.5681049218691254E-5</v>
      </c>
      <c r="Q190" s="305">
        <f t="shared" si="53"/>
        <v>0.7</v>
      </c>
      <c r="R190" s="177">
        <f t="shared" si="54"/>
        <v>0.6389535427329196</v>
      </c>
      <c r="S190" s="810">
        <f t="shared" si="55"/>
        <v>-2</v>
      </c>
      <c r="T190" s="176">
        <f t="shared" si="56"/>
        <v>4</v>
      </c>
      <c r="U190" s="251">
        <f t="shared" si="57"/>
        <v>-1.3610464572670804</v>
      </c>
      <c r="V190" s="383">
        <f t="shared" si="58"/>
        <v>58.334902980866573</v>
      </c>
      <c r="W190" s="402">
        <f t="shared" si="59"/>
        <v>33.137142857894446</v>
      </c>
      <c r="X190" s="157">
        <f t="shared" si="60"/>
        <v>45833</v>
      </c>
      <c r="Y190" s="385">
        <f t="shared" si="61"/>
        <v>30.138466065513857</v>
      </c>
      <c r="Z190" s="385">
        <f t="shared" si="62"/>
        <v>31.958783664526671</v>
      </c>
      <c r="AA190" s="386">
        <f t="shared" si="63"/>
        <v>36.1804258124602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0.11668304209066649</v>
      </c>
      <c r="AD190" s="231">
        <f>(INDEX(Models!$BJ190:$BT190,,AH190)*(1-AF190)+INDEX(Models!$BJ190:$BT190,,AH190+1)*AF190-ERP_i)*AE190*Ramure*Pc/MaxiM</f>
        <v>2.8943166197266835E-4</v>
      </c>
      <c r="AE190" s="305">
        <f t="shared" si="65"/>
        <v>0.7</v>
      </c>
      <c r="AF190" s="177">
        <f t="shared" si="66"/>
        <v>0.45894359583210331</v>
      </c>
      <c r="AG190" s="810">
        <f t="shared" si="74"/>
        <v>1</v>
      </c>
      <c r="AH190" s="176">
        <f t="shared" si="67"/>
        <v>7</v>
      </c>
      <c r="AI190" s="225">
        <f t="shared" si="68"/>
        <v>1.4589435958321033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12.518614740826662</v>
      </c>
      <c r="C191" s="840"/>
      <c r="D191" s="393">
        <f t="shared" si="50"/>
        <v>13.275028996754928</v>
      </c>
      <c r="E191" s="385">
        <f t="shared" si="75"/>
        <v>13.67265757439594</v>
      </c>
      <c r="F191" s="385">
        <f t="shared" si="51"/>
        <v>13.67265757439594</v>
      </c>
      <c r="G191" s="110">
        <f t="shared" si="76"/>
        <v>0.2148247767676652</v>
      </c>
      <c r="H191" s="414" t="b">
        <f>Wh_hp&gt;='2024'!Maxi_hp</f>
        <v>0</v>
      </c>
      <c r="I191" s="390">
        <f>IF(H191,Wh_hp,'2024'!Maxi_hp)</f>
        <v>61.391181124623479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5.6980233799351465E-2</v>
      </c>
      <c r="M191" s="844"/>
      <c r="N191" s="844"/>
      <c r="O191" s="48">
        <f>IF(t&lt;Tnet,'2024'!Resal+('2024'!Salim-'2024'!Resal)*(1-EXP(('2024'!Tnet-t)/('2024'!Tau_j))),Resal+(Salim-Resal)*(1-EXP((Tnet-t)/(Tau_j))))*Salcycl</f>
        <v>2.9082025603100674E-2</v>
      </c>
      <c r="P191" s="169">
        <f>(INDEX(Models!$BJ191:$BT191,,T191)*(1-R191)+INDEX(Models!$BJ191:$BT191,,T191+1)*R191-ERP_i)*Q191*Ramure*Pc/MaxiM</f>
        <v>1.5906781332205803E-5</v>
      </c>
      <c r="Q191" s="305">
        <f t="shared" si="53"/>
        <v>0.7</v>
      </c>
      <c r="R191" s="177">
        <f t="shared" si="54"/>
        <v>0.64267923260558546</v>
      </c>
      <c r="S191" s="810">
        <f t="shared" si="55"/>
        <v>-2</v>
      </c>
      <c r="T191" s="176">
        <f t="shared" si="56"/>
        <v>4</v>
      </c>
      <c r="U191" s="251">
        <f t="shared" si="57"/>
        <v>-1.3573207673944145</v>
      </c>
      <c r="V191" s="383">
        <f t="shared" si="58"/>
        <v>58.272680639152568</v>
      </c>
      <c r="W191" s="402">
        <f t="shared" si="59"/>
        <v>12.518614740826662</v>
      </c>
      <c r="X191" s="157">
        <f t="shared" si="60"/>
        <v>45834</v>
      </c>
      <c r="Y191" s="385">
        <f t="shared" si="61"/>
        <v>11.38760569697993</v>
      </c>
      <c r="Z191" s="385">
        <f t="shared" si="62"/>
        <v>12.07568081299047</v>
      </c>
      <c r="AA191" s="386">
        <f t="shared" si="63"/>
        <v>13.67265757439594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0.11680075747644288</v>
      </c>
      <c r="AD191" s="231">
        <f>(INDEX(Models!$BJ191:$BT191,,AH191)*(1-AF191)+INDEX(Models!$BJ191:$BT191,,AH191+1)*AF191-ERP_i)*AE191*Ramure*Pc/MaxiM</f>
        <v>2.898898417578598E-4</v>
      </c>
      <c r="AE191" s="305">
        <f t="shared" si="65"/>
        <v>0.7</v>
      </c>
      <c r="AF191" s="177">
        <f t="shared" si="66"/>
        <v>0.46266928570476917</v>
      </c>
      <c r="AG191" s="810">
        <f t="shared" si="74"/>
        <v>1</v>
      </c>
      <c r="AH191" s="176">
        <f t="shared" si="67"/>
        <v>7</v>
      </c>
      <c r="AI191" s="225">
        <f t="shared" si="68"/>
        <v>1.4626692857047692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14.571279020092716</v>
      </c>
      <c r="C192" s="840"/>
      <c r="D192" s="393">
        <f t="shared" si="50"/>
        <v>15.452081329792362</v>
      </c>
      <c r="E192" s="385">
        <f t="shared" si="75"/>
        <v>15.917931259499777</v>
      </c>
      <c r="F192" s="385">
        <f t="shared" si="51"/>
        <v>15.917931259499777</v>
      </c>
      <c r="G192" s="110">
        <f t="shared" si="76"/>
        <v>0.25032324778049625</v>
      </c>
      <c r="H192" s="414" t="b">
        <f>Wh_hp&gt;='2024'!Maxi_hp</f>
        <v>0</v>
      </c>
      <c r="I192" s="390">
        <f>IF(H192,Wh_hp,'2024'!Maxi_hp)</f>
        <v>61.300290769717577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5.700217924697415E-2</v>
      </c>
      <c r="M192" s="844"/>
      <c r="N192" s="844"/>
      <c r="O192" s="48">
        <f>IF(t&lt;Tnet,'2024'!Resal+('2024'!Salim-'2024'!Resal)*(1-EXP(('2024'!Tnet-t)/('2024'!Tau_j))),Resal+(Salim-Resal)*(1-EXP((Tnet-t)/(Tau_j))))*Salcycl</f>
        <v>2.9265733223304165E-2</v>
      </c>
      <c r="P192" s="169">
        <f>(INDEX(Models!$BJ192:$BT192,,T192)*(1-R192)+INDEX(Models!$BJ192:$BT192,,T192+1)*R192-ERP_i)*Q192*Ramure*Pc/MaxiM</f>
        <v>1.6109359806406791E-5</v>
      </c>
      <c r="Q192" s="305">
        <f t="shared" si="53"/>
        <v>0.7</v>
      </c>
      <c r="R192" s="177">
        <f t="shared" si="54"/>
        <v>0.64635664493975908</v>
      </c>
      <c r="S192" s="810">
        <f t="shared" si="55"/>
        <v>-2</v>
      </c>
      <c r="T192" s="176">
        <f t="shared" si="56"/>
        <v>4</v>
      </c>
      <c r="U192" s="251">
        <f t="shared" si="57"/>
        <v>-1.3536433550602409</v>
      </c>
      <c r="V192" s="383">
        <f t="shared" si="58"/>
        <v>58.208913536042076</v>
      </c>
      <c r="W192" s="402">
        <f t="shared" si="59"/>
        <v>14.571279020092716</v>
      </c>
      <c r="X192" s="157">
        <f t="shared" si="60"/>
        <v>45835</v>
      </c>
      <c r="Y192" s="385">
        <f t="shared" si="61"/>
        <v>13.255590497148345</v>
      </c>
      <c r="Z192" s="385">
        <f t="shared" si="62"/>
        <v>14.056862280512128</v>
      </c>
      <c r="AA192" s="386">
        <f t="shared" si="63"/>
        <v>15.917931259499777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0.11691651060981739</v>
      </c>
      <c r="AD192" s="231">
        <f>(INDEX(Models!$BJ192:$BT192,,AH192)*(1-AF192)+INDEX(Models!$BJ192:$BT192,,AH192+1)*AF192-ERP_i)*AE192*Ramure*Pc/MaxiM</f>
        <v>2.9018054763206043E-4</v>
      </c>
      <c r="AE192" s="305">
        <f t="shared" si="65"/>
        <v>0.7</v>
      </c>
      <c r="AF192" s="177">
        <f t="shared" si="66"/>
        <v>0.4663466980389428</v>
      </c>
      <c r="AG192" s="810">
        <f t="shared" si="74"/>
        <v>1</v>
      </c>
      <c r="AH192" s="176">
        <f t="shared" si="67"/>
        <v>7</v>
      </c>
      <c r="AI192" s="225">
        <f t="shared" si="68"/>
        <v>1.4663466980389428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59.361259233964923</v>
      </c>
      <c r="C193" s="840"/>
      <c r="D193" s="393">
        <f t="shared" si="50"/>
        <v>62.950983960846571</v>
      </c>
      <c r="E193" s="385">
        <f t="shared" si="75"/>
        <v>64.861069858086864</v>
      </c>
      <c r="F193" s="385">
        <f t="shared" si="51"/>
        <v>64.86212687657445</v>
      </c>
      <c r="G193" s="110">
        <f t="shared" si="76"/>
        <v>1.0209457463470906</v>
      </c>
      <c r="H193" s="414" t="b">
        <f>Wh_hp&gt;='2024'!Maxi_hp</f>
        <v>1</v>
      </c>
      <c r="I193" s="390">
        <f>IF(H193,Wh_hp,'2024'!Maxi_hp)</f>
        <v>64.86212687657445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5.7024124183894243E-2</v>
      </c>
      <c r="M193" s="844"/>
      <c r="N193" s="844"/>
      <c r="O193" s="48">
        <f>IF(t&lt;Tnet,'2024'!Resal+('2024'!Salim-'2024'!Resal)*(1-EXP(('2024'!Tnet-t)/('2024'!Tau_j))),Resal+(Salim-Resal)*(1-EXP((Tnet-t)/(Tau_j))))*Salcycl</f>
        <v>2.9448880529098217E-2</v>
      </c>
      <c r="P193" s="169">
        <f>(INDEX(Models!$BJ193:$BT193,,T193)*(1-R193)+INDEX(Models!$BJ193:$BT193,,T193+1)*R193-ERP_i)*Q193*Ramure*Pc/MaxiM</f>
        <v>1.6296389564804502E-5</v>
      </c>
      <c r="Q193" s="305">
        <f t="shared" si="53"/>
        <v>0.7</v>
      </c>
      <c r="R193" s="177">
        <f t="shared" si="54"/>
        <v>0.64998366856442269</v>
      </c>
      <c r="S193" s="810">
        <f t="shared" si="55"/>
        <v>-2</v>
      </c>
      <c r="T193" s="176">
        <f t="shared" si="56"/>
        <v>4</v>
      </c>
      <c r="U193" s="251">
        <f t="shared" si="57"/>
        <v>-1.3500163314355773</v>
      </c>
      <c r="V193" s="383">
        <f t="shared" si="58"/>
        <v>58.14340227809118</v>
      </c>
      <c r="W193" s="402">
        <f t="shared" si="59"/>
        <v>59.361259233964923</v>
      </c>
      <c r="X193" s="157">
        <f t="shared" si="60"/>
        <v>45836</v>
      </c>
      <c r="Y193" s="385">
        <f t="shared" si="61"/>
        <v>53.989762256626847</v>
      </c>
      <c r="Z193" s="385">
        <f t="shared" si="62"/>
        <v>57.25465904406196</v>
      </c>
      <c r="AA193" s="386">
        <f t="shared" si="63"/>
        <v>64.843289737645406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0.11703031607876289</v>
      </c>
      <c r="AD193" s="231">
        <f>(INDEX(Models!$BJ193:$BT193,,AH193)*(1-AF193)+INDEX(Models!$BJ193:$BT193,,AH193+1)*AF193-ERP_i)*AE193*Ramure*Pc/MaxiM</f>
        <v>2.9041815056252764E-4</v>
      </c>
      <c r="AE193" s="305">
        <f t="shared" si="65"/>
        <v>0.7</v>
      </c>
      <c r="AF193" s="177">
        <f t="shared" si="66"/>
        <v>0.4699737216636064</v>
      </c>
      <c r="AG193" s="810">
        <f t="shared" si="74"/>
        <v>1</v>
      </c>
      <c r="AH193" s="176">
        <f t="shared" si="67"/>
        <v>7</v>
      </c>
      <c r="AI193" s="225">
        <f t="shared" si="68"/>
        <v>1.4699737216636064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56.923939663680741</v>
      </c>
      <c r="C194" s="840"/>
      <c r="D194" s="393">
        <f t="shared" si="50"/>
        <v>60.367678386766066</v>
      </c>
      <c r="E194" s="385">
        <f t="shared" si="75"/>
        <v>62.211083938329388</v>
      </c>
      <c r="F194" s="385">
        <f t="shared" si="51"/>
        <v>62.212079374304885</v>
      </c>
      <c r="G194" s="110">
        <f t="shared" si="76"/>
        <v>0.98016330396681017</v>
      </c>
      <c r="H194" s="414" t="b">
        <f>Wh_hp&gt;='2024'!Maxi_hp</f>
        <v>1</v>
      </c>
      <c r="I194" s="390">
        <f>IF(H194,Wh_hp,'2024'!Maxi_hp)</f>
        <v>62.212079374304885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5.7046068610123513E-2</v>
      </c>
      <c r="M194" s="844"/>
      <c r="N194" s="844"/>
      <c r="O194" s="48">
        <f>IF(t&lt;Tnet,'2024'!Resal+('2024'!Salim-'2024'!Resal)*(1-EXP(('2024'!Tnet-t)/('2024'!Tau_j))),Resal+(Salim-Resal)*(1-EXP((Tnet-t)/(Tau_j))))*Salcycl</f>
        <v>2.9631464923368236E-2</v>
      </c>
      <c r="P194" s="169">
        <f>(INDEX(Models!$BJ194:$BT194,,T194)*(1-R194)+INDEX(Models!$BJ194:$BT194,,T194+1)*R194-ERP_i)*Q194*Ramure*Pc/MaxiM</f>
        <v>1.6467329122193129E-5</v>
      </c>
      <c r="Q194" s="305">
        <f t="shared" si="53"/>
        <v>0.7</v>
      </c>
      <c r="R194" s="177">
        <f t="shared" si="54"/>
        <v>0.6535583336298405</v>
      </c>
      <c r="S194" s="810">
        <f t="shared" si="55"/>
        <v>-2</v>
      </c>
      <c r="T194" s="176">
        <f t="shared" si="56"/>
        <v>4</v>
      </c>
      <c r="U194" s="251">
        <f t="shared" si="57"/>
        <v>-1.3464416663701595</v>
      </c>
      <c r="V194" s="383">
        <f t="shared" si="58"/>
        <v>58.075948027986918</v>
      </c>
      <c r="W194" s="402">
        <f t="shared" si="59"/>
        <v>56.923939663680741</v>
      </c>
      <c r="X194" s="157">
        <f t="shared" si="60"/>
        <v>45837</v>
      </c>
      <c r="Y194" s="385">
        <f t="shared" si="61"/>
        <v>51.776573463077597</v>
      </c>
      <c r="Z194" s="385">
        <f t="shared" si="62"/>
        <v>54.908910965311946</v>
      </c>
      <c r="AA194" s="386">
        <f t="shared" si="63"/>
        <v>62.194512588885743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0.11714219342360037</v>
      </c>
      <c r="AD194" s="231">
        <f>(INDEX(Models!$BJ194:$BT194,,AH194)*(1-AF194)+INDEX(Models!$BJ194:$BT194,,AH194+1)*AF194-ERP_i)*AE194*Ramure*Pc/MaxiM</f>
        <v>2.9060436254686728E-4</v>
      </c>
      <c r="AE194" s="305">
        <f t="shared" si="65"/>
        <v>0.7</v>
      </c>
      <c r="AF194" s="177">
        <f t="shared" si="66"/>
        <v>0.47354838672902444</v>
      </c>
      <c r="AG194" s="810">
        <f t="shared" si="74"/>
        <v>1</v>
      </c>
      <c r="AH194" s="176">
        <f t="shared" si="67"/>
        <v>7</v>
      </c>
      <c r="AI194" s="225">
        <f t="shared" si="68"/>
        <v>1.4735483867290244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14.393080688606078</v>
      </c>
      <c r="C195" s="840"/>
      <c r="D195" s="393">
        <f t="shared" si="50"/>
        <v>15.264176928771304</v>
      </c>
      <c r="E195" s="385">
        <f t="shared" si="75"/>
        <v>15.733239635045246</v>
      </c>
      <c r="F195" s="385">
        <f t="shared" si="51"/>
        <v>15.733239635045246</v>
      </c>
      <c r="G195" s="110">
        <f t="shared" si="76"/>
        <v>0.24812526471404495</v>
      </c>
      <c r="H195" s="414" t="b">
        <f>Wh_hp&gt;='2024'!Maxi_hp</f>
        <v>0</v>
      </c>
      <c r="I195" s="390">
        <f>IF(H195,Wh_hp,'2024'!Maxi_hp)</f>
        <v>56.806125451843101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5.7068012525674061E-2</v>
      </c>
      <c r="M195" s="844"/>
      <c r="N195" s="844"/>
      <c r="O195" s="48">
        <f>IF(t&lt;Tnet,'2024'!Resal+('2024'!Salim-'2024'!Resal)*(1-EXP(('2024'!Tnet-t)/('2024'!Tau_j))),Resal+(Salim-Resal)*(1-EXP((Tnet-t)/(Tau_j))))*Salcycl</f>
        <v>2.9813485153376902E-2</v>
      </c>
      <c r="P195" s="169">
        <f>(INDEX(Models!$BJ195:$BT195,,T195)*(1-R195)+INDEX(Models!$BJ195:$BT195,,T195+1)*R195-ERP_i)*Q195*Ramure*Pc/MaxiM</f>
        <v>1.6621670751918261E-5</v>
      </c>
      <c r="Q195" s="305">
        <f t="shared" si="53"/>
        <v>0.7</v>
      </c>
      <c r="R195" s="177">
        <f t="shared" si="54"/>
        <v>0.65707881382628508</v>
      </c>
      <c r="S195" s="810">
        <f t="shared" si="55"/>
        <v>-2</v>
      </c>
      <c r="T195" s="176">
        <f t="shared" si="56"/>
        <v>4</v>
      </c>
      <c r="U195" s="251">
        <f t="shared" si="57"/>
        <v>-1.3429211861737149</v>
      </c>
      <c r="V195" s="383">
        <f t="shared" si="58"/>
        <v>58.006352026042073</v>
      </c>
      <c r="W195" s="402">
        <f t="shared" si="59"/>
        <v>14.393080688606078</v>
      </c>
      <c r="X195" s="157">
        <f t="shared" si="60"/>
        <v>45838</v>
      </c>
      <c r="Y195" s="385">
        <f t="shared" si="61"/>
        <v>13.095895062169884</v>
      </c>
      <c r="Z195" s="385">
        <f t="shared" si="62"/>
        <v>13.888483195111098</v>
      </c>
      <c r="AA195" s="386">
        <f t="shared" si="63"/>
        <v>15.733239635045246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0.11725216692339817</v>
      </c>
      <c r="AD195" s="231">
        <f>(INDEX(Models!$BJ195:$BT195,,AH195)*(1-AF195)+INDEX(Models!$BJ195:$BT195,,AH195+1)*AF195-ERP_i)*AE195*Ramure*Pc/MaxiM</f>
        <v>2.9074098860031787E-4</v>
      </c>
      <c r="AE195" s="305">
        <f t="shared" si="65"/>
        <v>0.7</v>
      </c>
      <c r="AF195" s="177">
        <f t="shared" si="66"/>
        <v>0.47706886692546879</v>
      </c>
      <c r="AG195" s="810">
        <f t="shared" si="74"/>
        <v>1</v>
      </c>
      <c r="AH195" s="176">
        <f t="shared" si="67"/>
        <v>7</v>
      </c>
      <c r="AI195" s="225">
        <f t="shared" si="68"/>
        <v>1.4770688669254688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53.598145183123094</v>
      </c>
      <c r="C196" s="840"/>
      <c r="D196" s="393">
        <f t="shared" si="50"/>
        <v>56.843328290154211</v>
      </c>
      <c r="E196" s="385">
        <f t="shared" si="75"/>
        <v>58.601063756487477</v>
      </c>
      <c r="F196" s="385">
        <f t="shared" si="51"/>
        <v>58.601940850615023</v>
      </c>
      <c r="G196" s="110">
        <f t="shared" si="76"/>
        <v>0.92515042374989553</v>
      </c>
      <c r="H196" s="414" t="b">
        <f>Wh_hp&gt;='2024'!Maxi_hp</f>
        <v>0</v>
      </c>
      <c r="I196" s="390">
        <f>IF(H196,Wh_hp,'2024'!Maxi_hp)</f>
        <v>61.555241119105759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5.7089955930557545E-2</v>
      </c>
      <c r="M196" s="844"/>
      <c r="N196" s="844"/>
      <c r="O196" s="48">
        <f>IF(t&lt;Tnet,'2024'!Resal+('2024'!Salim-'2024'!Resal)*(1-EXP(('2024'!Tnet-t)/('2024'!Tau_j))),Resal+(Salim-Resal)*(1-EXP((Tnet-t)/(Tau_j))))*Salcycl</f>
        <v>2.9994941280202907E-2</v>
      </c>
      <c r="P196" s="169">
        <f>(INDEX(Models!$BJ196:$BT196,,T196)*(1-R196)+INDEX(Models!$BJ196:$BT196,,T196+1)*R196-ERP_i)*Q196*Ramure*Pc/MaxiM</f>
        <v>1.6758940609615608E-5</v>
      </c>
      <c r="Q196" s="305">
        <f t="shared" si="53"/>
        <v>0.7</v>
      </c>
      <c r="R196" s="177">
        <f t="shared" si="54"/>
        <v>0.66054342784303932</v>
      </c>
      <c r="S196" s="810">
        <f t="shared" si="55"/>
        <v>-2</v>
      </c>
      <c r="T196" s="176">
        <f t="shared" si="56"/>
        <v>4</v>
      </c>
      <c r="U196" s="251">
        <f t="shared" si="57"/>
        <v>-1.3394565721569607</v>
      </c>
      <c r="V196" s="383">
        <f t="shared" si="58"/>
        <v>57.934415593433073</v>
      </c>
      <c r="W196" s="402">
        <f t="shared" si="59"/>
        <v>53.598145183123094</v>
      </c>
      <c r="X196" s="157">
        <f t="shared" si="60"/>
        <v>45839</v>
      </c>
      <c r="Y196" s="385">
        <f t="shared" si="61"/>
        <v>48.758790173313479</v>
      </c>
      <c r="Z196" s="385">
        <f t="shared" si="62"/>
        <v>51.710967000498449</v>
      </c>
      <c r="AA196" s="386">
        <f t="shared" si="63"/>
        <v>58.586720006972747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0.11736026535801927</v>
      </c>
      <c r="AD196" s="231">
        <f>(INDEX(Models!$BJ196:$BT196,,AH196)*(1-AF196)+INDEX(Models!$BJ196:$BT196,,AH196+1)*AF196-ERP_i)*AE196*Ramure*Pc/MaxiM</f>
        <v>2.9082991963815425E-4</v>
      </c>
      <c r="AE196" s="305">
        <f t="shared" si="65"/>
        <v>0.7</v>
      </c>
      <c r="AF196" s="177">
        <f t="shared" si="66"/>
        <v>0.48053348094222303</v>
      </c>
      <c r="AG196" s="810">
        <f t="shared" si="74"/>
        <v>1</v>
      </c>
      <c r="AH196" s="176">
        <f t="shared" si="67"/>
        <v>7</v>
      </c>
      <c r="AI196" s="225">
        <f t="shared" si="68"/>
        <v>1.480533480942223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56.273267833957725</v>
      </c>
      <c r="C197" s="840"/>
      <c r="D197" s="393">
        <f t="shared" si="50"/>
        <v>59.681809287675627</v>
      </c>
      <c r="E197" s="385">
        <f t="shared" si="75"/>
        <v>61.538793751897089</v>
      </c>
      <c r="F197" s="385">
        <f t="shared" si="51"/>
        <v>61.53979177175794</v>
      </c>
      <c r="G197" s="110">
        <f t="shared" si="76"/>
        <v>0.97257671705948789</v>
      </c>
      <c r="H197" s="414" t="b">
        <f>Wh_hp&gt;='2024'!Maxi_hp</f>
        <v>1</v>
      </c>
      <c r="I197" s="390">
        <f>IF(H197,Wh_hp,'2024'!Maxi_hp)</f>
        <v>61.53979177175794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5.7111898824785956E-2</v>
      </c>
      <c r="M197" s="844"/>
      <c r="N197" s="844"/>
      <c r="O197" s="48">
        <f>IF(t&lt;Tnet,'2024'!Resal+('2024'!Salim-'2024'!Resal)*(1-EXP(('2024'!Tnet-t)/('2024'!Tau_j))),Resal+(Salim-Resal)*(1-EXP((Tnet-t)/(Tau_j))))*Salcycl</f>
        <v>3.0175834640311094E-2</v>
      </c>
      <c r="P197" s="169">
        <f>(INDEX(Models!$BJ197:$BT197,,T197)*(1-R197)+INDEX(Models!$BJ197:$BT197,,T197+1)*R197-ERP_i)*Q197*Ramure*Pc/MaxiM</f>
        <v>1.6878698565325604E-5</v>
      </c>
      <c r="Q197" s="305">
        <f t="shared" si="53"/>
        <v>0.7</v>
      </c>
      <c r="R197" s="177">
        <f t="shared" si="54"/>
        <v>0.66395064008916793</v>
      </c>
      <c r="S197" s="810">
        <f t="shared" si="55"/>
        <v>-2</v>
      </c>
      <c r="T197" s="176">
        <f t="shared" si="56"/>
        <v>4</v>
      </c>
      <c r="U197" s="251">
        <f t="shared" si="57"/>
        <v>-1.3360493599108321</v>
      </c>
      <c r="V197" s="383">
        <f t="shared" si="58"/>
        <v>57.859940133177865</v>
      </c>
      <c r="W197" s="402">
        <f t="shared" si="59"/>
        <v>56.273267833957725</v>
      </c>
      <c r="X197" s="157">
        <f t="shared" si="60"/>
        <v>45840</v>
      </c>
      <c r="Y197" s="385">
        <f t="shared" si="61"/>
        <v>51.194814514895882</v>
      </c>
      <c r="Z197" s="385">
        <f t="shared" si="62"/>
        <v>54.2957477680403</v>
      </c>
      <c r="AA197" s="386">
        <f t="shared" si="63"/>
        <v>61.522592746919223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0.11746652174766828</v>
      </c>
      <c r="AD197" s="231">
        <f>(INDEX(Models!$BJ197:$BT197,,AH197)*(1-AF197)+INDEX(Models!$BJ197:$BT197,,AH197+1)*AF197-ERP_i)*AE197*Ramure*Pc/MaxiM</f>
        <v>2.9087312513265004E-4</v>
      </c>
      <c r="AE197" s="305">
        <f t="shared" si="65"/>
        <v>0.7</v>
      </c>
      <c r="AF197" s="177">
        <f t="shared" si="66"/>
        <v>0.48394069318835164</v>
      </c>
      <c r="AG197" s="810">
        <f t="shared" si="74"/>
        <v>1</v>
      </c>
      <c r="AH197" s="176">
        <f t="shared" si="67"/>
        <v>7</v>
      </c>
      <c r="AI197" s="225">
        <f t="shared" si="68"/>
        <v>1.4839406931883516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43.863693311770469</v>
      </c>
      <c r="C198" s="840"/>
      <c r="D198" s="393">
        <f t="shared" si="50"/>
        <v>46.521654110468759</v>
      </c>
      <c r="E198" s="385">
        <f t="shared" si="75"/>
        <v>47.978084906596266</v>
      </c>
      <c r="F198" s="385">
        <f t="shared" si="51"/>
        <v>47.978619074813196</v>
      </c>
      <c r="G198" s="110">
        <f t="shared" si="76"/>
        <v>0.75910984148792826</v>
      </c>
      <c r="H198" s="414" t="b">
        <f>Wh_hp&gt;='2024'!Maxi_hp</f>
        <v>0</v>
      </c>
      <c r="I198" s="390">
        <f>IF(H198,Wh_hp,'2024'!Maxi_hp)</f>
        <v>50.673839895815256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5.7133841208371172E-2</v>
      </c>
      <c r="M198" s="844"/>
      <c r="N198" s="844"/>
      <c r="O198" s="48">
        <f>IF(t&lt;Tnet,'2024'!Resal+('2024'!Salim-'2024'!Resal)*(1-EXP(('2024'!Tnet-t)/('2024'!Tau_j))),Resal+(Salim-Resal)*(1-EXP((Tnet-t)/(Tau_j))))*Salcycl</f>
        <v>3.0356167799587708E-2</v>
      </c>
      <c r="P198" s="169">
        <f>(INDEX(Models!$BJ198:$BT198,,T198)*(1-R198)+INDEX(Models!$BJ198:$BT198,,T198+1)*R198-ERP_i)*Q198*Ramure*Pc/MaxiM</f>
        <v>1.6974912445000467E-5</v>
      </c>
      <c r="Q198" s="305">
        <f t="shared" si="53"/>
        <v>0.7</v>
      </c>
      <c r="R198" s="177">
        <f t="shared" si="54"/>
        <v>0.66729906070300515</v>
      </c>
      <c r="S198" s="810">
        <f t="shared" si="55"/>
        <v>-2</v>
      </c>
      <c r="T198" s="176">
        <f t="shared" si="56"/>
        <v>4</v>
      </c>
      <c r="U198" s="251">
        <f t="shared" si="57"/>
        <v>-1.3327009392969948</v>
      </c>
      <c r="V198" s="383">
        <f t="shared" si="58"/>
        <v>57.782727458028674</v>
      </c>
      <c r="W198" s="402">
        <f t="shared" si="59"/>
        <v>43.863693311770469</v>
      </c>
      <c r="X198" s="157">
        <f t="shared" si="60"/>
        <v>45841</v>
      </c>
      <c r="Y198" s="385">
        <f t="shared" si="61"/>
        <v>39.911192976520859</v>
      </c>
      <c r="Z198" s="385">
        <f t="shared" si="62"/>
        <v>42.32964838580142</v>
      </c>
      <c r="AA198" s="386">
        <f t="shared" si="63"/>
        <v>47.969465072065624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0.11757097307196103</v>
      </c>
      <c r="AD198" s="231">
        <f>(INDEX(Models!$BJ198:$BT198,,AH198)*(1-AF198)+INDEX(Models!$BJ198:$BT198,,AH198+1)*AF198-ERP_i)*AE198*Ramure*Pc/MaxiM</f>
        <v>2.9089786744238336E-4</v>
      </c>
      <c r="AE198" s="305">
        <f t="shared" si="65"/>
        <v>0.7</v>
      </c>
      <c r="AF198" s="177">
        <f t="shared" si="66"/>
        <v>0.48728911380218887</v>
      </c>
      <c r="AG198" s="810">
        <f t="shared" si="74"/>
        <v>1</v>
      </c>
      <c r="AH198" s="176">
        <f t="shared" si="67"/>
        <v>7</v>
      </c>
      <c r="AI198" s="225">
        <f t="shared" si="68"/>
        <v>1.4872891138021889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43.566996994918235</v>
      </c>
      <c r="C199" s="840"/>
      <c r="D199" s="393">
        <f t="shared" si="50"/>
        <v>46.208054536623528</v>
      </c>
      <c r="E199" s="385">
        <f t="shared" si="75"/>
        <v>47.663504669910779</v>
      </c>
      <c r="F199" s="385">
        <f t="shared" si="51"/>
        <v>47.664033136512259</v>
      </c>
      <c r="G199" s="110">
        <f t="shared" si="76"/>
        <v>0.75502235754665126</v>
      </c>
      <c r="H199" s="414" t="b">
        <f>Wh_hp&gt;='2024'!Maxi_hp</f>
        <v>0</v>
      </c>
      <c r="I199" s="390">
        <f>IF(H199,Wh_hp,'2024'!Maxi_hp)</f>
        <v>59.251249385209874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5.7155783081325073E-2</v>
      </c>
      <c r="M199" s="844"/>
      <c r="N199" s="844"/>
      <c r="O199" s="48">
        <f>IF(t&lt;Tnet,'2024'!Resal+('2024'!Salim-'2024'!Resal)*(1-EXP(('2024'!Tnet-t)/('2024'!Tau_j))),Resal+(Salim-Resal)*(1-EXP((Tnet-t)/(Tau_j))))*Salcycl</f>
        <v>3.0535944500238405E-2</v>
      </c>
      <c r="P199" s="169">
        <f>(INDEX(Models!$BJ199:$BT199,,T199)*(1-R199)+INDEX(Models!$BJ199:$BT199,,T199+1)*R199-ERP_i)*Q199*Ramure*Pc/MaxiM</f>
        <v>1.7056415222585506E-5</v>
      </c>
      <c r="Q199" s="305">
        <f t="shared" si="53"/>
        <v>0.7</v>
      </c>
      <c r="R199" s="177">
        <f t="shared" si="54"/>
        <v>0.6705874448821707</v>
      </c>
      <c r="S199" s="810">
        <f t="shared" si="55"/>
        <v>-2</v>
      </c>
      <c r="T199" s="176">
        <f t="shared" si="56"/>
        <v>4</v>
      </c>
      <c r="U199" s="251">
        <f t="shared" si="57"/>
        <v>-1.3294125551178293</v>
      </c>
      <c r="V199" s="383">
        <f t="shared" si="58"/>
        <v>57.702578607395225</v>
      </c>
      <c r="W199" s="402">
        <f t="shared" si="59"/>
        <v>43.566996994918235</v>
      </c>
      <c r="X199" s="157">
        <f t="shared" si="60"/>
        <v>45842</v>
      </c>
      <c r="Y199" s="385">
        <f t="shared" si="61"/>
        <v>39.644031102404711</v>
      </c>
      <c r="Z199" s="385">
        <f t="shared" si="62"/>
        <v>42.047276093993595</v>
      </c>
      <c r="AA199" s="386">
        <f t="shared" si="63"/>
        <v>47.655016275040587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0.11767365997069361</v>
      </c>
      <c r="AD199" s="231">
        <f>(INDEX(Models!$BJ199:$BT199,,AH199)*(1-AF199)+INDEX(Models!$BJ199:$BT199,,AH199+1)*AF199-ERP_i)*AE199*Ramure*Pc/MaxiM</f>
        <v>2.9102185991599424E-4</v>
      </c>
      <c r="AE199" s="305">
        <f t="shared" si="65"/>
        <v>0.7</v>
      </c>
      <c r="AF199" s="177">
        <f t="shared" si="66"/>
        <v>0.49057749798135442</v>
      </c>
      <c r="AG199" s="810">
        <f t="shared" si="74"/>
        <v>1</v>
      </c>
      <c r="AH199" s="176">
        <f t="shared" si="67"/>
        <v>7</v>
      </c>
      <c r="AI199" s="225">
        <f t="shared" si="68"/>
        <v>1.4905774979813544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56.0684409264748</v>
      </c>
      <c r="C200" s="840"/>
      <c r="D200" s="393">
        <f t="shared" si="50"/>
        <v>59.468727436875568</v>
      </c>
      <c r="E200" s="385">
        <f t="shared" si="75"/>
        <v>61.353201424183951</v>
      </c>
      <c r="F200" s="385">
        <f t="shared" si="51"/>
        <v>61.354211598620289</v>
      </c>
      <c r="G200" s="110">
        <f t="shared" si="76"/>
        <v>0.97308382169418017</v>
      </c>
      <c r="H200" s="414" t="b">
        <f>Wh_hp&gt;='2024'!Maxi_hp</f>
        <v>0</v>
      </c>
      <c r="I200" s="390">
        <f>IF(H200,Wh_hp,'2024'!Maxi_hp)</f>
        <v>63.499188646110007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5.7177724443659539E-2</v>
      </c>
      <c r="M200" s="844"/>
      <c r="N200" s="844"/>
      <c r="O200" s="48">
        <f>IF(t&lt;Tnet,'2024'!Resal+('2024'!Salim-'2024'!Resal)*(1-EXP(('2024'!Tnet-t)/('2024'!Tau_j))),Resal+(Salim-Resal)*(1-EXP((Tnet-t)/(Tau_j))))*Salcycl</f>
        <v>3.0715169601004157E-2</v>
      </c>
      <c r="P200" s="169">
        <f>(INDEX(Models!$BJ200:$BT200,,T200)*(1-R200)+INDEX(Models!$BJ200:$BT200,,T200+1)*R200-ERP_i)*Q200*Ramure*Pc/MaxiM</f>
        <v>1.7123024136907708E-5</v>
      </c>
      <c r="Q200" s="305">
        <f t="shared" si="53"/>
        <v>0.7</v>
      </c>
      <c r="R200" s="177">
        <f t="shared" si="54"/>
        <v>0.67381469157014973</v>
      </c>
      <c r="S200" s="810">
        <f t="shared" si="55"/>
        <v>-2</v>
      </c>
      <c r="T200" s="176">
        <f t="shared" si="56"/>
        <v>4</v>
      </c>
      <c r="U200" s="251">
        <f t="shared" si="57"/>
        <v>-1.3261853084298503</v>
      </c>
      <c r="V200" s="383">
        <f t="shared" si="58"/>
        <v>57.619295235179678</v>
      </c>
      <c r="W200" s="402">
        <f t="shared" si="59"/>
        <v>56.0684409264748</v>
      </c>
      <c r="X200" s="157">
        <f t="shared" si="60"/>
        <v>45843</v>
      </c>
      <c r="Y200" s="385">
        <f t="shared" si="61"/>
        <v>51.019020658570163</v>
      </c>
      <c r="Z200" s="385">
        <f t="shared" si="62"/>
        <v>54.113083643961282</v>
      </c>
      <c r="AA200" s="386">
        <f t="shared" si="63"/>
        <v>61.337029363487268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0.11777462642861958</v>
      </c>
      <c r="AD200" s="231">
        <f>(INDEX(Models!$BJ200:$BT200,,AH200)*(1-AF200)+INDEX(Models!$BJ200:$BT200,,AH200+1)*AF200-ERP_i)*AE200*Ramure*Pc/MaxiM</f>
        <v>2.9124853720800147E-4</v>
      </c>
      <c r="AE200" s="305">
        <f t="shared" si="65"/>
        <v>0.7</v>
      </c>
      <c r="AF200" s="177">
        <f t="shared" si="66"/>
        <v>0.49380474466933366</v>
      </c>
      <c r="AG200" s="810">
        <f t="shared" si="74"/>
        <v>1</v>
      </c>
      <c r="AH200" s="176">
        <f t="shared" si="67"/>
        <v>7</v>
      </c>
      <c r="AI200" s="225">
        <f t="shared" si="68"/>
        <v>1.4938047446693337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49.227083031727766</v>
      </c>
      <c r="C201" s="840"/>
      <c r="D201" s="393">
        <f t="shared" si="50"/>
        <v>52.213688540056552</v>
      </c>
      <c r="E201" s="385">
        <f t="shared" si="75"/>
        <v>53.8781933091459</v>
      </c>
      <c r="F201" s="385">
        <f t="shared" si="51"/>
        <v>53.878927819908917</v>
      </c>
      <c r="G201" s="110">
        <f t="shared" si="76"/>
        <v>0.85563386669520636</v>
      </c>
      <c r="H201" s="414" t="b">
        <f>Wh_hp&gt;='2024'!Maxi_hp</f>
        <v>0</v>
      </c>
      <c r="I201" s="390">
        <f>IF(H201,Wh_hp,'2024'!Maxi_hp)</f>
        <v>62.806622289088963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5.7199665295386337E-2</v>
      </c>
      <c r="M201" s="844"/>
      <c r="N201" s="844"/>
      <c r="O201" s="48">
        <f>IF(t&lt;Tnet,'2024'!Resal+('2024'!Salim-'2024'!Resal)*(1-EXP(('2024'!Tnet-t)/('2024'!Tau_j))),Resal+(Salim-Resal)*(1-EXP((Tnet-t)/(Tau_j))))*Salcycl</f>
        <v>3.0893849011206547E-2</v>
      </c>
      <c r="P201" s="169">
        <f>(INDEX(Models!$BJ201:$BT201,,T201)*(1-R201)+INDEX(Models!$BJ201:$BT201,,T201+1)*R201-ERP_i)*Q201*Ramure*Pc/MaxiM</f>
        <v>1.7174582230217654E-5</v>
      </c>
      <c r="Q201" s="305">
        <f t="shared" si="53"/>
        <v>0.7</v>
      </c>
      <c r="R201" s="177">
        <f t="shared" si="54"/>
        <v>0.67697984153905066</v>
      </c>
      <c r="S201" s="810">
        <f t="shared" si="55"/>
        <v>-2</v>
      </c>
      <c r="T201" s="176">
        <f t="shared" si="56"/>
        <v>4</v>
      </c>
      <c r="U201" s="251">
        <f t="shared" si="57"/>
        <v>-1.3230201584609493</v>
      </c>
      <c r="V201" s="383">
        <f t="shared" si="58"/>
        <v>57.532679087196101</v>
      </c>
      <c r="W201" s="402">
        <f t="shared" si="59"/>
        <v>49.227083031727766</v>
      </c>
      <c r="X201" s="157">
        <f t="shared" si="60"/>
        <v>45844</v>
      </c>
      <c r="Y201" s="385">
        <f t="shared" si="61"/>
        <v>44.799050269970721</v>
      </c>
      <c r="Z201" s="385">
        <f t="shared" si="62"/>
        <v>47.517007176293163</v>
      </c>
      <c r="AA201" s="386">
        <f t="shared" si="63"/>
        <v>53.866457668371602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0.11787391944665779</v>
      </c>
      <c r="AD201" s="231">
        <f>(INDEX(Models!$BJ201:$BT201,,AH201)*(1-AF201)+INDEX(Models!$BJ201:$BT201,,AH201+1)*AF201-ERP_i)*AE201*Ramure*Pc/MaxiM</f>
        <v>2.9158135426015437E-4</v>
      </c>
      <c r="AE201" s="305">
        <f t="shared" si="65"/>
        <v>0.7</v>
      </c>
      <c r="AF201" s="177">
        <f t="shared" si="66"/>
        <v>0.49696989463823438</v>
      </c>
      <c r="AG201" s="810">
        <f t="shared" si="74"/>
        <v>1</v>
      </c>
      <c r="AH201" s="176">
        <f t="shared" si="67"/>
        <v>7</v>
      </c>
      <c r="AI201" s="225">
        <f t="shared" si="68"/>
        <v>1.4969698946382344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56.156474459999785</v>
      </c>
      <c r="C202" s="840"/>
      <c r="D202" s="393">
        <f t="shared" si="50"/>
        <v>59.564872079948195</v>
      </c>
      <c r="E202" s="385">
        <f t="shared" si="75"/>
        <v>61.475023367873789</v>
      </c>
      <c r="F202" s="385">
        <f t="shared" si="51"/>
        <v>61.476047588751292</v>
      </c>
      <c r="G202" s="110">
        <f t="shared" si="76"/>
        <v>0.97761086748784853</v>
      </c>
      <c r="H202" s="414" t="b">
        <f>Wh_hp&gt;='2024'!Maxi_hp</f>
        <v>1</v>
      </c>
      <c r="I202" s="390">
        <f>IF(H202,Wh_hp,'2024'!Maxi_hp)</f>
        <v>61.476047588751292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5.722160563651757E-2</v>
      </c>
      <c r="M202" s="844"/>
      <c r="N202" s="844"/>
      <c r="O202" s="48">
        <f>IF(t&lt;Tnet,'2024'!Resal+('2024'!Salim-'2024'!Resal)*(1-EXP(('2024'!Tnet-t)/('2024'!Tau_j))),Resal+(Salim-Resal)*(1-EXP((Tnet-t)/(Tau_j))))*Salcycl</f>
        <v>3.1071989619182783E-2</v>
      </c>
      <c r="P202" s="169">
        <f>(INDEX(Models!$BJ202:$BT202,,T202)*(1-R202)+INDEX(Models!$BJ202:$BT202,,T202+1)*R202-ERP_i)*Q202*Ramure*Pc/MaxiM</f>
        <v>1.7210956960950291E-5</v>
      </c>
      <c r="Q202" s="305">
        <f t="shared" si="53"/>
        <v>0.7</v>
      </c>
      <c r="R202" s="177">
        <f t="shared" si="54"/>
        <v>0.6800820749110823</v>
      </c>
      <c r="S202" s="810">
        <f t="shared" si="55"/>
        <v>-2</v>
      </c>
      <c r="T202" s="176">
        <f t="shared" si="56"/>
        <v>4</v>
      </c>
      <c r="U202" s="251">
        <f t="shared" si="57"/>
        <v>-1.3199179250889177</v>
      </c>
      <c r="V202" s="383">
        <f t="shared" si="58"/>
        <v>57.442532007979679</v>
      </c>
      <c r="W202" s="402">
        <f t="shared" si="59"/>
        <v>56.156474459999785</v>
      </c>
      <c r="X202" s="157">
        <f t="shared" si="60"/>
        <v>45845</v>
      </c>
      <c r="Y202" s="385">
        <f t="shared" si="61"/>
        <v>51.106406916496269</v>
      </c>
      <c r="Z202" s="385">
        <f t="shared" si="62"/>
        <v>54.208292449256646</v>
      </c>
      <c r="AA202" s="386">
        <f t="shared" si="63"/>
        <v>61.458669306905797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0.1179715887020428</v>
      </c>
      <c r="AD202" s="231">
        <f>(INDEX(Models!$BJ202:$BT202,,AH202)*(1-AF202)+INDEX(Models!$BJ202:$BT202,,AH202+1)*AF202-ERP_i)*AE202*Ramure*Pc/MaxiM</f>
        <v>2.9202378848888652E-4</v>
      </c>
      <c r="AE202" s="305">
        <f t="shared" si="65"/>
        <v>0.7</v>
      </c>
      <c r="AF202" s="177">
        <f t="shared" si="66"/>
        <v>0.50007212801026624</v>
      </c>
      <c r="AG202" s="810">
        <f t="shared" si="74"/>
        <v>1</v>
      </c>
      <c r="AH202" s="176">
        <f t="shared" si="67"/>
        <v>7</v>
      </c>
      <c r="AI202" s="225">
        <f t="shared" si="68"/>
        <v>1.5000721280102662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58.610488124030795</v>
      </c>
      <c r="C203" s="840"/>
      <c r="D203" s="393">
        <f t="shared" si="50"/>
        <v>62.169278016842526</v>
      </c>
      <c r="E203" s="385">
        <f t="shared" si="75"/>
        <v>64.174712048130587</v>
      </c>
      <c r="F203" s="385">
        <f t="shared" si="51"/>
        <v>64.175817928306728</v>
      </c>
      <c r="G203" s="110">
        <f t="shared" si="76"/>
        <v>1.0220028205169975</v>
      </c>
      <c r="H203" s="414" t="b">
        <f>Wh_hp&gt;='2024'!Maxi_hp</f>
        <v>0</v>
      </c>
      <c r="I203" s="390">
        <f>IF(H203,Wh_hp,'2024'!Maxi_hp)</f>
        <v>64.296413487200894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5.7243545467065005E-2</v>
      </c>
      <c r="M203" s="844"/>
      <c r="N203" s="844"/>
      <c r="O203" s="48">
        <f>IF(t&lt;Tnet,'2024'!Resal+('2024'!Salim-'2024'!Resal)*(1-EXP(('2024'!Tnet-t)/('2024'!Tau_j))),Resal+(Salim-Resal)*(1-EXP((Tnet-t)/(Tau_j))))*Salcycl</f>
        <v>3.1249599215716073E-2</v>
      </c>
      <c r="P203" s="169">
        <f>(INDEX(Models!$BJ203:$BT203,,T203)*(1-R203)+INDEX(Models!$BJ203:$BT203,,T203+1)*R203-ERP_i)*Q203*Ramure*Pc/MaxiM</f>
        <v>1.7232038668912226E-5</v>
      </c>
      <c r="Q203" s="305">
        <f t="shared" si="53"/>
        <v>0.7</v>
      </c>
      <c r="R203" s="177">
        <f t="shared" si="54"/>
        <v>0.68312070816356441</v>
      </c>
      <c r="S203" s="810">
        <f t="shared" si="55"/>
        <v>-2</v>
      </c>
      <c r="T203" s="176">
        <f t="shared" si="56"/>
        <v>4</v>
      </c>
      <c r="U203" s="251">
        <f t="shared" si="57"/>
        <v>-1.3168792918364356</v>
      </c>
      <c r="V203" s="383">
        <f t="shared" si="58"/>
        <v>57.348655940481336</v>
      </c>
      <c r="W203" s="402">
        <f t="shared" si="59"/>
        <v>58.610488124030795</v>
      </c>
      <c r="X203" s="157">
        <f t="shared" si="60"/>
        <v>45846</v>
      </c>
      <c r="Y203" s="385">
        <f t="shared" si="61"/>
        <v>53.343204071788243</v>
      </c>
      <c r="Z203" s="385">
        <f t="shared" si="62"/>
        <v>56.582167977005042</v>
      </c>
      <c r="AA203" s="386">
        <f t="shared" si="63"/>
        <v>64.157041409683814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0.11806768619999722</v>
      </c>
      <c r="AD203" s="231">
        <f>(INDEX(Models!$BJ203:$BT203,,AH203)*(1-AF203)+INDEX(Models!$BJ203:$BT203,,AH203+1)*AF203-ERP_i)*AE203*Ramure*Pc/MaxiM</f>
        <v>2.9257934264098525E-4</v>
      </c>
      <c r="AE203" s="305">
        <f t="shared" si="65"/>
        <v>0.7</v>
      </c>
      <c r="AF203" s="177">
        <f t="shared" si="66"/>
        <v>0.50311076126274812</v>
      </c>
      <c r="AG203" s="810">
        <f t="shared" si="74"/>
        <v>1</v>
      </c>
      <c r="AH203" s="176">
        <f t="shared" si="67"/>
        <v>7</v>
      </c>
      <c r="AI203" s="225">
        <f t="shared" si="68"/>
        <v>1.5031107612627481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57.607495921899705</v>
      </c>
      <c r="C204" s="840"/>
      <c r="D204" s="393">
        <f t="shared" si="50"/>
        <v>61.10680683934271</v>
      </c>
      <c r="E204" s="385">
        <f t="shared" si="75"/>
        <v>63.08950079684454</v>
      </c>
      <c r="F204" s="385">
        <f t="shared" si="51"/>
        <v>63.090588335933624</v>
      </c>
      <c r="G204" s="110">
        <f t="shared" si="76"/>
        <v>1.0062294790360251</v>
      </c>
      <c r="H204" s="414" t="b">
        <f>Wh_hp&gt;='2024'!Maxi_hp</f>
        <v>1</v>
      </c>
      <c r="I204" s="390">
        <f>IF(H204,Wh_hp,'2024'!Maxi_hp)</f>
        <v>63.090588335933624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5.7265484787040521E-2</v>
      </c>
      <c r="M204" s="844"/>
      <c r="N204" s="844"/>
      <c r="O204" s="48">
        <f>IF(t&lt;Tnet,'2024'!Resal+('2024'!Salim-'2024'!Resal)*(1-EXP(('2024'!Tnet-t)/('2024'!Tau_j))),Resal+(Salim-Resal)*(1-EXP((Tnet-t)/(Tau_j))))*Salcycl</f>
        <v>3.1426686413105934E-2</v>
      </c>
      <c r="P204" s="169">
        <f>(INDEX(Models!$BJ204:$BT204,,T204)*(1-R204)+INDEX(Models!$BJ204:$BT204,,T204+1)*R204-ERP_i)*Q204*Ramure*Pc/MaxiM</f>
        <v>1.7237738904882316E-5</v>
      </c>
      <c r="Q204" s="305">
        <f t="shared" si="53"/>
        <v>0.7</v>
      </c>
      <c r="R204" s="177">
        <f t="shared" si="54"/>
        <v>0.68609519066392588</v>
      </c>
      <c r="S204" s="810">
        <f t="shared" si="55"/>
        <v>-2</v>
      </c>
      <c r="T204" s="176">
        <f t="shared" si="56"/>
        <v>4</v>
      </c>
      <c r="U204" s="251">
        <f t="shared" si="57"/>
        <v>-1.3139048093360741</v>
      </c>
      <c r="V204" s="383">
        <f t="shared" si="58"/>
        <v>57.250852933754317</v>
      </c>
      <c r="W204" s="402">
        <f t="shared" si="59"/>
        <v>57.607495921899705</v>
      </c>
      <c r="X204" s="157">
        <f t="shared" si="60"/>
        <v>45847</v>
      </c>
      <c r="Y204" s="385">
        <f t="shared" si="61"/>
        <v>52.43427739149849</v>
      </c>
      <c r="Z204" s="385">
        <f t="shared" si="62"/>
        <v>55.61934621610181</v>
      </c>
      <c r="AA204" s="386">
        <f t="shared" si="63"/>
        <v>63.07208692322483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0.11816226591954922</v>
      </c>
      <c r="AD204" s="231">
        <f>(INDEX(Models!$BJ204:$BT204,,AH204)*(1-AF204)+INDEX(Models!$BJ204:$BT204,,AH204+1)*AF204-ERP_i)*AE204*Ramure*Pc/MaxiM</f>
        <v>2.9325154823854654E-4</v>
      </c>
      <c r="AE204" s="305">
        <f t="shared" si="65"/>
        <v>0.7</v>
      </c>
      <c r="AF204" s="177">
        <f t="shared" si="66"/>
        <v>0.50608524376310982</v>
      </c>
      <c r="AG204" s="810">
        <f t="shared" si="74"/>
        <v>1</v>
      </c>
      <c r="AH204" s="176">
        <f t="shared" si="67"/>
        <v>7</v>
      </c>
      <c r="AI204" s="225">
        <f t="shared" si="68"/>
        <v>1.5060852437631098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56.935485876664366</v>
      </c>
      <c r="C205" s="840"/>
      <c r="D205" s="393">
        <f t="shared" si="50"/>
        <v>60.395381690858201</v>
      </c>
      <c r="E205" s="385">
        <f t="shared" si="75"/>
        <v>62.366362081947941</v>
      </c>
      <c r="F205" s="385">
        <f t="shared" si="51"/>
        <v>62.367430782102417</v>
      </c>
      <c r="G205" s="110">
        <f t="shared" si="76"/>
        <v>0.99625264803254265</v>
      </c>
      <c r="H205" s="414" t="b">
        <f>Wh_hp&gt;='2024'!Maxi_hp</f>
        <v>0</v>
      </c>
      <c r="I205" s="390">
        <f>IF(H205,Wh_hp,'2024'!Maxi_hp)</f>
        <v>63.53664171225423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5.7287423596456E-2</v>
      </c>
      <c r="M205" s="844"/>
      <c r="N205" s="844"/>
      <c r="O205" s="48">
        <f>IF(t&lt;Tnet,'2024'!Resal+('2024'!Salim-'2024'!Resal)*(1-EXP(('2024'!Tnet-t)/('2024'!Tau_j))),Resal+(Salim-Resal)*(1-EXP((Tnet-t)/(Tau_j))))*Salcycl</f>
        <v>3.1603260560555298E-2</v>
      </c>
      <c r="P205" s="169">
        <f>(INDEX(Models!$BJ205:$BT205,,T205)*(1-R205)+INDEX(Models!$BJ205:$BT205,,T205+1)*R205-ERP_i)*Q205*Ramure*Pc/MaxiM</f>
        <v>1.7227773021495396E-5</v>
      </c>
      <c r="Q205" s="305">
        <f t="shared" si="53"/>
        <v>0.7</v>
      </c>
      <c r="R205" s="177">
        <f t="shared" si="54"/>
        <v>0.68900510078218891</v>
      </c>
      <c r="S205" s="810">
        <f t="shared" si="55"/>
        <v>-2</v>
      </c>
      <c r="T205" s="176">
        <f t="shared" si="56"/>
        <v>4</v>
      </c>
      <c r="U205" s="251">
        <f t="shared" si="57"/>
        <v>-1.3109948992178111</v>
      </c>
      <c r="V205" s="383">
        <f t="shared" si="58"/>
        <v>57.149640443298914</v>
      </c>
      <c r="W205" s="402">
        <f t="shared" si="59"/>
        <v>56.935485876664366</v>
      </c>
      <c r="X205" s="157">
        <f t="shared" si="60"/>
        <v>45848</v>
      </c>
      <c r="Y205" s="385">
        <f t="shared" si="61"/>
        <v>51.826625985947658</v>
      </c>
      <c r="Z205" s="385">
        <f t="shared" si="62"/>
        <v>54.976062994371674</v>
      </c>
      <c r="AA205" s="386">
        <f t="shared" si="63"/>
        <v>62.349190415087598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0.11825538345613759</v>
      </c>
      <c r="AD205" s="231">
        <f>(INDEX(Models!$BJ205:$BT205,,AH205)*(1-AF205)+INDEX(Models!$BJ205:$BT205,,AH205+1)*AF205-ERP_i)*AE205*Ramure*Pc/MaxiM</f>
        <v>2.9404028945082434E-4</v>
      </c>
      <c r="AE205" s="305">
        <f t="shared" si="65"/>
        <v>0.7</v>
      </c>
      <c r="AF205" s="177">
        <f t="shared" si="66"/>
        <v>0.50899515388137262</v>
      </c>
      <c r="AG205" s="810">
        <f t="shared" si="74"/>
        <v>1</v>
      </c>
      <c r="AH205" s="176">
        <f t="shared" si="67"/>
        <v>7</v>
      </c>
      <c r="AI205" s="225">
        <f t="shared" si="68"/>
        <v>1.5089951538813726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55.129711391538429</v>
      </c>
      <c r="C206" s="840"/>
      <c r="D206" s="393">
        <f t="shared" si="50"/>
        <v>58.481233570303914</v>
      </c>
      <c r="E206" s="385">
        <f t="shared" si="75"/>
        <v>60.400728348799277</v>
      </c>
      <c r="F206" s="385">
        <f t="shared" si="51"/>
        <v>60.401718148269019</v>
      </c>
      <c r="G206" s="110">
        <f t="shared" si="76"/>
        <v>0.96641396621500131</v>
      </c>
      <c r="H206" s="414" t="b">
        <f>Wh_hp&gt;='2024'!Maxi_hp</f>
        <v>0</v>
      </c>
      <c r="I206" s="390">
        <f>IF(H206,Wh_hp,'2024'!Maxi_hp)</f>
        <v>62.742397262991474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5.730936189532343E-2</v>
      </c>
      <c r="M206" s="844"/>
      <c r="N206" s="844"/>
      <c r="O206" s="48">
        <f>IF(t&lt;Tnet,'2024'!Resal+('2024'!Salim-'2024'!Resal)*(1-EXP(('2024'!Tnet-t)/('2024'!Tau_j))),Resal+(Salim-Resal)*(1-EXP((Tnet-t)/(Tau_j))))*Salcycl</f>
        <v>3.1779331656577939E-2</v>
      </c>
      <c r="P206" s="169">
        <f>(INDEX(Models!$BJ206:$BT206,,T206)*(1-R206)+INDEX(Models!$BJ206:$BT206,,T206+1)*R206-ERP_i)*Q206*Ramure*Pc/MaxiM</f>
        <v>1.7212793322477521E-5</v>
      </c>
      <c r="Q206" s="305">
        <f t="shared" si="53"/>
        <v>0.7</v>
      </c>
      <c r="R206" s="177">
        <f t="shared" si="54"/>
        <v>0.69185014162888048</v>
      </c>
      <c r="S206" s="810">
        <f t="shared" si="55"/>
        <v>-2</v>
      </c>
      <c r="T206" s="176">
        <f t="shared" si="56"/>
        <v>4</v>
      </c>
      <c r="U206" s="251">
        <f t="shared" si="57"/>
        <v>-1.3081498583711195</v>
      </c>
      <c r="V206" s="383">
        <f t="shared" si="58"/>
        <v>57.045601356301795</v>
      </c>
      <c r="W206" s="402">
        <f t="shared" si="59"/>
        <v>55.129711391538429</v>
      </c>
      <c r="X206" s="157">
        <f t="shared" si="60"/>
        <v>45849</v>
      </c>
      <c r="Y206" s="385">
        <f t="shared" si="61"/>
        <v>50.187336636648318</v>
      </c>
      <c r="Z206" s="385">
        <f t="shared" si="62"/>
        <v>53.238395087440665</v>
      </c>
      <c r="AA206" s="386">
        <f t="shared" si="63"/>
        <v>60.384755526342389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0.11834709566364275</v>
      </c>
      <c r="AD206" s="231">
        <f>(INDEX(Models!$BJ206:$BT206,,AH206)*(1-AF206)+INDEX(Models!$BJ206:$BT206,,AH206+1)*AF206-ERP_i)*AE206*Ramure*Pc/MaxiM</f>
        <v>2.9498308935852651E-4</v>
      </c>
      <c r="AE206" s="305">
        <f t="shared" si="65"/>
        <v>0.7</v>
      </c>
      <c r="AF206" s="177">
        <f t="shared" si="66"/>
        <v>0.51184019472806419</v>
      </c>
      <c r="AG206" s="810">
        <f t="shared" si="74"/>
        <v>1</v>
      </c>
      <c r="AH206" s="176">
        <f t="shared" si="67"/>
        <v>7</v>
      </c>
      <c r="AI206" s="225">
        <f t="shared" si="68"/>
        <v>1.5118401947280642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54.748262551935973</v>
      </c>
      <c r="C207" s="840"/>
      <c r="D207" s="393">
        <f t="shared" ref="D207:D270" si="77">Wh/(1-Ppv)</f>
        <v>58.077946720372992</v>
      </c>
      <c r="E207" s="385">
        <f t="shared" si="75"/>
        <v>59.995084253689711</v>
      </c>
      <c r="F207" s="385">
        <f t="shared" ref="F207:F270" si="78">Wh_sa/(1-Pvg*MEDIAN((-Sdif+Wh/Env_an)/Csdif,0,1))</f>
        <v>59.996059154249359</v>
      </c>
      <c r="G207" s="110">
        <f t="shared" si="76"/>
        <v>0.96153005880795139</v>
      </c>
      <c r="H207" s="414" t="b">
        <f>Wh_hp&gt;='2024'!Maxi_hp</f>
        <v>0</v>
      </c>
      <c r="I207" s="390">
        <f>IF(H207,Wh_hp,'2024'!Maxi_hp)</f>
        <v>63.292549815565977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5.7331299683654469E-2</v>
      </c>
      <c r="M207" s="844"/>
      <c r="N207" s="844"/>
      <c r="O207" s="48">
        <f>IF(t&lt;Tnet,'2024'!Resal+('2024'!Salim-'2024'!Resal)*(1-EXP(('2024'!Tnet-t)/('2024'!Tau_j))),Resal+(Salim-Resal)*(1-EXP((Tnet-t)/(Tau_j))))*Salcycl</f>
        <v>3.1954910259148608E-2</v>
      </c>
      <c r="P207" s="169">
        <f>(INDEX(Models!$BJ207:$BT207,,T207)*(1-R207)+INDEX(Models!$BJ207:$BT207,,T207+1)*R207-ERP_i)*Q207*Ramure*Pc/MaxiM</f>
        <v>1.7194337853611229E-5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0.69463013646625504</v>
      </c>
      <c r="S207" s="810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-1.305369863533745</v>
      </c>
      <c r="V207" s="383">
        <f t="shared" ref="V207:V270" si="85">MaxiM*(1-Ppv)*(1-Pvg)*(1-Psa)</f>
        <v>56.938636828272571</v>
      </c>
      <c r="W207" s="402">
        <f t="shared" ref="W207:W270" si="86">Wh*(A207&gt;Tmaj)</f>
        <v>54.748262551935973</v>
      </c>
      <c r="X207" s="157">
        <f t="shared" ref="X207:X270" si="87">t</f>
        <v>45850</v>
      </c>
      <c r="Y207" s="385">
        <f t="shared" ref="Y207:Y270" si="88">Wh_pvt_s*(1-Ppv)</f>
        <v>49.844063489889066</v>
      </c>
      <c r="Z207" s="385">
        <f t="shared" ref="Z207:Z270" si="89">Wh_sa_s*(1-Psa_s)</f>
        <v>52.875483691313974</v>
      </c>
      <c r="AA207" s="386">
        <f t="shared" ref="AA207:AA270" si="90">Wh_hp*(1-Pvg_s*MEDIAN((-Sdif+Wh/Env_an)/Csdif,0,1))</f>
        <v>59.979276920290793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0.11843746029845234</v>
      </c>
      <c r="AD207" s="231">
        <f>(INDEX(Models!$BJ207:$BT207,,AH207)*(1-AF207)+INDEX(Models!$BJ207:$BT207,,AH207+1)*AF207-ERP_i)*AE207*Ramure*Pc/MaxiM</f>
        <v>2.9598854751516511E-4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0.51462018956543876</v>
      </c>
      <c r="AG207" s="810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1.5146201895654388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54.252727273162982</v>
      </c>
      <c r="C208" s="840"/>
      <c r="D208" s="393">
        <f t="shared" si="77"/>
        <v>57.553613294426533</v>
      </c>
      <c r="E208" s="385">
        <f t="shared" si="75"/>
        <v>59.46419842966975</v>
      </c>
      <c r="F208" s="385">
        <f t="shared" si="78"/>
        <v>59.465153485098078</v>
      </c>
      <c r="G208" s="110">
        <f t="shared" si="76"/>
        <v>0.95467108099184528</v>
      </c>
      <c r="H208" s="414" t="b">
        <f>Wh_hp&gt;='2024'!Maxi_hp</f>
        <v>1</v>
      </c>
      <c r="I208" s="390">
        <f>IF(H208,Wh_hp,'2024'!Maxi_hp)</f>
        <v>59.465153485098078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5.7353236961461218E-2</v>
      </c>
      <c r="M208" s="844"/>
      <c r="N208" s="844"/>
      <c r="O208" s="48">
        <f>IF(t&lt;Tnet,'2024'!Resal+('2024'!Salim-'2024'!Resal)*(1-EXP(('2024'!Tnet-t)/('2024'!Tau_j))),Resal+(Salim-Resal)*(1-EXP((Tnet-t)/(Tau_j))))*Salcycl</f>
        <v>3.2130007394330369E-2</v>
      </c>
      <c r="P208" s="169">
        <f>(INDEX(Models!$BJ208:$BT208,,T208)*(1-R208)+INDEX(Models!$BJ208:$BT208,,T208+1)*R208-ERP_i)*Q208*Ramure*Pc/MaxiM</f>
        <v>1.7172764405305181E-5</v>
      </c>
      <c r="Q208" s="305">
        <f t="shared" si="80"/>
        <v>0.7</v>
      </c>
      <c r="R208" s="177">
        <f t="shared" si="81"/>
        <v>0.69734502384013131</v>
      </c>
      <c r="S208" s="810">
        <f t="shared" si="82"/>
        <v>-2</v>
      </c>
      <c r="T208" s="176">
        <f t="shared" si="83"/>
        <v>4</v>
      </c>
      <c r="U208" s="251">
        <f t="shared" si="84"/>
        <v>-1.3026549761598687</v>
      </c>
      <c r="V208" s="383">
        <f t="shared" si="85"/>
        <v>56.828648131289711</v>
      </c>
      <c r="W208" s="402">
        <f t="shared" si="86"/>
        <v>54.252727273162982</v>
      </c>
      <c r="X208" s="157">
        <f t="shared" si="87"/>
        <v>45851</v>
      </c>
      <c r="Y208" s="385">
        <f t="shared" si="88"/>
        <v>49.396945416344607</v>
      </c>
      <c r="Z208" s="385">
        <f t="shared" si="89"/>
        <v>52.402392235579221</v>
      </c>
      <c r="AA208" s="386">
        <f t="shared" si="90"/>
        <v>59.448632722367812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0.11852653566811822</v>
      </c>
      <c r="AD208" s="231">
        <f>(INDEX(Models!$BJ208:$BT208,,AH208)*(1-AF208)+INDEX(Models!$BJ208:$BT208,,AH208+1)*AF208-ERP_i)*AE208*Ramure*Pc/MaxiM</f>
        <v>2.9705832535895988E-4</v>
      </c>
      <c r="AE208" s="305">
        <f t="shared" si="92"/>
        <v>0.7</v>
      </c>
      <c r="AF208" s="177">
        <f t="shared" si="93"/>
        <v>0.51733507693931502</v>
      </c>
      <c r="AG208" s="810">
        <f t="shared" ref="AG208:AG271" si="99">INDEX(Echel_vg,AH208)</f>
        <v>1</v>
      </c>
      <c r="AH208" s="176">
        <f t="shared" si="94"/>
        <v>7</v>
      </c>
      <c r="AI208" s="225">
        <f t="shared" si="95"/>
        <v>1.517335076939315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53.338200201924778</v>
      </c>
      <c r="C209" s="840"/>
      <c r="D209" s="393">
        <f t="shared" si="77"/>
        <v>56.584760676117035</v>
      </c>
      <c r="E209" s="385">
        <f t="shared" si="75"/>
        <v>58.473733254661276</v>
      </c>
      <c r="F209" s="385">
        <f t="shared" si="78"/>
        <v>58.474650699872115</v>
      </c>
      <c r="G209" s="110">
        <f t="shared" si="76"/>
        <v>0.94044992950685613</v>
      </c>
      <c r="H209" s="414" t="b">
        <f>Wh_hp&gt;='2024'!Maxi_hp</f>
        <v>0</v>
      </c>
      <c r="I209" s="390">
        <f>IF(H209,Wh_hp,'2024'!Maxi_hp)</f>
        <v>63.373727610861152</v>
      </c>
      <c r="J209" s="85">
        <f>IF(H209,An,'2024'!An_max)</f>
        <v>2020</v>
      </c>
      <c r="K209" s="197">
        <f t="shared" si="79"/>
        <v>45852</v>
      </c>
      <c r="L209" s="147">
        <f>IF(t&lt;Tvie,1-EXP((T0-t)*PertePVj)+'2024'!Pspv,1-EXP((T0-t)*PertePVj)+Pspv)</f>
        <v>5.7375173728755335E-2</v>
      </c>
      <c r="M209" s="844"/>
      <c r="N209" s="844"/>
      <c r="O209" s="48">
        <f>IF(t&lt;Tnet,'2024'!Resal+('2024'!Salim-'2024'!Resal)*(1-EXP(('2024'!Tnet-t)/('2024'!Tau_j))),Resal+(Salim-Resal)*(1-EXP((Tnet-t)/(Tau_j))))*Salcycl</f>
        <v>3.2304634464119096E-2</v>
      </c>
      <c r="P209" s="169">
        <f>(INDEX(Models!$BJ209:$BT209,,T209)*(1-R209)+INDEX(Models!$BJ209:$BT209,,T209+1)*R209-ERP_i)*Q209*Ramure*Pc/MaxiM</f>
        <v>1.7148432536372502E-5</v>
      </c>
      <c r="Q209" s="305">
        <f t="shared" si="80"/>
        <v>0.7</v>
      </c>
      <c r="R209" s="177">
        <f t="shared" si="81"/>
        <v>0.69999485247863769</v>
      </c>
      <c r="S209" s="810">
        <f t="shared" si="82"/>
        <v>-2</v>
      </c>
      <c r="T209" s="176">
        <f t="shared" si="83"/>
        <v>4</v>
      </c>
      <c r="U209" s="251">
        <f t="shared" si="84"/>
        <v>-1.3000051475213623</v>
      </c>
      <c r="V209" s="383">
        <f t="shared" si="85"/>
        <v>56.715536592559758</v>
      </c>
      <c r="W209" s="402">
        <f t="shared" si="86"/>
        <v>53.338200201924778</v>
      </c>
      <c r="X209" s="157">
        <f t="shared" si="87"/>
        <v>45852</v>
      </c>
      <c r="Y209" s="385">
        <f t="shared" si="88"/>
        <v>48.568419059370505</v>
      </c>
      <c r="Z209" s="385">
        <f t="shared" si="89"/>
        <v>51.524655096867477</v>
      </c>
      <c r="AA209" s="386">
        <f t="shared" si="90"/>
        <v>58.458697242700779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0.11861438028708532</v>
      </c>
      <c r="AD209" s="231">
        <f>(INDEX(Models!$BJ209:$BT209,,AH209)*(1-AF209)+INDEX(Models!$BJ209:$BT209,,AH209+1)*AF209-ERP_i)*AE209*Ramure*Pc/MaxiM</f>
        <v>2.98194138234503E-4</v>
      </c>
      <c r="AE209" s="305">
        <f t="shared" si="92"/>
        <v>0.7</v>
      </c>
      <c r="AF209" s="177">
        <f t="shared" si="93"/>
        <v>0.5199849055778214</v>
      </c>
      <c r="AG209" s="810">
        <f t="shared" si="99"/>
        <v>1</v>
      </c>
      <c r="AH209" s="176">
        <f t="shared" si="94"/>
        <v>7</v>
      </c>
      <c r="AI209" s="225">
        <f t="shared" si="95"/>
        <v>1.5199849055778214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52.33869981260105</v>
      </c>
      <c r="C210" s="840"/>
      <c r="D210" s="393">
        <f t="shared" si="77"/>
        <v>55.525715406833349</v>
      </c>
      <c r="E210" s="385">
        <f t="shared" si="75"/>
        <v>57.389662973642572</v>
      </c>
      <c r="F210" s="385">
        <f t="shared" si="78"/>
        <v>57.39053993027737</v>
      </c>
      <c r="G210" s="110">
        <f t="shared" si="76"/>
        <v>0.92472331970871613</v>
      </c>
      <c r="H210" s="414" t="b">
        <f>Wh_hp&gt;='2024'!Maxi_hp</f>
        <v>0</v>
      </c>
      <c r="I210" s="390">
        <f>IF(H210,Wh_hp,'2024'!Maxi_hp)</f>
        <v>64.452290266215414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5.7397109985548922E-2</v>
      </c>
      <c r="M210" s="844"/>
      <c r="N210" s="844"/>
      <c r="O210" s="48">
        <f>IF(t&lt;Tnet,'2024'!Resal+('2024'!Salim-'2024'!Resal)*(1-EXP(('2024'!Tnet-t)/('2024'!Tau_j))),Resal+(Salim-Resal)*(1-EXP((Tnet-t)/(Tau_j))))*Salcycl</f>
        <v>3.2478803154241856E-2</v>
      </c>
      <c r="P210" s="169">
        <f>(INDEX(Models!$BJ210:$BT210,,T210)*(1-R210)+INDEX(Models!$BJ210:$BT210,,T210+1)*R210-ERP_i)*Q210*Ramure*Pc/MaxiM</f>
        <v>1.712170248802706E-5</v>
      </c>
      <c r="Q210" s="305">
        <f t="shared" si="80"/>
        <v>0.7</v>
      </c>
      <c r="R210" s="177">
        <f t="shared" si="81"/>
        <v>0.70257977600275945</v>
      </c>
      <c r="S210" s="810">
        <f t="shared" si="82"/>
        <v>-2</v>
      </c>
      <c r="T210" s="176">
        <f t="shared" si="83"/>
        <v>4</v>
      </c>
      <c r="U210" s="251">
        <f t="shared" si="84"/>
        <v>-1.2974202239972406</v>
      </c>
      <c r="V210" s="383">
        <f t="shared" si="85"/>
        <v>56.599203599533908</v>
      </c>
      <c r="W210" s="402">
        <f t="shared" si="86"/>
        <v>52.33869981260105</v>
      </c>
      <c r="X210" s="157">
        <f t="shared" si="87"/>
        <v>45853</v>
      </c>
      <c r="Y210" s="385">
        <f t="shared" si="88"/>
        <v>47.662439744480771</v>
      </c>
      <c r="Z210" s="385">
        <f t="shared" si="89"/>
        <v>50.564707841867595</v>
      </c>
      <c r="AA210" s="386">
        <f t="shared" si="90"/>
        <v>57.375205073951506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0.11870105254187396</v>
      </c>
      <c r="AD210" s="231">
        <f>(INDEX(Models!$BJ210:$BT210,,AH210)*(1-AF210)+INDEX(Models!$BJ210:$BT210,,AH210+1)*AF210-ERP_i)*AE210*Ramure*Pc/MaxiM</f>
        <v>2.9939775501924859E-4</v>
      </c>
      <c r="AE210" s="305">
        <f t="shared" si="92"/>
        <v>0.7</v>
      </c>
      <c r="AF210" s="177">
        <f t="shared" si="93"/>
        <v>0.52256982910194338</v>
      </c>
      <c r="AG210" s="810">
        <f t="shared" si="99"/>
        <v>1</v>
      </c>
      <c r="AH210" s="176">
        <f t="shared" si="94"/>
        <v>7</v>
      </c>
      <c r="AI210" s="225">
        <f t="shared" si="95"/>
        <v>1.5225698291019434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53.914282561532822</v>
      </c>
      <c r="C211" s="840"/>
      <c r="D211" s="393">
        <f t="shared" si="77"/>
        <v>57.198569860128153</v>
      </c>
      <c r="E211" s="385">
        <f t="shared" si="75"/>
        <v>59.129290517234296</v>
      </c>
      <c r="F211" s="385">
        <f t="shared" si="78"/>
        <v>59.130235646717594</v>
      </c>
      <c r="G211" s="110">
        <f t="shared" si="76"/>
        <v>0.95457952815660985</v>
      </c>
      <c r="H211" s="414" t="b">
        <f>Wh_hp&gt;='2024'!Maxi_hp</f>
        <v>0</v>
      </c>
      <c r="I211" s="390">
        <f>IF(H211,Wh_hp,'2024'!Maxi_hp)</f>
        <v>62.090421221534129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5.7419045731853746E-2</v>
      </c>
      <c r="M211" s="844"/>
      <c r="N211" s="844"/>
      <c r="O211" s="48">
        <f>IF(t&lt;Tnet,'2024'!Resal+('2024'!Salim-'2024'!Resal)*(1-EXP(('2024'!Tnet-t)/('2024'!Tau_j))),Resal+(Salim-Resal)*(1-EXP((Tnet-t)/(Tau_j))))*Salcycl</f>
        <v>3.2652525342637101E-2</v>
      </c>
      <c r="P211" s="169">
        <f>(INDEX(Models!$BJ211:$BT211,,T211)*(1-R211)+INDEX(Models!$BJ211:$BT211,,T211+1)*R211-ERP_i)*Q211*Ramure*Pc/MaxiM</f>
        <v>1.7092934180729289E-5</v>
      </c>
      <c r="Q211" s="305">
        <f t="shared" si="80"/>
        <v>0.7</v>
      </c>
      <c r="R211" s="177">
        <f t="shared" si="81"/>
        <v>0.70510004749183275</v>
      </c>
      <c r="S211" s="810">
        <f t="shared" si="82"/>
        <v>-2</v>
      </c>
      <c r="T211" s="176">
        <f t="shared" si="83"/>
        <v>4</v>
      </c>
      <c r="U211" s="251">
        <f t="shared" si="84"/>
        <v>-1.2948999525081673</v>
      </c>
      <c r="V211" s="383">
        <f t="shared" si="85"/>
        <v>56.47955060362596</v>
      </c>
      <c r="W211" s="402">
        <f t="shared" si="86"/>
        <v>53.914282561532822</v>
      </c>
      <c r="X211" s="157">
        <f t="shared" si="87"/>
        <v>45854</v>
      </c>
      <c r="Y211" s="385">
        <f t="shared" si="88"/>
        <v>49.100649062104601</v>
      </c>
      <c r="Z211" s="385">
        <f t="shared" si="89"/>
        <v>52.091705057024107</v>
      </c>
      <c r="AA211" s="386">
        <f t="shared" si="90"/>
        <v>59.113610471552882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0.11878661036797798</v>
      </c>
      <c r="AD211" s="231">
        <f>(INDEX(Models!$BJ211:$BT211,,AH211)*(1-AF211)+INDEX(Models!$BJ211:$BT211,,AH211+1)*AF211-ERP_i)*AE211*Ramure*Pc/MaxiM</f>
        <v>3.0067099784025254E-4</v>
      </c>
      <c r="AE211" s="305">
        <f t="shared" si="92"/>
        <v>0.7</v>
      </c>
      <c r="AF211" s="177">
        <f t="shared" si="93"/>
        <v>0.52509010059101646</v>
      </c>
      <c r="AG211" s="810">
        <f t="shared" si="99"/>
        <v>1</v>
      </c>
      <c r="AH211" s="176">
        <f t="shared" si="94"/>
        <v>7</v>
      </c>
      <c r="AI211" s="225">
        <f t="shared" si="95"/>
        <v>1.5250901005910165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52.976002060779379</v>
      </c>
      <c r="C212" s="840"/>
      <c r="D212" s="393">
        <f t="shared" si="77"/>
        <v>56.204440243081422</v>
      </c>
      <c r="E212" s="385">
        <f t="shared" si="75"/>
        <v>58.112014360060087</v>
      </c>
      <c r="F212" s="385">
        <f t="shared" si="78"/>
        <v>58.112921380056569</v>
      </c>
      <c r="G212" s="110">
        <f t="shared" si="76"/>
        <v>0.9400148096116101</v>
      </c>
      <c r="H212" s="414" t="b">
        <f>Wh_hp&gt;='2024'!Maxi_hp</f>
        <v>0</v>
      </c>
      <c r="I212" s="390">
        <f>IF(H212,Wh_hp,'2024'!Maxi_hp)</f>
        <v>61.577914063437071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5.7440980967681687E-2</v>
      </c>
      <c r="M212" s="844"/>
      <c r="N212" s="844"/>
      <c r="O212" s="48">
        <f>IF(t&lt;Tnet,'2024'!Resal+('2024'!Salim-'2024'!Resal)*(1-EXP(('2024'!Tnet-t)/('2024'!Tau_j))),Resal+(Salim-Resal)*(1-EXP((Tnet-t)/(Tau_j))))*Salcycl</f>
        <v>3.2825813009327215E-2</v>
      </c>
      <c r="P212" s="169">
        <f>(INDEX(Models!$BJ212:$BT212,,T212)*(1-R212)+INDEX(Models!$BJ212:$BT212,,T212+1)*R212-ERP_i)*Q212*Ramure*Pc/MaxiM</f>
        <v>1.7070696337478544E-5</v>
      </c>
      <c r="Q212" s="305">
        <f t="shared" si="80"/>
        <v>0.7</v>
      </c>
      <c r="R212" s="177">
        <f t="shared" si="81"/>
        <v>0.70755601394509382</v>
      </c>
      <c r="S212" s="810">
        <f t="shared" si="82"/>
        <v>-2</v>
      </c>
      <c r="T212" s="176">
        <f t="shared" si="83"/>
        <v>4</v>
      </c>
      <c r="U212" s="251">
        <f t="shared" si="84"/>
        <v>-1.2924439860549062</v>
      </c>
      <c r="V212" s="383">
        <f t="shared" si="85"/>
        <v>56.356478668401365</v>
      </c>
      <c r="W212" s="402">
        <f t="shared" si="86"/>
        <v>52.976002060779379</v>
      </c>
      <c r="X212" s="157">
        <f t="shared" si="87"/>
        <v>45855</v>
      </c>
      <c r="Y212" s="385">
        <f t="shared" si="88"/>
        <v>48.25036627827069</v>
      </c>
      <c r="Z212" s="385">
        <f t="shared" si="89"/>
        <v>51.190817024706959</v>
      </c>
      <c r="AA212" s="386">
        <f t="shared" si="90"/>
        <v>58.096854683033804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0.11887111094060032</v>
      </c>
      <c r="AD212" s="231">
        <f>(INDEX(Models!$BJ212:$BT212,,AH212)*(1-AF212)+INDEX(Models!$BJ212:$BT212,,AH212+1)*AF212-ERP_i)*AE212*Ramure*Pc/MaxiM</f>
        <v>3.0238551199113147E-4</v>
      </c>
      <c r="AE212" s="305">
        <f t="shared" si="92"/>
        <v>0.7</v>
      </c>
      <c r="AF212" s="177">
        <f t="shared" si="93"/>
        <v>0.52754606704427753</v>
      </c>
      <c r="AG212" s="810">
        <f t="shared" si="99"/>
        <v>1</v>
      </c>
      <c r="AH212" s="176">
        <f t="shared" si="94"/>
        <v>7</v>
      </c>
      <c r="AI212" s="225">
        <f t="shared" si="95"/>
        <v>1.5275460670442775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53.718691628981759</v>
      </c>
      <c r="C213" s="840"/>
      <c r="D213" s="393">
        <f t="shared" si="77"/>
        <v>56.993716770816455</v>
      </c>
      <c r="E213" s="385">
        <f t="shared" si="75"/>
        <v>58.938613094844527</v>
      </c>
      <c r="F213" s="385">
        <f t="shared" si="78"/>
        <v>58.939554580216281</v>
      </c>
      <c r="G213" s="110">
        <f t="shared" si="76"/>
        <v>0.9553394841058821</v>
      </c>
      <c r="H213" s="414" t="b">
        <f>Wh_hp&gt;='2024'!Maxi_hp</f>
        <v>1</v>
      </c>
      <c r="I213" s="390">
        <f>IF(H213,Wh_hp,'2024'!Maxi_hp)</f>
        <v>58.939554580216281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5.7462915693044736E-2</v>
      </c>
      <c r="M213" s="844"/>
      <c r="N213" s="844"/>
      <c r="O213" s="48">
        <f>IF(t&lt;Tnet,'2024'!Resal+('2024'!Salim-'2024'!Resal)*(1-EXP(('2024'!Tnet-t)/('2024'!Tau_j))),Resal+(Salim-Resal)*(1-EXP((Tnet-t)/(Tau_j))))*Salcycl</f>
        <v>3.2998678148369875E-2</v>
      </c>
      <c r="P213" s="169">
        <f>(INDEX(Models!$BJ213:$BT213,,T213)*(1-R213)+INDEX(Models!$BJ213:$BT213,,T213+1)*R213-ERP_i)*Q213*Ramure*Pc/MaxiM</f>
        <v>1.7062306651908934E-5</v>
      </c>
      <c r="Q213" s="305">
        <f t="shared" si="80"/>
        <v>0.7</v>
      </c>
      <c r="R213" s="177">
        <f t="shared" si="81"/>
        <v>0.70994811067812602</v>
      </c>
      <c r="S213" s="810">
        <f t="shared" si="82"/>
        <v>-2</v>
      </c>
      <c r="T213" s="176">
        <f t="shared" si="83"/>
        <v>4</v>
      </c>
      <c r="U213" s="251">
        <f t="shared" si="84"/>
        <v>-1.290051889321874</v>
      </c>
      <c r="V213" s="383">
        <f t="shared" si="85"/>
        <v>56.229889003463988</v>
      </c>
      <c r="W213" s="402">
        <f t="shared" si="86"/>
        <v>53.718691628981759</v>
      </c>
      <c r="X213" s="157">
        <f t="shared" si="87"/>
        <v>45856</v>
      </c>
      <c r="Y213" s="385">
        <f t="shared" si="88"/>
        <v>48.930510641338103</v>
      </c>
      <c r="Z213" s="385">
        <f t="shared" si="89"/>
        <v>51.913618526019654</v>
      </c>
      <c r="AA213" s="386">
        <f t="shared" si="90"/>
        <v>58.922751469683455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0.11895461038118862</v>
      </c>
      <c r="AD213" s="231">
        <f>(INDEX(Models!$BJ213:$BT213,,AH213)*(1-AF213)+INDEX(Models!$BJ213:$BT213,,AH213+1)*AF213-ERP_i)*AE213*Ramure*Pc/MaxiM</f>
        <v>3.0451861836392315E-4</v>
      </c>
      <c r="AE213" s="305">
        <f t="shared" si="92"/>
        <v>0.7</v>
      </c>
      <c r="AF213" s="177">
        <f t="shared" si="93"/>
        <v>0.52993816377730973</v>
      </c>
      <c r="AG213" s="810">
        <f t="shared" si="99"/>
        <v>1</v>
      </c>
      <c r="AH213" s="176">
        <f t="shared" si="94"/>
        <v>7</v>
      </c>
      <c r="AI213" s="225">
        <f t="shared" si="95"/>
        <v>1.5299381637773097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45.355376156882663</v>
      </c>
      <c r="C214" s="840"/>
      <c r="D214" s="393">
        <f t="shared" si="77"/>
        <v>48.121641495580505</v>
      </c>
      <c r="E214" s="385">
        <f t="shared" si="75"/>
        <v>49.772656901627165</v>
      </c>
      <c r="F214" s="385">
        <f t="shared" si="78"/>
        <v>49.773274018163498</v>
      </c>
      <c r="G214" s="110">
        <f t="shared" si="76"/>
        <v>0.80847451712855922</v>
      </c>
      <c r="H214" s="414" t="b">
        <f>Wh_hp&gt;='2024'!Maxi_hp</f>
        <v>0</v>
      </c>
      <c r="I214" s="390">
        <f>IF(H214,Wh_hp,'2024'!Maxi_hp)</f>
        <v>61.968501061499985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5.7484849907954549E-2</v>
      </c>
      <c r="M214" s="844"/>
      <c r="N214" s="844"/>
      <c r="O214" s="48">
        <f>IF(t&lt;Tnet,'2024'!Resal+('2024'!Salim-'2024'!Resal)*(1-EXP(('2024'!Tnet-t)/('2024'!Tau_j))),Resal+(Salim-Resal)*(1-EXP((Tnet-t)/(Tau_j))))*Salcycl</f>
        <v>3.3171132682544895E-2</v>
      </c>
      <c r="P214" s="169">
        <f>(INDEX(Models!$BJ214:$BT214,,T214)*(1-R214)+INDEX(Models!$BJ214:$BT214,,T214+1)*R214-ERP_i)*Q214*Ramure*Pc/MaxiM</f>
        <v>1.7068548779701491E-5</v>
      </c>
      <c r="Q214" s="305">
        <f t="shared" si="80"/>
        <v>0.7</v>
      </c>
      <c r="R214" s="177">
        <f t="shared" si="81"/>
        <v>0.71227685569057719</v>
      </c>
      <c r="S214" s="810">
        <f t="shared" si="82"/>
        <v>-2</v>
      </c>
      <c r="T214" s="176">
        <f t="shared" si="83"/>
        <v>4</v>
      </c>
      <c r="U214" s="251">
        <f t="shared" si="84"/>
        <v>-1.2877231443094228</v>
      </c>
      <c r="V214" s="383">
        <f t="shared" si="85"/>
        <v>56.099683272507001</v>
      </c>
      <c r="W214" s="402">
        <f t="shared" si="86"/>
        <v>45.355376156882663</v>
      </c>
      <c r="X214" s="157">
        <f t="shared" si="87"/>
        <v>45857</v>
      </c>
      <c r="Y214" s="385">
        <f t="shared" si="88"/>
        <v>41.318567177765047</v>
      </c>
      <c r="Z214" s="385">
        <f t="shared" si="89"/>
        <v>43.83862389239038</v>
      </c>
      <c r="AA214" s="386">
        <f t="shared" si="90"/>
        <v>49.762171654868283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0.11903716348155789</v>
      </c>
      <c r="AD214" s="231">
        <f>(INDEX(Models!$BJ214:$BT214,,AH214)*(1-AF214)+INDEX(Models!$BJ214:$BT214,,AH214+1)*AF214-ERP_i)*AE214*Ramure*Pc/MaxiM</f>
        <v>3.0707527398633776E-4</v>
      </c>
      <c r="AE214" s="305">
        <f t="shared" si="92"/>
        <v>0.7</v>
      </c>
      <c r="AF214" s="177">
        <f t="shared" si="93"/>
        <v>0.53226690878976068</v>
      </c>
      <c r="AG214" s="810">
        <f t="shared" si="99"/>
        <v>1</v>
      </c>
      <c r="AH214" s="176">
        <f t="shared" si="94"/>
        <v>7</v>
      </c>
      <c r="AI214" s="225">
        <f t="shared" si="95"/>
        <v>1.5322669087897607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44.142926126754993</v>
      </c>
      <c r="C215" s="840"/>
      <c r="D215" s="393">
        <f t="shared" si="77"/>
        <v>46.836332993406202</v>
      </c>
      <c r="E215" s="385">
        <f t="shared" si="75"/>
        <v>48.451872919595679</v>
      </c>
      <c r="F215" s="385">
        <f t="shared" si="78"/>
        <v>48.452451082633246</v>
      </c>
      <c r="G215" s="110">
        <f t="shared" si="76"/>
        <v>0.7887446879483041</v>
      </c>
      <c r="H215" s="414" t="b">
        <f>Wh_hp&gt;='2024'!Maxi_hp</f>
        <v>0</v>
      </c>
      <c r="I215" s="390">
        <f>IF(H215,Wh_hp,'2024'!Maxi_hp)</f>
        <v>60.24378453040314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5.7506783612423229E-2</v>
      </c>
      <c r="M215" s="844"/>
      <c r="N215" s="844"/>
      <c r="O215" s="48">
        <f>IF(t&lt;Tnet,'2024'!Resal+('2024'!Salim-'2024'!Resal)*(1-EXP(('2024'!Tnet-t)/('2024'!Tau_j))),Resal+(Salim-Resal)*(1-EXP((Tnet-t)/(Tau_j))))*Salcycl</f>
        <v>3.3343188381394752E-2</v>
      </c>
      <c r="P215" s="169">
        <f>(INDEX(Models!$BJ215:$BT215,,T215)*(1-R215)+INDEX(Models!$BJ215:$BT215,,T215+1)*R215-ERP_i)*Q215*Ramure*Pc/MaxiM</f>
        <v>1.7090192188309603E-5</v>
      </c>
      <c r="Q215" s="305">
        <f t="shared" si="80"/>
        <v>0.7</v>
      </c>
      <c r="R215" s="177">
        <f t="shared" si="81"/>
        <v>0.71454284403892521</v>
      </c>
      <c r="S215" s="810">
        <f t="shared" si="82"/>
        <v>-2</v>
      </c>
      <c r="T215" s="176">
        <f t="shared" si="83"/>
        <v>4</v>
      </c>
      <c r="U215" s="251">
        <f t="shared" si="84"/>
        <v>-1.2854571559610748</v>
      </c>
      <c r="V215" s="383">
        <f t="shared" si="85"/>
        <v>55.965763226922384</v>
      </c>
      <c r="W215" s="402">
        <f t="shared" si="86"/>
        <v>44.142926126754993</v>
      </c>
      <c r="X215" s="157">
        <f t="shared" si="87"/>
        <v>45858</v>
      </c>
      <c r="Y215" s="385">
        <f t="shared" si="88"/>
        <v>40.217705047083278</v>
      </c>
      <c r="Z215" s="385">
        <f t="shared" si="89"/>
        <v>42.67161221725415</v>
      </c>
      <c r="AA215" s="386">
        <f t="shared" si="90"/>
        <v>48.44196170049068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0.11911882344719493</v>
      </c>
      <c r="AD215" s="231">
        <f>(INDEX(Models!$BJ215:$BT215,,AH215)*(1-AF215)+INDEX(Models!$BJ215:$BT215,,AH215+1)*AF215-ERP_i)*AE215*Ramure*Pc/MaxiM</f>
        <v>3.1006056268758535E-4</v>
      </c>
      <c r="AE215" s="305">
        <f t="shared" si="92"/>
        <v>0.7</v>
      </c>
      <c r="AF215" s="177">
        <f t="shared" si="93"/>
        <v>0.53453289713810892</v>
      </c>
      <c r="AG215" s="810">
        <f t="shared" si="99"/>
        <v>1</v>
      </c>
      <c r="AH215" s="176">
        <f t="shared" si="94"/>
        <v>7</v>
      </c>
      <c r="AI215" s="225">
        <f t="shared" si="95"/>
        <v>1.5345328971381089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51.266240088918124</v>
      </c>
      <c r="C216" s="840"/>
      <c r="D216" s="393">
        <f t="shared" si="77"/>
        <v>54.395546053354444</v>
      </c>
      <c r="E216" s="385">
        <f t="shared" si="75"/>
        <v>56.28182330077707</v>
      </c>
      <c r="F216" s="385">
        <f t="shared" si="78"/>
        <v>56.282674780576194</v>
      </c>
      <c r="G216" s="110">
        <f t="shared" si="76"/>
        <v>0.91828669111182148</v>
      </c>
      <c r="H216" s="414" t="b">
        <f>Wh_hp&gt;='2024'!Maxi_hp</f>
        <v>1</v>
      </c>
      <c r="I216" s="390">
        <f>IF(H216,Wh_hp,'2024'!Maxi_hp)</f>
        <v>56.282674780576194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5.7528716806462543E-2</v>
      </c>
      <c r="M216" s="844"/>
      <c r="N216" s="844"/>
      <c r="O216" s="48">
        <f>IF(t&lt;Tnet,'2024'!Resal+('2024'!Salim-'2024'!Resal)*(1-EXP(('2024'!Tnet-t)/('2024'!Tau_j))),Resal+(Salim-Resal)*(1-EXP((Tnet-t)/(Tau_j))))*Salcycl</f>
        <v>3.3514856783194921E-2</v>
      </c>
      <c r="P216" s="169">
        <f>(INDEX(Models!$BJ216:$BT216,,T216)*(1-R216)+INDEX(Models!$BJ216:$BT216,,T216+1)*R216-ERP_i)*Q216*Ramure*Pc/MaxiM</f>
        <v>1.7127992830211717E-5</v>
      </c>
      <c r="Q216" s="305">
        <f t="shared" si="80"/>
        <v>0.7</v>
      </c>
      <c r="R216" s="177">
        <f t="shared" si="81"/>
        <v>0.71674674224537327</v>
      </c>
      <c r="S216" s="810">
        <f t="shared" si="82"/>
        <v>-2</v>
      </c>
      <c r="T216" s="176">
        <f t="shared" si="83"/>
        <v>4</v>
      </c>
      <c r="U216" s="251">
        <f t="shared" si="84"/>
        <v>-1.2832532577546267</v>
      </c>
      <c r="V216" s="383">
        <f t="shared" si="85"/>
        <v>55.82803070522062</v>
      </c>
      <c r="W216" s="402">
        <f t="shared" si="86"/>
        <v>51.266240088918124</v>
      </c>
      <c r="X216" s="157">
        <f t="shared" si="87"/>
        <v>45859</v>
      </c>
      <c r="Y216" s="385">
        <f t="shared" si="88"/>
        <v>46.708946324303803</v>
      </c>
      <c r="Z216" s="385">
        <f t="shared" si="89"/>
        <v>49.560073773316304</v>
      </c>
      <c r="AA216" s="386">
        <f t="shared" si="90"/>
        <v>56.267090838590896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0.11919964166113536</v>
      </c>
      <c r="AD216" s="231">
        <f>(INDEX(Models!$BJ216:$BT216,,AH216)*(1-AF216)+INDEX(Models!$BJ216:$BT216,,AH216+1)*AF216-ERP_i)*AE216*Ramure*Pc/MaxiM</f>
        <v>3.1347971715145993E-4</v>
      </c>
      <c r="AE216" s="305">
        <f t="shared" si="92"/>
        <v>0.7</v>
      </c>
      <c r="AF216" s="177">
        <f t="shared" si="93"/>
        <v>0.53673679534455676</v>
      </c>
      <c r="AG216" s="810">
        <f t="shared" si="99"/>
        <v>1</v>
      </c>
      <c r="AH216" s="176">
        <f t="shared" si="94"/>
        <v>7</v>
      </c>
      <c r="AI216" s="225">
        <f t="shared" si="95"/>
        <v>1.5367367953445568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39.167056035920758</v>
      </c>
      <c r="C217" s="840"/>
      <c r="D217" s="393">
        <f t="shared" si="77"/>
        <v>41.558791477472269</v>
      </c>
      <c r="E217" s="385">
        <f t="shared" si="75"/>
        <v>43.007550227790908</v>
      </c>
      <c r="F217" s="385">
        <f t="shared" si="78"/>
        <v>43.007976046720486</v>
      </c>
      <c r="G217" s="110">
        <f t="shared" si="76"/>
        <v>0.70334551193616401</v>
      </c>
      <c r="H217" s="414" t="b">
        <f>Wh_hp&gt;='2024'!Maxi_hp</f>
        <v>0</v>
      </c>
      <c r="I217" s="390">
        <f>IF(H217,Wh_hp,'2024'!Maxi_hp)</f>
        <v>55.15109317310074</v>
      </c>
      <c r="J217" s="85">
        <f>IF(H217,An,'2024'!An_max)</f>
        <v>2020</v>
      </c>
      <c r="K217" s="197">
        <f t="shared" si="79"/>
        <v>45860</v>
      </c>
      <c r="L217" s="147">
        <f>IF(t&lt;Tvie,1-EXP((T0-t)*PertePVj)+'2024'!Pspv,1-EXP((T0-t)*PertePVj)+Pspv)</f>
        <v>5.7550649490084371E-2</v>
      </c>
      <c r="M217" s="844"/>
      <c r="N217" s="844"/>
      <c r="O217" s="48">
        <f>IF(t&lt;Tnet,'2024'!Resal+('2024'!Salim-'2024'!Resal)*(1-EXP(('2024'!Tnet-t)/('2024'!Tau_j))),Resal+(Salim-Resal)*(1-EXP((Tnet-t)/(Tau_j))))*Salcycl</f>
        <v>3.3686149121380828E-2</v>
      </c>
      <c r="P217" s="169">
        <f>(INDEX(Models!$BJ217:$BT217,,T217)*(1-R217)+INDEX(Models!$BJ217:$BT217,,T217+1)*R217-ERP_i)*Q217*Ramure*Pc/MaxiM</f>
        <v>1.7182693970566199E-5</v>
      </c>
      <c r="Q217" s="305">
        <f t="shared" si="80"/>
        <v>0.7</v>
      </c>
      <c r="R217" s="177">
        <f t="shared" si="81"/>
        <v>0.71888928277119657</v>
      </c>
      <c r="S217" s="810">
        <f t="shared" si="82"/>
        <v>-2</v>
      </c>
      <c r="T217" s="176">
        <f t="shared" si="83"/>
        <v>4</v>
      </c>
      <c r="U217" s="251">
        <f t="shared" si="84"/>
        <v>-1.2811107172288034</v>
      </c>
      <c r="V217" s="383">
        <f t="shared" si="85"/>
        <v>55.686387647507011</v>
      </c>
      <c r="W217" s="402">
        <f t="shared" si="86"/>
        <v>39.167056035920758</v>
      </c>
      <c r="X217" s="157">
        <f t="shared" si="87"/>
        <v>45860</v>
      </c>
      <c r="Y217" s="385">
        <f t="shared" si="88"/>
        <v>35.691567946175745</v>
      </c>
      <c r="Z217" s="385">
        <f t="shared" si="89"/>
        <v>37.871072781645715</v>
      </c>
      <c r="AA217" s="386">
        <f t="shared" si="90"/>
        <v>43.0001118207839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0.11927966746958764</v>
      </c>
      <c r="AD217" s="231">
        <f>(INDEX(Models!$BJ217:$BT217,,AH217)*(1-AF217)+INDEX(Models!$BJ217:$BT217,,AH217+1)*AF217-ERP_i)*AE217*Ramure*Pc/MaxiM</f>
        <v>3.1733814115944754E-4</v>
      </c>
      <c r="AE217" s="305">
        <f t="shared" si="92"/>
        <v>0.7</v>
      </c>
      <c r="AF217" s="177">
        <f t="shared" si="93"/>
        <v>0.53887933587038006</v>
      </c>
      <c r="AG217" s="810">
        <f t="shared" si="99"/>
        <v>1</v>
      </c>
      <c r="AH217" s="176">
        <f t="shared" si="94"/>
        <v>7</v>
      </c>
      <c r="AI217" s="225">
        <f t="shared" si="95"/>
        <v>1.5388793358703801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51.023233560693292</v>
      </c>
      <c r="C218" s="840"/>
      <c r="D218" s="393">
        <f t="shared" si="77"/>
        <v>54.140226152104923</v>
      </c>
      <c r="E218" s="385">
        <f t="shared" si="75"/>
        <v>56.037491784647308</v>
      </c>
      <c r="F218" s="385">
        <f t="shared" si="78"/>
        <v>56.038346373538147</v>
      </c>
      <c r="G218" s="110">
        <f t="shared" si="76"/>
        <v>0.91866141595964179</v>
      </c>
      <c r="H218" s="414" t="b">
        <f>Wh_hp&gt;='2024'!Maxi_hp</f>
        <v>0</v>
      </c>
      <c r="I218" s="390">
        <f>IF(H218,Wh_hp,'2024'!Maxi_hp)</f>
        <v>57.142071976400118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5.7572581663300704E-2</v>
      </c>
      <c r="M218" s="844"/>
      <c r="N218" s="844"/>
      <c r="O218" s="48">
        <f>IF(t&lt;Tnet,'2024'!Resal+('2024'!Salim-'2024'!Resal)*(1-EXP(('2024'!Tnet-t)/('2024'!Tau_j))),Resal+(Salim-Resal)*(1-EXP((Tnet-t)/(Tau_j))))*Salcycl</f>
        <v>3.3857076255903742E-2</v>
      </c>
      <c r="P218" s="169">
        <f>(INDEX(Models!$BJ218:$BT218,,T218)*(1-R218)+INDEX(Models!$BJ218:$BT218,,T218+1)*R218-ERP_i)*Q218*Ramure*Pc/MaxiM</f>
        <v>1.7255027168858153E-5</v>
      </c>
      <c r="Q218" s="305">
        <f t="shared" si="80"/>
        <v>0.7</v>
      </c>
      <c r="R218" s="177">
        <f t="shared" si="81"/>
        <v>0.72097125858010225</v>
      </c>
      <c r="S218" s="810">
        <f t="shared" si="82"/>
        <v>-2</v>
      </c>
      <c r="T218" s="176">
        <f t="shared" si="83"/>
        <v>4</v>
      </c>
      <c r="U218" s="251">
        <f t="shared" si="84"/>
        <v>-1.2790287414198978</v>
      </c>
      <c r="V218" s="383">
        <f t="shared" si="85"/>
        <v>55.540736090026599</v>
      </c>
      <c r="W218" s="402">
        <f t="shared" si="86"/>
        <v>51.023233560693292</v>
      </c>
      <c r="X218" s="157">
        <f t="shared" si="87"/>
        <v>45861</v>
      </c>
      <c r="Y218" s="385">
        <f t="shared" si="88"/>
        <v>46.495259613041995</v>
      </c>
      <c r="Z218" s="385">
        <f t="shared" si="89"/>
        <v>49.335639762160142</v>
      </c>
      <c r="AA218" s="386">
        <f t="shared" si="90"/>
        <v>56.022416453978941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0.11935894799025362</v>
      </c>
      <c r="AD218" s="231">
        <f>(INDEX(Models!$BJ218:$BT218,,AH218)*(1-AF218)+INDEX(Models!$BJ218:$BT218,,AH218+1)*AF218-ERP_i)*AE218*Ramure*Pc/MaxiM</f>
        <v>3.2164143220166959E-4</v>
      </c>
      <c r="AE218" s="305">
        <f t="shared" si="92"/>
        <v>0.7</v>
      </c>
      <c r="AF218" s="177">
        <f t="shared" si="93"/>
        <v>0.54096131167928574</v>
      </c>
      <c r="AG218" s="810">
        <f t="shared" si="99"/>
        <v>1</v>
      </c>
      <c r="AH218" s="176">
        <f t="shared" si="94"/>
        <v>7</v>
      </c>
      <c r="AI218" s="225">
        <f t="shared" si="95"/>
        <v>1.5409613116792857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51.366662836615568</v>
      </c>
      <c r="C219" s="840"/>
      <c r="D219" s="393">
        <f t="shared" si="77"/>
        <v>54.505903841783564</v>
      </c>
      <c r="E219" s="385">
        <f t="shared" si="75"/>
        <v>56.425946108444606</v>
      </c>
      <c r="F219" s="385">
        <f t="shared" si="78"/>
        <v>56.426823283502721</v>
      </c>
      <c r="G219" s="110">
        <f t="shared" si="76"/>
        <v>0.92734487254468823</v>
      </c>
      <c r="H219" s="414" t="b">
        <f>Wh_hp&gt;='2024'!Maxi_hp</f>
        <v>0</v>
      </c>
      <c r="I219" s="390">
        <f>IF(H219,Wh_hp,'2024'!Maxi_hp)</f>
        <v>57.379495039905848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5.7594513326123198E-2</v>
      </c>
      <c r="M219" s="844"/>
      <c r="N219" s="844"/>
      <c r="O219" s="48">
        <f>IF(t&lt;Tnet,'2024'!Resal+('2024'!Salim-'2024'!Resal)*(1-EXP(('2024'!Tnet-t)/('2024'!Tau_j))),Resal+(Salim-Resal)*(1-EXP((Tnet-t)/(Tau_j))))*Salcycl</f>
        <v>3.4027648609930822E-2</v>
      </c>
      <c r="P219" s="169">
        <f>(INDEX(Models!$BJ219:$BT219,,T219)*(1-R219)+INDEX(Models!$BJ219:$BT219,,T219+1)*R219-ERP_i)*Q219*Ramure*Pc/MaxiM</f>
        <v>1.7345674993782149E-5</v>
      </c>
      <c r="Q219" s="305">
        <f t="shared" si="80"/>
        <v>0.7</v>
      </c>
      <c r="R219" s="177">
        <f t="shared" si="81"/>
        <v>0.72299351781440402</v>
      </c>
      <c r="S219" s="810">
        <f t="shared" si="82"/>
        <v>-2</v>
      </c>
      <c r="T219" s="176">
        <f t="shared" si="83"/>
        <v>4</v>
      </c>
      <c r="U219" s="251">
        <f t="shared" si="84"/>
        <v>-1.277006482185596</v>
      </c>
      <c r="V219" s="383">
        <f t="shared" si="85"/>
        <v>55.391011348182026</v>
      </c>
      <c r="W219" s="402">
        <f t="shared" si="86"/>
        <v>51.366662836615568</v>
      </c>
      <c r="X219" s="157">
        <f t="shared" si="87"/>
        <v>45862</v>
      </c>
      <c r="Y219" s="385">
        <f t="shared" si="88"/>
        <v>46.811927325789007</v>
      </c>
      <c r="Z219" s="385">
        <f t="shared" si="89"/>
        <v>49.672808560364913</v>
      </c>
      <c r="AA219" s="386">
        <f t="shared" si="90"/>
        <v>56.410317424031142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0.11943752794406379</v>
      </c>
      <c r="AD219" s="231">
        <f>(INDEX(Models!$BJ219:$BT219,,AH219)*(1-AF219)+INDEX(Models!$BJ219:$BT219,,AH219+1)*AF219-ERP_i)*AE219*Ramure*Pc/MaxiM</f>
        <v>3.2639468169873628E-4</v>
      </c>
      <c r="AE219" s="305">
        <f t="shared" si="92"/>
        <v>0.7</v>
      </c>
      <c r="AF219" s="177">
        <f t="shared" si="93"/>
        <v>0.54298357091358773</v>
      </c>
      <c r="AG219" s="810">
        <f t="shared" si="99"/>
        <v>1</v>
      </c>
      <c r="AH219" s="176">
        <f t="shared" si="94"/>
        <v>7</v>
      </c>
      <c r="AI219" s="225">
        <f t="shared" si="95"/>
        <v>1.5429835709135877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27.618707395433876</v>
      </c>
      <c r="C220" s="840"/>
      <c r="D220" s="393">
        <f t="shared" si="77"/>
        <v>29.307289196225415</v>
      </c>
      <c r="E220" s="385">
        <f t="shared" si="75"/>
        <v>30.345024587698425</v>
      </c>
      <c r="F220" s="385">
        <f t="shared" si="78"/>
        <v>30.345175914604681</v>
      </c>
      <c r="G220" s="110">
        <f t="shared" si="76"/>
        <v>0.49999497232030238</v>
      </c>
      <c r="H220" s="414" t="b">
        <f>Wh_hp&gt;='2024'!Maxi_hp</f>
        <v>0</v>
      </c>
      <c r="I220" s="390">
        <f>IF(H220,Wh_hp,'2024'!Maxi_hp)</f>
        <v>60.574640900410465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5.7616444478563955E-2</v>
      </c>
      <c r="M220" s="844"/>
      <c r="N220" s="844"/>
      <c r="O220" s="48">
        <f>IF(t&lt;Tnet,'2024'!Resal+('2024'!Salim-'2024'!Resal)*(1-EXP(('2024'!Tnet-t)/('2024'!Tau_j))),Resal+(Salim-Resal)*(1-EXP((Tnet-t)/(Tau_j))))*Salcycl</f>
        <v>3.419787611224074E-2</v>
      </c>
      <c r="P220" s="169">
        <f>(INDEX(Models!$BJ220:$BT220,,T220)*(1-R220)+INDEX(Models!$BJ220:$BT220,,T220+1)*R220-ERP_i)*Q220*Ramure*Pc/MaxiM</f>
        <v>1.7453877346721247E-5</v>
      </c>
      <c r="Q220" s="305">
        <f t="shared" si="80"/>
        <v>0.7</v>
      </c>
      <c r="R220" s="177">
        <f t="shared" si="81"/>
        <v>0.72495695860411202</v>
      </c>
      <c r="S220" s="810">
        <f t="shared" si="82"/>
        <v>-2</v>
      </c>
      <c r="T220" s="176">
        <f t="shared" si="83"/>
        <v>4</v>
      </c>
      <c r="U220" s="251">
        <f t="shared" si="84"/>
        <v>-1.275043041395888</v>
      </c>
      <c r="V220" s="383">
        <f t="shared" si="85"/>
        <v>55.2372815719107</v>
      </c>
      <c r="W220" s="402">
        <f t="shared" si="86"/>
        <v>27.618707395433876</v>
      </c>
      <c r="X220" s="157">
        <f t="shared" si="87"/>
        <v>45863</v>
      </c>
      <c r="Y220" s="385">
        <f t="shared" si="88"/>
        <v>25.176648112590076</v>
      </c>
      <c r="Z220" s="385">
        <f t="shared" si="89"/>
        <v>26.715924705052213</v>
      </c>
      <c r="AA220" s="386">
        <f t="shared" si="90"/>
        <v>30.342298101890666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0.11951544951080975</v>
      </c>
      <c r="AD220" s="231">
        <f>(INDEX(Models!$BJ220:$BT220,,AH220)*(1-AF220)+INDEX(Models!$BJ220:$BT220,,AH220+1)*AF220-ERP_i)*AE220*Ramure*Pc/MaxiM</f>
        <v>3.3192372315211943E-4</v>
      </c>
      <c r="AE220" s="305">
        <f t="shared" si="92"/>
        <v>0.7</v>
      </c>
      <c r="AF220" s="177">
        <f t="shared" si="93"/>
        <v>0.54494701170329574</v>
      </c>
      <c r="AG220" s="810">
        <f t="shared" si="99"/>
        <v>1</v>
      </c>
      <c r="AH220" s="176">
        <f t="shared" si="94"/>
        <v>7</v>
      </c>
      <c r="AI220" s="225">
        <f t="shared" si="95"/>
        <v>1.5449470117032957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57.667025913591623</v>
      </c>
      <c r="C221" s="840"/>
      <c r="D221" s="393">
        <f t="shared" si="77"/>
        <v>61.194157732148483</v>
      </c>
      <c r="E221" s="385">
        <f t="shared" si="75"/>
        <v>63.37211591894706</v>
      </c>
      <c r="F221" s="385">
        <f t="shared" si="78"/>
        <v>63.373229232524729</v>
      </c>
      <c r="G221" s="110">
        <f t="shared" si="76"/>
        <v>1.0469751951243975</v>
      </c>
      <c r="H221" s="414" t="b">
        <f>Wh_hp&gt;='2024'!Maxi_hp</f>
        <v>1</v>
      </c>
      <c r="I221" s="390">
        <f>IF(H221,Wh_hp,'2024'!Maxi_hp)</f>
        <v>63.373229232524729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5.7638375120634633E-2</v>
      </c>
      <c r="M221" s="844"/>
      <c r="N221" s="844"/>
      <c r="O221" s="48">
        <f>IF(t&lt;Tnet,'2024'!Resal+('2024'!Salim-'2024'!Resal)*(1-EXP(('2024'!Tnet-t)/('2024'!Tau_j))),Resal+(Salim-Resal)*(1-EXP((Tnet-t)/(Tau_j))))*Salcycl</f>
        <v>3.4367768145601836E-2</v>
      </c>
      <c r="P221" s="169">
        <f>(INDEX(Models!$BJ221:$BT221,,T221)*(1-R221)+INDEX(Models!$BJ221:$BT221,,T221+1)*R221-ERP_i)*Q221*Ramure*Pc/MaxiM</f>
        <v>1.7567569005926245E-5</v>
      </c>
      <c r="Q221" s="305">
        <f t="shared" si="80"/>
        <v>0.7</v>
      </c>
      <c r="R221" s="177">
        <f t="shared" si="81"/>
        <v>0.72686252402639906</v>
      </c>
      <c r="S221" s="810">
        <f t="shared" si="82"/>
        <v>-2</v>
      </c>
      <c r="T221" s="176">
        <f t="shared" si="83"/>
        <v>4</v>
      </c>
      <c r="U221" s="251">
        <f t="shared" si="84"/>
        <v>-1.2731374759736009</v>
      </c>
      <c r="V221" s="383">
        <f t="shared" si="85"/>
        <v>55.079648669938024</v>
      </c>
      <c r="W221" s="402">
        <f t="shared" si="86"/>
        <v>57.667025913591623</v>
      </c>
      <c r="X221" s="157">
        <f t="shared" si="87"/>
        <v>45864</v>
      </c>
      <c r="Y221" s="385">
        <f t="shared" si="88"/>
        <v>52.560578319977459</v>
      </c>
      <c r="Z221" s="385">
        <f t="shared" si="89"/>
        <v>55.775380631300536</v>
      </c>
      <c r="AA221" s="386">
        <f t="shared" si="90"/>
        <v>63.351796309309691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0.11959275220891848</v>
      </c>
      <c r="AD221" s="231">
        <f>(INDEX(Models!$BJ221:$BT221,,AH221)*(1-AF221)+INDEX(Models!$BJ221:$BT221,,AH221+1)*AF221-ERP_i)*AE221*Ramure*Pc/MaxiM</f>
        <v>3.3820153201279818E-4</v>
      </c>
      <c r="AE221" s="305">
        <f t="shared" si="92"/>
        <v>0.7</v>
      </c>
      <c r="AF221" s="177">
        <f t="shared" si="93"/>
        <v>0.54685257712558277</v>
      </c>
      <c r="AG221" s="810">
        <f t="shared" si="99"/>
        <v>1</v>
      </c>
      <c r="AH221" s="176">
        <f t="shared" si="94"/>
        <v>7</v>
      </c>
      <c r="AI221" s="225">
        <f t="shared" si="95"/>
        <v>1.5468525771255828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55.967234184492547</v>
      </c>
      <c r="C222" s="840"/>
      <c r="D222" s="393">
        <f t="shared" si="77"/>
        <v>59.39178249249057</v>
      </c>
      <c r="E222" s="385">
        <f t="shared" si="75"/>
        <v>61.516394733191575</v>
      </c>
      <c r="F222" s="385">
        <f t="shared" si="78"/>
        <v>61.517482793724277</v>
      </c>
      <c r="G222" s="110">
        <f t="shared" si="76"/>
        <v>1.0191015019691729</v>
      </c>
      <c r="H222" s="414" t="b">
        <f>Wh_hp&gt;='2024'!Maxi_hp</f>
        <v>1</v>
      </c>
      <c r="I222" s="390">
        <f>IF(H222,Wh_hp,'2024'!Maxi_hp)</f>
        <v>61.517482793724277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5.7660305252347333E-2</v>
      </c>
      <c r="M222" s="844"/>
      <c r="N222" s="844"/>
      <c r="O222" s="48">
        <f>IF(t&lt;Tnet,'2024'!Resal+('2024'!Salim-'2024'!Resal)*(1-EXP(('2024'!Tnet-t)/('2024'!Tau_j))),Resal+(Salim-Resal)*(1-EXP((Tnet-t)/(Tau_j))))*Salcycl</f>
        <v>3.4537333501351276E-2</v>
      </c>
      <c r="P222" s="169">
        <f>(INDEX(Models!$BJ222:$BT222,,T222)*(1-R222)+INDEX(Models!$BJ222:$BT222,,T222+1)*R222-ERP_i)*Q222*Ramure*Pc/MaxiM</f>
        <v>1.7687013240552513E-5</v>
      </c>
      <c r="Q222" s="305">
        <f t="shared" si="80"/>
        <v>0.7</v>
      </c>
      <c r="R222" s="177">
        <f t="shared" si="81"/>
        <v>0.7287111972303717</v>
      </c>
      <c r="S222" s="810">
        <f t="shared" si="82"/>
        <v>-2</v>
      </c>
      <c r="T222" s="176">
        <f t="shared" si="83"/>
        <v>4</v>
      </c>
      <c r="U222" s="251">
        <f t="shared" si="84"/>
        <v>-1.2712888027696283</v>
      </c>
      <c r="V222" s="383">
        <f t="shared" si="85"/>
        <v>54.918213815158829</v>
      </c>
      <c r="W222" s="402">
        <f t="shared" si="86"/>
        <v>55.967234184492547</v>
      </c>
      <c r="X222" s="157">
        <f t="shared" si="87"/>
        <v>45865</v>
      </c>
      <c r="Y222" s="385">
        <f t="shared" si="88"/>
        <v>51.015464275051286</v>
      </c>
      <c r="Z222" s="385">
        <f t="shared" si="89"/>
        <v>54.137021457758522</v>
      </c>
      <c r="AA222" s="386">
        <f t="shared" si="90"/>
        <v>61.496244632013017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0.11966947279937666</v>
      </c>
      <c r="AD222" s="231">
        <f>(INDEX(Models!$BJ222:$BT222,,AH222)*(1-AF222)+INDEX(Models!$BJ222:$BT222,,AH222+1)*AF222-ERP_i)*AE222*Ramure*Pc/MaxiM</f>
        <v>3.4523782097000365E-4</v>
      </c>
      <c r="AE222" s="305">
        <f t="shared" si="92"/>
        <v>0.7</v>
      </c>
      <c r="AF222" s="177">
        <f t="shared" si="93"/>
        <v>0.54870125032955541</v>
      </c>
      <c r="AG222" s="810">
        <f t="shared" si="99"/>
        <v>1</v>
      </c>
      <c r="AH222" s="176">
        <f t="shared" si="94"/>
        <v>7</v>
      </c>
      <c r="AI222" s="225">
        <f t="shared" si="95"/>
        <v>1.5487012503295554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44.809685399471761</v>
      </c>
      <c r="C223" s="840"/>
      <c r="D223" s="393">
        <f t="shared" si="77"/>
        <v>47.552627211126094</v>
      </c>
      <c r="E223" s="385">
        <f t="shared" si="75"/>
        <v>49.262355096019682</v>
      </c>
      <c r="F223" s="385">
        <f t="shared" si="78"/>
        <v>49.263004938936639</v>
      </c>
      <c r="G223" s="110">
        <f t="shared" si="76"/>
        <v>0.81839194884337785</v>
      </c>
      <c r="H223" s="414" t="b">
        <f>Wh_hp&gt;='2024'!Maxi_hp</f>
        <v>0</v>
      </c>
      <c r="I223" s="390">
        <f>IF(H223,Wh_hp,'2024'!Maxi_hp)</f>
        <v>57.712856761591276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5.7682234873713822E-2</v>
      </c>
      <c r="M223" s="844"/>
      <c r="N223" s="844"/>
      <c r="O223" s="48">
        <f>IF(t&lt;Tnet,'2024'!Resal+('2024'!Salim-'2024'!Resal)*(1-EXP(('2024'!Tnet-t)/('2024'!Tau_j))),Resal+(Salim-Resal)*(1-EXP((Tnet-t)/(Tau_j))))*Salcycl</f>
        <v>3.4706580340324283E-2</v>
      </c>
      <c r="P223" s="169">
        <f>(INDEX(Models!$BJ223:$BT223,,T223)*(1-R223)+INDEX(Models!$BJ223:$BT223,,T223+1)*R223-ERP_i)*Q223*Ramure*Pc/MaxiM</f>
        <v>1.7812468691024591E-5</v>
      </c>
      <c r="Q223" s="305">
        <f t="shared" si="80"/>
        <v>0.7</v>
      </c>
      <c r="R223" s="177">
        <f t="shared" si="81"/>
        <v>0.73050399673963695</v>
      </c>
      <c r="S223" s="810">
        <f t="shared" si="82"/>
        <v>-2</v>
      </c>
      <c r="T223" s="176">
        <f t="shared" si="83"/>
        <v>4</v>
      </c>
      <c r="U223" s="251">
        <f t="shared" si="84"/>
        <v>-1.269496003260363</v>
      </c>
      <c r="V223" s="383">
        <f t="shared" si="85"/>
        <v>54.753078139158063</v>
      </c>
      <c r="W223" s="402">
        <f t="shared" si="86"/>
        <v>44.809685399471761</v>
      </c>
      <c r="X223" s="157">
        <f t="shared" si="87"/>
        <v>45866</v>
      </c>
      <c r="Y223" s="385">
        <f t="shared" si="88"/>
        <v>40.851960079354221</v>
      </c>
      <c r="Z223" s="385">
        <f t="shared" si="89"/>
        <v>43.352637073417988</v>
      </c>
      <c r="AA223" s="386">
        <f t="shared" si="90"/>
        <v>49.250125077696225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0.11974564521357964</v>
      </c>
      <c r="AD223" s="231">
        <f>(INDEX(Models!$BJ223:$BT223,,AH223)*(1-AF223)+INDEX(Models!$BJ223:$BT223,,AH223+1)*AF223-ERP_i)*AE223*Ramure*Pc/MaxiM</f>
        <v>3.5304243395274605E-4</v>
      </c>
      <c r="AE223" s="305">
        <f t="shared" si="92"/>
        <v>0.7</v>
      </c>
      <c r="AF223" s="177">
        <f t="shared" si="93"/>
        <v>0.55049404983882066</v>
      </c>
      <c r="AG223" s="810">
        <f t="shared" si="99"/>
        <v>1</v>
      </c>
      <c r="AH223" s="176">
        <f t="shared" si="94"/>
        <v>7</v>
      </c>
      <c r="AI223" s="225">
        <f t="shared" si="95"/>
        <v>1.5504940498388207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32.915501014311957</v>
      </c>
      <c r="C224" s="840"/>
      <c r="D224" s="393">
        <f t="shared" si="77"/>
        <v>34.931175280900973</v>
      </c>
      <c r="E224" s="385">
        <f t="shared" si="75"/>
        <v>36.193440189109928</v>
      </c>
      <c r="F224" s="385">
        <f t="shared" si="78"/>
        <v>36.193721334952016</v>
      </c>
      <c r="G224" s="110">
        <f t="shared" si="76"/>
        <v>0.60301479153532023</v>
      </c>
      <c r="H224" s="414" t="b">
        <f>Wh_hp&gt;='2024'!Maxi_hp</f>
        <v>0</v>
      </c>
      <c r="I224" s="390">
        <f>IF(H224,Wh_hp,'2024'!Maxi_hp)</f>
        <v>59.638650832887429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5.7704163984745982E-2</v>
      </c>
      <c r="M224" s="844"/>
      <c r="N224" s="844"/>
      <c r="O224" s="48">
        <f>IF(t&lt;Tnet,'2024'!Resal+('2024'!Salim-'2024'!Resal)*(1-EXP(('2024'!Tnet-t)/('2024'!Tau_j))),Resal+(Salim-Resal)*(1-EXP((Tnet-t)/(Tau_j))))*Salcycl</f>
        <v>3.4875516160211721E-2</v>
      </c>
      <c r="P224" s="169">
        <f>(INDEX(Models!$BJ224:$BT224,,T224)*(1-R224)+INDEX(Models!$BJ224:$BT224,,T224+1)*R224-ERP_i)*Q224*Ramure*Pc/MaxiM</f>
        <v>1.7944189320324967E-5</v>
      </c>
      <c r="Q224" s="305">
        <f t="shared" si="80"/>
        <v>0.7</v>
      </c>
      <c r="R224" s="177">
        <f t="shared" si="81"/>
        <v>0.73224197194286367</v>
      </c>
      <c r="S224" s="810">
        <f t="shared" si="82"/>
        <v>-2</v>
      </c>
      <c r="T224" s="176">
        <f t="shared" si="83"/>
        <v>4</v>
      </c>
      <c r="U224" s="251">
        <f t="shared" si="84"/>
        <v>-1.2677580280571363</v>
      </c>
      <c r="V224" s="383">
        <f t="shared" si="85"/>
        <v>54.584342727618882</v>
      </c>
      <c r="W224" s="402">
        <f t="shared" si="86"/>
        <v>32.915501014311957</v>
      </c>
      <c r="X224" s="157">
        <f t="shared" si="87"/>
        <v>45867</v>
      </c>
      <c r="Y224" s="385">
        <f t="shared" si="88"/>
        <v>30.013965126507529</v>
      </c>
      <c r="Z224" s="385">
        <f t="shared" si="89"/>
        <v>31.85195559542052</v>
      </c>
      <c r="AA224" s="386">
        <f t="shared" si="90"/>
        <v>36.188055463831219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0.11982130050465102</v>
      </c>
      <c r="AD224" s="231">
        <f>(INDEX(Models!$BJ224:$BT224,,AH224)*(1-AF224)+INDEX(Models!$BJ224:$BT224,,AH224+1)*AF224-ERP_i)*AE224*Ramure*Pc/MaxiM</f>
        <v>3.6162535181436087E-4</v>
      </c>
      <c r="AE224" s="305">
        <f t="shared" si="92"/>
        <v>0.7</v>
      </c>
      <c r="AF224" s="177">
        <f t="shared" si="93"/>
        <v>0.55223202504204738</v>
      </c>
      <c r="AG224" s="810">
        <f t="shared" si="99"/>
        <v>1</v>
      </c>
      <c r="AH224" s="176">
        <f t="shared" si="94"/>
        <v>7</v>
      </c>
      <c r="AI224" s="225">
        <f t="shared" si="95"/>
        <v>1.5522320250420474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50.483503880510241</v>
      </c>
      <c r="C225" s="840"/>
      <c r="D225" s="393">
        <f t="shared" si="77"/>
        <v>53.576251537123916</v>
      </c>
      <c r="E225" s="385">
        <f t="shared" si="75"/>
        <v>55.521971718471903</v>
      </c>
      <c r="F225" s="385">
        <f t="shared" si="78"/>
        <v>55.52287215107318</v>
      </c>
      <c r="G225" s="110">
        <f t="shared" si="76"/>
        <v>0.92779734142785475</v>
      </c>
      <c r="H225" s="414" t="b">
        <f>Wh_hp&gt;='2024'!Maxi_hp</f>
        <v>1</v>
      </c>
      <c r="I225" s="390">
        <f>IF(H225,Wh_hp,'2024'!Maxi_hp)</f>
        <v>55.52287215107318</v>
      </c>
      <c r="J225" s="85">
        <f>IF(H225,An,'2024'!An_max)</f>
        <v>2025</v>
      </c>
      <c r="K225" s="197">
        <f t="shared" si="79"/>
        <v>45868</v>
      </c>
      <c r="L225" s="147">
        <f>IF(t&lt;Tvie,1-EXP((T0-t)*PertePVj)+'2024'!Pspv,1-EXP((T0-t)*PertePVj)+Pspv)</f>
        <v>5.7726092585455691E-2</v>
      </c>
      <c r="M225" s="844"/>
      <c r="N225" s="844"/>
      <c r="O225" s="48">
        <f>IF(t&lt;Tnet,'2024'!Resal+('2024'!Salim-'2024'!Resal)*(1-EXP(('2024'!Tnet-t)/('2024'!Tau_j))),Resal+(Salim-Resal)*(1-EXP((Tnet-t)/(Tau_j))))*Salcycl</f>
        <v>3.5044147769353405E-2</v>
      </c>
      <c r="P225" s="169">
        <f>(INDEX(Models!$BJ225:$BT225,,T225)*(1-R225)+INDEX(Models!$BJ225:$BT225,,T225+1)*R225-ERP_i)*Q225*Ramure*Pc/MaxiM</f>
        <v>1.8082424387901351E-5</v>
      </c>
      <c r="Q225" s="305">
        <f t="shared" si="80"/>
        <v>0.7</v>
      </c>
      <c r="R225" s="177">
        <f t="shared" si="81"/>
        <v>0.73392619878036958</v>
      </c>
      <c r="S225" s="810">
        <f t="shared" si="82"/>
        <v>-2</v>
      </c>
      <c r="T225" s="176">
        <f t="shared" si="83"/>
        <v>4</v>
      </c>
      <c r="U225" s="251">
        <f t="shared" si="84"/>
        <v>-1.2660738012196304</v>
      </c>
      <c r="V225" s="383">
        <f t="shared" si="85"/>
        <v>54.412108623489424</v>
      </c>
      <c r="W225" s="402">
        <f t="shared" si="86"/>
        <v>50.483503880510241</v>
      </c>
      <c r="X225" s="157">
        <f t="shared" si="87"/>
        <v>45868</v>
      </c>
      <c r="Y225" s="385">
        <f t="shared" si="88"/>
        <v>46.029719281637874</v>
      </c>
      <c r="Z225" s="385">
        <f t="shared" si="89"/>
        <v>48.849616782806173</v>
      </c>
      <c r="AA225" s="386">
        <f t="shared" si="90"/>
        <v>55.504397995527576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0.11989646682155947</v>
      </c>
      <c r="AD225" s="231">
        <f>(INDEX(Models!$BJ225:$BT225,,AH225)*(1-AF225)+INDEX(Models!$BJ225:$BT225,,AH225+1)*AF225-ERP_i)*AE225*Ramure*Pc/MaxiM</f>
        <v>3.7099669682106012E-4</v>
      </c>
      <c r="AE225" s="305">
        <f t="shared" si="92"/>
        <v>0.7</v>
      </c>
      <c r="AF225" s="177">
        <f t="shared" si="93"/>
        <v>0.55391625187955329</v>
      </c>
      <c r="AG225" s="810">
        <f t="shared" si="99"/>
        <v>1</v>
      </c>
      <c r="AH225" s="176">
        <f t="shared" si="94"/>
        <v>7</v>
      </c>
      <c r="AI225" s="225">
        <f t="shared" si="95"/>
        <v>1.5539162518795533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53.789369371590752</v>
      </c>
      <c r="C226" s="840"/>
      <c r="D226" s="393">
        <f t="shared" si="77"/>
        <v>57.085971217776134</v>
      </c>
      <c r="E226" s="385">
        <f t="shared" si="75"/>
        <v>59.169475256829855</v>
      </c>
      <c r="F226" s="385">
        <f t="shared" si="78"/>
        <v>59.170543131038947</v>
      </c>
      <c r="G226" s="110">
        <f t="shared" si="76"/>
        <v>0.99175615435741649</v>
      </c>
      <c r="H226" s="414" t="b">
        <f>Wh_hp&gt;='2024'!Maxi_hp</f>
        <v>1</v>
      </c>
      <c r="I226" s="390">
        <f>IF(H226,Wh_hp,'2024'!Maxi_hp)</f>
        <v>59.170543131038947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5.7748020675854717E-2</v>
      </c>
      <c r="M226" s="844"/>
      <c r="N226" s="844"/>
      <c r="O226" s="48">
        <f>IF(t&lt;Tnet,'2024'!Resal+('2024'!Salim-'2024'!Resal)*(1-EXP(('2024'!Tnet-t)/('2024'!Tau_j))),Resal+(Salim-Resal)*(1-EXP((Tnet-t)/(Tau_j))))*Salcycl</f>
        <v>3.5212481266905044E-2</v>
      </c>
      <c r="P226" s="169">
        <f>(INDEX(Models!$BJ226:$BT226,,T226)*(1-R226)+INDEX(Models!$BJ226:$BT226,,T226+1)*R226-ERP_i)*Q226*Ramure*Pc/MaxiM</f>
        <v>1.8262465835028035E-5</v>
      </c>
      <c r="Q226" s="305">
        <f t="shared" si="80"/>
        <v>0.7</v>
      </c>
      <c r="R226" s="177">
        <f t="shared" si="81"/>
        <v>0.73555777563274805</v>
      </c>
      <c r="S226" s="810">
        <f t="shared" si="82"/>
        <v>-2</v>
      </c>
      <c r="T226" s="176">
        <f t="shared" si="83"/>
        <v>4</v>
      </c>
      <c r="U226" s="251">
        <f t="shared" si="84"/>
        <v>-1.264442224367252</v>
      </c>
      <c r="V226" s="383">
        <f t="shared" si="85"/>
        <v>54.236474930422396</v>
      </c>
      <c r="W226" s="402">
        <f t="shared" si="86"/>
        <v>53.789369371590752</v>
      </c>
      <c r="X226" s="157">
        <f t="shared" si="87"/>
        <v>45869</v>
      </c>
      <c r="Y226" s="385">
        <f t="shared" si="88"/>
        <v>49.046224390856672</v>
      </c>
      <c r="Z226" s="385">
        <f t="shared" si="89"/>
        <v>52.052131984945632</v>
      </c>
      <c r="AA226" s="386">
        <f t="shared" si="90"/>
        <v>59.148212166823271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0.11997116940514883</v>
      </c>
      <c r="AD226" s="231">
        <f>(INDEX(Models!$BJ226:$BT226,,AH226)*(1-AF226)+INDEX(Models!$BJ226:$BT226,,AH226+1)*AF226-ERP_i)*AE226*Ramure*Pc/MaxiM</f>
        <v>3.8189748153713853E-4</v>
      </c>
      <c r="AE226" s="305">
        <f t="shared" si="92"/>
        <v>0.7</v>
      </c>
      <c r="AF226" s="177">
        <f t="shared" si="93"/>
        <v>0.55554782873193176</v>
      </c>
      <c r="AG226" s="810">
        <f t="shared" si="99"/>
        <v>1</v>
      </c>
      <c r="AH226" s="176">
        <f t="shared" si="94"/>
        <v>7</v>
      </c>
      <c r="AI226" s="225">
        <f t="shared" si="95"/>
        <v>1.5555478287319318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53.466294091042947</v>
      </c>
      <c r="C227" s="840"/>
      <c r="D227" s="393">
        <f t="shared" si="77"/>
        <v>56.744416071296115</v>
      </c>
      <c r="E227" s="385">
        <f t="shared" si="75"/>
        <v>58.825700047720382</v>
      </c>
      <c r="F227" s="385">
        <f t="shared" si="78"/>
        <v>58.826769949813105</v>
      </c>
      <c r="G227" s="110">
        <f t="shared" si="76"/>
        <v>0.9890623139210889</v>
      </c>
      <c r="H227" s="414" t="b">
        <f>Wh_hp&gt;='2024'!Maxi_hp</f>
        <v>1</v>
      </c>
      <c r="I227" s="390">
        <f>IF(H227,Wh_hp,'2024'!Maxi_hp)</f>
        <v>58.826769949813105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5.7769948255955161E-2</v>
      </c>
      <c r="M227" s="844"/>
      <c r="N227" s="844"/>
      <c r="O227" s="48">
        <f>IF(t&lt;Tnet,'2024'!Resal+('2024'!Salim-'2024'!Resal)*(1-EXP(('2024'!Tnet-t)/('2024'!Tau_j))),Resal+(Salim-Resal)*(1-EXP((Tnet-t)/(Tau_j))))*Salcycl</f>
        <v>3.5380522029247297E-2</v>
      </c>
      <c r="P227" s="169">
        <f>(INDEX(Models!$BJ227:$BT227,,T227)*(1-R227)+INDEX(Models!$BJ227:$BT227,,T227+1)*R227-ERP_i)*Q227*Ramure*Pc/MaxiM</f>
        <v>1.8476018820594555E-5</v>
      </c>
      <c r="Q227" s="305">
        <f t="shared" si="80"/>
        <v>0.7</v>
      </c>
      <c r="R227" s="177">
        <f t="shared" si="81"/>
        <v>0.73713781941568346</v>
      </c>
      <c r="S227" s="810">
        <f t="shared" si="82"/>
        <v>-2</v>
      </c>
      <c r="T227" s="176">
        <f t="shared" si="83"/>
        <v>4</v>
      </c>
      <c r="U227" s="251">
        <f t="shared" si="84"/>
        <v>-1.2628621805843165</v>
      </c>
      <c r="V227" s="383">
        <f t="shared" si="85"/>
        <v>54.057543092377713</v>
      </c>
      <c r="W227" s="402">
        <f t="shared" si="86"/>
        <v>53.466294091042947</v>
      </c>
      <c r="X227" s="157">
        <f t="shared" si="87"/>
        <v>45870</v>
      </c>
      <c r="Y227" s="385">
        <f t="shared" si="88"/>
        <v>48.755515430110798</v>
      </c>
      <c r="Z227" s="385">
        <f t="shared" si="89"/>
        <v>51.744810452463838</v>
      </c>
      <c r="AA227" s="386">
        <f t="shared" si="90"/>
        <v>58.803956763404592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0.12004543060500084</v>
      </c>
      <c r="AD227" s="231">
        <f>(INDEX(Models!$BJ227:$BT227,,AH227)*(1-AF227)+INDEX(Models!$BJ227:$BT227,,AH227+1)*AF227-ERP_i)*AE227*Ramure*Pc/MaxiM</f>
        <v>3.9395834844094241E-4</v>
      </c>
      <c r="AE227" s="305">
        <f t="shared" si="92"/>
        <v>0.7</v>
      </c>
      <c r="AF227" s="177">
        <f t="shared" si="93"/>
        <v>0.55712787251486717</v>
      </c>
      <c r="AG227" s="810">
        <f t="shared" si="99"/>
        <v>1</v>
      </c>
      <c r="AH227" s="176">
        <f t="shared" si="94"/>
        <v>7</v>
      </c>
      <c r="AI227" s="225">
        <f t="shared" si="95"/>
        <v>1.5571278725148672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53.223042183745044</v>
      </c>
      <c r="C228" s="840"/>
      <c r="D228" s="393">
        <f t="shared" si="77"/>
        <v>56.487564466870765</v>
      </c>
      <c r="E228" s="385">
        <f t="shared" si="75"/>
        <v>58.5696131648712</v>
      </c>
      <c r="F228" s="385">
        <f t="shared" si="78"/>
        <v>58.570690865844924</v>
      </c>
      <c r="G228" s="110">
        <f t="shared" si="76"/>
        <v>0.9878907831881828</v>
      </c>
      <c r="H228" s="414" t="b">
        <f>Wh_hp&gt;='2024'!Maxi_hp</f>
        <v>1</v>
      </c>
      <c r="I228" s="390">
        <f>IF(H228,Wh_hp,'2024'!Maxi_hp)</f>
        <v>58.570690865844924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5.7791875325768793E-2</v>
      </c>
      <c r="M228" s="844"/>
      <c r="N228" s="844"/>
      <c r="O228" s="48">
        <f>IF(t&lt;Tnet,'2024'!Resal+('2024'!Salim-'2024'!Resal)*(1-EXP(('2024'!Tnet-t)/('2024'!Tau_j))),Resal+(Salim-Resal)*(1-EXP((Tnet-t)/(Tau_j))))*Salcycl</f>
        <v>3.5548274702439063E-2</v>
      </c>
      <c r="P228" s="169">
        <f>(INDEX(Models!$BJ228:$BT228,,T228)*(1-R228)+INDEX(Models!$BJ228:$BT228,,T228+1)*R228-ERP_i)*Q228*Ramure*Pc/MaxiM</f>
        <v>1.8723898404215933E-5</v>
      </c>
      <c r="Q228" s="305">
        <f t="shared" si="80"/>
        <v>0.7</v>
      </c>
      <c r="R228" s="177">
        <f t="shared" si="81"/>
        <v>0.73866746188339283</v>
      </c>
      <c r="S228" s="810">
        <f t="shared" si="82"/>
        <v>-2</v>
      </c>
      <c r="T228" s="176">
        <f t="shared" si="83"/>
        <v>4</v>
      </c>
      <c r="U228" s="251">
        <f t="shared" si="84"/>
        <v>-1.2613325381166072</v>
      </c>
      <c r="V228" s="383">
        <f t="shared" si="85"/>
        <v>53.875414013928385</v>
      </c>
      <c r="W228" s="402">
        <f t="shared" si="86"/>
        <v>53.223042183745044</v>
      </c>
      <c r="X228" s="157">
        <f t="shared" si="87"/>
        <v>45871</v>
      </c>
      <c r="Y228" s="385">
        <f t="shared" si="88"/>
        <v>48.537475017667354</v>
      </c>
      <c r="Z228" s="385">
        <f t="shared" si="89"/>
        <v>51.514600380302603</v>
      </c>
      <c r="AA228" s="386">
        <f t="shared" si="90"/>
        <v>58.547253757195875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0.12011926991586531</v>
      </c>
      <c r="AD228" s="231">
        <f>(INDEX(Models!$BJ228:$BT228,,AH228)*(1-AF228)+INDEX(Models!$BJ228:$BT228,,AH228+1)*AF228-ERP_i)*AE228*Ramure*Pc/MaxiM</f>
        <v>4.0719462256278376E-4</v>
      </c>
      <c r="AE228" s="305">
        <f t="shared" si="92"/>
        <v>0.7</v>
      </c>
      <c r="AF228" s="177">
        <f t="shared" si="93"/>
        <v>0.55865751498257676</v>
      </c>
      <c r="AG228" s="810">
        <f t="shared" si="99"/>
        <v>1</v>
      </c>
      <c r="AH228" s="176">
        <f t="shared" si="94"/>
        <v>7</v>
      </c>
      <c r="AI228" s="225">
        <f t="shared" si="95"/>
        <v>1.5586575149825768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48.897840550606062</v>
      </c>
      <c r="C229" s="840"/>
      <c r="D229" s="393">
        <f t="shared" si="77"/>
        <v>51.898277270936752</v>
      </c>
      <c r="E229" s="385">
        <f t="shared" si="75"/>
        <v>53.820517036321704</v>
      </c>
      <c r="F229" s="385">
        <f t="shared" si="78"/>
        <v>53.821409571572964</v>
      </c>
      <c r="G229" s="110">
        <f t="shared" si="76"/>
        <v>0.91073850446549098</v>
      </c>
      <c r="H229" s="414" t="b">
        <f>Wh_hp&gt;='2024'!Maxi_hp</f>
        <v>0</v>
      </c>
      <c r="I229" s="390">
        <f>IF(H229,Wh_hp,'2024'!Maxi_hp)</f>
        <v>56.763758259198227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5.7813801885307381E-2</v>
      </c>
      <c r="M229" s="844"/>
      <c r="N229" s="844"/>
      <c r="O229" s="48">
        <f>IF(t&lt;Tnet,'2024'!Resal+('2024'!Salim-'2024'!Resal)*(1-EXP(('2024'!Tnet-t)/('2024'!Tau_j))),Resal+(Salim-Resal)*(1-EXP((Tnet-t)/(Tau_j))))*Salcycl</f>
        <v>3.5715743200454467E-2</v>
      </c>
      <c r="P229" s="169">
        <f>(INDEX(Models!$BJ229:$BT229,,T229)*(1-R229)+INDEX(Models!$BJ229:$BT229,,T229+1)*R229-ERP_i)*Q229*Ramure*Pc/MaxiM</f>
        <v>1.9006908294413969E-5</v>
      </c>
      <c r="Q229" s="305">
        <f t="shared" si="80"/>
        <v>0.7</v>
      </c>
      <c r="R229" s="177">
        <f t="shared" si="81"/>
        <v>0.74014784614157136</v>
      </c>
      <c r="S229" s="810">
        <f t="shared" si="82"/>
        <v>-2</v>
      </c>
      <c r="T229" s="176">
        <f t="shared" si="83"/>
        <v>4</v>
      </c>
      <c r="U229" s="251">
        <f t="shared" si="84"/>
        <v>-1.2598521538584286</v>
      </c>
      <c r="V229" s="383">
        <f t="shared" si="85"/>
        <v>53.690188565068176</v>
      </c>
      <c r="W229" s="402">
        <f t="shared" si="86"/>
        <v>48.897840550606062</v>
      </c>
      <c r="X229" s="157">
        <f t="shared" si="87"/>
        <v>45872</v>
      </c>
      <c r="Y229" s="385">
        <f t="shared" si="88"/>
        <v>44.598430577026136</v>
      </c>
      <c r="Z229" s="385">
        <f t="shared" si="89"/>
        <v>47.335049766455136</v>
      </c>
      <c r="AA229" s="386">
        <f t="shared" si="90"/>
        <v>53.80161085659951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0.12019270403222805</v>
      </c>
      <c r="AD229" s="231">
        <f>(INDEX(Models!$BJ229:$BT229,,AH229)*(1-AF229)+INDEX(Models!$BJ229:$BT229,,AH229+1)*AF229-ERP_i)*AE229*Ramure*Pc/MaxiM</f>
        <v>4.2162184554184629E-4</v>
      </c>
      <c r="AE229" s="305">
        <f t="shared" si="92"/>
        <v>0.7</v>
      </c>
      <c r="AF229" s="177">
        <f t="shared" si="93"/>
        <v>0.56013789924075508</v>
      </c>
      <c r="AG229" s="810">
        <f t="shared" si="99"/>
        <v>1</v>
      </c>
      <c r="AH229" s="176">
        <f t="shared" si="94"/>
        <v>7</v>
      </c>
      <c r="AI229" s="225">
        <f t="shared" si="95"/>
        <v>1.5601378992407551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48.655915760673942</v>
      </c>
      <c r="C230" s="840"/>
      <c r="D230" s="393">
        <f t="shared" si="77"/>
        <v>51.642709454488454</v>
      </c>
      <c r="E230" s="385">
        <f t="shared" si="75"/>
        <v>53.564770399158647</v>
      </c>
      <c r="F230" s="385">
        <f t="shared" si="78"/>
        <v>53.565671650071039</v>
      </c>
      <c r="G230" s="110">
        <f t="shared" si="76"/>
        <v>0.90942064920746701</v>
      </c>
      <c r="H230" s="414" t="b">
        <f>Wh_hp&gt;='2024'!Maxi_hp</f>
        <v>1</v>
      </c>
      <c r="I230" s="390">
        <f>IF(H230,Wh_hp,'2024'!Maxi_hp)</f>
        <v>53.565671650071039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5.7835727934583026E-2</v>
      </c>
      <c r="M230" s="844"/>
      <c r="N230" s="844"/>
      <c r="O230" s="48">
        <f>IF(t&lt;Tnet,'2024'!Resal+('2024'!Salim-'2024'!Resal)*(1-EXP(('2024'!Tnet-t)/('2024'!Tau_j))),Resal+(Salim-Resal)*(1-EXP((Tnet-t)/(Tau_j))))*Salcycl</f>
        <v>3.5882930708882148E-2</v>
      </c>
      <c r="P230" s="169">
        <f>(INDEX(Models!$BJ230:$BT230,,T230)*(1-R230)+INDEX(Models!$BJ230:$BT230,,T230+1)*R230-ERP_i)*Q230*Ramure*Pc/MaxiM</f>
        <v>1.9325841635542166E-5</v>
      </c>
      <c r="Q230" s="305">
        <f t="shared" si="80"/>
        <v>0.7</v>
      </c>
      <c r="R230" s="177">
        <f t="shared" si="81"/>
        <v>0.74158012336931267</v>
      </c>
      <c r="S230" s="810">
        <f t="shared" si="82"/>
        <v>-2</v>
      </c>
      <c r="T230" s="176">
        <f t="shared" si="83"/>
        <v>4</v>
      </c>
      <c r="U230" s="251">
        <f t="shared" si="84"/>
        <v>-1.2584198766306873</v>
      </c>
      <c r="V230" s="383">
        <f t="shared" si="85"/>
        <v>53.5019675746288</v>
      </c>
      <c r="W230" s="402">
        <f t="shared" si="86"/>
        <v>48.655915760673942</v>
      </c>
      <c r="X230" s="157">
        <f t="shared" si="87"/>
        <v>45873</v>
      </c>
      <c r="Y230" s="385">
        <f t="shared" si="88"/>
        <v>44.381229633419927</v>
      </c>
      <c r="Z230" s="385">
        <f t="shared" si="89"/>
        <v>47.105617299759402</v>
      </c>
      <c r="AA230" s="386">
        <f t="shared" si="90"/>
        <v>53.5452804466914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0.12026574691943574</v>
      </c>
      <c r="AD230" s="231">
        <f>(INDEX(Models!$BJ230:$BT230,,AH230)*(1-AF230)+INDEX(Models!$BJ230:$BT230,,AH230+1)*AF230-ERP_i)*AE230*Ramure*Pc/MaxiM</f>
        <v>4.3725577622582542E-4</v>
      </c>
      <c r="AE230" s="305">
        <f t="shared" si="92"/>
        <v>0.7</v>
      </c>
      <c r="AF230" s="177">
        <f t="shared" si="93"/>
        <v>0.56157017646849638</v>
      </c>
      <c r="AG230" s="810">
        <f t="shared" si="99"/>
        <v>1</v>
      </c>
      <c r="AH230" s="176">
        <f t="shared" si="94"/>
        <v>7</v>
      </c>
      <c r="AI230" s="225">
        <f t="shared" si="95"/>
        <v>1.5615701764684964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46.555574928041082</v>
      </c>
      <c r="C231" s="840"/>
      <c r="D231" s="393">
        <f t="shared" si="77"/>
        <v>49.414586977952915</v>
      </c>
      <c r="E231" s="385">
        <f t="shared" si="75"/>
        <v>51.262595321579418</v>
      </c>
      <c r="F231" s="385">
        <f t="shared" si="78"/>
        <v>51.263421622106094</v>
      </c>
      <c r="G231" s="110">
        <f t="shared" si="76"/>
        <v>0.87328203280915417</v>
      </c>
      <c r="H231" s="414" t="b">
        <f>Wh_hp&gt;='2024'!Maxi_hp</f>
        <v>0</v>
      </c>
      <c r="I231" s="390">
        <f>IF(H231,Wh_hp,'2024'!Maxi_hp)</f>
        <v>59.003544823424903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5.7857653473607384E-2</v>
      </c>
      <c r="M231" s="844"/>
      <c r="N231" s="844"/>
      <c r="O231" s="48">
        <f>IF(t&lt;Tnet,'2024'!Resal+('2024'!Salim-'2024'!Resal)*(1-EXP(('2024'!Tnet-t)/('2024'!Tau_j))),Resal+(Salim-Resal)*(1-EXP((Tnet-t)/(Tau_j))))*Salcycl</f>
        <v>3.6049839693710645E-2</v>
      </c>
      <c r="P231" s="169">
        <f>(INDEX(Models!$BJ231:$BT231,,T231)*(1-R231)+INDEX(Models!$BJ231:$BT231,,T231+1)*R231-ERP_i)*Q231*Ramure*Pc/MaxiM</f>
        <v>1.9681481738032457E-5</v>
      </c>
      <c r="Q231" s="305">
        <f t="shared" si="80"/>
        <v>0.7</v>
      </c>
      <c r="R231" s="177">
        <f t="shared" si="81"/>
        <v>0.74296544974822654</v>
      </c>
      <c r="S231" s="810">
        <f t="shared" si="82"/>
        <v>-2</v>
      </c>
      <c r="T231" s="176">
        <f t="shared" si="83"/>
        <v>4</v>
      </c>
      <c r="U231" s="251">
        <f t="shared" si="84"/>
        <v>-1.2570345502517735</v>
      </c>
      <c r="V231" s="383">
        <f t="shared" si="85"/>
        <v>53.310851832133636</v>
      </c>
      <c r="W231" s="402">
        <f t="shared" si="86"/>
        <v>46.555574928041082</v>
      </c>
      <c r="X231" s="157">
        <f t="shared" si="87"/>
        <v>45874</v>
      </c>
      <c r="Y231" s="385">
        <f t="shared" si="88"/>
        <v>42.46960248681394</v>
      </c>
      <c r="Z231" s="385">
        <f t="shared" si="89"/>
        <v>45.077691968093937</v>
      </c>
      <c r="AA231" s="386">
        <f t="shared" si="90"/>
        <v>51.244356324518577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0.12033840989966949</v>
      </c>
      <c r="AD231" s="231">
        <f>(INDEX(Models!$BJ231:$BT231,,AH231)*(1-AF231)+INDEX(Models!$BJ231:$BT231,,AH231+1)*AF231-ERP_i)*AE231*Ramure*Pc/MaxiM</f>
        <v>4.5411238911976013E-4</v>
      </c>
      <c r="AE231" s="305">
        <f t="shared" si="92"/>
        <v>0.7</v>
      </c>
      <c r="AF231" s="177">
        <f t="shared" si="93"/>
        <v>0.56295550284741025</v>
      </c>
      <c r="AG231" s="810">
        <f t="shared" si="99"/>
        <v>1</v>
      </c>
      <c r="AH231" s="176">
        <f t="shared" si="94"/>
        <v>7</v>
      </c>
      <c r="AI231" s="225">
        <f t="shared" si="95"/>
        <v>1.5629555028474102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48.76883710157685</v>
      </c>
      <c r="C232" s="840"/>
      <c r="D232" s="393">
        <f t="shared" si="77"/>
        <v>51.764971853654586</v>
      </c>
      <c r="E232" s="385">
        <f t="shared" si="75"/>
        <v>53.710164518475842</v>
      </c>
      <c r="F232" s="385">
        <f t="shared" si="78"/>
        <v>53.711116657976461</v>
      </c>
      <c r="G232" s="110">
        <f t="shared" si="76"/>
        <v>0.91813874628434922</v>
      </c>
      <c r="H232" s="414" t="b">
        <f>Wh_hp&gt;='2024'!Maxi_hp</f>
        <v>0</v>
      </c>
      <c r="I232" s="390">
        <f>IF(H232,Wh_hp,'2024'!Maxi_hp)</f>
        <v>58.033046610049119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5.7879578502392448E-2</v>
      </c>
      <c r="M232" s="844"/>
      <c r="N232" s="844"/>
      <c r="O232" s="48">
        <f>IF(t&lt;Tnet,'2024'!Resal+('2024'!Salim-'2024'!Resal)*(1-EXP(('2024'!Tnet-t)/('2024'!Tau_j))),Resal+(Salim-Resal)*(1-EXP((Tnet-t)/(Tau_j))))*Salcycl</f>
        <v>3.6216471914773757E-2</v>
      </c>
      <c r="P232" s="169">
        <f>(INDEX(Models!$BJ232:$BT232,,T232)*(1-R232)+INDEX(Models!$BJ232:$BT232,,T232+1)*R232-ERP_i)*Q232*Ramure*Pc/MaxiM</f>
        <v>2.0074602750990939E-5</v>
      </c>
      <c r="Q232" s="305">
        <f t="shared" si="80"/>
        <v>0.7</v>
      </c>
      <c r="R232" s="177">
        <f t="shared" si="81"/>
        <v>0.74430498359585195</v>
      </c>
      <c r="S232" s="810">
        <f t="shared" si="82"/>
        <v>-2</v>
      </c>
      <c r="T232" s="176">
        <f t="shared" si="83"/>
        <v>4</v>
      </c>
      <c r="U232" s="251">
        <f t="shared" si="84"/>
        <v>-1.255695016404148</v>
      </c>
      <c r="V232" s="383">
        <f t="shared" si="85"/>
        <v>53.116942084578675</v>
      </c>
      <c r="W232" s="402">
        <f t="shared" si="86"/>
        <v>48.76883710157685</v>
      </c>
      <c r="X232" s="157">
        <f t="shared" si="87"/>
        <v>45875</v>
      </c>
      <c r="Y232" s="385">
        <f t="shared" si="88"/>
        <v>44.490716815520436</v>
      </c>
      <c r="Z232" s="385">
        <f t="shared" si="89"/>
        <v>47.224023384184136</v>
      </c>
      <c r="AA232" s="386">
        <f t="shared" si="90"/>
        <v>53.688719812974533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0.12041070175095005</v>
      </c>
      <c r="AD232" s="231">
        <f>(INDEX(Models!$BJ232:$BT232,,AH232)*(1-AF232)+INDEX(Models!$BJ232:$BT232,,AH232+1)*AF232-ERP_i)*AE232*Ramure*Pc/MaxiM</f>
        <v>4.7220787079792881E-4</v>
      </c>
      <c r="AE232" s="305">
        <f t="shared" si="92"/>
        <v>0.7</v>
      </c>
      <c r="AF232" s="177">
        <f t="shared" si="93"/>
        <v>0.56429503669503545</v>
      </c>
      <c r="AG232" s="810">
        <f t="shared" si="99"/>
        <v>1</v>
      </c>
      <c r="AH232" s="176">
        <f t="shared" si="94"/>
        <v>7</v>
      </c>
      <c r="AI232" s="225">
        <f t="shared" si="95"/>
        <v>1.5642950366950354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51.680017112129974</v>
      </c>
      <c r="C233" s="840"/>
      <c r="D233" s="393">
        <f t="shared" si="77"/>
        <v>54.856278062058315</v>
      </c>
      <c r="E233" s="385">
        <f t="shared" ref="E233:E296" si="100">Wh_pvt/(1-Psa)</f>
        <v>56.927460075710471</v>
      </c>
      <c r="F233" s="385">
        <f t="shared" si="78"/>
        <v>56.928588355876919</v>
      </c>
      <c r="G233" s="110">
        <f t="shared" ref="G233:G296" si="101">+Wh_hp/MaxiM</f>
        <v>0.976558443625684</v>
      </c>
      <c r="H233" s="414" t="b">
        <f>Wh_hp&gt;='2024'!Maxi_hp</f>
        <v>1</v>
      </c>
      <c r="I233" s="390">
        <f>IF(H233,Wh_hp,'2024'!Maxi_hp)</f>
        <v>56.928588355876919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5.7901503020949985E-2</v>
      </c>
      <c r="M233" s="844"/>
      <c r="N233" s="844"/>
      <c r="O233" s="48">
        <f>IF(t&lt;Tnet,'2024'!Resal+('2024'!Salim-'2024'!Resal)*(1-EXP(('2024'!Tnet-t)/('2024'!Tau_j))),Resal+(Salim-Resal)*(1-EXP((Tnet-t)/(Tau_j))))*Salcycl</f>
        <v>3.6382828443383808E-2</v>
      </c>
      <c r="P233" s="169">
        <f>(INDEX(Models!$BJ233:$BT233,,T233)*(1-R233)+INDEX(Models!$BJ233:$BT233,,T233+1)*R233-ERP_i)*Q233*Ramure*Pc/MaxiM</f>
        <v>2.0505899762218021E-5</v>
      </c>
      <c r="Q233" s="305">
        <f t="shared" si="80"/>
        <v>0.7</v>
      </c>
      <c r="R233" s="177">
        <f t="shared" si="81"/>
        <v>0.74559988269950273</v>
      </c>
      <c r="S233" s="810">
        <f t="shared" si="82"/>
        <v>-2</v>
      </c>
      <c r="T233" s="176">
        <f t="shared" si="83"/>
        <v>4</v>
      </c>
      <c r="U233" s="251">
        <f t="shared" si="84"/>
        <v>-1.2544001173004973</v>
      </c>
      <c r="V233" s="383">
        <f t="shared" si="85"/>
        <v>52.920521000141946</v>
      </c>
      <c r="W233" s="402">
        <f t="shared" si="86"/>
        <v>51.680017112129974</v>
      </c>
      <c r="X233" s="157">
        <f t="shared" si="87"/>
        <v>45876</v>
      </c>
      <c r="Y233" s="385">
        <f t="shared" si="88"/>
        <v>47.148161952346861</v>
      </c>
      <c r="Z233" s="385">
        <f t="shared" si="89"/>
        <v>50.045894461707569</v>
      </c>
      <c r="AA233" s="386">
        <f t="shared" si="90"/>
        <v>56.901541801736599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0.12048262881727048</v>
      </c>
      <c r="AD233" s="231">
        <f>(INDEX(Models!$BJ233:$BT233,,AH233)*(1-AF233)+INDEX(Models!$BJ233:$BT233,,AH233+1)*AF233-ERP_i)*AE233*Ramure*Pc/MaxiM</f>
        <v>4.9155692407508705E-4</v>
      </c>
      <c r="AE233" s="305">
        <f t="shared" si="92"/>
        <v>0.7</v>
      </c>
      <c r="AF233" s="177">
        <f t="shared" si="93"/>
        <v>0.56558993579868644</v>
      </c>
      <c r="AG233" s="810">
        <f t="shared" si="99"/>
        <v>1</v>
      </c>
      <c r="AH233" s="176">
        <f t="shared" si="94"/>
        <v>7</v>
      </c>
      <c r="AI233" s="225">
        <f t="shared" si="95"/>
        <v>1.5655899357986864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51.979769883051539</v>
      </c>
      <c r="C234" s="840"/>
      <c r="D234" s="393">
        <f t="shared" si="77"/>
        <v>55.175737699474404</v>
      </c>
      <c r="E234" s="385">
        <f t="shared" si="100"/>
        <v>57.268851791279893</v>
      </c>
      <c r="F234" s="385">
        <f t="shared" si="78"/>
        <v>57.2700330333167</v>
      </c>
      <c r="G234" s="110">
        <f t="shared" si="101"/>
        <v>0.98592759136648056</v>
      </c>
      <c r="H234" s="414" t="b">
        <f>Wh_hp&gt;='2024'!Maxi_hp</f>
        <v>1</v>
      </c>
      <c r="I234" s="390">
        <f>IF(H234,Wh_hp,'2024'!Maxi_hp)</f>
        <v>57.2700330333167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5.7923427029292096E-2</v>
      </c>
      <c r="M234" s="844"/>
      <c r="N234" s="844"/>
      <c r="O234" s="48">
        <f>IF(t&lt;Tnet,'2024'!Resal+('2024'!Salim-'2024'!Resal)*(1-EXP(('2024'!Tnet-t)/('2024'!Tau_j))),Resal+(Salim-Resal)*(1-EXP((Tnet-t)/(Tau_j))))*Salcycl</f>
        <v>3.6548909683644076E-2</v>
      </c>
      <c r="P234" s="169">
        <f>(INDEX(Models!$BJ234:$BT234,,T234)*(1-R234)+INDEX(Models!$BJ234:$BT234,,T234+1)*R234-ERP_i)*Q234*Ramure*Pc/MaxiM</f>
        <v>2.1048975536800848E-5</v>
      </c>
      <c r="Q234" s="305">
        <f t="shared" si="80"/>
        <v>0.7</v>
      </c>
      <c r="R234" s="177">
        <f t="shared" si="81"/>
        <v>0.74685130184583981</v>
      </c>
      <c r="S234" s="810">
        <f t="shared" si="82"/>
        <v>-2</v>
      </c>
      <c r="T234" s="176">
        <f t="shared" si="83"/>
        <v>4</v>
      </c>
      <c r="U234" s="251">
        <f t="shared" si="84"/>
        <v>-1.2531486981541602</v>
      </c>
      <c r="V234" s="383">
        <f t="shared" si="85"/>
        <v>52.72166875420524</v>
      </c>
      <c r="W234" s="402">
        <f t="shared" si="86"/>
        <v>51.979769883051539</v>
      </c>
      <c r="X234" s="157">
        <f t="shared" si="87"/>
        <v>45877</v>
      </c>
      <c r="Y234" s="385">
        <f t="shared" si="88"/>
        <v>47.424662240791875</v>
      </c>
      <c r="Z234" s="385">
        <f t="shared" si="89"/>
        <v>50.340559994231441</v>
      </c>
      <c r="AA234" s="386">
        <f t="shared" si="90"/>
        <v>57.241230460530801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0.12055419512789017</v>
      </c>
      <c r="AD234" s="231">
        <f>(INDEX(Models!$BJ234:$BT234,,AH234)*(1-AF234)+INDEX(Models!$BJ234:$BT234,,AH234+1)*AF234-ERP_i)*AE234*Ramure*Pc/MaxiM</f>
        <v>5.1324337525864884E-4</v>
      </c>
      <c r="AE234" s="305">
        <f t="shared" si="92"/>
        <v>0.7</v>
      </c>
      <c r="AF234" s="177">
        <f t="shared" si="93"/>
        <v>0.56684135494502375</v>
      </c>
      <c r="AG234" s="810">
        <f t="shared" si="99"/>
        <v>1</v>
      </c>
      <c r="AH234" s="176">
        <f t="shared" si="94"/>
        <v>7</v>
      </c>
      <c r="AI234" s="225">
        <f t="shared" si="95"/>
        <v>1.5668413549450237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49.676788019566331</v>
      </c>
      <c r="C235" s="840"/>
      <c r="D235" s="393">
        <f t="shared" si="77"/>
        <v>52.732384525015604</v>
      </c>
      <c r="E235" s="385">
        <f t="shared" si="100"/>
        <v>54.742229916594944</v>
      </c>
      <c r="F235" s="385">
        <f t="shared" si="78"/>
        <v>54.743326361399731</v>
      </c>
      <c r="G235" s="110">
        <f t="shared" si="101"/>
        <v>0.94585922862790173</v>
      </c>
      <c r="H235" s="414" t="b">
        <f>Wh_hp&gt;='2024'!Maxi_hp</f>
        <v>1</v>
      </c>
      <c r="I235" s="390">
        <f>IF(H235,Wh_hp,'2024'!Maxi_hp)</f>
        <v>54.743326361399731</v>
      </c>
      <c r="J235" s="85">
        <f>IF(H235,An,'2024'!An_max)</f>
        <v>2025</v>
      </c>
      <c r="K235" s="197">
        <f t="shared" si="79"/>
        <v>45878</v>
      </c>
      <c r="L235" s="147">
        <f>IF(t&lt;Tvie,1-EXP((T0-t)*PertePVj)+'2024'!Pspv,1-EXP((T0-t)*PertePVj)+Pspv)</f>
        <v>5.7945350527430328E-2</v>
      </c>
      <c r="M235" s="844"/>
      <c r="N235" s="844"/>
      <c r="O235" s="48">
        <f>IF(t&lt;Tnet,'2024'!Resal+('2024'!Salim-'2024'!Resal)*(1-EXP(('2024'!Tnet-t)/('2024'!Tau_j))),Resal+(Salim-Resal)*(1-EXP((Tnet-t)/(Tau_j))))*Salcycl</f>
        <v>3.671471539689794E-2</v>
      </c>
      <c r="P235" s="169">
        <f>(INDEX(Models!$BJ235:$BT235,,T235)*(1-R235)+INDEX(Models!$BJ235:$BT235,,T235+1)*R235-ERP_i)*Q235*Ramure*Pc/MaxiM</f>
        <v>2.1707744128688251E-5</v>
      </c>
      <c r="Q235" s="305">
        <f t="shared" si="80"/>
        <v>0.7</v>
      </c>
      <c r="R235" s="177">
        <f t="shared" si="81"/>
        <v>0.74806039054074258</v>
      </c>
      <c r="S235" s="810">
        <f t="shared" si="82"/>
        <v>-2</v>
      </c>
      <c r="T235" s="176">
        <f t="shared" si="83"/>
        <v>4</v>
      </c>
      <c r="U235" s="251">
        <f t="shared" si="84"/>
        <v>-1.2519396094592574</v>
      </c>
      <c r="V235" s="383">
        <f t="shared" si="85"/>
        <v>52.52018811184233</v>
      </c>
      <c r="W235" s="402">
        <f t="shared" si="86"/>
        <v>49.676788019566331</v>
      </c>
      <c r="X235" s="157">
        <f t="shared" si="87"/>
        <v>45878</v>
      </c>
      <c r="Y235" s="385">
        <f t="shared" si="88"/>
        <v>45.327940039429755</v>
      </c>
      <c r="Z235" s="385">
        <f t="shared" si="89"/>
        <v>48.116040895087792</v>
      </c>
      <c r="AA235" s="386">
        <f t="shared" si="90"/>
        <v>54.7162051680587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0.12062540252378176</v>
      </c>
      <c r="AD235" s="231">
        <f>(INDEX(Models!$BJ235:$BT235,,AH235)*(1-AF235)+INDEX(Models!$BJ235:$BT235,,AH235+1)*AF235-ERP_i)*AE235*Ramure*Pc/MaxiM</f>
        <v>5.3695354562170077E-4</v>
      </c>
      <c r="AE235" s="305">
        <f t="shared" si="92"/>
        <v>0.7</v>
      </c>
      <c r="AF235" s="177">
        <f t="shared" si="93"/>
        <v>0.56805044363992629</v>
      </c>
      <c r="AG235" s="810">
        <f t="shared" si="99"/>
        <v>1</v>
      </c>
      <c r="AH235" s="176">
        <f t="shared" si="94"/>
        <v>7</v>
      </c>
      <c r="AI235" s="225">
        <f t="shared" si="95"/>
        <v>1.5680504436399263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46.495837964091464</v>
      </c>
      <c r="C236" s="840"/>
      <c r="D236" s="393">
        <f t="shared" si="77"/>
        <v>49.356924294551483</v>
      </c>
      <c r="E236" s="385">
        <f t="shared" si="100"/>
        <v>51.24692337003377</v>
      </c>
      <c r="F236" s="385">
        <f t="shared" si="78"/>
        <v>51.247892530119145</v>
      </c>
      <c r="G236" s="110">
        <f t="shared" si="101"/>
        <v>0.88874869239865206</v>
      </c>
      <c r="H236" s="414" t="b">
        <f>Wh_hp&gt;='2024'!Maxi_hp</f>
        <v>1</v>
      </c>
      <c r="I236" s="390">
        <f>IF(H236,Wh_hp,'2024'!Maxi_hp)</f>
        <v>51.247892530119145</v>
      </c>
      <c r="J236" s="85">
        <f>IF(H236,An,'2024'!An_max)</f>
        <v>2025</v>
      </c>
      <c r="K236" s="197">
        <f t="shared" si="79"/>
        <v>45879</v>
      </c>
      <c r="L236" s="147">
        <f>IF(t&lt;Tvie,1-EXP((T0-t)*PertePVj)+'2024'!Pspv,1-EXP((T0-t)*PertePVj)+Pspv)</f>
        <v>5.7967273515376894E-2</v>
      </c>
      <c r="M236" s="844"/>
      <c r="N236" s="844"/>
      <c r="O236" s="48">
        <f>IF(t&lt;Tnet,'2024'!Resal+('2024'!Salim-'2024'!Resal)*(1-EXP(('2024'!Tnet-t)/('2024'!Tau_j))),Resal+(Salim-Resal)*(1-EXP((Tnet-t)/(Tau_j))))*Salcycl</f>
        <v>3.6880244728748825E-2</v>
      </c>
      <c r="P236" s="169">
        <f>(INDEX(Models!$BJ236:$BT236,,T236)*(1-R236)+INDEX(Models!$BJ236:$BT236,,T236+1)*R236-ERP_i)*Q236*Ramure*Pc/MaxiM</f>
        <v>2.2484604388139149E-5</v>
      </c>
      <c r="Q236" s="305">
        <f t="shared" si="80"/>
        <v>0.7</v>
      </c>
      <c r="R236" s="177">
        <f t="shared" si="81"/>
        <v>0.74922829091346022</v>
      </c>
      <c r="S236" s="810">
        <f t="shared" si="82"/>
        <v>-2</v>
      </c>
      <c r="T236" s="176">
        <f t="shared" si="83"/>
        <v>4</v>
      </c>
      <c r="U236" s="251">
        <f t="shared" si="84"/>
        <v>-1.2507717090865398</v>
      </c>
      <c r="V236" s="383">
        <f t="shared" si="85"/>
        <v>52.31588210597905</v>
      </c>
      <c r="W236" s="402">
        <f t="shared" si="86"/>
        <v>46.495837964091464</v>
      </c>
      <c r="X236" s="157">
        <f t="shared" si="87"/>
        <v>45879</v>
      </c>
      <c r="Y236" s="385">
        <f t="shared" si="88"/>
        <v>42.43022474172033</v>
      </c>
      <c r="Z236" s="385">
        <f t="shared" si="89"/>
        <v>45.041136628083933</v>
      </c>
      <c r="AA236" s="386">
        <f t="shared" si="90"/>
        <v>51.223637643431019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0.12069625078920837</v>
      </c>
      <c r="AD236" s="231">
        <f>(INDEX(Models!$BJ236:$BT236,,AH236)*(1-AF236)+INDEX(Models!$BJ236:$BT236,,AH236+1)*AF236-ERP_i)*AE236*Ramure*Pc/MaxiM</f>
        <v>5.6271563376318362E-4</v>
      </c>
      <c r="AE236" s="305">
        <f t="shared" si="92"/>
        <v>0.7</v>
      </c>
      <c r="AF236" s="177">
        <f t="shared" si="93"/>
        <v>0.56921834401264393</v>
      </c>
      <c r="AG236" s="810">
        <f t="shared" si="99"/>
        <v>1</v>
      </c>
      <c r="AH236" s="176">
        <f t="shared" si="94"/>
        <v>7</v>
      </c>
      <c r="AI236" s="225">
        <f t="shared" si="95"/>
        <v>1.5692183440126439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45.050915646073065</v>
      </c>
      <c r="C237" s="840"/>
      <c r="D237" s="393">
        <f t="shared" si="77"/>
        <v>47.824202710253793</v>
      </c>
      <c r="E237" s="385">
        <f t="shared" si="100"/>
        <v>49.664031398597778</v>
      </c>
      <c r="F237" s="385">
        <f t="shared" si="78"/>
        <v>49.664967973125641</v>
      </c>
      <c r="G237" s="110">
        <f t="shared" si="101"/>
        <v>0.86455501847666627</v>
      </c>
      <c r="H237" s="414" t="b">
        <f>Wh_hp&gt;='2024'!Maxi_hp</f>
        <v>1</v>
      </c>
      <c r="I237" s="390">
        <f>IF(H237,Wh_hp,'2024'!Maxi_hp)</f>
        <v>49.664967973125641</v>
      </c>
      <c r="J237" s="85">
        <f>IF(H237,An,'2024'!An_max)</f>
        <v>2025</v>
      </c>
      <c r="K237" s="197">
        <f t="shared" si="79"/>
        <v>45880</v>
      </c>
      <c r="L237" s="147">
        <f>IF(t&lt;Tvie,1-EXP((T0-t)*PertePVj)+'2024'!Pspv,1-EXP((T0-t)*PertePVj)+Pspv)</f>
        <v>5.798919599314345E-2</v>
      </c>
      <c r="M237" s="844"/>
      <c r="N237" s="844"/>
      <c r="O237" s="48">
        <f>IF(t&lt;Tnet,'2024'!Resal+('2024'!Salim-'2024'!Resal)*(1-EXP(('2024'!Tnet-t)/('2024'!Tau_j))),Resal+(Salim-Resal)*(1-EXP((Tnet-t)/(Tau_j))))*Salcycl</f>
        <v>3.7045496238066723E-2</v>
      </c>
      <c r="P237" s="169">
        <f>(INDEX(Models!$BJ237:$BT237,,T237)*(1-R237)+INDEX(Models!$BJ237:$BT237,,T237+1)*R237-ERP_i)*Q237*Ramure*Pc/MaxiM</f>
        <v>2.3381961499034469E-5</v>
      </c>
      <c r="Q237" s="305">
        <f t="shared" si="80"/>
        <v>0.7</v>
      </c>
      <c r="R237" s="177">
        <f t="shared" si="81"/>
        <v>0.75035613579853422</v>
      </c>
      <c r="S237" s="810">
        <f t="shared" si="82"/>
        <v>-2</v>
      </c>
      <c r="T237" s="176">
        <f t="shared" si="83"/>
        <v>4</v>
      </c>
      <c r="U237" s="251">
        <f t="shared" si="84"/>
        <v>-1.2496438642014658</v>
      </c>
      <c r="V237" s="383">
        <f t="shared" si="85"/>
        <v>52.108553954441412</v>
      </c>
      <c r="W237" s="402">
        <f t="shared" si="86"/>
        <v>45.050915646073065</v>
      </c>
      <c r="X237" s="157">
        <f t="shared" si="87"/>
        <v>45880</v>
      </c>
      <c r="Y237" s="385">
        <f t="shared" si="88"/>
        <v>41.115279996728617</v>
      </c>
      <c r="Z237" s="385">
        <f t="shared" si="89"/>
        <v>43.64629346271208</v>
      </c>
      <c r="AA237" s="386">
        <f t="shared" si="90"/>
        <v>49.64131287848091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0.12076673778641379</v>
      </c>
      <c r="AD237" s="231">
        <f>(INDEX(Models!$BJ237:$BT237,,AH237)*(1-AF237)+INDEX(Models!$BJ237:$BT237,,AH237+1)*AF237-ERP_i)*AE237*Ramure*Pc/MaxiM</f>
        <v>5.9055899534195234E-4</v>
      </c>
      <c r="AE237" s="305">
        <f t="shared" si="92"/>
        <v>0.7</v>
      </c>
      <c r="AF237" s="177">
        <f t="shared" si="93"/>
        <v>0.57034618889771793</v>
      </c>
      <c r="AG237" s="810">
        <f t="shared" si="99"/>
        <v>1</v>
      </c>
      <c r="AH237" s="176">
        <f t="shared" si="94"/>
        <v>7</v>
      </c>
      <c r="AI237" s="225">
        <f t="shared" si="95"/>
        <v>1.5703461888977179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46.216801860011614</v>
      </c>
      <c r="C238" s="840"/>
      <c r="D238" s="393">
        <f t="shared" si="77"/>
        <v>49.06300142307358</v>
      </c>
      <c r="E238" s="385">
        <f t="shared" si="100"/>
        <v>50.95921776118076</v>
      </c>
      <c r="F238" s="385">
        <f t="shared" si="78"/>
        <v>50.960266835429124</v>
      </c>
      <c r="G238" s="110">
        <f t="shared" si="101"/>
        <v>0.89052794333062457</v>
      </c>
      <c r="H238" s="414" t="b">
        <f>Wh_hp&gt;='2024'!Maxi_hp</f>
        <v>1</v>
      </c>
      <c r="I238" s="390">
        <f>IF(H238,Wh_hp,'2024'!Maxi_hp)</f>
        <v>50.960266835429124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5.8011117960741876E-2</v>
      </c>
      <c r="M238" s="844"/>
      <c r="N238" s="844"/>
      <c r="O238" s="48">
        <f>IF(t&lt;Tnet,'2024'!Resal+('2024'!Salim-'2024'!Resal)*(1-EXP(('2024'!Tnet-t)/('2024'!Tau_j))),Resal+(Salim-Resal)*(1-EXP((Tnet-t)/(Tau_j))))*Salcycl</f>
        <v>3.7210467927387671E-2</v>
      </c>
      <c r="P238" s="169">
        <f>(INDEX(Models!$BJ238:$BT238,,T238)*(1-R238)+INDEX(Models!$BJ238:$BT238,,T238+1)*R238-ERP_i)*Q238*Ramure*Pc/MaxiM</f>
        <v>2.4402235885567617E-5</v>
      </c>
      <c r="Q238" s="305">
        <f t="shared" si="80"/>
        <v>0.7</v>
      </c>
      <c r="R238" s="177">
        <f t="shared" si="81"/>
        <v>0.75144504698858716</v>
      </c>
      <c r="S238" s="810">
        <f t="shared" si="82"/>
        <v>-2</v>
      </c>
      <c r="T238" s="176">
        <f t="shared" si="83"/>
        <v>4</v>
      </c>
      <c r="U238" s="251">
        <f t="shared" si="84"/>
        <v>-1.2485549530114128</v>
      </c>
      <c r="V238" s="383">
        <f t="shared" si="85"/>
        <v>51.898007057396605</v>
      </c>
      <c r="W238" s="402">
        <f t="shared" si="86"/>
        <v>46.216801860011614</v>
      </c>
      <c r="X238" s="157">
        <f t="shared" si="87"/>
        <v>45881</v>
      </c>
      <c r="Y238" s="385">
        <f t="shared" si="88"/>
        <v>42.181259162109583</v>
      </c>
      <c r="Z238" s="385">
        <f t="shared" si="89"/>
        <v>44.778935257488151</v>
      </c>
      <c r="AA238" s="386">
        <f t="shared" si="90"/>
        <v>50.933590364899473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0.1208368595914409</v>
      </c>
      <c r="AD238" s="231">
        <f>(INDEX(Models!$BJ238:$BT238,,AH238)*(1-AF238)+INDEX(Models!$BJ238:$BT238,,AH238+1)*AF238-ERP_i)*AE238*Ramure*Pc/MaxiM</f>
        <v>6.2051425575842471E-4</v>
      </c>
      <c r="AE238" s="305">
        <f t="shared" si="92"/>
        <v>0.7</v>
      </c>
      <c r="AF238" s="177">
        <f t="shared" si="93"/>
        <v>0.57143510008777088</v>
      </c>
      <c r="AG238" s="810">
        <f t="shared" si="99"/>
        <v>1</v>
      </c>
      <c r="AH238" s="176">
        <f t="shared" si="94"/>
        <v>7</v>
      </c>
      <c r="AI238" s="225">
        <f t="shared" si="95"/>
        <v>1.5714351000877709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33.766760827947174</v>
      </c>
      <c r="C239" s="840"/>
      <c r="D239" s="393">
        <f t="shared" si="77"/>
        <v>35.847075577991369</v>
      </c>
      <c r="E239" s="385">
        <f t="shared" si="100"/>
        <v>37.238884752321852</v>
      </c>
      <c r="F239" s="385">
        <f t="shared" si="78"/>
        <v>37.239364972097903</v>
      </c>
      <c r="G239" s="110">
        <f t="shared" si="101"/>
        <v>0.65332219249721557</v>
      </c>
      <c r="H239" s="414" t="b">
        <f>Wh_hp&gt;='2024'!Maxi_hp</f>
        <v>0</v>
      </c>
      <c r="I239" s="390">
        <f>IF(H239,Wh_hp,'2024'!Maxi_hp)</f>
        <v>49.519418885775274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5.8033039418184051E-2</v>
      </c>
      <c r="M239" s="844"/>
      <c r="N239" s="844"/>
      <c r="O239" s="48">
        <f>IF(t&lt;Tnet,'2024'!Resal+('2024'!Salim-'2024'!Resal)*(1-EXP(('2024'!Tnet-t)/('2024'!Tau_j))),Resal+(Salim-Resal)*(1-EXP((Tnet-t)/(Tau_j))))*Salcycl</f>
        <v>3.7375157274109866E-2</v>
      </c>
      <c r="P239" s="169">
        <f>(INDEX(Models!$BJ239:$BT239,,T239)*(1-R239)+INDEX(Models!$BJ239:$BT239,,T239+1)*R239-ERP_i)*Q239*Ramure*Pc/MaxiM</f>
        <v>2.5547872320837307E-5</v>
      </c>
      <c r="Q239" s="305">
        <f t="shared" si="80"/>
        <v>0.7</v>
      </c>
      <c r="R239" s="177">
        <f t="shared" si="81"/>
        <v>0.75249613365078205</v>
      </c>
      <c r="S239" s="810">
        <f t="shared" si="82"/>
        <v>-2</v>
      </c>
      <c r="T239" s="176">
        <f t="shared" si="83"/>
        <v>4</v>
      </c>
      <c r="U239" s="251">
        <f t="shared" si="84"/>
        <v>-1.2475038663492179</v>
      </c>
      <c r="V239" s="383">
        <f t="shared" si="85"/>
        <v>51.684044993679116</v>
      </c>
      <c r="W239" s="402">
        <f t="shared" si="86"/>
        <v>33.766760827947174</v>
      </c>
      <c r="X239" s="157">
        <f t="shared" si="87"/>
        <v>45882</v>
      </c>
      <c r="Y239" s="385">
        <f t="shared" si="88"/>
        <v>30.826900860227205</v>
      </c>
      <c r="Z239" s="385">
        <f t="shared" si="89"/>
        <v>32.726095659646745</v>
      </c>
      <c r="AA239" s="386">
        <f t="shared" si="90"/>
        <v>37.227097888960401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0.12090661062914658</v>
      </c>
      <c r="AD239" s="231">
        <f>(INDEX(Models!$BJ239:$BT239,,AH239)*(1-AF239)+INDEX(Models!$BJ239:$BT239,,AH239+1)*AF239-ERP_i)*AE239*Ramure*Pc/MaxiM</f>
        <v>6.5261342696301097E-4</v>
      </c>
      <c r="AE239" s="305">
        <f t="shared" si="92"/>
        <v>0.7</v>
      </c>
      <c r="AF239" s="177">
        <f t="shared" si="93"/>
        <v>0.57248618674996576</v>
      </c>
      <c r="AG239" s="810">
        <f t="shared" si="99"/>
        <v>1</v>
      </c>
      <c r="AH239" s="176">
        <f t="shared" si="94"/>
        <v>7</v>
      </c>
      <c r="AI239" s="225">
        <f t="shared" si="95"/>
        <v>1.5724861867499658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33.098333886021159</v>
      </c>
      <c r="C240" s="840"/>
      <c r="D240" s="393">
        <f t="shared" si="77"/>
        <v>35.138285667774809</v>
      </c>
      <c r="E240" s="385">
        <f t="shared" si="100"/>
        <v>36.508810392087526</v>
      </c>
      <c r="F240" s="385">
        <f t="shared" si="78"/>
        <v>36.509292004568927</v>
      </c>
      <c r="G240" s="110">
        <f t="shared" si="101"/>
        <v>0.6430960152762123</v>
      </c>
      <c r="H240" s="414" t="b">
        <f>Wh_hp&gt;='2024'!Maxi_hp</f>
        <v>0</v>
      </c>
      <c r="I240" s="390">
        <f>IF(H240,Wh_hp,'2024'!Maxi_hp)</f>
        <v>56.438545472421865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5.8054960365481967E-2</v>
      </c>
      <c r="M240" s="844"/>
      <c r="N240" s="844"/>
      <c r="O240" s="48">
        <f>IF(t&lt;Tnet,'2024'!Resal+('2024'!Salim-'2024'!Resal)*(1-EXP(('2024'!Tnet-t)/('2024'!Tau_j))),Resal+(Salim-Resal)*(1-EXP((Tnet-t)/(Tau_j))))*Salcycl</f>
        <v>3.753956126189608E-2</v>
      </c>
      <c r="P240" s="169">
        <f>(INDEX(Models!$BJ240:$BT240,,T240)*(1-R240)+INDEX(Models!$BJ240:$BT240,,T240+1)*R240-ERP_i)*Q240*Ramure*Pc/MaxiM</f>
        <v>2.691321111226667E-5</v>
      </c>
      <c r="Q240" s="305">
        <f t="shared" si="80"/>
        <v>0.7</v>
      </c>
      <c r="R240" s="177">
        <f t="shared" si="81"/>
        <v>0.75351049089954114</v>
      </c>
      <c r="S240" s="810">
        <f t="shared" si="82"/>
        <v>-2</v>
      </c>
      <c r="T240" s="176">
        <f t="shared" si="83"/>
        <v>4</v>
      </c>
      <c r="U240" s="251">
        <f t="shared" si="84"/>
        <v>-1.2464895091004589</v>
      </c>
      <c r="V240" s="383">
        <f t="shared" si="85"/>
        <v>51.466466792178394</v>
      </c>
      <c r="W240" s="402">
        <f t="shared" si="86"/>
        <v>33.098333886021159</v>
      </c>
      <c r="X240" s="157">
        <f t="shared" si="87"/>
        <v>45883</v>
      </c>
      <c r="Y240" s="385">
        <f t="shared" si="88"/>
        <v>30.219215608900331</v>
      </c>
      <c r="Z240" s="385">
        <f t="shared" si="89"/>
        <v>32.081718505174806</v>
      </c>
      <c r="AA240" s="386">
        <f t="shared" si="90"/>
        <v>36.496976094084687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0.12097598380555942</v>
      </c>
      <c r="AD240" s="231">
        <f>(INDEX(Models!$BJ240:$BT240,,AH240)*(1-AF240)+INDEX(Models!$BJ240:$BT240,,AH240+1)*AF240-ERP_i)*AE240*Ramure*Pc/MaxiM</f>
        <v>6.8823112294971928E-4</v>
      </c>
      <c r="AE240" s="305">
        <f t="shared" si="92"/>
        <v>0.7</v>
      </c>
      <c r="AF240" s="177">
        <f t="shared" si="93"/>
        <v>0.57350054399872485</v>
      </c>
      <c r="AG240" s="810">
        <f t="shared" si="99"/>
        <v>1</v>
      </c>
      <c r="AH240" s="176">
        <f t="shared" si="94"/>
        <v>7</v>
      </c>
      <c r="AI240" s="225">
        <f t="shared" si="95"/>
        <v>1.5735005439987249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40.020580565178946</v>
      </c>
      <c r="C241" s="840"/>
      <c r="D241" s="393">
        <f t="shared" si="77"/>
        <v>42.488160391775878</v>
      </c>
      <c r="E241" s="385">
        <f t="shared" si="100"/>
        <v>44.152886538464877</v>
      </c>
      <c r="F241" s="385">
        <f t="shared" si="78"/>
        <v>44.15375006046385</v>
      </c>
      <c r="G241" s="110">
        <f t="shared" si="101"/>
        <v>0.78095741893700354</v>
      </c>
      <c r="H241" s="414" t="b">
        <f>Wh_hp&gt;='2024'!Maxi_hp</f>
        <v>0</v>
      </c>
      <c r="I241" s="390">
        <f>IF(H241,Wh_hp,'2024'!Maxi_hp)</f>
        <v>49.907980603306648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5.807688080264739E-2</v>
      </c>
      <c r="M241" s="844"/>
      <c r="N241" s="844"/>
      <c r="O241" s="48">
        <f>IF(t&lt;Tnet,'2024'!Resal+('2024'!Salim-'2024'!Resal)*(1-EXP(('2024'!Tnet-t)/('2024'!Tau_j))),Resal+(Salim-Resal)*(1-EXP((Tnet-t)/(Tau_j))))*Salcycl</f>
        <v>3.7703676411704856E-2</v>
      </c>
      <c r="P241" s="169">
        <f>(INDEX(Models!$BJ241:$BT241,,T241)*(1-R241)+INDEX(Models!$BJ241:$BT241,,T241+1)*R241-ERP_i)*Q241*Ramure*Pc/MaxiM</f>
        <v>2.8463673035811709E-5</v>
      </c>
      <c r="Q241" s="305">
        <f t="shared" si="80"/>
        <v>0.7</v>
      </c>
      <c r="R241" s="177">
        <f t="shared" si="81"/>
        <v>0.75448919851797336</v>
      </c>
      <c r="S241" s="810">
        <f t="shared" si="82"/>
        <v>-2</v>
      </c>
      <c r="T241" s="176">
        <f t="shared" si="83"/>
        <v>4</v>
      </c>
      <c r="U241" s="251">
        <f t="shared" si="84"/>
        <v>-1.2455108014820266</v>
      </c>
      <c r="V241" s="383">
        <f t="shared" si="85"/>
        <v>51.245078341017482</v>
      </c>
      <c r="W241" s="402">
        <f t="shared" si="86"/>
        <v>40.020580565178946</v>
      </c>
      <c r="X241" s="157">
        <f t="shared" si="87"/>
        <v>45884</v>
      </c>
      <c r="Y241" s="385">
        <f t="shared" si="88"/>
        <v>36.536994770738488</v>
      </c>
      <c r="Z241" s="385">
        <f t="shared" si="89"/>
        <v>38.789784459131873</v>
      </c>
      <c r="AA241" s="386">
        <f t="shared" si="90"/>
        <v>44.13170544935825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0.12104497063582337</v>
      </c>
      <c r="AD241" s="231">
        <f>(INDEX(Models!$BJ241:$BT241,,AH241)*(1-AF241)+INDEX(Models!$BJ241:$BT241,,AH241+1)*AF241-ERP_i)*AE241*Ramure*Pc/MaxiM</f>
        <v>7.2664113185172137E-4</v>
      </c>
      <c r="AE241" s="305">
        <f t="shared" si="92"/>
        <v>0.7</v>
      </c>
      <c r="AF241" s="177">
        <f t="shared" si="93"/>
        <v>0.57447925161715707</v>
      </c>
      <c r="AG241" s="810">
        <f t="shared" si="99"/>
        <v>1</v>
      </c>
      <c r="AH241" s="176">
        <f t="shared" si="94"/>
        <v>7</v>
      </c>
      <c r="AI241" s="225">
        <f t="shared" si="95"/>
        <v>1.5744792516171571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34.409194946697049</v>
      </c>
      <c r="C242" s="840"/>
      <c r="D242" s="393">
        <f t="shared" si="77"/>
        <v>36.531639383572191</v>
      </c>
      <c r="E242" s="385">
        <f t="shared" si="100"/>
        <v>37.969447387402965</v>
      </c>
      <c r="F242" s="385">
        <f t="shared" si="78"/>
        <v>37.970060813569482</v>
      </c>
      <c r="G242" s="110">
        <f t="shared" si="101"/>
        <v>0.67442032308203859</v>
      </c>
      <c r="H242" s="414" t="b">
        <f>Wh_hp&gt;='2024'!Maxi_hp</f>
        <v>0</v>
      </c>
      <c r="I242" s="390">
        <f>IF(H242,Wh_hp,'2024'!Maxi_hp)</f>
        <v>54.750781223498663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5.8098800729692313E-2</v>
      </c>
      <c r="M242" s="844"/>
      <c r="N242" s="844"/>
      <c r="O242" s="48">
        <f>IF(t&lt;Tnet,'2024'!Resal+('2024'!Salim-'2024'!Resal)*(1-EXP(('2024'!Tnet-t)/('2024'!Tau_j))),Resal+(Salim-Resal)*(1-EXP((Tnet-t)/(Tau_j))))*Salcycl</f>
        <v>3.7867498811894544E-2</v>
      </c>
      <c r="P242" s="169">
        <f>(INDEX(Models!$BJ242:$BT242,,T242)*(1-R242)+INDEX(Models!$BJ242:$BT242,,T242+1)*R242-ERP_i)*Q242*Ramure*Pc/MaxiM</f>
        <v>3.0202899814503385E-5</v>
      </c>
      <c r="Q242" s="305">
        <f t="shared" si="80"/>
        <v>0.7</v>
      </c>
      <c r="R242" s="177">
        <f t="shared" si="81"/>
        <v>0.75543331982038842</v>
      </c>
      <c r="S242" s="810">
        <f t="shared" si="82"/>
        <v>-2</v>
      </c>
      <c r="T242" s="176">
        <f t="shared" si="83"/>
        <v>4</v>
      </c>
      <c r="U242" s="251">
        <f t="shared" si="84"/>
        <v>-1.2445666801796116</v>
      </c>
      <c r="V242" s="383">
        <f t="shared" si="85"/>
        <v>51.019683722895657</v>
      </c>
      <c r="W242" s="402">
        <f t="shared" si="86"/>
        <v>34.409194946697049</v>
      </c>
      <c r="X242" s="157">
        <f t="shared" si="87"/>
        <v>45885</v>
      </c>
      <c r="Y242" s="385">
        <f t="shared" si="88"/>
        <v>31.419624170861766</v>
      </c>
      <c r="Z242" s="385">
        <f t="shared" si="89"/>
        <v>33.357664471817849</v>
      </c>
      <c r="AA242" s="386">
        <f t="shared" si="90"/>
        <v>37.954464883616936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0.12111356136609097</v>
      </c>
      <c r="AD242" s="231">
        <f>(INDEX(Models!$BJ242:$BT242,,AH242)*(1-AF242)+INDEX(Models!$BJ242:$BT242,,AH242+1)*AF242-ERP_i)*AE242*Ramure*Pc/MaxiM</f>
        <v>7.6788753982859836E-4</v>
      </c>
      <c r="AE242" s="305">
        <f t="shared" si="92"/>
        <v>0.7</v>
      </c>
      <c r="AF242" s="177">
        <f t="shared" si="93"/>
        <v>0.57542337291957213</v>
      </c>
      <c r="AG242" s="810">
        <f t="shared" si="99"/>
        <v>1</v>
      </c>
      <c r="AH242" s="176">
        <f t="shared" si="94"/>
        <v>7</v>
      </c>
      <c r="AI242" s="225">
        <f t="shared" si="95"/>
        <v>1.5754233729195721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28.650296520585659</v>
      </c>
      <c r="C243" s="840"/>
      <c r="D243" s="393">
        <f t="shared" si="77"/>
        <v>30.418225704090055</v>
      </c>
      <c r="E243" s="385">
        <f t="shared" si="100"/>
        <v>31.620796998274773</v>
      </c>
      <c r="F243" s="385">
        <f t="shared" si="78"/>
        <v>31.621180360044868</v>
      </c>
      <c r="G243" s="110">
        <f t="shared" si="101"/>
        <v>0.56408100039308517</v>
      </c>
      <c r="H243" s="414" t="b">
        <f>Wh_hp&gt;='2024'!Maxi_hp</f>
        <v>0</v>
      </c>
      <c r="I243" s="390">
        <f>IF(H243,Wh_hp,'2024'!Maxi_hp)</f>
        <v>54.337378968983657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5.8120720146628391E-2</v>
      </c>
      <c r="M243" s="844"/>
      <c r="N243" s="844"/>
      <c r="O243" s="48">
        <f>IF(t&lt;Tnet,'2024'!Resal+('2024'!Salim-'2024'!Resal)*(1-EXP(('2024'!Tnet-t)/('2024'!Tau_j))),Resal+(Salim-Resal)*(1-EXP((Tnet-t)/(Tau_j))))*Salcycl</f>
        <v>3.803102414687172E-2</v>
      </c>
      <c r="P243" s="169">
        <f>(INDEX(Models!$BJ243:$BT243,,T243)*(1-R243)+INDEX(Models!$BJ243:$BT243,,T243+1)*R243-ERP_i)*Q243*Ramure*Pc/MaxiM</f>
        <v>3.2134610792821263E-5</v>
      </c>
      <c r="Q243" s="305">
        <f t="shared" si="80"/>
        <v>0.7</v>
      </c>
      <c r="R243" s="177">
        <f t="shared" si="81"/>
        <v>0.7563439006482704</v>
      </c>
      <c r="S243" s="810">
        <f t="shared" si="82"/>
        <v>-2</v>
      </c>
      <c r="T243" s="176">
        <f t="shared" si="83"/>
        <v>4</v>
      </c>
      <c r="U243" s="251">
        <f t="shared" si="84"/>
        <v>-1.2436560993517296</v>
      </c>
      <c r="V243" s="383">
        <f t="shared" si="85"/>
        <v>50.790087188856859</v>
      </c>
      <c r="W243" s="402">
        <f t="shared" si="86"/>
        <v>28.650296520585659</v>
      </c>
      <c r="X243" s="157">
        <f t="shared" si="87"/>
        <v>45886</v>
      </c>
      <c r="Y243" s="385">
        <f t="shared" si="88"/>
        <v>26.166119590595134</v>
      </c>
      <c r="Z243" s="385">
        <f t="shared" si="89"/>
        <v>27.780757205603443</v>
      </c>
      <c r="AA243" s="386">
        <f t="shared" si="90"/>
        <v>31.611493104886652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0.12118174508786608</v>
      </c>
      <c r="AD243" s="231">
        <f>(INDEX(Models!$BJ243:$BT243,,AH243)*(1-AF243)+INDEX(Models!$BJ243:$BT243,,AH243+1)*AF243-ERP_i)*AE243*Ramure*Pc/MaxiM</f>
        <v>8.1201673834937029E-4</v>
      </c>
      <c r="AE243" s="305">
        <f t="shared" si="92"/>
        <v>0.7</v>
      </c>
      <c r="AF243" s="177">
        <f t="shared" si="93"/>
        <v>0.57633395374745411</v>
      </c>
      <c r="AG243" s="810">
        <f t="shared" si="99"/>
        <v>1</v>
      </c>
      <c r="AH243" s="176">
        <f t="shared" si="94"/>
        <v>7</v>
      </c>
      <c r="AI243" s="225">
        <f t="shared" si="95"/>
        <v>1.5763339537474541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35.666147235258542</v>
      </c>
      <c r="C244" s="840"/>
      <c r="D244" s="393">
        <f t="shared" si="77"/>
        <v>37.867886066543413</v>
      </c>
      <c r="E244" s="385">
        <f t="shared" si="100"/>
        <v>39.371656882822045</v>
      </c>
      <c r="F244" s="385">
        <f t="shared" si="78"/>
        <v>39.372438296032058</v>
      </c>
      <c r="G244" s="110">
        <f t="shared" si="101"/>
        <v>0.70546655882050302</v>
      </c>
      <c r="H244" s="414" t="b">
        <f>Wh_hp&gt;='2024'!Maxi_hp</f>
        <v>0</v>
      </c>
      <c r="I244" s="390">
        <f>IF(H244,Wh_hp,'2024'!Maxi_hp)</f>
        <v>54.641783425949193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5.8142639053467615E-2</v>
      </c>
      <c r="M244" s="844"/>
      <c r="N244" s="844"/>
      <c r="O244" s="48">
        <f>IF(t&lt;Tnet,'2024'!Resal+('2024'!Salim-'2024'!Resal)*(1-EXP(('2024'!Tnet-t)/('2024'!Tau_j))),Resal+(Salim-Resal)*(1-EXP((Tnet-t)/(Tau_j))))*Salcycl</f>
        <v>3.8194247723791618E-2</v>
      </c>
      <c r="P244" s="169">
        <f>(INDEX(Models!$BJ244:$BT244,,T244)*(1-R244)+INDEX(Models!$BJ244:$BT244,,T244+1)*R244-ERP_i)*Q244*Ramure*Pc/MaxiM</f>
        <v>3.4262617925035906E-5</v>
      </c>
      <c r="Q244" s="305">
        <f t="shared" si="80"/>
        <v>0.7</v>
      </c>
      <c r="R244" s="177">
        <f t="shared" si="81"/>
        <v>0.75722196849212131</v>
      </c>
      <c r="S244" s="810">
        <f t="shared" si="82"/>
        <v>-2</v>
      </c>
      <c r="T244" s="176">
        <f t="shared" si="83"/>
        <v>4</v>
      </c>
      <c r="U244" s="251">
        <f t="shared" si="84"/>
        <v>-1.2427780315078787</v>
      </c>
      <c r="V244" s="383">
        <f t="shared" si="85"/>
        <v>50.556093154365627</v>
      </c>
      <c r="W244" s="402">
        <f t="shared" si="86"/>
        <v>35.666147235258542</v>
      </c>
      <c r="X244" s="157">
        <f t="shared" si="87"/>
        <v>45887</v>
      </c>
      <c r="Y244" s="385">
        <f t="shared" si="88"/>
        <v>32.570682494316841</v>
      </c>
      <c r="Z244" s="385">
        <f t="shared" si="89"/>
        <v>34.581332423398479</v>
      </c>
      <c r="AA244" s="386">
        <f t="shared" si="90"/>
        <v>39.35284567208366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0.12124950984345265</v>
      </c>
      <c r="AD244" s="231">
        <f>(INDEX(Models!$BJ244:$BT244,,AH244)*(1-AF244)+INDEX(Models!$BJ244:$BT244,,AH244+1)*AF244-ERP_i)*AE244*Ramure*Pc/MaxiM</f>
        <v>8.5907760438564502E-4</v>
      </c>
      <c r="AE244" s="305">
        <f t="shared" si="92"/>
        <v>0.7</v>
      </c>
      <c r="AF244" s="177">
        <f t="shared" si="93"/>
        <v>0.57721202159130502</v>
      </c>
      <c r="AG244" s="810">
        <f t="shared" si="99"/>
        <v>1</v>
      </c>
      <c r="AH244" s="176">
        <f t="shared" si="94"/>
        <v>7</v>
      </c>
      <c r="AI244" s="225">
        <f t="shared" si="95"/>
        <v>1.577212021591305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42.589314784458054</v>
      </c>
      <c r="C245" s="840"/>
      <c r="D245" s="393">
        <f t="shared" si="77"/>
        <v>45.219486186629794</v>
      </c>
      <c r="E245" s="385">
        <f t="shared" si="100"/>
        <v>47.023161320565087</v>
      </c>
      <c r="F245" s="385">
        <f t="shared" si="78"/>
        <v>47.024504451636645</v>
      </c>
      <c r="G245" s="110">
        <f t="shared" si="101"/>
        <v>0.84640468225372778</v>
      </c>
      <c r="H245" s="414" t="b">
        <f>Wh_hp&gt;='2024'!Maxi_hp</f>
        <v>1</v>
      </c>
      <c r="I245" s="390">
        <f>IF(H245,Wh_hp,'2024'!Maxi_hp)</f>
        <v>47.024504451636645</v>
      </c>
      <c r="J245" s="85">
        <f>IF(H245,An,'2024'!An_max)</f>
        <v>2025</v>
      </c>
      <c r="K245" s="197">
        <f t="shared" si="79"/>
        <v>45888</v>
      </c>
      <c r="L245" s="147">
        <f>IF(t&lt;Tvie,1-EXP((T0-t)*PertePVj)+'2024'!Pspv,1-EXP((T0-t)*PertePVj)+Pspv)</f>
        <v>5.8164557450221865E-2</v>
      </c>
      <c r="M245" s="844"/>
      <c r="N245" s="844"/>
      <c r="O245" s="48">
        <f>IF(t&lt;Tnet,'2024'!Resal+('2024'!Salim-'2024'!Resal)*(1-EXP(('2024'!Tnet-t)/('2024'!Tau_j))),Resal+(Salim-Resal)*(1-EXP((Tnet-t)/(Tau_j))))*Salcycl</f>
        <v>3.8357164496859886E-2</v>
      </c>
      <c r="P245" s="169">
        <f>(INDEX(Models!$BJ245:$BT245,,T245)*(1-R245)+INDEX(Models!$BJ245:$BT245,,T245+1)*R245-ERP_i)*Q245*Ramure*Pc/MaxiM</f>
        <v>3.6590841300913951E-5</v>
      </c>
      <c r="Q245" s="305">
        <f t="shared" si="80"/>
        <v>0.7</v>
      </c>
      <c r="R245" s="177">
        <f t="shared" si="81"/>
        <v>0.75806853173167288</v>
      </c>
      <c r="S245" s="810">
        <f t="shared" si="82"/>
        <v>-2</v>
      </c>
      <c r="T245" s="176">
        <f t="shared" si="83"/>
        <v>4</v>
      </c>
      <c r="U245" s="251">
        <f t="shared" si="84"/>
        <v>-1.2419314682683271</v>
      </c>
      <c r="V245" s="383">
        <f t="shared" si="85"/>
        <v>50.317506200456641</v>
      </c>
      <c r="W245" s="402">
        <f t="shared" si="86"/>
        <v>42.589314784458054</v>
      </c>
      <c r="X245" s="157">
        <f t="shared" si="87"/>
        <v>45888</v>
      </c>
      <c r="Y245" s="385">
        <f t="shared" si="88"/>
        <v>38.88868453702986</v>
      </c>
      <c r="Z245" s="385">
        <f t="shared" si="89"/>
        <v>41.290317586423285</v>
      </c>
      <c r="AA245" s="386">
        <f t="shared" si="90"/>
        <v>46.991133543861174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0.12131684272133568</v>
      </c>
      <c r="AD245" s="231">
        <f>(INDEX(Models!$BJ245:$BT245,,AH245)*(1-AF245)+INDEX(Models!$BJ245:$BT245,,AH245+1)*AF245-ERP_i)*AE245*Ramure*Pc/MaxiM</f>
        <v>9.0912169060397823E-4</v>
      </c>
      <c r="AE245" s="305">
        <f t="shared" si="92"/>
        <v>0.7</v>
      </c>
      <c r="AF245" s="177">
        <f t="shared" si="93"/>
        <v>0.57805858483085659</v>
      </c>
      <c r="AG245" s="810">
        <f t="shared" si="99"/>
        <v>1</v>
      </c>
      <c r="AH245" s="176">
        <f t="shared" si="94"/>
        <v>7</v>
      </c>
      <c r="AI245" s="225">
        <f t="shared" si="95"/>
        <v>1.5780585848308566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47.805979169734506</v>
      </c>
      <c r="C246" s="840"/>
      <c r="D246" s="393">
        <f t="shared" si="77"/>
        <v>50.759495290573085</v>
      </c>
      <c r="E246" s="385">
        <f t="shared" si="100"/>
        <v>52.793072242858081</v>
      </c>
      <c r="F246" s="385">
        <f t="shared" si="78"/>
        <v>52.79500410272982</v>
      </c>
      <c r="G246" s="110">
        <f t="shared" si="101"/>
        <v>0.95470170167685031</v>
      </c>
      <c r="H246" s="414" t="b">
        <f>Wh_hp&gt;='2024'!Maxi_hp</f>
        <v>1</v>
      </c>
      <c r="I246" s="390">
        <f>IF(H246,Wh_hp,'2024'!Maxi_hp)</f>
        <v>52.79500410272982</v>
      </c>
      <c r="J246" s="85">
        <f>IF(H246,An,'2024'!An_max)</f>
        <v>2025</v>
      </c>
      <c r="K246" s="197">
        <f t="shared" si="79"/>
        <v>45889</v>
      </c>
      <c r="L246" s="147">
        <f>IF(t&lt;Tvie,1-EXP((T0-t)*PertePVj)+'2024'!Pspv,1-EXP((T0-t)*PertePVj)+Pspv)</f>
        <v>5.8186475336903021E-2</v>
      </c>
      <c r="M246" s="844"/>
      <c r="N246" s="844"/>
      <c r="O246" s="48">
        <f>IF(t&lt;Tnet,'2024'!Resal+('2024'!Salim-'2024'!Resal)*(1-EXP(('2024'!Tnet-t)/('2024'!Tau_j))),Resal+(Salim-Resal)*(1-EXP((Tnet-t)/(Tau_j))))*Salcycl</f>
        <v>3.8519769088833491E-2</v>
      </c>
      <c r="P246" s="169">
        <f>(INDEX(Models!$BJ246:$BT246,,T246)*(1-R246)+INDEX(Models!$BJ246:$BT246,,T246+1)*R246-ERP_i)*Q246*Ramure*Pc/MaxiM</f>
        <v>3.91233252823906E-5</v>
      </c>
      <c r="Q246" s="305">
        <f t="shared" si="80"/>
        <v>0.7</v>
      </c>
      <c r="R246" s="177">
        <f t="shared" si="81"/>
        <v>0.75888457898710104</v>
      </c>
      <c r="S246" s="810">
        <f t="shared" si="82"/>
        <v>-2</v>
      </c>
      <c r="T246" s="176">
        <f t="shared" si="83"/>
        <v>4</v>
      </c>
      <c r="U246" s="251">
        <f t="shared" si="84"/>
        <v>-1.241115421012899</v>
      </c>
      <c r="V246" s="383">
        <f t="shared" si="85"/>
        <v>50.074131066642721</v>
      </c>
      <c r="W246" s="402">
        <f t="shared" si="86"/>
        <v>47.805979169734506</v>
      </c>
      <c r="X246" s="157">
        <f t="shared" si="87"/>
        <v>45889</v>
      </c>
      <c r="Y246" s="385">
        <f t="shared" si="88"/>
        <v>43.648163614621431</v>
      </c>
      <c r="Z246" s="385">
        <f t="shared" si="89"/>
        <v>46.344804434864251</v>
      </c>
      <c r="AA246" s="386">
        <f t="shared" si="90"/>
        <v>52.747491725513022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0.12138372994050643</v>
      </c>
      <c r="AD246" s="231">
        <f>(INDEX(Models!$BJ246:$BT246,,AH246)*(1-AF246)+INDEX(Models!$BJ246:$BT246,,AH246+1)*AF246-ERP_i)*AE246*Ramure*Pc/MaxiM</f>
        <v>9.6220342685334067E-4</v>
      </c>
      <c r="AE246" s="305">
        <f t="shared" si="92"/>
        <v>0.7</v>
      </c>
      <c r="AF246" s="177">
        <f t="shared" si="93"/>
        <v>0.57887463208628476</v>
      </c>
      <c r="AG246" s="810">
        <f t="shared" si="99"/>
        <v>1</v>
      </c>
      <c r="AH246" s="176">
        <f t="shared" si="94"/>
        <v>7</v>
      </c>
      <c r="AI246" s="225">
        <f t="shared" si="95"/>
        <v>1.5788746320862848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30.696242132431568</v>
      </c>
      <c r="C247" s="840"/>
      <c r="D247" s="393">
        <f t="shared" si="77"/>
        <v>32.593454746188122</v>
      </c>
      <c r="E247" s="385">
        <f t="shared" si="100"/>
        <v>33.904968635147952</v>
      </c>
      <c r="F247" s="385">
        <f t="shared" si="78"/>
        <v>33.905609517889758</v>
      </c>
      <c r="G247" s="110">
        <f t="shared" si="101"/>
        <v>0.61604600443085245</v>
      </c>
      <c r="H247" s="414" t="b">
        <f>Wh_hp&gt;='2024'!Maxi_hp</f>
        <v>0</v>
      </c>
      <c r="I247" s="390">
        <f>IF(H247,Wh_hp,'2024'!Maxi_hp)</f>
        <v>52.989538136778435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5.8208392713522961E-2</v>
      </c>
      <c r="M247" s="844"/>
      <c r="N247" s="844"/>
      <c r="O247" s="48">
        <f>IF(t&lt;Tnet,'2024'!Resal+('2024'!Salim-'2024'!Resal)*(1-EXP(('2024'!Tnet-t)/('2024'!Tau_j))),Resal+(Salim-Resal)*(1-EXP((Tnet-t)/(Tau_j))))*Salcycl</f>
        <v>3.8682055809372756E-2</v>
      </c>
      <c r="P247" s="169">
        <f>(INDEX(Models!$BJ247:$BT247,,T247)*(1-R247)+INDEX(Models!$BJ247:$BT247,,T247+1)*R247-ERP_i)*Q247*Ramure*Pc/MaxiM</f>
        <v>4.1863479136209104E-5</v>
      </c>
      <c r="Q247" s="305">
        <f t="shared" si="80"/>
        <v>0.7</v>
      </c>
      <c r="R247" s="177">
        <f t="shared" si="81"/>
        <v>0.75967107857403238</v>
      </c>
      <c r="S247" s="810">
        <f t="shared" si="82"/>
        <v>-2</v>
      </c>
      <c r="T247" s="176">
        <f t="shared" si="83"/>
        <v>4</v>
      </c>
      <c r="U247" s="251">
        <f t="shared" si="84"/>
        <v>-1.2403289214259676</v>
      </c>
      <c r="V247" s="383">
        <f t="shared" si="85"/>
        <v>49.826696490561396</v>
      </c>
      <c r="W247" s="402">
        <f t="shared" si="86"/>
        <v>30.696242132431568</v>
      </c>
      <c r="X247" s="157">
        <f t="shared" si="87"/>
        <v>45890</v>
      </c>
      <c r="Y247" s="385">
        <f t="shared" si="88"/>
        <v>28.040970519577488</v>
      </c>
      <c r="Z247" s="385">
        <f t="shared" si="89"/>
        <v>29.774071357856027</v>
      </c>
      <c r="AA247" s="386">
        <f t="shared" si="90"/>
        <v>33.890019550369914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0.12145015692293874</v>
      </c>
      <c r="AD247" s="231">
        <f>(INDEX(Models!$BJ247:$BT247,,AH247)*(1-AF247)+INDEX(Models!$BJ247:$BT247,,AH247+1)*AF247-ERP_i)*AE247*Ramure*Pc/MaxiM</f>
        <v>1.0183614527677172E-3</v>
      </c>
      <c r="AE247" s="305">
        <f t="shared" si="92"/>
        <v>0.7</v>
      </c>
      <c r="AF247" s="177">
        <f t="shared" si="93"/>
        <v>0.57966113167321609</v>
      </c>
      <c r="AG247" s="810">
        <f t="shared" si="99"/>
        <v>1</v>
      </c>
      <c r="AH247" s="176">
        <f t="shared" si="94"/>
        <v>7</v>
      </c>
      <c r="AI247" s="225">
        <f t="shared" si="95"/>
        <v>1.5796611316732161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26.292798015904225</v>
      </c>
      <c r="C248" s="840"/>
      <c r="D248" s="393">
        <f t="shared" si="77"/>
        <v>27.918500970424166</v>
      </c>
      <c r="E248" s="385">
        <f t="shared" si="100"/>
        <v>29.046795226504891</v>
      </c>
      <c r="F248" s="385">
        <f t="shared" si="78"/>
        <v>29.047225076717265</v>
      </c>
      <c r="G248" s="110">
        <f t="shared" si="101"/>
        <v>0.53033817908527614</v>
      </c>
      <c r="H248" s="414" t="b">
        <f>Wh_hp&gt;='2024'!Maxi_hp</f>
        <v>0</v>
      </c>
      <c r="I248" s="390">
        <f>IF(H248,Wh_hp,'2024'!Maxi_hp)</f>
        <v>55.477484592844142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5.8230309580093564E-2</v>
      </c>
      <c r="M248" s="844"/>
      <c r="N248" s="844"/>
      <c r="O248" s="48">
        <f>IF(t&lt;Tnet,'2024'!Resal+('2024'!Salim-'2024'!Resal)*(1-EXP(('2024'!Tnet-t)/('2024'!Tau_j))),Resal+(Salim-Resal)*(1-EXP((Tnet-t)/(Tau_j))))*Salcycl</f>
        <v>3.8844018669955342E-2</v>
      </c>
      <c r="P248" s="169">
        <f>(INDEX(Models!$BJ248:$BT248,,T248)*(1-R248)+INDEX(Models!$BJ248:$BT248,,T248+1)*R248-ERP_i)*Q248*Ramure*Pc/MaxiM</f>
        <v>4.4969125013322593E-5</v>
      </c>
      <c r="Q248" s="305">
        <f t="shared" si="80"/>
        <v>0.7</v>
      </c>
      <c r="R248" s="177">
        <f t="shared" si="81"/>
        <v>0.76042897805532705</v>
      </c>
      <c r="S248" s="810">
        <f t="shared" si="82"/>
        <v>-2</v>
      </c>
      <c r="T248" s="176">
        <f t="shared" si="83"/>
        <v>4</v>
      </c>
      <c r="U248" s="251">
        <f t="shared" si="84"/>
        <v>-1.2395710219446729</v>
      </c>
      <c r="V248" s="383">
        <f t="shared" si="85"/>
        <v>49.575922998234709</v>
      </c>
      <c r="W248" s="402">
        <f t="shared" si="86"/>
        <v>26.292798015904225</v>
      </c>
      <c r="X248" s="157">
        <f t="shared" si="87"/>
        <v>45891</v>
      </c>
      <c r="Y248" s="385">
        <f t="shared" si="88"/>
        <v>24.023088723912565</v>
      </c>
      <c r="Z248" s="385">
        <f t="shared" si="89"/>
        <v>25.508453890888546</v>
      </c>
      <c r="AA248" s="386">
        <f t="shared" si="90"/>
        <v>29.036905666059553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0.12151610835362935</v>
      </c>
      <c r="AD248" s="231">
        <f>(INDEX(Models!$BJ248:$BT248,,AH248)*(1-AF248)+INDEX(Models!$BJ248:$BT248,,AH248+1)*AF248-ERP_i)*AE248*Ramure*Pc/MaxiM</f>
        <v>1.0795734294745912E-3</v>
      </c>
      <c r="AE248" s="305">
        <f t="shared" si="92"/>
        <v>0.7</v>
      </c>
      <c r="AF248" s="177">
        <f t="shared" si="93"/>
        <v>0.58041903115451077</v>
      </c>
      <c r="AG248" s="810">
        <f t="shared" si="99"/>
        <v>1</v>
      </c>
      <c r="AH248" s="176">
        <f t="shared" si="94"/>
        <v>7</v>
      </c>
      <c r="AI248" s="225">
        <f t="shared" si="95"/>
        <v>1.5804190311545108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48.046006015997399</v>
      </c>
      <c r="C249" s="840"/>
      <c r="D249" s="393">
        <f t="shared" si="77"/>
        <v>51.017913011562072</v>
      </c>
      <c r="E249" s="385">
        <f t="shared" si="100"/>
        <v>53.088671213964489</v>
      </c>
      <c r="F249" s="385">
        <f t="shared" si="78"/>
        <v>53.091144196835963</v>
      </c>
      <c r="G249" s="110">
        <f t="shared" si="101"/>
        <v>0.97413510429566097</v>
      </c>
      <c r="H249" s="414" t="b">
        <f>Wh_hp&gt;='2024'!Maxi_hp</f>
        <v>1</v>
      </c>
      <c r="I249" s="390">
        <f>IF(H249,Wh_hp,'2024'!Maxi_hp)</f>
        <v>53.091144196835963</v>
      </c>
      <c r="J249" s="85">
        <f>IF(H249,An,'2024'!An_max)</f>
        <v>2025</v>
      </c>
      <c r="K249" s="197">
        <f t="shared" si="79"/>
        <v>45892</v>
      </c>
      <c r="L249" s="147">
        <f>IF(t&lt;Tvie,1-EXP((T0-t)*PertePVj)+'2024'!Pspv,1-EXP((T0-t)*PertePVj)+Pspv)</f>
        <v>5.82522259366266E-2</v>
      </c>
      <c r="M249" s="844"/>
      <c r="N249" s="844"/>
      <c r="O249" s="48">
        <f>IF(t&lt;Tnet,'2024'!Resal+('2024'!Salim-'2024'!Resal)*(1-EXP(('2024'!Tnet-t)/('2024'!Tau_j))),Resal+(Salim-Resal)*(1-EXP((Tnet-t)/(Tau_j))))*Salcycl</f>
        <v>3.9005651395127017E-2</v>
      </c>
      <c r="P249" s="169">
        <f>(INDEX(Models!$BJ249:$BT249,,T249)*(1-R249)+INDEX(Models!$BJ249:$BT249,,T249+1)*R249-ERP_i)*Q249*Ramure*Pc/MaxiM</f>
        <v>4.8366983082835634E-5</v>
      </c>
      <c r="Q249" s="305">
        <f t="shared" si="80"/>
        <v>0.7</v>
      </c>
      <c r="R249" s="177">
        <f t="shared" si="81"/>
        <v>0.76115920388283609</v>
      </c>
      <c r="S249" s="810">
        <f t="shared" si="82"/>
        <v>-2</v>
      </c>
      <c r="T249" s="176">
        <f t="shared" si="83"/>
        <v>4</v>
      </c>
      <c r="U249" s="251">
        <f t="shared" si="84"/>
        <v>-1.2388407961171639</v>
      </c>
      <c r="V249" s="383">
        <f t="shared" si="85"/>
        <v>49.321618675226084</v>
      </c>
      <c r="W249" s="402">
        <f t="shared" si="86"/>
        <v>48.046006015997399</v>
      </c>
      <c r="X249" s="157">
        <f t="shared" si="87"/>
        <v>45892</v>
      </c>
      <c r="Y249" s="385">
        <f t="shared" si="88"/>
        <v>43.871154102506274</v>
      </c>
      <c r="Z249" s="385">
        <f t="shared" si="89"/>
        <v>46.584823782714921</v>
      </c>
      <c r="AA249" s="386">
        <f t="shared" si="90"/>
        <v>53.032611905389956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0.12158156822782697</v>
      </c>
      <c r="AD249" s="231">
        <f>(INDEX(Models!$BJ249:$BT249,,AH249)*(1-AF249)+INDEX(Models!$BJ249:$BT249,,AH249+1)*AF249-ERP_i)*AE249*Ramure*Pc/MaxiM</f>
        <v>1.1447836468362698E-3</v>
      </c>
      <c r="AE249" s="305">
        <f t="shared" si="92"/>
        <v>0.7</v>
      </c>
      <c r="AF249" s="177">
        <f t="shared" si="93"/>
        <v>0.5811492569820198</v>
      </c>
      <c r="AG249" s="810">
        <f t="shared" si="99"/>
        <v>1</v>
      </c>
      <c r="AH249" s="176">
        <f t="shared" si="94"/>
        <v>7</v>
      </c>
      <c r="AI249" s="225">
        <f t="shared" si="95"/>
        <v>1.5811492569820198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42.8029886059022</v>
      </c>
      <c r="C250" s="840"/>
      <c r="D250" s="393">
        <f t="shared" si="77"/>
        <v>45.451644162079788</v>
      </c>
      <c r="E250" s="385">
        <f t="shared" si="100"/>
        <v>47.304413644497508</v>
      </c>
      <c r="F250" s="385">
        <f t="shared" si="78"/>
        <v>47.306427593802788</v>
      </c>
      <c r="G250" s="110">
        <f t="shared" si="101"/>
        <v>0.87238997960151599</v>
      </c>
      <c r="H250" s="414" t="b">
        <f>Wh_hp&gt;='2024'!Maxi_hp</f>
        <v>0</v>
      </c>
      <c r="I250" s="390">
        <f>IF(H250,Wh_hp,'2024'!Maxi_hp)</f>
        <v>52.284492274475099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5.8274141783133948E-2</v>
      </c>
      <c r="M250" s="844"/>
      <c r="N250" s="844"/>
      <c r="O250" s="48">
        <f>IF(t&lt;Tnet,'2024'!Resal+('2024'!Salim-'2024'!Resal)*(1-EXP(('2024'!Tnet-t)/('2024'!Tau_j))),Resal+(Salim-Resal)*(1-EXP((Tnet-t)/(Tau_j))))*Salcycl</f>
        <v>3.9166947429930481E-2</v>
      </c>
      <c r="P250" s="169">
        <f>(INDEX(Models!$BJ250:$BT250,,T250)*(1-R250)+INDEX(Models!$BJ250:$BT250,,T250+1)*R250-ERP_i)*Q250*Ramure*Pc/MaxiM</f>
        <v>5.20628714107558E-5</v>
      </c>
      <c r="Q250" s="305">
        <f t="shared" si="80"/>
        <v>0.7</v>
      </c>
      <c r="R250" s="177">
        <f t="shared" si="81"/>
        <v>0.76186266112256762</v>
      </c>
      <c r="S250" s="810">
        <f t="shared" si="82"/>
        <v>-2</v>
      </c>
      <c r="T250" s="176">
        <f t="shared" si="83"/>
        <v>4</v>
      </c>
      <c r="U250" s="251">
        <f t="shared" si="84"/>
        <v>-1.2381373388774324</v>
      </c>
      <c r="V250" s="383">
        <f t="shared" si="85"/>
        <v>49.063587810416024</v>
      </c>
      <c r="W250" s="402">
        <f t="shared" si="86"/>
        <v>42.8029886059022</v>
      </c>
      <c r="X250" s="157">
        <f t="shared" si="87"/>
        <v>45893</v>
      </c>
      <c r="Y250" s="385">
        <f t="shared" si="88"/>
        <v>39.091524992974385</v>
      </c>
      <c r="Z250" s="385">
        <f t="shared" si="89"/>
        <v>41.510514606653352</v>
      </c>
      <c r="AA250" s="386">
        <f t="shared" si="90"/>
        <v>47.259463924742775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0.12164651988529113</v>
      </c>
      <c r="AD250" s="231">
        <f>(INDEX(Models!$BJ250:$BT250,,AH250)*(1-AF250)+INDEX(Models!$BJ250:$BT250,,AH250+1)*AF250-ERP_i)*AE250*Ramure*Pc/MaxiM</f>
        <v>1.214064056547279E-3</v>
      </c>
      <c r="AE250" s="305">
        <f t="shared" si="92"/>
        <v>0.7</v>
      </c>
      <c r="AF250" s="177">
        <f t="shared" si="93"/>
        <v>0.58185271422175133</v>
      </c>
      <c r="AG250" s="810">
        <f t="shared" si="99"/>
        <v>1</v>
      </c>
      <c r="AH250" s="176">
        <f t="shared" si="94"/>
        <v>7</v>
      </c>
      <c r="AI250" s="225">
        <f t="shared" si="95"/>
        <v>1.5818527142217513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34.093116861291989</v>
      </c>
      <c r="C251" s="840"/>
      <c r="D251" s="393">
        <f t="shared" si="77"/>
        <v>36.203646718322112</v>
      </c>
      <c r="E251" s="385">
        <f t="shared" si="100"/>
        <v>37.685748046799766</v>
      </c>
      <c r="F251" s="385">
        <f t="shared" si="78"/>
        <v>37.686951174734155</v>
      </c>
      <c r="G251" s="110">
        <f t="shared" si="101"/>
        <v>0.69858917594991565</v>
      </c>
      <c r="H251" s="414" t="b">
        <f>Wh_hp&gt;='2024'!Maxi_hp</f>
        <v>0</v>
      </c>
      <c r="I251" s="390">
        <f>IF(H251,Wh_hp,'2024'!Maxi_hp)</f>
        <v>49.886993974579291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5.8296057119627598E-2</v>
      </c>
      <c r="M251" s="844"/>
      <c r="N251" s="844"/>
      <c r="O251" s="48">
        <f>IF(t&lt;Tnet,'2024'!Resal+('2024'!Salim-'2024'!Resal)*(1-EXP(('2024'!Tnet-t)/('2024'!Tau_j))),Resal+(Salim-Resal)*(1-EXP((Tnet-t)/(Tau_j))))*Salcycl</f>
        <v>3.9327899943424741E-2</v>
      </c>
      <c r="P251" s="169">
        <f>(INDEX(Models!$BJ251:$BT251,,T251)*(1-R251)+INDEX(Models!$BJ251:$BT251,,T251+1)*R251-ERP_i)*Q251*Ramure*Pc/MaxiM</f>
        <v>5.6062824015808969E-5</v>
      </c>
      <c r="Q251" s="305">
        <f t="shared" si="80"/>
        <v>0.7</v>
      </c>
      <c r="R251" s="177">
        <f t="shared" si="81"/>
        <v>0.76254023325693931</v>
      </c>
      <c r="S251" s="810">
        <f t="shared" si="82"/>
        <v>-2</v>
      </c>
      <c r="T251" s="176">
        <f t="shared" si="83"/>
        <v>4</v>
      </c>
      <c r="U251" s="251">
        <f t="shared" si="84"/>
        <v>-1.2374597667430607</v>
      </c>
      <c r="V251" s="383">
        <f t="shared" si="85"/>
        <v>48.801634851689329</v>
      </c>
      <c r="W251" s="402">
        <f t="shared" si="86"/>
        <v>34.093116861291989</v>
      </c>
      <c r="X251" s="157">
        <f t="shared" si="87"/>
        <v>45894</v>
      </c>
      <c r="Y251" s="385">
        <f t="shared" si="88"/>
        <v>31.147582607627303</v>
      </c>
      <c r="Z251" s="385">
        <f t="shared" si="89"/>
        <v>33.07576955912149</v>
      </c>
      <c r="AA251" s="386">
        <f t="shared" si="90"/>
        <v>37.659321165026221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0.1217109460316408</v>
      </c>
      <c r="AD251" s="231">
        <f>(INDEX(Models!$BJ251:$BT251,,AH251)*(1-AF251)+INDEX(Models!$BJ251:$BT251,,AH251+1)*AF251-ERP_i)*AE251*Ramure*Pc/MaxiM</f>
        <v>1.2874909870608867E-3</v>
      </c>
      <c r="AE251" s="305">
        <f t="shared" si="92"/>
        <v>0.7</v>
      </c>
      <c r="AF251" s="177">
        <f t="shared" si="93"/>
        <v>0.58253028635612303</v>
      </c>
      <c r="AG251" s="810">
        <f t="shared" si="99"/>
        <v>1</v>
      </c>
      <c r="AH251" s="176">
        <f t="shared" si="94"/>
        <v>7</v>
      </c>
      <c r="AI251" s="225">
        <f t="shared" si="95"/>
        <v>1.582530286356123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42.763160804122251</v>
      </c>
      <c r="C252" s="840"/>
      <c r="D252" s="393">
        <f t="shared" si="77"/>
        <v>45.41146536745358</v>
      </c>
      <c r="E252" s="385">
        <f t="shared" si="100"/>
        <v>47.278419315012556</v>
      </c>
      <c r="F252" s="385">
        <f t="shared" si="78"/>
        <v>47.280788818172759</v>
      </c>
      <c r="G252" s="110">
        <f t="shared" si="101"/>
        <v>0.88105954194088287</v>
      </c>
      <c r="H252" s="414" t="b">
        <f>Wh_hp&gt;='2024'!Maxi_hp</f>
        <v>0</v>
      </c>
      <c r="I252" s="390">
        <f>IF(H252,Wh_hp,'2024'!Maxi_hp)</f>
        <v>51.84257425367344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5.8317971946119318E-2</v>
      </c>
      <c r="M252" s="844"/>
      <c r="N252" s="844"/>
      <c r="O252" s="48">
        <f>IF(t&lt;Tnet,'2024'!Resal+('2024'!Salim-'2024'!Resal)*(1-EXP(('2024'!Tnet-t)/('2024'!Tau_j))),Resal+(Salim-Resal)*(1-EXP((Tnet-t)/(Tau_j))))*Salcycl</f>
        <v>3.9488501828278136E-2</v>
      </c>
      <c r="P252" s="169">
        <f>(INDEX(Models!$BJ252:$BT252,,T252)*(1-R252)+INDEX(Models!$BJ252:$BT252,,T252+1)*R252-ERP_i)*Q252*Ramure*Pc/MaxiM</f>
        <v>6.0373065227441855E-5</v>
      </c>
      <c r="Q252" s="305">
        <f t="shared" si="80"/>
        <v>0.7</v>
      </c>
      <c r="R252" s="177">
        <f t="shared" si="81"/>
        <v>0.76319278205806218</v>
      </c>
      <c r="S252" s="810">
        <f t="shared" si="82"/>
        <v>-2</v>
      </c>
      <c r="T252" s="176">
        <f t="shared" si="83"/>
        <v>4</v>
      </c>
      <c r="U252" s="251">
        <f t="shared" si="84"/>
        <v>-1.2368072179419378</v>
      </c>
      <c r="V252" s="383">
        <f t="shared" si="85"/>
        <v>48.535564400729321</v>
      </c>
      <c r="W252" s="402">
        <f t="shared" si="86"/>
        <v>42.763160804122251</v>
      </c>
      <c r="X252" s="157">
        <f t="shared" si="87"/>
        <v>45895</v>
      </c>
      <c r="Y252" s="385">
        <f t="shared" si="88"/>
        <v>39.057321172526045</v>
      </c>
      <c r="Z252" s="385">
        <f t="shared" si="89"/>
        <v>41.476124646069259</v>
      </c>
      <c r="AA252" s="386">
        <f t="shared" si="90"/>
        <v>47.22721006378903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0.12177482874706928</v>
      </c>
      <c r="AD252" s="231">
        <f>(INDEX(Models!$BJ252:$BT252,,AH252)*(1-AF252)+INDEX(Models!$BJ252:$BT252,,AH252+1)*AF252-ERP_i)*AE252*Ramure*Pc/MaxiM</f>
        <v>1.3651442578945226E-3</v>
      </c>
      <c r="AE252" s="305">
        <f t="shared" si="92"/>
        <v>0.7</v>
      </c>
      <c r="AF252" s="177">
        <f t="shared" si="93"/>
        <v>0.58318283515724589</v>
      </c>
      <c r="AG252" s="810">
        <f t="shared" si="99"/>
        <v>1</v>
      </c>
      <c r="AH252" s="176">
        <f t="shared" si="94"/>
        <v>7</v>
      </c>
      <c r="AI252" s="225">
        <f t="shared" si="95"/>
        <v>1.5831828351572459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47.377875572406694</v>
      </c>
      <c r="C253" s="840"/>
      <c r="D253" s="393">
        <f t="shared" si="77"/>
        <v>50.31313834071981</v>
      </c>
      <c r="E253" s="385">
        <f t="shared" si="100"/>
        <v>52.390350005019073</v>
      </c>
      <c r="F253" s="385">
        <f t="shared" si="78"/>
        <v>52.393666156290735</v>
      </c>
      <c r="G253" s="110">
        <f t="shared" si="101"/>
        <v>0.98161435422307097</v>
      </c>
      <c r="H253" s="414" t="b">
        <f>Wh_hp&gt;='2024'!Maxi_hp</f>
        <v>1</v>
      </c>
      <c r="I253" s="390">
        <f>IF(H253,Wh_hp,'2024'!Maxi_hp)</f>
        <v>52.393666156290735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5.8339886262621099E-2</v>
      </c>
      <c r="M253" s="844"/>
      <c r="N253" s="844"/>
      <c r="O253" s="48">
        <f>IF(t&lt;Tnet,'2024'!Resal+('2024'!Salim-'2024'!Resal)*(1-EXP(('2024'!Tnet-t)/('2024'!Tau_j))),Resal+(Salim-Resal)*(1-EXP((Tnet-t)/(Tau_j))))*Salcycl</f>
        <v>3.9648745696492974E-2</v>
      </c>
      <c r="P253" s="169">
        <f>(INDEX(Models!$BJ253:$BT253,,T253)*(1-R253)+INDEX(Models!$BJ253:$BT253,,T253+1)*R253-ERP_i)*Q253*Ramure*Pc/MaxiM</f>
        <v>6.5000064769887242E-5</v>
      </c>
      <c r="Q253" s="305">
        <f t="shared" si="80"/>
        <v>0.7</v>
      </c>
      <c r="R253" s="177">
        <f t="shared" si="81"/>
        <v>0.76382114752625996</v>
      </c>
      <c r="S253" s="810">
        <f t="shared" si="82"/>
        <v>-2</v>
      </c>
      <c r="T253" s="176">
        <f t="shared" si="83"/>
        <v>4</v>
      </c>
      <c r="U253" s="251">
        <f t="shared" si="84"/>
        <v>-1.23617885247374</v>
      </c>
      <c r="V253" s="383">
        <f t="shared" si="85"/>
        <v>48.26518121441179</v>
      </c>
      <c r="W253" s="402">
        <f t="shared" si="86"/>
        <v>47.377875572406694</v>
      </c>
      <c r="X253" s="157">
        <f t="shared" si="87"/>
        <v>45896</v>
      </c>
      <c r="Y253" s="385">
        <f t="shared" si="88"/>
        <v>43.264843078504235</v>
      </c>
      <c r="Z253" s="385">
        <f t="shared" si="89"/>
        <v>45.9452858280142</v>
      </c>
      <c r="AA253" s="386">
        <f t="shared" si="90"/>
        <v>52.319838081055941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0.12183814948291757</v>
      </c>
      <c r="AD253" s="231">
        <f>(INDEX(Models!$BJ253:$BT253,,AH253)*(1-AF253)+INDEX(Models!$BJ253:$BT253,,AH253+1)*AF253-ERP_i)*AE253*Ramure*Pc/MaxiM</f>
        <v>1.4471081922933634E-3</v>
      </c>
      <c r="AE253" s="305">
        <f t="shared" si="92"/>
        <v>0.7</v>
      </c>
      <c r="AF253" s="177">
        <f t="shared" si="93"/>
        <v>0.58381120062544367</v>
      </c>
      <c r="AG253" s="810">
        <f t="shared" si="99"/>
        <v>1</v>
      </c>
      <c r="AH253" s="176">
        <f t="shared" si="94"/>
        <v>7</v>
      </c>
      <c r="AI253" s="225">
        <f t="shared" si="95"/>
        <v>1.5838112006254437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45.048141577424921</v>
      </c>
      <c r="C254" s="840"/>
      <c r="D254" s="393">
        <f t="shared" si="77"/>
        <v>47.840180634911384</v>
      </c>
      <c r="E254" s="385">
        <f t="shared" si="100"/>
        <v>49.823589155526498</v>
      </c>
      <c r="F254" s="385">
        <f t="shared" si="78"/>
        <v>49.826773998843393</v>
      </c>
      <c r="G254" s="110">
        <f t="shared" si="101"/>
        <v>0.93868717254008527</v>
      </c>
      <c r="H254" s="414" t="b">
        <f>Wh_hp&gt;='2024'!Maxi_hp</f>
        <v>0</v>
      </c>
      <c r="I254" s="390">
        <f>IF(H254,Wh_hp,'2024'!Maxi_hp)</f>
        <v>52.208096554658312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5.8361800069144598E-2</v>
      </c>
      <c r="M254" s="844"/>
      <c r="N254" s="844"/>
      <c r="O254" s="48">
        <f>IF(t&lt;Tnet,'2024'!Resal+('2024'!Salim-'2024'!Resal)*(1-EXP(('2024'!Tnet-t)/('2024'!Tau_j))),Resal+(Salim-Resal)*(1-EXP((Tnet-t)/(Tau_j))))*Salcycl</f>
        <v>3.9808623871391897E-2</v>
      </c>
      <c r="P254" s="169">
        <f>(INDEX(Models!$BJ254:$BT254,,T254)*(1-R254)+INDEX(Models!$BJ254:$BT254,,T254+1)*R254-ERP_i)*Q254*Ramure*Pc/MaxiM</f>
        <v>7.0053724683974248E-5</v>
      </c>
      <c r="Q254" s="305">
        <f t="shared" si="80"/>
        <v>0.7</v>
      </c>
      <c r="R254" s="177">
        <f t="shared" si="81"/>
        <v>0.76442614788830787</v>
      </c>
      <c r="S254" s="810">
        <f t="shared" si="82"/>
        <v>-2</v>
      </c>
      <c r="T254" s="176">
        <f t="shared" si="83"/>
        <v>4</v>
      </c>
      <c r="U254" s="251">
        <f t="shared" si="84"/>
        <v>-1.2355738521116921</v>
      </c>
      <c r="V254" s="383">
        <f t="shared" si="85"/>
        <v>47.990285250139728</v>
      </c>
      <c r="W254" s="402">
        <f t="shared" si="86"/>
        <v>45.048141577424921</v>
      </c>
      <c r="X254" s="157">
        <f t="shared" si="87"/>
        <v>45897</v>
      </c>
      <c r="Y254" s="385">
        <f t="shared" si="88"/>
        <v>41.141695570991168</v>
      </c>
      <c r="Z254" s="385">
        <f t="shared" si="89"/>
        <v>43.69161698623973</v>
      </c>
      <c r="AA254" s="386">
        <f t="shared" si="90"/>
        <v>49.757045009203559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0.12190088904680554</v>
      </c>
      <c r="AD254" s="231">
        <f>(INDEX(Models!$BJ254:$BT254,,AH254)*(1-AF254)+INDEX(Models!$BJ254:$BT254,,AH254+1)*AF254-ERP_i)*AE254*Ramure*Pc/MaxiM</f>
        <v>1.5337569094234394E-3</v>
      </c>
      <c r="AE254" s="305">
        <f t="shared" si="92"/>
        <v>0.7</v>
      </c>
      <c r="AF254" s="177">
        <f t="shared" si="93"/>
        <v>0.58441620098749159</v>
      </c>
      <c r="AG254" s="810">
        <f t="shared" si="99"/>
        <v>1</v>
      </c>
      <c r="AH254" s="176">
        <f t="shared" si="94"/>
        <v>7</v>
      </c>
      <c r="AI254" s="225">
        <f t="shared" si="95"/>
        <v>1.5844162009874916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31.687606543478594</v>
      </c>
      <c r="C255" s="840"/>
      <c r="D255" s="393">
        <f t="shared" si="77"/>
        <v>33.652356053379656</v>
      </c>
      <c r="E255" s="385">
        <f t="shared" si="100"/>
        <v>35.053373797325534</v>
      </c>
      <c r="F255" s="385">
        <f t="shared" si="78"/>
        <v>35.054749595505129</v>
      </c>
      <c r="G255" s="110">
        <f t="shared" si="101"/>
        <v>0.66413757530583006</v>
      </c>
      <c r="H255" s="414" t="b">
        <f>Wh_hp&gt;='2024'!Maxi_hp</f>
        <v>0</v>
      </c>
      <c r="I255" s="390">
        <f>IF(H255,Wh_hp,'2024'!Maxi_hp)</f>
        <v>51.532555468070449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5.8383713365701917E-2</v>
      </c>
      <c r="M255" s="844"/>
      <c r="N255" s="844"/>
      <c r="O255" s="48">
        <f>IF(t&lt;Tnet,'2024'!Resal+('2024'!Salim-'2024'!Resal)*(1-EXP(('2024'!Tnet-t)/('2024'!Tau_j))),Resal+(Salim-Resal)*(1-EXP((Tnet-t)/(Tau_j))))*Salcycl</f>
        <v>3.9968128376069993E-2</v>
      </c>
      <c r="P255" s="169">
        <f>(INDEX(Models!$BJ255:$BT255,,T255)*(1-R255)+INDEX(Models!$BJ255:$BT255,,T255+1)*R255-ERP_i)*Q255*Ramure*Pc/MaxiM</f>
        <v>7.5441746603527643E-5</v>
      </c>
      <c r="Q255" s="305">
        <f t="shared" si="80"/>
        <v>0.7</v>
      </c>
      <c r="R255" s="177">
        <f t="shared" si="81"/>
        <v>0.76500857965014357</v>
      </c>
      <c r="S255" s="810">
        <f t="shared" si="82"/>
        <v>-2</v>
      </c>
      <c r="T255" s="176">
        <f t="shared" si="83"/>
        <v>4</v>
      </c>
      <c r="U255" s="251">
        <f t="shared" si="84"/>
        <v>-1.2349914203498564</v>
      </c>
      <c r="V255" s="383">
        <f t="shared" si="85"/>
        <v>47.710686393523595</v>
      </c>
      <c r="W255" s="402">
        <f t="shared" si="86"/>
        <v>31.687606543478594</v>
      </c>
      <c r="X255" s="157">
        <f t="shared" si="87"/>
        <v>45898</v>
      </c>
      <c r="Y255" s="385">
        <f t="shared" si="88"/>
        <v>28.957870447255619</v>
      </c>
      <c r="Z255" s="385">
        <f t="shared" si="89"/>
        <v>30.753366162306179</v>
      </c>
      <c r="AA255" s="386">
        <f t="shared" si="90"/>
        <v>35.025138038832289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0.12196302757722197</v>
      </c>
      <c r="AD255" s="231">
        <f>(INDEX(Models!$BJ255:$BT255,,AH255)*(1-AF255)+INDEX(Models!$BJ255:$BT255,,AH255+1)*AF255-ERP_i)*AE255*Ramure*Pc/MaxiM</f>
        <v>1.6237465554066162E-3</v>
      </c>
      <c r="AE255" s="305">
        <f t="shared" si="92"/>
        <v>0.7</v>
      </c>
      <c r="AF255" s="177">
        <f t="shared" si="93"/>
        <v>0.58499863274932729</v>
      </c>
      <c r="AG255" s="810">
        <f t="shared" si="99"/>
        <v>1</v>
      </c>
      <c r="AH255" s="176">
        <f t="shared" si="94"/>
        <v>7</v>
      </c>
      <c r="AI255" s="225">
        <f t="shared" si="95"/>
        <v>1.5849986327493273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44.896157067939924</v>
      </c>
      <c r="C256" s="840"/>
      <c r="D256" s="393">
        <f t="shared" si="77"/>
        <v>47.680995463553998</v>
      </c>
      <c r="E256" s="385">
        <f t="shared" si="100"/>
        <v>49.674288085774045</v>
      </c>
      <c r="F256" s="385">
        <f t="shared" si="78"/>
        <v>49.678013217952056</v>
      </c>
      <c r="G256" s="110">
        <f t="shared" si="101"/>
        <v>0.94664739992370095</v>
      </c>
      <c r="H256" s="414" t="b">
        <f>Wh_hp&gt;='2024'!Maxi_hp</f>
        <v>0</v>
      </c>
      <c r="I256" s="390">
        <f>IF(H256,Wh_hp,'2024'!Maxi_hp)</f>
        <v>50.059646058487751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5.8405626152304713E-2</v>
      </c>
      <c r="M256" s="844"/>
      <c r="N256" s="844"/>
      <c r="O256" s="48">
        <f>IF(t&lt;Tnet,'2024'!Resal+('2024'!Salim-'2024'!Resal)*(1-EXP(('2024'!Tnet-t)/('2024'!Tau_j))),Resal+(Salim-Resal)*(1-EXP((Tnet-t)/(Tau_j))))*Salcycl</f>
        <v>4.0127250918587321E-2</v>
      </c>
      <c r="P256" s="169">
        <f>(INDEX(Models!$BJ256:$BT256,,T256)*(1-R256)+INDEX(Models!$BJ256:$BT256,,T256+1)*R256-ERP_i)*Q256*Ramure*Pc/MaxiM</f>
        <v>8.117158750399211E-5</v>
      </c>
      <c r="Q256" s="305">
        <f t="shared" si="80"/>
        <v>0.7</v>
      </c>
      <c r="R256" s="177">
        <f t="shared" si="81"/>
        <v>0.76556921769908337</v>
      </c>
      <c r="S256" s="810">
        <f t="shared" si="82"/>
        <v>-2</v>
      </c>
      <c r="T256" s="176">
        <f t="shared" si="83"/>
        <v>4</v>
      </c>
      <c r="U256" s="251">
        <f t="shared" si="84"/>
        <v>-1.2344307823009166</v>
      </c>
      <c r="V256" s="383">
        <f t="shared" si="85"/>
        <v>47.426189857540123</v>
      </c>
      <c r="W256" s="402">
        <f t="shared" si="86"/>
        <v>44.896157067939924</v>
      </c>
      <c r="X256" s="157">
        <f t="shared" si="87"/>
        <v>45899</v>
      </c>
      <c r="Y256" s="385">
        <f t="shared" si="88"/>
        <v>41.003505131970165</v>
      </c>
      <c r="Z256" s="385">
        <f t="shared" si="89"/>
        <v>43.546888416946466</v>
      </c>
      <c r="AA256" s="386">
        <f t="shared" si="90"/>
        <v>49.599209345295996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0.12202454450866224</v>
      </c>
      <c r="AD256" s="231">
        <f>(INDEX(Models!$BJ256:$BT256,,AH256)*(1-AF256)+INDEX(Models!$BJ256:$BT256,,AH256+1)*AF256-ERP_i)*AE256*Ramure*Pc/MaxiM</f>
        <v>1.7171566374775723E-3</v>
      </c>
      <c r="AE256" s="305">
        <f t="shared" si="92"/>
        <v>0.7</v>
      </c>
      <c r="AF256" s="177">
        <f t="shared" si="93"/>
        <v>0.58555927079826686</v>
      </c>
      <c r="AG256" s="810">
        <f t="shared" si="99"/>
        <v>1</v>
      </c>
      <c r="AH256" s="176">
        <f t="shared" si="94"/>
        <v>7</v>
      </c>
      <c r="AI256" s="225">
        <f t="shared" si="95"/>
        <v>1.5855592707982669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23.821444768177983</v>
      </c>
      <c r="C257" s="840"/>
      <c r="D257" s="393">
        <f t="shared" si="77"/>
        <v>25.299640484845277</v>
      </c>
      <c r="E257" s="385">
        <f t="shared" si="100"/>
        <v>26.361645274927977</v>
      </c>
      <c r="F257" s="385">
        <f t="shared" si="78"/>
        <v>26.362320104804208</v>
      </c>
      <c r="G257" s="110">
        <f t="shared" si="101"/>
        <v>0.50533928126696459</v>
      </c>
      <c r="H257" s="414" t="b">
        <f>Wh_hp&gt;='2024'!Maxi_hp</f>
        <v>0</v>
      </c>
      <c r="I257" s="390">
        <f>IF(H257,Wh_hp,'2024'!Maxi_hp)</f>
        <v>49.645877215409939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5.8427538428964976E-2</v>
      </c>
      <c r="M257" s="844"/>
      <c r="N257" s="844"/>
      <c r="O257" s="48">
        <f>IF(t&lt;Tnet,'2024'!Resal+('2024'!Salim-'2024'!Resal)*(1-EXP(('2024'!Tnet-t)/('2024'!Tau_j))),Resal+(Salim-Resal)*(1-EXP((Tnet-t)/(Tau_j))))*Salcycl</f>
        <v>4.0285982874246118E-2</v>
      </c>
      <c r="P257" s="169">
        <f>(INDEX(Models!$BJ257:$BT257,,T257)*(1-R257)+INDEX(Models!$BJ257:$BT257,,T257+1)*R257-ERP_i)*Q257*Ramure*Pc/MaxiM</f>
        <v>8.7251073640330862E-5</v>
      </c>
      <c r="Q257" s="305">
        <f t="shared" si="80"/>
        <v>0.7</v>
      </c>
      <c r="R257" s="177">
        <f t="shared" si="81"/>
        <v>0.76610881545084331</v>
      </c>
      <c r="S257" s="810">
        <f t="shared" si="82"/>
        <v>-2</v>
      </c>
      <c r="T257" s="176">
        <f t="shared" si="83"/>
        <v>4</v>
      </c>
      <c r="U257" s="251">
        <f t="shared" si="84"/>
        <v>-1.2338911845491567</v>
      </c>
      <c r="V257" s="383">
        <f t="shared" si="85"/>
        <v>47.136601002171474</v>
      </c>
      <c r="W257" s="402">
        <f t="shared" si="86"/>
        <v>23.821444768177983</v>
      </c>
      <c r="X257" s="157">
        <f t="shared" si="87"/>
        <v>45900</v>
      </c>
      <c r="Y257" s="385">
        <f t="shared" si="88"/>
        <v>21.780028123248417</v>
      </c>
      <c r="Z257" s="385">
        <f t="shared" si="89"/>
        <v>23.131547503957311</v>
      </c>
      <c r="AA257" s="386">
        <f t="shared" si="90"/>
        <v>26.348289448829902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0.12208541852858093</v>
      </c>
      <c r="AD257" s="231">
        <f>(INDEX(Models!$BJ257:$BT257,,AH257)*(1-AF257)+INDEX(Models!$BJ257:$BT257,,AH257+1)*AF257-ERP_i)*AE257*Ramure*Pc/MaxiM</f>
        <v>1.8140717249745901E-3</v>
      </c>
      <c r="AE257" s="305">
        <f t="shared" si="92"/>
        <v>0.7</v>
      </c>
      <c r="AF257" s="177">
        <f t="shared" si="93"/>
        <v>0.58609886855002724</v>
      </c>
      <c r="AG257" s="810">
        <f t="shared" si="99"/>
        <v>1</v>
      </c>
      <c r="AH257" s="176">
        <f t="shared" si="94"/>
        <v>7</v>
      </c>
      <c r="AI257" s="225">
        <f t="shared" si="95"/>
        <v>1.5860988685500272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39.185379256283312</v>
      </c>
      <c r="C258" s="840"/>
      <c r="D258" s="393">
        <f t="shared" si="77"/>
        <v>41.617924034378944</v>
      </c>
      <c r="E258" s="385">
        <f t="shared" si="100"/>
        <v>43.372078032019829</v>
      </c>
      <c r="F258" s="385">
        <f t="shared" si="78"/>
        <v>43.375192891218148</v>
      </c>
      <c r="G258" s="110">
        <f t="shared" si="101"/>
        <v>0.8365302874343562</v>
      </c>
      <c r="H258" s="414" t="b">
        <f>Wh_hp&gt;='2024'!Maxi_hp</f>
        <v>0</v>
      </c>
      <c r="I258" s="390">
        <f>IF(H258,Wh_hp,'2024'!Maxi_hp)</f>
        <v>49.265411804235086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5.8449450195694586E-2</v>
      </c>
      <c r="M258" s="844"/>
      <c r="N258" s="844"/>
      <c r="O258" s="48">
        <f>IF(t&lt;Tnet,'2024'!Resal+('2024'!Salim-'2024'!Resal)*(1-EXP(('2024'!Tnet-t)/('2024'!Tau_j))),Resal+(Salim-Resal)*(1-EXP((Tnet-t)/(Tau_j))))*Salcycl</f>
        <v>4.0444315265361845E-2</v>
      </c>
      <c r="P258" s="169">
        <f>(INDEX(Models!$BJ258:$BT258,,T258)*(1-R258)+INDEX(Models!$BJ258:$BT258,,T258+1)*R258-ERP_i)*Q258*Ramure*Pc/MaxiM</f>
        <v>9.3688434765631159E-5</v>
      </c>
      <c r="Q258" s="305">
        <f t="shared" si="80"/>
        <v>0.7</v>
      </c>
      <c r="R258" s="177">
        <f t="shared" si="81"/>
        <v>0.76662810503694057</v>
      </c>
      <c r="S258" s="810">
        <f t="shared" si="82"/>
        <v>-2</v>
      </c>
      <c r="T258" s="176">
        <f t="shared" si="83"/>
        <v>4</v>
      </c>
      <c r="U258" s="251">
        <f t="shared" si="84"/>
        <v>-1.2333718949630594</v>
      </c>
      <c r="V258" s="383">
        <f t="shared" si="85"/>
        <v>46.841725334735209</v>
      </c>
      <c r="W258" s="402">
        <f t="shared" si="86"/>
        <v>39.185379256283312</v>
      </c>
      <c r="X258" s="157">
        <f t="shared" si="87"/>
        <v>45901</v>
      </c>
      <c r="Y258" s="385">
        <f t="shared" si="88"/>
        <v>35.798904087681095</v>
      </c>
      <c r="Z258" s="385">
        <f t="shared" si="89"/>
        <v>38.021223709254528</v>
      </c>
      <c r="AA258" s="386">
        <f t="shared" si="90"/>
        <v>43.311538794493323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0.12214562752758648</v>
      </c>
      <c r="AD258" s="231">
        <f>(INDEX(Models!$BJ258:$BT258,,AH258)*(1-AF258)+INDEX(Models!$BJ258:$BT258,,AH258+1)*AF258-ERP_i)*AE258*Ramure*Pc/MaxiM</f>
        <v>1.9145817864824649E-3</v>
      </c>
      <c r="AE258" s="305">
        <f t="shared" si="92"/>
        <v>0.7</v>
      </c>
      <c r="AF258" s="177">
        <f t="shared" si="93"/>
        <v>0.58661815813612428</v>
      </c>
      <c r="AG258" s="810">
        <f t="shared" si="99"/>
        <v>1</v>
      </c>
      <c r="AH258" s="176">
        <f t="shared" si="94"/>
        <v>7</v>
      </c>
      <c r="AI258" s="225">
        <f t="shared" si="95"/>
        <v>1.5866181581361243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38.348688995788301</v>
      </c>
      <c r="C259" s="840"/>
      <c r="D259" s="393">
        <f t="shared" si="77"/>
        <v>40.730241679052057</v>
      </c>
      <c r="E259" s="385">
        <f t="shared" si="100"/>
        <v>42.453967815723871</v>
      </c>
      <c r="F259" s="385">
        <f t="shared" si="78"/>
        <v>42.457161502025691</v>
      </c>
      <c r="G259" s="110">
        <f t="shared" si="101"/>
        <v>0.82394912388221708</v>
      </c>
      <c r="H259" s="414" t="b">
        <f>Wh_hp&gt;='2024'!Maxi_hp</f>
        <v>0</v>
      </c>
      <c r="I259" s="390">
        <f>IF(H259,Wh_hp,'2024'!Maxi_hp)</f>
        <v>50.515118630968004</v>
      </c>
      <c r="J259" s="85">
        <f>IF(H259,An,'2024'!An_max)</f>
        <v>2019</v>
      </c>
      <c r="K259" s="197">
        <f t="shared" si="79"/>
        <v>45902</v>
      </c>
      <c r="L259" s="147">
        <f>IF(t&lt;Tvie,1-EXP((T0-t)*PertePVj)+'2024'!Pspv,1-EXP((T0-t)*PertePVj)+Pspv)</f>
        <v>5.8471361452505421E-2</v>
      </c>
      <c r="M259" s="844"/>
      <c r="N259" s="844"/>
      <c r="O259" s="48">
        <f>IF(t&lt;Tnet,'2024'!Resal+('2024'!Salim-'2024'!Resal)*(1-EXP(('2024'!Tnet-t)/('2024'!Tau_j))),Resal+(Salim-Resal)*(1-EXP((Tnet-t)/(Tau_j))))*Salcycl</f>
        <v>4.0602238738999256E-2</v>
      </c>
      <c r="P259" s="169">
        <f>(INDEX(Models!$BJ259:$BT259,,T259)*(1-R259)+INDEX(Models!$BJ259:$BT259,,T259+1)*R259-ERP_i)*Q259*Ramure*Pc/MaxiM</f>
        <v>1.0049234041024277E-4</v>
      </c>
      <c r="Q259" s="305">
        <f t="shared" si="80"/>
        <v>0.7</v>
      </c>
      <c r="R259" s="177">
        <f t="shared" si="81"/>
        <v>0.76712779752830595</v>
      </c>
      <c r="S259" s="810">
        <f t="shared" si="82"/>
        <v>-2</v>
      </c>
      <c r="T259" s="176">
        <f t="shared" si="83"/>
        <v>4</v>
      </c>
      <c r="U259" s="251">
        <f t="shared" si="84"/>
        <v>-1.232872202471694</v>
      </c>
      <c r="V259" s="383">
        <f t="shared" si="85"/>
        <v>46.541368518022843</v>
      </c>
      <c r="W259" s="402">
        <f t="shared" si="86"/>
        <v>38.348688995788301</v>
      </c>
      <c r="X259" s="157">
        <f t="shared" si="87"/>
        <v>45902</v>
      </c>
      <c r="Y259" s="385">
        <f t="shared" si="88"/>
        <v>35.036503089106525</v>
      </c>
      <c r="Z259" s="385">
        <f t="shared" si="89"/>
        <v>37.21236046856491</v>
      </c>
      <c r="AA259" s="386">
        <f t="shared" si="90"/>
        <v>42.393003794519608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0.12220514854444987</v>
      </c>
      <c r="AD259" s="231">
        <f>(INDEX(Models!$BJ259:$BT259,,AH259)*(1-AF259)+INDEX(Models!$BJ259:$BT259,,AH259+1)*AF259-ERP_i)*AE259*Ramure*Pc/MaxiM</f>
        <v>2.0187825519901717E-3</v>
      </c>
      <c r="AE259" s="305">
        <f t="shared" si="92"/>
        <v>0.7</v>
      </c>
      <c r="AF259" s="177">
        <f t="shared" si="93"/>
        <v>0.58711785062748967</v>
      </c>
      <c r="AG259" s="810">
        <f t="shared" si="99"/>
        <v>1</v>
      </c>
      <c r="AH259" s="176">
        <f t="shared" si="94"/>
        <v>7</v>
      </c>
      <c r="AI259" s="225">
        <f t="shared" si="95"/>
        <v>1.5871178506274897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36.154425819454275</v>
      </c>
      <c r="C260" s="840"/>
      <c r="D260" s="393">
        <f t="shared" si="77"/>
        <v>38.400602727410046</v>
      </c>
      <c r="E260" s="385">
        <f t="shared" si="100"/>
        <v>40.032309391656007</v>
      </c>
      <c r="F260" s="385">
        <f t="shared" si="78"/>
        <v>40.035277385870884</v>
      </c>
      <c r="G260" s="110">
        <f t="shared" si="101"/>
        <v>0.78193901144279065</v>
      </c>
      <c r="H260" s="414" t="b">
        <f>Wh_hp&gt;='2024'!Maxi_hp</f>
        <v>0</v>
      </c>
      <c r="I260" s="390">
        <f>IF(H260,Wh_hp,'2024'!Maxi_hp)</f>
        <v>52.304535343399913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5.8493272199409141E-2</v>
      </c>
      <c r="M260" s="844"/>
      <c r="N260" s="844"/>
      <c r="O260" s="48">
        <f>IF(t&lt;Tnet,'2024'!Resal+('2024'!Salim-'2024'!Resal)*(1-EXP(('2024'!Tnet-t)/('2024'!Tau_j))),Resal+(Salim-Resal)*(1-EXP((Tnet-t)/(Tau_j))))*Salcycl</f>
        <v>4.0759743543200659E-2</v>
      </c>
      <c r="P260" s="169">
        <f>(INDEX(Models!$BJ260:$BT260,,T260)*(1-R260)+INDEX(Models!$BJ260:$BT260,,T260+1)*R260-ERP_i)*Q260*Ramure*Pc/MaxiM</f>
        <v>1.0767193851429791E-4</v>
      </c>
      <c r="Q260" s="305">
        <f t="shared" si="80"/>
        <v>0.7</v>
      </c>
      <c r="R260" s="177">
        <f t="shared" si="81"/>
        <v>0.76760858319120628</v>
      </c>
      <c r="S260" s="810">
        <f t="shared" si="82"/>
        <v>-2</v>
      </c>
      <c r="T260" s="176">
        <f t="shared" si="83"/>
        <v>4</v>
      </c>
      <c r="U260" s="251">
        <f t="shared" si="84"/>
        <v>-1.2323914168087937</v>
      </c>
      <c r="V260" s="383">
        <f t="shared" si="85"/>
        <v>46.235336353231148</v>
      </c>
      <c r="W260" s="402">
        <f t="shared" si="86"/>
        <v>36.154425819454275</v>
      </c>
      <c r="X260" s="157">
        <f t="shared" si="87"/>
        <v>45903</v>
      </c>
      <c r="Y260" s="385">
        <f t="shared" si="88"/>
        <v>33.036481292401177</v>
      </c>
      <c r="Z260" s="385">
        <f t="shared" si="89"/>
        <v>35.088948721137797</v>
      </c>
      <c r="AA260" s="386">
        <f t="shared" si="90"/>
        <v>39.976652467746788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0.12226395770762444</v>
      </c>
      <c r="AD260" s="231">
        <f>(INDEX(Models!$BJ260:$BT260,,AH260)*(1-AF260)+INDEX(Models!$BJ260:$BT260,,AH260+1)*AF260-ERP_i)*AE260*Ramure*Pc/MaxiM</f>
        <v>2.1267759040831413E-3</v>
      </c>
      <c r="AE260" s="305">
        <f t="shared" si="92"/>
        <v>0.7</v>
      </c>
      <c r="AF260" s="177">
        <f t="shared" si="93"/>
        <v>0.58759863629039</v>
      </c>
      <c r="AG260" s="810">
        <f t="shared" si="99"/>
        <v>1</v>
      </c>
      <c r="AH260" s="176">
        <f t="shared" si="94"/>
        <v>7</v>
      </c>
      <c r="AI260" s="225">
        <f t="shared" si="95"/>
        <v>1.58759863629039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42.471578120897085</v>
      </c>
      <c r="C261" s="840"/>
      <c r="D261" s="393">
        <f t="shared" si="77"/>
        <v>45.111272458760411</v>
      </c>
      <c r="E261" s="385">
        <f t="shared" si="100"/>
        <v>47.035828983415115</v>
      </c>
      <c r="F261" s="385">
        <f t="shared" si="78"/>
        <v>47.040667814946758</v>
      </c>
      <c r="G261" s="110">
        <f t="shared" si="101"/>
        <v>0.92483037310135963</v>
      </c>
      <c r="H261" s="414" t="b">
        <f>Wh_hp&gt;='2024'!Maxi_hp</f>
        <v>0</v>
      </c>
      <c r="I261" s="390">
        <f>IF(H261,Wh_hp,'2024'!Maxi_hp)</f>
        <v>50.854678643962053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5.8515182436417956E-2</v>
      </c>
      <c r="M261" s="844"/>
      <c r="N261" s="844"/>
      <c r="O261" s="48">
        <f>IF(t&lt;Tnet,'2024'!Resal+('2024'!Salim-'2024'!Resal)*(1-EXP(('2024'!Tnet-t)/('2024'!Tau_j))),Resal+(Salim-Resal)*(1-EXP((Tnet-t)/(Tau_j))))*Salcycl</f>
        <v>4.0916819502284152E-2</v>
      </c>
      <c r="P261" s="169">
        <f>(INDEX(Models!$BJ261:$BT261,,T261)*(1-R261)+INDEX(Models!$BJ261:$BT261,,T261+1)*R261-ERP_i)*Q261*Ramure*Pc/MaxiM</f>
        <v>1.1523780477870273E-4</v>
      </c>
      <c r="Q261" s="305">
        <f t="shared" si="80"/>
        <v>0.7</v>
      </c>
      <c r="R261" s="177">
        <f t="shared" si="81"/>
        <v>0.76807113177181763</v>
      </c>
      <c r="S261" s="810">
        <f t="shared" si="82"/>
        <v>-2</v>
      </c>
      <c r="T261" s="176">
        <f t="shared" si="83"/>
        <v>4</v>
      </c>
      <c r="U261" s="251">
        <f t="shared" si="84"/>
        <v>-1.2319288682281824</v>
      </c>
      <c r="V261" s="383">
        <f t="shared" si="85"/>
        <v>45.923072817949574</v>
      </c>
      <c r="W261" s="402">
        <f t="shared" si="86"/>
        <v>42.471578120897085</v>
      </c>
      <c r="X261" s="157">
        <f t="shared" si="87"/>
        <v>45904</v>
      </c>
      <c r="Y261" s="385">
        <f t="shared" si="88"/>
        <v>38.792991229295581</v>
      </c>
      <c r="Z261" s="385">
        <f t="shared" si="89"/>
        <v>41.204053964126452</v>
      </c>
      <c r="AA261" s="386">
        <f t="shared" si="90"/>
        <v>46.946665383826137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0.12232203017507824</v>
      </c>
      <c r="AD261" s="231">
        <f>(INDEX(Models!$BJ261:$BT261,,AH261)*(1-AF261)+INDEX(Models!$BJ261:$BT261,,AH261+1)*AF261-ERP_i)*AE261*Ramure*Pc/MaxiM</f>
        <v>2.238687942608013E-3</v>
      </c>
      <c r="AE261" s="305">
        <f t="shared" si="92"/>
        <v>0.7</v>
      </c>
      <c r="AF261" s="177">
        <f t="shared" si="93"/>
        <v>0.58806118487100134</v>
      </c>
      <c r="AG261" s="810">
        <f t="shared" si="99"/>
        <v>1</v>
      </c>
      <c r="AH261" s="176">
        <f t="shared" si="94"/>
        <v>7</v>
      </c>
      <c r="AI261" s="225">
        <f t="shared" si="95"/>
        <v>1.5880611848710013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37.023011850876927</v>
      </c>
      <c r="C262" s="840"/>
      <c r="D262" s="393">
        <f t="shared" si="77"/>
        <v>39.324981943216684</v>
      </c>
      <c r="E262" s="385">
        <f t="shared" si="100"/>
        <v>41.009378861121398</v>
      </c>
      <c r="F262" s="385">
        <f t="shared" si="78"/>
        <v>41.013069848748167</v>
      </c>
      <c r="G262" s="110">
        <f t="shared" si="101"/>
        <v>0.81180255634163989</v>
      </c>
      <c r="H262" s="414" t="b">
        <f>Wh_hp&gt;='2024'!Maxi_hp</f>
        <v>0</v>
      </c>
      <c r="I262" s="390">
        <f>IF(H262,Wh_hp,'2024'!Maxi_hp)</f>
        <v>50.429886494595955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5.8537092163543414E-2</v>
      </c>
      <c r="M262" s="844"/>
      <c r="N262" s="844"/>
      <c r="O262" s="48">
        <f>IF(t&lt;Tnet,'2024'!Resal+('2024'!Salim-'2024'!Resal)*(1-EXP(('2024'!Tnet-t)/('2024'!Tau_j))),Resal+(Salim-Resal)*(1-EXP((Tnet-t)/(Tau_j))))*Salcycl</f>
        <v>4.1073455991834026E-2</v>
      </c>
      <c r="P262" s="169">
        <f>(INDEX(Models!$BJ262:$BT262,,T262)*(1-R262)+INDEX(Models!$BJ262:$BT262,,T262+1)*R262-ERP_i)*Q262*Ramure*Pc/MaxiM</f>
        <v>1.2308159253311994E-4</v>
      </c>
      <c r="Q262" s="305">
        <f t="shared" si="80"/>
        <v>0.7</v>
      </c>
      <c r="R262" s="177">
        <f t="shared" si="81"/>
        <v>0.76851609280603528</v>
      </c>
      <c r="S262" s="810">
        <f t="shared" si="82"/>
        <v>-2</v>
      </c>
      <c r="T262" s="176">
        <f t="shared" si="83"/>
        <v>4</v>
      </c>
      <c r="U262" s="251">
        <f t="shared" si="84"/>
        <v>-1.2314839071939647</v>
      </c>
      <c r="V262" s="383">
        <f t="shared" si="85"/>
        <v>45.604422529742571</v>
      </c>
      <c r="W262" s="402">
        <f t="shared" si="86"/>
        <v>37.023011850876927</v>
      </c>
      <c r="X262" s="157">
        <f t="shared" si="87"/>
        <v>45905</v>
      </c>
      <c r="Y262" s="385">
        <f t="shared" si="88"/>
        <v>33.828651459779131</v>
      </c>
      <c r="Z262" s="385">
        <f t="shared" si="89"/>
        <v>35.932006644339907</v>
      </c>
      <c r="AA262" s="386">
        <f t="shared" si="90"/>
        <v>40.942525951226898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0.12237934007432294</v>
      </c>
      <c r="AD262" s="231">
        <f>(INDEX(Models!$BJ262:$BT262,,AH262)*(1-AF262)+INDEX(Models!$BJ262:$BT262,,AH262+1)*AF262-ERP_i)*AE262*Ramure*Pc/MaxiM</f>
        <v>2.3523934860795862E-3</v>
      </c>
      <c r="AE262" s="305">
        <f t="shared" si="92"/>
        <v>0.7</v>
      </c>
      <c r="AF262" s="177">
        <f t="shared" si="93"/>
        <v>0.58850614590521877</v>
      </c>
      <c r="AG262" s="810">
        <f t="shared" si="99"/>
        <v>1</v>
      </c>
      <c r="AH262" s="176">
        <f t="shared" si="94"/>
        <v>7</v>
      </c>
      <c r="AI262" s="225">
        <f t="shared" si="95"/>
        <v>1.5885061459052188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42.890994886542352</v>
      </c>
      <c r="C263" s="840"/>
      <c r="D263" s="393">
        <f t="shared" si="77"/>
        <v>45.558877241855768</v>
      </c>
      <c r="E263" s="385">
        <f t="shared" si="100"/>
        <v>47.518028543151118</v>
      </c>
      <c r="F263" s="385">
        <f t="shared" si="78"/>
        <v>47.52378665785038</v>
      </c>
      <c r="G263" s="110">
        <f t="shared" si="101"/>
        <v>0.94723428639516372</v>
      </c>
      <c r="H263" s="414" t="b">
        <f>Wh_hp&gt;='2024'!Maxi_hp</f>
        <v>0</v>
      </c>
      <c r="I263" s="390">
        <f>IF(H263,Wh_hp,'2024'!Maxi_hp)</f>
        <v>52.380979169463878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5.8559001380797504E-2</v>
      </c>
      <c r="M263" s="844"/>
      <c r="N263" s="844"/>
      <c r="O263" s="48">
        <f>IF(t&lt;Tnet,'2024'!Resal+('2024'!Salim-'2024'!Resal)*(1-EXP(('2024'!Tnet-t)/('2024'!Tau_j))),Resal+(Salim-Resal)*(1-EXP((Tnet-t)/(Tau_j))))*Salcycl</f>
        <v>4.1229641914042103E-2</v>
      </c>
      <c r="P263" s="169">
        <f>(INDEX(Models!$BJ263:$BT263,,T263)*(1-R263)+INDEX(Models!$BJ263:$BT263,,T263+1)*R263-ERP_i)*Q263*Ramure*Pc/MaxiM</f>
        <v>1.3103868336194563E-4</v>
      </c>
      <c r="Q263" s="305">
        <f t="shared" si="80"/>
        <v>0.7</v>
      </c>
      <c r="R263" s="177">
        <f t="shared" si="81"/>
        <v>0.7689440959513405</v>
      </c>
      <c r="S263" s="810">
        <f t="shared" si="82"/>
        <v>-2</v>
      </c>
      <c r="T263" s="176">
        <f t="shared" si="83"/>
        <v>4</v>
      </c>
      <c r="U263" s="251">
        <f t="shared" si="84"/>
        <v>-1.2310559040486595</v>
      </c>
      <c r="V263" s="383">
        <f t="shared" si="85"/>
        <v>45.279791773218847</v>
      </c>
      <c r="W263" s="402">
        <f t="shared" si="86"/>
        <v>42.890994886542352</v>
      </c>
      <c r="X263" s="157">
        <f t="shared" si="87"/>
        <v>45906</v>
      </c>
      <c r="Y263" s="385">
        <f t="shared" si="88"/>
        <v>39.173438354133204</v>
      </c>
      <c r="Z263" s="385">
        <f t="shared" si="89"/>
        <v>41.610083278281166</v>
      </c>
      <c r="AA263" s="386">
        <f t="shared" si="90"/>
        <v>47.415432562412178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0.12243586044458256</v>
      </c>
      <c r="AD263" s="231">
        <f>(INDEX(Models!$BJ263:$BT263,,AH263)*(1-AF263)+INDEX(Models!$BJ263:$BT263,,AH263+1)*AF263-ERP_i)*AE263*Ramure*Pc/MaxiM</f>
        <v>2.4658379946685591E-3</v>
      </c>
      <c r="AE263" s="305">
        <f t="shared" si="92"/>
        <v>0.7</v>
      </c>
      <c r="AF263" s="177">
        <f t="shared" si="93"/>
        <v>0.58893414905052421</v>
      </c>
      <c r="AG263" s="810">
        <f t="shared" si="99"/>
        <v>1</v>
      </c>
      <c r="AH263" s="176">
        <f t="shared" si="94"/>
        <v>7</v>
      </c>
      <c r="AI263" s="225">
        <f t="shared" si="95"/>
        <v>1.5889341490505242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35.057344265837642</v>
      </c>
      <c r="C264" s="840"/>
      <c r="D264" s="393">
        <f t="shared" si="77"/>
        <v>37.238828744296889</v>
      </c>
      <c r="E264" s="385">
        <f t="shared" si="100"/>
        <v>38.846505583010263</v>
      </c>
      <c r="F264" s="385">
        <f t="shared" si="78"/>
        <v>38.850210973603524</v>
      </c>
      <c r="G264" s="110">
        <f t="shared" si="101"/>
        <v>0.77989186574815217</v>
      </c>
      <c r="H264" s="414" t="b">
        <f>Wh_hp&gt;='2024'!Maxi_hp</f>
        <v>0</v>
      </c>
      <c r="I264" s="390">
        <f>IF(H264,Wh_hp,'2024'!Maxi_hp)</f>
        <v>46.142327737727975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5.8580910088192217E-2</v>
      </c>
      <c r="M264" s="844"/>
      <c r="N264" s="844"/>
      <c r="O264" s="48">
        <f>IF(t&lt;Tnet,'2024'!Resal+('2024'!Salim-'2024'!Resal)*(1-EXP(('2024'!Tnet-t)/('2024'!Tau_j))),Resal+(Salim-Resal)*(1-EXP((Tnet-t)/(Tau_j))))*Salcycl</f>
        <v>4.1385365674087904E-2</v>
      </c>
      <c r="P264" s="169">
        <f>(INDEX(Models!$BJ264:$BT264,,T264)*(1-R264)+INDEX(Models!$BJ264:$BT264,,T264+1)*R264-ERP_i)*Q264*Ramure*Pc/MaxiM</f>
        <v>1.3911193551378664E-4</v>
      </c>
      <c r="Q264" s="305">
        <f t="shared" si="80"/>
        <v>0.7</v>
      </c>
      <c r="R264" s="177">
        <f t="shared" si="81"/>
        <v>0.76935575133777068</v>
      </c>
      <c r="S264" s="810">
        <f t="shared" si="82"/>
        <v>-2</v>
      </c>
      <c r="T264" s="176">
        <f t="shared" si="83"/>
        <v>4</v>
      </c>
      <c r="U264" s="251">
        <f t="shared" si="84"/>
        <v>-1.2306442486622293</v>
      </c>
      <c r="V264" s="383">
        <f t="shared" si="85"/>
        <v>44.949578787855607</v>
      </c>
      <c r="W264" s="402">
        <f t="shared" si="86"/>
        <v>35.057344265837642</v>
      </c>
      <c r="X264" s="157">
        <f t="shared" si="87"/>
        <v>45907</v>
      </c>
      <c r="Y264" s="385">
        <f t="shared" si="88"/>
        <v>32.037534117892108</v>
      </c>
      <c r="Z264" s="385">
        <f t="shared" si="89"/>
        <v>34.031107358247205</v>
      </c>
      <c r="AA264" s="386">
        <f t="shared" si="90"/>
        <v>38.781515858345308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0.12249156318307954</v>
      </c>
      <c r="AD264" s="231">
        <f>(INDEX(Models!$BJ264:$BT264,,AH264)*(1-AF264)+INDEX(Models!$BJ264:$BT264,,AH264+1)*AF264-ERP_i)*AE264*Ramure*Pc/MaxiM</f>
        <v>2.5790291747653893E-3</v>
      </c>
      <c r="AE264" s="305">
        <f t="shared" si="92"/>
        <v>0.7</v>
      </c>
      <c r="AF264" s="177">
        <f t="shared" si="93"/>
        <v>0.58934580443695417</v>
      </c>
      <c r="AG264" s="810">
        <f t="shared" si="99"/>
        <v>1</v>
      </c>
      <c r="AH264" s="176">
        <f t="shared" si="94"/>
        <v>7</v>
      </c>
      <c r="AI264" s="225">
        <f t="shared" si="95"/>
        <v>1.5893458044369542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32.909897776332429</v>
      </c>
      <c r="C265" s="840"/>
      <c r="D265" s="393">
        <f t="shared" si="77"/>
        <v>34.958568408293218</v>
      </c>
      <c r="E265" s="385">
        <f t="shared" si="100"/>
        <v>36.473708705002451</v>
      </c>
      <c r="F265" s="385">
        <f t="shared" si="78"/>
        <v>36.47706816226016</v>
      </c>
      <c r="G265" s="110">
        <f t="shared" si="101"/>
        <v>0.73761480458268236</v>
      </c>
      <c r="H265" s="414" t="b">
        <f>Wh_hp&gt;='2024'!Maxi_hp</f>
        <v>0</v>
      </c>
      <c r="I265" s="390">
        <f>IF(H265,Wh_hp,'2024'!Maxi_hp)</f>
        <v>44.813483820108679</v>
      </c>
      <c r="J265" s="85">
        <f>IF(H265,An,'2024'!An_max)</f>
        <v>2019</v>
      </c>
      <c r="K265" s="197">
        <f t="shared" si="79"/>
        <v>45908</v>
      </c>
      <c r="L265" s="147">
        <f>IF(t&lt;Tvie,1-EXP((T0-t)*PertePVj)+'2024'!Pspv,1-EXP((T0-t)*PertePVj)+Pspv)</f>
        <v>5.8602818285739211E-2</v>
      </c>
      <c r="M265" s="844"/>
      <c r="N265" s="844"/>
      <c r="O265" s="48">
        <f>IF(t&lt;Tnet,'2024'!Resal+('2024'!Salim-'2024'!Resal)*(1-EXP(('2024'!Tnet-t)/('2024'!Tau_j))),Resal+(Salim-Resal)*(1-EXP((Tnet-t)/(Tau_j))))*Salcycl</f>
        <v>4.1540615158266826E-2</v>
      </c>
      <c r="P265" s="169">
        <f>(INDEX(Models!$BJ265:$BT265,,T265)*(1-R265)+INDEX(Models!$BJ265:$BT265,,T265+1)*R265-ERP_i)*Q265*Ramure*Pc/MaxiM</f>
        <v>1.4730409265019254E-4</v>
      </c>
      <c r="Q265" s="305">
        <f t="shared" si="80"/>
        <v>0.7</v>
      </c>
      <c r="R265" s="177">
        <f t="shared" si="81"/>
        <v>0.76975164993524725</v>
      </c>
      <c r="S265" s="810">
        <f t="shared" si="82"/>
        <v>-2</v>
      </c>
      <c r="T265" s="176">
        <f t="shared" si="83"/>
        <v>4</v>
      </c>
      <c r="U265" s="251">
        <f t="shared" si="84"/>
        <v>-1.2302483500647527</v>
      </c>
      <c r="V265" s="383">
        <f t="shared" si="85"/>
        <v>44.614181508648969</v>
      </c>
      <c r="W265" s="402">
        <f t="shared" si="86"/>
        <v>32.909897776332429</v>
      </c>
      <c r="X265" s="157">
        <f t="shared" si="87"/>
        <v>45908</v>
      </c>
      <c r="Y265" s="385">
        <f t="shared" si="88"/>
        <v>30.08052426493812</v>
      </c>
      <c r="Z265" s="385">
        <f t="shared" si="89"/>
        <v>31.953063859998217</v>
      </c>
      <c r="AA265" s="386">
        <f t="shared" si="90"/>
        <v>36.415674346543604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0.12254641899742701</v>
      </c>
      <c r="AD265" s="231">
        <f>(INDEX(Models!$BJ265:$BT265,,AH265)*(1-AF265)+INDEX(Models!$BJ265:$BT265,,AH265+1)*AF265-ERP_i)*AE265*Ramure*Pc/MaxiM</f>
        <v>2.6919706442796966E-3</v>
      </c>
      <c r="AE265" s="305">
        <f t="shared" si="92"/>
        <v>0.7</v>
      </c>
      <c r="AF265" s="177">
        <f t="shared" si="93"/>
        <v>0.58974170303443096</v>
      </c>
      <c r="AG265" s="810">
        <f t="shared" si="99"/>
        <v>1</v>
      </c>
      <c r="AH265" s="176">
        <f t="shared" si="94"/>
        <v>7</v>
      </c>
      <c r="AI265" s="225">
        <f t="shared" si="95"/>
        <v>1.589741703034431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24.404899044740169</v>
      </c>
      <c r="C266" s="840"/>
      <c r="D266" s="393">
        <f t="shared" si="77"/>
        <v>25.924729189404946</v>
      </c>
      <c r="E266" s="385">
        <f t="shared" si="100"/>
        <v>27.052701809554417</v>
      </c>
      <c r="F266" s="385">
        <f t="shared" si="78"/>
        <v>27.054212785401223</v>
      </c>
      <c r="G266" s="110">
        <f t="shared" si="101"/>
        <v>0.55116920596875874</v>
      </c>
      <c r="H266" s="414" t="b">
        <f>Wh_hp&gt;='2024'!Maxi_hp</f>
        <v>0</v>
      </c>
      <c r="I266" s="390">
        <f>IF(H266,Wh_hp,'2024'!Maxi_hp)</f>
        <v>47.032768626922746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5.8624725973450476E-2</v>
      </c>
      <c r="M266" s="844"/>
      <c r="N266" s="844"/>
      <c r="O266" s="48">
        <f>IF(t&lt;Tnet,'2024'!Resal+('2024'!Salim-'2024'!Resal)*(1-EXP(('2024'!Tnet-t)/('2024'!Tau_j))),Resal+(Salim-Resal)*(1-EXP((Tnet-t)/(Tau_j))))*Salcycl</f>
        <v>4.1695377714587305E-2</v>
      </c>
      <c r="P266" s="169">
        <f>(INDEX(Models!$BJ266:$BT266,,T266)*(1-R266)+INDEX(Models!$BJ266:$BT266,,T266+1)*R266-ERP_i)*Q266*Ramure*Pc/MaxiM</f>
        <v>1.5561776824275621E-4</v>
      </c>
      <c r="Q266" s="305">
        <f t="shared" si="80"/>
        <v>0.7</v>
      </c>
      <c r="R266" s="177">
        <f t="shared" si="81"/>
        <v>0.7701323639347315</v>
      </c>
      <c r="S266" s="810">
        <f t="shared" si="82"/>
        <v>-2</v>
      </c>
      <c r="T266" s="176">
        <f t="shared" si="83"/>
        <v>4</v>
      </c>
      <c r="U266" s="251">
        <f t="shared" si="84"/>
        <v>-1.2298676360652685</v>
      </c>
      <c r="V266" s="383">
        <f t="shared" si="85"/>
        <v>44.273997568128948</v>
      </c>
      <c r="W266" s="402">
        <f t="shared" si="86"/>
        <v>24.404899044740169</v>
      </c>
      <c r="X266" s="157">
        <f t="shared" si="87"/>
        <v>45909</v>
      </c>
      <c r="Y266" s="385">
        <f t="shared" si="88"/>
        <v>22.32326701438032</v>
      </c>
      <c r="Z266" s="385">
        <f t="shared" si="89"/>
        <v>23.713462240087196</v>
      </c>
      <c r="AA266" s="386">
        <f t="shared" si="90"/>
        <v>27.02698082937447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0.12260039736609982</v>
      </c>
      <c r="AD266" s="231">
        <f>(INDEX(Models!$BJ266:$BT266,,AH266)*(1-AF266)+INDEX(Models!$BJ266:$BT266,,AH266+1)*AF266-ERP_i)*AE266*Ramure*Pc/MaxiM</f>
        <v>2.8046617890847697E-3</v>
      </c>
      <c r="AE266" s="305">
        <f t="shared" si="92"/>
        <v>0.7</v>
      </c>
      <c r="AF266" s="177">
        <f t="shared" si="93"/>
        <v>0.59012241703391499</v>
      </c>
      <c r="AG266" s="810">
        <f t="shared" si="99"/>
        <v>1</v>
      </c>
      <c r="AH266" s="176">
        <f t="shared" si="94"/>
        <v>7</v>
      </c>
      <c r="AI266" s="225">
        <f t="shared" si="95"/>
        <v>1.590122417033915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42.691915231633274</v>
      </c>
      <c r="C267" s="840"/>
      <c r="D267" s="393">
        <f t="shared" si="77"/>
        <v>45.351635990373737</v>
      </c>
      <c r="E267" s="385">
        <f t="shared" si="100"/>
        <v>47.332483386884626</v>
      </c>
      <c r="F267" s="385">
        <f t="shared" si="78"/>
        <v>47.3399372151653</v>
      </c>
      <c r="G267" s="110">
        <f t="shared" si="101"/>
        <v>0.97182319150259955</v>
      </c>
      <c r="H267" s="414" t="b">
        <f>Wh_hp&gt;='2024'!Maxi_hp</f>
        <v>1</v>
      </c>
      <c r="I267" s="390">
        <f>IF(H267,Wh_hp,'2024'!Maxi_hp)</f>
        <v>47.3399372151653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5.864663315133789E-2</v>
      </c>
      <c r="M267" s="844"/>
      <c r="N267" s="844"/>
      <c r="O267" s="48">
        <f>IF(t&lt;Tnet,'2024'!Resal+('2024'!Salim-'2024'!Resal)*(1-EXP(('2024'!Tnet-t)/('2024'!Tau_j))),Resal+(Salim-Resal)*(1-EXP((Tnet-t)/(Tau_j))))*Salcycl</f>
        <v>4.1849640136561318E-2</v>
      </c>
      <c r="P267" s="169">
        <f>(INDEX(Models!$BJ267:$BT267,,T267)*(1-R267)+INDEX(Models!$BJ267:$BT267,,T267+1)*R267-ERP_i)*Q267*Ramure*Pc/MaxiM</f>
        <v>1.6405542858884516E-4</v>
      </c>
      <c r="Q267" s="305">
        <f t="shared" si="80"/>
        <v>0.7</v>
      </c>
      <c r="R267" s="177">
        <f t="shared" si="81"/>
        <v>0.77049844714086335</v>
      </c>
      <c r="S267" s="810">
        <f t="shared" si="82"/>
        <v>-2</v>
      </c>
      <c r="T267" s="176">
        <f t="shared" si="83"/>
        <v>4</v>
      </c>
      <c r="U267" s="251">
        <f t="shared" si="84"/>
        <v>-1.2295015528591366</v>
      </c>
      <c r="V267" s="383">
        <f t="shared" si="85"/>
        <v>43.929424304818603</v>
      </c>
      <c r="W267" s="402">
        <f t="shared" si="86"/>
        <v>42.691915231633274</v>
      </c>
      <c r="X267" s="157">
        <f t="shared" si="87"/>
        <v>45910</v>
      </c>
      <c r="Y267" s="385">
        <f t="shared" si="88"/>
        <v>38.988266073554747</v>
      </c>
      <c r="Z267" s="385">
        <f t="shared" si="89"/>
        <v>41.41724823705097</v>
      </c>
      <c r="AA267" s="386">
        <f t="shared" si="90"/>
        <v>47.207399420894731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0.12265346650891658</v>
      </c>
      <c r="AD267" s="231">
        <f>(INDEX(Models!$BJ267:$BT267,,AH267)*(1-AF267)+INDEX(Models!$BJ267:$BT267,,AH267+1)*AF267-ERP_i)*AE267*Ramure*Pc/MaxiM</f>
        <v>2.9170976073679545E-3</v>
      </c>
      <c r="AE267" s="305">
        <f t="shared" si="92"/>
        <v>0.7</v>
      </c>
      <c r="AF267" s="177">
        <f t="shared" si="93"/>
        <v>0.59048850024004707</v>
      </c>
      <c r="AG267" s="810">
        <f t="shared" si="99"/>
        <v>1</v>
      </c>
      <c r="AH267" s="176">
        <f t="shared" si="94"/>
        <v>7</v>
      </c>
      <c r="AI267" s="225">
        <f t="shared" si="95"/>
        <v>1.5904885002400471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41.429060119593032</v>
      </c>
      <c r="C268" s="840"/>
      <c r="D268" s="393">
        <f t="shared" si="77"/>
        <v>44.01112878097711</v>
      </c>
      <c r="E268" s="385">
        <f t="shared" si="100"/>
        <v>45.940797973177261</v>
      </c>
      <c r="F268" s="385">
        <f t="shared" si="78"/>
        <v>45.948162380703145</v>
      </c>
      <c r="G268" s="110">
        <f t="shared" si="101"/>
        <v>0.95061340832482677</v>
      </c>
      <c r="H268" s="414" t="b">
        <f>Wh_hp&gt;='2024'!Maxi_hp</f>
        <v>0</v>
      </c>
      <c r="I268" s="390">
        <f>IF(H268,Wh_hp,'2024'!Maxi_hp)</f>
        <v>47.199084138700862</v>
      </c>
      <c r="J268" s="85">
        <f>IF(H268,An,'2024'!An_max)</f>
        <v>2019</v>
      </c>
      <c r="K268" s="197">
        <f t="shared" si="79"/>
        <v>45911</v>
      </c>
      <c r="L268" s="147">
        <f>IF(t&lt;Tvie,1-EXP((T0-t)*PertePVj)+'2024'!Pspv,1-EXP((T0-t)*PertePVj)+Pspv)</f>
        <v>5.8668539819413223E-2</v>
      </c>
      <c r="M268" s="844"/>
      <c r="N268" s="844"/>
      <c r="O268" s="48">
        <f>IF(t&lt;Tnet,'2024'!Resal+('2024'!Salim-'2024'!Resal)*(1-EXP(('2024'!Tnet-t)/('2024'!Tau_j))),Resal+(Salim-Resal)*(1-EXP((Tnet-t)/(Tau_j))))*Salcycl</f>
        <v>4.2003388650906671E-2</v>
      </c>
      <c r="P268" s="169">
        <f>(INDEX(Models!$BJ268:$BT268,,T268)*(1-R268)+INDEX(Models!$BJ268:$BT268,,T268+1)*R268-ERP_i)*Q268*Ramure*Pc/MaxiM</f>
        <v>1.7243958829274458E-4</v>
      </c>
      <c r="Q268" s="305">
        <f t="shared" si="80"/>
        <v>0.7</v>
      </c>
      <c r="R268" s="177">
        <f t="shared" si="81"/>
        <v>0.77085043537393272</v>
      </c>
      <c r="S268" s="810">
        <f t="shared" si="82"/>
        <v>-2</v>
      </c>
      <c r="T268" s="176">
        <f t="shared" si="83"/>
        <v>4</v>
      </c>
      <c r="U268" s="251">
        <f t="shared" si="84"/>
        <v>-1.2291495646260673</v>
      </c>
      <c r="V268" s="383">
        <f t="shared" si="85"/>
        <v>43.580866594013216</v>
      </c>
      <c r="W268" s="402">
        <f t="shared" si="86"/>
        <v>41.429060119593032</v>
      </c>
      <c r="X268" s="157">
        <f t="shared" si="87"/>
        <v>45911</v>
      </c>
      <c r="Y268" s="385">
        <f t="shared" si="88"/>
        <v>37.838467054644454</v>
      </c>
      <c r="Z268" s="385">
        <f t="shared" si="89"/>
        <v>40.196751787500496</v>
      </c>
      <c r="AA268" s="386">
        <f t="shared" si="90"/>
        <v>45.818999281989051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0.1227055933693994</v>
      </c>
      <c r="AD268" s="231">
        <f>(INDEX(Models!$BJ268:$BT268,,AH268)*(1-AF268)+INDEX(Models!$BJ268:$BT268,,AH268+1)*AF268-ERP_i)*AE268*Ramure*Pc/MaxiM</f>
        <v>3.0243887898080074E-3</v>
      </c>
      <c r="AE268" s="305">
        <f t="shared" si="92"/>
        <v>0.7</v>
      </c>
      <c r="AF268" s="177">
        <f t="shared" si="93"/>
        <v>0.59084048847311643</v>
      </c>
      <c r="AG268" s="810">
        <f t="shared" si="99"/>
        <v>1</v>
      </c>
      <c r="AH268" s="176">
        <f t="shared" si="94"/>
        <v>7</v>
      </c>
      <c r="AI268" s="225">
        <f t="shared" si="95"/>
        <v>1.5908404884731164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29.422513836849049</v>
      </c>
      <c r="C269" s="840"/>
      <c r="D269" s="393">
        <f t="shared" si="77"/>
        <v>31.257001175780751</v>
      </c>
      <c r="E269" s="385">
        <f t="shared" si="100"/>
        <v>32.632684493658914</v>
      </c>
      <c r="F269" s="385">
        <f t="shared" si="78"/>
        <v>32.635890310268707</v>
      </c>
      <c r="G269" s="110">
        <f t="shared" si="101"/>
        <v>0.68056801860778093</v>
      </c>
      <c r="H269" s="414" t="b">
        <f>Wh_hp&gt;='2024'!Maxi_hp</f>
        <v>0</v>
      </c>
      <c r="I269" s="390">
        <f>IF(H269,Wh_hp,'2024'!Maxi_hp)</f>
        <v>47.524500971153024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5.8690445977688355E-2</v>
      </c>
      <c r="M269" s="844"/>
      <c r="N269" s="844"/>
      <c r="O269" s="48">
        <f>IF(t&lt;Tnet,'2024'!Resal+('2024'!Salim-'2024'!Resal)*(1-EXP(('2024'!Tnet-t)/('2024'!Tau_j))),Resal+(Salim-Resal)*(1-EXP((Tnet-t)/(Tau_j))))*Salcycl</f>
        <v>4.215660890986403E-2</v>
      </c>
      <c r="P269" s="169">
        <f>(INDEX(Models!$BJ269:$BT269,,T269)*(1-R269)+INDEX(Models!$BJ269:$BT269,,T269+1)*R269-ERP_i)*Q269*Ramure*Pc/MaxiM</f>
        <v>1.806529011095539E-4</v>
      </c>
      <c r="Q269" s="305">
        <f t="shared" si="80"/>
        <v>0.7</v>
      </c>
      <c r="R269" s="177">
        <f t="shared" si="81"/>
        <v>0.77118884687920231</v>
      </c>
      <c r="S269" s="810">
        <f t="shared" si="82"/>
        <v>-2</v>
      </c>
      <c r="T269" s="176">
        <f t="shared" si="83"/>
        <v>4</v>
      </c>
      <c r="U269" s="251">
        <f t="shared" si="84"/>
        <v>-1.2288111531207977</v>
      </c>
      <c r="V269" s="383">
        <f t="shared" si="85"/>
        <v>43.228726150882153</v>
      </c>
      <c r="W269" s="402">
        <f t="shared" si="86"/>
        <v>29.422513836849049</v>
      </c>
      <c r="X269" s="157">
        <f t="shared" si="87"/>
        <v>45912</v>
      </c>
      <c r="Y269" s="385">
        <f t="shared" si="88"/>
        <v>26.903520888858402</v>
      </c>
      <c r="Z269" s="385">
        <f t="shared" si="89"/>
        <v>28.580949565312405</v>
      </c>
      <c r="AA269" s="386">
        <f t="shared" si="90"/>
        <v>32.580415246454386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0.12275674361078719</v>
      </c>
      <c r="AD269" s="231">
        <f>(INDEX(Models!$BJ269:$BT269,,AH269)*(1-AF269)+INDEX(Models!$BJ269:$BT269,,AH269+1)*AF269-ERP_i)*AE269*Ramure*Pc/MaxiM</f>
        <v>3.1261087071192393E-3</v>
      </c>
      <c r="AE269" s="305">
        <f t="shared" si="92"/>
        <v>0.7</v>
      </c>
      <c r="AF269" s="177">
        <f t="shared" si="93"/>
        <v>0.59117889997838602</v>
      </c>
      <c r="AG269" s="810">
        <f t="shared" si="99"/>
        <v>1</v>
      </c>
      <c r="AH269" s="176">
        <f t="shared" si="94"/>
        <v>7</v>
      </c>
      <c r="AI269" s="225">
        <f t="shared" si="95"/>
        <v>1.591178899978386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13.82373504932724</v>
      </c>
      <c r="C270" s="840"/>
      <c r="D270" s="393">
        <f t="shared" si="77"/>
        <v>14.685983687568006</v>
      </c>
      <c r="E270" s="385">
        <f t="shared" si="100"/>
        <v>15.334787601789737</v>
      </c>
      <c r="F270" s="385">
        <f t="shared" si="78"/>
        <v>15.3348803253096</v>
      </c>
      <c r="G270" s="110">
        <f t="shared" si="101"/>
        <v>0.32237262284502599</v>
      </c>
      <c r="H270" s="414" t="b">
        <f>Wh_hp&gt;='2024'!Maxi_hp</f>
        <v>0</v>
      </c>
      <c r="I270" s="390">
        <f>IF(H270,Wh_hp,'2024'!Maxi_hp)</f>
        <v>45.574582062693615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5.8712351626175163E-2</v>
      </c>
      <c r="M270" s="844"/>
      <c r="N270" s="844"/>
      <c r="O270" s="48">
        <f>IF(t&lt;Tnet,'2024'!Resal+('2024'!Salim-'2024'!Resal)*(1-EXP(('2024'!Tnet-t)/('2024'!Tau_j))),Resal+(Salim-Resal)*(1-EXP((Tnet-t)/(Tau_j))))*Salcycl</f>
        <v>4.2309285988806802E-2</v>
      </c>
      <c r="P270" s="169">
        <f>(INDEX(Models!$BJ270:$BT270,,T270)*(1-R270)+INDEX(Models!$BJ270:$BT270,,T270+1)*R270-ERP_i)*Q270*Ramure*Pc/MaxiM</f>
        <v>1.8869004440982124E-4</v>
      </c>
      <c r="Q270" s="305">
        <f t="shared" si="80"/>
        <v>0.7</v>
      </c>
      <c r="R270" s="177">
        <f t="shared" si="81"/>
        <v>0.77151418274177042</v>
      </c>
      <c r="S270" s="810">
        <f t="shared" si="82"/>
        <v>-2</v>
      </c>
      <c r="T270" s="176">
        <f t="shared" si="83"/>
        <v>4</v>
      </c>
      <c r="U270" s="251">
        <f t="shared" si="84"/>
        <v>-1.2284858172582296</v>
      </c>
      <c r="V270" s="383">
        <f t="shared" si="85"/>
        <v>42.873399413292027</v>
      </c>
      <c r="W270" s="402">
        <f t="shared" si="86"/>
        <v>13.82373504932724</v>
      </c>
      <c r="X270" s="157">
        <f t="shared" si="87"/>
        <v>45913</v>
      </c>
      <c r="Y270" s="385">
        <f t="shared" si="88"/>
        <v>12.660566023916651</v>
      </c>
      <c r="Z270" s="385">
        <f t="shared" si="89"/>
        <v>13.45026256935288</v>
      </c>
      <c r="AA270" s="386">
        <f t="shared" si="90"/>
        <v>15.333296953247556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0.12280688162736286</v>
      </c>
      <c r="AD270" s="231">
        <f>(INDEX(Models!$BJ270:$BT270,,AH270)*(1-AF270)+INDEX(Models!$BJ270:$BT270,,AH270+1)*AF270-ERP_i)*AE270*Ramure*Pc/MaxiM</f>
        <v>3.22212255472941E-3</v>
      </c>
      <c r="AE270" s="305">
        <f t="shared" si="92"/>
        <v>0.7</v>
      </c>
      <c r="AF270" s="177">
        <f t="shared" si="93"/>
        <v>0.59150423584095391</v>
      </c>
      <c r="AG270" s="810">
        <f t="shared" si="99"/>
        <v>1</v>
      </c>
      <c r="AH270" s="176">
        <f t="shared" si="94"/>
        <v>7</v>
      </c>
      <c r="AI270" s="225">
        <f t="shared" si="95"/>
        <v>1.5915042358409539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32.908286286163786</v>
      </c>
      <c r="C271" s="840"/>
      <c r="D271" s="393">
        <f t="shared" ref="D271:D334" si="102">Wh/(1-Ppv)</f>
        <v>34.961737981729328</v>
      </c>
      <c r="E271" s="385">
        <f t="shared" si="100"/>
        <v>36.512092715645807</v>
      </c>
      <c r="F271" s="385">
        <f t="shared" ref="F271:F334" si="103">Wh_sa/(1-Pvg*MEDIAN((-Sdif+Wh/Env_an)/Csdif,0,1))</f>
        <v>36.51695307960329</v>
      </c>
      <c r="G271" s="110">
        <f t="shared" si="101"/>
        <v>0.77398516836854558</v>
      </c>
      <c r="H271" s="414" t="b">
        <f>Wh_hp&gt;='2024'!Maxi_hp</f>
        <v>0</v>
      </c>
      <c r="I271" s="390">
        <f>IF(H271,Wh_hp,'2024'!Maxi_hp)</f>
        <v>44.733439415558536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5.873425676488564E-2</v>
      </c>
      <c r="M271" s="844"/>
      <c r="N271" s="844"/>
      <c r="O271" s="48">
        <f>IF(t&lt;Tnet,'2024'!Resal+('2024'!Salim-'2024'!Resal)*(1-EXP(('2024'!Tnet-t)/('2024'!Tau_j))),Resal+(Salim-Resal)*(1-EXP((Tnet-t)/(Tau_j))))*Salcycl</f>
        <v>4.24614043897883E-2</v>
      </c>
      <c r="P271" s="169">
        <f>(INDEX(Models!$BJ271:$BT271,,T271)*(1-R271)+INDEX(Models!$BJ271:$BT271,,T271+1)*R271-ERP_i)*Q271*Ramure*Pc/MaxiM</f>
        <v>1.9654524659045301E-4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0.77182692730531866</v>
      </c>
      <c r="S271" s="810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-1.2281730726946813</v>
      </c>
      <c r="V271" s="383">
        <f t="shared" ref="V271:V334" si="110">MaxiM*(1-Ppv)*(1-Pvg)*(1-Psa)</f>
        <v>42.515282514978615</v>
      </c>
      <c r="W271" s="402">
        <f t="shared" ref="W271:W334" si="111">Wh*(A271&gt;Tmaj)</f>
        <v>32.908286286163786</v>
      </c>
      <c r="X271" s="157">
        <f t="shared" ref="X271:X334" si="112">t</f>
        <v>45914</v>
      </c>
      <c r="Y271" s="385">
        <f t="shared" ref="Y271:Y334" si="113">Wh_pvt_s*(1-Ppv)</f>
        <v>30.081705723815713</v>
      </c>
      <c r="Z271" s="385">
        <f t="shared" ref="Z271:Z334" si="114">Wh_sa_s*(1-Psa_s)</f>
        <v>31.958780971275338</v>
      </c>
      <c r="AA271" s="386">
        <f t="shared" ref="AA271:AA334" si="115">Wh_hp*(1-Pvg_s*MEDIAN((-Sdif+Wh/Env_an)/Csdif,0,1))</f>
        <v>36.435043617795245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0.12285597057261793</v>
      </c>
      <c r="AD271" s="231">
        <f>(INDEX(Models!$BJ271:$BT271,,AH271)*(1-AF271)+INDEX(Models!$BJ271:$BT271,,AH271+1)*AF271-ERP_i)*AE271*Ramure*Pc/MaxiM</f>
        <v>3.3122859748719157E-3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0.59181698040450259</v>
      </c>
      <c r="AG271" s="810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1.5918169804045026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37.511737662516808</v>
      </c>
      <c r="C272" s="840"/>
      <c r="D272" s="393">
        <f t="shared" si="102"/>
        <v>39.853368621318879</v>
      </c>
      <c r="E272" s="385">
        <f t="shared" si="100"/>
        <v>41.627227504501462</v>
      </c>
      <c r="F272" s="385">
        <f t="shared" si="103"/>
        <v>41.634391958767218</v>
      </c>
      <c r="G272" s="110">
        <f t="shared" si="101"/>
        <v>0.88982886102575309</v>
      </c>
      <c r="H272" s="414" t="b">
        <f>Wh_hp&gt;='2024'!Maxi_hp</f>
        <v>0</v>
      </c>
      <c r="I272" s="390">
        <f>IF(H272,Wh_hp,'2024'!Maxi_hp)</f>
        <v>45.524121434792207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5.8756161393831441E-2</v>
      </c>
      <c r="M272" s="844"/>
      <c r="N272" s="844"/>
      <c r="O272" s="48">
        <f>IF(t&lt;Tnet,'2024'!Resal+('2024'!Salim-'2024'!Resal)*(1-EXP(('2024'!Tnet-t)/('2024'!Tau_j))),Resal+(Salim-Resal)*(1-EXP((Tnet-t)/(Tau_j))))*Salcycl</f>
        <v>4.2612948051627075E-2</v>
      </c>
      <c r="P272" s="169">
        <f>(INDEX(Models!$BJ272:$BT272,,T272)*(1-R272)+INDEX(Models!$BJ272:$BT272,,T272+1)*R272-ERP_i)*Q272*Ramure*Pc/MaxiM</f>
        <v>2.0421227929098804E-4</v>
      </c>
      <c r="Q272" s="305">
        <f t="shared" si="105"/>
        <v>0.7</v>
      </c>
      <c r="R272" s="177">
        <f t="shared" si="106"/>
        <v>0.77212754859323729</v>
      </c>
      <c r="S272" s="810">
        <f t="shared" si="107"/>
        <v>-2</v>
      </c>
      <c r="T272" s="176">
        <f t="shared" si="108"/>
        <v>4</v>
      </c>
      <c r="U272" s="251">
        <f t="shared" si="109"/>
        <v>-1.2278724514067627</v>
      </c>
      <c r="V272" s="383">
        <f t="shared" si="110"/>
        <v>42.154771291067874</v>
      </c>
      <c r="W272" s="402">
        <f t="shared" si="111"/>
        <v>37.511737662516808</v>
      </c>
      <c r="X272" s="157">
        <f t="shared" si="112"/>
        <v>45915</v>
      </c>
      <c r="Y272" s="385">
        <f t="shared" si="113"/>
        <v>34.273367082796547</v>
      </c>
      <c r="Z272" s="385">
        <f t="shared" si="114"/>
        <v>36.412846147869523</v>
      </c>
      <c r="AA272" s="386">
        <f t="shared" si="115"/>
        <v>41.515233226787359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0.12290397240561718</v>
      </c>
      <c r="AD272" s="231">
        <f>(INDEX(Models!$BJ272:$BT272,,AH272)*(1-AF272)+INDEX(Models!$BJ272:$BT272,,AH272+1)*AF272-ERP_i)*AE272*Ramure*Pc/MaxiM</f>
        <v>3.3964451935077538E-3</v>
      </c>
      <c r="AE272" s="305">
        <f t="shared" si="117"/>
        <v>0.7</v>
      </c>
      <c r="AF272" s="177">
        <f t="shared" si="118"/>
        <v>0.592117601692421</v>
      </c>
      <c r="AG272" s="810">
        <f t="shared" ref="AG272:AG335" si="124">INDEX(Echel_vg,AH272)</f>
        <v>1</v>
      </c>
      <c r="AH272" s="176">
        <f t="shared" si="119"/>
        <v>7</v>
      </c>
      <c r="AI272" s="225">
        <f t="shared" si="120"/>
        <v>1.592117601692421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32.182318163372415</v>
      </c>
      <c r="C273" s="840"/>
      <c r="D273" s="393">
        <f t="shared" si="102"/>
        <v>34.192061387640507</v>
      </c>
      <c r="E273" s="385">
        <f t="shared" si="100"/>
        <v>35.719569498844052</v>
      </c>
      <c r="F273" s="385">
        <f t="shared" si="103"/>
        <v>35.724647666929243</v>
      </c>
      <c r="G273" s="110">
        <f t="shared" si="101"/>
        <v>0.77000092843161849</v>
      </c>
      <c r="H273" s="414" t="b">
        <f>Wh_hp&gt;='2024'!Maxi_hp</f>
        <v>0</v>
      </c>
      <c r="I273" s="390">
        <f>IF(H273,Wh_hp,'2024'!Maxi_hp)</f>
        <v>41.220294819613947</v>
      </c>
      <c r="J273" s="85">
        <f>IF(H273,An,'2024'!An_max)</f>
        <v>2020</v>
      </c>
      <c r="K273" s="197">
        <f t="shared" si="104"/>
        <v>45916</v>
      </c>
      <c r="L273" s="147">
        <f>IF(t&lt;Tvie,1-EXP((T0-t)*PertePVj)+'2024'!Pspv,1-EXP((T0-t)*PertePVj)+Pspv)</f>
        <v>5.8778065513024558E-2</v>
      </c>
      <c r="M273" s="844"/>
      <c r="N273" s="844"/>
      <c r="O273" s="48">
        <f>IF(t&lt;Tnet,'2024'!Resal+('2024'!Salim-'2024'!Resal)*(1-EXP(('2024'!Tnet-t)/('2024'!Tau_j))),Resal+(Salim-Resal)*(1-EXP((Tnet-t)/(Tau_j))))*Salcycl</f>
        <v>4.2763900367079617E-2</v>
      </c>
      <c r="P273" s="169">
        <f>(INDEX(Models!$BJ273:$BT273,,T273)*(1-R273)+INDEX(Models!$BJ273:$BT273,,T273+1)*R273-ERP_i)*Q273*Ramure*Pc/MaxiM</f>
        <v>2.1168445077416069E-4</v>
      </c>
      <c r="Q273" s="305">
        <f t="shared" si="105"/>
        <v>0.7</v>
      </c>
      <c r="R273" s="177">
        <f t="shared" si="106"/>
        <v>0.7724164987307538</v>
      </c>
      <c r="S273" s="810">
        <f t="shared" si="107"/>
        <v>-2</v>
      </c>
      <c r="T273" s="176">
        <f t="shared" si="108"/>
        <v>4</v>
      </c>
      <c r="U273" s="251">
        <f t="shared" si="109"/>
        <v>-1.2275835012692462</v>
      </c>
      <c r="V273" s="383">
        <f t="shared" si="110"/>
        <v>41.792261276035006</v>
      </c>
      <c r="W273" s="402">
        <f t="shared" si="111"/>
        <v>32.182318163372415</v>
      </c>
      <c r="X273" s="157">
        <f t="shared" si="112"/>
        <v>45916</v>
      </c>
      <c r="Y273" s="385">
        <f t="shared" si="113"/>
        <v>29.421816839685814</v>
      </c>
      <c r="Z273" s="385">
        <f t="shared" si="114"/>
        <v>31.259170405673277</v>
      </c>
      <c r="AA273" s="386">
        <f t="shared" si="115"/>
        <v>35.64129824748025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0.12295084795674573</v>
      </c>
      <c r="AD273" s="231">
        <f>(INDEX(Models!$BJ273:$BT273,,AH273)*(1-AF273)+INDEX(Models!$BJ273:$BT273,,AH273+1)*AF273-ERP_i)*AE273*Ramure*Pc/MaxiM</f>
        <v>3.4744371951502952E-3</v>
      </c>
      <c r="AE273" s="305">
        <f t="shared" si="117"/>
        <v>0.7</v>
      </c>
      <c r="AF273" s="177">
        <f t="shared" si="118"/>
        <v>0.59240655182993751</v>
      </c>
      <c r="AG273" s="810">
        <f t="shared" si="124"/>
        <v>1</v>
      </c>
      <c r="AH273" s="176">
        <f t="shared" si="119"/>
        <v>7</v>
      </c>
      <c r="AI273" s="225">
        <f t="shared" si="120"/>
        <v>1.5924065518299375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42.047264130547468</v>
      </c>
      <c r="C274" s="840"/>
      <c r="D274" s="393">
        <f t="shared" si="102"/>
        <v>44.67409982057152</v>
      </c>
      <c r="E274" s="385">
        <f t="shared" si="100"/>
        <v>46.677217323732897</v>
      </c>
      <c r="F274" s="385">
        <f t="shared" si="103"/>
        <v>46.687439753460573</v>
      </c>
      <c r="G274" s="110">
        <f t="shared" si="101"/>
        <v>1.0149443424747537</v>
      </c>
      <c r="H274" s="414" t="b">
        <f>Wh_hp&gt;='2024'!Maxi_hp</f>
        <v>1</v>
      </c>
      <c r="I274" s="390">
        <f>IF(H274,Wh_hp,'2024'!Maxi_hp)</f>
        <v>46.687439753460573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5.8799969122476758E-2</v>
      </c>
      <c r="M274" s="844"/>
      <c r="N274" s="844"/>
      <c r="O274" s="48">
        <f>IF(t&lt;Tnet,'2024'!Resal+('2024'!Salim-'2024'!Resal)*(1-EXP(('2024'!Tnet-t)/('2024'!Tau_j))),Resal+(Salim-Resal)*(1-EXP((Tnet-t)/(Tau_j))))*Salcycl</f>
        <v>4.2914244207589082E-2</v>
      </c>
      <c r="P274" s="169">
        <f>(INDEX(Models!$BJ274:$BT274,,T274)*(1-R274)+INDEX(Models!$BJ274:$BT274,,T274+1)*R274-ERP_i)*Q274*Ramure*Pc/MaxiM</f>
        <v>2.1895460067335439E-4</v>
      </c>
      <c r="Q274" s="305">
        <f t="shared" si="105"/>
        <v>0.7</v>
      </c>
      <c r="R274" s="177">
        <f t="shared" si="106"/>
        <v>0.77269421436683228</v>
      </c>
      <c r="S274" s="810">
        <f t="shared" si="107"/>
        <v>-2</v>
      </c>
      <c r="T274" s="176">
        <f t="shared" si="108"/>
        <v>4</v>
      </c>
      <c r="U274" s="251">
        <f t="shared" si="109"/>
        <v>-1.2273057856331677</v>
      </c>
      <c r="V274" s="383">
        <f t="shared" si="110"/>
        <v>41.428147703176514</v>
      </c>
      <c r="W274" s="402">
        <f t="shared" si="111"/>
        <v>42.047264130547468</v>
      </c>
      <c r="X274" s="157">
        <f t="shared" si="112"/>
        <v>45917</v>
      </c>
      <c r="Y274" s="385">
        <f t="shared" si="113"/>
        <v>38.400820639204959</v>
      </c>
      <c r="Z274" s="385">
        <f t="shared" si="114"/>
        <v>40.79985059435468</v>
      </c>
      <c r="AA274" s="386">
        <f t="shared" si="115"/>
        <v>46.521881892996994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0.12299655701382239</v>
      </c>
      <c r="AD274" s="231">
        <f>(INDEX(Models!$BJ274:$BT274,,AH274)*(1-AF274)+INDEX(Models!$BJ274:$BT274,,AH274+1)*AF274-ERP_i)*AE274*Ramure*Pc/MaxiM</f>
        <v>3.5460899406314704E-3</v>
      </c>
      <c r="AE274" s="305">
        <f t="shared" si="117"/>
        <v>0.7</v>
      </c>
      <c r="AF274" s="177">
        <f t="shared" si="118"/>
        <v>0.59268426746601621</v>
      </c>
      <c r="AG274" s="810">
        <f t="shared" si="124"/>
        <v>1</v>
      </c>
      <c r="AH274" s="176">
        <f t="shared" si="119"/>
        <v>7</v>
      </c>
      <c r="AI274" s="225">
        <f t="shared" si="120"/>
        <v>1.5926842674660162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41.56160029505898</v>
      </c>
      <c r="C275" s="840"/>
      <c r="D275" s="393">
        <f t="shared" si="102"/>
        <v>44.15912255971076</v>
      </c>
      <c r="E275" s="385">
        <f t="shared" si="100"/>
        <v>46.146367995476957</v>
      </c>
      <c r="F275" s="385">
        <f t="shared" si="103"/>
        <v>46.156800921335282</v>
      </c>
      <c r="G275" s="110">
        <f t="shared" si="101"/>
        <v>1.0122234899029146</v>
      </c>
      <c r="H275" s="414" t="b">
        <f>Wh_hp&gt;='2024'!Maxi_hp</f>
        <v>1</v>
      </c>
      <c r="I275" s="390">
        <f>IF(H275,Wh_hp,'2024'!Maxi_hp)</f>
        <v>46.156800921335282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5.8821872222200033E-2</v>
      </c>
      <c r="M275" s="844"/>
      <c r="N275" s="844"/>
      <c r="O275" s="48">
        <f>IF(t&lt;Tnet,'2024'!Resal+('2024'!Salim-'2024'!Resal)*(1-EXP(('2024'!Tnet-t)/('2024'!Tau_j))),Resal+(Salim-Resal)*(1-EXP((Tnet-t)/(Tau_j))))*Salcycl</f>
        <v>4.306396195603051E-2</v>
      </c>
      <c r="P275" s="169">
        <f>(INDEX(Models!$BJ275:$BT275,,T275)*(1-R275)+INDEX(Models!$BJ275:$BT275,,T275+1)*R275-ERP_i)*Q275*Ramure*Pc/MaxiM</f>
        <v>2.2603225635388059E-4</v>
      </c>
      <c r="Q275" s="305">
        <f t="shared" si="105"/>
        <v>0.7</v>
      </c>
      <c r="R275" s="177">
        <f t="shared" si="106"/>
        <v>0.7729611170947186</v>
      </c>
      <c r="S275" s="810">
        <f t="shared" si="107"/>
        <v>-2</v>
      </c>
      <c r="T275" s="176">
        <f t="shared" si="108"/>
        <v>4</v>
      </c>
      <c r="U275" s="251">
        <f t="shared" si="109"/>
        <v>-1.2270388829052814</v>
      </c>
      <c r="V275" s="383">
        <f t="shared" si="110"/>
        <v>41.059707376525388</v>
      </c>
      <c r="W275" s="402">
        <f t="shared" si="111"/>
        <v>41.56160029505898</v>
      </c>
      <c r="X275" s="157">
        <f t="shared" si="112"/>
        <v>45918</v>
      </c>
      <c r="Y275" s="385">
        <f t="shared" si="113"/>
        <v>37.959064003182156</v>
      </c>
      <c r="Z275" s="385">
        <f t="shared" si="114"/>
        <v>40.331434489246654</v>
      </c>
      <c r="AA275" s="386">
        <f t="shared" si="115"/>
        <v>45.990105781933345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0.12304105842934661</v>
      </c>
      <c r="AD275" s="231">
        <f>(INDEX(Models!$BJ275:$BT275,,AH275)*(1-AF275)+INDEX(Models!$BJ275:$BT275,,AH275+1)*AF275-ERP_i)*AE275*Ramure*Pc/MaxiM</f>
        <v>3.6114968124857467E-3</v>
      </c>
      <c r="AE275" s="305">
        <f t="shared" si="117"/>
        <v>0.7</v>
      </c>
      <c r="AF275" s="177">
        <f t="shared" si="118"/>
        <v>0.59295117019390231</v>
      </c>
      <c r="AG275" s="810">
        <f t="shared" si="124"/>
        <v>1</v>
      </c>
      <c r="AH275" s="176">
        <f t="shared" si="119"/>
        <v>7</v>
      </c>
      <c r="AI275" s="225">
        <f t="shared" si="120"/>
        <v>1.5929511701939023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39.948099475267732</v>
      </c>
      <c r="C276" s="840"/>
      <c r="D276" s="393">
        <f t="shared" si="102"/>
        <v>42.445768732281067</v>
      </c>
      <c r="E276" s="385">
        <f t="shared" si="100"/>
        <v>44.362820888329004</v>
      </c>
      <c r="F276" s="385">
        <f t="shared" si="103"/>
        <v>44.372878316776635</v>
      </c>
      <c r="G276" s="110">
        <f t="shared" si="101"/>
        <v>0.98189084698599971</v>
      </c>
      <c r="H276" s="414" t="b">
        <f>Wh_hp&gt;='2024'!Maxi_hp</f>
        <v>1</v>
      </c>
      <c r="I276" s="390">
        <f>IF(H276,Wh_hp,'2024'!Maxi_hp)</f>
        <v>44.372878316776635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5.8843774812206262E-2</v>
      </c>
      <c r="M276" s="844"/>
      <c r="N276" s="844"/>
      <c r="O276" s="48">
        <f>IF(t&lt;Tnet,'2024'!Resal+('2024'!Salim-'2024'!Resal)*(1-EXP(('2024'!Tnet-t)/('2024'!Tau_j))),Resal+(Salim-Resal)*(1-EXP((Tnet-t)/(Tau_j))))*Salcycl</f>
        <v>4.3213035547797506E-2</v>
      </c>
      <c r="P276" s="169">
        <f>(INDEX(Models!$BJ276:$BT276,,T276)*(1-R276)+INDEX(Models!$BJ276:$BT276,,T276+1)*R276-ERP_i)*Q276*Ramure*Pc/MaxiM</f>
        <v>2.3267448742312634E-4</v>
      </c>
      <c r="Q276" s="305">
        <f t="shared" si="105"/>
        <v>0.7</v>
      </c>
      <c r="R276" s="177">
        <f t="shared" si="106"/>
        <v>0.77321761387012788</v>
      </c>
      <c r="S276" s="810">
        <f t="shared" si="107"/>
        <v>-2</v>
      </c>
      <c r="T276" s="176">
        <f t="shared" si="108"/>
        <v>4</v>
      </c>
      <c r="U276" s="251">
        <f t="shared" si="109"/>
        <v>-1.2267823861298721</v>
      </c>
      <c r="V276" s="383">
        <f t="shared" si="110"/>
        <v>40.684623103148283</v>
      </c>
      <c r="W276" s="402">
        <f t="shared" si="111"/>
        <v>39.948099475267732</v>
      </c>
      <c r="X276" s="157">
        <f t="shared" si="112"/>
        <v>45919</v>
      </c>
      <c r="Y276" s="385">
        <f t="shared" si="113"/>
        <v>36.490803372870808</v>
      </c>
      <c r="Z276" s="385">
        <f t="shared" si="114"/>
        <v>38.772312604732129</v>
      </c>
      <c r="AA276" s="386">
        <f t="shared" si="115"/>
        <v>44.2144131504363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0.12308431024941627</v>
      </c>
      <c r="AD276" s="231">
        <f>(INDEX(Models!$BJ276:$BT276,,AH276)*(1-AF276)+INDEX(Models!$BJ276:$BT276,,AH276+1)*AF276-ERP_i)*AE276*Ramure*Pc/MaxiM</f>
        <v>3.6660267129547132E-3</v>
      </c>
      <c r="AE276" s="305">
        <f t="shared" si="117"/>
        <v>0.7</v>
      </c>
      <c r="AF276" s="177">
        <f t="shared" si="118"/>
        <v>0.5932076669693116</v>
      </c>
      <c r="AG276" s="810">
        <f t="shared" si="124"/>
        <v>1</v>
      </c>
      <c r="AH276" s="176">
        <f t="shared" si="119"/>
        <v>7</v>
      </c>
      <c r="AI276" s="225">
        <f t="shared" si="120"/>
        <v>1.5932076669693116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41.624180070547489</v>
      </c>
      <c r="C277" s="840"/>
      <c r="D277" s="393">
        <f t="shared" si="102"/>
        <v>44.227671915216433</v>
      </c>
      <c r="E277" s="385">
        <f t="shared" si="100"/>
        <v>46.232374551862414</v>
      </c>
      <c r="F277" s="385">
        <f t="shared" si="103"/>
        <v>46.243426743251518</v>
      </c>
      <c r="G277" s="110">
        <f t="shared" si="101"/>
        <v>1.0327586983116741</v>
      </c>
      <c r="H277" s="414" t="b">
        <f>Wh_hp&gt;='2024'!Maxi_hp</f>
        <v>1</v>
      </c>
      <c r="I277" s="390">
        <f>IF(H277,Wh_hp,'2024'!Maxi_hp)</f>
        <v>46.243426743251518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5.8865676892507102E-2</v>
      </c>
      <c r="M277" s="844"/>
      <c r="N277" s="844"/>
      <c r="O277" s="48">
        <f>IF(t&lt;Tnet,'2024'!Resal+('2024'!Salim-'2024'!Resal)*(1-EXP(('2024'!Tnet-t)/('2024'!Tau_j))),Resal+(Salim-Resal)*(1-EXP((Tnet-t)/(Tau_j))))*Salcycl</f>
        <v>4.3361446520492911E-2</v>
      </c>
      <c r="P277" s="169">
        <f>(INDEX(Models!$BJ277:$BT277,,T277)*(1-R277)+INDEX(Models!$BJ277:$BT277,,T277+1)*R277-ERP_i)*Q277*Ramure*Pc/MaxiM</f>
        <v>2.3900026809146345E-4</v>
      </c>
      <c r="Q277" s="305">
        <f t="shared" si="105"/>
        <v>0.7</v>
      </c>
      <c r="R277" s="177">
        <f t="shared" si="106"/>
        <v>0.77346409742617483</v>
      </c>
      <c r="S277" s="810">
        <f t="shared" si="107"/>
        <v>-2</v>
      </c>
      <c r="T277" s="176">
        <f t="shared" si="108"/>
        <v>4</v>
      </c>
      <c r="U277" s="251">
        <f t="shared" si="109"/>
        <v>-1.2265359025738252</v>
      </c>
      <c r="V277" s="383">
        <f t="shared" si="110"/>
        <v>40.30387750652072</v>
      </c>
      <c r="W277" s="402">
        <f t="shared" si="111"/>
        <v>41.624180070547489</v>
      </c>
      <c r="X277" s="157">
        <f t="shared" si="112"/>
        <v>45920</v>
      </c>
      <c r="Y277" s="385">
        <f t="shared" si="113"/>
        <v>38.021009700144546</v>
      </c>
      <c r="Z277" s="385">
        <f t="shared" si="114"/>
        <v>40.399131948141608</v>
      </c>
      <c r="AA277" s="386">
        <f t="shared" si="115"/>
        <v>46.071778136065262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0.123126269864611</v>
      </c>
      <c r="AD277" s="231">
        <f>(INDEX(Models!$BJ277:$BT277,,AH277)*(1-AF277)+INDEX(Models!$BJ277:$BT277,,AH277+1)*AF277-ERP_i)*AE277*Ramure*Pc/MaxiM</f>
        <v>3.7118487810011477E-3</v>
      </c>
      <c r="AE277" s="305">
        <f t="shared" si="117"/>
        <v>0.7</v>
      </c>
      <c r="AF277" s="177">
        <f t="shared" si="118"/>
        <v>0.59345415052535877</v>
      </c>
      <c r="AG277" s="810">
        <f t="shared" si="124"/>
        <v>1</v>
      </c>
      <c r="AH277" s="176">
        <f t="shared" si="119"/>
        <v>7</v>
      </c>
      <c r="AI277" s="225">
        <f t="shared" si="120"/>
        <v>1.5934541505253588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40.242139888636054</v>
      </c>
      <c r="C278" s="840"/>
      <c r="D278" s="393">
        <f t="shared" si="102"/>
        <v>42.760183552692411</v>
      </c>
      <c r="E278" s="385">
        <f t="shared" si="100"/>
        <v>44.705273153701448</v>
      </c>
      <c r="F278" s="385">
        <f t="shared" si="103"/>
        <v>44.716228492902509</v>
      </c>
      <c r="G278" s="110">
        <f t="shared" si="101"/>
        <v>1.0081085802943179</v>
      </c>
      <c r="H278" s="414" t="b">
        <f>Wh_hp&gt;='2024'!Maxi_hp</f>
        <v>1</v>
      </c>
      <c r="I278" s="390">
        <f>IF(H278,Wh_hp,'2024'!Maxi_hp)</f>
        <v>44.716228492902509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5.8887578463114543E-2</v>
      </c>
      <c r="M278" s="844"/>
      <c r="N278" s="844"/>
      <c r="O278" s="48">
        <f>IF(t&lt;Tnet,'2024'!Resal+('2024'!Salim-'2024'!Resal)*(1-EXP(('2024'!Tnet-t)/('2024'!Tau_j))),Resal+(Salim-Resal)*(1-EXP((Tnet-t)/(Tau_j))))*Salcycl</f>
        <v>4.3509176072397945E-2</v>
      </c>
      <c r="P278" s="169">
        <f>(INDEX(Models!$BJ278:$BT278,,T278)*(1-R278)+INDEX(Models!$BJ278:$BT278,,T278+1)*R278-ERP_i)*Q278*Ramure*Pc/MaxiM</f>
        <v>2.4499694116195646E-4</v>
      </c>
      <c r="Q278" s="305">
        <f t="shared" si="105"/>
        <v>0.7</v>
      </c>
      <c r="R278" s="177">
        <f t="shared" si="106"/>
        <v>0.77370094668424505</v>
      </c>
      <c r="S278" s="810">
        <f t="shared" si="107"/>
        <v>-2</v>
      </c>
      <c r="T278" s="176">
        <f t="shared" si="108"/>
        <v>4</v>
      </c>
      <c r="U278" s="251">
        <f t="shared" si="109"/>
        <v>-1.2262990533157549</v>
      </c>
      <c r="V278" s="383">
        <f t="shared" si="110"/>
        <v>39.918457867789733</v>
      </c>
      <c r="W278" s="402">
        <f t="shared" si="111"/>
        <v>40.242139888636054</v>
      </c>
      <c r="X278" s="157">
        <f t="shared" si="112"/>
        <v>45921</v>
      </c>
      <c r="Y278" s="385">
        <f t="shared" si="113"/>
        <v>36.761440796827166</v>
      </c>
      <c r="Z278" s="385">
        <f t="shared" si="114"/>
        <v>39.061689077266479</v>
      </c>
      <c r="AA278" s="386">
        <f t="shared" si="115"/>
        <v>44.548602029419293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0.12316689418288203</v>
      </c>
      <c r="AD278" s="231">
        <f>(INDEX(Models!$BJ278:$BT278,,AH278)*(1-AF278)+INDEX(Models!$BJ278:$BT278,,AH278+1)*AF278-ERP_i)*AE278*Ramure*Pc/MaxiM</f>
        <v>3.7486717715878911E-3</v>
      </c>
      <c r="AE278" s="305">
        <f t="shared" si="117"/>
        <v>0.7</v>
      </c>
      <c r="AF278" s="177">
        <f t="shared" si="118"/>
        <v>0.59369099978342876</v>
      </c>
      <c r="AG278" s="810">
        <f t="shared" si="124"/>
        <v>1</v>
      </c>
      <c r="AH278" s="176">
        <f t="shared" si="119"/>
        <v>7</v>
      </c>
      <c r="AI278" s="225">
        <f t="shared" si="120"/>
        <v>1.5936909997834288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38.470086912202689</v>
      </c>
      <c r="C279" s="840"/>
      <c r="D279" s="393">
        <f t="shared" si="102"/>
        <v>40.878200423001097</v>
      </c>
      <c r="E279" s="385">
        <f t="shared" si="100"/>
        <v>42.744252268138951</v>
      </c>
      <c r="F279" s="385">
        <f t="shared" si="103"/>
        <v>42.754558489031218</v>
      </c>
      <c r="G279" s="110">
        <f t="shared" si="101"/>
        <v>0.9731937660261829</v>
      </c>
      <c r="H279" s="414" t="b">
        <f>Wh_hp&gt;='2024'!Maxi_hp</f>
        <v>1</v>
      </c>
      <c r="I279" s="390">
        <f>IF(H279,Wh_hp,'2024'!Maxi_hp)</f>
        <v>42.754558489031218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5.8909479524040465E-2</v>
      </c>
      <c r="M279" s="844"/>
      <c r="N279" s="844"/>
      <c r="O279" s="48">
        <f>IF(t&lt;Tnet,'2024'!Resal+('2024'!Salim-'2024'!Resal)*(1-EXP(('2024'!Tnet-t)/('2024'!Tau_j))),Resal+(Salim-Resal)*(1-EXP((Tnet-t)/(Tau_j))))*Salcycl</f>
        <v>4.3656205129801402E-2</v>
      </c>
      <c r="P279" s="169">
        <f>(INDEX(Models!$BJ279:$BT279,,T279)*(1-R279)+INDEX(Models!$BJ279:$BT279,,T279+1)*R279-ERP_i)*Q279*Ramure*Pc/MaxiM</f>
        <v>2.5065071577599663E-4</v>
      </c>
      <c r="Q279" s="305">
        <f t="shared" si="105"/>
        <v>0.7</v>
      </c>
      <c r="R279" s="177">
        <f t="shared" si="106"/>
        <v>0.77392852716009308</v>
      </c>
      <c r="S279" s="810">
        <f t="shared" si="107"/>
        <v>-2</v>
      </c>
      <c r="T279" s="176">
        <f t="shared" si="108"/>
        <v>4</v>
      </c>
      <c r="U279" s="251">
        <f t="shared" si="109"/>
        <v>-1.2260714728399069</v>
      </c>
      <c r="V279" s="383">
        <f t="shared" si="110"/>
        <v>39.52935071807422</v>
      </c>
      <c r="W279" s="402">
        <f t="shared" si="111"/>
        <v>38.470086912202689</v>
      </c>
      <c r="X279" s="157">
        <f t="shared" si="112"/>
        <v>45922</v>
      </c>
      <c r="Y279" s="385">
        <f t="shared" si="113"/>
        <v>35.150479806176307</v>
      </c>
      <c r="Z279" s="385">
        <f t="shared" si="114"/>
        <v>37.350795743218029</v>
      </c>
      <c r="AA279" s="386">
        <f t="shared" si="115"/>
        <v>42.599289798551332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0.12320613982423208</v>
      </c>
      <c r="AD279" s="231">
        <f>(INDEX(Models!$BJ279:$BT279,,AH279)*(1-AF279)+INDEX(Models!$BJ279:$BT279,,AH279+1)*AF279-ERP_i)*AE279*Ramure*Pc/MaxiM</f>
        <v>3.776186131968901E-3</v>
      </c>
      <c r="AE279" s="305">
        <f t="shared" si="117"/>
        <v>0.7</v>
      </c>
      <c r="AF279" s="177">
        <f t="shared" si="118"/>
        <v>0.59391858025927702</v>
      </c>
      <c r="AG279" s="810">
        <f t="shared" si="124"/>
        <v>1</v>
      </c>
      <c r="AH279" s="176">
        <f t="shared" si="119"/>
        <v>7</v>
      </c>
      <c r="AI279" s="225">
        <f t="shared" si="120"/>
        <v>1.593918580259277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24.146794755224775</v>
      </c>
      <c r="C280" s="840"/>
      <c r="D280" s="393">
        <f t="shared" si="102"/>
        <v>25.658909716017103</v>
      </c>
      <c r="E280" s="385">
        <f t="shared" si="100"/>
        <v>26.834320423399085</v>
      </c>
      <c r="F280" s="385">
        <f t="shared" si="103"/>
        <v>26.83743082579786</v>
      </c>
      <c r="G280" s="110">
        <f t="shared" si="101"/>
        <v>0.61688628097873333</v>
      </c>
      <c r="H280" s="414" t="b">
        <f>Wh_hp&gt;='2024'!Maxi_hp</f>
        <v>0</v>
      </c>
      <c r="I280" s="390">
        <f>IF(H280,Wh_hp,'2024'!Maxi_hp)</f>
        <v>39.201858465251448</v>
      </c>
      <c r="J280" s="85">
        <f>IF(H280,An,'2024'!An_max)</f>
        <v>2019</v>
      </c>
      <c r="K280" s="197">
        <f t="shared" si="104"/>
        <v>45923</v>
      </c>
      <c r="L280" s="147">
        <f>IF(t&lt;Tvie,1-EXP((T0-t)*PertePVj)+'2024'!Pspv,1-EXP((T0-t)*PertePVj)+Pspv)</f>
        <v>5.8931380075296746E-2</v>
      </c>
      <c r="M280" s="844"/>
      <c r="N280" s="844"/>
      <c r="O280" s="48">
        <f>IF(t&lt;Tnet,'2024'!Resal+('2024'!Salim-'2024'!Resal)*(1-EXP(('2024'!Tnet-t)/('2024'!Tau_j))),Resal+(Salim-Resal)*(1-EXP((Tnet-t)/(Tau_j))))*Salcycl</f>
        <v>4.3802514423172852E-2</v>
      </c>
      <c r="P280" s="169">
        <f>(INDEX(Models!$BJ280:$BT280,,T280)*(1-R280)+INDEX(Models!$BJ280:$BT280,,T280+1)*R280-ERP_i)*Q280*Ramure*Pc/MaxiM</f>
        <v>2.5594804906251564E-4</v>
      </c>
      <c r="Q280" s="305">
        <f t="shared" si="105"/>
        <v>0.7</v>
      </c>
      <c r="R280" s="177">
        <f t="shared" si="106"/>
        <v>0.77414719136454546</v>
      </c>
      <c r="S280" s="810">
        <f t="shared" si="107"/>
        <v>-2</v>
      </c>
      <c r="T280" s="176">
        <f t="shared" si="108"/>
        <v>4</v>
      </c>
      <c r="U280" s="251">
        <f t="shared" si="109"/>
        <v>-1.2258528086354545</v>
      </c>
      <c r="V280" s="383">
        <f t="shared" si="110"/>
        <v>39.137541790039812</v>
      </c>
      <c r="W280" s="402">
        <f t="shared" si="111"/>
        <v>24.146794755224775</v>
      </c>
      <c r="X280" s="157">
        <f t="shared" si="112"/>
        <v>45923</v>
      </c>
      <c r="Y280" s="385">
        <f t="shared" si="113"/>
        <v>22.105188462438488</v>
      </c>
      <c r="Z280" s="385">
        <f t="shared" si="114"/>
        <v>23.489454429164972</v>
      </c>
      <c r="AA280" s="386">
        <f t="shared" si="115"/>
        <v>26.791323295086311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0.12324396333670176</v>
      </c>
      <c r="AD280" s="231">
        <f>(INDEX(Models!$BJ280:$BT280,,AH280)*(1-AF280)+INDEX(Models!$BJ280:$BT280,,AH280+1)*AF280-ERP_i)*AE280*Ramure*Pc/MaxiM</f>
        <v>3.7940854653925782E-3</v>
      </c>
      <c r="AE280" s="305">
        <f t="shared" si="117"/>
        <v>0.7</v>
      </c>
      <c r="AF280" s="177">
        <f t="shared" si="118"/>
        <v>0.59413724446372917</v>
      </c>
      <c r="AG280" s="810">
        <f t="shared" si="124"/>
        <v>1</v>
      </c>
      <c r="AH280" s="176">
        <f t="shared" si="119"/>
        <v>7</v>
      </c>
      <c r="AI280" s="225">
        <f t="shared" si="120"/>
        <v>1.5941372444637292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15.716191288755772</v>
      </c>
      <c r="C281" s="840"/>
      <c r="D281" s="393">
        <f t="shared" si="102"/>
        <v>16.700755612546004</v>
      </c>
      <c r="E281" s="385">
        <f t="shared" si="100"/>
        <v>17.468461014557587</v>
      </c>
      <c r="F281" s="385">
        <f t="shared" si="103"/>
        <v>17.469148778986671</v>
      </c>
      <c r="G281" s="110">
        <f t="shared" si="101"/>
        <v>0.40555191593963974</v>
      </c>
      <c r="H281" s="414" t="b">
        <f>Wh_hp&gt;='2024'!Maxi_hp</f>
        <v>0</v>
      </c>
      <c r="I281" s="390">
        <f>IF(H281,Wh_hp,'2024'!Maxi_hp)</f>
        <v>36.19529357264706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5.8953280116895157E-2</v>
      </c>
      <c r="M281" s="844"/>
      <c r="N281" s="844"/>
      <c r="O281" s="48">
        <f>IF(t&lt;Tnet,'2024'!Resal+('2024'!Salim-'2024'!Resal)*(1-EXP(('2024'!Tnet-t)/('2024'!Tau_j))),Resal+(Salim-Resal)*(1-EXP((Tnet-t)/(Tau_j))))*Salcycl</f>
        <v>4.3948084572064186E-2</v>
      </c>
      <c r="P281" s="169">
        <f>(INDEX(Models!$BJ281:$BT281,,T281)*(1-R281)+INDEX(Models!$BJ281:$BT281,,T281+1)*R281-ERP_i)*Q281*Ramure*Pc/MaxiM</f>
        <v>2.6087372267075479E-4</v>
      </c>
      <c r="Q281" s="305">
        <f t="shared" si="105"/>
        <v>0.7</v>
      </c>
      <c r="R281" s="177">
        <f t="shared" si="106"/>
        <v>0.77435727919825426</v>
      </c>
      <c r="S281" s="810">
        <f t="shared" si="107"/>
        <v>-2</v>
      </c>
      <c r="T281" s="176">
        <f t="shared" si="108"/>
        <v>4</v>
      </c>
      <c r="U281" s="251">
        <f t="shared" si="109"/>
        <v>-1.2256427208017457</v>
      </c>
      <c r="V281" s="383">
        <f t="shared" si="110"/>
        <v>38.744016099761431</v>
      </c>
      <c r="W281" s="402">
        <f t="shared" si="111"/>
        <v>15.716191288755772</v>
      </c>
      <c r="X281" s="157">
        <f t="shared" si="112"/>
        <v>45924</v>
      </c>
      <c r="Y281" s="385">
        <f t="shared" si="113"/>
        <v>14.404374946902932</v>
      </c>
      <c r="Z281" s="385">
        <f t="shared" si="114"/>
        <v>15.306758572722316</v>
      </c>
      <c r="AA281" s="386">
        <f t="shared" si="115"/>
        <v>17.459125130782713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0.12328032143291616</v>
      </c>
      <c r="AD281" s="231">
        <f>(INDEX(Models!$BJ281:$BT281,,AH281)*(1-AF281)+INDEX(Models!$BJ281:$BT281,,AH281+1)*AF281-ERP_i)*AE281*Ramure*Pc/MaxiM</f>
        <v>3.8020378942642506E-3</v>
      </c>
      <c r="AE281" s="305">
        <f t="shared" si="117"/>
        <v>0.7</v>
      </c>
      <c r="AF281" s="177">
        <f t="shared" si="118"/>
        <v>0.59434733229743797</v>
      </c>
      <c r="AG281" s="810">
        <f t="shared" si="124"/>
        <v>1</v>
      </c>
      <c r="AH281" s="176">
        <f t="shared" si="119"/>
        <v>7</v>
      </c>
      <c r="AI281" s="225">
        <f t="shared" si="120"/>
        <v>1.594347332297438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32.070263400370081</v>
      </c>
      <c r="C282" s="840"/>
      <c r="D282" s="393">
        <f t="shared" si="102"/>
        <v>34.080146141525532</v>
      </c>
      <c r="E282" s="385">
        <f t="shared" si="100"/>
        <v>35.652152814098322</v>
      </c>
      <c r="F282" s="385">
        <f t="shared" si="103"/>
        <v>35.659396613851193</v>
      </c>
      <c r="G282" s="110">
        <f t="shared" si="101"/>
        <v>0.83620517115962911</v>
      </c>
      <c r="H282" s="414" t="b">
        <f>Wh_hp&gt;='2024'!Maxi_hp</f>
        <v>1</v>
      </c>
      <c r="I282" s="390">
        <f>IF(H282,Wh_hp,'2024'!Maxi_hp)</f>
        <v>35.659396613851193</v>
      </c>
      <c r="J282" s="85">
        <f>IF(H282,An,'2024'!An_max)</f>
        <v>2025</v>
      </c>
      <c r="K282" s="197">
        <f t="shared" si="104"/>
        <v>45925</v>
      </c>
      <c r="L282" s="147">
        <f>IF(t&lt;Tvie,1-EXP((T0-t)*PertePVj)+'2024'!Pspv,1-EXP((T0-t)*PertePVj)+Pspv)</f>
        <v>5.8975179648847575E-2</v>
      </c>
      <c r="M282" s="844"/>
      <c r="N282" s="844"/>
      <c r="O282" s="48">
        <f>IF(t&lt;Tnet,'2024'!Resal+('2024'!Salim-'2024'!Resal)*(1-EXP(('2024'!Tnet-t)/('2024'!Tau_j))),Resal+(Salim-Resal)*(1-EXP((Tnet-t)/(Tau_j))))*Salcycl</f>
        <v>4.4092896178520607E-2</v>
      </c>
      <c r="P282" s="169">
        <f>(INDEX(Models!$BJ282:$BT282,,T282)*(1-R282)+INDEX(Models!$BJ282:$BT282,,T282+1)*R282-ERP_i)*Q282*Ramure*Pc/MaxiM</f>
        <v>2.6516577523221906E-4</v>
      </c>
      <c r="Q282" s="305">
        <f t="shared" si="105"/>
        <v>0.7</v>
      </c>
      <c r="R282" s="177">
        <f t="shared" si="106"/>
        <v>0.77455911834002888</v>
      </c>
      <c r="S282" s="810">
        <f t="shared" si="107"/>
        <v>-2</v>
      </c>
      <c r="T282" s="176">
        <f t="shared" si="108"/>
        <v>4</v>
      </c>
      <c r="U282" s="251">
        <f t="shared" si="109"/>
        <v>-1.2254408816599711</v>
      </c>
      <c r="V282" s="383">
        <f t="shared" si="110"/>
        <v>38.349767346861796</v>
      </c>
      <c r="W282" s="402">
        <f t="shared" si="111"/>
        <v>32.070263400370081</v>
      </c>
      <c r="X282" s="157">
        <f t="shared" si="112"/>
        <v>45925</v>
      </c>
      <c r="Y282" s="385">
        <f t="shared" si="113"/>
        <v>29.33266175148211</v>
      </c>
      <c r="Z282" s="385">
        <f t="shared" si="114"/>
        <v>31.170975639660966</v>
      </c>
      <c r="AA282" s="386">
        <f t="shared" si="115"/>
        <v>35.555509365856651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0.12331517124617768</v>
      </c>
      <c r="AD282" s="231">
        <f>(INDEX(Models!$BJ282:$BT282,,AH282)*(1-AF282)+INDEX(Models!$BJ282:$BT282,,AH282+1)*AF282-ERP_i)*AE282*Ramure*Pc/MaxiM</f>
        <v>3.8028857217209428E-3</v>
      </c>
      <c r="AE282" s="305">
        <f t="shared" si="117"/>
        <v>0.7</v>
      </c>
      <c r="AF282" s="177">
        <f t="shared" si="118"/>
        <v>0.5945491714392126</v>
      </c>
      <c r="AG282" s="810">
        <f t="shared" si="124"/>
        <v>1</v>
      </c>
      <c r="AH282" s="176">
        <f t="shared" si="119"/>
        <v>7</v>
      </c>
      <c r="AI282" s="225">
        <f t="shared" si="120"/>
        <v>1.5945491714392126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28.534417067371933</v>
      </c>
      <c r="C283" s="840"/>
      <c r="D283" s="393">
        <f t="shared" si="102"/>
        <v>30.323409652200819</v>
      </c>
      <c r="E283" s="385">
        <f t="shared" si="100"/>
        <v>31.726910781286026</v>
      </c>
      <c r="F283" s="385">
        <f t="shared" si="103"/>
        <v>31.732420008359806</v>
      </c>
      <c r="G283" s="110">
        <f t="shared" si="101"/>
        <v>0.75170899580554629</v>
      </c>
      <c r="H283" s="414" t="b">
        <f>Wh_hp&gt;='2024'!Maxi_hp</f>
        <v>0</v>
      </c>
      <c r="I283" s="390">
        <f>IF(H283,Wh_hp,'2024'!Maxi_hp)</f>
        <v>36.254189031669213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5.8997078671165992E-2</v>
      </c>
      <c r="M283" s="844"/>
      <c r="N283" s="844"/>
      <c r="O283" s="48">
        <f>IF(t&lt;Tnet,'2024'!Resal+('2024'!Salim-'2024'!Resal)*(1-EXP(('2024'!Tnet-t)/('2024'!Tau_j))),Resal+(Salim-Resal)*(1-EXP((Tnet-t)/(Tau_j))))*Salcycl</f>
        <v>4.4236929928679232E-2</v>
      </c>
      <c r="P283" s="169">
        <f>(INDEX(Models!$BJ283:$BT283,,T283)*(1-R283)+INDEX(Models!$BJ283:$BT283,,T283+1)*R283-ERP_i)*Q283*Ramure*Pc/MaxiM</f>
        <v>2.690034355025351E-4</v>
      </c>
      <c r="Q283" s="305">
        <f t="shared" si="105"/>
        <v>0.7</v>
      </c>
      <c r="R283" s="177">
        <f t="shared" si="106"/>
        <v>0.77475302462833118</v>
      </c>
      <c r="S283" s="810">
        <f t="shared" si="107"/>
        <v>-2</v>
      </c>
      <c r="T283" s="176">
        <f t="shared" si="108"/>
        <v>4</v>
      </c>
      <c r="U283" s="251">
        <f t="shared" si="109"/>
        <v>-1.2252469753716688</v>
      </c>
      <c r="V283" s="383">
        <f t="shared" si="110"/>
        <v>37.955771320034088</v>
      </c>
      <c r="W283" s="402">
        <f t="shared" si="111"/>
        <v>28.534417067371933</v>
      </c>
      <c r="X283" s="157">
        <f t="shared" si="112"/>
        <v>45926</v>
      </c>
      <c r="Y283" s="385">
        <f t="shared" si="113"/>
        <v>26.112846681992202</v>
      </c>
      <c r="Z283" s="385">
        <f t="shared" si="114"/>
        <v>27.750016594121767</v>
      </c>
      <c r="AA283" s="386">
        <f t="shared" si="115"/>
        <v>31.654557898584287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0.12334847060483328</v>
      </c>
      <c r="AD283" s="231">
        <f>(INDEX(Models!$BJ283:$BT283,,AH283)*(1-AF283)+INDEX(Models!$BJ283:$BT283,,AH283+1)*AF283-ERP_i)*AE283*Ramure*Pc/MaxiM</f>
        <v>3.8018354924561218E-3</v>
      </c>
      <c r="AE283" s="305">
        <f t="shared" si="117"/>
        <v>0.7</v>
      </c>
      <c r="AF283" s="177">
        <f t="shared" si="118"/>
        <v>0.59474307772751489</v>
      </c>
      <c r="AG283" s="810">
        <f t="shared" si="124"/>
        <v>1</v>
      </c>
      <c r="AH283" s="176">
        <f t="shared" si="119"/>
        <v>7</v>
      </c>
      <c r="AI283" s="225">
        <f t="shared" si="120"/>
        <v>1.5947430777275149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17.119945807805244</v>
      </c>
      <c r="C284" s="840"/>
      <c r="D284" s="393">
        <f t="shared" si="102"/>
        <v>18.193720588082869</v>
      </c>
      <c r="E284" s="385">
        <f t="shared" si="100"/>
        <v>19.038659469106928</v>
      </c>
      <c r="F284" s="385">
        <f t="shared" si="103"/>
        <v>19.039813428733989</v>
      </c>
      <c r="G284" s="110">
        <f t="shared" si="101"/>
        <v>0.4556695510838869</v>
      </c>
      <c r="H284" s="414" t="b">
        <f>Wh_hp&gt;='2024'!Maxi_hp</f>
        <v>0</v>
      </c>
      <c r="I284" s="390">
        <f>IF(H284,Wh_hp,'2024'!Maxi_hp)</f>
        <v>33.919915372274694</v>
      </c>
      <c r="J284" s="85">
        <f>IF(H284,An,'2024'!An_max)</f>
        <v>2019</v>
      </c>
      <c r="K284" s="197">
        <f t="shared" si="104"/>
        <v>45927</v>
      </c>
      <c r="L284" s="147">
        <f>IF(t&lt;Tvie,1-EXP((T0-t)*PertePVj)+'2024'!Pspv,1-EXP((T0-t)*PertePVj)+Pspv)</f>
        <v>5.9018977183862065E-2</v>
      </c>
      <c r="M284" s="844"/>
      <c r="N284" s="844"/>
      <c r="O284" s="48">
        <f>IF(t&lt;Tnet,'2024'!Resal+('2024'!Salim-'2024'!Resal)*(1-EXP(('2024'!Tnet-t)/('2024'!Tau_j))),Resal+(Salim-Resal)*(1-EXP((Tnet-t)/(Tau_j))))*Salcycl</f>
        <v>4.4380166702130547E-2</v>
      </c>
      <c r="P284" s="169">
        <f>(INDEX(Models!$BJ284:$BT284,,T284)*(1-R284)+INDEX(Models!$BJ284:$BT284,,T284+1)*R284-ERP_i)*Q284*Ramure*Pc/MaxiM</f>
        <v>2.7236613352438769E-4</v>
      </c>
      <c r="Q284" s="305">
        <f t="shared" si="105"/>
        <v>0.7</v>
      </c>
      <c r="R284" s="177">
        <f t="shared" si="106"/>
        <v>0.77493930243558662</v>
      </c>
      <c r="S284" s="810">
        <f t="shared" si="107"/>
        <v>-2</v>
      </c>
      <c r="T284" s="176">
        <f t="shared" si="108"/>
        <v>4</v>
      </c>
      <c r="U284" s="251">
        <f t="shared" si="109"/>
        <v>-1.2250606975644134</v>
      </c>
      <c r="V284" s="383">
        <f t="shared" si="110"/>
        <v>37.563010858953923</v>
      </c>
      <c r="W284" s="402">
        <f t="shared" si="111"/>
        <v>17.119945807805244</v>
      </c>
      <c r="X284" s="157">
        <f t="shared" si="112"/>
        <v>45927</v>
      </c>
      <c r="Y284" s="385">
        <f t="shared" si="113"/>
        <v>15.692335079714676</v>
      </c>
      <c r="Z284" s="385">
        <f t="shared" si="114"/>
        <v>16.676569132872793</v>
      </c>
      <c r="AA284" s="386">
        <f t="shared" si="115"/>
        <v>19.02371897201391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0.12338017832338917</v>
      </c>
      <c r="AD284" s="231">
        <f>(INDEX(Models!$BJ284:$BT284,,AH284)*(1-AF284)+INDEX(Models!$BJ284:$BT284,,AH284+1)*AF284-ERP_i)*AE284*Ramure*Pc/MaxiM</f>
        <v>3.7987333743972535E-3</v>
      </c>
      <c r="AE284" s="305">
        <f t="shared" si="117"/>
        <v>0.7</v>
      </c>
      <c r="AF284" s="177">
        <f t="shared" si="118"/>
        <v>0.59492935553477033</v>
      </c>
      <c r="AG284" s="810">
        <f t="shared" si="124"/>
        <v>1</v>
      </c>
      <c r="AH284" s="176">
        <f t="shared" si="119"/>
        <v>7</v>
      </c>
      <c r="AI284" s="225">
        <f t="shared" si="120"/>
        <v>1.5949293555347703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19.321849975720404</v>
      </c>
      <c r="C285" s="840"/>
      <c r="D285" s="393">
        <f t="shared" si="102"/>
        <v>20.534207561416899</v>
      </c>
      <c r="E285" s="385">
        <f t="shared" si="100"/>
        <v>21.491044473506353</v>
      </c>
      <c r="F285" s="385">
        <f t="shared" si="103"/>
        <v>21.492901863370708</v>
      </c>
      <c r="G285" s="110">
        <f t="shared" si="101"/>
        <v>0.5196911163827983</v>
      </c>
      <c r="H285" s="414" t="b">
        <f>Wh_hp&gt;='2024'!Maxi_hp</f>
        <v>0</v>
      </c>
      <c r="I285" s="390">
        <f>IF(H285,Wh_hp,'2024'!Maxi_hp)</f>
        <v>35.820962356484351</v>
      </c>
      <c r="J285" s="85">
        <f>IF(H285,An,'2024'!An_max)</f>
        <v>2019</v>
      </c>
      <c r="K285" s="197">
        <f t="shared" si="104"/>
        <v>45928</v>
      </c>
      <c r="L285" s="147">
        <f>IF(t&lt;Tvie,1-EXP((T0-t)*PertePVj)+'2024'!Pspv,1-EXP((T0-t)*PertePVj)+Pspv)</f>
        <v>5.9040875186947783E-2</v>
      </c>
      <c r="M285" s="844"/>
      <c r="N285" s="844"/>
      <c r="O285" s="48">
        <f>IF(t&lt;Tnet,'2024'!Resal+('2024'!Salim-'2024'!Resal)*(1-EXP(('2024'!Tnet-t)/('2024'!Tau_j))),Resal+(Salim-Resal)*(1-EXP((Tnet-t)/(Tau_j))))*Salcycl</f>
        <v>4.4522587688514602E-2</v>
      </c>
      <c r="P285" s="169">
        <f>(INDEX(Models!$BJ285:$BT285,,T285)*(1-R285)+INDEX(Models!$BJ285:$BT285,,T285+1)*R285-ERP_i)*Q285*Ramure*Pc/MaxiM</f>
        <v>2.7523240982049236E-4</v>
      </c>
      <c r="Q285" s="305">
        <f t="shared" si="105"/>
        <v>0.7</v>
      </c>
      <c r="R285" s="177">
        <f t="shared" si="106"/>
        <v>0.77511824503501581</v>
      </c>
      <c r="S285" s="810">
        <f t="shared" si="107"/>
        <v>-2</v>
      </c>
      <c r="T285" s="176">
        <f t="shared" si="108"/>
        <v>4</v>
      </c>
      <c r="U285" s="251">
        <f t="shared" si="109"/>
        <v>-1.2248817549649842</v>
      </c>
      <c r="V285" s="383">
        <f t="shared" si="110"/>
        <v>37.172468072584699</v>
      </c>
      <c r="W285" s="402">
        <f t="shared" si="111"/>
        <v>19.321849975720404</v>
      </c>
      <c r="X285" s="157">
        <f t="shared" si="112"/>
        <v>45928</v>
      </c>
      <c r="Y285" s="385">
        <f t="shared" si="113"/>
        <v>17.706984766754871</v>
      </c>
      <c r="Z285" s="385">
        <f t="shared" si="114"/>
        <v>18.818016957190206</v>
      </c>
      <c r="AA285" s="386">
        <f t="shared" si="115"/>
        <v>21.467302183236487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0.12341025450860202</v>
      </c>
      <c r="AD285" s="231">
        <f>(INDEX(Models!$BJ285:$BT285,,AH285)*(1-AF285)+INDEX(Models!$BJ285:$BT285,,AH285+1)*AF285-ERP_i)*AE285*Ramure*Pc/MaxiM</f>
        <v>3.7934209662642904E-3</v>
      </c>
      <c r="AE285" s="305">
        <f t="shared" si="117"/>
        <v>0.7</v>
      </c>
      <c r="AF285" s="177">
        <f t="shared" si="118"/>
        <v>0.59510829813419974</v>
      </c>
      <c r="AG285" s="810">
        <f t="shared" si="124"/>
        <v>1</v>
      </c>
      <c r="AH285" s="176">
        <f t="shared" si="119"/>
        <v>7</v>
      </c>
      <c r="AI285" s="225">
        <f t="shared" si="120"/>
        <v>1.5951082981341997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22.786678112214648</v>
      </c>
      <c r="C286" s="840"/>
      <c r="D286" s="393">
        <f t="shared" si="102"/>
        <v>24.217001358450602</v>
      </c>
      <c r="E286" s="385">
        <f t="shared" si="100"/>
        <v>25.34920256554588</v>
      </c>
      <c r="F286" s="385">
        <f t="shared" si="103"/>
        <v>25.352414134824617</v>
      </c>
      <c r="G286" s="110">
        <f t="shared" si="101"/>
        <v>0.61936012196097512</v>
      </c>
      <c r="H286" s="414" t="b">
        <f>Wh_hp&gt;='2024'!Maxi_hp</f>
        <v>0</v>
      </c>
      <c r="I286" s="390">
        <f>IF(H286,Wh_hp,'2024'!Maxi_hp)</f>
        <v>39.441971628235159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5.9062772680435027E-2</v>
      </c>
      <c r="M286" s="844"/>
      <c r="N286" s="844"/>
      <c r="O286" s="48">
        <f>IF(t&lt;Tnet,'2024'!Resal+('2024'!Salim-'2024'!Resal)*(1-EXP(('2024'!Tnet-t)/('2024'!Tau_j))),Resal+(Salim-Resal)*(1-EXP((Tnet-t)/(Tau_j))))*Salcycl</f>
        <v>4.4664174510725664E-2</v>
      </c>
      <c r="P286" s="169">
        <f>(INDEX(Models!$BJ286:$BT286,,T286)*(1-R286)+INDEX(Models!$BJ286:$BT286,,T286+1)*R286-ERP_i)*Q286*Ramure*Pc/MaxiM</f>
        <v>2.7758002626683461E-4</v>
      </c>
      <c r="Q286" s="305">
        <f t="shared" si="105"/>
        <v>0.7</v>
      </c>
      <c r="R286" s="177">
        <f t="shared" si="106"/>
        <v>0.77529013495974408</v>
      </c>
      <c r="S286" s="810">
        <f t="shared" si="107"/>
        <v>-2</v>
      </c>
      <c r="T286" s="176">
        <f t="shared" si="108"/>
        <v>4</v>
      </c>
      <c r="U286" s="251">
        <f t="shared" si="109"/>
        <v>-1.2247098650402559</v>
      </c>
      <c r="V286" s="383">
        <f t="shared" si="110"/>
        <v>36.785124342701302</v>
      </c>
      <c r="W286" s="402">
        <f t="shared" si="111"/>
        <v>22.786678112214648</v>
      </c>
      <c r="X286" s="157">
        <f t="shared" si="112"/>
        <v>45929</v>
      </c>
      <c r="Y286" s="385">
        <f t="shared" si="113"/>
        <v>20.87427106549957</v>
      </c>
      <c r="Z286" s="385">
        <f t="shared" si="114"/>
        <v>22.184552230932368</v>
      </c>
      <c r="AA286" s="386">
        <f t="shared" si="115"/>
        <v>25.308613602748149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0.12343866087854588</v>
      </c>
      <c r="AD286" s="231">
        <f>(INDEX(Models!$BJ286:$BT286,,AH286)*(1-AF286)+INDEX(Models!$BJ286:$BT286,,AH286+1)*AF286-ERP_i)*AE286*Ramure*Pc/MaxiM</f>
        <v>3.7857358160658236E-3</v>
      </c>
      <c r="AE286" s="305">
        <f t="shared" si="117"/>
        <v>0.7</v>
      </c>
      <c r="AF286" s="177">
        <f t="shared" si="118"/>
        <v>0.59528018805892779</v>
      </c>
      <c r="AG286" s="810">
        <f t="shared" si="124"/>
        <v>1</v>
      </c>
      <c r="AH286" s="176">
        <f t="shared" si="119"/>
        <v>7</v>
      </c>
      <c r="AI286" s="225">
        <f t="shared" si="120"/>
        <v>1.5952801880589278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26.059605124926943</v>
      </c>
      <c r="C287" s="840"/>
      <c r="D287" s="393">
        <f t="shared" si="102"/>
        <v>27.696015023615754</v>
      </c>
      <c r="E287" s="385">
        <f t="shared" si="100"/>
        <v>28.995139626277737</v>
      </c>
      <c r="F287" s="385">
        <f t="shared" si="103"/>
        <v>28.99995330336381</v>
      </c>
      <c r="G287" s="110">
        <f t="shared" si="101"/>
        <v>0.71580347094552244</v>
      </c>
      <c r="H287" s="414" t="b">
        <f>Wh_hp&gt;='2024'!Maxi_hp</f>
        <v>0</v>
      </c>
      <c r="I287" s="390">
        <f>IF(H287,Wh_hp,'2024'!Maxi_hp)</f>
        <v>33.387052918801814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5.9084669664335565E-2</v>
      </c>
      <c r="M287" s="844"/>
      <c r="N287" s="844"/>
      <c r="O287" s="48">
        <f>IF(t&lt;Tnet,'2024'!Resal+('2024'!Salim-'2024'!Resal)*(1-EXP(('2024'!Tnet-t)/('2024'!Tau_j))),Resal+(Salim-Resal)*(1-EXP((Tnet-t)/(Tau_j))))*Salcycl</f>
        <v>4.4804909354001235E-2</v>
      </c>
      <c r="P287" s="169">
        <f>(INDEX(Models!$BJ287:$BT287,,T287)*(1-R287)+INDEX(Models!$BJ287:$BT287,,T287+1)*R287-ERP_i)*Q287*Ramure*Pc/MaxiM</f>
        <v>2.793860961951229E-4</v>
      </c>
      <c r="Q287" s="305">
        <f t="shared" si="105"/>
        <v>0.7</v>
      </c>
      <c r="R287" s="177">
        <f t="shared" si="106"/>
        <v>0.77545524435399127</v>
      </c>
      <c r="S287" s="810">
        <f t="shared" si="107"/>
        <v>-2</v>
      </c>
      <c r="T287" s="176">
        <f t="shared" si="108"/>
        <v>4</v>
      </c>
      <c r="U287" s="251">
        <f t="shared" si="109"/>
        <v>-1.2245447556460087</v>
      </c>
      <c r="V287" s="383">
        <f t="shared" si="110"/>
        <v>36.401960331114957</v>
      </c>
      <c r="W287" s="402">
        <f t="shared" si="111"/>
        <v>26.059605124926943</v>
      </c>
      <c r="X287" s="157">
        <f t="shared" si="112"/>
        <v>45930</v>
      </c>
      <c r="Y287" s="385">
        <f t="shared" si="113"/>
        <v>23.863913243511149</v>
      </c>
      <c r="Z287" s="385">
        <f t="shared" si="114"/>
        <v>25.362444923708363</v>
      </c>
      <c r="AA287" s="386">
        <f t="shared" si="115"/>
        <v>28.934903194833108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0.12346536109243587</v>
      </c>
      <c r="AD287" s="231">
        <f>(INDEX(Models!$BJ287:$BT287,,AH287)*(1-AF287)+INDEX(Models!$BJ287:$BT287,,AH287+1)*AF287-ERP_i)*AE287*Ramure*Pc/MaxiM</f>
        <v>3.7755120575172106E-3</v>
      </c>
      <c r="AE287" s="305">
        <f t="shared" si="117"/>
        <v>0.7</v>
      </c>
      <c r="AF287" s="177">
        <f t="shared" si="118"/>
        <v>0.59544529745317498</v>
      </c>
      <c r="AG287" s="810">
        <f t="shared" si="124"/>
        <v>1</v>
      </c>
      <c r="AH287" s="176">
        <f t="shared" si="119"/>
        <v>7</v>
      </c>
      <c r="AI287" s="225">
        <f t="shared" si="120"/>
        <v>1.595445297453175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32.740847753407969</v>
      </c>
      <c r="C288" s="840"/>
      <c r="D288" s="393">
        <f t="shared" si="102"/>
        <v>34.797615303831584</v>
      </c>
      <c r="E288" s="385">
        <f t="shared" si="100"/>
        <v>36.435186569947348</v>
      </c>
      <c r="F288" s="385">
        <f t="shared" si="103"/>
        <v>36.444082236976996</v>
      </c>
      <c r="G288" s="110">
        <f t="shared" si="101"/>
        <v>0.90882998098043799</v>
      </c>
      <c r="H288" s="414" t="b">
        <f>Wh_hp&gt;='2024'!Maxi_hp</f>
        <v>0</v>
      </c>
      <c r="I288" s="390">
        <f>IF(H288,Wh_hp,'2024'!Maxi_hp)</f>
        <v>39.381811318036526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5.9106566138661276E-2</v>
      </c>
      <c r="M288" s="844"/>
      <c r="N288" s="844"/>
      <c r="O288" s="48">
        <f>IF(t&lt;Tnet,'2024'!Resal+('2024'!Salim-'2024'!Resal)*(1-EXP(('2024'!Tnet-t)/('2024'!Tau_j))),Resal+(Salim-Resal)*(1-EXP((Tnet-t)/(Tau_j))))*Salcycl</f>
        <v>4.494477510008061E-2</v>
      </c>
      <c r="P288" s="169">
        <f>(INDEX(Models!$BJ288:$BT288,,T288)*(1-R288)+INDEX(Models!$BJ288:$BT288,,T288+1)*R288-ERP_i)*Q288*Ramure*Pc/MaxiM</f>
        <v>2.8062723544635835E-4</v>
      </c>
      <c r="Q288" s="305">
        <f t="shared" si="105"/>
        <v>0.7</v>
      </c>
      <c r="R288" s="177">
        <f t="shared" si="106"/>
        <v>0.77561383531618988</v>
      </c>
      <c r="S288" s="810">
        <f t="shared" si="107"/>
        <v>-2</v>
      </c>
      <c r="T288" s="176">
        <f t="shared" si="108"/>
        <v>4</v>
      </c>
      <c r="U288" s="251">
        <f t="shared" si="109"/>
        <v>-1.2243861646838101</v>
      </c>
      <c r="V288" s="383">
        <f t="shared" si="110"/>
        <v>36.023955981086537</v>
      </c>
      <c r="W288" s="402">
        <f t="shared" si="111"/>
        <v>32.740847753407969</v>
      </c>
      <c r="X288" s="157">
        <f t="shared" si="112"/>
        <v>45931</v>
      </c>
      <c r="Y288" s="385">
        <f t="shared" si="113"/>
        <v>29.957151863712102</v>
      </c>
      <c r="Z288" s="385">
        <f t="shared" si="114"/>
        <v>31.839048701584357</v>
      </c>
      <c r="AA288" s="386">
        <f t="shared" si="115"/>
        <v>36.324811314273852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0.12349032108879292</v>
      </c>
      <c r="AD288" s="231">
        <f>(INDEX(Models!$BJ288:$BT288,,AH288)*(1-AF288)+INDEX(Models!$BJ288:$BT288,,AH288+1)*AF288-ERP_i)*AE288*Ramure*Pc/MaxiM</f>
        <v>3.7625811752809743E-3</v>
      </c>
      <c r="AE288" s="305">
        <f t="shared" si="117"/>
        <v>0.7</v>
      </c>
      <c r="AF288" s="177">
        <f t="shared" si="118"/>
        <v>0.59560388841537359</v>
      </c>
      <c r="AG288" s="810">
        <f t="shared" si="124"/>
        <v>1</v>
      </c>
      <c r="AH288" s="176">
        <f t="shared" si="119"/>
        <v>7</v>
      </c>
      <c r="AI288" s="225">
        <f t="shared" si="120"/>
        <v>1.5956038884153736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34.492782687724521</v>
      </c>
      <c r="C289" s="840"/>
      <c r="D289" s="393">
        <f t="shared" si="102"/>
        <v>36.660459264010697</v>
      </c>
      <c r="E289" s="385">
        <f t="shared" si="100"/>
        <v>38.391282454183248</v>
      </c>
      <c r="F289" s="385">
        <f t="shared" si="103"/>
        <v>38.401584312241624</v>
      </c>
      <c r="G289" s="110">
        <f t="shared" si="101"/>
        <v>0.96754833294469889</v>
      </c>
      <c r="H289" s="414" t="b">
        <f>Wh_hp&gt;='2024'!Maxi_hp</f>
        <v>1</v>
      </c>
      <c r="I289" s="390">
        <f>IF(H289,Wh_hp,'2024'!Maxi_hp)</f>
        <v>38.401584312241624</v>
      </c>
      <c r="J289" s="85">
        <f>IF(H289,An,'2024'!An_max)</f>
        <v>2025</v>
      </c>
      <c r="K289" s="197">
        <f t="shared" si="104"/>
        <v>45932</v>
      </c>
      <c r="L289" s="147">
        <f>IF(t&lt;Tvie,1-EXP((T0-t)*PertePVj)+'2024'!Pspv,1-EXP((T0-t)*PertePVj)+Pspv)</f>
        <v>5.912846210342404E-2</v>
      </c>
      <c r="M289" s="844"/>
      <c r="N289" s="844"/>
      <c r="O289" s="48">
        <f>IF(t&lt;Tnet,'2024'!Resal+('2024'!Salim-'2024'!Resal)*(1-EXP(('2024'!Tnet-t)/('2024'!Tau_j))),Resal+(Salim-Resal)*(1-EXP((Tnet-t)/(Tau_j))))*Salcycl</f>
        <v>4.5083755465531547E-2</v>
      </c>
      <c r="P289" s="169">
        <f>(INDEX(Models!$BJ289:$BT289,,T289)*(1-R289)+INDEX(Models!$BJ289:$BT289,,T289+1)*R289-ERP_i)*Q289*Ramure*Pc/MaxiM</f>
        <v>2.8130246378303448E-4</v>
      </c>
      <c r="Q289" s="305">
        <f t="shared" si="105"/>
        <v>0.7</v>
      </c>
      <c r="R289" s="177">
        <f t="shared" si="106"/>
        <v>0.77576616023391498</v>
      </c>
      <c r="S289" s="810">
        <f t="shared" si="107"/>
        <v>-2</v>
      </c>
      <c r="T289" s="176">
        <f t="shared" si="108"/>
        <v>4</v>
      </c>
      <c r="U289" s="251">
        <f t="shared" si="109"/>
        <v>-1.224233839766085</v>
      </c>
      <c r="V289" s="383">
        <f t="shared" si="110"/>
        <v>35.6492091872271</v>
      </c>
      <c r="W289" s="402">
        <f t="shared" si="111"/>
        <v>34.492782687724521</v>
      </c>
      <c r="X289" s="157">
        <f t="shared" si="112"/>
        <v>45932</v>
      </c>
      <c r="Y289" s="385">
        <f t="shared" si="113"/>
        <v>31.55513184892834</v>
      </c>
      <c r="Z289" s="385">
        <f t="shared" si="114"/>
        <v>33.538193661882239</v>
      </c>
      <c r="AA289" s="386">
        <f t="shared" si="115"/>
        <v>38.264358917895983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0.12351350942935432</v>
      </c>
      <c r="AD289" s="231">
        <f>(INDEX(Models!$BJ289:$BT289,,AH289)*(1-AF289)+INDEX(Models!$BJ289:$BT289,,AH289+1)*AF289-ERP_i)*AE289*Ramure*Pc/MaxiM</f>
        <v>3.7470756541469457E-3</v>
      </c>
      <c r="AE289" s="305">
        <f t="shared" si="117"/>
        <v>0.7</v>
      </c>
      <c r="AF289" s="177">
        <f t="shared" si="118"/>
        <v>0.59575621333309869</v>
      </c>
      <c r="AG289" s="810">
        <f t="shared" si="124"/>
        <v>1</v>
      </c>
      <c r="AH289" s="176">
        <f t="shared" si="119"/>
        <v>7</v>
      </c>
      <c r="AI289" s="225">
        <f t="shared" si="120"/>
        <v>1.5957562133330987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33.844803453185122</v>
      </c>
      <c r="C290" s="840"/>
      <c r="D290" s="393">
        <f t="shared" si="102"/>
        <v>35.972595329220631</v>
      </c>
      <c r="E290" s="385">
        <f t="shared" si="100"/>
        <v>37.676390865744509</v>
      </c>
      <c r="F290" s="385">
        <f t="shared" si="103"/>
        <v>37.686415036391168</v>
      </c>
      <c r="G290" s="110">
        <f t="shared" si="101"/>
        <v>0.95943296649469023</v>
      </c>
      <c r="H290" s="414" t="b">
        <f>Wh_hp&gt;='2024'!Maxi_hp</f>
        <v>1</v>
      </c>
      <c r="I290" s="390">
        <f>IF(H290,Wh_hp,'2024'!Maxi_hp)</f>
        <v>37.686415036391168</v>
      </c>
      <c r="J290" s="85">
        <f>IF(H290,An,'2024'!An_max)</f>
        <v>2025</v>
      </c>
      <c r="K290" s="197">
        <f t="shared" si="104"/>
        <v>45933</v>
      </c>
      <c r="L290" s="147">
        <f>IF(t&lt;Tvie,1-EXP((T0-t)*PertePVj)+'2024'!Pspv,1-EXP((T0-t)*PertePVj)+Pspv)</f>
        <v>5.9150357558635736E-2</v>
      </c>
      <c r="M290" s="844"/>
      <c r="N290" s="844"/>
      <c r="O290" s="48">
        <f>IF(t&lt;Tnet,'2024'!Resal+('2024'!Salim-'2024'!Resal)*(1-EXP(('2024'!Tnet-t)/('2024'!Tau_j))),Resal+(Salim-Resal)*(1-EXP((Tnet-t)/(Tau_j))))*Salcycl</f>
        <v>4.5221835143264028E-2</v>
      </c>
      <c r="P290" s="169">
        <f>(INDEX(Models!$BJ290:$BT290,,T290)*(1-R290)+INDEX(Models!$BJ290:$BT290,,T290+1)*R290-ERP_i)*Q290*Ramure*Pc/MaxiM</f>
        <v>2.8234537104467641E-4</v>
      </c>
      <c r="Q290" s="305">
        <f t="shared" si="105"/>
        <v>0.7</v>
      </c>
      <c r="R290" s="177">
        <f t="shared" si="106"/>
        <v>0.77591246211054532</v>
      </c>
      <c r="S290" s="810">
        <f t="shared" si="107"/>
        <v>-2</v>
      </c>
      <c r="T290" s="176">
        <f t="shared" si="108"/>
        <v>4</v>
      </c>
      <c r="U290" s="251">
        <f t="shared" si="109"/>
        <v>-1.2240875378894547</v>
      </c>
      <c r="V290" s="383">
        <f t="shared" si="110"/>
        <v>35.275262481658935</v>
      </c>
      <c r="W290" s="402">
        <f t="shared" si="111"/>
        <v>33.844803453185122</v>
      </c>
      <c r="X290" s="157">
        <f t="shared" si="112"/>
        <v>45933</v>
      </c>
      <c r="Y290" s="385">
        <f t="shared" si="113"/>
        <v>30.967518589386469</v>
      </c>
      <c r="Z290" s="385">
        <f t="shared" si="114"/>
        <v>32.914418194420932</v>
      </c>
      <c r="AA290" s="386">
        <f t="shared" si="115"/>
        <v>37.553598090807007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0.12353489764597901</v>
      </c>
      <c r="AD290" s="231">
        <f>(INDEX(Models!$BJ290:$BT290,,AH290)*(1-AF290)+INDEX(Models!$BJ290:$BT290,,AH290+1)*AF290-ERP_i)*AE290*Ramure*Pc/MaxiM</f>
        <v>3.7409827809018522E-3</v>
      </c>
      <c r="AE290" s="305">
        <f t="shared" si="117"/>
        <v>0.7</v>
      </c>
      <c r="AF290" s="177">
        <f t="shared" si="118"/>
        <v>0.59590251520972926</v>
      </c>
      <c r="AG290" s="810">
        <f t="shared" si="124"/>
        <v>1</v>
      </c>
      <c r="AH290" s="176">
        <f t="shared" si="119"/>
        <v>7</v>
      </c>
      <c r="AI290" s="225">
        <f t="shared" si="120"/>
        <v>1.5959025152097293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34.922857697808126</v>
      </c>
      <c r="C291" s="840"/>
      <c r="D291" s="393">
        <f t="shared" si="102"/>
        <v>37.11928967950432</v>
      </c>
      <c r="E291" s="385">
        <f t="shared" si="100"/>
        <v>38.882982898714367</v>
      </c>
      <c r="F291" s="385">
        <f t="shared" si="103"/>
        <v>38.894030832928983</v>
      </c>
      <c r="G291" s="110">
        <f t="shared" si="101"/>
        <v>1.0005889667390386</v>
      </c>
      <c r="H291" s="414" t="b">
        <f>Wh_hp&gt;='2024'!Maxi_hp</f>
        <v>1</v>
      </c>
      <c r="I291" s="390">
        <f>IF(H291,Wh_hp,'2024'!Maxi_hp)</f>
        <v>38.894030832928983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5.9172252504308243E-2</v>
      </c>
      <c r="M291" s="844"/>
      <c r="N291" s="844"/>
      <c r="O291" s="48">
        <f>IF(t&lt;Tnet,'2024'!Resal+('2024'!Salim-'2024'!Resal)*(1-EXP(('2024'!Tnet-t)/('2024'!Tau_j))),Resal+(Salim-Resal)*(1-EXP((Tnet-t)/(Tau_j))))*Salcycl</f>
        <v>4.5358999946178542E-2</v>
      </c>
      <c r="P291" s="169">
        <f>(INDEX(Models!$BJ291:$BT291,,T291)*(1-R291)+INDEX(Models!$BJ291:$BT291,,T291+1)*R291-ERP_i)*Q291*Ramure*Pc/MaxiM</f>
        <v>2.8405217916526441E-4</v>
      </c>
      <c r="Q291" s="305">
        <f t="shared" si="105"/>
        <v>0.7</v>
      </c>
      <c r="R291" s="177">
        <f t="shared" si="106"/>
        <v>0.7760529748836098</v>
      </c>
      <c r="S291" s="810">
        <f t="shared" si="107"/>
        <v>-2</v>
      </c>
      <c r="T291" s="176">
        <f t="shared" si="108"/>
        <v>4</v>
      </c>
      <c r="U291" s="251">
        <f t="shared" si="109"/>
        <v>-1.2239470251163902</v>
      </c>
      <c r="V291" s="383">
        <f t="shared" si="110"/>
        <v>34.902301403165758</v>
      </c>
      <c r="W291" s="402">
        <f t="shared" si="111"/>
        <v>34.922857697808126</v>
      </c>
      <c r="X291" s="157">
        <f t="shared" si="112"/>
        <v>45934</v>
      </c>
      <c r="Y291" s="385">
        <f t="shared" si="113"/>
        <v>31.951143198032838</v>
      </c>
      <c r="Z291" s="385">
        <f t="shared" si="114"/>
        <v>33.960672698143554</v>
      </c>
      <c r="AA291" s="386">
        <f t="shared" si="115"/>
        <v>38.748183624637392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0.12355446058766432</v>
      </c>
      <c r="AD291" s="231">
        <f>(INDEX(Models!$BJ291:$BT291,,AH291)*(1-AF291)+INDEX(Models!$BJ291:$BT291,,AH291+1)*AF291-ERP_i)*AE291*Ramure*Pc/MaxiM</f>
        <v>3.7498609727052157E-3</v>
      </c>
      <c r="AE291" s="305">
        <f t="shared" si="117"/>
        <v>0.7</v>
      </c>
      <c r="AF291" s="177">
        <f t="shared" si="118"/>
        <v>0.59604302798279352</v>
      </c>
      <c r="AG291" s="810">
        <f t="shared" si="124"/>
        <v>1</v>
      </c>
      <c r="AH291" s="176">
        <f t="shared" si="119"/>
        <v>7</v>
      </c>
      <c r="AI291" s="225">
        <f t="shared" si="120"/>
        <v>1.5960430279827935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35.944102971932779</v>
      </c>
      <c r="C292" s="840"/>
      <c r="D292" s="393">
        <f t="shared" si="102"/>
        <v>38.205654073091488</v>
      </c>
      <c r="E292" s="385">
        <f t="shared" si="100"/>
        <v>40.026677238449274</v>
      </c>
      <c r="F292" s="385">
        <f t="shared" si="103"/>
        <v>40.03814569684679</v>
      </c>
      <c r="G292" s="110">
        <f t="shared" si="101"/>
        <v>1.0409371616866427</v>
      </c>
      <c r="H292" s="414" t="b">
        <f>Wh_hp&gt;='2024'!Maxi_hp</f>
        <v>1</v>
      </c>
      <c r="I292" s="390">
        <f>IF(H292,Wh_hp,'2024'!Maxi_hp)</f>
        <v>40.03814569684679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5.9194146940453329E-2</v>
      </c>
      <c r="M292" s="844"/>
      <c r="N292" s="844"/>
      <c r="O292" s="48">
        <f>IF(t&lt;Tnet,'2024'!Resal+('2024'!Salim-'2024'!Resal)*(1-EXP(('2024'!Tnet-t)/('2024'!Tau_j))),Resal+(Salim-Resal)*(1-EXP((Tnet-t)/(Tau_j))))*Salcycl</f>
        <v>4.549523695183285E-2</v>
      </c>
      <c r="P292" s="169">
        <f>(INDEX(Models!$BJ292:$BT292,,T292)*(1-R292)+INDEX(Models!$BJ292:$BT292,,T292+1)*R292-ERP_i)*Q292*Ramure*Pc/MaxiM</f>
        <v>2.8643830022373674E-4</v>
      </c>
      <c r="Q292" s="305">
        <f t="shared" si="105"/>
        <v>0.7</v>
      </c>
      <c r="R292" s="177">
        <f t="shared" si="106"/>
        <v>0.77618792373479506</v>
      </c>
      <c r="S292" s="810">
        <f t="shared" si="107"/>
        <v>-2</v>
      </c>
      <c r="T292" s="176">
        <f t="shared" si="108"/>
        <v>4</v>
      </c>
      <c r="U292" s="251">
        <f t="shared" si="109"/>
        <v>-1.2238120762652049</v>
      </c>
      <c r="V292" s="383">
        <f t="shared" si="110"/>
        <v>34.53052143290968</v>
      </c>
      <c r="W292" s="402">
        <f t="shared" si="111"/>
        <v>35.944102971932779</v>
      </c>
      <c r="X292" s="157">
        <f t="shared" si="112"/>
        <v>45935</v>
      </c>
      <c r="Y292" s="385">
        <f t="shared" si="113"/>
        <v>32.888795395408671</v>
      </c>
      <c r="Z292" s="385">
        <f t="shared" si="114"/>
        <v>34.958110951853349</v>
      </c>
      <c r="AA292" s="386">
        <f t="shared" si="115"/>
        <v>39.887039211975541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0.1235721767646857</v>
      </c>
      <c r="AD292" s="231">
        <f>(INDEX(Models!$BJ292:$BT292,,AH292)*(1-AF292)+INDEX(Models!$BJ292:$BT292,,AH292+1)*AF292-ERP_i)*AE292*Ramure*Pc/MaxiM</f>
        <v>3.7740630151898193E-3</v>
      </c>
      <c r="AE292" s="305">
        <f t="shared" si="117"/>
        <v>0.7</v>
      </c>
      <c r="AF292" s="177">
        <f t="shared" si="118"/>
        <v>0.596177976833979</v>
      </c>
      <c r="AG292" s="810">
        <f t="shared" si="124"/>
        <v>1</v>
      </c>
      <c r="AH292" s="176">
        <f t="shared" si="119"/>
        <v>7</v>
      </c>
      <c r="AI292" s="225">
        <f t="shared" si="120"/>
        <v>1.596177976833979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11.25999821006109</v>
      </c>
      <c r="C293" s="840"/>
      <c r="D293" s="393">
        <f t="shared" si="102"/>
        <v>11.968739582293665</v>
      </c>
      <c r="E293" s="385">
        <f t="shared" si="100"/>
        <v>12.540991740411727</v>
      </c>
      <c r="F293" s="385">
        <f t="shared" si="103"/>
        <v>12.541145400772294</v>
      </c>
      <c r="G293" s="110">
        <f t="shared" si="101"/>
        <v>0.32953270802917162</v>
      </c>
      <c r="H293" s="414" t="b">
        <f>Wh_hp&gt;='2024'!Maxi_hp</f>
        <v>0</v>
      </c>
      <c r="I293" s="390">
        <f>IF(H293,Wh_hp,'2024'!Maxi_hp)</f>
        <v>33.540700247739295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5.9216040867082986E-2</v>
      </c>
      <c r="M293" s="844"/>
      <c r="N293" s="844"/>
      <c r="O293" s="48">
        <f>IF(t&lt;Tnet,'2024'!Resal+('2024'!Salim-'2024'!Resal)*(1-EXP(('2024'!Tnet-t)/('2024'!Tau_j))),Resal+(Salim-Resal)*(1-EXP((Tnet-t)/(Tau_j))))*Salcycl</f>
        <v>4.5630534646957252E-2</v>
      </c>
      <c r="P293" s="169">
        <f>(INDEX(Models!$BJ293:$BT293,,T293)*(1-R293)+INDEX(Models!$BJ293:$BT293,,T293+1)*R293-ERP_i)*Q293*Ramure*Pc/MaxiM</f>
        <v>2.8951927092334839E-4</v>
      </c>
      <c r="Q293" s="305">
        <f t="shared" si="105"/>
        <v>0.7</v>
      </c>
      <c r="R293" s="177">
        <f t="shared" si="106"/>
        <v>0.77631752539162635</v>
      </c>
      <c r="S293" s="810">
        <f t="shared" si="107"/>
        <v>-2</v>
      </c>
      <c r="T293" s="176">
        <f t="shared" si="108"/>
        <v>4</v>
      </c>
      <c r="U293" s="251">
        <f t="shared" si="109"/>
        <v>-1.2236824746083736</v>
      </c>
      <c r="V293" s="383">
        <f t="shared" si="110"/>
        <v>34.160117870442654</v>
      </c>
      <c r="W293" s="402">
        <f t="shared" si="111"/>
        <v>11.25999821006109</v>
      </c>
      <c r="X293" s="157">
        <f t="shared" si="112"/>
        <v>45936</v>
      </c>
      <c r="Y293" s="385">
        <f t="shared" si="113"/>
        <v>10.338685021783277</v>
      </c>
      <c r="Z293" s="385">
        <f t="shared" si="114"/>
        <v>10.989435907593524</v>
      </c>
      <c r="AA293" s="386">
        <f t="shared" si="115"/>
        <v>12.539121175087365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0.12358802868679054</v>
      </c>
      <c r="AD293" s="231">
        <f>(INDEX(Models!$BJ293:$BT293,,AH293)*(1-AF293)+INDEX(Models!$BJ293:$BT293,,AH293+1)*AF293-ERP_i)*AE293*Ramure*Pc/MaxiM</f>
        <v>3.8139461753173578E-3</v>
      </c>
      <c r="AE293" s="305">
        <f t="shared" si="117"/>
        <v>0.7</v>
      </c>
      <c r="AF293" s="177">
        <f t="shared" si="118"/>
        <v>0.59630757849081029</v>
      </c>
      <c r="AG293" s="810">
        <f t="shared" si="124"/>
        <v>1</v>
      </c>
      <c r="AH293" s="176">
        <f t="shared" si="119"/>
        <v>7</v>
      </c>
      <c r="AI293" s="225">
        <f t="shared" si="120"/>
        <v>1.5963075784908103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25.096194158284707</v>
      </c>
      <c r="C294" s="840"/>
      <c r="D294" s="393">
        <f t="shared" si="102"/>
        <v>26.676452073128544</v>
      </c>
      <c r="E294" s="385">
        <f t="shared" si="100"/>
        <v>27.955848197004002</v>
      </c>
      <c r="F294" s="385">
        <f t="shared" si="103"/>
        <v>27.961034709168992</v>
      </c>
      <c r="G294" s="110">
        <f t="shared" si="101"/>
        <v>0.74260233569307355</v>
      </c>
      <c r="H294" s="414" t="b">
        <f>Wh_hp&gt;='2024'!Maxi_hp</f>
        <v>0</v>
      </c>
      <c r="I294" s="390">
        <f>IF(H294,Wh_hp,'2024'!Maxi_hp)</f>
        <v>37.78874890553454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5.9237934284208871E-2</v>
      </c>
      <c r="M294" s="844"/>
      <c r="N294" s="844"/>
      <c r="O294" s="48">
        <f>IF(t&lt;Tnet,'2024'!Resal+('2024'!Salim-'2024'!Resal)*(1-EXP(('2024'!Tnet-t)/('2024'!Tau_j))),Resal+(Salim-Resal)*(1-EXP((Tnet-t)/(Tau_j))))*Salcycl</f>
        <v>4.5764883070604487E-2</v>
      </c>
      <c r="P294" s="169">
        <f>(INDEX(Models!$BJ294:$BT294,,T294)*(1-R294)+INDEX(Models!$BJ294:$BT294,,T294+1)*R294-ERP_i)*Q294*Ramure*Pc/MaxiM</f>
        <v>2.9331070947928166E-4</v>
      </c>
      <c r="Q294" s="305">
        <f t="shared" si="105"/>
        <v>0.7</v>
      </c>
      <c r="R294" s="177">
        <f t="shared" si="106"/>
        <v>0.77644198842084489</v>
      </c>
      <c r="S294" s="810">
        <f t="shared" si="107"/>
        <v>-2</v>
      </c>
      <c r="T294" s="176">
        <f t="shared" si="108"/>
        <v>4</v>
      </c>
      <c r="U294" s="251">
        <f t="shared" si="109"/>
        <v>-1.2235580115791551</v>
      </c>
      <c r="V294" s="383">
        <f t="shared" si="110"/>
        <v>33.791285831605499</v>
      </c>
      <c r="W294" s="402">
        <f t="shared" si="111"/>
        <v>25.096194158284707</v>
      </c>
      <c r="X294" s="157">
        <f t="shared" si="112"/>
        <v>45937</v>
      </c>
      <c r="Y294" s="385">
        <f t="shared" si="113"/>
        <v>22.99695056467176</v>
      </c>
      <c r="Z294" s="385">
        <f t="shared" si="114"/>
        <v>24.445023245249828</v>
      </c>
      <c r="AA294" s="386">
        <f t="shared" si="115"/>
        <v>27.892605111253367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0.1236020031923301</v>
      </c>
      <c r="AD294" s="231">
        <f>(INDEX(Models!$BJ294:$BT294,,AH294)*(1-AF294)+INDEX(Models!$BJ294:$BT294,,AH294+1)*AF294-ERP_i)*AE294*Ramure*Pc/MaxiM</f>
        <v>3.8698711726715684E-3</v>
      </c>
      <c r="AE294" s="305">
        <f t="shared" si="117"/>
        <v>0.7</v>
      </c>
      <c r="AF294" s="177">
        <f t="shared" si="118"/>
        <v>0.59643204152002838</v>
      </c>
      <c r="AG294" s="810">
        <f t="shared" si="124"/>
        <v>1</v>
      </c>
      <c r="AH294" s="176">
        <f t="shared" si="119"/>
        <v>7</v>
      </c>
      <c r="AI294" s="225">
        <f t="shared" si="120"/>
        <v>1.5964320415200284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16.617173370486658</v>
      </c>
      <c r="C295" s="840"/>
      <c r="D295" s="393">
        <f t="shared" si="102"/>
        <v>17.663935112799056</v>
      </c>
      <c r="E295" s="385">
        <f t="shared" si="100"/>
        <v>18.513681120790849</v>
      </c>
      <c r="F295" s="385">
        <f t="shared" si="103"/>
        <v>18.515234276906288</v>
      </c>
      <c r="G295" s="110">
        <f t="shared" si="101"/>
        <v>0.49705326917993498</v>
      </c>
      <c r="H295" s="414" t="b">
        <f>Wh_hp&gt;='2024'!Maxi_hp</f>
        <v>0</v>
      </c>
      <c r="I295" s="390">
        <f>IF(H295,Wh_hp,'2024'!Maxi_hp)</f>
        <v>35.15889638578107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5.9259827191842973E-2</v>
      </c>
      <c r="M295" s="844"/>
      <c r="N295" s="844"/>
      <c r="O295" s="48">
        <f>IF(t&lt;Tnet,'2024'!Resal+('2024'!Salim-'2024'!Resal)*(1-EXP(('2024'!Tnet-t)/('2024'!Tau_j))),Resal+(Salim-Resal)*(1-EXP((Tnet-t)/(Tau_j))))*Salcycl</f>
        <v>4.5898273954687908E-2</v>
      </c>
      <c r="P295" s="169">
        <f>(INDEX(Models!$BJ295:$BT295,,T295)*(1-R295)+INDEX(Models!$BJ295:$BT295,,T295+1)*R295-ERP_i)*Q295*Ramure*Pc/MaxiM</f>
        <v>2.9782826992522202E-4</v>
      </c>
      <c r="Q295" s="305">
        <f t="shared" si="105"/>
        <v>0.7</v>
      </c>
      <c r="R295" s="177">
        <f t="shared" si="106"/>
        <v>0.77656151351353375</v>
      </c>
      <c r="S295" s="810">
        <f t="shared" si="107"/>
        <v>-2</v>
      </c>
      <c r="T295" s="176">
        <f t="shared" si="108"/>
        <v>4</v>
      </c>
      <c r="U295" s="251">
        <f t="shared" si="109"/>
        <v>-1.2234384864864662</v>
      </c>
      <c r="V295" s="383">
        <f t="shared" si="110"/>
        <v>33.424220249765064</v>
      </c>
      <c r="W295" s="402">
        <f t="shared" si="111"/>
        <v>16.617173370486658</v>
      </c>
      <c r="X295" s="157">
        <f t="shared" si="112"/>
        <v>45938</v>
      </c>
      <c r="Y295" s="385">
        <f t="shared" si="113"/>
        <v>15.24796204065413</v>
      </c>
      <c r="Z295" s="385">
        <f t="shared" si="114"/>
        <v>16.208473371704955</v>
      </c>
      <c r="AA295" s="386">
        <f t="shared" si="115"/>
        <v>18.494675940592856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0.12361409176519032</v>
      </c>
      <c r="AD295" s="231">
        <f>(INDEX(Models!$BJ295:$BT295,,AH295)*(1-AF295)+INDEX(Models!$BJ295:$BT295,,AH295+1)*AF295-ERP_i)*AE295*Ramure*Pc/MaxiM</f>
        <v>3.9422010935735502E-3</v>
      </c>
      <c r="AE295" s="305">
        <f t="shared" si="117"/>
        <v>0.7</v>
      </c>
      <c r="AF295" s="177">
        <f t="shared" si="118"/>
        <v>0.59655156661271747</v>
      </c>
      <c r="AG295" s="810">
        <f t="shared" si="124"/>
        <v>1</v>
      </c>
      <c r="AH295" s="176">
        <f t="shared" si="119"/>
        <v>7</v>
      </c>
      <c r="AI295" s="225">
        <f t="shared" si="120"/>
        <v>1.5965515666127175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32.572522571963759</v>
      </c>
      <c r="C296" s="840"/>
      <c r="D296" s="393">
        <f t="shared" si="102"/>
        <v>34.625161698534598</v>
      </c>
      <c r="E296" s="385">
        <f t="shared" si="100"/>
        <v>36.295886806600862</v>
      </c>
      <c r="F296" s="385">
        <f t="shared" si="103"/>
        <v>36.306686276620354</v>
      </c>
      <c r="G296" s="110">
        <f t="shared" si="101"/>
        <v>0.98527556058754728</v>
      </c>
      <c r="H296" s="414" t="b">
        <f>Wh_hp&gt;='2024'!Maxi_hp</f>
        <v>1</v>
      </c>
      <c r="I296" s="390">
        <f>IF(H296,Wh_hp,'2024'!Maxi_hp)</f>
        <v>36.306686276620354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5.9281719589997173E-2</v>
      </c>
      <c r="M296" s="844"/>
      <c r="N296" s="844"/>
      <c r="O296" s="48">
        <f>IF(t&lt;Tnet,'2024'!Resal+('2024'!Salim-'2024'!Resal)*(1-EXP(('2024'!Tnet-t)/('2024'!Tau_j))),Resal+(Salim-Resal)*(1-EXP((Tnet-t)/(Tau_j))))*Salcycl</f>
        <v>4.6030700860639165E-2</v>
      </c>
      <c r="P296" s="169">
        <f>(INDEX(Models!$BJ296:$BT296,,T296)*(1-R296)+INDEX(Models!$BJ296:$BT296,,T296+1)*R296-ERP_i)*Q296*Ramure*Pc/MaxiM</f>
        <v>3.0383978267501174E-4</v>
      </c>
      <c r="Q296" s="305">
        <f t="shared" si="105"/>
        <v>0.7</v>
      </c>
      <c r="R296" s="177">
        <f t="shared" si="106"/>
        <v>0.77667629376206371</v>
      </c>
      <c r="S296" s="810">
        <f t="shared" si="107"/>
        <v>-2</v>
      </c>
      <c r="T296" s="176">
        <f t="shared" si="108"/>
        <v>4</v>
      </c>
      <c r="U296" s="251">
        <f t="shared" si="109"/>
        <v>-1.2233237062379363</v>
      </c>
      <c r="V296" s="383">
        <f t="shared" si="110"/>
        <v>33.059091002643711</v>
      </c>
      <c r="W296" s="402">
        <f t="shared" si="111"/>
        <v>32.572522571963759</v>
      </c>
      <c r="X296" s="157">
        <f t="shared" si="112"/>
        <v>45939</v>
      </c>
      <c r="Y296" s="385">
        <f t="shared" si="113"/>
        <v>29.813884473213214</v>
      </c>
      <c r="Z296" s="385">
        <f t="shared" si="114"/>
        <v>31.692681107694778</v>
      </c>
      <c r="AA296" s="386">
        <f t="shared" si="115"/>
        <v>36.163349550093812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0.12362429083639555</v>
      </c>
      <c r="AD296" s="231">
        <f>(INDEX(Models!$BJ296:$BT296,,AH296)*(1-AF296)+INDEX(Models!$BJ296:$BT296,,AH296+1)*AF296-ERP_i)*AE296*Ramure*Pc/MaxiM</f>
        <v>4.0327349174135961E-3</v>
      </c>
      <c r="AE296" s="305">
        <f t="shared" si="117"/>
        <v>0.7</v>
      </c>
      <c r="AF296" s="177">
        <f t="shared" si="118"/>
        <v>0.59666634686124742</v>
      </c>
      <c r="AG296" s="810">
        <f t="shared" si="124"/>
        <v>1</v>
      </c>
      <c r="AH296" s="176">
        <f t="shared" si="119"/>
        <v>7</v>
      </c>
      <c r="AI296" s="225">
        <f t="shared" si="120"/>
        <v>1.5966663468612474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26.14904568386239</v>
      </c>
      <c r="C297" s="840"/>
      <c r="D297" s="393">
        <f t="shared" si="102"/>
        <v>27.79754020844722</v>
      </c>
      <c r="E297" s="385">
        <f t="shared" ref="E297:E360" si="125">Wh_pvt/(1-Psa)</f>
        <v>29.142836468267099</v>
      </c>
      <c r="F297" s="385">
        <f t="shared" si="103"/>
        <v>29.149322390337524</v>
      </c>
      <c r="G297" s="110">
        <f t="shared" ref="G297:G360" si="126">+Wh_hp/MaxiM</f>
        <v>0.79968947160583437</v>
      </c>
      <c r="H297" s="414" t="b">
        <f>Wh_hp&gt;='2024'!Maxi_hp</f>
        <v>0</v>
      </c>
      <c r="I297" s="390">
        <f>IF(H297,Wh_hp,'2024'!Maxi_hp)</f>
        <v>30.260941693493162</v>
      </c>
      <c r="J297" s="85">
        <f>IF(H297,An,'2024'!An_max)</f>
        <v>2021</v>
      </c>
      <c r="K297" s="197">
        <f t="shared" si="104"/>
        <v>45940</v>
      </c>
      <c r="L297" s="147">
        <f>IF(t&lt;Tvie,1-EXP((T0-t)*PertePVj)+'2024'!Pspv,1-EXP((T0-t)*PertePVj)+Pspv)</f>
        <v>5.9303611478683238E-2</v>
      </c>
      <c r="M297" s="844"/>
      <c r="N297" s="844"/>
      <c r="O297" s="48">
        <f>IF(t&lt;Tnet,'2024'!Resal+('2024'!Salim-'2024'!Resal)*(1-EXP(('2024'!Tnet-t)/('2024'!Tau_j))),Resal+(Salim-Resal)*(1-EXP((Tnet-t)/(Tau_j))))*Salcycl</f>
        <v>4.6162159310907724E-2</v>
      </c>
      <c r="P297" s="169">
        <f>(INDEX(Models!$BJ297:$BT297,,T297)*(1-R297)+INDEX(Models!$BJ297:$BT297,,T297+1)*R297-ERP_i)*Q297*Ramure*Pc/MaxiM</f>
        <v>3.1165860710629734E-4</v>
      </c>
      <c r="Q297" s="305">
        <f t="shared" si="105"/>
        <v>0.7</v>
      </c>
      <c r="R297" s="177">
        <f t="shared" si="106"/>
        <v>0.77678651492893658</v>
      </c>
      <c r="S297" s="810">
        <f t="shared" si="107"/>
        <v>-2</v>
      </c>
      <c r="T297" s="176">
        <f t="shared" si="108"/>
        <v>4</v>
      </c>
      <c r="U297" s="251">
        <f t="shared" si="109"/>
        <v>-1.2232134850710634</v>
      </c>
      <c r="V297" s="383">
        <f t="shared" si="110"/>
        <v>32.696083740494906</v>
      </c>
      <c r="W297" s="402">
        <f t="shared" si="111"/>
        <v>26.14904568386239</v>
      </c>
      <c r="X297" s="157">
        <f t="shared" si="112"/>
        <v>45940</v>
      </c>
      <c r="Y297" s="385">
        <f t="shared" si="113"/>
        <v>23.959576994523768</v>
      </c>
      <c r="Z297" s="385">
        <f t="shared" si="114"/>
        <v>25.470042499244514</v>
      </c>
      <c r="AA297" s="386">
        <f t="shared" si="115"/>
        <v>29.063201756850834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0.12363260206729744</v>
      </c>
      <c r="AD297" s="231">
        <f>(INDEX(Models!$BJ297:$BT297,,AH297)*(1-AF297)+INDEX(Models!$BJ297:$BT297,,AH297+1)*AF297-ERP_i)*AE297*Ramure*Pc/MaxiM</f>
        <v>4.1382299053461073E-3</v>
      </c>
      <c r="AE297" s="305">
        <f t="shared" si="117"/>
        <v>0.7</v>
      </c>
      <c r="AF297" s="177">
        <f t="shared" si="118"/>
        <v>0.59677656802812029</v>
      </c>
      <c r="AG297" s="810">
        <f t="shared" si="124"/>
        <v>1</v>
      </c>
      <c r="AH297" s="176">
        <f t="shared" si="119"/>
        <v>7</v>
      </c>
      <c r="AI297" s="225">
        <f t="shared" si="120"/>
        <v>1.5967765680281203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20.324377493665061</v>
      </c>
      <c r="C298" s="840"/>
      <c r="D298" s="393">
        <f t="shared" si="102"/>
        <v>21.606174670849089</v>
      </c>
      <c r="E298" s="385">
        <f t="shared" si="125"/>
        <v>22.654931411545235</v>
      </c>
      <c r="F298" s="385">
        <f t="shared" si="103"/>
        <v>22.658348658835209</v>
      </c>
      <c r="G298" s="110">
        <f t="shared" si="126"/>
        <v>0.62844176262102125</v>
      </c>
      <c r="H298" s="414" t="b">
        <f>Wh_hp&gt;='2024'!Maxi_hp</f>
        <v>0</v>
      </c>
      <c r="I298" s="390">
        <f>IF(H298,Wh_hp,'2024'!Maxi_hp)</f>
        <v>36.235632696328913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5.9325502857913159E-2</v>
      </c>
      <c r="M298" s="844"/>
      <c r="N298" s="844"/>
      <c r="O298" s="48">
        <f>IF(t&lt;Tnet,'2024'!Resal+('2024'!Salim-'2024'!Resal)*(1-EXP(('2024'!Tnet-t)/('2024'!Tau_j))),Resal+(Salim-Resal)*(1-EXP((Tnet-t)/(Tau_j))))*Salcycl</f>
        <v>4.6292646914026236E-2</v>
      </c>
      <c r="P298" s="169">
        <f>(INDEX(Models!$BJ298:$BT298,,T298)*(1-R298)+INDEX(Models!$BJ298:$BT298,,T298+1)*R298-ERP_i)*Q298*Ramure*Pc/MaxiM</f>
        <v>3.2132617584680791E-4</v>
      </c>
      <c r="Q298" s="305">
        <f t="shared" si="105"/>
        <v>0.7</v>
      </c>
      <c r="R298" s="177">
        <f t="shared" si="106"/>
        <v>0.77689235570762971</v>
      </c>
      <c r="S298" s="810">
        <f t="shared" si="107"/>
        <v>-2</v>
      </c>
      <c r="T298" s="176">
        <f t="shared" si="108"/>
        <v>4</v>
      </c>
      <c r="U298" s="251">
        <f t="shared" si="109"/>
        <v>-1.2231076442923703</v>
      </c>
      <c r="V298" s="383">
        <f t="shared" si="110"/>
        <v>32.335393144756189</v>
      </c>
      <c r="W298" s="402">
        <f t="shared" si="111"/>
        <v>20.324377493665061</v>
      </c>
      <c r="X298" s="157">
        <f t="shared" si="112"/>
        <v>45941</v>
      </c>
      <c r="Y298" s="385">
        <f t="shared" si="113"/>
        <v>18.641533489356256</v>
      </c>
      <c r="Z298" s="385">
        <f t="shared" si="114"/>
        <v>19.817198771724001</v>
      </c>
      <c r="AA298" s="386">
        <f t="shared" si="115"/>
        <v>22.613055018612101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0.12363903261133527</v>
      </c>
      <c r="AD298" s="231">
        <f>(INDEX(Models!$BJ298:$BT298,,AH298)*(1-AF298)+INDEX(Models!$BJ298:$BT298,,AH298+1)*AF298-ERP_i)*AE298*Ramure*Pc/MaxiM</f>
        <v>4.2589929753621535E-3</v>
      </c>
      <c r="AE298" s="305">
        <f t="shared" si="117"/>
        <v>0.7</v>
      </c>
      <c r="AF298" s="177">
        <f t="shared" si="118"/>
        <v>0.59688240880681342</v>
      </c>
      <c r="AG298" s="810">
        <f t="shared" si="124"/>
        <v>1</v>
      </c>
      <c r="AH298" s="176">
        <f t="shared" si="119"/>
        <v>7</v>
      </c>
      <c r="AI298" s="225">
        <f t="shared" si="120"/>
        <v>1.5968824088068134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24.512403568717321</v>
      </c>
      <c r="C299" s="840"/>
      <c r="D299" s="393">
        <f t="shared" si="102"/>
        <v>26.0589333461342</v>
      </c>
      <c r="E299" s="385">
        <f t="shared" si="125"/>
        <v>27.327536723471013</v>
      </c>
      <c r="F299" s="385">
        <f t="shared" si="103"/>
        <v>27.333601257143101</v>
      </c>
      <c r="G299" s="110">
        <f t="shared" si="126"/>
        <v>0.76647333866015765</v>
      </c>
      <c r="H299" s="414" t="b">
        <f>Wh_hp&gt;='2024'!Maxi_hp</f>
        <v>0</v>
      </c>
      <c r="I299" s="390">
        <f>IF(H299,Wh_hp,'2024'!Maxi_hp)</f>
        <v>34.453612542643434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5.9347393727698594E-2</v>
      </c>
      <c r="M299" s="844"/>
      <c r="N299" s="844"/>
      <c r="O299" s="48">
        <f>IF(t&lt;Tnet,'2024'!Resal+('2024'!Salim-'2024'!Resal)*(1-EXP(('2024'!Tnet-t)/('2024'!Tau_j))),Resal+(Salim-Resal)*(1-EXP((Tnet-t)/(Tau_j))))*Salcycl</f>
        <v>4.6422163481981027E-2</v>
      </c>
      <c r="P299" s="169">
        <f>(INDEX(Models!$BJ299:$BT299,,T299)*(1-R299)+INDEX(Models!$BJ299:$BT299,,T299+1)*R299-ERP_i)*Q299*Ramure*Pc/MaxiM</f>
        <v>3.3288370208605381E-4</v>
      </c>
      <c r="Q299" s="305">
        <f t="shared" si="105"/>
        <v>0.7</v>
      </c>
      <c r="R299" s="177">
        <f t="shared" si="106"/>
        <v>0.77699398797555075</v>
      </c>
      <c r="S299" s="810">
        <f t="shared" si="107"/>
        <v>-2</v>
      </c>
      <c r="T299" s="176">
        <f t="shared" si="108"/>
        <v>4</v>
      </c>
      <c r="U299" s="251">
        <f t="shared" si="109"/>
        <v>-1.2230060120244493</v>
      </c>
      <c r="V299" s="383">
        <f t="shared" si="110"/>
        <v>31.977213740694925</v>
      </c>
      <c r="W299" s="402">
        <f t="shared" si="111"/>
        <v>24.512403568717321</v>
      </c>
      <c r="X299" s="157">
        <f t="shared" si="112"/>
        <v>45942</v>
      </c>
      <c r="Y299" s="385">
        <f t="shared" si="113"/>
        <v>22.466360976132194</v>
      </c>
      <c r="Z299" s="385">
        <f t="shared" si="114"/>
        <v>23.883802400935039</v>
      </c>
      <c r="AA299" s="386">
        <f t="shared" si="115"/>
        <v>27.25352638977223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0.12364359535145479</v>
      </c>
      <c r="AD299" s="231">
        <f>(INDEX(Models!$BJ299:$BT299,,AH299)*(1-AF299)+INDEX(Models!$BJ299:$BT299,,AH299+1)*AF299-ERP_i)*AE299*Ramure*Pc/MaxiM</f>
        <v>4.3953285999777502E-3</v>
      </c>
      <c r="AE299" s="305">
        <f t="shared" si="117"/>
        <v>0.7</v>
      </c>
      <c r="AF299" s="177">
        <f t="shared" si="118"/>
        <v>0.59698404107473468</v>
      </c>
      <c r="AG299" s="810">
        <f t="shared" si="124"/>
        <v>1</v>
      </c>
      <c r="AH299" s="176">
        <f t="shared" si="119"/>
        <v>7</v>
      </c>
      <c r="AI299" s="225">
        <f t="shared" si="120"/>
        <v>1.5969840410747347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21.083804772772563</v>
      </c>
      <c r="C300" s="840"/>
      <c r="D300" s="393">
        <f t="shared" si="102"/>
        <v>22.41453996357291</v>
      </c>
      <c r="E300" s="385">
        <f t="shared" si="125"/>
        <v>23.508895780226975</v>
      </c>
      <c r="F300" s="385">
        <f t="shared" si="103"/>
        <v>23.513162816375086</v>
      </c>
      <c r="G300" s="110">
        <f t="shared" si="126"/>
        <v>0.6666403410433358</v>
      </c>
      <c r="H300" s="414" t="b">
        <f>Wh_hp&gt;='2024'!Maxi_hp</f>
        <v>0</v>
      </c>
      <c r="I300" s="390">
        <f>IF(H300,Wh_hp,'2024'!Maxi_hp)</f>
        <v>34.605373713118908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5.9369284088051644E-2</v>
      </c>
      <c r="M300" s="844"/>
      <c r="N300" s="844"/>
      <c r="O300" s="48">
        <f>IF(t&lt;Tnet,'2024'!Resal+('2024'!Salim-'2024'!Resal)*(1-EXP(('2024'!Tnet-t)/('2024'!Tau_j))),Resal+(Salim-Resal)*(1-EXP((Tnet-t)/(Tau_j))))*Salcycl</f>
        <v>4.6550711138653812E-2</v>
      </c>
      <c r="P300" s="169">
        <f>(INDEX(Models!$BJ300:$BT300,,T300)*(1-R300)+INDEX(Models!$BJ300:$BT300,,T300+1)*R300-ERP_i)*Q300*Ramure*Pc/MaxiM</f>
        <v>3.4637203830676814E-4</v>
      </c>
      <c r="Q300" s="305">
        <f t="shared" si="105"/>
        <v>0.7</v>
      </c>
      <c r="R300" s="177">
        <f t="shared" si="106"/>
        <v>0.77709157703922616</v>
      </c>
      <c r="S300" s="810">
        <f t="shared" si="107"/>
        <v>-2</v>
      </c>
      <c r="T300" s="176">
        <f t="shared" si="108"/>
        <v>4</v>
      </c>
      <c r="U300" s="251">
        <f t="shared" si="109"/>
        <v>-1.2229084229607738</v>
      </c>
      <c r="V300" s="383">
        <f t="shared" si="110"/>
        <v>31.621739899898017</v>
      </c>
      <c r="W300" s="402">
        <f t="shared" si="111"/>
        <v>21.083804772772563</v>
      </c>
      <c r="X300" s="157">
        <f t="shared" si="112"/>
        <v>45943</v>
      </c>
      <c r="Y300" s="385">
        <f t="shared" si="113"/>
        <v>19.336312160335485</v>
      </c>
      <c r="Z300" s="385">
        <f t="shared" si="114"/>
        <v>20.556751797743271</v>
      </c>
      <c r="AA300" s="386">
        <f t="shared" si="115"/>
        <v>23.457140663007788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0.12364630911040526</v>
      </c>
      <c r="AD300" s="231">
        <f>(INDEX(Models!$BJ300:$BT300,,AH300)*(1-AF300)+INDEX(Models!$BJ300:$BT300,,AH300+1)*AF300-ERP_i)*AE300*Ramure*Pc/MaxiM</f>
        <v>4.5475376300132125E-3</v>
      </c>
      <c r="AE300" s="305">
        <f t="shared" si="117"/>
        <v>0.7</v>
      </c>
      <c r="AF300" s="177">
        <f t="shared" si="118"/>
        <v>0.59708163013840987</v>
      </c>
      <c r="AG300" s="810">
        <f t="shared" si="124"/>
        <v>1</v>
      </c>
      <c r="AH300" s="176">
        <f t="shared" si="119"/>
        <v>7</v>
      </c>
      <c r="AI300" s="225">
        <f t="shared" si="120"/>
        <v>1.5970816301384099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17.648249808235331</v>
      </c>
      <c r="C301" s="840"/>
      <c r="D301" s="393">
        <f t="shared" si="102"/>
        <v>18.762581552780915</v>
      </c>
      <c r="E301" s="385">
        <f t="shared" si="125"/>
        <v>19.681269652125657</v>
      </c>
      <c r="F301" s="385">
        <f t="shared" si="103"/>
        <v>19.683959816075351</v>
      </c>
      <c r="G301" s="110">
        <f t="shared" si="126"/>
        <v>0.56427074547318634</v>
      </c>
      <c r="H301" s="414" t="b">
        <f>Wh_hp&gt;='2024'!Maxi_hp</f>
        <v>0</v>
      </c>
      <c r="I301" s="390">
        <f>IF(H301,Wh_hp,'2024'!Maxi_hp)</f>
        <v>35.94304448551074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5.9391173938983965E-2</v>
      </c>
      <c r="M301" s="844"/>
      <c r="N301" s="844"/>
      <c r="O301" s="48">
        <f>IF(t&lt;Tnet,'2024'!Resal+('2024'!Salim-'2024'!Resal)*(1-EXP(('2024'!Tnet-t)/('2024'!Tau_j))),Resal+(Salim-Resal)*(1-EXP((Tnet-t)/(Tau_j))))*Salcycl</f>
        <v>4.6678294418140864E-2</v>
      </c>
      <c r="P301" s="169">
        <f>(INDEX(Models!$BJ301:$BT301,,T301)*(1-R301)+INDEX(Models!$BJ301:$BT301,,T301+1)*R301-ERP_i)*Q301*Ramure*Pc/MaxiM</f>
        <v>3.6183152957665728E-4</v>
      </c>
      <c r="Q301" s="305">
        <f t="shared" si="105"/>
        <v>0.7</v>
      </c>
      <c r="R301" s="177">
        <f t="shared" si="106"/>
        <v>0.77718528187185076</v>
      </c>
      <c r="S301" s="810">
        <f t="shared" si="107"/>
        <v>-2</v>
      </c>
      <c r="T301" s="176">
        <f t="shared" si="108"/>
        <v>4</v>
      </c>
      <c r="U301" s="251">
        <f t="shared" si="109"/>
        <v>-1.2228147181281492</v>
      </c>
      <c r="V301" s="383">
        <f t="shared" si="110"/>
        <v>31.269165841572416</v>
      </c>
      <c r="W301" s="402">
        <f t="shared" si="111"/>
        <v>17.648249808235331</v>
      </c>
      <c r="X301" s="157">
        <f t="shared" si="112"/>
        <v>45944</v>
      </c>
      <c r="Y301" s="385">
        <f t="shared" si="113"/>
        <v>16.196688127031038</v>
      </c>
      <c r="Z301" s="385">
        <f t="shared" si="114"/>
        <v>17.219366519085142</v>
      </c>
      <c r="AA301" s="386">
        <f t="shared" si="115"/>
        <v>19.648897676964584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0.12364719883129661</v>
      </c>
      <c r="AD301" s="231">
        <f>(INDEX(Models!$BJ301:$BT301,,AH301)*(1-AF301)+INDEX(Models!$BJ301:$BT301,,AH301+1)*AF301-ERP_i)*AE301*Ramure*Pc/MaxiM</f>
        <v>4.7159160786907003E-3</v>
      </c>
      <c r="AE301" s="305">
        <f t="shared" si="117"/>
        <v>0.7</v>
      </c>
      <c r="AF301" s="177">
        <f t="shared" si="118"/>
        <v>0.59717533497103448</v>
      </c>
      <c r="AG301" s="810">
        <f t="shared" si="124"/>
        <v>1</v>
      </c>
      <c r="AH301" s="176">
        <f t="shared" si="119"/>
        <v>7</v>
      </c>
      <c r="AI301" s="225">
        <f t="shared" si="120"/>
        <v>1.5971753349710345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31.069998444736743</v>
      </c>
      <c r="C302" s="840"/>
      <c r="D302" s="393">
        <f t="shared" si="102"/>
        <v>33.032564276408429</v>
      </c>
      <c r="E302" s="385">
        <f t="shared" si="125"/>
        <v>34.654568599535956</v>
      </c>
      <c r="F302" s="385">
        <f t="shared" si="103"/>
        <v>34.66771812955794</v>
      </c>
      <c r="G302" s="110">
        <f t="shared" si="126"/>
        <v>1.004861395070501</v>
      </c>
      <c r="H302" s="414" t="b">
        <f>Wh_hp&gt;='2024'!Maxi_hp</f>
        <v>1</v>
      </c>
      <c r="I302" s="390">
        <f>IF(H302,Wh_hp,'2024'!Maxi_hp)</f>
        <v>34.66771812955794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5.9413063280507439E-2</v>
      </c>
      <c r="M302" s="844"/>
      <c r="N302" s="844"/>
      <c r="O302" s="48">
        <f>IF(t&lt;Tnet,'2024'!Resal+('2024'!Salim-'2024'!Resal)*(1-EXP(('2024'!Tnet-t)/('2024'!Tau_j))),Resal+(Salim-Resal)*(1-EXP((Tnet-t)/(Tau_j))))*Salcycl</f>
        <v>4.6804920351807541E-2</v>
      </c>
      <c r="P302" s="169">
        <f>(INDEX(Models!$BJ302:$BT302,,T302)*(1-R302)+INDEX(Models!$BJ302:$BT302,,T302+1)*R302-ERP_i)*Q302*Ramure*Pc/MaxiM</f>
        <v>3.7930186154278706E-4</v>
      </c>
      <c r="Q302" s="305">
        <f t="shared" si="105"/>
        <v>0.7</v>
      </c>
      <c r="R302" s="177">
        <f t="shared" si="106"/>
        <v>0.77727525534334374</v>
      </c>
      <c r="S302" s="810">
        <f t="shared" si="107"/>
        <v>-2</v>
      </c>
      <c r="T302" s="176">
        <f t="shared" si="108"/>
        <v>4</v>
      </c>
      <c r="U302" s="251">
        <f t="shared" si="109"/>
        <v>-1.2227247446566563</v>
      </c>
      <c r="V302" s="383">
        <f t="shared" si="110"/>
        <v>30.919685637397659</v>
      </c>
      <c r="W302" s="402">
        <f t="shared" si="111"/>
        <v>31.069998444736743</v>
      </c>
      <c r="X302" s="157">
        <f t="shared" si="112"/>
        <v>45945</v>
      </c>
      <c r="Y302" s="385">
        <f t="shared" si="113"/>
        <v>28.436099393073448</v>
      </c>
      <c r="Z302" s="385">
        <f t="shared" si="114"/>
        <v>30.232292500521758</v>
      </c>
      <c r="AA302" s="386">
        <f t="shared" si="115"/>
        <v>34.497820175892024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0.12364629572598697</v>
      </c>
      <c r="AD302" s="231">
        <f>(INDEX(Models!$BJ302:$BT302,,AH302)*(1-AF302)+INDEX(Models!$BJ302:$BT302,,AH302+1)*AF302-ERP_i)*AE302*Ramure*Pc/MaxiM</f>
        <v>4.9007538664928981E-3</v>
      </c>
      <c r="AE302" s="305">
        <f t="shared" si="117"/>
        <v>0.7</v>
      </c>
      <c r="AF302" s="177">
        <f t="shared" si="118"/>
        <v>0.59726530844252723</v>
      </c>
      <c r="AG302" s="810">
        <f t="shared" si="124"/>
        <v>1</v>
      </c>
      <c r="AH302" s="176">
        <f t="shared" si="119"/>
        <v>7</v>
      </c>
      <c r="AI302" s="225">
        <f t="shared" si="120"/>
        <v>1.5972653084425272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28.394155695629816</v>
      </c>
      <c r="C303" s="840"/>
      <c r="D303" s="393">
        <f t="shared" si="102"/>
        <v>30.188401917982024</v>
      </c>
      <c r="E303" s="385">
        <f t="shared" si="125"/>
        <v>31.674925112307307</v>
      </c>
      <c r="F303" s="385">
        <f t="shared" si="103"/>
        <v>31.686275882889937</v>
      </c>
      <c r="G303" s="110">
        <f t="shared" si="126"/>
        <v>0.92869523399991438</v>
      </c>
      <c r="H303" s="414" t="b">
        <f>Wh_hp&gt;='2024'!Maxi_hp</f>
        <v>0</v>
      </c>
      <c r="I303" s="390">
        <f>IF(H303,Wh_hp,'2024'!Maxi_hp)</f>
        <v>32.78605431375631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5.9434952112633943E-2</v>
      </c>
      <c r="M303" s="844"/>
      <c r="N303" s="844"/>
      <c r="O303" s="48">
        <f>IF(t&lt;Tnet,'2024'!Resal+('2024'!Salim-'2024'!Resal)*(1-EXP(('2024'!Tnet-t)/('2024'!Tau_j))),Resal+(Salim-Resal)*(1-EXP((Tnet-t)/(Tau_j))))*Salcycl</f>
        <v>4.6930598543000024E-2</v>
      </c>
      <c r="P303" s="169">
        <f>(INDEX(Models!$BJ303:$BT303,,T303)*(1-R303)+INDEX(Models!$BJ303:$BT303,,T303+1)*R303-ERP_i)*Q303*Ramure*Pc/MaxiM</f>
        <v>3.9882829323021956E-4</v>
      </c>
      <c r="Q303" s="305">
        <f t="shared" si="105"/>
        <v>0.7</v>
      </c>
      <c r="R303" s="177">
        <f t="shared" si="106"/>
        <v>0.77736164444305</v>
      </c>
      <c r="S303" s="810">
        <f t="shared" si="107"/>
        <v>-2</v>
      </c>
      <c r="T303" s="176">
        <f t="shared" si="108"/>
        <v>4</v>
      </c>
      <c r="U303" s="251">
        <f t="shared" si="109"/>
        <v>-1.22263835555695</v>
      </c>
      <c r="V303" s="383">
        <f t="shared" si="110"/>
        <v>30.573003183288868</v>
      </c>
      <c r="W303" s="402">
        <f t="shared" si="111"/>
        <v>28.394155695629816</v>
      </c>
      <c r="X303" s="157">
        <f t="shared" si="112"/>
        <v>45946</v>
      </c>
      <c r="Y303" s="385">
        <f t="shared" si="113"/>
        <v>25.998354409629609</v>
      </c>
      <c r="Z303" s="385">
        <f t="shared" si="114"/>
        <v>27.641208301356045</v>
      </c>
      <c r="AA303" s="386">
        <f t="shared" si="115"/>
        <v>31.541059642683578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0.123643637389087</v>
      </c>
      <c r="AD303" s="231">
        <f>(INDEX(Models!$BJ303:$BT303,,AH303)*(1-AF303)+INDEX(Models!$BJ303:$BT303,,AH303+1)*AF303-ERP_i)*AE303*Ramure*Pc/MaxiM</f>
        <v>5.1024152773754428E-3</v>
      </c>
      <c r="AE303" s="305">
        <f t="shared" si="117"/>
        <v>0.7</v>
      </c>
      <c r="AF303" s="177">
        <f t="shared" si="118"/>
        <v>0.59735169754223372</v>
      </c>
      <c r="AG303" s="810">
        <f t="shared" si="124"/>
        <v>1</v>
      </c>
      <c r="AH303" s="176">
        <f t="shared" si="119"/>
        <v>7</v>
      </c>
      <c r="AI303" s="225">
        <f t="shared" si="120"/>
        <v>1.5973516975422337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18.351308685937788</v>
      </c>
      <c r="C304" s="840"/>
      <c r="D304" s="393">
        <f t="shared" si="102"/>
        <v>19.511394558897827</v>
      </c>
      <c r="E304" s="385">
        <f t="shared" si="125"/>
        <v>20.474845395586115</v>
      </c>
      <c r="F304" s="385">
        <f t="shared" si="103"/>
        <v>20.47861021171089</v>
      </c>
      <c r="G304" s="110">
        <f t="shared" si="126"/>
        <v>0.60693878931815892</v>
      </c>
      <c r="H304" s="414" t="b">
        <f>Wh_hp&gt;='2024'!Maxi_hp</f>
        <v>0</v>
      </c>
      <c r="I304" s="390">
        <f>IF(H304,Wh_hp,'2024'!Maxi_hp)</f>
        <v>30.316240270106746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5.9456840435375358E-2</v>
      </c>
      <c r="M304" s="844"/>
      <c r="N304" s="844"/>
      <c r="O304" s="48">
        <f>IF(t&lt;Tnet,'2024'!Resal+('2024'!Salim-'2024'!Resal)*(1-EXP(('2024'!Tnet-t)/('2024'!Tau_j))),Resal+(Salim-Resal)*(1-EXP((Tnet-t)/(Tau_j))))*Salcycl</f>
        <v>4.7055341228412144E-2</v>
      </c>
      <c r="P304" s="169">
        <f>(INDEX(Models!$BJ304:$BT304,,T304)*(1-R304)+INDEX(Models!$BJ304:$BT304,,T304+1)*R304-ERP_i)*Q304*Ramure*Pc/MaxiM</f>
        <v>4.1907090353219233E-4</v>
      </c>
      <c r="Q304" s="305">
        <f t="shared" si="105"/>
        <v>0.7</v>
      </c>
      <c r="R304" s="177">
        <f t="shared" si="106"/>
        <v>0.77744459049524584</v>
      </c>
      <c r="S304" s="810">
        <f t="shared" si="107"/>
        <v>-2</v>
      </c>
      <c r="T304" s="176">
        <f t="shared" si="108"/>
        <v>4</v>
      </c>
      <c r="U304" s="251">
        <f t="shared" si="109"/>
        <v>-1.2225554095047542</v>
      </c>
      <c r="V304" s="383">
        <f t="shared" si="110"/>
        <v>30.228733845384681</v>
      </c>
      <c r="W304" s="402">
        <f t="shared" si="111"/>
        <v>18.351308685937788</v>
      </c>
      <c r="X304" s="157">
        <f t="shared" si="112"/>
        <v>45947</v>
      </c>
      <c r="Y304" s="385">
        <f t="shared" si="113"/>
        <v>16.840323952565303</v>
      </c>
      <c r="Z304" s="385">
        <f t="shared" si="114"/>
        <v>17.904892275608759</v>
      </c>
      <c r="AA304" s="386">
        <f t="shared" si="115"/>
        <v>20.430961382997403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0.12363926787560932</v>
      </c>
      <c r="AD304" s="231">
        <f>(INDEX(Models!$BJ304:$BT304,,AH304)*(1-AF304)+INDEX(Models!$BJ304:$BT304,,AH304+1)*AF304-ERP_i)*AE304*Ramure*Pc/MaxiM</f>
        <v>5.3039078242898101E-3</v>
      </c>
      <c r="AE304" s="305">
        <f t="shared" si="117"/>
        <v>0.7</v>
      </c>
      <c r="AF304" s="177">
        <f t="shared" si="118"/>
        <v>0.59743464359442955</v>
      </c>
      <c r="AG304" s="810">
        <f t="shared" si="124"/>
        <v>1</v>
      </c>
      <c r="AH304" s="176">
        <f t="shared" si="119"/>
        <v>7</v>
      </c>
      <c r="AI304" s="225">
        <f t="shared" si="120"/>
        <v>1.5974346435944295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28.96723114678894</v>
      </c>
      <c r="C305" s="840"/>
      <c r="D305" s="393">
        <f t="shared" si="102"/>
        <v>30.79912386548342</v>
      </c>
      <c r="E305" s="385">
        <f t="shared" si="125"/>
        <v>32.324150228459956</v>
      </c>
      <c r="F305" s="385">
        <f t="shared" si="103"/>
        <v>32.337722055004633</v>
      </c>
      <c r="G305" s="110">
        <f t="shared" si="126"/>
        <v>0.96920942920525799</v>
      </c>
      <c r="H305" s="414" t="b">
        <f>Wh_hp&gt;='2024'!Maxi_hp</f>
        <v>0</v>
      </c>
      <c r="I305" s="390">
        <f>IF(H305,Wh_hp,'2024'!Maxi_hp)</f>
        <v>34.363592336640075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5.9478728248743562E-2</v>
      </c>
      <c r="M305" s="844"/>
      <c r="N305" s="844"/>
      <c r="O305" s="48">
        <f>IF(t&lt;Tnet,'2024'!Resal+('2024'!Salim-'2024'!Resal)*(1-EXP(('2024'!Tnet-t)/('2024'!Tau_j))),Resal+(Salim-Resal)*(1-EXP((Tnet-t)/(Tau_j))))*Salcycl</f>
        <v>4.7179163325191453E-2</v>
      </c>
      <c r="P305" s="169">
        <f>(INDEX(Models!$BJ305:$BT305,,T305)*(1-R305)+INDEX(Models!$BJ305:$BT305,,T305+1)*R305-ERP_i)*Q305*Ramure*Pc/MaxiM</f>
        <v>4.3898807389758772E-4</v>
      </c>
      <c r="Q305" s="305">
        <f t="shared" si="105"/>
        <v>0.7</v>
      </c>
      <c r="R305" s="177">
        <f t="shared" si="106"/>
        <v>0.77752422936759835</v>
      </c>
      <c r="S305" s="810">
        <f t="shared" si="107"/>
        <v>-2</v>
      </c>
      <c r="T305" s="176">
        <f t="shared" si="108"/>
        <v>4</v>
      </c>
      <c r="U305" s="251">
        <f t="shared" si="109"/>
        <v>-1.2224757706324016</v>
      </c>
      <c r="V305" s="383">
        <f t="shared" si="110"/>
        <v>29.886906827981335</v>
      </c>
      <c r="W305" s="402">
        <f t="shared" si="111"/>
        <v>28.96723114678894</v>
      </c>
      <c r="X305" s="157">
        <f t="shared" si="112"/>
        <v>45948</v>
      </c>
      <c r="Y305" s="385">
        <f t="shared" si="113"/>
        <v>26.51414917598898</v>
      </c>
      <c r="Z305" s="385">
        <f t="shared" si="114"/>
        <v>28.190908565650481</v>
      </c>
      <c r="AA305" s="386">
        <f t="shared" si="115"/>
        <v>32.167934453571384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0.12363323774055254</v>
      </c>
      <c r="AD305" s="231">
        <f>(INDEX(Models!$BJ305:$BT305,,AH305)*(1-AF305)+INDEX(Models!$BJ305:$BT305,,AH305+1)*AF305-ERP_i)*AE305*Ramure*Pc/MaxiM</f>
        <v>5.4918718478695E-3</v>
      </c>
      <c r="AE305" s="305">
        <f t="shared" si="117"/>
        <v>0.7</v>
      </c>
      <c r="AF305" s="177">
        <f t="shared" si="118"/>
        <v>0.59751428246678184</v>
      </c>
      <c r="AG305" s="810">
        <f t="shared" si="124"/>
        <v>1</v>
      </c>
      <c r="AH305" s="176">
        <f t="shared" si="119"/>
        <v>7</v>
      </c>
      <c r="AI305" s="225">
        <f t="shared" si="120"/>
        <v>1.5975142824667818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14.558600558564022</v>
      </c>
      <c r="C306" s="840"/>
      <c r="D306" s="393">
        <f t="shared" si="102"/>
        <v>15.479649215422297</v>
      </c>
      <c r="E306" s="385">
        <f t="shared" si="125"/>
        <v>16.24822404927799</v>
      </c>
      <c r="F306" s="385">
        <f t="shared" si="103"/>
        <v>16.250275624147722</v>
      </c>
      <c r="G306" s="110">
        <f t="shared" si="126"/>
        <v>0.49255443868643201</v>
      </c>
      <c r="H306" s="414" t="b">
        <f>Wh_hp&gt;='2024'!Maxi_hp</f>
        <v>0</v>
      </c>
      <c r="I306" s="390">
        <f>IF(H306,Wh_hp,'2024'!Maxi_hp)</f>
        <v>32.663950512475992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5.9500615552750324E-2</v>
      </c>
      <c r="M306" s="844"/>
      <c r="N306" s="844"/>
      <c r="O306" s="48">
        <f>IF(t&lt;Tnet,'2024'!Resal+('2024'!Salim-'2024'!Resal)*(1-EXP(('2024'!Tnet-t)/('2024'!Tau_j))),Resal+(Salim-Resal)*(1-EXP((Tnet-t)/(Tau_j))))*Salcycl</f>
        <v>4.7302082462965904E-2</v>
      </c>
      <c r="P306" s="169">
        <f>(INDEX(Models!$BJ306:$BT306,,T306)*(1-R306)+INDEX(Models!$BJ306:$BT306,,T306+1)*R306-ERP_i)*Q306*Ramure*Pc/MaxiM</f>
        <v>4.5856610690973404E-4</v>
      </c>
      <c r="Q306" s="305">
        <f t="shared" si="105"/>
        <v>0.7</v>
      </c>
      <c r="R306" s="177">
        <f t="shared" si="106"/>
        <v>0.77760069167274226</v>
      </c>
      <c r="S306" s="810">
        <f t="shared" si="107"/>
        <v>-2</v>
      </c>
      <c r="T306" s="176">
        <f t="shared" si="108"/>
        <v>4</v>
      </c>
      <c r="U306" s="251">
        <f t="shared" si="109"/>
        <v>-1.2223993083272577</v>
      </c>
      <c r="V306" s="383">
        <f t="shared" si="110"/>
        <v>29.547519476113614</v>
      </c>
      <c r="W306" s="402">
        <f t="shared" si="111"/>
        <v>14.558600558564022</v>
      </c>
      <c r="X306" s="157">
        <f t="shared" si="112"/>
        <v>45949</v>
      </c>
      <c r="Y306" s="385">
        <f t="shared" si="113"/>
        <v>13.373064597833363</v>
      </c>
      <c r="Z306" s="385">
        <f t="shared" si="114"/>
        <v>14.219110420463466</v>
      </c>
      <c r="AA306" s="386">
        <f t="shared" si="115"/>
        <v>16.224926796122624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0.12362560403899653</v>
      </c>
      <c r="AD306" s="231">
        <f>(INDEX(Models!$BJ306:$BT306,,AH306)*(1-AF306)+INDEX(Models!$BJ306:$BT306,,AH306+1)*AF306-ERP_i)*AE306*Ramure*Pc/MaxiM</f>
        <v>5.6659464656649648E-3</v>
      </c>
      <c r="AE306" s="305">
        <f t="shared" si="117"/>
        <v>0.7</v>
      </c>
      <c r="AF306" s="177">
        <f t="shared" si="118"/>
        <v>0.5975907447719262</v>
      </c>
      <c r="AG306" s="810">
        <f t="shared" si="124"/>
        <v>1</v>
      </c>
      <c r="AH306" s="176">
        <f t="shared" si="119"/>
        <v>7</v>
      </c>
      <c r="AI306" s="225">
        <f t="shared" si="120"/>
        <v>1.5975907447719262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6.4167827835272453</v>
      </c>
      <c r="C307" s="840"/>
      <c r="D307" s="393">
        <f t="shared" si="102"/>
        <v>6.8228987929465301</v>
      </c>
      <c r="E307" s="385">
        <f t="shared" si="125"/>
        <v>7.1625777316391002</v>
      </c>
      <c r="F307" s="385">
        <f t="shared" si="103"/>
        <v>7.1625777316391002</v>
      </c>
      <c r="G307" s="110">
        <f t="shared" si="126"/>
        <v>0.2195683652635847</v>
      </c>
      <c r="H307" s="414" t="b">
        <f>Wh_hp&gt;='2024'!Maxi_hp</f>
        <v>0</v>
      </c>
      <c r="I307" s="390">
        <f>IF(H307,Wh_hp,'2024'!Maxi_hp)</f>
        <v>26.876972034227109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5.9522502347407635E-2</v>
      </c>
      <c r="M307" s="844"/>
      <c r="N307" s="844"/>
      <c r="O307" s="48">
        <f>IF(t&lt;Tnet,'2024'!Resal+('2024'!Salim-'2024'!Resal)*(1-EXP(('2024'!Tnet-t)/('2024'!Tau_j))),Resal+(Salim-Resal)*(1-EXP((Tnet-t)/(Tau_j))))*Salcycl</f>
        <v>4.7424119000079111E-2</v>
      </c>
      <c r="P307" s="169">
        <f>(INDEX(Models!$BJ307:$BT307,,T307)*(1-R307)+INDEX(Models!$BJ307:$BT307,,T307+1)*R307-ERP_i)*Q307*Ramure*Pc/MaxiM</f>
        <v>4.7779155530500335E-4</v>
      </c>
      <c r="Q307" s="305">
        <f t="shared" si="105"/>
        <v>0.7</v>
      </c>
      <c r="R307" s="177">
        <f t="shared" si="106"/>
        <v>0.7776741029631371</v>
      </c>
      <c r="S307" s="810">
        <f t="shared" si="107"/>
        <v>-2</v>
      </c>
      <c r="T307" s="176">
        <f t="shared" si="108"/>
        <v>4</v>
      </c>
      <c r="U307" s="251">
        <f t="shared" si="109"/>
        <v>-1.2223258970368629</v>
      </c>
      <c r="V307" s="383">
        <f t="shared" si="110"/>
        <v>29.21056906900769</v>
      </c>
      <c r="W307" s="402">
        <f t="shared" si="111"/>
        <v>6.4167827835272453</v>
      </c>
      <c r="X307" s="157">
        <f t="shared" si="112"/>
        <v>45950</v>
      </c>
      <c r="Y307" s="385">
        <f t="shared" si="113"/>
        <v>5.9035328461251249</v>
      </c>
      <c r="Z307" s="385">
        <f t="shared" si="114"/>
        <v>6.2771654408108555</v>
      </c>
      <c r="AA307" s="386">
        <f t="shared" si="115"/>
        <v>7.1625777316391002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0.12361643028558449</v>
      </c>
      <c r="AD307" s="231">
        <f>(INDEX(Models!$BJ307:$BT307,,AH307)*(1-AF307)+INDEX(Models!$BJ307:$BT307,,AH307+1)*AF307-ERP_i)*AE307*Ramure*Pc/MaxiM</f>
        <v>5.8257735287251108E-3</v>
      </c>
      <c r="AE307" s="305">
        <f t="shared" si="117"/>
        <v>0.7</v>
      </c>
      <c r="AF307" s="177">
        <f t="shared" si="118"/>
        <v>0.59766415606232082</v>
      </c>
      <c r="AG307" s="810">
        <f t="shared" si="124"/>
        <v>1</v>
      </c>
      <c r="AH307" s="176">
        <f t="shared" si="119"/>
        <v>7</v>
      </c>
      <c r="AI307" s="225">
        <f t="shared" si="120"/>
        <v>1.5976641560623208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14.732094180210735</v>
      </c>
      <c r="C308" s="840"/>
      <c r="D308" s="393">
        <f t="shared" si="102"/>
        <v>15.664847975964133</v>
      </c>
      <c r="E308" s="385">
        <f t="shared" si="125"/>
        <v>16.44681674683568</v>
      </c>
      <c r="F308" s="385">
        <f t="shared" si="103"/>
        <v>16.44926975701059</v>
      </c>
      <c r="G308" s="110">
        <f t="shared" si="126"/>
        <v>0.51000646551889284</v>
      </c>
      <c r="H308" s="414" t="b">
        <f>Wh_hp&gt;='2024'!Maxi_hp</f>
        <v>0</v>
      </c>
      <c r="I308" s="390">
        <f>IF(H308,Wh_hp,'2024'!Maxi_hp)</f>
        <v>23.519569000870998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5.9544388632727152E-2</v>
      </c>
      <c r="M308" s="844"/>
      <c r="N308" s="844"/>
      <c r="O308" s="48">
        <f>IF(t&lt;Tnet,'2024'!Resal+('2024'!Salim-'2024'!Resal)*(1-EXP(('2024'!Tnet-t)/('2024'!Tau_j))),Resal+(Salim-Resal)*(1-EXP((Tnet-t)/(Tau_j))))*Salcycl</f>
        <v>4.7545296023438537E-2</v>
      </c>
      <c r="P308" s="169">
        <f>(INDEX(Models!$BJ308:$BT308,,T308)*(1-R308)+INDEX(Models!$BJ308:$BT308,,T308+1)*R308-ERP_i)*Q308*Ramure*Pc/MaxiM</f>
        <v>4.9665125819576249E-4</v>
      </c>
      <c r="Q308" s="305">
        <f t="shared" si="105"/>
        <v>0.7</v>
      </c>
      <c r="R308" s="177">
        <f t="shared" si="106"/>
        <v>0.7777445839193653</v>
      </c>
      <c r="S308" s="810">
        <f t="shared" si="107"/>
        <v>-2</v>
      </c>
      <c r="T308" s="176">
        <f t="shared" si="108"/>
        <v>4</v>
      </c>
      <c r="U308" s="251">
        <f t="shared" si="109"/>
        <v>-1.2222554160806347</v>
      </c>
      <c r="V308" s="383">
        <f t="shared" si="110"/>
        <v>28.876052823252717</v>
      </c>
      <c r="W308" s="402">
        <f t="shared" si="111"/>
        <v>14.732094180210735</v>
      </c>
      <c r="X308" s="157">
        <f t="shared" si="112"/>
        <v>45951</v>
      </c>
      <c r="Y308" s="385">
        <f t="shared" si="113"/>
        <v>13.533343191978988</v>
      </c>
      <c r="Z308" s="385">
        <f t="shared" si="114"/>
        <v>14.390198780677867</v>
      </c>
      <c r="AA308" s="386">
        <f t="shared" si="115"/>
        <v>16.419778402137741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0.12360578637258814</v>
      </c>
      <c r="AD308" s="231">
        <f>(INDEX(Models!$BJ308:$BT308,,AH308)*(1-AF308)+INDEX(Models!$BJ308:$BT308,,AH308+1)*AF308-ERP_i)*AE308*Ramure*Pc/MaxiM</f>
        <v>5.9709978594050953E-3</v>
      </c>
      <c r="AE308" s="305">
        <f t="shared" si="117"/>
        <v>0.7</v>
      </c>
      <c r="AF308" s="177">
        <f t="shared" si="118"/>
        <v>0.59773463701854901</v>
      </c>
      <c r="AG308" s="810">
        <f t="shared" si="124"/>
        <v>1</v>
      </c>
      <c r="AH308" s="176">
        <f t="shared" si="119"/>
        <v>7</v>
      </c>
      <c r="AI308" s="225">
        <f t="shared" si="120"/>
        <v>1.597734637018549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27.910342043133671</v>
      </c>
      <c r="C309" s="840"/>
      <c r="D309" s="393">
        <f t="shared" si="102"/>
        <v>29.678159431793663</v>
      </c>
      <c r="E309" s="385">
        <f t="shared" si="125"/>
        <v>31.163591966755131</v>
      </c>
      <c r="F309" s="385">
        <f t="shared" si="103"/>
        <v>31.179144018223443</v>
      </c>
      <c r="G309" s="110">
        <f t="shared" si="126"/>
        <v>0.97778577870342831</v>
      </c>
      <c r="H309" s="414" t="b">
        <f>Wh_hp&gt;='2024'!Maxi_hp</f>
        <v>1</v>
      </c>
      <c r="I309" s="390">
        <f>IF(H309,Wh_hp,'2024'!Maxi_hp)</f>
        <v>31.179144018223443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5.9566274408720976E-2</v>
      </c>
      <c r="M309" s="844"/>
      <c r="N309" s="844"/>
      <c r="O309" s="48">
        <f>IF(t&lt;Tnet,'2024'!Resal+('2024'!Salim-'2024'!Resal)*(1-EXP(('2024'!Tnet-t)/('2024'!Tau_j))),Resal+(Salim-Resal)*(1-EXP((Tnet-t)/(Tau_j))))*Salcycl</f>
        <v>4.7665639331502779E-2</v>
      </c>
      <c r="P309" s="169">
        <f>(INDEX(Models!$BJ309:$BT309,,T309)*(1-R309)+INDEX(Models!$BJ309:$BT309,,T309+1)*R309-ERP_i)*Q309*Ramure*Pc/MaxiM</f>
        <v>5.1513237440000998E-4</v>
      </c>
      <c r="Q309" s="305">
        <f t="shared" si="105"/>
        <v>0.7</v>
      </c>
      <c r="R309" s="177">
        <f t="shared" si="106"/>
        <v>0.77781225053204217</v>
      </c>
      <c r="S309" s="810">
        <f t="shared" si="107"/>
        <v>-2</v>
      </c>
      <c r="T309" s="176">
        <f t="shared" si="108"/>
        <v>4</v>
      </c>
      <c r="U309" s="251">
        <f t="shared" si="109"/>
        <v>-1.2221877494679578</v>
      </c>
      <c r="V309" s="383">
        <f t="shared" si="110"/>
        <v>28.543967898524397</v>
      </c>
      <c r="W309" s="402">
        <f t="shared" si="111"/>
        <v>27.910342043133671</v>
      </c>
      <c r="X309" s="157">
        <f t="shared" si="112"/>
        <v>45952</v>
      </c>
      <c r="Y309" s="385">
        <f t="shared" si="113"/>
        <v>25.546094988662627</v>
      </c>
      <c r="Z309" s="385">
        <f t="shared" si="114"/>
        <v>27.164162974483958</v>
      </c>
      <c r="AA309" s="386">
        <f t="shared" si="115"/>
        <v>30.994944326698157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0.12359374844608036</v>
      </c>
      <c r="AD309" s="231">
        <f>(INDEX(Models!$BJ309:$BT309,,AH309)*(1-AF309)+INDEX(Models!$BJ309:$BT309,,AH309+1)*AF309-ERP_i)*AE309*Ramure*Pc/MaxiM</f>
        <v>6.1012673892254761E-3</v>
      </c>
      <c r="AE309" s="305">
        <f t="shared" si="117"/>
        <v>0.7</v>
      </c>
      <c r="AF309" s="177">
        <f t="shared" si="118"/>
        <v>0.59780230363122566</v>
      </c>
      <c r="AG309" s="810">
        <f t="shared" si="124"/>
        <v>1</v>
      </c>
      <c r="AH309" s="176">
        <f t="shared" si="119"/>
        <v>7</v>
      </c>
      <c r="AI309" s="225">
        <f t="shared" si="120"/>
        <v>1.5978023036312257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16.02382002400071</v>
      </c>
      <c r="C310" s="840"/>
      <c r="D310" s="393">
        <f t="shared" si="102"/>
        <v>17.039151717262314</v>
      </c>
      <c r="E310" s="385">
        <f t="shared" si="125"/>
        <v>17.894230705985539</v>
      </c>
      <c r="F310" s="385">
        <f t="shared" si="103"/>
        <v>17.897873634693465</v>
      </c>
      <c r="G310" s="110">
        <f t="shared" si="126"/>
        <v>0.5677450690134368</v>
      </c>
      <c r="H310" s="414" t="b">
        <f>Wh_hp&gt;='2024'!Maxi_hp</f>
        <v>0</v>
      </c>
      <c r="I310" s="390">
        <f>IF(H310,Wh_hp,'2024'!Maxi_hp)</f>
        <v>32.867779364445255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5.9588159675400654E-2</v>
      </c>
      <c r="M310" s="844"/>
      <c r="N310" s="844"/>
      <c r="O310" s="48">
        <f>IF(t&lt;Tnet,'2024'!Resal+('2024'!Salim-'2024'!Resal)*(1-EXP(('2024'!Tnet-t)/('2024'!Tau_j))),Resal+(Salim-Resal)*(1-EXP((Tnet-t)/(Tau_j))))*Salcycl</f>
        <v>4.7785177400065916E-2</v>
      </c>
      <c r="P310" s="169">
        <f>(INDEX(Models!$BJ310:$BT310,,T310)*(1-R310)+INDEX(Models!$BJ310:$BT310,,T310+1)*R310-ERP_i)*Q310*Ramure*Pc/MaxiM</f>
        <v>5.3176955384183228E-4</v>
      </c>
      <c r="Q310" s="305">
        <f t="shared" si="105"/>
        <v>0.7</v>
      </c>
      <c r="R310" s="177">
        <f t="shared" si="106"/>
        <v>0.77787721427749945</v>
      </c>
      <c r="S310" s="810">
        <f t="shared" si="107"/>
        <v>-2</v>
      </c>
      <c r="T310" s="176">
        <f t="shared" si="108"/>
        <v>4</v>
      </c>
      <c r="U310" s="251">
        <f t="shared" si="109"/>
        <v>-1.2221227857225005</v>
      </c>
      <c r="V310" s="383">
        <f t="shared" si="110"/>
        <v>28.214352413105015</v>
      </c>
      <c r="W310" s="402">
        <f t="shared" si="111"/>
        <v>16.02382002400071</v>
      </c>
      <c r="X310" s="157">
        <f t="shared" si="112"/>
        <v>45953</v>
      </c>
      <c r="Y310" s="385">
        <f t="shared" si="113"/>
        <v>14.716309570808717</v>
      </c>
      <c r="Z310" s="385">
        <f t="shared" si="114"/>
        <v>15.648792305431979</v>
      </c>
      <c r="AA310" s="386">
        <f t="shared" si="115"/>
        <v>17.855365492665452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0.12358039874008062</v>
      </c>
      <c r="AD310" s="231">
        <f>(INDEX(Models!$BJ310:$BT310,,AH310)*(1-AF310)+INDEX(Models!$BJ310:$BT310,,AH310+1)*AF310-ERP_i)*AE310*Ramure*Pc/MaxiM</f>
        <v>6.2050447684334478E-3</v>
      </c>
      <c r="AE310" s="305">
        <f t="shared" si="117"/>
        <v>0.7</v>
      </c>
      <c r="AF310" s="177">
        <f t="shared" si="118"/>
        <v>0.59786726737668316</v>
      </c>
      <c r="AG310" s="810">
        <f t="shared" si="124"/>
        <v>1</v>
      </c>
      <c r="AH310" s="176">
        <f t="shared" si="119"/>
        <v>7</v>
      </c>
      <c r="AI310" s="225">
        <f t="shared" si="120"/>
        <v>1.5978672673766832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19.870732455993888</v>
      </c>
      <c r="C311" s="840"/>
      <c r="D311" s="393">
        <f t="shared" si="102"/>
        <v>21.130311248388779</v>
      </c>
      <c r="E311" s="385">
        <f t="shared" si="125"/>
        <v>22.193465728573763</v>
      </c>
      <c r="F311" s="385">
        <f t="shared" si="103"/>
        <v>22.200605240657282</v>
      </c>
      <c r="G311" s="110">
        <f t="shared" si="126"/>
        <v>0.71237913724803192</v>
      </c>
      <c r="H311" s="414" t="b">
        <f>Wh_hp&gt;='2024'!Maxi_hp</f>
        <v>0</v>
      </c>
      <c r="I311" s="390">
        <f>IF(H311,Wh_hp,'2024'!Maxi_hp)</f>
        <v>32.024891553571138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5.9610044432778286E-2</v>
      </c>
      <c r="M311" s="844"/>
      <c r="N311" s="844"/>
      <c r="O311" s="48">
        <f>IF(t&lt;Tnet,'2024'!Resal+('2024'!Salim-'2024'!Resal)*(1-EXP(('2024'!Tnet-t)/('2024'!Tau_j))),Resal+(Salim-Resal)*(1-EXP((Tnet-t)/(Tau_j))))*Salcycl</f>
        <v>4.7903941330631736E-2</v>
      </c>
      <c r="P311" s="169">
        <f>(INDEX(Models!$BJ311:$BT311,,T311)*(1-R311)+INDEX(Models!$BJ311:$BT311,,T311+1)*R311-ERP_i)*Q311*Ramure*Pc/MaxiM</f>
        <v>5.4567856515899942E-4</v>
      </c>
      <c r="Q311" s="305">
        <f t="shared" si="105"/>
        <v>0.7</v>
      </c>
      <c r="R311" s="177">
        <f t="shared" si="106"/>
        <v>0.77793958228741356</v>
      </c>
      <c r="S311" s="810">
        <f t="shared" si="107"/>
        <v>-2</v>
      </c>
      <c r="T311" s="176">
        <f t="shared" si="108"/>
        <v>4</v>
      </c>
      <c r="U311" s="251">
        <f t="shared" si="109"/>
        <v>-1.2220604177125864</v>
      </c>
      <c r="V311" s="383">
        <f t="shared" si="110"/>
        <v>27.887226335377157</v>
      </c>
      <c r="W311" s="402">
        <f t="shared" si="111"/>
        <v>19.870732455993888</v>
      </c>
      <c r="X311" s="157">
        <f t="shared" si="112"/>
        <v>45954</v>
      </c>
      <c r="Y311" s="385">
        <f t="shared" si="113"/>
        <v>18.229791922891849</v>
      </c>
      <c r="Z311" s="385">
        <f t="shared" si="114"/>
        <v>19.385353719453601</v>
      </c>
      <c r="AA311" s="386">
        <f t="shared" si="115"/>
        <v>22.118436592928106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0.12356582536888487</v>
      </c>
      <c r="AD311" s="231">
        <f>(INDEX(Models!$BJ311:$BT311,,AH311)*(1-AF311)+INDEX(Models!$BJ311:$BT311,,AH311+1)*AF311-ERP_i)*AE311*Ramure*Pc/MaxiM</f>
        <v>6.2802148479314118E-3</v>
      </c>
      <c r="AE311" s="305">
        <f t="shared" si="117"/>
        <v>0.7</v>
      </c>
      <c r="AF311" s="177">
        <f t="shared" si="118"/>
        <v>0.59792963538659727</v>
      </c>
      <c r="AG311" s="810">
        <f t="shared" si="124"/>
        <v>1</v>
      </c>
      <c r="AH311" s="176">
        <f t="shared" si="119"/>
        <v>7</v>
      </c>
      <c r="AI311" s="225">
        <f t="shared" si="120"/>
        <v>1.5979296353865973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19.721976177664388</v>
      </c>
      <c r="C312" s="840"/>
      <c r="D312" s="393">
        <f t="shared" si="102"/>
        <v>20.972613574596053</v>
      </c>
      <c r="E312" s="385">
        <f t="shared" si="125"/>
        <v>22.030564570513651</v>
      </c>
      <c r="F312" s="385">
        <f t="shared" si="103"/>
        <v>22.037848713955849</v>
      </c>
      <c r="G312" s="110">
        <f t="shared" si="126"/>
        <v>0.71537236634053136</v>
      </c>
      <c r="H312" s="414" t="b">
        <f>Wh_hp&gt;='2024'!Maxi_hp</f>
        <v>0</v>
      </c>
      <c r="I312" s="390">
        <f>IF(H312,Wh_hp,'2024'!Maxi_hp)</f>
        <v>30.314275892312452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5.9631928680865642E-2</v>
      </c>
      <c r="M312" s="844"/>
      <c r="N312" s="844"/>
      <c r="O312" s="48">
        <f>IF(t&lt;Tnet,'2024'!Resal+('2024'!Salim-'2024'!Resal)*(1-EXP(('2024'!Tnet-t)/('2024'!Tau_j))),Resal+(Salim-Resal)*(1-EXP((Tnet-t)/(Tau_j))))*Salcycl</f>
        <v>4.8021964781310697E-2</v>
      </c>
      <c r="P312" s="169">
        <f>(INDEX(Models!$BJ312:$BT312,,T312)*(1-R312)+INDEX(Models!$BJ312:$BT312,,T312+1)*R312-ERP_i)*Q312*Ramure*Pc/MaxiM</f>
        <v>5.5680153904845626E-4</v>
      </c>
      <c r="Q312" s="305">
        <f t="shared" si="105"/>
        <v>0.7</v>
      </c>
      <c r="R312" s="177">
        <f t="shared" si="106"/>
        <v>0.77799945751254018</v>
      </c>
      <c r="S312" s="810">
        <f t="shared" si="107"/>
        <v>-2</v>
      </c>
      <c r="T312" s="176">
        <f t="shared" si="108"/>
        <v>4</v>
      </c>
      <c r="U312" s="251">
        <f t="shared" si="109"/>
        <v>-1.2220005424874598</v>
      </c>
      <c r="V312" s="383">
        <f t="shared" si="110"/>
        <v>27.562585702394859</v>
      </c>
      <c r="W312" s="402">
        <f t="shared" si="111"/>
        <v>19.721976177664388</v>
      </c>
      <c r="X312" s="157">
        <f t="shared" si="112"/>
        <v>45955</v>
      </c>
      <c r="Y312" s="385">
        <f t="shared" si="113"/>
        <v>18.095065162306998</v>
      </c>
      <c r="Z312" s="385">
        <f t="shared" si="114"/>
        <v>19.242534614051188</v>
      </c>
      <c r="AA312" s="386">
        <f t="shared" si="115"/>
        <v>21.955088475426525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0.12355012207814116</v>
      </c>
      <c r="AD312" s="231">
        <f>(INDEX(Models!$BJ312:$BT312,,AH312)*(1-AF312)+INDEX(Models!$BJ312:$BT312,,AH312+1)*AF312-ERP_i)*AE312*Ramure*Pc/MaxiM</f>
        <v>6.3262109746749307E-3</v>
      </c>
      <c r="AE312" s="305">
        <f t="shared" si="117"/>
        <v>0.7</v>
      </c>
      <c r="AF312" s="177">
        <f t="shared" si="118"/>
        <v>0.5979895106117239</v>
      </c>
      <c r="AG312" s="810">
        <f t="shared" si="124"/>
        <v>1</v>
      </c>
      <c r="AH312" s="176">
        <f t="shared" si="119"/>
        <v>7</v>
      </c>
      <c r="AI312" s="225">
        <f t="shared" si="120"/>
        <v>1.5979895106117239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11.719791965903031</v>
      </c>
      <c r="C313" s="840"/>
      <c r="D313" s="393">
        <f t="shared" si="102"/>
        <v>12.463273760975305</v>
      </c>
      <c r="E313" s="385">
        <f t="shared" si="125"/>
        <v>13.093589797236911</v>
      </c>
      <c r="F313" s="385">
        <f t="shared" si="103"/>
        <v>13.094966505674241</v>
      </c>
      <c r="G313" s="110">
        <f t="shared" si="126"/>
        <v>0.43003735289554468</v>
      </c>
      <c r="H313" s="414" t="b">
        <f>Wh_hp&gt;='2024'!Maxi_hp</f>
        <v>0</v>
      </c>
      <c r="I313" s="390">
        <f>IF(H313,Wh_hp,'2024'!Maxi_hp)</f>
        <v>30.638103345226707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5.9653812419674601E-2</v>
      </c>
      <c r="M313" s="844"/>
      <c r="N313" s="844"/>
      <c r="O313" s="48">
        <f>IF(t&lt;Tnet,'2024'!Resal+('2024'!Salim-'2024'!Resal)*(1-EXP(('2024'!Tnet-t)/('2024'!Tau_j))),Resal+(Salim-Resal)*(1-EXP((Tnet-t)/(Tau_j))))*Salcycl</f>
        <v>4.8139283880316741E-2</v>
      </c>
      <c r="P313" s="169">
        <f>(INDEX(Models!$BJ313:$BT313,,T313)*(1-R313)+INDEX(Models!$BJ313:$BT313,,T313+1)*R313-ERP_i)*Q313*Ramure*Pc/MaxiM</f>
        <v>5.6507624240912659E-4</v>
      </c>
      <c r="Q313" s="305">
        <f t="shared" si="105"/>
        <v>0.7</v>
      </c>
      <c r="R313" s="177">
        <f t="shared" si="106"/>
        <v>0.77805693888072369</v>
      </c>
      <c r="S313" s="810">
        <f t="shared" si="107"/>
        <v>-2</v>
      </c>
      <c r="T313" s="176">
        <f t="shared" si="108"/>
        <v>4</v>
      </c>
      <c r="U313" s="251">
        <f t="shared" si="109"/>
        <v>-1.2219430611192763</v>
      </c>
      <c r="V313" s="383">
        <f t="shared" si="110"/>
        <v>27.240426620975224</v>
      </c>
      <c r="W313" s="402">
        <f t="shared" si="111"/>
        <v>11.719791965903031</v>
      </c>
      <c r="X313" s="157">
        <f t="shared" si="112"/>
        <v>45956</v>
      </c>
      <c r="Y313" s="385">
        <f t="shared" si="113"/>
        <v>10.779900770421909</v>
      </c>
      <c r="Z313" s="385">
        <f t="shared" si="114"/>
        <v>11.463757616926669</v>
      </c>
      <c r="AA313" s="386">
        <f t="shared" si="115"/>
        <v>13.079514335619328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0.12353338795558194</v>
      </c>
      <c r="AD313" s="231">
        <f>(INDEX(Models!$BJ313:$BT313,,AH313)*(1-AF313)+INDEX(Models!$BJ313:$BT313,,AH313+1)*AF313-ERP_i)*AE313*Ramure*Pc/MaxiM</f>
        <v>6.3424135095924332E-3</v>
      </c>
      <c r="AE313" s="305">
        <f t="shared" si="117"/>
        <v>0.7</v>
      </c>
      <c r="AF313" s="177">
        <f t="shared" si="118"/>
        <v>0.59804699197990763</v>
      </c>
      <c r="AG313" s="810">
        <f t="shared" si="124"/>
        <v>1</v>
      </c>
      <c r="AH313" s="176">
        <f t="shared" si="119"/>
        <v>7</v>
      </c>
      <c r="AI313" s="225">
        <f t="shared" si="120"/>
        <v>1.5980469919799076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11.903633567691001</v>
      </c>
      <c r="C314" s="840"/>
      <c r="D314" s="393">
        <f t="shared" si="102"/>
        <v>12.65907252701448</v>
      </c>
      <c r="E314" s="385">
        <f t="shared" si="125"/>
        <v>13.300920931135858</v>
      </c>
      <c r="F314" s="385">
        <f t="shared" si="103"/>
        <v>13.302462141982478</v>
      </c>
      <c r="G314" s="110">
        <f t="shared" si="126"/>
        <v>0.44197223011064884</v>
      </c>
      <c r="H314" s="414" t="b">
        <f>Wh_hp&gt;='2024'!Maxi_hp</f>
        <v>0</v>
      </c>
      <c r="I314" s="390">
        <f>IF(H314,Wh_hp,'2024'!Maxi_hp)</f>
        <v>28.51542722480329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5.9675695649216931E-2</v>
      </c>
      <c r="M314" s="844"/>
      <c r="N314" s="844"/>
      <c r="O314" s="48">
        <f>IF(t&lt;Tnet,'2024'!Resal+('2024'!Salim-'2024'!Resal)*(1-EXP(('2024'!Tnet-t)/('2024'!Tau_j))),Resal+(Salim-Resal)*(1-EXP((Tnet-t)/(Tau_j))))*Salcycl</f>
        <v>4.8255937122285132E-2</v>
      </c>
      <c r="P314" s="169">
        <f>(INDEX(Models!$BJ314:$BT314,,T314)*(1-R314)+INDEX(Models!$BJ314:$BT314,,T314+1)*R314-ERP_i)*Q314*Ramure*Pc/MaxiM</f>
        <v>5.704402380309944E-4</v>
      </c>
      <c r="Q314" s="305">
        <f t="shared" si="105"/>
        <v>0.7</v>
      </c>
      <c r="R314" s="177">
        <f t="shared" si="106"/>
        <v>0.77811212144934561</v>
      </c>
      <c r="S314" s="810">
        <f t="shared" si="107"/>
        <v>-2</v>
      </c>
      <c r="T314" s="176">
        <f t="shared" si="108"/>
        <v>4</v>
      </c>
      <c r="U314" s="251">
        <f t="shared" si="109"/>
        <v>-1.2218878785506544</v>
      </c>
      <c r="V314" s="383">
        <f t="shared" si="110"/>
        <v>26.920745156352282</v>
      </c>
      <c r="W314" s="402">
        <f t="shared" si="111"/>
        <v>11.903633567691001</v>
      </c>
      <c r="X314" s="157">
        <f t="shared" si="112"/>
        <v>45957</v>
      </c>
      <c r="Y314" s="385">
        <f t="shared" si="113"/>
        <v>10.949524730654922</v>
      </c>
      <c r="Z314" s="385">
        <f t="shared" si="114"/>
        <v>11.644413188080543</v>
      </c>
      <c r="AA314" s="386">
        <f t="shared" si="115"/>
        <v>13.285364664432002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0.1235157271026716</v>
      </c>
      <c r="AD314" s="231">
        <f>(INDEX(Models!$BJ314:$BT314,,AH314)*(1-AF314)+INDEX(Models!$BJ314:$BT314,,AH314+1)*AF314-ERP_i)*AE314*Ramure*Pc/MaxiM</f>
        <v>6.3281991461524916E-3</v>
      </c>
      <c r="AE314" s="305">
        <f t="shared" si="117"/>
        <v>0.7</v>
      </c>
      <c r="AF314" s="177">
        <f t="shared" si="118"/>
        <v>0.59810217454852932</v>
      </c>
      <c r="AG314" s="810">
        <f t="shared" si="124"/>
        <v>1</v>
      </c>
      <c r="AH314" s="176">
        <f t="shared" si="119"/>
        <v>7</v>
      </c>
      <c r="AI314" s="225">
        <f t="shared" si="120"/>
        <v>1.5981021745485293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16.110126782712502</v>
      </c>
      <c r="C315" s="840"/>
      <c r="D315" s="393">
        <f t="shared" si="102"/>
        <v>17.132920656289873</v>
      </c>
      <c r="E315" s="385">
        <f t="shared" si="125"/>
        <v>18.003799836299315</v>
      </c>
      <c r="F315" s="385">
        <f t="shared" si="103"/>
        <v>18.008302840127119</v>
      </c>
      <c r="G315" s="110">
        <f t="shared" si="126"/>
        <v>0.60536782237519782</v>
      </c>
      <c r="H315" s="414" t="b">
        <f>Wh_hp&gt;='2024'!Maxi_hp</f>
        <v>0</v>
      </c>
      <c r="I315" s="390">
        <f>IF(H315,Wh_hp,'2024'!Maxi_hp)</f>
        <v>29.596972349647235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5.9697578369504622E-2</v>
      </c>
      <c r="M315" s="844"/>
      <c r="N315" s="844"/>
      <c r="O315" s="48">
        <f>IF(t&lt;Tnet,'2024'!Resal+('2024'!Salim-'2024'!Resal)*(1-EXP(('2024'!Tnet-t)/('2024'!Tau_j))),Resal+(Salim-Resal)*(1-EXP((Tnet-t)/(Tau_j))))*Salcycl</f>
        <v>4.8371965247779147E-2</v>
      </c>
      <c r="P315" s="169">
        <f>(INDEX(Models!$BJ315:$BT315,,T315)*(1-R315)+INDEX(Models!$BJ315:$BT315,,T315+1)*R315-ERP_i)*Q315*Ramure*Pc/MaxiM</f>
        <v>5.7283075896571198E-4</v>
      </c>
      <c r="Q315" s="305">
        <f t="shared" si="105"/>
        <v>0.7</v>
      </c>
      <c r="R315" s="177">
        <f t="shared" si="106"/>
        <v>0.77816509655237143</v>
      </c>
      <c r="S315" s="810">
        <f t="shared" si="107"/>
        <v>-2</v>
      </c>
      <c r="T315" s="176">
        <f t="shared" si="108"/>
        <v>4</v>
      </c>
      <c r="U315" s="251">
        <f t="shared" si="109"/>
        <v>-1.2218349034476286</v>
      </c>
      <c r="V315" s="383">
        <f t="shared" si="110"/>
        <v>26.603537341578114</v>
      </c>
      <c r="W315" s="402">
        <f t="shared" si="111"/>
        <v>16.110126782712502</v>
      </c>
      <c r="X315" s="157">
        <f t="shared" si="112"/>
        <v>45958</v>
      </c>
      <c r="Y315" s="385">
        <f t="shared" si="113"/>
        <v>14.801334776208487</v>
      </c>
      <c r="Z315" s="385">
        <f t="shared" si="114"/>
        <v>15.741036538588084</v>
      </c>
      <c r="AA315" s="386">
        <f t="shared" si="115"/>
        <v>17.958912858513013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0.12349724826876678</v>
      </c>
      <c r="AD315" s="231">
        <f>(INDEX(Models!$BJ315:$BT315,,AH315)*(1-AF315)+INDEX(Models!$BJ315:$BT315,,AH315+1)*AF315-ERP_i)*AE315*Ramure*Pc/MaxiM</f>
        <v>6.2829395077630759E-3</v>
      </c>
      <c r="AE315" s="305">
        <f t="shared" si="117"/>
        <v>0.7</v>
      </c>
      <c r="AF315" s="177">
        <f t="shared" si="118"/>
        <v>0.59815514965155492</v>
      </c>
      <c r="AG315" s="810">
        <f t="shared" si="124"/>
        <v>1</v>
      </c>
      <c r="AH315" s="176">
        <f t="shared" si="119"/>
        <v>7</v>
      </c>
      <c r="AI315" s="225">
        <f t="shared" si="120"/>
        <v>1.5981551496515549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22.677644540575052</v>
      </c>
      <c r="C316" s="840"/>
      <c r="D316" s="393">
        <f t="shared" si="102"/>
        <v>24.117955854512012</v>
      </c>
      <c r="E316" s="385">
        <f t="shared" si="125"/>
        <v>25.346964544692323</v>
      </c>
      <c r="F316" s="385">
        <f t="shared" si="103"/>
        <v>25.358627020583981</v>
      </c>
      <c r="G316" s="110">
        <f t="shared" si="126"/>
        <v>0.86253833405532732</v>
      </c>
      <c r="H316" s="414" t="b">
        <f>Wh_hp&gt;='2024'!Maxi_hp</f>
        <v>0</v>
      </c>
      <c r="I316" s="390">
        <f>IF(H316,Wh_hp,'2024'!Maxi_hp)</f>
        <v>26.808132600527212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5.9719460580549333E-2</v>
      </c>
      <c r="M316" s="844"/>
      <c r="N316" s="844"/>
      <c r="O316" s="48">
        <f>IF(t&lt;Tnet,'2024'!Resal+('2024'!Salim-'2024'!Resal)*(1-EXP(('2024'!Tnet-t)/('2024'!Tau_j))),Resal+(Salim-Resal)*(1-EXP((Tnet-t)/(Tau_j))))*Salcycl</f>
        <v>4.848741110649743E-2</v>
      </c>
      <c r="P316" s="169">
        <f>(INDEX(Models!$BJ316:$BT316,,T316)*(1-R316)+INDEX(Models!$BJ316:$BT316,,T316+1)*R316-ERP_i)*Q316*Ramure*Pc/MaxiM</f>
        <v>5.7218455996371558E-4</v>
      </c>
      <c r="Q316" s="305">
        <f t="shared" si="105"/>
        <v>0.7</v>
      </c>
      <c r="R316" s="177">
        <f t="shared" si="106"/>
        <v>0.77821595194216009</v>
      </c>
      <c r="S316" s="810">
        <f t="shared" si="107"/>
        <v>-2</v>
      </c>
      <c r="T316" s="176">
        <f t="shared" si="108"/>
        <v>4</v>
      </c>
      <c r="U316" s="251">
        <f t="shared" si="109"/>
        <v>-1.2217840480578399</v>
      </c>
      <c r="V316" s="383">
        <f t="shared" si="110"/>
        <v>26.288799190848916</v>
      </c>
      <c r="W316" s="402">
        <f t="shared" si="111"/>
        <v>22.677644540575052</v>
      </c>
      <c r="X316" s="157">
        <f t="shared" si="112"/>
        <v>45959</v>
      </c>
      <c r="Y316" s="385">
        <f t="shared" si="113"/>
        <v>20.795732399692177</v>
      </c>
      <c r="Z316" s="385">
        <f t="shared" si="114"/>
        <v>22.116518983293972</v>
      </c>
      <c r="AA316" s="386">
        <f t="shared" si="115"/>
        <v>25.232134058811873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0.12347806444971823</v>
      </c>
      <c r="AD316" s="231">
        <f>(INDEX(Models!$BJ316:$BT316,,AH316)*(1-AF316)+INDEX(Models!$BJ316:$BT316,,AH316+1)*AF316-ERP_i)*AE316*Ramure*Pc/MaxiM</f>
        <v>6.2059995100911258E-3</v>
      </c>
      <c r="AE316" s="305">
        <f t="shared" si="117"/>
        <v>0.7</v>
      </c>
      <c r="AF316" s="177">
        <f t="shared" si="118"/>
        <v>0.59820600504134402</v>
      </c>
      <c r="AG316" s="810">
        <f t="shared" si="124"/>
        <v>1</v>
      </c>
      <c r="AH316" s="176">
        <f t="shared" si="119"/>
        <v>7</v>
      </c>
      <c r="AI316" s="225">
        <f t="shared" si="120"/>
        <v>1.598206005041344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18.740435026791591</v>
      </c>
      <c r="C317" s="840"/>
      <c r="D317" s="393">
        <f t="shared" si="102"/>
        <v>19.931148597218673</v>
      </c>
      <c r="E317" s="385">
        <f t="shared" si="125"/>
        <v>20.949334863676921</v>
      </c>
      <c r="F317" s="385">
        <f t="shared" si="103"/>
        <v>20.956507598345112</v>
      </c>
      <c r="G317" s="110">
        <f t="shared" si="126"/>
        <v>0.72130346982643467</v>
      </c>
      <c r="H317" s="414" t="b">
        <f>Wh_hp&gt;='2024'!Maxi_hp</f>
        <v>0</v>
      </c>
      <c r="I317" s="390">
        <f>IF(H317,Wh_hp,'2024'!Maxi_hp)</f>
        <v>25.646872317786048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5.9741342282363163E-2</v>
      </c>
      <c r="M317" s="844"/>
      <c r="N317" s="844"/>
      <c r="O317" s="48">
        <f>IF(t&lt;Tnet,'2024'!Resal+('2024'!Salim-'2024'!Resal)*(1-EXP(('2024'!Tnet-t)/('2024'!Tau_j))),Resal+(Salim-Resal)*(1-EXP((Tnet-t)/(Tau_j))))*Salcycl</f>
        <v>4.8602319504837121E-2</v>
      </c>
      <c r="P317" s="169">
        <f>(INDEX(Models!$BJ317:$BT317,,T317)*(1-R317)+INDEX(Models!$BJ317:$BT317,,T317+1)*R317-ERP_i)*Q317*Ramure*Pc/MaxiM</f>
        <v>5.6846091890543537E-4</v>
      </c>
      <c r="Q317" s="305">
        <f t="shared" si="105"/>
        <v>0.7</v>
      </c>
      <c r="R317" s="177">
        <f t="shared" si="106"/>
        <v>0.77826477192619437</v>
      </c>
      <c r="S317" s="810">
        <f t="shared" si="107"/>
        <v>-2</v>
      </c>
      <c r="T317" s="176">
        <f t="shared" si="108"/>
        <v>4</v>
      </c>
      <c r="U317" s="251">
        <f t="shared" si="109"/>
        <v>-1.2217352280738056</v>
      </c>
      <c r="V317" s="383">
        <f t="shared" si="110"/>
        <v>25.975467190999126</v>
      </c>
      <c r="W317" s="402">
        <f t="shared" si="111"/>
        <v>18.740435026791591</v>
      </c>
      <c r="X317" s="157">
        <f t="shared" si="112"/>
        <v>45960</v>
      </c>
      <c r="Y317" s="385">
        <f t="shared" si="113"/>
        <v>17.208444764228577</v>
      </c>
      <c r="Z317" s="385">
        <f t="shared" si="114"/>
        <v>18.301820060875567</v>
      </c>
      <c r="AA317" s="386">
        <f t="shared" si="115"/>
        <v>20.87957698224827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0.12345829245316128</v>
      </c>
      <c r="AD317" s="231">
        <f>(INDEX(Models!$BJ317:$BT317,,AH317)*(1-AF317)+INDEX(Models!$BJ317:$BT317,,AH317+1)*AF317-ERP_i)*AE317*Ramure*Pc/MaxiM</f>
        <v>6.0969840292993665E-3</v>
      </c>
      <c r="AE317" s="305">
        <f t="shared" si="117"/>
        <v>0.7</v>
      </c>
      <c r="AF317" s="177">
        <f t="shared" si="118"/>
        <v>0.59825482502537808</v>
      </c>
      <c r="AG317" s="810">
        <f t="shared" si="124"/>
        <v>1</v>
      </c>
      <c r="AH317" s="176">
        <f t="shared" si="119"/>
        <v>7</v>
      </c>
      <c r="AI317" s="225">
        <f t="shared" si="120"/>
        <v>1.5982548250253781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17.711621509472746</v>
      </c>
      <c r="C318" s="840"/>
      <c r="D318" s="393">
        <f t="shared" si="102"/>
        <v>18.837405589400504</v>
      </c>
      <c r="E318" s="385">
        <f t="shared" si="125"/>
        <v>19.802099251445554</v>
      </c>
      <c r="F318" s="385">
        <f t="shared" si="103"/>
        <v>19.808296547368151</v>
      </c>
      <c r="G318" s="110">
        <f t="shared" si="126"/>
        <v>0.68999529957240213</v>
      </c>
      <c r="H318" s="414" t="b">
        <f>Wh_hp&gt;='2024'!Maxi_hp</f>
        <v>0</v>
      </c>
      <c r="I318" s="390">
        <f>IF(H318,Wh_hp,'2024'!Maxi_hp)</f>
        <v>29.156794138449072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5.9763223474957661E-2</v>
      </c>
      <c r="M318" s="844"/>
      <c r="N318" s="844"/>
      <c r="O318" s="48">
        <f>IF(t&lt;Tnet,'2024'!Resal+('2024'!Salim-'2024'!Resal)*(1-EXP(('2024'!Tnet-t)/('2024'!Tau_j))),Resal+(Salim-Resal)*(1-EXP((Tnet-t)/(Tau_j))))*Salcycl</f>
        <v>4.8716737038605976E-2</v>
      </c>
      <c r="P318" s="169">
        <f>(INDEX(Models!$BJ318:$BT318,,T318)*(1-R318)+INDEX(Models!$BJ318:$BT318,,T318+1)*R318-ERP_i)*Q318*Ramure*Pc/MaxiM</f>
        <v>5.6131003716659584E-4</v>
      </c>
      <c r="Q318" s="305">
        <f t="shared" si="105"/>
        <v>0.7</v>
      </c>
      <c r="R318" s="177">
        <f t="shared" si="106"/>
        <v>0.77831163749888299</v>
      </c>
      <c r="S318" s="810">
        <f t="shared" si="107"/>
        <v>-2</v>
      </c>
      <c r="T318" s="176">
        <f t="shared" si="108"/>
        <v>4</v>
      </c>
      <c r="U318" s="251">
        <f t="shared" si="109"/>
        <v>-1.221688362501117</v>
      </c>
      <c r="V318" s="383">
        <f t="shared" si="110"/>
        <v>25.662812130585596</v>
      </c>
      <c r="W318" s="402">
        <f t="shared" si="111"/>
        <v>17.711621509472746</v>
      </c>
      <c r="X318" s="157">
        <f t="shared" si="112"/>
        <v>45961</v>
      </c>
      <c r="Y318" s="385">
        <f t="shared" si="113"/>
        <v>16.271284266771897</v>
      </c>
      <c r="Z318" s="385">
        <f t="shared" si="114"/>
        <v>17.305517794047407</v>
      </c>
      <c r="AA318" s="386">
        <f t="shared" si="115"/>
        <v>19.742492635097513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0.12343805243304178</v>
      </c>
      <c r="AD318" s="231">
        <f>(INDEX(Models!$BJ318:$BT318,,AH318)*(1-AF318)+INDEX(Models!$BJ318:$BT318,,AH318+1)*AF318-ERP_i)*AE318*Ramure*Pc/MaxiM</f>
        <v>5.9600827366756643E-3</v>
      </c>
      <c r="AE318" s="305">
        <f t="shared" si="117"/>
        <v>0.7</v>
      </c>
      <c r="AF318" s="177">
        <f t="shared" si="118"/>
        <v>0.59830169059806693</v>
      </c>
      <c r="AG318" s="810">
        <f t="shared" si="124"/>
        <v>1</v>
      </c>
      <c r="AH318" s="176">
        <f t="shared" si="119"/>
        <v>7</v>
      </c>
      <c r="AI318" s="225">
        <f t="shared" si="120"/>
        <v>1.5983016905980669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17.792396065424956</v>
      </c>
      <c r="C319" s="840"/>
      <c r="D319" s="393">
        <f t="shared" si="102"/>
        <v>18.923754711945595</v>
      </c>
      <c r="E319" s="385">
        <f t="shared" si="125"/>
        <v>19.89525413502529</v>
      </c>
      <c r="F319" s="385">
        <f t="shared" si="103"/>
        <v>19.901562727672715</v>
      </c>
      <c r="G319" s="110">
        <f t="shared" si="126"/>
        <v>0.70166909348711326</v>
      </c>
      <c r="H319" s="414" t="b">
        <f>Wh_hp&gt;='2024'!Maxi_hp</f>
        <v>0</v>
      </c>
      <c r="I319" s="390">
        <f>IF(H319,Wh_hp,'2024'!Maxi_hp)</f>
        <v>28.781907422136918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5.9785104158344926E-2</v>
      </c>
      <c r="M319" s="844"/>
      <c r="N319" s="844"/>
      <c r="O319" s="48">
        <f>IF(t&lt;Tnet,'2024'!Resal+('2024'!Salim-'2024'!Resal)*(1-EXP(('2024'!Tnet-t)/('2024'!Tau_j))),Resal+(Salim-Resal)*(1-EXP((Tnet-t)/(Tau_j))))*Salcycl</f>
        <v>4.8830711911811479E-2</v>
      </c>
      <c r="P319" s="169">
        <f>(INDEX(Models!$BJ319:$BT319,,T319)*(1-R319)+INDEX(Models!$BJ319:$BT319,,T319+1)*R319-ERP_i)*Q319*Ramure*Pc/MaxiM</f>
        <v>5.5220002583232205E-4</v>
      </c>
      <c r="Q319" s="305">
        <f t="shared" si="105"/>
        <v>0.7</v>
      </c>
      <c r="R319" s="177">
        <f t="shared" si="106"/>
        <v>0.77835662646859638</v>
      </c>
      <c r="S319" s="810">
        <f t="shared" si="107"/>
        <v>-2</v>
      </c>
      <c r="T319" s="176">
        <f t="shared" si="108"/>
        <v>4</v>
      </c>
      <c r="U319" s="251">
        <f t="shared" si="109"/>
        <v>-1.2216433735314036</v>
      </c>
      <c r="V319" s="383">
        <f t="shared" si="110"/>
        <v>25.351280183581409</v>
      </c>
      <c r="W319" s="402">
        <f t="shared" si="111"/>
        <v>17.792396065424956</v>
      </c>
      <c r="X319" s="157">
        <f t="shared" si="112"/>
        <v>45962</v>
      </c>
      <c r="Y319" s="385">
        <f t="shared" si="113"/>
        <v>16.347646090933431</v>
      </c>
      <c r="Z319" s="385">
        <f t="shared" si="114"/>
        <v>17.387137943926593</v>
      </c>
      <c r="AA319" s="386">
        <f t="shared" si="115"/>
        <v>19.835140785066809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0.12341746739620998</v>
      </c>
      <c r="AD319" s="231">
        <f>(INDEX(Models!$BJ319:$BT319,,AH319)*(1-AF319)+INDEX(Models!$BJ319:$BT319,,AH319+1)*AF319-ERP_i)*AE319*Ramure*Pc/MaxiM</f>
        <v>5.8140064627211505E-3</v>
      </c>
      <c r="AE319" s="305">
        <f t="shared" si="117"/>
        <v>0.7</v>
      </c>
      <c r="AF319" s="177">
        <f t="shared" si="118"/>
        <v>0.59834667956778009</v>
      </c>
      <c r="AG319" s="810">
        <f t="shared" si="124"/>
        <v>1</v>
      </c>
      <c r="AH319" s="176">
        <f t="shared" si="119"/>
        <v>7</v>
      </c>
      <c r="AI319" s="225">
        <f t="shared" si="120"/>
        <v>1.5983466795677801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24.106198783769724</v>
      </c>
      <c r="C320" s="840"/>
      <c r="D320" s="393">
        <f t="shared" si="102"/>
        <v>25.639627589294751</v>
      </c>
      <c r="E320" s="385">
        <f t="shared" si="125"/>
        <v>26.959122815414755</v>
      </c>
      <c r="F320" s="385">
        <f t="shared" si="103"/>
        <v>26.972938710100351</v>
      </c>
      <c r="G320" s="110">
        <f t="shared" si="126"/>
        <v>0.96262763922915051</v>
      </c>
      <c r="H320" s="414" t="b">
        <f>Wh_hp&gt;='2024'!Maxi_hp</f>
        <v>1</v>
      </c>
      <c r="I320" s="390">
        <f>IF(H320,Wh_hp,'2024'!Maxi_hp)</f>
        <v>26.972938710100351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5.9806984332536728E-2</v>
      </c>
      <c r="M320" s="844"/>
      <c r="N320" s="844"/>
      <c r="O320" s="48">
        <f>IF(t&lt;Tnet,'2024'!Resal+('2024'!Salim-'2024'!Resal)*(1-EXP(('2024'!Tnet-t)/('2024'!Tau_j))),Resal+(Salim-Resal)*(1-EXP((Tnet-t)/(Tau_j))))*Salcycl</f>
        <v>4.8944293742581989E-2</v>
      </c>
      <c r="P320" s="169">
        <f>(INDEX(Models!$BJ320:$BT320,,T320)*(1-R320)+INDEX(Models!$BJ320:$BT320,,T320+1)*R320-ERP_i)*Q320*Ramure*Pc/MaxiM</f>
        <v>5.410794249573256E-4</v>
      </c>
      <c r="Q320" s="305">
        <f t="shared" si="105"/>
        <v>0.7</v>
      </c>
      <c r="R320" s="177">
        <f t="shared" si="106"/>
        <v>0.77839981358007959</v>
      </c>
      <c r="S320" s="810">
        <f t="shared" si="107"/>
        <v>-2</v>
      </c>
      <c r="T320" s="176">
        <f t="shared" si="108"/>
        <v>4</v>
      </c>
      <c r="U320" s="251">
        <f t="shared" si="109"/>
        <v>-1.2216001864199204</v>
      </c>
      <c r="V320" s="383">
        <f t="shared" si="110"/>
        <v>25.041357207447707</v>
      </c>
      <c r="W320" s="402">
        <f t="shared" si="111"/>
        <v>24.106198783769724</v>
      </c>
      <c r="X320" s="157">
        <f t="shared" si="112"/>
        <v>45963</v>
      </c>
      <c r="Y320" s="385">
        <f t="shared" si="113"/>
        <v>22.111378170111728</v>
      </c>
      <c r="Z320" s="385">
        <f t="shared" si="114"/>
        <v>23.517913664157973</v>
      </c>
      <c r="AA320" s="386">
        <f t="shared" si="115"/>
        <v>26.828455543153883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0.12339666268417369</v>
      </c>
      <c r="AD320" s="231">
        <f>(INDEX(Models!$BJ320:$BT320,,AH320)*(1-AF320)+INDEX(Models!$BJ320:$BT320,,AH320+1)*AF320-ERP_i)*AE320*Ramure*Pc/MaxiM</f>
        <v>5.6584731330431475E-3</v>
      </c>
      <c r="AE320" s="305">
        <f t="shared" si="117"/>
        <v>0.7</v>
      </c>
      <c r="AF320" s="177">
        <f t="shared" si="118"/>
        <v>0.59838986667926353</v>
      </c>
      <c r="AG320" s="810">
        <f t="shared" si="124"/>
        <v>1</v>
      </c>
      <c r="AH320" s="176">
        <f t="shared" si="119"/>
        <v>7</v>
      </c>
      <c r="AI320" s="225">
        <f t="shared" si="120"/>
        <v>1.5983898666792635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9.8139287425825223</v>
      </c>
      <c r="C321" s="840"/>
      <c r="D321" s="393">
        <f t="shared" si="102"/>
        <v>10.438449306485511</v>
      </c>
      <c r="E321" s="385">
        <f t="shared" si="125"/>
        <v>10.976951469355953</v>
      </c>
      <c r="F321" s="385">
        <f t="shared" si="103"/>
        <v>10.977752737568824</v>
      </c>
      <c r="G321" s="110">
        <f t="shared" si="126"/>
        <v>0.39660592220825563</v>
      </c>
      <c r="H321" s="414" t="b">
        <f>Wh_hp&gt;='2024'!Maxi_hp</f>
        <v>0</v>
      </c>
      <c r="I321" s="390">
        <f>IF(H321,Wh_hp,'2024'!Maxi_hp)</f>
        <v>25.62517790632015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5.9828863997544945E-2</v>
      </c>
      <c r="M321" s="844"/>
      <c r="N321" s="844"/>
      <c r="O321" s="48">
        <f>IF(t&lt;Tnet,'2024'!Resal+('2024'!Salim-'2024'!Resal)*(1-EXP(('2024'!Tnet-t)/('2024'!Tau_j))),Resal+(Salim-Resal)*(1-EXP((Tnet-t)/(Tau_j))))*Salcycl</f>
        <v>4.9057533357395489E-2</v>
      </c>
      <c r="P321" s="169">
        <f>(INDEX(Models!$BJ321:$BT321,,T321)*(1-R321)+INDEX(Models!$BJ321:$BT321,,T321+1)*R321-ERP_i)*Q321*Ramure*Pc/MaxiM</f>
        <v>5.2789556474733268E-4</v>
      </c>
      <c r="Q321" s="305">
        <f t="shared" si="105"/>
        <v>0.7</v>
      </c>
      <c r="R321" s="177">
        <f t="shared" si="106"/>
        <v>0.77844127063239421</v>
      </c>
      <c r="S321" s="810">
        <f t="shared" si="107"/>
        <v>-2</v>
      </c>
      <c r="T321" s="176">
        <f t="shared" si="108"/>
        <v>4</v>
      </c>
      <c r="U321" s="251">
        <f t="shared" si="109"/>
        <v>-1.2215587293676058</v>
      </c>
      <c r="V321" s="383">
        <f t="shared" si="110"/>
        <v>24.733528821531284</v>
      </c>
      <c r="W321" s="402">
        <f t="shared" si="111"/>
        <v>9.8139287425825223</v>
      </c>
      <c r="X321" s="157">
        <f t="shared" si="112"/>
        <v>45964</v>
      </c>
      <c r="Y321" s="385">
        <f t="shared" si="113"/>
        <v>9.0407372701424098</v>
      </c>
      <c r="Z321" s="385">
        <f t="shared" si="114"/>
        <v>9.6160549116440883</v>
      </c>
      <c r="AA321" s="386">
        <f t="shared" si="115"/>
        <v>10.969414867246488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0.12337576543334047</v>
      </c>
      <c r="AD321" s="231">
        <f>(INDEX(Models!$BJ321:$BT321,,AH321)*(1-AF321)+INDEX(Models!$BJ321:$BT321,,AH321+1)*AF321-ERP_i)*AE321*Ramure*Pc/MaxiM</f>
        <v>5.4931977730974671E-3</v>
      </c>
      <c r="AE321" s="305">
        <f t="shared" si="117"/>
        <v>0.7</v>
      </c>
      <c r="AF321" s="177">
        <f t="shared" si="118"/>
        <v>0.59843132373157815</v>
      </c>
      <c r="AG321" s="810">
        <f t="shared" si="124"/>
        <v>1</v>
      </c>
      <c r="AH321" s="176">
        <f t="shared" si="119"/>
        <v>7</v>
      </c>
      <c r="AI321" s="225">
        <f t="shared" si="120"/>
        <v>1.5984313237315781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16.251510842770056</v>
      </c>
      <c r="C322" s="840"/>
      <c r="D322" s="393">
        <f t="shared" si="102"/>
        <v>17.286096568623275</v>
      </c>
      <c r="E322" s="385">
        <f t="shared" si="125"/>
        <v>18.180016766239078</v>
      </c>
      <c r="F322" s="385">
        <f t="shared" si="103"/>
        <v>18.184880904297106</v>
      </c>
      <c r="G322" s="110">
        <f t="shared" si="126"/>
        <v>0.66511134040558351</v>
      </c>
      <c r="H322" s="414" t="b">
        <f>Wh_hp&gt;='2024'!Maxi_hp</f>
        <v>0</v>
      </c>
      <c r="I322" s="390">
        <f>IF(H322,Wh_hp,'2024'!Maxi_hp)</f>
        <v>21.931273937161258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5.9850743153381347E-2</v>
      </c>
      <c r="M322" s="844"/>
      <c r="N322" s="844"/>
      <c r="O322" s="48">
        <f>IF(t&lt;Tnet,'2024'!Resal+('2024'!Salim-'2024'!Resal)*(1-EXP(('2024'!Tnet-t)/('2024'!Tau_j))),Resal+(Salim-Resal)*(1-EXP((Tnet-t)/(Tau_j))))*Salcycl</f>
        <v>4.9170482574902925E-2</v>
      </c>
      <c r="P322" s="169">
        <f>(INDEX(Models!$BJ322:$BT322,,T322)*(1-R322)+INDEX(Models!$BJ322:$BT322,,T322+1)*R322-ERP_i)*Q322*Ramure*Pc/MaxiM</f>
        <v>5.12594775232032E-4</v>
      </c>
      <c r="Q322" s="305">
        <f t="shared" si="105"/>
        <v>0.7</v>
      </c>
      <c r="R322" s="177">
        <f t="shared" si="106"/>
        <v>0.77848106659253213</v>
      </c>
      <c r="S322" s="810">
        <f t="shared" si="107"/>
        <v>-2</v>
      </c>
      <c r="T322" s="176">
        <f t="shared" si="108"/>
        <v>4</v>
      </c>
      <c r="U322" s="251">
        <f t="shared" si="109"/>
        <v>-1.2215189334074679</v>
      </c>
      <c r="V322" s="383">
        <f t="shared" si="110"/>
        <v>24.428280418221636</v>
      </c>
      <c r="W322" s="402">
        <f t="shared" si="111"/>
        <v>16.251510842770056</v>
      </c>
      <c r="X322" s="157">
        <f t="shared" si="112"/>
        <v>45965</v>
      </c>
      <c r="Y322" s="385">
        <f t="shared" si="113"/>
        <v>14.945974578701291</v>
      </c>
      <c r="Z322" s="385">
        <f t="shared" si="114"/>
        <v>15.897448697488747</v>
      </c>
      <c r="AA322" s="386">
        <f t="shared" si="115"/>
        <v>18.134418101852109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0.12335490401728944</v>
      </c>
      <c r="AD322" s="231">
        <f>(INDEX(Models!$BJ322:$BT322,,AH322)*(1-AF322)+INDEX(Models!$BJ322:$BT322,,AH322+1)*AF322-ERP_i)*AE322*Ramure*Pc/MaxiM</f>
        <v>5.3178936469882821E-3</v>
      </c>
      <c r="AE322" s="305">
        <f t="shared" si="117"/>
        <v>0.7</v>
      </c>
      <c r="AF322" s="177">
        <f t="shared" si="118"/>
        <v>0.59847111969171585</v>
      </c>
      <c r="AG322" s="810">
        <f t="shared" si="124"/>
        <v>1</v>
      </c>
      <c r="AH322" s="176">
        <f t="shared" si="119"/>
        <v>7</v>
      </c>
      <c r="AI322" s="225">
        <f t="shared" si="120"/>
        <v>1.5984711196917158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24.600650477930259</v>
      </c>
      <c r="C323" s="840"/>
      <c r="D323" s="393">
        <f t="shared" si="102"/>
        <v>26.167358858363446</v>
      </c>
      <c r="E323" s="385">
        <f t="shared" si="125"/>
        <v>27.523820650576756</v>
      </c>
      <c r="F323" s="385">
        <f t="shared" si="103"/>
        <v>27.537455067889493</v>
      </c>
      <c r="G323" s="110">
        <f t="shared" si="126"/>
        <v>1.0196697086355615</v>
      </c>
      <c r="H323" s="414" t="b">
        <f>Wh_hp&gt;='2024'!Maxi_hp</f>
        <v>1</v>
      </c>
      <c r="I323" s="390">
        <f>IF(H323,Wh_hp,'2024'!Maxi_hp)</f>
        <v>27.537455067889493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5.9872621800057813E-2</v>
      </c>
      <c r="M323" s="844"/>
      <c r="N323" s="844"/>
      <c r="O323" s="48">
        <f>IF(t&lt;Tnet,'2024'!Resal+('2024'!Salim-'2024'!Resal)*(1-EXP(('2024'!Tnet-t)/('2024'!Tau_j))),Resal+(Salim-Resal)*(1-EXP((Tnet-t)/(Tau_j))))*Salcycl</f>
        <v>4.9283193980734115E-2</v>
      </c>
      <c r="P323" s="169">
        <f>(INDEX(Models!$BJ323:$BT323,,T323)*(1-R323)+INDEX(Models!$BJ323:$BT323,,T323+1)*R323-ERP_i)*Q323*Ramure*Pc/MaxiM</f>
        <v>4.9512263493937958E-4</v>
      </c>
      <c r="Q323" s="305">
        <f t="shared" si="105"/>
        <v>0.7</v>
      </c>
      <c r="R323" s="177">
        <f t="shared" si="106"/>
        <v>0.77851926770484381</v>
      </c>
      <c r="S323" s="810">
        <f t="shared" si="107"/>
        <v>-2</v>
      </c>
      <c r="T323" s="176">
        <f t="shared" si="108"/>
        <v>4</v>
      </c>
      <c r="U323" s="251">
        <f t="shared" si="109"/>
        <v>-1.2214807322951562</v>
      </c>
      <c r="V323" s="383">
        <f t="shared" si="110"/>
        <v>24.126097175965768</v>
      </c>
      <c r="W323" s="402">
        <f t="shared" si="111"/>
        <v>24.600650477930259</v>
      </c>
      <c r="X323" s="157">
        <f t="shared" si="112"/>
        <v>45966</v>
      </c>
      <c r="Y323" s="385">
        <f t="shared" si="113"/>
        <v>22.579270429033841</v>
      </c>
      <c r="Z323" s="385">
        <f t="shared" si="114"/>
        <v>24.017245910087496</v>
      </c>
      <c r="AA323" s="386">
        <f t="shared" si="115"/>
        <v>27.396125313509291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0.12333420747479344</v>
      </c>
      <c r="AD323" s="231">
        <f>(INDEX(Models!$BJ323:$BT323,,AH323)*(1-AF323)+INDEX(Models!$BJ323:$BT323,,AH323+1)*AF323-ERP_i)*AE323*Ramure*Pc/MaxiM</f>
        <v>5.1322736262945532E-3</v>
      </c>
      <c r="AE323" s="305">
        <f t="shared" si="117"/>
        <v>0.7</v>
      </c>
      <c r="AF323" s="177">
        <f t="shared" si="118"/>
        <v>0.5985093208040273</v>
      </c>
      <c r="AG323" s="810">
        <f t="shared" si="124"/>
        <v>1</v>
      </c>
      <c r="AH323" s="176">
        <f t="shared" si="119"/>
        <v>7</v>
      </c>
      <c r="AI323" s="225">
        <f t="shared" si="120"/>
        <v>1.5985093208040273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23.979418932413587</v>
      </c>
      <c r="C324" s="840"/>
      <c r="D324" s="393">
        <f t="shared" si="102"/>
        <v>25.507157367786476</v>
      </c>
      <c r="E324" s="385">
        <f t="shared" si="125"/>
        <v>26.832571579026379</v>
      </c>
      <c r="F324" s="385">
        <f t="shared" si="103"/>
        <v>26.845351396055356</v>
      </c>
      <c r="G324" s="110">
        <f t="shared" si="126"/>
        <v>1.0063779322927229</v>
      </c>
      <c r="H324" s="414" t="b">
        <f>Wh_hp&gt;='2024'!Maxi_hp</f>
        <v>1</v>
      </c>
      <c r="I324" s="390">
        <f>IF(H324,Wh_hp,'2024'!Maxi_hp)</f>
        <v>26.845351396055356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5.9894499937586221E-2</v>
      </c>
      <c r="M324" s="844"/>
      <c r="N324" s="844"/>
      <c r="O324" s="48">
        <f>IF(t&lt;Tnet,'2024'!Resal+('2024'!Salim-'2024'!Resal)*(1-EXP(('2024'!Tnet-t)/('2024'!Tau_j))),Resal+(Salim-Resal)*(1-EXP((Tnet-t)/(Tau_j))))*Salcycl</f>
        <v>4.9395720694765936E-2</v>
      </c>
      <c r="P324" s="169">
        <f>(INDEX(Models!$BJ324:$BT324,,T324)*(1-R324)+INDEX(Models!$BJ324:$BT324,,T324+1)*R324-ERP_i)*Q324*Ramure*Pc/MaxiM</f>
        <v>4.760532592938275E-4</v>
      </c>
      <c r="Q324" s="305">
        <f t="shared" si="105"/>
        <v>0.7</v>
      </c>
      <c r="R324" s="177">
        <f t="shared" si="106"/>
        <v>0.77855593759641906</v>
      </c>
      <c r="S324" s="810">
        <f t="shared" si="107"/>
        <v>-2</v>
      </c>
      <c r="T324" s="176">
        <f t="shared" si="108"/>
        <v>4</v>
      </c>
      <c r="U324" s="251">
        <f t="shared" si="109"/>
        <v>-1.2214440624035809</v>
      </c>
      <c r="V324" s="383">
        <f t="shared" si="110"/>
        <v>23.827449075501736</v>
      </c>
      <c r="W324" s="402">
        <f t="shared" si="111"/>
        <v>23.979418932413587</v>
      </c>
      <c r="X324" s="157">
        <f t="shared" si="112"/>
        <v>45967</v>
      </c>
      <c r="Y324" s="385">
        <f t="shared" si="113"/>
        <v>22.015973763917909</v>
      </c>
      <c r="Z324" s="385">
        <f t="shared" si="114"/>
        <v>23.418620317034911</v>
      </c>
      <c r="AA324" s="386">
        <f t="shared" si="115"/>
        <v>26.712660070000688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0.12331380492746608</v>
      </c>
      <c r="AD324" s="231">
        <f>(INDEX(Models!$BJ324:$BT324,,AH324)*(1-AF324)+INDEX(Models!$BJ324:$BT324,,AH324+1)*AF324-ERP_i)*AE324*Ramure*Pc/MaxiM</f>
        <v>4.9428045882895424E-3</v>
      </c>
      <c r="AE324" s="305">
        <f t="shared" si="117"/>
        <v>0.7</v>
      </c>
      <c r="AF324" s="177">
        <f t="shared" si="118"/>
        <v>0.59854599069560277</v>
      </c>
      <c r="AG324" s="810">
        <f t="shared" si="124"/>
        <v>1</v>
      </c>
      <c r="AH324" s="176">
        <f t="shared" si="119"/>
        <v>7</v>
      </c>
      <c r="AI324" s="225">
        <f t="shared" si="120"/>
        <v>1.5985459906956028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21.967861132030897</v>
      </c>
      <c r="C325" s="840"/>
      <c r="D325" s="393">
        <f t="shared" si="102"/>
        <v>23.367986217175783</v>
      </c>
      <c r="E325" s="385">
        <f t="shared" si="125"/>
        <v>24.585150713849863</v>
      </c>
      <c r="F325" s="385">
        <f t="shared" si="103"/>
        <v>24.595322347800277</v>
      </c>
      <c r="G325" s="110">
        <f t="shared" si="126"/>
        <v>0.93345981284461244</v>
      </c>
      <c r="H325" s="414" t="b">
        <f>Wh_hp&gt;='2024'!Maxi_hp</f>
        <v>1</v>
      </c>
      <c r="I325" s="390">
        <f>IF(H325,Wh_hp,'2024'!Maxi_hp)</f>
        <v>24.595322347800277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5.9916377565978451E-2</v>
      </c>
      <c r="M325" s="844"/>
      <c r="N325" s="844"/>
      <c r="O325" s="48">
        <f>IF(t&lt;Tnet,'2024'!Resal+('2024'!Salim-'2024'!Resal)*(1-EXP(('2024'!Tnet-t)/('2024'!Tau_j))),Resal+(Salim-Resal)*(1-EXP((Tnet-t)/(Tau_j))))*Salcycl</f>
        <v>4.9508116132409866E-2</v>
      </c>
      <c r="P325" s="169">
        <f>(INDEX(Models!$BJ325:$BT325,,T325)*(1-R325)+INDEX(Models!$BJ325:$BT325,,T325+1)*R325-ERP_i)*Q325*Ramure*Pc/MaxiM</f>
        <v>4.5697178012042483E-4</v>
      </c>
      <c r="Q325" s="305">
        <f t="shared" si="105"/>
        <v>0.7</v>
      </c>
      <c r="R325" s="177">
        <f t="shared" si="106"/>
        <v>0.7785911373785559</v>
      </c>
      <c r="S325" s="810">
        <f t="shared" si="107"/>
        <v>-2</v>
      </c>
      <c r="T325" s="176">
        <f t="shared" si="108"/>
        <v>4</v>
      </c>
      <c r="U325" s="251">
        <f t="shared" si="109"/>
        <v>-1.2214088626214441</v>
      </c>
      <c r="V325" s="383">
        <f t="shared" si="110"/>
        <v>23.53278284130624</v>
      </c>
      <c r="W325" s="402">
        <f t="shared" si="111"/>
        <v>21.967861132030897</v>
      </c>
      <c r="X325" s="157">
        <f t="shared" si="112"/>
        <v>45968</v>
      </c>
      <c r="Y325" s="385">
        <f t="shared" si="113"/>
        <v>20.183544820250127</v>
      </c>
      <c r="Z325" s="385">
        <f t="shared" si="114"/>
        <v>21.469946224562253</v>
      </c>
      <c r="AA325" s="386">
        <f t="shared" si="115"/>
        <v>24.489329306186828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0.12329382499102495</v>
      </c>
      <c r="AD325" s="231">
        <f>(INDEX(Models!$BJ325:$BT325,,AH325)*(1-AF325)+INDEX(Models!$BJ325:$BT325,,AH325+1)*AF325-ERP_i)*AE325*Ramure*Pc/MaxiM</f>
        <v>4.7618533209693743E-3</v>
      </c>
      <c r="AE325" s="305">
        <f t="shared" si="117"/>
        <v>0.7</v>
      </c>
      <c r="AF325" s="177">
        <f t="shared" si="118"/>
        <v>0.59858119047773961</v>
      </c>
      <c r="AG325" s="810">
        <f t="shared" si="124"/>
        <v>1</v>
      </c>
      <c r="AH325" s="176">
        <f t="shared" si="119"/>
        <v>7</v>
      </c>
      <c r="AI325" s="225">
        <f t="shared" si="120"/>
        <v>1.5985811904777396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16.231203177944021</v>
      </c>
      <c r="C326" s="840"/>
      <c r="D326" s="393">
        <f t="shared" si="102"/>
        <v>17.26610327336472</v>
      </c>
      <c r="E326" s="385">
        <f t="shared" si="125"/>
        <v>18.167586811344108</v>
      </c>
      <c r="F326" s="385">
        <f t="shared" si="103"/>
        <v>18.172114856889749</v>
      </c>
      <c r="G326" s="110">
        <f t="shared" si="126"/>
        <v>0.69820720899859379</v>
      </c>
      <c r="H326" s="414" t="b">
        <f>Wh_hp&gt;='2024'!Maxi_hp</f>
        <v>0</v>
      </c>
      <c r="I326" s="390">
        <f>IF(H326,Wh_hp,'2024'!Maxi_hp)</f>
        <v>19.495056583324676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5.9938254685246273E-2</v>
      </c>
      <c r="M326" s="844"/>
      <c r="N326" s="844"/>
      <c r="O326" s="48">
        <f>IF(t&lt;Tnet,'2024'!Resal+('2024'!Salim-'2024'!Resal)*(1-EXP(('2024'!Tnet-t)/('2024'!Tau_j))),Resal+(Salim-Resal)*(1-EXP((Tnet-t)/(Tau_j))))*Salcycl</f>
        <v>4.9620433761543306E-2</v>
      </c>
      <c r="P326" s="169">
        <f>(INDEX(Models!$BJ326:$BT326,,T326)*(1-R326)+INDEX(Models!$BJ326:$BT326,,T326+1)*R326-ERP_i)*Q326*Ramure*Pc/MaxiM</f>
        <v>4.378753573336914E-4</v>
      </c>
      <c r="Q326" s="305">
        <f t="shared" si="105"/>
        <v>0.7</v>
      </c>
      <c r="R326" s="177">
        <f t="shared" si="106"/>
        <v>0.77862492574444886</v>
      </c>
      <c r="S326" s="810">
        <f t="shared" si="107"/>
        <v>-2</v>
      </c>
      <c r="T326" s="176">
        <f t="shared" si="108"/>
        <v>4</v>
      </c>
      <c r="U326" s="251">
        <f t="shared" si="109"/>
        <v>-1.2213750742555511</v>
      </c>
      <c r="V326" s="383">
        <f t="shared" si="110"/>
        <v>23.242583833947769</v>
      </c>
      <c r="W326" s="402">
        <f t="shared" si="111"/>
        <v>16.231203177944021</v>
      </c>
      <c r="X326" s="157">
        <f t="shared" si="112"/>
        <v>45969</v>
      </c>
      <c r="Y326" s="385">
        <f t="shared" si="113"/>
        <v>14.937908705940742</v>
      </c>
      <c r="Z326" s="385">
        <f t="shared" si="114"/>
        <v>15.890348458908086</v>
      </c>
      <c r="AA326" s="386">
        <f t="shared" si="115"/>
        <v>18.124654249430243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0.1232743951842499</v>
      </c>
      <c r="AD326" s="231">
        <f>(INDEX(Models!$BJ326:$BT326,,AH326)*(1-AF326)+INDEX(Models!$BJ326:$BT326,,AH326+1)*AF326-ERP_i)*AE326*Ramure*Pc/MaxiM</f>
        <v>4.5895807012399587E-3</v>
      </c>
      <c r="AE326" s="305">
        <f t="shared" si="117"/>
        <v>0.7</v>
      </c>
      <c r="AF326" s="177">
        <f t="shared" si="118"/>
        <v>0.59861497884363235</v>
      </c>
      <c r="AG326" s="810">
        <f t="shared" si="124"/>
        <v>1</v>
      </c>
      <c r="AH326" s="176">
        <f t="shared" si="119"/>
        <v>7</v>
      </c>
      <c r="AI326" s="225">
        <f t="shared" si="120"/>
        <v>1.5986149788436324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8.6860838550899988</v>
      </c>
      <c r="C327" s="840"/>
      <c r="D327" s="393">
        <f t="shared" si="102"/>
        <v>9.2401228333641505</v>
      </c>
      <c r="E327" s="385">
        <f t="shared" si="125"/>
        <v>9.7237094178779913</v>
      </c>
      <c r="F327" s="385">
        <f t="shared" si="103"/>
        <v>9.724165247858771</v>
      </c>
      <c r="G327" s="110">
        <f t="shared" si="126"/>
        <v>0.37821692410645436</v>
      </c>
      <c r="H327" s="414" t="b">
        <f>Wh_hp&gt;='2024'!Maxi_hp</f>
        <v>0</v>
      </c>
      <c r="I327" s="390">
        <f>IF(H327,Wh_hp,'2024'!Maxi_hp)</f>
        <v>19.997041581744018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5.9960131295401564E-2</v>
      </c>
      <c r="M327" s="844"/>
      <c r="N327" s="844"/>
      <c r="O327" s="48">
        <f>IF(t&lt;Tnet,'2024'!Resal+('2024'!Salim-'2024'!Resal)*(1-EXP(('2024'!Tnet-t)/('2024'!Tau_j))),Resal+(Salim-Resal)*(1-EXP((Tnet-t)/(Tau_j))))*Salcycl</f>
        <v>4.9732726856760986E-2</v>
      </c>
      <c r="P327" s="169">
        <f>(INDEX(Models!$BJ327:$BT327,,T327)*(1-R327)+INDEX(Models!$BJ327:$BT327,,T327+1)*R327-ERP_i)*Q327*Ramure*Pc/MaxiM</f>
        <v>4.1876200181505319E-4</v>
      </c>
      <c r="Q327" s="305">
        <f t="shared" si="105"/>
        <v>0.7</v>
      </c>
      <c r="R327" s="177">
        <f t="shared" si="106"/>
        <v>0.77865735906322442</v>
      </c>
      <c r="S327" s="810">
        <f t="shared" si="107"/>
        <v>-2</v>
      </c>
      <c r="T327" s="176">
        <f t="shared" si="108"/>
        <v>4</v>
      </c>
      <c r="U327" s="251">
        <f t="shared" si="109"/>
        <v>-1.2213426409367756</v>
      </c>
      <c r="V327" s="383">
        <f t="shared" si="110"/>
        <v>22.957337224369617</v>
      </c>
      <c r="W327" s="402">
        <f t="shared" si="111"/>
        <v>8.6860838550899988</v>
      </c>
      <c r="X327" s="157">
        <f t="shared" si="112"/>
        <v>45970</v>
      </c>
      <c r="Y327" s="385">
        <f t="shared" si="113"/>
        <v>8.0104396739673973</v>
      </c>
      <c r="Z327" s="385">
        <f t="shared" si="114"/>
        <v>8.5213829122013838</v>
      </c>
      <c r="AA327" s="386">
        <f t="shared" si="115"/>
        <v>9.7193472966544476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0.12325564133976585</v>
      </c>
      <c r="AD327" s="231">
        <f>(INDEX(Models!$BJ327:$BT327,,AH327)*(1-AF327)+INDEX(Models!$BJ327:$BT327,,AH327+1)*AF327-ERP_i)*AE327*Ramure*Pc/MaxiM</f>
        <v>4.4261566286485773E-3</v>
      </c>
      <c r="AE327" s="305">
        <f t="shared" si="117"/>
        <v>0.7</v>
      </c>
      <c r="AF327" s="177">
        <f t="shared" si="118"/>
        <v>0.59864741216240813</v>
      </c>
      <c r="AG327" s="810">
        <f t="shared" si="124"/>
        <v>1</v>
      </c>
      <c r="AH327" s="176">
        <f t="shared" si="119"/>
        <v>7</v>
      </c>
      <c r="AI327" s="225">
        <f t="shared" si="120"/>
        <v>1.5986474121624081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18.403584967759375</v>
      </c>
      <c r="C328" s="840"/>
      <c r="D328" s="393">
        <f t="shared" si="102"/>
        <v>19.57790713855108</v>
      </c>
      <c r="E328" s="385">
        <f t="shared" si="125"/>
        <v>20.604962488010226</v>
      </c>
      <c r="F328" s="385">
        <f t="shared" si="103"/>
        <v>20.610981620956125</v>
      </c>
      <c r="G328" s="110">
        <f t="shared" si="126"/>
        <v>0.81144665544846217</v>
      </c>
      <c r="H328" s="414" t="b">
        <f>Wh_hp&gt;='2024'!Maxi_hp</f>
        <v>1</v>
      </c>
      <c r="I328" s="390">
        <f>IF(H328,Wh_hp,'2024'!Maxi_hp)</f>
        <v>20.610981620956125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5.9982007396456205E-2</v>
      </c>
      <c r="M328" s="844"/>
      <c r="N328" s="844"/>
      <c r="O328" s="48">
        <f>IF(t&lt;Tnet,'2024'!Resal+('2024'!Salim-'2024'!Resal)*(1-EXP(('2024'!Tnet-t)/('2024'!Tau_j))),Resal+(Salim-Resal)*(1-EXP((Tnet-t)/(Tau_j))))*Salcycl</f>
        <v>4.9845048252661298E-2</v>
      </c>
      <c r="P328" s="169">
        <f>(INDEX(Models!$BJ328:$BT328,,T328)*(1-R328)+INDEX(Models!$BJ328:$BT328,,T328+1)*R328-ERP_i)*Q328*Ramure*Pc/MaxiM</f>
        <v>3.9963065613655161E-4</v>
      </c>
      <c r="Q328" s="305">
        <f t="shared" si="105"/>
        <v>0.7</v>
      </c>
      <c r="R328" s="177">
        <f t="shared" si="106"/>
        <v>0.7786884914704526</v>
      </c>
      <c r="S328" s="810">
        <f t="shared" si="107"/>
        <v>-2</v>
      </c>
      <c r="T328" s="176">
        <f t="shared" si="108"/>
        <v>4</v>
      </c>
      <c r="U328" s="251">
        <f t="shared" si="109"/>
        <v>-1.2213115085295474</v>
      </c>
      <c r="V328" s="383">
        <f t="shared" si="110"/>
        <v>22.677527998128131</v>
      </c>
      <c r="W328" s="402">
        <f t="shared" si="111"/>
        <v>18.403584967759375</v>
      </c>
      <c r="X328" s="157">
        <f t="shared" si="112"/>
        <v>45971</v>
      </c>
      <c r="Y328" s="385">
        <f t="shared" si="113"/>
        <v>16.933973795217501</v>
      </c>
      <c r="Z328" s="385">
        <f t="shared" si="114"/>
        <v>18.014520922430332</v>
      </c>
      <c r="AA328" s="386">
        <f t="shared" si="115"/>
        <v>20.546641496505121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0.1232376870207955</v>
      </c>
      <c r="AD328" s="231">
        <f>(INDEX(Models!$BJ328:$BT328,,AH328)*(1-AF328)+INDEX(Models!$BJ328:$BT328,,AH328+1)*AF328-ERP_i)*AE328*Ramure*Pc/MaxiM</f>
        <v>4.2717591356381578E-3</v>
      </c>
      <c r="AE328" s="305">
        <f t="shared" si="117"/>
        <v>0.7</v>
      </c>
      <c r="AF328" s="177">
        <f t="shared" si="118"/>
        <v>0.5986785445696361</v>
      </c>
      <c r="AG328" s="810">
        <f t="shared" si="124"/>
        <v>1</v>
      </c>
      <c r="AH328" s="176">
        <f t="shared" si="119"/>
        <v>7</v>
      </c>
      <c r="AI328" s="225">
        <f t="shared" si="120"/>
        <v>1.5986785445696361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21.680439090521936</v>
      </c>
      <c r="C329" s="840"/>
      <c r="D329" s="393">
        <f t="shared" si="102"/>
        <v>23.06439218009546</v>
      </c>
      <c r="E329" s="385">
        <f t="shared" si="125"/>
        <v>24.277220196582117</v>
      </c>
      <c r="F329" s="385">
        <f t="shared" si="103"/>
        <v>24.286034457287091</v>
      </c>
      <c r="G329" s="110">
        <f t="shared" si="126"/>
        <v>0.96770246379952696</v>
      </c>
      <c r="H329" s="414" t="b">
        <f>Wh_hp&gt;='2024'!Maxi_hp</f>
        <v>1</v>
      </c>
      <c r="I329" s="390">
        <f>IF(H329,Wh_hp,'2024'!Maxi_hp)</f>
        <v>24.286034457287091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6.0003882988421964E-2</v>
      </c>
      <c r="M329" s="844"/>
      <c r="N329" s="844"/>
      <c r="O329" s="48">
        <f>IF(t&lt;Tnet,'2024'!Resal+('2024'!Salim-'2024'!Resal)*(1-EXP(('2024'!Tnet-t)/('2024'!Tau_j))),Resal+(Salim-Resal)*(1-EXP((Tnet-t)/(Tau_j))))*Salcycl</f>
        <v>4.9957450097907197E-2</v>
      </c>
      <c r="P329" s="169">
        <f>(INDEX(Models!$BJ329:$BT329,,T329)*(1-R329)+INDEX(Models!$BJ329:$BT329,,T329+1)*R329-ERP_i)*Q329*Ramure*Pc/MaxiM</f>
        <v>3.8048128375681823E-4</v>
      </c>
      <c r="Q329" s="305">
        <f t="shared" si="105"/>
        <v>0.7</v>
      </c>
      <c r="R329" s="177">
        <f t="shared" si="106"/>
        <v>0.7787183749552502</v>
      </c>
      <c r="S329" s="810">
        <f t="shared" si="107"/>
        <v>-2</v>
      </c>
      <c r="T329" s="176">
        <f t="shared" si="108"/>
        <v>4</v>
      </c>
      <c r="U329" s="251">
        <f t="shared" si="109"/>
        <v>-1.2212816250447498</v>
      </c>
      <c r="V329" s="383">
        <f t="shared" si="110"/>
        <v>22.403640953849347</v>
      </c>
      <c r="W329" s="402">
        <f t="shared" si="111"/>
        <v>21.680439090521936</v>
      </c>
      <c r="X329" s="157">
        <f t="shared" si="112"/>
        <v>45972</v>
      </c>
      <c r="Y329" s="385">
        <f t="shared" si="113"/>
        <v>19.937013425330239</v>
      </c>
      <c r="Z329" s="385">
        <f t="shared" si="114"/>
        <v>21.209676364104251</v>
      </c>
      <c r="AA329" s="386">
        <f t="shared" si="115"/>
        <v>24.190437919663481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0.12322065294800975</v>
      </c>
      <c r="AD329" s="231">
        <f>(INDEX(Models!$BJ329:$BT329,,AH329)*(1-AF329)+INDEX(Models!$BJ329:$BT329,,AH329+1)*AF329-ERP_i)*AE329*Ramure*Pc/MaxiM</f>
        <v>4.1265733537039946E-3</v>
      </c>
      <c r="AE329" s="305">
        <f t="shared" si="117"/>
        <v>0.7</v>
      </c>
      <c r="AF329" s="177">
        <f t="shared" si="118"/>
        <v>0.59870842805443392</v>
      </c>
      <c r="AG329" s="810">
        <f t="shared" si="124"/>
        <v>1</v>
      </c>
      <c r="AH329" s="176">
        <f t="shared" si="119"/>
        <v>7</v>
      </c>
      <c r="AI329" s="225">
        <f t="shared" si="120"/>
        <v>1.5987084280544339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21.477029879021035</v>
      </c>
      <c r="C330" s="840"/>
      <c r="D330" s="393">
        <f t="shared" si="102"/>
        <v>22.848530226693576</v>
      </c>
      <c r="E330" s="385">
        <f t="shared" si="125"/>
        <v>24.052856349952933</v>
      </c>
      <c r="F330" s="385">
        <f t="shared" si="103"/>
        <v>24.061180208278799</v>
      </c>
      <c r="G330" s="110">
        <f t="shared" si="126"/>
        <v>0.97020887942437595</v>
      </c>
      <c r="H330" s="414" t="b">
        <f>Wh_hp&gt;='2024'!Maxi_hp</f>
        <v>1</v>
      </c>
      <c r="I330" s="390">
        <f>IF(H330,Wh_hp,'2024'!Maxi_hp)</f>
        <v>24.061180208278799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6.0025758071310831E-2</v>
      </c>
      <c r="M330" s="844"/>
      <c r="N330" s="844"/>
      <c r="O330" s="48">
        <f>IF(t&lt;Tnet,'2024'!Resal+('2024'!Salim-'2024'!Resal)*(1-EXP(('2024'!Tnet-t)/('2024'!Tau_j))),Resal+(Salim-Resal)*(1-EXP((Tnet-t)/(Tau_j))))*Salcycl</f>
        <v>5.0069983611809664E-2</v>
      </c>
      <c r="P330" s="169">
        <f>(INDEX(Models!$BJ330:$BT330,,T330)*(1-R330)+INDEX(Models!$BJ330:$BT330,,T330+1)*R330-ERP_i)*Q330*Ramure*Pc/MaxiM</f>
        <v>3.6131496579810154E-4</v>
      </c>
      <c r="Q330" s="305">
        <f t="shared" si="105"/>
        <v>0.7</v>
      </c>
      <c r="R330" s="177">
        <f t="shared" si="106"/>
        <v>0.77874705944410083</v>
      </c>
      <c r="S330" s="810">
        <f t="shared" si="107"/>
        <v>-2</v>
      </c>
      <c r="T330" s="176">
        <f t="shared" si="108"/>
        <v>4</v>
      </c>
      <c r="U330" s="251">
        <f t="shared" si="109"/>
        <v>-1.2212529405558992</v>
      </c>
      <c r="V330" s="383">
        <f t="shared" si="110"/>
        <v>22.136160708220025</v>
      </c>
      <c r="W330" s="402">
        <f t="shared" si="111"/>
        <v>21.477029879021035</v>
      </c>
      <c r="X330" s="157">
        <f t="shared" si="112"/>
        <v>45973</v>
      </c>
      <c r="Y330" s="385">
        <f t="shared" si="113"/>
        <v>19.754610973494337</v>
      </c>
      <c r="Z330" s="385">
        <f t="shared" si="114"/>
        <v>21.016119476806914</v>
      </c>
      <c r="AA330" s="386">
        <f t="shared" si="115"/>
        <v>23.969241660761487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0.12320465644054736</v>
      </c>
      <c r="AD330" s="231">
        <f>(INDEX(Models!$BJ330:$BT330,,AH330)*(1-AF330)+INDEX(Models!$BJ330:$BT330,,AH330+1)*AF330-ERP_i)*AE330*Ramure*Pc/MaxiM</f>
        <v>3.9907903103687708E-3</v>
      </c>
      <c r="AE330" s="305">
        <f t="shared" si="117"/>
        <v>0.7</v>
      </c>
      <c r="AF330" s="177">
        <f t="shared" si="118"/>
        <v>0.59873711254328454</v>
      </c>
      <c r="AG330" s="810">
        <f t="shared" si="124"/>
        <v>1</v>
      </c>
      <c r="AH330" s="176">
        <f t="shared" si="119"/>
        <v>7</v>
      </c>
      <c r="AI330" s="225">
        <f t="shared" si="120"/>
        <v>1.5987371125432845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20.505547338820847</v>
      </c>
      <c r="C331" s="840"/>
      <c r="D331" s="393">
        <f t="shared" si="102"/>
        <v>21.815517520878025</v>
      </c>
      <c r="E331" s="385">
        <f t="shared" si="125"/>
        <v>22.968119757719617</v>
      </c>
      <c r="F331" s="385">
        <f t="shared" si="103"/>
        <v>22.975279114720276</v>
      </c>
      <c r="G331" s="110">
        <f t="shared" si="126"/>
        <v>0.93744995806203235</v>
      </c>
      <c r="H331" s="414" t="b">
        <f>Wh_hp&gt;='2024'!Maxi_hp</f>
        <v>0</v>
      </c>
      <c r="I331" s="390">
        <f>IF(H331,Wh_hp,'2024'!Maxi_hp)</f>
        <v>24.534938344101679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6.0047632645134463E-2</v>
      </c>
      <c r="M331" s="844"/>
      <c r="N331" s="844"/>
      <c r="O331" s="48">
        <f>IF(t&lt;Tnet,'2024'!Resal+('2024'!Salim-'2024'!Resal)*(1-EXP(('2024'!Tnet-t)/('2024'!Tau_j))),Resal+(Salim-Resal)*(1-EXP((Tnet-t)/(Tau_j))))*Salcycl</f>
        <v>5.018269884517642E-2</v>
      </c>
      <c r="P331" s="169">
        <f>(INDEX(Models!$BJ331:$BT331,,T331)*(1-R331)+INDEX(Models!$BJ331:$BT331,,T331+1)*R331-ERP_i)*Q331*Ramure*Pc/MaxiM</f>
        <v>3.4217292364077911E-4</v>
      </c>
      <c r="Q331" s="305">
        <f t="shared" si="105"/>
        <v>0.7</v>
      </c>
      <c r="R331" s="177">
        <f t="shared" si="106"/>
        <v>0.7787745928815013</v>
      </c>
      <c r="S331" s="810">
        <f t="shared" si="107"/>
        <v>-2</v>
      </c>
      <c r="T331" s="176">
        <f t="shared" si="108"/>
        <v>4</v>
      </c>
      <c r="U331" s="251">
        <f t="shared" si="109"/>
        <v>-1.2212254071184987</v>
      </c>
      <c r="V331" s="383">
        <f t="shared" si="110"/>
        <v>21.873082701301364</v>
      </c>
      <c r="W331" s="402">
        <f t="shared" si="111"/>
        <v>20.505547338820847</v>
      </c>
      <c r="X331" s="157">
        <f t="shared" si="112"/>
        <v>45974</v>
      </c>
      <c r="Y331" s="385">
        <f t="shared" si="113"/>
        <v>18.868652624028339</v>
      </c>
      <c r="Z331" s="385">
        <f t="shared" si="114"/>
        <v>20.074051919382793</v>
      </c>
      <c r="AA331" s="386">
        <f t="shared" si="115"/>
        <v>22.894409951394035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0.12318981087518759</v>
      </c>
      <c r="AD331" s="231">
        <f>(INDEX(Models!$BJ331:$BT331,,AH331)*(1-AF331)+INDEX(Models!$BJ331:$BT331,,AH331+1)*AF331-ERP_i)*AE331*Ramure*Pc/MaxiM</f>
        <v>3.8650451493306448E-3</v>
      </c>
      <c r="AE331" s="305">
        <f t="shared" si="117"/>
        <v>0.7</v>
      </c>
      <c r="AF331" s="177">
        <f t="shared" si="118"/>
        <v>0.59876464598068502</v>
      </c>
      <c r="AG331" s="810">
        <f t="shared" si="124"/>
        <v>1</v>
      </c>
      <c r="AH331" s="176">
        <f t="shared" si="119"/>
        <v>7</v>
      </c>
      <c r="AI331" s="225">
        <f t="shared" si="120"/>
        <v>1.598764645980685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8.2361690018953606</v>
      </c>
      <c r="C332" s="840"/>
      <c r="D332" s="393">
        <f t="shared" si="102"/>
        <v>8.7625298473569071</v>
      </c>
      <c r="E332" s="385">
        <f t="shared" si="125"/>
        <v>9.2265869858583187</v>
      </c>
      <c r="F332" s="385">
        <f t="shared" si="103"/>
        <v>9.2269331003069297</v>
      </c>
      <c r="G332" s="110">
        <f t="shared" si="126"/>
        <v>0.38097530498208798</v>
      </c>
      <c r="H332" s="414" t="b">
        <f>Wh_hp&gt;='2024'!Maxi_hp</f>
        <v>0</v>
      </c>
      <c r="I332" s="390">
        <f>IF(H332,Wh_hp,'2024'!Maxi_hp)</f>
        <v>18.564263652887913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6.0069506709904852E-2</v>
      </c>
      <c r="M332" s="844"/>
      <c r="N332" s="844"/>
      <c r="O332" s="48">
        <f>IF(t&lt;Tnet,'2024'!Resal+('2024'!Salim-'2024'!Resal)*(1-EXP(('2024'!Tnet-t)/('2024'!Tau_j))),Resal+(Salim-Resal)*(1-EXP((Tnet-t)/(Tau_j))))*Salcycl</f>
        <v>5.0295644447147847E-2</v>
      </c>
      <c r="P332" s="169">
        <f>(INDEX(Models!$BJ332:$BT332,,T332)*(1-R332)+INDEX(Models!$BJ332:$BT332,,T332+1)*R332-ERP_i)*Q332*Ramure*Pc/MaxiM</f>
        <v>3.2383439241959514E-4</v>
      </c>
      <c r="Q332" s="305">
        <f t="shared" si="105"/>
        <v>0.7</v>
      </c>
      <c r="R332" s="177">
        <f t="shared" si="106"/>
        <v>0.77880102130755069</v>
      </c>
      <c r="S332" s="810">
        <f t="shared" si="107"/>
        <v>-2</v>
      </c>
      <c r="T332" s="176">
        <f t="shared" si="108"/>
        <v>4</v>
      </c>
      <c r="U332" s="251">
        <f t="shared" si="109"/>
        <v>-1.2211989786924493</v>
      </c>
      <c r="V332" s="383">
        <f t="shared" si="110"/>
        <v>21.612452567270051</v>
      </c>
      <c r="W332" s="402">
        <f t="shared" si="111"/>
        <v>8.2361690018953606</v>
      </c>
      <c r="X332" s="157">
        <f t="shared" si="112"/>
        <v>45975</v>
      </c>
      <c r="Y332" s="385">
        <f t="shared" si="113"/>
        <v>7.6011020482390697</v>
      </c>
      <c r="Z332" s="385">
        <f t="shared" si="114"/>
        <v>8.0868767451436501</v>
      </c>
      <c r="AA332" s="386">
        <f t="shared" si="115"/>
        <v>9.2229213865566191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0.12317622516753472</v>
      </c>
      <c r="AD332" s="231">
        <f>(INDEX(Models!$BJ332:$BT332,,AH332)*(1-AF332)+INDEX(Models!$BJ332:$BT332,,AH332+1)*AF332-ERP_i)*AE332*Ramure*Pc/MaxiM</f>
        <v>3.753471980453618E-3</v>
      </c>
      <c r="AE332" s="305">
        <f t="shared" si="117"/>
        <v>0.7</v>
      </c>
      <c r="AF332" s="177">
        <f t="shared" si="118"/>
        <v>0.5987910744067344</v>
      </c>
      <c r="AG332" s="810">
        <f t="shared" si="124"/>
        <v>1</v>
      </c>
      <c r="AH332" s="176">
        <f t="shared" si="119"/>
        <v>7</v>
      </c>
      <c r="AI332" s="225">
        <f t="shared" si="120"/>
        <v>1.5987910744067344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11.100035901586637</v>
      </c>
      <c r="C333" s="840"/>
      <c r="D333" s="393">
        <f t="shared" si="102"/>
        <v>11.80969688811205</v>
      </c>
      <c r="E333" s="385">
        <f t="shared" si="125"/>
        <v>12.436612435786607</v>
      </c>
      <c r="F333" s="385">
        <f t="shared" si="103"/>
        <v>12.437809978876269</v>
      </c>
      <c r="G333" s="110">
        <f t="shared" si="126"/>
        <v>0.51968064207179709</v>
      </c>
      <c r="H333" s="414" t="b">
        <f>Wh_hp&gt;='2024'!Maxi_hp</f>
        <v>0</v>
      </c>
      <c r="I333" s="390">
        <f>IF(H333,Wh_hp,'2024'!Maxi_hp)</f>
        <v>23.679818202153843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6.0091380265633765E-2</v>
      </c>
      <c r="M333" s="844"/>
      <c r="N333" s="844"/>
      <c r="O333" s="48">
        <f>IF(t&lt;Tnet,'2024'!Resal+('2024'!Salim-'2024'!Resal)*(1-EXP(('2024'!Tnet-t)/('2024'!Tau_j))),Resal+(Salim-Resal)*(1-EXP((Tnet-t)/(Tau_j))))*Salcycl</f>
        <v>5.0408867439705282E-2</v>
      </c>
      <c r="P333" s="169">
        <f>(INDEX(Models!$BJ333:$BT333,,T333)*(1-R333)+INDEX(Models!$BJ333:$BT333,,T333+1)*R333-ERP_i)*Q333*Ramure*Pc/MaxiM</f>
        <v>3.0664603074426682E-4</v>
      </c>
      <c r="Q333" s="305">
        <f t="shared" si="105"/>
        <v>0.7</v>
      </c>
      <c r="R333" s="177">
        <f t="shared" si="106"/>
        <v>0.77882638893258682</v>
      </c>
      <c r="S333" s="810">
        <f t="shared" si="107"/>
        <v>-2</v>
      </c>
      <c r="T333" s="176">
        <f t="shared" si="108"/>
        <v>4</v>
      </c>
      <c r="U333" s="251">
        <f t="shared" si="109"/>
        <v>-1.2211736110674132</v>
      </c>
      <c r="V333" s="383">
        <f t="shared" si="110"/>
        <v>21.354847064232928</v>
      </c>
      <c r="W333" s="402">
        <f t="shared" si="111"/>
        <v>11.100035901586637</v>
      </c>
      <c r="X333" s="157">
        <f t="shared" si="112"/>
        <v>45976</v>
      </c>
      <c r="Y333" s="385">
        <f t="shared" si="113"/>
        <v>10.238816713811257</v>
      </c>
      <c r="Z333" s="385">
        <f t="shared" si="114"/>
        <v>10.893417188476169</v>
      </c>
      <c r="AA333" s="386">
        <f t="shared" si="115"/>
        <v>12.42355152983221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0.12316400327891645</v>
      </c>
      <c r="AD333" s="231">
        <f>(INDEX(Models!$BJ333:$BT333,,AH333)*(1-AF333)+INDEX(Models!$BJ333:$BT333,,AH333+1)*AF333-ERP_i)*AE333*Ramure*Pc/MaxiM</f>
        <v>3.6510559341665205E-3</v>
      </c>
      <c r="AE333" s="305">
        <f t="shared" si="117"/>
        <v>0.7</v>
      </c>
      <c r="AF333" s="177">
        <f t="shared" si="118"/>
        <v>0.59881644203177053</v>
      </c>
      <c r="AG333" s="810">
        <f t="shared" si="124"/>
        <v>1</v>
      </c>
      <c r="AH333" s="176">
        <f t="shared" si="119"/>
        <v>7</v>
      </c>
      <c r="AI333" s="225">
        <f t="shared" si="120"/>
        <v>1.5988164420317705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21.058440854959269</v>
      </c>
      <c r="C334" s="840"/>
      <c r="D334" s="393">
        <f t="shared" si="102"/>
        <v>22.405296094633819</v>
      </c>
      <c r="E334" s="385">
        <f t="shared" si="125"/>
        <v>23.597498668148042</v>
      </c>
      <c r="F334" s="385">
        <f t="shared" si="103"/>
        <v>23.604339023131274</v>
      </c>
      <c r="G334" s="110">
        <f t="shared" si="126"/>
        <v>0.99798933573670712</v>
      </c>
      <c r="H334" s="414" t="b">
        <f>Wh_hp&gt;='2024'!Maxi_hp</f>
        <v>1</v>
      </c>
      <c r="I334" s="390">
        <f>IF(H334,Wh_hp,'2024'!Maxi_hp)</f>
        <v>23.604339023131274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6.0113253312333081E-2</v>
      </c>
      <c r="M334" s="844"/>
      <c r="N334" s="844"/>
      <c r="O334" s="48">
        <f>IF(t&lt;Tnet,'2024'!Resal+('2024'!Salim-'2024'!Resal)*(1-EXP(('2024'!Tnet-t)/('2024'!Tau_j))),Resal+(Salim-Resal)*(1-EXP((Tnet-t)/(Tau_j))))*Salcycl</f>
        <v>5.0522413001487271E-2</v>
      </c>
      <c r="P334" s="169">
        <f>(INDEX(Models!$BJ334:$BT334,,T334)*(1-R334)+INDEX(Models!$BJ334:$BT334,,T334+1)*R334-ERP_i)*Q334*Ramure*Pc/MaxiM</f>
        <v>2.9062671361450201E-4</v>
      </c>
      <c r="Q334" s="305">
        <f t="shared" si="105"/>
        <v>0.7</v>
      </c>
      <c r="R334" s="177">
        <f t="shared" si="106"/>
        <v>0.77885073820897843</v>
      </c>
      <c r="S334" s="810">
        <f t="shared" si="107"/>
        <v>-2</v>
      </c>
      <c r="T334" s="176">
        <f t="shared" si="108"/>
        <v>4</v>
      </c>
      <c r="U334" s="251">
        <f t="shared" si="109"/>
        <v>-1.2211492617910216</v>
      </c>
      <c r="V334" s="383">
        <f t="shared" si="110"/>
        <v>21.100850002806098</v>
      </c>
      <c r="W334" s="402">
        <f t="shared" si="111"/>
        <v>21.058440854959269</v>
      </c>
      <c r="X334" s="157">
        <f t="shared" si="112"/>
        <v>45977</v>
      </c>
      <c r="Y334" s="385">
        <f t="shared" si="113"/>
        <v>19.384186665197078</v>
      </c>
      <c r="Z334" s="385">
        <f t="shared" si="114"/>
        <v>20.623959996787381</v>
      </c>
      <c r="AA334" s="386">
        <f t="shared" si="115"/>
        <v>23.520597926425189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0.12315324375250938</v>
      </c>
      <c r="AD334" s="231">
        <f>(INDEX(Models!$BJ334:$BT334,,AH334)*(1-AF334)+INDEX(Models!$BJ334:$BT334,,AH334+1)*AF334-ERP_i)*AE334*Ramure*Pc/MaxiM</f>
        <v>3.5579147266214385E-3</v>
      </c>
      <c r="AE334" s="305">
        <f t="shared" si="117"/>
        <v>0.7</v>
      </c>
      <c r="AF334" s="177">
        <f t="shared" si="118"/>
        <v>0.59884079130816215</v>
      </c>
      <c r="AG334" s="810">
        <f t="shared" si="124"/>
        <v>1</v>
      </c>
      <c r="AH334" s="176">
        <f t="shared" si="119"/>
        <v>7</v>
      </c>
      <c r="AI334" s="225">
        <f t="shared" si="120"/>
        <v>1.5988407913081621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12.290813167831541</v>
      </c>
      <c r="C335" s="840"/>
      <c r="D335" s="393">
        <f t="shared" ref="D335:D379" si="127">Wh/(1-Ppv)</f>
        <v>13.077213018464345</v>
      </c>
      <c r="E335" s="385">
        <f t="shared" si="125"/>
        <v>13.774713898027819</v>
      </c>
      <c r="F335" s="385">
        <f t="shared" ref="F335:F379" si="128">Wh_sa/(1-Pvg*MEDIAN((-Sdif+Wh/Env_an)/Csdif,0,1))</f>
        <v>13.776285017220355</v>
      </c>
      <c r="G335" s="110">
        <f t="shared" si="126"/>
        <v>0.58936254341563665</v>
      </c>
      <c r="H335" s="414" t="b">
        <f>Wh_hp&gt;='2024'!Maxi_hp</f>
        <v>0</v>
      </c>
      <c r="I335" s="390">
        <f>IF(H335,Wh_hp,'2024'!Maxi_hp)</f>
        <v>21.890995839338444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6.0135125850014681E-2</v>
      </c>
      <c r="M335" s="844"/>
      <c r="N335" s="844"/>
      <c r="O335" s="48">
        <f>IF(t&lt;Tnet,'2024'!Resal+('2024'!Salim-'2024'!Resal)*(1-EXP(('2024'!Tnet-t)/('2024'!Tau_j))),Resal+(Salim-Resal)*(1-EXP((Tnet-t)/(Tau_j))))*Salcycl</f>
        <v>5.063632426248342E-2</v>
      </c>
      <c r="P335" s="169">
        <f>(INDEX(Models!$BJ335:$BT335,,T335)*(1-R335)+INDEX(Models!$BJ335:$BT335,,T335+1)*R335-ERP_i)*Q335*Ramure*Pc/MaxiM</f>
        <v>2.7579706954757689E-4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0.77887410990017392</v>
      </c>
      <c r="S335" s="810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-1.2211258900998261</v>
      </c>
      <c r="V335" s="383">
        <f t="shared" ref="V335:V379" si="135">MaxiM*(1-Ppv)*(1-Pvg)*(1-Psa)</f>
        <v>20.851044940623719</v>
      </c>
      <c r="W335" s="402">
        <f t="shared" ref="W335:W379" si="136">Wh*(A335&gt;Tmaj)</f>
        <v>12.290813167831541</v>
      </c>
      <c r="X335" s="157">
        <f t="shared" ref="X335:X379" si="137">t</f>
        <v>45978</v>
      </c>
      <c r="Y335" s="385">
        <f t="shared" ref="Y335:Y379" si="138">Wh_pvt_s*(1-Ppv)</f>
        <v>11.337085872252604</v>
      </c>
      <c r="Z335" s="385">
        <f t="shared" ref="Z335:Z379" si="139">Wh_sa_s*(1-Psa_s)</f>
        <v>12.062463641388742</v>
      </c>
      <c r="AA335" s="386">
        <f t="shared" ref="AA335:AA379" si="140">Wh_hp*(1-Pvg_s*MEDIAN((-Sdif+Wh/Env_an)/Csdif,0,1))</f>
        <v>13.756493861901061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0.12314403928198429</v>
      </c>
      <c r="AD335" s="231">
        <f>(INDEX(Models!$BJ335:$BT335,,AH335)*(1-AF335)+INDEX(Models!$BJ335:$BT335,,AH335+1)*AF335-ERP_i)*AE335*Ramure*Pc/MaxiM</f>
        <v>3.474174757685666E-3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0.59886416299935741</v>
      </c>
      <c r="AG335" s="810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1.5988641629993574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12.991031152026148</v>
      </c>
      <c r="C336" s="840"/>
      <c r="D336" s="393">
        <f t="shared" si="127"/>
        <v>13.822554535921668</v>
      </c>
      <c r="E336" s="385">
        <f t="shared" si="125"/>
        <v>14.561563219450088</v>
      </c>
      <c r="F336" s="385">
        <f t="shared" si="128"/>
        <v>14.563365680616746</v>
      </c>
      <c r="G336" s="110">
        <f t="shared" si="126"/>
        <v>0.63036121705289627</v>
      </c>
      <c r="H336" s="414" t="b">
        <f>Wh_hp&gt;='2024'!Maxi_hp</f>
        <v>0</v>
      </c>
      <c r="I336" s="390">
        <f>IF(H336,Wh_hp,'2024'!Maxi_hp)</f>
        <v>21.900036147132251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6.0156997878690333E-2</v>
      </c>
      <c r="M336" s="844"/>
      <c r="N336" s="844"/>
      <c r="O336" s="48">
        <f>IF(t&lt;Tnet,'2024'!Resal+('2024'!Salim-'2024'!Resal)*(1-EXP(('2024'!Tnet-t)/('2024'!Tau_j))),Resal+(Salim-Resal)*(1-EXP((Tnet-t)/(Tau_j))))*Salcycl</f>
        <v>5.0750642111096707E-2</v>
      </c>
      <c r="P336" s="169">
        <f>(INDEX(Models!$BJ336:$BT336,,T336)*(1-R336)+INDEX(Models!$BJ336:$BT336,,T336+1)*R336-ERP_i)*Q336*Ramure*Pc/MaxiM</f>
        <v>2.6217931879900469E-4</v>
      </c>
      <c r="Q336" s="305">
        <f t="shared" si="130"/>
        <v>0.7</v>
      </c>
      <c r="R336" s="177">
        <f t="shared" si="131"/>
        <v>0.77889654314710466</v>
      </c>
      <c r="S336" s="810">
        <f t="shared" si="132"/>
        <v>-2</v>
      </c>
      <c r="T336" s="176">
        <f t="shared" si="133"/>
        <v>4</v>
      </c>
      <c r="U336" s="251">
        <f t="shared" si="134"/>
        <v>-1.2211034568528953</v>
      </c>
      <c r="V336" s="383">
        <f t="shared" si="135"/>
        <v>20.606015181001492</v>
      </c>
      <c r="W336" s="402">
        <f t="shared" si="136"/>
        <v>12.991031152026148</v>
      </c>
      <c r="X336" s="157">
        <f t="shared" si="137"/>
        <v>45979</v>
      </c>
      <c r="Y336" s="385">
        <f t="shared" si="138"/>
        <v>11.982610961048991</v>
      </c>
      <c r="Z336" s="385">
        <f t="shared" si="139"/>
        <v>12.749587892874839</v>
      </c>
      <c r="AA336" s="386">
        <f t="shared" si="140"/>
        <v>14.539991171380228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0.12313647631571657</v>
      </c>
      <c r="AD336" s="231">
        <f>(INDEX(Models!$BJ336:$BT336,,AH336)*(1-AF336)+INDEX(Models!$BJ336:$BT336,,AH336+1)*AF336-ERP_i)*AE336*Ramure*Pc/MaxiM</f>
        <v>3.3999694541282607E-3</v>
      </c>
      <c r="AE336" s="305">
        <f t="shared" si="142"/>
        <v>0.7</v>
      </c>
      <c r="AF336" s="177">
        <f t="shared" si="143"/>
        <v>0.59888659624628815</v>
      </c>
      <c r="AG336" s="810">
        <f t="shared" ref="AG336:AG379" si="149">INDEX(Echel_vg,AH336)</f>
        <v>1</v>
      </c>
      <c r="AH336" s="176">
        <f t="shared" si="144"/>
        <v>7</v>
      </c>
      <c r="AI336" s="225">
        <f t="shared" si="145"/>
        <v>1.5988865962462881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7.2067339613186006</v>
      </c>
      <c r="C337" s="840"/>
      <c r="D337" s="393">
        <f t="shared" si="127"/>
        <v>7.6681974118896417</v>
      </c>
      <c r="E337" s="385">
        <f t="shared" si="125"/>
        <v>8.0791464692219037</v>
      </c>
      <c r="F337" s="385">
        <f t="shared" si="128"/>
        <v>8.0793017399970832</v>
      </c>
      <c r="G337" s="110">
        <f t="shared" si="126"/>
        <v>0.35377347519358515</v>
      </c>
      <c r="H337" s="414" t="b">
        <f>Wh_hp&gt;='2024'!Maxi_hp</f>
        <v>0</v>
      </c>
      <c r="I337" s="390">
        <f>IF(H337,Wh_hp,'2024'!Maxi_hp)</f>
        <v>22.404148660513918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6.0178869398372026E-2</v>
      </c>
      <c r="M337" s="844"/>
      <c r="N337" s="844"/>
      <c r="O337" s="48">
        <f>IF(t&lt;Tnet,'2024'!Resal+('2024'!Salim-'2024'!Resal)*(1-EXP(('2024'!Tnet-t)/('2024'!Tau_j))),Resal+(Salim-Resal)*(1-EXP((Tnet-t)/(Tau_j))))*Salcycl</f>
        <v>5.0865405014973053E-2</v>
      </c>
      <c r="P337" s="169">
        <f>(INDEX(Models!$BJ337:$BT337,,T337)*(1-R337)+INDEX(Models!$BJ337:$BT337,,T337+1)*R337-ERP_i)*Q337*Ramure*Pc/MaxiM</f>
        <v>2.4979707732053686E-4</v>
      </c>
      <c r="Q337" s="305">
        <f t="shared" si="130"/>
        <v>0.7</v>
      </c>
      <c r="R337" s="177">
        <f t="shared" si="131"/>
        <v>0.77891807553204107</v>
      </c>
      <c r="S337" s="810">
        <f t="shared" si="132"/>
        <v>-2</v>
      </c>
      <c r="T337" s="176">
        <f t="shared" si="133"/>
        <v>4</v>
      </c>
      <c r="U337" s="251">
        <f t="shared" si="134"/>
        <v>-1.2210819244679589</v>
      </c>
      <c r="V337" s="383">
        <f t="shared" si="135"/>
        <v>20.366343762288697</v>
      </c>
      <c r="W337" s="402">
        <f t="shared" si="136"/>
        <v>7.2067339613186006</v>
      </c>
      <c r="X337" s="157">
        <f t="shared" si="137"/>
        <v>45980</v>
      </c>
      <c r="Y337" s="385">
        <f t="shared" si="138"/>
        <v>6.656446878868052</v>
      </c>
      <c r="Z337" s="385">
        <f t="shared" si="139"/>
        <v>7.0826742048318456</v>
      </c>
      <c r="AA337" s="386">
        <f t="shared" si="140"/>
        <v>8.0772284733693258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0.12313063469933185</v>
      </c>
      <c r="AD337" s="231">
        <f>(INDEX(Models!$BJ337:$BT337,,AH337)*(1-AF337)+INDEX(Models!$BJ337:$BT337,,AH337+1)*AF337-ERP_i)*AE337*Ramure*Pc/MaxiM</f>
        <v>3.3354373578532441E-3</v>
      </c>
      <c r="AE337" s="305">
        <f t="shared" si="142"/>
        <v>0.7</v>
      </c>
      <c r="AF337" s="177">
        <f t="shared" si="143"/>
        <v>0.59890812863122456</v>
      </c>
      <c r="AG337" s="810">
        <f t="shared" si="149"/>
        <v>1</v>
      </c>
      <c r="AH337" s="176">
        <f t="shared" si="144"/>
        <v>7</v>
      </c>
      <c r="AI337" s="225">
        <f t="shared" si="145"/>
        <v>1.5989081286312246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13.33561296623331</v>
      </c>
      <c r="C338" s="840"/>
      <c r="D338" s="393">
        <f t="shared" si="127"/>
        <v>14.189852598987972</v>
      </c>
      <c r="E338" s="385">
        <f t="shared" si="125"/>
        <v>14.952121452419362</v>
      </c>
      <c r="F338" s="385">
        <f t="shared" si="128"/>
        <v>14.953970352112465</v>
      </c>
      <c r="G338" s="110">
        <f t="shared" si="126"/>
        <v>0.66231235871797722</v>
      </c>
      <c r="H338" s="414" t="b">
        <f>Wh_hp&gt;='2024'!Maxi_hp</f>
        <v>0</v>
      </c>
      <c r="I338" s="390">
        <f>IF(H338,Wh_hp,'2024'!Maxi_hp)</f>
        <v>23.081621560560357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6.0200740409071418E-2</v>
      </c>
      <c r="M338" s="844"/>
      <c r="N338" s="844"/>
      <c r="O338" s="48">
        <f>IF(t&lt;Tnet,'2024'!Resal+('2024'!Salim-'2024'!Resal)*(1-EXP(('2024'!Tnet-t)/('2024'!Tau_j))),Resal+(Salim-Resal)*(1-EXP((Tnet-t)/(Tau_j))))*Salcycl</f>
        <v>5.0980648856891853E-2</v>
      </c>
      <c r="P338" s="169">
        <f>(INDEX(Models!$BJ338:$BT338,,T338)*(1-R338)+INDEX(Models!$BJ338:$BT338,,T338+1)*R338-ERP_i)*Q338*Ramure*Pc/MaxiM</f>
        <v>2.3882526528464282E-4</v>
      </c>
      <c r="Q338" s="305">
        <f t="shared" si="130"/>
        <v>0.7</v>
      </c>
      <c r="R338" s="177">
        <f t="shared" si="131"/>
        <v>0.77893874313999212</v>
      </c>
      <c r="S338" s="810">
        <f t="shared" si="132"/>
        <v>-2</v>
      </c>
      <c r="T338" s="176">
        <f t="shared" si="133"/>
        <v>4</v>
      </c>
      <c r="U338" s="251">
        <f t="shared" si="134"/>
        <v>-1.2210612568600079</v>
      </c>
      <c r="V338" s="383">
        <f t="shared" si="135"/>
        <v>20.132610431395701</v>
      </c>
      <c r="W338" s="402">
        <f t="shared" si="136"/>
        <v>13.33561296623331</v>
      </c>
      <c r="X338" s="157">
        <f t="shared" si="137"/>
        <v>45981</v>
      </c>
      <c r="Y338" s="385">
        <f t="shared" si="138"/>
        <v>12.302403407670655</v>
      </c>
      <c r="Z338" s="385">
        <f t="shared" si="139"/>
        <v>13.090458714582928</v>
      </c>
      <c r="AA338" s="386">
        <f t="shared" si="140"/>
        <v>14.928561552753063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0.12312658735905868</v>
      </c>
      <c r="AD338" s="231">
        <f>(INDEX(Models!$BJ338:$BT338,,AH338)*(1-AF338)+INDEX(Models!$BJ338:$BT338,,AH338+1)*AF338-ERP_i)*AE338*Ramure*Pc/MaxiM</f>
        <v>3.2820943560160167E-3</v>
      </c>
      <c r="AE338" s="305">
        <f t="shared" si="142"/>
        <v>0.7</v>
      </c>
      <c r="AF338" s="177">
        <f t="shared" si="143"/>
        <v>0.59892879623917583</v>
      </c>
      <c r="AG338" s="810">
        <f t="shared" si="149"/>
        <v>1</v>
      </c>
      <c r="AH338" s="176">
        <f t="shared" si="144"/>
        <v>7</v>
      </c>
      <c r="AI338" s="225">
        <f t="shared" si="145"/>
        <v>1.5989287962391758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3.1221204179619098</v>
      </c>
      <c r="C339" s="840"/>
      <c r="D339" s="393">
        <f t="shared" si="127"/>
        <v>3.3221914617330421</v>
      </c>
      <c r="E339" s="385">
        <f t="shared" si="125"/>
        <v>3.5010842887460156</v>
      </c>
      <c r="F339" s="385">
        <f t="shared" si="128"/>
        <v>3.5010842887460156</v>
      </c>
      <c r="G339" s="110">
        <f t="shared" si="126"/>
        <v>0.15681196534067082</v>
      </c>
      <c r="H339" s="414" t="b">
        <f>Wh_hp&gt;='2024'!Maxi_hp</f>
        <v>0</v>
      </c>
      <c r="I339" s="390">
        <f>IF(H339,Wh_hp,'2024'!Maxi_hp)</f>
        <v>22.83442232679824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6.0222610910800389E-2</v>
      </c>
      <c r="M339" s="844"/>
      <c r="N339" s="844"/>
      <c r="O339" s="48">
        <f>IF(t&lt;Tnet,'2024'!Resal+('2024'!Salim-'2024'!Resal)*(1-EXP(('2024'!Tnet-t)/('2024'!Tau_j))),Resal+(Salim-Resal)*(1-EXP((Tnet-t)/(Tau_j))))*Salcycl</f>
        <v>5.1096406786895143E-2</v>
      </c>
      <c r="P339" s="169">
        <f>(INDEX(Models!$BJ339:$BT339,,T339)*(1-R339)+INDEX(Models!$BJ339:$BT339,,T339+1)*R339-ERP_i)*Q339*Ramure*Pc/MaxiM</f>
        <v>2.2858951598958869E-4</v>
      </c>
      <c r="Q339" s="305">
        <f t="shared" si="130"/>
        <v>0.7</v>
      </c>
      <c r="R339" s="177">
        <f t="shared" si="131"/>
        <v>0.77895858061774037</v>
      </c>
      <c r="S339" s="810">
        <f t="shared" si="132"/>
        <v>-2</v>
      </c>
      <c r="T339" s="176">
        <f t="shared" si="133"/>
        <v>4</v>
      </c>
      <c r="U339" s="251">
        <f t="shared" si="134"/>
        <v>-1.2210414193822596</v>
      </c>
      <c r="V339" s="383">
        <f t="shared" si="135"/>
        <v>19.90541172789662</v>
      </c>
      <c r="W339" s="402">
        <f t="shared" si="136"/>
        <v>3.1221204179619098</v>
      </c>
      <c r="X339" s="157">
        <f t="shared" si="137"/>
        <v>45982</v>
      </c>
      <c r="Y339" s="385">
        <f t="shared" si="138"/>
        <v>2.8851310441504663</v>
      </c>
      <c r="Z339" s="385">
        <f t="shared" si="139"/>
        <v>3.0700153862465638</v>
      </c>
      <c r="AA339" s="386">
        <f t="shared" si="140"/>
        <v>3.5010842887460156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0.12312440002804054</v>
      </c>
      <c r="AD339" s="231">
        <f>(INDEX(Models!$BJ339:$BT339,,AH339)*(1-AF339)+INDEX(Models!$BJ339:$BT339,,AH339+1)*AF339-ERP_i)*AE339*Ramure*Pc/MaxiM</f>
        <v>3.2325687869940991E-3</v>
      </c>
      <c r="AE339" s="305">
        <f t="shared" si="142"/>
        <v>0.7</v>
      </c>
      <c r="AF339" s="177">
        <f t="shared" si="143"/>
        <v>0.59894863371692386</v>
      </c>
      <c r="AG339" s="810">
        <f t="shared" si="149"/>
        <v>1</v>
      </c>
      <c r="AH339" s="176">
        <f t="shared" si="144"/>
        <v>7</v>
      </c>
      <c r="AI339" s="225">
        <f t="shared" si="145"/>
        <v>1.5989486337169239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7.3955627643178738</v>
      </c>
      <c r="C340" s="840"/>
      <c r="D340" s="393">
        <f t="shared" si="127"/>
        <v>7.8696667527195538</v>
      </c>
      <c r="E340" s="385">
        <f t="shared" si="125"/>
        <v>8.2944479001038882</v>
      </c>
      <c r="F340" s="385">
        <f t="shared" si="128"/>
        <v>8.2946444095432827</v>
      </c>
      <c r="G340" s="110">
        <f t="shared" si="126"/>
        <v>0.37561563060556524</v>
      </c>
      <c r="H340" s="414" t="b">
        <f>Wh_hp&gt;='2024'!Maxi_hp</f>
        <v>0</v>
      </c>
      <c r="I340" s="390">
        <f>IF(H340,Wh_hp,'2024'!Maxi_hp)</f>
        <v>22.832707218785405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6.0244480903570929E-2</v>
      </c>
      <c r="M340" s="844"/>
      <c r="N340" s="844"/>
      <c r="O340" s="48">
        <f>IF(t&lt;Tnet,'2024'!Resal+('2024'!Salim-'2024'!Resal)*(1-EXP(('2024'!Tnet-t)/('2024'!Tau_j))),Resal+(Salim-Resal)*(1-EXP((Tnet-t)/(Tau_j))))*Salcycl</f>
        <v>5.1212709091706304E-2</v>
      </c>
      <c r="P340" s="169">
        <f>(INDEX(Models!$BJ340:$BT340,,T340)*(1-R340)+INDEX(Models!$BJ340:$BT340,,T340+1)*R340-ERP_i)*Q340*Ramure*Pc/MaxiM</f>
        <v>2.1910417227924409E-4</v>
      </c>
      <c r="Q340" s="305">
        <f t="shared" si="130"/>
        <v>0.7</v>
      </c>
      <c r="R340" s="177">
        <f t="shared" si="131"/>
        <v>0.77897762123059522</v>
      </c>
      <c r="S340" s="810">
        <f t="shared" si="132"/>
        <v>-2</v>
      </c>
      <c r="T340" s="176">
        <f t="shared" si="133"/>
        <v>4</v>
      </c>
      <c r="U340" s="251">
        <f t="shared" si="134"/>
        <v>-1.2210223787694048</v>
      </c>
      <c r="V340" s="383">
        <f t="shared" si="135"/>
        <v>19.685329731049407</v>
      </c>
      <c r="W340" s="402">
        <f t="shared" si="136"/>
        <v>7.3955627643178738</v>
      </c>
      <c r="X340" s="157">
        <f t="shared" si="137"/>
        <v>45983</v>
      </c>
      <c r="Y340" s="385">
        <f t="shared" si="138"/>
        <v>6.8328375920845446</v>
      </c>
      <c r="Z340" s="385">
        <f t="shared" si="139"/>
        <v>7.2708672130537622</v>
      </c>
      <c r="AA340" s="386">
        <f t="shared" si="140"/>
        <v>8.291786181195743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0.12312413101742038</v>
      </c>
      <c r="AD340" s="231">
        <f>(INDEX(Models!$BJ340:$BT340,,AH340)*(1-AF340)+INDEX(Models!$BJ340:$BT340,,AH340+1)*AF340-ERP_i)*AE340*Ramure*Pc/MaxiM</f>
        <v>3.1868685708236013E-3</v>
      </c>
      <c r="AE340" s="305">
        <f t="shared" si="142"/>
        <v>0.7</v>
      </c>
      <c r="AF340" s="177">
        <f t="shared" si="143"/>
        <v>0.59896767432977871</v>
      </c>
      <c r="AG340" s="810">
        <f t="shared" si="149"/>
        <v>1</v>
      </c>
      <c r="AH340" s="176">
        <f t="shared" si="144"/>
        <v>7</v>
      </c>
      <c r="AI340" s="225">
        <f t="shared" si="145"/>
        <v>1.5989676743297787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11.825443340790502</v>
      </c>
      <c r="C341" s="840"/>
      <c r="D341" s="393">
        <f t="shared" si="127"/>
        <v>12.583824518431802</v>
      </c>
      <c r="E341" s="385">
        <f t="shared" si="125"/>
        <v>13.264695824834792</v>
      </c>
      <c r="F341" s="385">
        <f t="shared" si="128"/>
        <v>13.265920942016709</v>
      </c>
      <c r="G341" s="110">
        <f t="shared" si="126"/>
        <v>0.60720382364421233</v>
      </c>
      <c r="H341" s="414" t="b">
        <f>Wh_hp&gt;='2024'!Maxi_hp</f>
        <v>0</v>
      </c>
      <c r="I341" s="390">
        <f>IF(H341,Wh_hp,'2024'!Maxi_hp)</f>
        <v>22.481417216990419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6.0266350387394807E-2</v>
      </c>
      <c r="M341" s="844"/>
      <c r="N341" s="844"/>
      <c r="O341" s="48">
        <f>IF(t&lt;Tnet,'2024'!Resal+('2024'!Salim-'2024'!Resal)*(1-EXP(('2024'!Tnet-t)/('2024'!Tau_j))),Resal+(Salim-Resal)*(1-EXP((Tnet-t)/(Tau_j))))*Salcycl</f>
        <v>5.1329583082352408E-2</v>
      </c>
      <c r="P341" s="169">
        <f>(INDEX(Models!$BJ341:$BT341,,T341)*(1-R341)+INDEX(Models!$BJ341:$BT341,,T341+1)*R341-ERP_i)*Q341*Ramure*Pc/MaxiM</f>
        <v>2.1038284328757224E-4</v>
      </c>
      <c r="Q341" s="305">
        <f t="shared" si="130"/>
        <v>0.7</v>
      </c>
      <c r="R341" s="177">
        <f t="shared" si="131"/>
        <v>0.77899589691695503</v>
      </c>
      <c r="S341" s="810">
        <f t="shared" si="132"/>
        <v>-2</v>
      </c>
      <c r="T341" s="176">
        <f t="shared" si="133"/>
        <v>4</v>
      </c>
      <c r="U341" s="251">
        <f t="shared" si="134"/>
        <v>-1.221004103083045</v>
      </c>
      <c r="V341" s="383">
        <f t="shared" si="135"/>
        <v>19.472946264694098</v>
      </c>
      <c r="W341" s="402">
        <f t="shared" si="136"/>
        <v>11.825443340790502</v>
      </c>
      <c r="X341" s="157">
        <f t="shared" si="137"/>
        <v>45984</v>
      </c>
      <c r="Y341" s="385">
        <f t="shared" si="138"/>
        <v>10.916401139969205</v>
      </c>
      <c r="Z341" s="385">
        <f t="shared" si="139"/>
        <v>11.616484250052522</v>
      </c>
      <c r="AA341" s="386">
        <f t="shared" si="140"/>
        <v>13.247606853040288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0.12312583103365787</v>
      </c>
      <c r="AD341" s="231">
        <f>(INDEX(Models!$BJ341:$BT341,,AH341)*(1-AF341)+INDEX(Models!$BJ341:$BT341,,AH341+1)*AF341-ERP_i)*AE341*Ramure*Pc/MaxiM</f>
        <v>3.1449808785243699E-3</v>
      </c>
      <c r="AE341" s="305">
        <f t="shared" si="142"/>
        <v>0.7</v>
      </c>
      <c r="AF341" s="177">
        <f t="shared" si="143"/>
        <v>0.59898595001613852</v>
      </c>
      <c r="AG341" s="810">
        <f t="shared" si="149"/>
        <v>1</v>
      </c>
      <c r="AH341" s="176">
        <f t="shared" si="144"/>
        <v>7</v>
      </c>
      <c r="AI341" s="225">
        <f t="shared" si="145"/>
        <v>1.5989859500161385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11.906466260245171</v>
      </c>
      <c r="C342" s="840"/>
      <c r="D342" s="393">
        <f t="shared" si="127"/>
        <v>12.67033840116923</v>
      </c>
      <c r="E342" s="385">
        <f t="shared" si="125"/>
        <v>13.357544711923591</v>
      </c>
      <c r="F342" s="385">
        <f t="shared" si="128"/>
        <v>13.358772926250756</v>
      </c>
      <c r="G342" s="110">
        <f t="shared" si="126"/>
        <v>0.61784459881932152</v>
      </c>
      <c r="H342" s="414" t="b">
        <f>Wh_hp&gt;='2024'!Maxi_hp</f>
        <v>0</v>
      </c>
      <c r="I342" s="390">
        <f>IF(H342,Wh_hp,'2024'!Maxi_hp)</f>
        <v>21.083338860152271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6.028821936228379E-2</v>
      </c>
      <c r="M342" s="844"/>
      <c r="N342" s="844"/>
      <c r="O342" s="48">
        <f>IF(t&lt;Tnet,'2024'!Resal+('2024'!Salim-'2024'!Resal)*(1-EXP(('2024'!Tnet-t)/('2024'!Tau_j))),Resal+(Salim-Resal)*(1-EXP((Tnet-t)/(Tau_j))))*Salcycl</f>
        <v>5.1447053000760502E-2</v>
      </c>
      <c r="P342" s="169">
        <f>(INDEX(Models!$BJ342:$BT342,,T342)*(1-R342)+INDEX(Models!$BJ342:$BT342,,T342+1)*R342-ERP_i)*Q342*Ramure*Pc/MaxiM</f>
        <v>2.0244054695484157E-4</v>
      </c>
      <c r="Q342" s="305">
        <f t="shared" si="130"/>
        <v>0.7</v>
      </c>
      <c r="R342" s="177">
        <f t="shared" si="131"/>
        <v>0.77901343834075343</v>
      </c>
      <c r="S342" s="810">
        <f t="shared" si="132"/>
        <v>-2</v>
      </c>
      <c r="T342" s="176">
        <f t="shared" si="133"/>
        <v>4</v>
      </c>
      <c r="U342" s="251">
        <f t="shared" si="134"/>
        <v>-1.2209865616592466</v>
      </c>
      <c r="V342" s="383">
        <f t="shared" si="135"/>
        <v>19.26884284297547</v>
      </c>
      <c r="W342" s="402">
        <f t="shared" si="136"/>
        <v>11.906466260245171</v>
      </c>
      <c r="X342" s="157">
        <f t="shared" si="137"/>
        <v>45985</v>
      </c>
      <c r="Y342" s="385">
        <f t="shared" si="138"/>
        <v>10.992170083462854</v>
      </c>
      <c r="Z342" s="385">
        <f t="shared" si="139"/>
        <v>11.697384570408644</v>
      </c>
      <c r="AA342" s="386">
        <f t="shared" si="140"/>
        <v>13.339923220819125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0.12312954304317371</v>
      </c>
      <c r="AD342" s="231">
        <f>(INDEX(Models!$BJ342:$BT342,,AH342)*(1-AF342)+INDEX(Models!$BJ342:$BT342,,AH342+1)*AF342-ERP_i)*AE342*Ramure*Pc/MaxiM</f>
        <v>3.1069045468005998E-3</v>
      </c>
      <c r="AE342" s="305">
        <f t="shared" si="142"/>
        <v>0.7</v>
      </c>
      <c r="AF342" s="177">
        <f t="shared" si="143"/>
        <v>0.59900349143993692</v>
      </c>
      <c r="AG342" s="810">
        <f t="shared" si="149"/>
        <v>1</v>
      </c>
      <c r="AH342" s="176">
        <f t="shared" si="144"/>
        <v>7</v>
      </c>
      <c r="AI342" s="225">
        <f t="shared" si="145"/>
        <v>1.5990034914399369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4.844155730474907</v>
      </c>
      <c r="C343" s="840"/>
      <c r="D343" s="393">
        <f t="shared" si="127"/>
        <v>5.1550577139637577</v>
      </c>
      <c r="E343" s="385">
        <f t="shared" si="125"/>
        <v>5.4353313349004866</v>
      </c>
      <c r="F343" s="385">
        <f t="shared" si="128"/>
        <v>5.4353313349004866</v>
      </c>
      <c r="G343" s="110">
        <f t="shared" si="126"/>
        <v>0.25392215061859152</v>
      </c>
      <c r="H343" s="414" t="b">
        <f>Wh_hp&gt;='2024'!Maxi_hp</f>
        <v>0</v>
      </c>
      <c r="I343" s="390">
        <f>IF(H343,Wh_hp,'2024'!Maxi_hp)</f>
        <v>19.914924416032331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6.0310087828249759E-2</v>
      </c>
      <c r="M343" s="844"/>
      <c r="N343" s="844"/>
      <c r="O343" s="48">
        <f>IF(t&lt;Tnet,'2024'!Resal+('2024'!Salim-'2024'!Resal)*(1-EXP(('2024'!Tnet-t)/('2024'!Tau_j))),Resal+(Salim-Resal)*(1-EXP((Tnet-t)/(Tau_j))))*Salcycl</f>
        <v>5.1565139945946074E-2</v>
      </c>
      <c r="P343" s="169">
        <f>(INDEX(Models!$BJ343:$BT343,,T343)*(1-R343)+INDEX(Models!$BJ343:$BT343,,T343+1)*R343-ERP_i)*Q343*Ramure*Pc/MaxiM</f>
        <v>1.9529346881099149E-4</v>
      </c>
      <c r="Q343" s="305">
        <f t="shared" si="130"/>
        <v>0.7</v>
      </c>
      <c r="R343" s="177">
        <f t="shared" si="131"/>
        <v>0.77903027494187116</v>
      </c>
      <c r="S343" s="810">
        <f t="shared" si="132"/>
        <v>-2</v>
      </c>
      <c r="T343" s="176">
        <f t="shared" si="133"/>
        <v>4</v>
      </c>
      <c r="U343" s="251">
        <f t="shared" si="134"/>
        <v>-1.2209697250581288</v>
      </c>
      <c r="V343" s="383">
        <f t="shared" si="135"/>
        <v>19.073600655555545</v>
      </c>
      <c r="W343" s="402">
        <f t="shared" si="136"/>
        <v>4.844155730474907</v>
      </c>
      <c r="X343" s="157">
        <f t="shared" si="137"/>
        <v>45986</v>
      </c>
      <c r="Y343" s="385">
        <f t="shared" si="138"/>
        <v>4.4786092642455202</v>
      </c>
      <c r="Z343" s="385">
        <f t="shared" si="139"/>
        <v>4.7660501685017023</v>
      </c>
      <c r="AA343" s="386">
        <f t="shared" si="140"/>
        <v>5.4353313349004866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0.12313530218503924</v>
      </c>
      <c r="AD343" s="231">
        <f>(INDEX(Models!$BJ343:$BT343,,AH343)*(1-AF343)+INDEX(Models!$BJ343:$BT343,,AH343+1)*AF343-ERP_i)*AE343*Ramure*Pc/MaxiM</f>
        <v>3.0726510729629187E-3</v>
      </c>
      <c r="AE343" s="305">
        <f t="shared" si="142"/>
        <v>0.7</v>
      </c>
      <c r="AF343" s="177">
        <f t="shared" si="143"/>
        <v>0.59902032804105487</v>
      </c>
      <c r="AG343" s="810">
        <f t="shared" si="149"/>
        <v>1</v>
      </c>
      <c r="AH343" s="176">
        <f t="shared" si="144"/>
        <v>7</v>
      </c>
      <c r="AI343" s="225">
        <f t="shared" si="145"/>
        <v>1.5990203280410549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10.872826869046575</v>
      </c>
      <c r="C344" s="840"/>
      <c r="D344" s="393">
        <f t="shared" si="127"/>
        <v>11.570923302104282</v>
      </c>
      <c r="E344" s="385">
        <f t="shared" si="125"/>
        <v>12.201546336978099</v>
      </c>
      <c r="F344" s="385">
        <f t="shared" si="128"/>
        <v>12.202454317981791</v>
      </c>
      <c r="G344" s="110">
        <f t="shared" si="126"/>
        <v>0.5755874677888726</v>
      </c>
      <c r="H344" s="414" t="b">
        <f>Wh_hp&gt;='2024'!Maxi_hp</f>
        <v>0</v>
      </c>
      <c r="I344" s="390">
        <f>IF(H344,Wh_hp,'2024'!Maxi_hp)</f>
        <v>21.504267084607424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6.0331955785304592E-2</v>
      </c>
      <c r="M344" s="844"/>
      <c r="N344" s="844"/>
      <c r="O344" s="48">
        <f>IF(t&lt;Tnet,'2024'!Resal+('2024'!Salim-'2024'!Resal)*(1-EXP(('2024'!Tnet-t)/('2024'!Tau_j))),Resal+(Salim-Resal)*(1-EXP((Tnet-t)/(Tau_j))))*Salcycl</f>
        <v>5.1683861820255299E-2</v>
      </c>
      <c r="P344" s="169">
        <f>(INDEX(Models!$BJ344:$BT344,,T344)*(1-R344)+INDEX(Models!$BJ344:$BT344,,T344+1)*R344-ERP_i)*Q344*Ramure*Pc/MaxiM</f>
        <v>1.8895754539609015E-4</v>
      </c>
      <c r="Q344" s="305">
        <f t="shared" si="130"/>
        <v>0.7</v>
      </c>
      <c r="R344" s="177">
        <f t="shared" si="131"/>
        <v>0.77904643498458981</v>
      </c>
      <c r="S344" s="810">
        <f t="shared" si="132"/>
        <v>-2</v>
      </c>
      <c r="T344" s="176">
        <f t="shared" si="133"/>
        <v>4</v>
      </c>
      <c r="U344" s="251">
        <f t="shared" si="134"/>
        <v>-1.2209535650154102</v>
      </c>
      <c r="V344" s="383">
        <f t="shared" si="135"/>
        <v>18.887800596618259</v>
      </c>
      <c r="W344" s="402">
        <f t="shared" si="136"/>
        <v>10.872826869046575</v>
      </c>
      <c r="X344" s="157">
        <f t="shared" si="137"/>
        <v>45987</v>
      </c>
      <c r="Y344" s="385">
        <f t="shared" si="138"/>
        <v>10.042220603533327</v>
      </c>
      <c r="Z344" s="385">
        <f t="shared" si="139"/>
        <v>10.686987458348513</v>
      </c>
      <c r="AA344" s="386">
        <f t="shared" si="140"/>
        <v>12.187835773254315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0.12314313573205099</v>
      </c>
      <c r="AD344" s="231">
        <f>(INDEX(Models!$BJ344:$BT344,,AH344)*(1-AF344)+INDEX(Models!$BJ344:$BT344,,AH344+1)*AF344-ERP_i)*AE344*Ramure*Pc/MaxiM</f>
        <v>3.0422270044569676E-3</v>
      </c>
      <c r="AE344" s="305">
        <f t="shared" si="142"/>
        <v>0.7</v>
      </c>
      <c r="AF344" s="177">
        <f t="shared" si="143"/>
        <v>0.59903648808377352</v>
      </c>
      <c r="AG344" s="810">
        <f t="shared" si="149"/>
        <v>1</v>
      </c>
      <c r="AH344" s="176">
        <f t="shared" si="144"/>
        <v>7</v>
      </c>
      <c r="AI344" s="225">
        <f t="shared" si="145"/>
        <v>1.5990364880837735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12.252483295558541</v>
      </c>
      <c r="C345" s="840"/>
      <c r="D345" s="393">
        <f t="shared" si="127"/>
        <v>13.039464852314017</v>
      </c>
      <c r="E345" s="385">
        <f t="shared" si="125"/>
        <v>13.751855427264955</v>
      </c>
      <c r="F345" s="385">
        <f t="shared" si="128"/>
        <v>13.753134682206834</v>
      </c>
      <c r="G345" s="110">
        <f t="shared" si="126"/>
        <v>0.6548208340415631</v>
      </c>
      <c r="H345" s="414" t="b">
        <f>Wh_hp&gt;='2024'!Maxi_hp</f>
        <v>0</v>
      </c>
      <c r="I345" s="390">
        <f>IF(H345,Wh_hp,'2024'!Maxi_hp)</f>
        <v>18.227231813309963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6.0353823233460169E-2</v>
      </c>
      <c r="M345" s="844"/>
      <c r="N345" s="844"/>
      <c r="O345" s="48">
        <f>IF(t&lt;Tnet,'2024'!Resal+('2024'!Salim-'2024'!Resal)*(1-EXP(('2024'!Tnet-t)/('2024'!Tau_j))),Resal+(Salim-Resal)*(1-EXP((Tnet-t)/(Tau_j))))*Salcycl</f>
        <v>5.180323329596126E-2</v>
      </c>
      <c r="P345" s="169">
        <f>(INDEX(Models!$BJ345:$BT345,,T345)*(1-R345)+INDEX(Models!$BJ345:$BT345,,T345+1)*R345-ERP_i)*Q345*Ramure*Pc/MaxiM</f>
        <v>1.8347285843431846E-4</v>
      </c>
      <c r="Q345" s="305">
        <f t="shared" si="130"/>
        <v>0.7</v>
      </c>
      <c r="R345" s="177">
        <f t="shared" si="131"/>
        <v>0.77906194560415831</v>
      </c>
      <c r="S345" s="810">
        <f t="shared" si="132"/>
        <v>-2</v>
      </c>
      <c r="T345" s="176">
        <f t="shared" si="133"/>
        <v>4</v>
      </c>
      <c r="U345" s="251">
        <f t="shared" si="134"/>
        <v>-1.2209380543958417</v>
      </c>
      <c r="V345" s="383">
        <f t="shared" si="135"/>
        <v>18.70950682766896</v>
      </c>
      <c r="W345" s="402">
        <f t="shared" si="136"/>
        <v>12.252483295558541</v>
      </c>
      <c r="X345" s="157">
        <f t="shared" si="137"/>
        <v>45988</v>
      </c>
      <c r="Y345" s="385">
        <f t="shared" si="138"/>
        <v>11.314237006433151</v>
      </c>
      <c r="Z345" s="385">
        <f t="shared" si="139"/>
        <v>12.040954655258748</v>
      </c>
      <c r="AA345" s="386">
        <f t="shared" si="140"/>
        <v>13.732105511858508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0.12315306310014508</v>
      </c>
      <c r="AD345" s="231">
        <f>(INDEX(Models!$BJ345:$BT345,,AH345)*(1-AF345)+INDEX(Models!$BJ345:$BT345,,AH345+1)*AF345-ERP_i)*AE345*Ramure*Pc/MaxiM</f>
        <v>3.0160383735895148E-3</v>
      </c>
      <c r="AE345" s="305">
        <f t="shared" si="142"/>
        <v>0.7</v>
      </c>
      <c r="AF345" s="177">
        <f t="shared" si="143"/>
        <v>0.59905199870334203</v>
      </c>
      <c r="AG345" s="810">
        <f t="shared" si="149"/>
        <v>1</v>
      </c>
      <c r="AH345" s="176">
        <f t="shared" si="144"/>
        <v>7</v>
      </c>
      <c r="AI345" s="225">
        <f t="shared" si="145"/>
        <v>1.599051998703342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10.402046512488766</v>
      </c>
      <c r="C346" s="840"/>
      <c r="D346" s="393">
        <f t="shared" si="127"/>
        <v>11.070431451907563</v>
      </c>
      <c r="E346" s="385">
        <f t="shared" si="125"/>
        <v>11.676725155877172</v>
      </c>
      <c r="F346" s="385">
        <f t="shared" si="128"/>
        <v>11.677504921364248</v>
      </c>
      <c r="G346" s="110">
        <f t="shared" si="126"/>
        <v>0.56109605489316594</v>
      </c>
      <c r="H346" s="414" t="b">
        <f>Wh_hp&gt;='2024'!Maxi_hp</f>
        <v>0</v>
      </c>
      <c r="I346" s="390">
        <f>IF(H346,Wh_hp,'2024'!Maxi_hp)</f>
        <v>13.863925920515646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6.0375690172728147E-2</v>
      </c>
      <c r="M346" s="844"/>
      <c r="N346" s="844"/>
      <c r="O346" s="48">
        <f>IF(t&lt;Tnet,'2024'!Resal+('2024'!Salim-'2024'!Resal)*(1-EXP(('2024'!Tnet-t)/('2024'!Tau_j))),Resal+(Salim-Resal)*(1-EXP((Tnet-t)/(Tau_j))))*Salcycl</f>
        <v>5.1923265802350974E-2</v>
      </c>
      <c r="P346" s="169">
        <f>(INDEX(Models!$BJ346:$BT346,,T346)*(1-R346)+INDEX(Models!$BJ346:$BT346,,T346+1)*R346-ERP_i)*Q346*Ramure*Pc/MaxiM</f>
        <v>1.789810091374889E-4</v>
      </c>
      <c r="Q346" s="305">
        <f t="shared" si="130"/>
        <v>0.7</v>
      </c>
      <c r="R346" s="177">
        <f t="shared" si="131"/>
        <v>0.77907683285154605</v>
      </c>
      <c r="S346" s="810">
        <f t="shared" si="132"/>
        <v>-2</v>
      </c>
      <c r="T346" s="176">
        <f t="shared" si="133"/>
        <v>4</v>
      </c>
      <c r="U346" s="251">
        <f t="shared" si="134"/>
        <v>-1.2209231671484539</v>
      </c>
      <c r="V346" s="383">
        <f t="shared" si="135"/>
        <v>18.536717861053997</v>
      </c>
      <c r="W346" s="402">
        <f t="shared" si="136"/>
        <v>10.402046512488766</v>
      </c>
      <c r="X346" s="157">
        <f t="shared" si="137"/>
        <v>45989</v>
      </c>
      <c r="Y346" s="385">
        <f t="shared" si="138"/>
        <v>9.6102911569828748</v>
      </c>
      <c r="Z346" s="385">
        <f t="shared" si="139"/>
        <v>10.227801746369785</v>
      </c>
      <c r="AA346" s="386">
        <f t="shared" si="140"/>
        <v>11.664455530467954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0.12316509590572669</v>
      </c>
      <c r="AD346" s="231">
        <f>(INDEX(Models!$BJ346:$BT346,,AH346)*(1-AF346)+INDEX(Models!$BJ346:$BT346,,AH346+1)*AF346-ERP_i)*AE346*Ramure*Pc/MaxiM</f>
        <v>2.9952507387890591E-3</v>
      </c>
      <c r="AE346" s="305">
        <f t="shared" si="142"/>
        <v>0.7</v>
      </c>
      <c r="AF346" s="177">
        <f t="shared" si="143"/>
        <v>0.59906688595072977</v>
      </c>
      <c r="AG346" s="810">
        <f t="shared" si="149"/>
        <v>1</v>
      </c>
      <c r="AH346" s="176">
        <f t="shared" si="144"/>
        <v>7</v>
      </c>
      <c r="AI346" s="225">
        <f t="shared" si="145"/>
        <v>1.5990668859507298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13.978139456450336</v>
      </c>
      <c r="C347" s="840"/>
      <c r="D347" s="393">
        <f t="shared" si="127"/>
        <v>14.876652944745588</v>
      </c>
      <c r="E347" s="385">
        <f t="shared" si="125"/>
        <v>15.693399730823247</v>
      </c>
      <c r="F347" s="385">
        <f t="shared" si="128"/>
        <v>15.695204911002378</v>
      </c>
      <c r="G347" s="110">
        <f t="shared" si="126"/>
        <v>0.7608794721203006</v>
      </c>
      <c r="H347" s="414" t="b">
        <f>Wh_hp&gt;='2024'!Maxi_hp</f>
        <v>0</v>
      </c>
      <c r="I347" s="390">
        <f>IF(H347,Wh_hp,'2024'!Maxi_hp)</f>
        <v>20.020068183984399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6.0397556603120628E-2</v>
      </c>
      <c r="M347" s="844"/>
      <c r="N347" s="844"/>
      <c r="O347" s="48">
        <f>IF(t&lt;Tnet,'2024'!Resal+('2024'!Salim-'2024'!Resal)*(1-EXP(('2024'!Tnet-t)/('2024'!Tau_j))),Resal+(Salim-Resal)*(1-EXP((Tnet-t)/(Tau_j))))*Salcycl</f>
        <v>5.2043967533274109E-2</v>
      </c>
      <c r="P347" s="169">
        <f>(INDEX(Models!$BJ347:$BT347,,T347)*(1-R347)+INDEX(Models!$BJ347:$BT347,,T347+1)*R347-ERP_i)*Q347*Ramure*Pc/MaxiM</f>
        <v>1.7467126400615401E-4</v>
      </c>
      <c r="Q347" s="305">
        <f t="shared" si="130"/>
        <v>0.7</v>
      </c>
      <c r="R347" s="177">
        <f t="shared" si="131"/>
        <v>0.77909112173644957</v>
      </c>
      <c r="S347" s="810">
        <f t="shared" si="132"/>
        <v>-2</v>
      </c>
      <c r="T347" s="176">
        <f t="shared" si="133"/>
        <v>4</v>
      </c>
      <c r="U347" s="251">
        <f t="shared" si="134"/>
        <v>-1.2209088782635504</v>
      </c>
      <c r="V347" s="383">
        <f t="shared" si="135"/>
        <v>18.369933722362099</v>
      </c>
      <c r="W347" s="402">
        <f t="shared" si="136"/>
        <v>13.978139456450336</v>
      </c>
      <c r="X347" s="157">
        <f t="shared" si="137"/>
        <v>45990</v>
      </c>
      <c r="Y347" s="385">
        <f t="shared" si="138"/>
        <v>12.905358957284985</v>
      </c>
      <c r="Z347" s="385">
        <f t="shared" si="139"/>
        <v>13.734914216090306</v>
      </c>
      <c r="AA347" s="386">
        <f t="shared" si="140"/>
        <v>15.664449123968815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0.12317923807011179</v>
      </c>
      <c r="AD347" s="231">
        <f>(INDEX(Models!$BJ347:$BT347,,AH347)*(1-AF347)+INDEX(Models!$BJ347:$BT347,,AH347+1)*AF347-ERP_i)*AE347*Ramure*Pc/MaxiM</f>
        <v>2.9759645373701174E-3</v>
      </c>
      <c r="AE347" s="305">
        <f t="shared" si="142"/>
        <v>0.7</v>
      </c>
      <c r="AF347" s="177">
        <f t="shared" si="143"/>
        <v>0.59908117483563306</v>
      </c>
      <c r="AG347" s="810">
        <f t="shared" si="149"/>
        <v>1</v>
      </c>
      <c r="AH347" s="176">
        <f t="shared" si="144"/>
        <v>7</v>
      </c>
      <c r="AI347" s="225">
        <f t="shared" si="145"/>
        <v>1.5990811748356331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3.9415741038090317</v>
      </c>
      <c r="C348" s="840"/>
      <c r="D348" s="393">
        <f t="shared" si="127"/>
        <v>4.1950357407344727</v>
      </c>
      <c r="E348" s="385">
        <f t="shared" si="125"/>
        <v>4.4259151233342253</v>
      </c>
      <c r="F348" s="385">
        <f t="shared" si="128"/>
        <v>4.4259151233342253</v>
      </c>
      <c r="G348" s="110">
        <f t="shared" si="126"/>
        <v>0.21641845398814477</v>
      </c>
      <c r="H348" s="414" t="b">
        <f>Wh_hp&gt;='2024'!Maxi_hp</f>
        <v>0</v>
      </c>
      <c r="I348" s="390">
        <f>IF(H348,Wh_hp,'2024'!Maxi_hp)</f>
        <v>19.556605009076051</v>
      </c>
      <c r="J348" s="85">
        <f>IF(H348,An,'2024'!An_max)</f>
        <v>2021</v>
      </c>
      <c r="K348" s="197">
        <f t="shared" si="129"/>
        <v>45991</v>
      </c>
      <c r="L348" s="147">
        <f>IF(t&lt;Tvie,1-EXP((T0-t)*PertePVj)+'2024'!Pspv,1-EXP((T0-t)*PertePVj)+Pspv)</f>
        <v>6.0419422524649269E-2</v>
      </c>
      <c r="M348" s="844"/>
      <c r="N348" s="844"/>
      <c r="O348" s="48">
        <f>IF(t&lt;Tnet,'2024'!Resal+('2024'!Salim-'2024'!Resal)*(1-EXP(('2024'!Tnet-t)/('2024'!Tau_j))),Resal+(Salim-Resal)*(1-EXP((Tnet-t)/(Tau_j))))*Salcycl</f>
        <v>5.2165343474960678E-2</v>
      </c>
      <c r="P348" s="169">
        <f>(INDEX(Models!$BJ348:$BT348,,T348)*(1-R348)+INDEX(Models!$BJ348:$BT348,,T348+1)*R348-ERP_i)*Q348*Ramure*Pc/MaxiM</f>
        <v>1.7054399108653318E-4</v>
      </c>
      <c r="Q348" s="305">
        <f t="shared" si="130"/>
        <v>0.7</v>
      </c>
      <c r="R348" s="177">
        <f t="shared" si="131"/>
        <v>0.77910483626861682</v>
      </c>
      <c r="S348" s="810">
        <f t="shared" si="132"/>
        <v>-2</v>
      </c>
      <c r="T348" s="176">
        <f t="shared" si="133"/>
        <v>4</v>
      </c>
      <c r="U348" s="251">
        <f t="shared" si="134"/>
        <v>-1.2208951637313832</v>
      </c>
      <c r="V348" s="383">
        <f t="shared" si="135"/>
        <v>18.20963887047305</v>
      </c>
      <c r="W348" s="402">
        <f t="shared" si="136"/>
        <v>3.9415741038090317</v>
      </c>
      <c r="X348" s="157">
        <f t="shared" si="137"/>
        <v>45991</v>
      </c>
      <c r="Y348" s="385">
        <f t="shared" si="138"/>
        <v>3.646194980118417</v>
      </c>
      <c r="Z348" s="385">
        <f t="shared" si="139"/>
        <v>3.8806623588534879</v>
      </c>
      <c r="AA348" s="386">
        <f t="shared" si="140"/>
        <v>4.4259151233342253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0.12319548596991077</v>
      </c>
      <c r="AD348" s="231">
        <f>(INDEX(Models!$BJ348:$BT348,,AH348)*(1-AF348)+INDEX(Models!$BJ348:$BT348,,AH348+1)*AF348-ERP_i)*AE348*Ramure*Pc/MaxiM</f>
        <v>2.9581301750696222E-3</v>
      </c>
      <c r="AE348" s="305">
        <f t="shared" si="142"/>
        <v>0.7</v>
      </c>
      <c r="AF348" s="177">
        <f t="shared" si="143"/>
        <v>0.59909488936780031</v>
      </c>
      <c r="AG348" s="810">
        <f t="shared" si="149"/>
        <v>1</v>
      </c>
      <c r="AH348" s="176">
        <f t="shared" si="144"/>
        <v>7</v>
      </c>
      <c r="AI348" s="225">
        <f t="shared" si="145"/>
        <v>1.5990948893678003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3.7346671762276027</v>
      </c>
      <c r="C349" s="840"/>
      <c r="D349" s="393">
        <f t="shared" si="127"/>
        <v>3.974916232779798</v>
      </c>
      <c r="E349" s="385">
        <f t="shared" si="125"/>
        <v>4.1942211317142197</v>
      </c>
      <c r="F349" s="385">
        <f t="shared" si="128"/>
        <v>4.1942211317142197</v>
      </c>
      <c r="G349" s="110">
        <f t="shared" si="126"/>
        <v>0.20679991817386792</v>
      </c>
      <c r="H349" s="414" t="b">
        <f>Wh_hp&gt;='2024'!Maxi_hp</f>
        <v>0</v>
      </c>
      <c r="I349" s="390">
        <f>IF(H349,Wh_hp,'2024'!Maxi_hp)</f>
        <v>20.229052187489842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6.044128793732606E-2</v>
      </c>
      <c r="M349" s="844"/>
      <c r="N349" s="844"/>
      <c r="O349" s="48">
        <f>IF(t&lt;Tnet,'2024'!Resal+('2024'!Salim-'2024'!Resal)*(1-EXP(('2024'!Tnet-t)/('2024'!Tau_j))),Resal+(Salim-Resal)*(1-EXP((Tnet-t)/(Tau_j))))*Salcycl</f>
        <v>5.2287395453751329E-2</v>
      </c>
      <c r="P349" s="169">
        <f>(INDEX(Models!$BJ349:$BT349,,T349)*(1-R349)+INDEX(Models!$BJ349:$BT349,,T349+1)*R349-ERP_i)*Q349*Ramure*Pc/MaxiM</f>
        <v>1.6659971215193101E-4</v>
      </c>
      <c r="Q349" s="305">
        <f t="shared" si="130"/>
        <v>0.7</v>
      </c>
      <c r="R349" s="177">
        <f t="shared" si="131"/>
        <v>0.779117999497557</v>
      </c>
      <c r="S349" s="810">
        <f t="shared" si="132"/>
        <v>-2</v>
      </c>
      <c r="T349" s="176">
        <f t="shared" si="133"/>
        <v>4</v>
      </c>
      <c r="U349" s="251">
        <f t="shared" si="134"/>
        <v>-1.220882000502443</v>
      </c>
      <c r="V349" s="383">
        <f t="shared" si="135"/>
        <v>18.056317501110641</v>
      </c>
      <c r="W349" s="402">
        <f t="shared" si="136"/>
        <v>3.7346671762276027</v>
      </c>
      <c r="X349" s="157">
        <f t="shared" si="137"/>
        <v>45992</v>
      </c>
      <c r="Y349" s="385">
        <f t="shared" si="138"/>
        <v>3.4551661749257616</v>
      </c>
      <c r="Z349" s="385">
        <f t="shared" si="139"/>
        <v>3.6774350879472046</v>
      </c>
      <c r="AA349" s="386">
        <f t="shared" si="140"/>
        <v>4.1942211317142197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0.12321382863182502</v>
      </c>
      <c r="AD349" s="231">
        <f>(INDEX(Models!$BJ349:$BT349,,AH349)*(1-AF349)+INDEX(Models!$BJ349:$BT349,,AH349+1)*AF349-ERP_i)*AE349*Ramure*Pc/MaxiM</f>
        <v>2.9416951140295608E-3</v>
      </c>
      <c r="AE349" s="305">
        <f t="shared" si="142"/>
        <v>0.7</v>
      </c>
      <c r="AF349" s="177">
        <f t="shared" si="143"/>
        <v>0.59910805259674094</v>
      </c>
      <c r="AG349" s="810">
        <f t="shared" si="149"/>
        <v>1</v>
      </c>
      <c r="AH349" s="176">
        <f t="shared" si="144"/>
        <v>7</v>
      </c>
      <c r="AI349" s="225">
        <f t="shared" si="145"/>
        <v>1.5991080525967409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5.6416051791712967</v>
      </c>
      <c r="C350" s="840"/>
      <c r="D350" s="393">
        <f t="shared" si="127"/>
        <v>6.0046662312729193</v>
      </c>
      <c r="E350" s="385">
        <f t="shared" si="125"/>
        <v>6.3367775152202572</v>
      </c>
      <c r="F350" s="385">
        <f t="shared" si="128"/>
        <v>6.3367996114572165</v>
      </c>
      <c r="G350" s="110">
        <f t="shared" si="126"/>
        <v>0.3149393263572951</v>
      </c>
      <c r="H350" s="414" t="b">
        <f>Wh_hp&gt;='2024'!Maxi_hp</f>
        <v>0</v>
      </c>
      <c r="I350" s="390">
        <f>IF(H350,Wh_hp,'2024'!Maxi_hp)</f>
        <v>9.3592865081560959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6.046315284116266E-2</v>
      </c>
      <c r="M350" s="844"/>
      <c r="N350" s="844"/>
      <c r="O350" s="48">
        <f>IF(t&lt;Tnet,'2024'!Resal+('2024'!Salim-'2024'!Resal)*(1-EXP(('2024'!Tnet-t)/('2024'!Tau_j))),Resal+(Salim-Resal)*(1-EXP((Tnet-t)/(Tau_j))))*Salcycl</f>
        <v>5.2410122203224309E-2</v>
      </c>
      <c r="P350" s="169">
        <f>(INDEX(Models!$BJ350:$BT350,,T350)*(1-R350)+INDEX(Models!$BJ350:$BT350,,T350+1)*R350-ERP_i)*Q350*Ramure*Pc/MaxiM</f>
        <v>1.6283907868358075E-4</v>
      </c>
      <c r="Q350" s="305">
        <f t="shared" si="130"/>
        <v>0.7</v>
      </c>
      <c r="R350" s="177">
        <f t="shared" si="131"/>
        <v>0.77913063355069467</v>
      </c>
      <c r="S350" s="810">
        <f t="shared" si="132"/>
        <v>-2</v>
      </c>
      <c r="T350" s="176">
        <f t="shared" si="133"/>
        <v>4</v>
      </c>
      <c r="U350" s="251">
        <f t="shared" si="134"/>
        <v>-1.2208693664493053</v>
      </c>
      <c r="V350" s="383">
        <f t="shared" si="135"/>
        <v>17.910453545460324</v>
      </c>
      <c r="W350" s="402">
        <f t="shared" si="136"/>
        <v>5.6416051791712967</v>
      </c>
      <c r="X350" s="157">
        <f t="shared" si="137"/>
        <v>45993</v>
      </c>
      <c r="Y350" s="385">
        <f t="shared" si="138"/>
        <v>5.2196351880053449</v>
      </c>
      <c r="Z350" s="385">
        <f t="shared" si="139"/>
        <v>5.5555406941085277</v>
      </c>
      <c r="AA350" s="386">
        <f t="shared" si="140"/>
        <v>6.3364024897705491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0.12323424796998612</v>
      </c>
      <c r="AD350" s="231">
        <f>(INDEX(Models!$BJ350:$BT350,,AH350)*(1-AF350)+INDEX(Models!$BJ350:$BT350,,AH350+1)*AF350-ERP_i)*AE350*Ramure*Pc/MaxiM</f>
        <v>2.9266037335889247E-3</v>
      </c>
      <c r="AE350" s="305">
        <f t="shared" si="142"/>
        <v>0.7</v>
      </c>
      <c r="AF350" s="177">
        <f t="shared" si="143"/>
        <v>0.59912068664987839</v>
      </c>
      <c r="AG350" s="810">
        <f t="shared" si="149"/>
        <v>1</v>
      </c>
      <c r="AH350" s="176">
        <f t="shared" si="144"/>
        <v>7</v>
      </c>
      <c r="AI350" s="225">
        <f t="shared" si="145"/>
        <v>1.5991206866498784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7.6653719074434683</v>
      </c>
      <c r="C351" s="840"/>
      <c r="D351" s="393">
        <f t="shared" si="127"/>
        <v>8.1588607399253732</v>
      </c>
      <c r="E351" s="385">
        <f t="shared" si="125"/>
        <v>8.6112394553415914</v>
      </c>
      <c r="F351" s="385">
        <f t="shared" si="128"/>
        <v>8.6114967167095902</v>
      </c>
      <c r="G351" s="110">
        <f t="shared" si="126"/>
        <v>0.4312486619179221</v>
      </c>
      <c r="H351" s="414" t="b">
        <f>Wh_hp&gt;='2024'!Maxi_hp</f>
        <v>0</v>
      </c>
      <c r="I351" s="390">
        <f>IF(H351,Wh_hp,'2024'!Maxi_hp)</f>
        <v>13.44927584857693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6.0485017236171057E-2</v>
      </c>
      <c r="M351" s="844"/>
      <c r="N351" s="844"/>
      <c r="O351" s="48">
        <f>IF(t&lt;Tnet,'2024'!Resal+('2024'!Salim-'2024'!Resal)*(1-EXP(('2024'!Tnet-t)/('2024'!Tau_j))),Resal+(Salim-Resal)*(1-EXP((Tnet-t)/(Tau_j))))*Salcycl</f>
        <v>5.2533519450049276E-2</v>
      </c>
      <c r="P351" s="169">
        <f>(INDEX(Models!$BJ351:$BT351,,T351)*(1-R351)+INDEX(Models!$BJ351:$BT351,,T351+1)*R351-ERP_i)*Q351*Ramure*Pc/MaxiM</f>
        <v>1.5926284334769132E-4</v>
      </c>
      <c r="Q351" s="305">
        <f t="shared" si="130"/>
        <v>0.7</v>
      </c>
      <c r="R351" s="177">
        <f t="shared" si="131"/>
        <v>0.77914275967002466</v>
      </c>
      <c r="S351" s="810">
        <f t="shared" si="132"/>
        <v>-2</v>
      </c>
      <c r="T351" s="176">
        <f t="shared" si="133"/>
        <v>4</v>
      </c>
      <c r="U351" s="251">
        <f t="shared" si="134"/>
        <v>-1.2208572403299753</v>
      </c>
      <c r="V351" s="383">
        <f t="shared" si="135"/>
        <v>17.772530658925113</v>
      </c>
      <c r="W351" s="402">
        <f t="shared" si="136"/>
        <v>7.6653719074434683</v>
      </c>
      <c r="X351" s="157">
        <f t="shared" si="137"/>
        <v>45994</v>
      </c>
      <c r="Y351" s="385">
        <f t="shared" si="138"/>
        <v>7.0895299895128625</v>
      </c>
      <c r="Z351" s="385">
        <f t="shared" si="139"/>
        <v>7.545946706094198</v>
      </c>
      <c r="AA351" s="386">
        <f t="shared" si="140"/>
        <v>8.6067916004273837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0.12325671906364134</v>
      </c>
      <c r="AD351" s="231">
        <f>(INDEX(Models!$BJ351:$BT351,,AH351)*(1-AF351)+INDEX(Models!$BJ351:$BT351,,AH351+1)*AF351-ERP_i)*AE351*Ramure*Pc/MaxiM</f>
        <v>2.912797219476123E-3</v>
      </c>
      <c r="AE351" s="305">
        <f t="shared" si="142"/>
        <v>0.7</v>
      </c>
      <c r="AF351" s="177">
        <f t="shared" si="143"/>
        <v>0.59913281276920838</v>
      </c>
      <c r="AG351" s="810">
        <f t="shared" si="149"/>
        <v>1</v>
      </c>
      <c r="AH351" s="176">
        <f t="shared" si="144"/>
        <v>7</v>
      </c>
      <c r="AI351" s="225">
        <f t="shared" si="145"/>
        <v>1.5991328127692084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14.261996325404528</v>
      </c>
      <c r="C352" s="840"/>
      <c r="D352" s="393">
        <f t="shared" si="127"/>
        <v>15.180522388969262</v>
      </c>
      <c r="E352" s="385">
        <f t="shared" si="125"/>
        <v>16.02432454070162</v>
      </c>
      <c r="F352" s="385">
        <f t="shared" si="128"/>
        <v>16.02614043256126</v>
      </c>
      <c r="G352" s="110">
        <f t="shared" si="126"/>
        <v>0.80832982891187655</v>
      </c>
      <c r="H352" s="414" t="b">
        <f>Wh_hp&gt;='2024'!Maxi_hp</f>
        <v>1</v>
      </c>
      <c r="I352" s="390">
        <f>IF(H352,Wh_hp,'2024'!Maxi_hp)</f>
        <v>16.02614043256126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6.0506881122363021E-2</v>
      </c>
      <c r="M352" s="844"/>
      <c r="N352" s="844"/>
      <c r="O352" s="48">
        <f>IF(t&lt;Tnet,'2024'!Resal+('2024'!Salim-'2024'!Resal)*(1-EXP(('2024'!Tnet-t)/('2024'!Tau_j))),Resal+(Salim-Resal)*(1-EXP((Tnet-t)/(Tau_j))))*Salcycl</f>
        <v>5.2657580017747847E-2</v>
      </c>
      <c r="P352" s="169">
        <f>(INDEX(Models!$BJ352:$BT352,,T352)*(1-R352)+INDEX(Models!$BJ352:$BT352,,T352+1)*R352-ERP_i)*Q352*Ramure*Pc/MaxiM</f>
        <v>1.5602133204565684E-4</v>
      </c>
      <c r="Q352" s="305">
        <f t="shared" si="130"/>
        <v>0.7</v>
      </c>
      <c r="R352" s="177">
        <f t="shared" si="131"/>
        <v>0.77915439824733257</v>
      </c>
      <c r="S352" s="810">
        <f t="shared" si="132"/>
        <v>-2</v>
      </c>
      <c r="T352" s="176">
        <f t="shared" si="133"/>
        <v>4</v>
      </c>
      <c r="U352" s="251">
        <f t="shared" si="134"/>
        <v>-1.2208456017526674</v>
      </c>
      <c r="V352" s="383">
        <f t="shared" si="135"/>
        <v>17.643029578546273</v>
      </c>
      <c r="W352" s="402">
        <f t="shared" si="136"/>
        <v>14.261996325404528</v>
      </c>
      <c r="X352" s="157">
        <f t="shared" si="137"/>
        <v>45995</v>
      </c>
      <c r="Y352" s="385">
        <f t="shared" si="138"/>
        <v>13.172454080533189</v>
      </c>
      <c r="Z352" s="385">
        <f t="shared" si="139"/>
        <v>14.020809536390887</v>
      </c>
      <c r="AA352" s="386">
        <f t="shared" si="140"/>
        <v>15.99236802481469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0.12328121047268399</v>
      </c>
      <c r="AD352" s="231">
        <f>(INDEX(Models!$BJ352:$BT352,,AH352)*(1-AF352)+INDEX(Models!$BJ352:$BT352,,AH352+1)*AF352-ERP_i)*AE352*Ramure*Pc/MaxiM</f>
        <v>2.9017234782104592E-3</v>
      </c>
      <c r="AE352" s="305">
        <f t="shared" si="142"/>
        <v>0.7</v>
      </c>
      <c r="AF352" s="177">
        <f t="shared" si="143"/>
        <v>0.5991444513465165</v>
      </c>
      <c r="AG352" s="810">
        <f t="shared" si="149"/>
        <v>1</v>
      </c>
      <c r="AH352" s="176">
        <f t="shared" si="144"/>
        <v>7</v>
      </c>
      <c r="AI352" s="225">
        <f t="shared" si="145"/>
        <v>1.5991444513465165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17.802214046304371</v>
      </c>
      <c r="C353" s="840"/>
      <c r="D353" s="393">
        <f t="shared" si="127"/>
        <v>18.949184386514357</v>
      </c>
      <c r="E353" s="385">
        <f t="shared" si="125"/>
        <v>20.005099424801205</v>
      </c>
      <c r="F353" s="385">
        <f t="shared" si="128"/>
        <v>20.008159739519453</v>
      </c>
      <c r="G353" s="110">
        <f t="shared" si="126"/>
        <v>1.0159668303817047</v>
      </c>
      <c r="H353" s="414" t="b">
        <f>Wh_hp&gt;='2024'!Maxi_hp</f>
        <v>1</v>
      </c>
      <c r="I353" s="390">
        <f>IF(H353,Wh_hp,'2024'!Maxi_hp)</f>
        <v>20.008159739519453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6.0528744499750431E-2</v>
      </c>
      <c r="M353" s="844"/>
      <c r="N353" s="844"/>
      <c r="O353" s="48">
        <f>IF(t&lt;Tnet,'2024'!Resal+('2024'!Salim-'2024'!Resal)*(1-EXP(('2024'!Tnet-t)/('2024'!Tau_j))),Resal+(Salim-Resal)*(1-EXP((Tnet-t)/(Tau_j))))*Salcycl</f>
        <v>5.2782293947401401E-2</v>
      </c>
      <c r="P353" s="169">
        <f>(INDEX(Models!$BJ353:$BT353,,T353)*(1-R353)+INDEX(Models!$BJ353:$BT353,,T353+1)*R353-ERP_i)*Q353*Ramure*Pc/MaxiM</f>
        <v>1.5295333294448711E-4</v>
      </c>
      <c r="Q353" s="305">
        <f t="shared" si="130"/>
        <v>0.7</v>
      </c>
      <c r="R353" s="177">
        <f t="shared" si="131"/>
        <v>0.7791655688580279</v>
      </c>
      <c r="S353" s="810">
        <f t="shared" si="132"/>
        <v>-2</v>
      </c>
      <c r="T353" s="176">
        <f t="shared" si="133"/>
        <v>4</v>
      </c>
      <c r="U353" s="251">
        <f t="shared" si="134"/>
        <v>-1.2208344311419721</v>
      </c>
      <c r="V353" s="383">
        <f t="shared" si="135"/>
        <v>17.522436278373359</v>
      </c>
      <c r="W353" s="402">
        <f t="shared" si="136"/>
        <v>17.802214046304371</v>
      </c>
      <c r="X353" s="157">
        <f t="shared" si="137"/>
        <v>45996</v>
      </c>
      <c r="Y353" s="385">
        <f t="shared" si="138"/>
        <v>16.431609857494379</v>
      </c>
      <c r="Z353" s="385">
        <f t="shared" si="139"/>
        <v>17.490274195504661</v>
      </c>
      <c r="AA353" s="386">
        <f t="shared" si="140"/>
        <v>19.95029942436539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0.12330768458824683</v>
      </c>
      <c r="AD353" s="231">
        <f>(INDEX(Models!$BJ353:$BT353,,AH353)*(1-AF353)+INDEX(Models!$BJ353:$BT353,,AH353+1)*AF353-ERP_i)*AE353*Ramure*Pc/MaxiM</f>
        <v>2.8918359263085669E-3</v>
      </c>
      <c r="AE353" s="305">
        <f t="shared" si="142"/>
        <v>0.7</v>
      </c>
      <c r="AF353" s="177">
        <f t="shared" si="143"/>
        <v>0.59915562195721161</v>
      </c>
      <c r="AG353" s="810">
        <f t="shared" si="149"/>
        <v>1</v>
      </c>
      <c r="AH353" s="176">
        <f t="shared" si="144"/>
        <v>7</v>
      </c>
      <c r="AI353" s="225">
        <f t="shared" si="145"/>
        <v>1.5991556219572116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9.6246659734870921</v>
      </c>
      <c r="C354" s="840"/>
      <c r="D354" s="393">
        <f t="shared" si="127"/>
        <v>10.245007393666803</v>
      </c>
      <c r="E354" s="385">
        <f t="shared" si="125"/>
        <v>10.817326714646832</v>
      </c>
      <c r="F354" s="385">
        <f t="shared" si="128"/>
        <v>10.817912933208506</v>
      </c>
      <c r="G354" s="110">
        <f t="shared" si="126"/>
        <v>0.55273184316018886</v>
      </c>
      <c r="H354" s="414" t="b">
        <f>Wh_hp&gt;='2024'!Maxi_hp</f>
        <v>0</v>
      </c>
      <c r="I354" s="390">
        <f>IF(H354,Wh_hp,'2024'!Maxi_hp)</f>
        <v>14.0527233412349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6.0550607368345055E-2</v>
      </c>
      <c r="M354" s="844"/>
      <c r="N354" s="844"/>
      <c r="O354" s="48">
        <f>IF(t&lt;Tnet,'2024'!Resal+('2024'!Salim-'2024'!Resal)*(1-EXP(('2024'!Tnet-t)/('2024'!Tau_j))),Resal+(Salim-Resal)*(1-EXP((Tnet-t)/(Tau_j))))*Salcycl</f>
        <v>5.290764863421369E-2</v>
      </c>
      <c r="P354" s="169">
        <f>(INDEX(Models!$BJ354:$BT354,,T354)*(1-R354)+INDEX(Models!$BJ354:$BT354,,T354+1)*R354-ERP_i)*Q354*Ramure*Pc/MaxiM</f>
        <v>1.5005936231532086E-4</v>
      </c>
      <c r="Q354" s="305">
        <f t="shared" si="130"/>
        <v>0.7</v>
      </c>
      <c r="R354" s="177">
        <f t="shared" si="131"/>
        <v>0.7791762902936461</v>
      </c>
      <c r="S354" s="810">
        <f t="shared" si="132"/>
        <v>-2</v>
      </c>
      <c r="T354" s="176">
        <f t="shared" si="133"/>
        <v>4</v>
      </c>
      <c r="U354" s="251">
        <f t="shared" si="134"/>
        <v>-1.2208237097063539</v>
      </c>
      <c r="V354" s="383">
        <f t="shared" si="135"/>
        <v>17.411233545343045</v>
      </c>
      <c r="W354" s="402">
        <f t="shared" si="136"/>
        <v>9.6246659734870921</v>
      </c>
      <c r="X354" s="157">
        <f t="shared" si="137"/>
        <v>45997</v>
      </c>
      <c r="Y354" s="385">
        <f t="shared" si="138"/>
        <v>8.9001556297689941</v>
      </c>
      <c r="Z354" s="385">
        <f t="shared" si="139"/>
        <v>9.4737999721701041</v>
      </c>
      <c r="AA354" s="386">
        <f t="shared" si="140"/>
        <v>10.806650018008449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0.12333609801531951</v>
      </c>
      <c r="AD354" s="231">
        <f>(INDEX(Models!$BJ354:$BT354,,AH354)*(1-AF354)+INDEX(Models!$BJ354:$BT354,,AH354+1)*AF354-ERP_i)*AE354*Ramure*Pc/MaxiM</f>
        <v>2.8830644118570366E-3</v>
      </c>
      <c r="AE354" s="305">
        <f t="shared" si="142"/>
        <v>0.7</v>
      </c>
      <c r="AF354" s="177">
        <f t="shared" si="143"/>
        <v>0.59916634339283004</v>
      </c>
      <c r="AG354" s="810">
        <f t="shared" si="149"/>
        <v>1</v>
      </c>
      <c r="AH354" s="176">
        <f t="shared" si="144"/>
        <v>7</v>
      </c>
      <c r="AI354" s="225">
        <f t="shared" si="145"/>
        <v>1.59916634339283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15.884806674147526</v>
      </c>
      <c r="C355" s="840"/>
      <c r="D355" s="393">
        <f t="shared" si="127"/>
        <v>16.90902827762665</v>
      </c>
      <c r="E355" s="385">
        <f t="shared" si="125"/>
        <v>17.855996575032069</v>
      </c>
      <c r="F355" s="385">
        <f t="shared" si="128"/>
        <v>17.858318351772528</v>
      </c>
      <c r="G355" s="110">
        <f t="shared" si="126"/>
        <v>0.91765566692755007</v>
      </c>
      <c r="H355" s="414" t="b">
        <f>Wh_hp&gt;='2024'!Maxi_hp</f>
        <v>1</v>
      </c>
      <c r="I355" s="390">
        <f>IF(H355,Wh_hp,'2024'!Maxi_hp)</f>
        <v>17.858318351772528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6.0572469728158884E-2</v>
      </c>
      <c r="M355" s="844"/>
      <c r="N355" s="844"/>
      <c r="O355" s="48">
        <f>IF(t&lt;Tnet,'2024'!Resal+('2024'!Salim-'2024'!Resal)*(1-EXP(('2024'!Tnet-t)/('2024'!Tau_j))),Resal+(Salim-Resal)*(1-EXP((Tnet-t)/(Tau_j))))*Salcycl</f>
        <v>5.3033628978712971E-2</v>
      </c>
      <c r="P355" s="169">
        <f>(INDEX(Models!$BJ355:$BT355,,T355)*(1-R355)+INDEX(Models!$BJ355:$BT355,,T355+1)*R355-ERP_i)*Q355*Ramure*Pc/MaxiM</f>
        <v>1.4733988357831595E-4</v>
      </c>
      <c r="Q355" s="305">
        <f t="shared" si="130"/>
        <v>0.7</v>
      </c>
      <c r="R355" s="177">
        <f t="shared" si="131"/>
        <v>0.77918658059307422</v>
      </c>
      <c r="S355" s="810">
        <f t="shared" si="132"/>
        <v>-2</v>
      </c>
      <c r="T355" s="176">
        <f t="shared" si="133"/>
        <v>4</v>
      </c>
      <c r="U355" s="251">
        <f t="shared" si="134"/>
        <v>-1.2208134194069258</v>
      </c>
      <c r="V355" s="383">
        <f t="shared" si="135"/>
        <v>17.309903860351866</v>
      </c>
      <c r="W355" s="402">
        <f t="shared" si="136"/>
        <v>15.884806674147526</v>
      </c>
      <c r="X355" s="157">
        <f t="shared" si="137"/>
        <v>45998</v>
      </c>
      <c r="Y355" s="385">
        <f t="shared" si="138"/>
        <v>14.669613783846085</v>
      </c>
      <c r="Z355" s="385">
        <f t="shared" si="139"/>
        <v>15.61548210068014</v>
      </c>
      <c r="AA355" s="386">
        <f t="shared" si="140"/>
        <v>17.813008919602602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0.12336640198412296</v>
      </c>
      <c r="AD355" s="231">
        <f>(INDEX(Models!$BJ355:$BT355,,AH355)*(1-AF355)+INDEX(Models!$BJ355:$BT355,,AH355+1)*AF355-ERP_i)*AE355*Ramure*Pc/MaxiM</f>
        <v>2.8753352312407567E-3</v>
      </c>
      <c r="AE355" s="305">
        <f t="shared" si="142"/>
        <v>0.7</v>
      </c>
      <c r="AF355" s="177">
        <f t="shared" si="143"/>
        <v>0.59917663369225793</v>
      </c>
      <c r="AG355" s="810">
        <f t="shared" si="149"/>
        <v>1</v>
      </c>
      <c r="AH355" s="176">
        <f t="shared" si="144"/>
        <v>7</v>
      </c>
      <c r="AI355" s="225">
        <f t="shared" si="145"/>
        <v>1.5991766336922579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4.0232973222428905</v>
      </c>
      <c r="C356" s="840"/>
      <c r="D356" s="393">
        <f t="shared" si="127"/>
        <v>4.2828114173574461</v>
      </c>
      <c r="E356" s="385">
        <f t="shared" si="125"/>
        <v>4.5232694028562834</v>
      </c>
      <c r="F356" s="385">
        <f t="shared" si="128"/>
        <v>4.5232694028562834</v>
      </c>
      <c r="G356" s="110">
        <f t="shared" si="126"/>
        <v>0.23362165418085179</v>
      </c>
      <c r="H356" s="414" t="b">
        <f>Wh_hp&gt;='2024'!Maxi_hp</f>
        <v>0</v>
      </c>
      <c r="I356" s="390">
        <f>IF(H356,Wh_hp,'2024'!Maxi_hp)</f>
        <v>14.230610193408706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6.0594331579203575E-2</v>
      </c>
      <c r="M356" s="844"/>
      <c r="N356" s="844"/>
      <c r="O356" s="48">
        <f>IF(t&lt;Tnet,'2024'!Resal+('2024'!Salim-'2024'!Resal)*(1-EXP(('2024'!Tnet-t)/('2024'!Tau_j))),Resal+(Salim-Resal)*(1-EXP((Tnet-t)/(Tau_j))))*Salcycl</f>
        <v>5.3160217551268776E-2</v>
      </c>
      <c r="P356" s="169">
        <f>(INDEX(Models!$BJ356:$BT356,,T356)*(1-R356)+INDEX(Models!$BJ356:$BT356,,T356+1)*R356-ERP_i)*Q356*Ramure*Pc/MaxiM</f>
        <v>1.447952620057382E-4</v>
      </c>
      <c r="Q356" s="305">
        <f t="shared" si="130"/>
        <v>0.7</v>
      </c>
      <c r="R356" s="177">
        <f t="shared" si="131"/>
        <v>0.77919645707254137</v>
      </c>
      <c r="S356" s="810">
        <f t="shared" si="132"/>
        <v>-2</v>
      </c>
      <c r="T356" s="176">
        <f t="shared" si="133"/>
        <v>4</v>
      </c>
      <c r="U356" s="251">
        <f t="shared" si="134"/>
        <v>-1.2208035429274586</v>
      </c>
      <c r="V356" s="383">
        <f t="shared" si="135"/>
        <v>17.218929392302456</v>
      </c>
      <c r="W356" s="402">
        <f t="shared" si="136"/>
        <v>4.0232973222428905</v>
      </c>
      <c r="X356" s="157">
        <f t="shared" si="137"/>
        <v>45999</v>
      </c>
      <c r="Y356" s="385">
        <f t="shared" si="138"/>
        <v>3.7248416900682435</v>
      </c>
      <c r="Z356" s="385">
        <f t="shared" si="139"/>
        <v>3.9651045499118083</v>
      </c>
      <c r="AA356" s="386">
        <f t="shared" si="140"/>
        <v>4.5232694028562834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0.12339854278677587</v>
      </c>
      <c r="AD356" s="231">
        <f>(INDEX(Models!$BJ356:$BT356,,AH356)*(1-AF356)+INDEX(Models!$BJ356:$BT356,,AH356+1)*AF356-ERP_i)*AE356*Ramure*Pc/MaxiM</f>
        <v>2.8685712261695591E-3</v>
      </c>
      <c r="AE356" s="305">
        <f t="shared" si="142"/>
        <v>0.7</v>
      </c>
      <c r="AF356" s="177">
        <f t="shared" si="143"/>
        <v>0.59918651017172531</v>
      </c>
      <c r="AG356" s="810">
        <f t="shared" si="149"/>
        <v>1</v>
      </c>
      <c r="AH356" s="176">
        <f t="shared" si="144"/>
        <v>7</v>
      </c>
      <c r="AI356" s="225">
        <f t="shared" si="145"/>
        <v>1.5991865101717253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4.8878008635304484</v>
      </c>
      <c r="C357" s="840"/>
      <c r="D357" s="393">
        <f t="shared" si="127"/>
        <v>5.2031989764988049</v>
      </c>
      <c r="E357" s="385">
        <f t="shared" si="125"/>
        <v>5.4960702411123536</v>
      </c>
      <c r="F357" s="385">
        <f t="shared" si="128"/>
        <v>5.4960702411123536</v>
      </c>
      <c r="G357" s="110">
        <f t="shared" si="126"/>
        <v>0.28514872659071772</v>
      </c>
      <c r="H357" s="414" t="b">
        <f>Wh_hp&gt;='2024'!Maxi_hp</f>
        <v>0</v>
      </c>
      <c r="I357" s="390">
        <f>IF(H357,Wh_hp,'2024'!Maxi_hp)</f>
        <v>10.283678349894517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6.0616192921491119E-2</v>
      </c>
      <c r="M357" s="844"/>
      <c r="N357" s="844"/>
      <c r="O357" s="48">
        <f>IF(t&lt;Tnet,'2024'!Resal+('2024'!Salim-'2024'!Resal)*(1-EXP(('2024'!Tnet-t)/('2024'!Tau_j))),Resal+(Salim-Resal)*(1-EXP((Tnet-t)/(Tau_j))))*Salcycl</f>
        <v>5.3287394768498156E-2</v>
      </c>
      <c r="P357" s="169">
        <f>(INDEX(Models!$BJ357:$BT357,,T357)*(1-R357)+INDEX(Models!$BJ357:$BT357,,T357+1)*R357-ERP_i)*Q357*Ramure*Pc/MaxiM</f>
        <v>1.4242571643242037E-4</v>
      </c>
      <c r="Q357" s="305">
        <f t="shared" si="130"/>
        <v>0.7</v>
      </c>
      <c r="R357" s="177">
        <f t="shared" si="131"/>
        <v>0.7792059363544297</v>
      </c>
      <c r="S357" s="810">
        <f t="shared" si="132"/>
        <v>-2</v>
      </c>
      <c r="T357" s="176">
        <f t="shared" si="133"/>
        <v>4</v>
      </c>
      <c r="U357" s="251">
        <f t="shared" si="134"/>
        <v>-1.2207940636455703</v>
      </c>
      <c r="V357" s="383">
        <f t="shared" si="135"/>
        <v>17.138792003112414</v>
      </c>
      <c r="W357" s="402">
        <f t="shared" si="136"/>
        <v>4.8878008635304484</v>
      </c>
      <c r="X357" s="157">
        <f t="shared" si="137"/>
        <v>46000</v>
      </c>
      <c r="Y357" s="385">
        <f t="shared" si="138"/>
        <v>4.5256475347973231</v>
      </c>
      <c r="Z357" s="385">
        <f t="shared" si="139"/>
        <v>4.8176767586319409</v>
      </c>
      <c r="AA357" s="386">
        <f t="shared" si="140"/>
        <v>5.4960702411123536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0.1234324622356195</v>
      </c>
      <c r="AD357" s="231">
        <f>(INDEX(Models!$BJ357:$BT357,,AH357)*(1-AF357)+INDEX(Models!$BJ357:$BT357,,AH357+1)*AF357-ERP_i)*AE357*Ramure*Pc/MaxiM</f>
        <v>2.8626919425431565E-3</v>
      </c>
      <c r="AE357" s="305">
        <f t="shared" si="142"/>
        <v>0.7</v>
      </c>
      <c r="AF357" s="177">
        <f t="shared" si="143"/>
        <v>0.59919598945361319</v>
      </c>
      <c r="AG357" s="810">
        <f t="shared" si="149"/>
        <v>1</v>
      </c>
      <c r="AH357" s="176">
        <f t="shared" si="144"/>
        <v>7</v>
      </c>
      <c r="AI357" s="225">
        <f t="shared" si="145"/>
        <v>1.5991959894536132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11.091532429229618</v>
      </c>
      <c r="C358" s="840"/>
      <c r="D358" s="393">
        <f t="shared" si="127"/>
        <v>11.807517297850138</v>
      </c>
      <c r="E358" s="385">
        <f t="shared" si="125"/>
        <v>12.473807458081328</v>
      </c>
      <c r="F358" s="385">
        <f t="shared" si="128"/>
        <v>12.474681549985789</v>
      </c>
      <c r="G358" s="110">
        <f t="shared" si="126"/>
        <v>0.64972299744551831</v>
      </c>
      <c r="H358" s="414" t="b">
        <f>Wh_hp&gt;='2024'!Maxi_hp</f>
        <v>0</v>
      </c>
      <c r="I358" s="390">
        <f>IF(H358,Wh_hp,'2024'!Maxi_hp)</f>
        <v>16.477677553533571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6.0638053755033172E-2</v>
      </c>
      <c r="M358" s="844"/>
      <c r="N358" s="844"/>
      <c r="O358" s="48">
        <f>IF(t&lt;Tnet,'2024'!Resal+('2024'!Salim-'2024'!Resal)*(1-EXP(('2024'!Tnet-t)/('2024'!Tau_j))),Resal+(Salim-Resal)*(1-EXP((Tnet-t)/(Tau_j))))*Salcycl</f>
        <v>5.3415139080050945E-2</v>
      </c>
      <c r="P358" s="169">
        <f>(INDEX(Models!$BJ358:$BT358,,T358)*(1-R358)+INDEX(Models!$BJ358:$BT358,,T358+1)*R358-ERP_i)*Q358*Ramure*Pc/MaxiM</f>
        <v>1.4023126901629301E-4</v>
      </c>
      <c r="Q358" s="305">
        <f t="shared" si="130"/>
        <v>0.7</v>
      </c>
      <c r="R358" s="177">
        <f t="shared" si="131"/>
        <v>0.77921503439494533</v>
      </c>
      <c r="S358" s="810">
        <f t="shared" si="132"/>
        <v>-2</v>
      </c>
      <c r="T358" s="176">
        <f t="shared" si="133"/>
        <v>4</v>
      </c>
      <c r="U358" s="251">
        <f t="shared" si="134"/>
        <v>-1.2207849656050547</v>
      </c>
      <c r="V358" s="383">
        <f t="shared" si="135"/>
        <v>17.069973225946487</v>
      </c>
      <c r="W358" s="402">
        <f t="shared" si="136"/>
        <v>11.091532429229618</v>
      </c>
      <c r="X358" s="157">
        <f t="shared" si="137"/>
        <v>46001</v>
      </c>
      <c r="Y358" s="385">
        <f t="shared" si="138"/>
        <v>10.256746030880498</v>
      </c>
      <c r="Z358" s="385">
        <f t="shared" si="139"/>
        <v>10.918843446747143</v>
      </c>
      <c r="AA358" s="386">
        <f t="shared" si="140"/>
        <v>12.45686942320105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0.12346809813943437</v>
      </c>
      <c r="AD358" s="231">
        <f>(INDEX(Models!$BJ358:$BT358,,AH358)*(1-AF358)+INDEX(Models!$BJ358:$BT358,,AH358+1)*AF358-ERP_i)*AE358*Ramure*Pc/MaxiM</f>
        <v>2.8576138620663573E-3</v>
      </c>
      <c r="AE358" s="305">
        <f t="shared" si="142"/>
        <v>0.7</v>
      </c>
      <c r="AF358" s="177">
        <f t="shared" si="143"/>
        <v>0.59920508749412882</v>
      </c>
      <c r="AG358" s="810">
        <f t="shared" si="149"/>
        <v>1</v>
      </c>
      <c r="AH358" s="176">
        <f t="shared" si="144"/>
        <v>7</v>
      </c>
      <c r="AI358" s="225">
        <f t="shared" si="145"/>
        <v>1.5992050874941288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13.550268592800538</v>
      </c>
      <c r="C359" s="840"/>
      <c r="D359" s="393">
        <f t="shared" si="127"/>
        <v>14.425306442157183</v>
      </c>
      <c r="E359" s="385">
        <f t="shared" si="125"/>
        <v>15.241382284382626</v>
      </c>
      <c r="F359" s="385">
        <f t="shared" si="128"/>
        <v>15.242876297989268</v>
      </c>
      <c r="G359" s="110">
        <f t="shared" si="126"/>
        <v>0.79640039263861739</v>
      </c>
      <c r="H359" s="414" t="b">
        <f>Wh_hp&gt;='2024'!Maxi_hp</f>
        <v>0</v>
      </c>
      <c r="I359" s="390">
        <f>IF(H359,Wh_hp,'2024'!Maxi_hp)</f>
        <v>16.479573454056037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6.0659914079841837E-2</v>
      </c>
      <c r="M359" s="844"/>
      <c r="N359" s="844"/>
      <c r="O359" s="48">
        <f>IF(t&lt;Tnet,'2024'!Resal+('2024'!Salim-'2024'!Resal)*(1-EXP(('2024'!Tnet-t)/('2024'!Tau_j))),Resal+(Salim-Resal)*(1-EXP((Tnet-t)/(Tau_j))))*Salcycl</f>
        <v>5.3543427164191651E-2</v>
      </c>
      <c r="P359" s="169">
        <f>(INDEX(Models!$BJ359:$BT359,,T359)*(1-R359)+INDEX(Models!$BJ359:$BT359,,T359+1)*R359-ERP_i)*Q359*Ramure*Pc/MaxiM</f>
        <v>1.3820556933460832E-4</v>
      </c>
      <c r="Q359" s="305">
        <f t="shared" si="130"/>
        <v>0.7</v>
      </c>
      <c r="R359" s="177">
        <f t="shared" si="131"/>
        <v>0.77922376651069825</v>
      </c>
      <c r="S359" s="810">
        <f t="shared" si="132"/>
        <v>-2</v>
      </c>
      <c r="T359" s="176">
        <f t="shared" si="133"/>
        <v>4</v>
      </c>
      <c r="U359" s="251">
        <f t="shared" si="134"/>
        <v>-1.2207762334893018</v>
      </c>
      <c r="V359" s="383">
        <f t="shared" si="135"/>
        <v>17.013708251045106</v>
      </c>
      <c r="W359" s="402">
        <f t="shared" si="136"/>
        <v>13.550268592800538</v>
      </c>
      <c r="X359" s="157">
        <f t="shared" si="137"/>
        <v>46002</v>
      </c>
      <c r="Y359" s="385">
        <f t="shared" si="138"/>
        <v>12.524470950650811</v>
      </c>
      <c r="Z359" s="385">
        <f t="shared" si="139"/>
        <v>13.333265702572564</v>
      </c>
      <c r="AA359" s="386">
        <f t="shared" si="140"/>
        <v>15.212033789202474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0.12350538479367974</v>
      </c>
      <c r="AD359" s="231">
        <f>(INDEX(Models!$BJ359:$BT359,,AH359)*(1-AF359)+INDEX(Models!$BJ359:$BT359,,AH359+1)*AF359-ERP_i)*AE359*Ramure*Pc/MaxiM</f>
        <v>2.8531242738608956E-3</v>
      </c>
      <c r="AE359" s="305">
        <f t="shared" si="142"/>
        <v>0.7</v>
      </c>
      <c r="AF359" s="177">
        <f t="shared" si="143"/>
        <v>0.59921381960988196</v>
      </c>
      <c r="AG359" s="810">
        <f t="shared" si="149"/>
        <v>1</v>
      </c>
      <c r="AH359" s="176">
        <f t="shared" si="144"/>
        <v>7</v>
      </c>
      <c r="AI359" s="225">
        <f t="shared" si="145"/>
        <v>1.599213819609882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4.2563217332600143</v>
      </c>
      <c r="C360" s="840"/>
      <c r="D360" s="393">
        <f t="shared" si="127"/>
        <v>4.5312883482667967</v>
      </c>
      <c r="E360" s="385">
        <f t="shared" si="125"/>
        <v>4.7882863757078491</v>
      </c>
      <c r="F360" s="385">
        <f t="shared" si="128"/>
        <v>4.7882863757078491</v>
      </c>
      <c r="G360" s="110">
        <f t="shared" si="126"/>
        <v>0.2507758224666512</v>
      </c>
      <c r="H360" s="414" t="b">
        <f>Wh_hp&gt;='2024'!Maxi_hp</f>
        <v>0</v>
      </c>
      <c r="I360" s="390">
        <f>IF(H360,Wh_hp,'2024'!Maxi_hp)</f>
        <v>18.530251867552792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6.068177389592877E-2</v>
      </c>
      <c r="M360" s="844"/>
      <c r="N360" s="844"/>
      <c r="O360" s="48">
        <f>IF(t&lt;Tnet,'2024'!Resal+('2024'!Salim-'2024'!Resal)*(1-EXP(('2024'!Tnet-t)/('2024'!Tau_j))),Resal+(Salim-Resal)*(1-EXP((Tnet-t)/(Tau_j))))*Salcycl</f>
        <v>5.3672234130537136E-2</v>
      </c>
      <c r="P360" s="169">
        <f>(INDEX(Models!$BJ360:$BT360,,T360)*(1-R360)+INDEX(Models!$BJ360:$BT360,,T360+1)*R360-ERP_i)*Q360*Ramure*Pc/MaxiM</f>
        <v>1.3634970521934938E-4</v>
      </c>
      <c r="Q360" s="305">
        <f t="shared" si="130"/>
        <v>0.7</v>
      </c>
      <c r="R360" s="177">
        <f t="shared" si="131"/>
        <v>0.77923214740423008</v>
      </c>
      <c r="S360" s="810">
        <f t="shared" si="132"/>
        <v>-2</v>
      </c>
      <c r="T360" s="176">
        <f t="shared" si="133"/>
        <v>4</v>
      </c>
      <c r="U360" s="251">
        <f t="shared" si="134"/>
        <v>-1.2207678525957699</v>
      </c>
      <c r="V360" s="383">
        <f t="shared" si="135"/>
        <v>16.970301774654949</v>
      </c>
      <c r="W360" s="402">
        <f t="shared" si="136"/>
        <v>4.2563217332600143</v>
      </c>
      <c r="X360" s="157">
        <f t="shared" si="137"/>
        <v>46003</v>
      </c>
      <c r="Y360" s="385">
        <f t="shared" si="138"/>
        <v>3.9420566284692464</v>
      </c>
      <c r="Z360" s="385">
        <f t="shared" si="139"/>
        <v>4.1967211099686343</v>
      </c>
      <c r="AA360" s="386">
        <f t="shared" si="140"/>
        <v>4.7882863757078491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0.12354425348082149</v>
      </c>
      <c r="AD360" s="231">
        <f>(INDEX(Models!$BJ360:$BT360,,AH360)*(1-AF360)+INDEX(Models!$BJ360:$BT360,,AH360+1)*AF360-ERP_i)*AE360*Ramure*Pc/MaxiM</f>
        <v>2.8491636103114945E-3</v>
      </c>
      <c r="AE360" s="305">
        <f t="shared" si="142"/>
        <v>0.7</v>
      </c>
      <c r="AF360" s="177">
        <f t="shared" si="143"/>
        <v>0.59922220050341379</v>
      </c>
      <c r="AG360" s="810">
        <f t="shared" si="149"/>
        <v>1</v>
      </c>
      <c r="AH360" s="176">
        <f t="shared" si="144"/>
        <v>7</v>
      </c>
      <c r="AI360" s="225">
        <f t="shared" si="145"/>
        <v>1.5992222005034138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5.2540868821009319</v>
      </c>
      <c r="C361" s="840"/>
      <c r="D361" s="393">
        <f t="shared" si="127"/>
        <v>5.5936412274424896</v>
      </c>
      <c r="E361" s="385">
        <f t="shared" ref="E361:E379" si="150">Wh_pvt/(1-Psa)</f>
        <v>5.9116997404179754</v>
      </c>
      <c r="F361" s="385">
        <f t="shared" si="128"/>
        <v>5.9117113152837808</v>
      </c>
      <c r="G361" s="110">
        <f t="shared" ref="G361:G379" si="151">+Wh_hp/MaxiM</f>
        <v>0.31013869014172085</v>
      </c>
      <c r="H361" s="414" t="b">
        <f>Wh_hp&gt;='2024'!Maxi_hp</f>
        <v>0</v>
      </c>
      <c r="I361" s="390">
        <f>IF(H361,Wh_hp,'2024'!Maxi_hp)</f>
        <v>19.130983394548689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6.070363320330574E-2</v>
      </c>
      <c r="M361" s="844"/>
      <c r="N361" s="844"/>
      <c r="O361" s="48">
        <f>IF(t&lt;Tnet,'2024'!Resal+('2024'!Salim-'2024'!Resal)*(1-EXP(('2024'!Tnet-t)/('2024'!Tau_j))),Resal+(Salim-Resal)*(1-EXP((Tnet-t)/(Tau_j))))*Salcycl</f>
        <v>5.3801533728267154E-2</v>
      </c>
      <c r="P361" s="169">
        <f>(INDEX(Models!$BJ361:$BT361,,T361)*(1-R361)+INDEX(Models!$BJ361:$BT361,,T361+1)*R361-ERP_i)*Q361*Ramure*Pc/MaxiM</f>
        <v>1.3463552193215979E-4</v>
      </c>
      <c r="Q361" s="305">
        <f t="shared" si="130"/>
        <v>0.7</v>
      </c>
      <c r="R361" s="177">
        <f t="shared" si="131"/>
        <v>0.77924019118853072</v>
      </c>
      <c r="S361" s="810">
        <f t="shared" si="132"/>
        <v>-2</v>
      </c>
      <c r="T361" s="176">
        <f t="shared" si="133"/>
        <v>4</v>
      </c>
      <c r="U361" s="251">
        <f t="shared" si="134"/>
        <v>-1.2207598088114693</v>
      </c>
      <c r="V361" s="383">
        <f t="shared" si="135"/>
        <v>16.938840422884493</v>
      </c>
      <c r="W361" s="402">
        <f t="shared" si="136"/>
        <v>5.2540868821009319</v>
      </c>
      <c r="X361" s="157">
        <f t="shared" si="137"/>
        <v>46004</v>
      </c>
      <c r="Y361" s="385">
        <f t="shared" si="138"/>
        <v>4.8664008174325168</v>
      </c>
      <c r="Z361" s="385">
        <f t="shared" si="139"/>
        <v>5.1809002881896848</v>
      </c>
      <c r="AA361" s="386">
        <f t="shared" si="140"/>
        <v>5.9114667349875782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0.12358463297678171</v>
      </c>
      <c r="AD361" s="231">
        <f>(INDEX(Models!$BJ361:$BT361,,AH361)*(1-AF361)+INDEX(Models!$BJ361:$BT361,,AH361+1)*AF361-ERP_i)*AE361*Ramure*Pc/MaxiM</f>
        <v>2.8448879137993586E-3</v>
      </c>
      <c r="AE361" s="305">
        <f t="shared" si="142"/>
        <v>0.7</v>
      </c>
      <c r="AF361" s="177">
        <f t="shared" si="143"/>
        <v>0.59923024428771443</v>
      </c>
      <c r="AG361" s="810">
        <f t="shared" si="149"/>
        <v>1</v>
      </c>
      <c r="AH361" s="176">
        <f t="shared" si="144"/>
        <v>7</v>
      </c>
      <c r="AI361" s="225">
        <f t="shared" si="145"/>
        <v>1.5992302442877144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15.210935816334688</v>
      </c>
      <c r="C362" s="840"/>
      <c r="D362" s="393">
        <f t="shared" si="127"/>
        <v>16.194345408942826</v>
      </c>
      <c r="E362" s="385">
        <f t="shared" si="150"/>
        <v>17.117515233577674</v>
      </c>
      <c r="F362" s="385">
        <f t="shared" si="128"/>
        <v>17.119464909490159</v>
      </c>
      <c r="G362" s="110">
        <f t="shared" si="151"/>
        <v>0.89905867653412785</v>
      </c>
      <c r="H362" s="414" t="b">
        <f>Wh_hp&gt;='2024'!Maxi_hp</f>
        <v>0</v>
      </c>
      <c r="I362" s="390">
        <f>IF(H362,Wh_hp,'2024'!Maxi_hp)</f>
        <v>19.357739032195155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6.0725492001984849E-2</v>
      </c>
      <c r="M362" s="844"/>
      <c r="N362" s="844"/>
      <c r="O362" s="48">
        <f>IF(t&lt;Tnet,'2024'!Resal+('2024'!Salim-'2024'!Resal)*(1-EXP(('2024'!Tnet-t)/('2024'!Tau_j))),Resal+(Salim-Resal)*(1-EXP((Tnet-t)/(Tau_j))))*Salcycl</f>
        <v>5.393129855809671E-2</v>
      </c>
      <c r="P362" s="169">
        <f>(INDEX(Models!$BJ362:$BT362,,T362)*(1-R362)+INDEX(Models!$BJ362:$BT362,,T362+1)*R362-ERP_i)*Q362*Ramure*Pc/MaxiM</f>
        <v>1.3307252904976502E-4</v>
      </c>
      <c r="Q362" s="305">
        <f t="shared" si="130"/>
        <v>0.7</v>
      </c>
      <c r="R362" s="177">
        <f t="shared" si="131"/>
        <v>0.77924791141058636</v>
      </c>
      <c r="S362" s="810">
        <f t="shared" si="132"/>
        <v>-2</v>
      </c>
      <c r="T362" s="176">
        <f t="shared" si="133"/>
        <v>4</v>
      </c>
      <c r="U362" s="251">
        <f t="shared" si="134"/>
        <v>-1.2207520885894136</v>
      </c>
      <c r="V362" s="383">
        <f t="shared" si="135"/>
        <v>16.918410714026294</v>
      </c>
      <c r="W362" s="402">
        <f t="shared" si="136"/>
        <v>15.210935816334688</v>
      </c>
      <c r="X362" s="157">
        <f t="shared" si="137"/>
        <v>46005</v>
      </c>
      <c r="Y362" s="385">
        <f t="shared" si="138"/>
        <v>14.057722487156067</v>
      </c>
      <c r="Z362" s="385">
        <f t="shared" si="139"/>
        <v>14.9665751252197</v>
      </c>
      <c r="AA362" s="386">
        <f t="shared" si="140"/>
        <v>17.077848967756537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0.12362645005954688</v>
      </c>
      <c r="AD362" s="231">
        <f>(INDEX(Models!$BJ362:$BT362,,AH362)*(1-AF362)+INDEX(Models!$BJ362:$BT362,,AH362+1)*AF362-ERP_i)*AE362*Ramure*Pc/MaxiM</f>
        <v>2.8404405982624245E-3</v>
      </c>
      <c r="AE362" s="305">
        <f t="shared" si="142"/>
        <v>0.7</v>
      </c>
      <c r="AF362" s="177">
        <f t="shared" si="143"/>
        <v>0.59923796450976985</v>
      </c>
      <c r="AG362" s="810">
        <f t="shared" si="149"/>
        <v>1</v>
      </c>
      <c r="AH362" s="176">
        <f t="shared" si="144"/>
        <v>7</v>
      </c>
      <c r="AI362" s="225">
        <f t="shared" si="145"/>
        <v>1.5992379645097698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5.747250838129168</v>
      </c>
      <c r="C363" s="840"/>
      <c r="D363" s="393">
        <f t="shared" si="127"/>
        <v>6.1189615381077367</v>
      </c>
      <c r="E363" s="385">
        <f t="shared" si="150"/>
        <v>6.4686674027535975</v>
      </c>
      <c r="F363" s="385">
        <f t="shared" si="128"/>
        <v>6.4687159650247503</v>
      </c>
      <c r="G363" s="110">
        <f t="shared" si="151"/>
        <v>0.33986889903186124</v>
      </c>
      <c r="H363" s="414" t="b">
        <f>Wh_hp&gt;='2024'!Maxi_hp</f>
        <v>0</v>
      </c>
      <c r="I363" s="390">
        <f>IF(H363,Wh_hp,'2024'!Maxi_hp)</f>
        <v>18.722199127908961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6.0747350291977642E-2</v>
      </c>
      <c r="M363" s="844"/>
      <c r="N363" s="844"/>
      <c r="O363" s="48">
        <f>IF(t&lt;Tnet,'2024'!Resal+('2024'!Salim-'2024'!Resal)*(1-EXP(('2024'!Tnet-t)/('2024'!Tau_j))),Resal+(Salim-Resal)*(1-EXP((Tnet-t)/(Tau_j))))*Salcycl</f>
        <v>5.4061500286287298E-2</v>
      </c>
      <c r="P363" s="169">
        <f>(INDEX(Models!$BJ363:$BT363,,T363)*(1-R363)+INDEX(Models!$BJ363:$BT363,,T363+1)*R363-ERP_i)*Q363*Ramure*Pc/MaxiM</f>
        <v>1.3166950775458241E-4</v>
      </c>
      <c r="Q363" s="305">
        <f t="shared" si="130"/>
        <v>0.7</v>
      </c>
      <c r="R363" s="177">
        <f t="shared" si="131"/>
        <v>0.77925532107399142</v>
      </c>
      <c r="S363" s="810">
        <f t="shared" si="132"/>
        <v>-2</v>
      </c>
      <c r="T363" s="176">
        <f t="shared" si="133"/>
        <v>4</v>
      </c>
      <c r="U363" s="251">
        <f t="shared" si="134"/>
        <v>-1.2207446789260086</v>
      </c>
      <c r="V363" s="383">
        <f t="shared" si="135"/>
        <v>16.90809973346877</v>
      </c>
      <c r="W363" s="402">
        <f t="shared" si="136"/>
        <v>5.747250838129168</v>
      </c>
      <c r="X363" s="157">
        <f t="shared" si="137"/>
        <v>46006</v>
      </c>
      <c r="Y363" s="385">
        <f t="shared" si="138"/>
        <v>5.3235108663011204</v>
      </c>
      <c r="Z363" s="385">
        <f t="shared" si="139"/>
        <v>5.6678156489161839</v>
      </c>
      <c r="AA363" s="386">
        <f t="shared" si="140"/>
        <v>6.4676700055707581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0.123669630016009</v>
      </c>
      <c r="AD363" s="231">
        <f>(INDEX(Models!$BJ363:$BT363,,AH363)*(1-AF363)+INDEX(Models!$BJ363:$BT363,,AH363+1)*AF363-ERP_i)*AE363*Ramure*Pc/MaxiM</f>
        <v>2.8359663411099685E-3</v>
      </c>
      <c r="AE363" s="305">
        <f t="shared" si="142"/>
        <v>0.7</v>
      </c>
      <c r="AF363" s="177">
        <f t="shared" si="143"/>
        <v>0.59924537417317514</v>
      </c>
      <c r="AG363" s="810">
        <f t="shared" si="149"/>
        <v>1</v>
      </c>
      <c r="AH363" s="176">
        <f t="shared" si="144"/>
        <v>7</v>
      </c>
      <c r="AI363" s="225">
        <f t="shared" si="145"/>
        <v>1.5992453741731751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5.1412071455165229</v>
      </c>
      <c r="C364" s="840"/>
      <c r="D364" s="393">
        <f t="shared" si="127"/>
        <v>5.4738485894079751</v>
      </c>
      <c r="E364" s="385">
        <f t="shared" si="150"/>
        <v>5.7874845901230589</v>
      </c>
      <c r="F364" s="385">
        <f t="shared" si="128"/>
        <v>5.7874889982129121</v>
      </c>
      <c r="G364" s="110">
        <f t="shared" si="151"/>
        <v>0.30404814282731696</v>
      </c>
      <c r="H364" s="414" t="b">
        <f>Wh_hp&gt;='2024'!Maxi_hp</f>
        <v>0</v>
      </c>
      <c r="I364" s="390">
        <f>IF(H364,Wh_hp,'2024'!Maxi_hp)</f>
        <v>18.52551005734108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6.0769208073296221E-2</v>
      </c>
      <c r="M364" s="844"/>
      <c r="N364" s="844"/>
      <c r="O364" s="48">
        <f>IF(t&lt;Tnet,'2024'!Resal+('2024'!Salim-'2024'!Resal)*(1-EXP(('2024'!Tnet-t)/('2024'!Tau_j))),Resal+(Salim-Resal)*(1-EXP((Tnet-t)/(Tau_j))))*Salcycl</f>
        <v>5.419210985897676E-2</v>
      </c>
      <c r="P364" s="169">
        <f>(INDEX(Models!$BJ364:$BT364,,T364)*(1-R364)+INDEX(Models!$BJ364:$BT364,,T364+1)*R364-ERP_i)*Q364*Ramure*Pc/MaxiM</f>
        <v>1.3043453385740435E-4</v>
      </c>
      <c r="Q364" s="305">
        <f t="shared" si="130"/>
        <v>0.7</v>
      </c>
      <c r="R364" s="177">
        <f t="shared" si="131"/>
        <v>0.77926243266066764</v>
      </c>
      <c r="S364" s="810">
        <f t="shared" si="132"/>
        <v>-2</v>
      </c>
      <c r="T364" s="176">
        <f t="shared" si="133"/>
        <v>4</v>
      </c>
      <c r="U364" s="251">
        <f t="shared" si="134"/>
        <v>-1.2207375673393324</v>
      </c>
      <c r="V364" s="383">
        <f t="shared" si="135"/>
        <v>16.906995129434584</v>
      </c>
      <c r="W364" s="402">
        <f t="shared" si="136"/>
        <v>5.1412071455165229</v>
      </c>
      <c r="X364" s="157">
        <f t="shared" si="137"/>
        <v>46007</v>
      </c>
      <c r="Y364" s="385">
        <f t="shared" si="138"/>
        <v>4.7632255251529108</v>
      </c>
      <c r="Z364" s="385">
        <f t="shared" si="139"/>
        <v>5.071411165494057</v>
      </c>
      <c r="AA364" s="386">
        <f t="shared" si="140"/>
        <v>5.7873933027571809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0.12371409714318554</v>
      </c>
      <c r="AD364" s="231">
        <f>(INDEX(Models!$BJ364:$BT364,,AH364)*(1-AF364)+INDEX(Models!$BJ364:$BT364,,AH364+1)*AF364-ERP_i)*AE364*Ramure*Pc/MaxiM</f>
        <v>2.8316101928901709E-3</v>
      </c>
      <c r="AE364" s="305">
        <f t="shared" si="142"/>
        <v>0.7</v>
      </c>
      <c r="AF364" s="177">
        <f t="shared" si="143"/>
        <v>0.59925248575985135</v>
      </c>
      <c r="AG364" s="810">
        <f t="shared" si="149"/>
        <v>1</v>
      </c>
      <c r="AH364" s="176">
        <f t="shared" si="144"/>
        <v>7</v>
      </c>
      <c r="AI364" s="225">
        <f t="shared" si="145"/>
        <v>1.5992524857598513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3.4265824837598604</v>
      </c>
      <c r="C365" s="840"/>
      <c r="D365" s="393">
        <f t="shared" si="127"/>
        <v>3.6483708335057758</v>
      </c>
      <c r="E365" s="385">
        <f t="shared" si="150"/>
        <v>3.8579464346552808</v>
      </c>
      <c r="F365" s="385">
        <f t="shared" si="128"/>
        <v>3.8579464346552808</v>
      </c>
      <c r="G365" s="110">
        <f t="shared" si="151"/>
        <v>0.20256010828724882</v>
      </c>
      <c r="H365" s="414" t="b">
        <f>Wh_hp&gt;='2024'!Maxi_hp</f>
        <v>0</v>
      </c>
      <c r="I365" s="390">
        <f>IF(H365,Wh_hp,'2024'!Maxi_hp)</f>
        <v>18.608834058846831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6.0791065345952133E-2</v>
      </c>
      <c r="M365" s="844"/>
      <c r="N365" s="844"/>
      <c r="O365" s="48">
        <f>IF(t&lt;Tnet,'2024'!Resal+('2024'!Salim-'2024'!Resal)*(1-EXP(('2024'!Tnet-t)/('2024'!Tau_j))),Resal+(Salim-Resal)*(1-EXP((Tnet-t)/(Tau_j))))*Salcycl</f>
        <v>5.4323097715127118E-2</v>
      </c>
      <c r="P365" s="169">
        <f>(INDEX(Models!$BJ365:$BT365,,T365)*(1-R365)+INDEX(Models!$BJ365:$BT365,,T365+1)*R365-ERP_i)*Q365*Ramure*Pc/MaxiM</f>
        <v>1.2937501557661732E-4</v>
      </c>
      <c r="Q365" s="305">
        <f t="shared" si="130"/>
        <v>0.7</v>
      </c>
      <c r="R365" s="177">
        <f t="shared" si="131"/>
        <v>0.77926925815171755</v>
      </c>
      <c r="S365" s="810">
        <f t="shared" si="132"/>
        <v>-2</v>
      </c>
      <c r="T365" s="176">
        <f t="shared" si="133"/>
        <v>4</v>
      </c>
      <c r="U365" s="251">
        <f t="shared" si="134"/>
        <v>-1.2207307418482825</v>
      </c>
      <c r="V365" s="383">
        <f t="shared" si="135"/>
        <v>16.914185120493066</v>
      </c>
      <c r="W365" s="402">
        <f t="shared" si="136"/>
        <v>3.4265824837598604</v>
      </c>
      <c r="X365" s="157">
        <f t="shared" si="137"/>
        <v>46008</v>
      </c>
      <c r="Y365" s="385">
        <f t="shared" si="138"/>
        <v>3.1749843931619179</v>
      </c>
      <c r="Z365" s="385">
        <f t="shared" si="139"/>
        <v>3.3804878510141143</v>
      </c>
      <c r="AA365" s="386">
        <f t="shared" si="140"/>
        <v>3.8579464346552808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0.12375977524006984</v>
      </c>
      <c r="AD365" s="231">
        <f>(INDEX(Models!$BJ365:$BT365,,AH365)*(1-AF365)+INDEX(Models!$BJ365:$BT365,,AH365+1)*AF365-ERP_i)*AE365*Ramure*Pc/MaxiM</f>
        <v>2.8275168281575208E-3</v>
      </c>
      <c r="AE365" s="305">
        <f t="shared" si="142"/>
        <v>0.7</v>
      </c>
      <c r="AF365" s="177">
        <f t="shared" si="143"/>
        <v>0.59925931125090126</v>
      </c>
      <c r="AG365" s="810">
        <f t="shared" si="149"/>
        <v>1</v>
      </c>
      <c r="AH365" s="176">
        <f t="shared" si="144"/>
        <v>7</v>
      </c>
      <c r="AI365" s="225">
        <f t="shared" si="145"/>
        <v>1.5992593112509013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15.738982271479797</v>
      </c>
      <c r="C366" s="840"/>
      <c r="D366" s="393">
        <f t="shared" si="127"/>
        <v>16.758090738257025</v>
      </c>
      <c r="E366" s="385">
        <f t="shared" si="150"/>
        <v>17.723197422506463</v>
      </c>
      <c r="F366" s="385">
        <f t="shared" si="128"/>
        <v>17.725247514781241</v>
      </c>
      <c r="G366" s="110">
        <f t="shared" si="151"/>
        <v>0.92970669968764885</v>
      </c>
      <c r="H366" s="414" t="b">
        <f>Wh_hp&gt;='2024'!Maxi_hp</f>
        <v>0</v>
      </c>
      <c r="I366" s="390">
        <f>IF(H366,Wh_hp,'2024'!Maxi_hp)</f>
        <v>18.946814090960533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6.081292210995759E-2</v>
      </c>
      <c r="M366" s="844"/>
      <c r="N366" s="844"/>
      <c r="O366" s="48">
        <f>IF(t&lt;Tnet,'2024'!Resal+('2024'!Salim-'2024'!Resal)*(1-EXP(('2024'!Tnet-t)/('2024'!Tau_j))),Resal+(Salim-Resal)*(1-EXP((Tnet-t)/(Tau_j))))*Salcycl</f>
        <v>5.4454433996422219E-2</v>
      </c>
      <c r="P366" s="169">
        <f>(INDEX(Models!$BJ366:$BT366,,T366)*(1-R366)+INDEX(Models!$BJ366:$BT366,,T366+1)*R366-ERP_i)*Q366*Ramure*Pc/MaxiM</f>
        <v>1.2856789960366788E-4</v>
      </c>
      <c r="Q366" s="305">
        <f t="shared" si="130"/>
        <v>0.7</v>
      </c>
      <c r="R366" s="177">
        <f t="shared" si="131"/>
        <v>0.77927580904745297</v>
      </c>
      <c r="S366" s="810">
        <f t="shared" si="132"/>
        <v>-2</v>
      </c>
      <c r="T366" s="176">
        <f t="shared" si="133"/>
        <v>4</v>
      </c>
      <c r="U366" s="251">
        <f t="shared" si="134"/>
        <v>-1.220724190952547</v>
      </c>
      <c r="V366" s="383">
        <f t="shared" si="135"/>
        <v>16.928757303045163</v>
      </c>
      <c r="W366" s="402">
        <f t="shared" si="136"/>
        <v>15.738982271479797</v>
      </c>
      <c r="X366" s="157">
        <f t="shared" si="137"/>
        <v>46009</v>
      </c>
      <c r="Y366" s="385">
        <f t="shared" si="138"/>
        <v>14.549223926066718</v>
      </c>
      <c r="Z366" s="385">
        <f t="shared" si="139"/>
        <v>15.491294832071894</v>
      </c>
      <c r="AA366" s="386">
        <f t="shared" si="140"/>
        <v>17.68022290676755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0.12380658808649908</v>
      </c>
      <c r="AD366" s="231">
        <f>(INDEX(Models!$BJ366:$BT366,,AH366)*(1-AF366)+INDEX(Models!$BJ366:$BT366,,AH366+1)*AF366-ERP_i)*AE366*Ramure*Pc/MaxiM</f>
        <v>2.8236384059494332E-3</v>
      </c>
      <c r="AE366" s="305">
        <f t="shared" si="142"/>
        <v>0.7</v>
      </c>
      <c r="AF366" s="177">
        <f t="shared" si="143"/>
        <v>0.59926586214663669</v>
      </c>
      <c r="AG366" s="810">
        <f t="shared" si="149"/>
        <v>1</v>
      </c>
      <c r="AH366" s="176">
        <f t="shared" si="144"/>
        <v>7</v>
      </c>
      <c r="AI366" s="225">
        <f t="shared" si="145"/>
        <v>1.5992658621466367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13.038589532311937</v>
      </c>
      <c r="C367" s="840"/>
      <c r="D367" s="393">
        <f t="shared" si="127"/>
        <v>13.88316904411926</v>
      </c>
      <c r="E367" s="385">
        <f t="shared" si="150"/>
        <v>14.684752232807725</v>
      </c>
      <c r="F367" s="385">
        <f t="shared" si="128"/>
        <v>14.686011062599054</v>
      </c>
      <c r="G367" s="110">
        <f t="shared" si="151"/>
        <v>0.76921480584387003</v>
      </c>
      <c r="H367" s="414" t="b">
        <f>Wh_hp&gt;='2024'!Maxi_hp</f>
        <v>0</v>
      </c>
      <c r="I367" s="390">
        <f>IF(H367,Wh_hp,'2024'!Maxi_hp)</f>
        <v>18.60656481230383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6.0834778365324027E-2</v>
      </c>
      <c r="M367" s="844"/>
      <c r="N367" s="844"/>
      <c r="O367" s="48">
        <f>IF(t&lt;Tnet,'2024'!Resal+('2024'!Salim-'2024'!Resal)*(1-EXP(('2024'!Tnet-t)/('2024'!Tau_j))),Resal+(Salim-Resal)*(1-EXP((Tnet-t)/(Tau_j))))*Salcycl</f>
        <v>5.4586088752496577E-2</v>
      </c>
      <c r="P367" s="169">
        <f>(INDEX(Models!$BJ367:$BT367,,T367)*(1-R367)+INDEX(Models!$BJ367:$BT367,,T367+1)*R367-ERP_i)*Q367*Ramure*Pc/MaxiM</f>
        <v>1.2786729584000195E-4</v>
      </c>
      <c r="Q367" s="305">
        <f t="shared" si="130"/>
        <v>0.7</v>
      </c>
      <c r="R367" s="177">
        <f t="shared" si="131"/>
        <v>0.77928209638662604</v>
      </c>
      <c r="S367" s="810">
        <f t="shared" si="132"/>
        <v>-2</v>
      </c>
      <c r="T367" s="176">
        <f t="shared" si="133"/>
        <v>4</v>
      </c>
      <c r="U367" s="251">
        <f t="shared" si="134"/>
        <v>-1.220717903613374</v>
      </c>
      <c r="V367" s="383">
        <f t="shared" si="135"/>
        <v>16.949803612667949</v>
      </c>
      <c r="W367" s="402">
        <f t="shared" si="136"/>
        <v>13.038589532311937</v>
      </c>
      <c r="X367" s="157">
        <f t="shared" si="137"/>
        <v>46010</v>
      </c>
      <c r="Y367" s="385">
        <f t="shared" si="138"/>
        <v>12.061484246577121</v>
      </c>
      <c r="Z367" s="385">
        <f t="shared" si="139"/>
        <v>12.842771398182048</v>
      </c>
      <c r="AA367" s="386">
        <f t="shared" si="140"/>
        <v>14.658262595045825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0.12385445990559442</v>
      </c>
      <c r="AD367" s="231">
        <f>(INDEX(Models!$BJ367:$BT367,,AH367)*(1-AF367)+INDEX(Models!$BJ367:$BT367,,AH367+1)*AF367-ERP_i)*AE367*Ramure*Pc/MaxiM</f>
        <v>2.8185871784842972E-3</v>
      </c>
      <c r="AE367" s="305">
        <f t="shared" si="142"/>
        <v>0.7</v>
      </c>
      <c r="AF367" s="177">
        <f t="shared" si="143"/>
        <v>0.59927214948580954</v>
      </c>
      <c r="AG367" s="810">
        <f t="shared" si="149"/>
        <v>1</v>
      </c>
      <c r="AH367" s="176">
        <f t="shared" si="144"/>
        <v>7</v>
      </c>
      <c r="AI367" s="225">
        <f t="shared" si="145"/>
        <v>1.5992721494858095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4.5796137199905047</v>
      </c>
      <c r="C368" s="840"/>
      <c r="D368" s="393">
        <f t="shared" si="127"/>
        <v>4.8763733912559717</v>
      </c>
      <c r="E368" s="385">
        <f t="shared" si="150"/>
        <v>5.1586442533069299</v>
      </c>
      <c r="F368" s="385">
        <f t="shared" si="128"/>
        <v>5.1586442533069299</v>
      </c>
      <c r="G368" s="110">
        <f t="shared" si="151"/>
        <v>0.26972898013396773</v>
      </c>
      <c r="H368" s="414" t="b">
        <f>Wh_hp&gt;='2024'!Maxi_hp</f>
        <v>0</v>
      </c>
      <c r="I368" s="390">
        <f>IF(H368,Wh_hp,'2024'!Maxi_hp)</f>
        <v>19.171871090766793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6.0856634112063546E-2</v>
      </c>
      <c r="M368" s="844"/>
      <c r="N368" s="844"/>
      <c r="O368" s="48">
        <f>IF(t&lt;Tnet,'2024'!Resal+('2024'!Salim-'2024'!Resal)*(1-EXP(('2024'!Tnet-t)/('2024'!Tau_j))),Resal+(Salim-Resal)*(1-EXP((Tnet-t)/(Tau_j))))*Salcycl</f>
        <v>5.4718032139938498E-2</v>
      </c>
      <c r="P368" s="169">
        <f>(INDEX(Models!$BJ368:$BT368,,T368)*(1-R368)+INDEX(Models!$BJ368:$BT368,,T368+1)*R368-ERP_i)*Q368*Ramure*Pc/MaxiM</f>
        <v>1.2727950541808713E-4</v>
      </c>
      <c r="Q368" s="305">
        <f t="shared" si="130"/>
        <v>0.7</v>
      </c>
      <c r="R368" s="177">
        <f t="shared" si="131"/>
        <v>0.77928813076489667</v>
      </c>
      <c r="S368" s="810">
        <f t="shared" si="132"/>
        <v>-2</v>
      </c>
      <c r="T368" s="176">
        <f t="shared" si="133"/>
        <v>4</v>
      </c>
      <c r="U368" s="251">
        <f t="shared" si="134"/>
        <v>-1.2207118692351033</v>
      </c>
      <c r="V368" s="383">
        <f t="shared" si="135"/>
        <v>16.976413979495</v>
      </c>
      <c r="W368" s="402">
        <f t="shared" si="136"/>
        <v>4.5796137199905047</v>
      </c>
      <c r="X368" s="157">
        <f t="shared" si="137"/>
        <v>46011</v>
      </c>
      <c r="Y368" s="385">
        <f t="shared" si="138"/>
        <v>4.2444313246061967</v>
      </c>
      <c r="Z368" s="385">
        <f t="shared" si="139"/>
        <v>4.519471125255933</v>
      </c>
      <c r="AA368" s="386">
        <f t="shared" si="140"/>
        <v>5.1586442533069299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0.12390331580652374</v>
      </c>
      <c r="AD368" s="231">
        <f>(INDEX(Models!$BJ368:$BT368,,AH368)*(1-AF368)+INDEX(Models!$BJ368:$BT368,,AH368+1)*AF368-ERP_i)*AE368*Ramure*Pc/MaxiM</f>
        <v>2.8125164316737689E-3</v>
      </c>
      <c r="AE368" s="305">
        <f t="shared" si="142"/>
        <v>0.7</v>
      </c>
      <c r="AF368" s="177">
        <f t="shared" si="143"/>
        <v>0.59927818386408038</v>
      </c>
      <c r="AG368" s="810">
        <f t="shared" si="149"/>
        <v>1</v>
      </c>
      <c r="AH368" s="176">
        <f t="shared" si="144"/>
        <v>7</v>
      </c>
      <c r="AI368" s="225">
        <f t="shared" si="145"/>
        <v>1.5992781838640804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16.325357479334425</v>
      </c>
      <c r="C369" s="840"/>
      <c r="D369" s="393">
        <f t="shared" si="127"/>
        <v>17.383647690103828</v>
      </c>
      <c r="E369" s="385">
        <f t="shared" si="150"/>
        <v>18.392479506141278</v>
      </c>
      <c r="F369" s="385">
        <f t="shared" si="128"/>
        <v>18.394678456739303</v>
      </c>
      <c r="G369" s="110">
        <f t="shared" si="151"/>
        <v>0.95987458973061635</v>
      </c>
      <c r="H369" s="414" t="b">
        <f>Wh_hp&gt;='2024'!Maxi_hp</f>
        <v>1</v>
      </c>
      <c r="I369" s="390">
        <f>IF(H369,Wh_hp,'2024'!Maxi_hp)</f>
        <v>18.394678456739303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6.0878489350187914E-2</v>
      </c>
      <c r="M369" s="844"/>
      <c r="N369" s="844"/>
      <c r="O369" s="48">
        <f>IF(t&lt;Tnet,'2024'!Resal+('2024'!Salim-'2024'!Resal)*(1-EXP(('2024'!Tnet-t)/('2024'!Tau_j))),Resal+(Salim-Resal)*(1-EXP((Tnet-t)/(Tau_j))))*Salcycl</f>
        <v>5.4850234613587505E-2</v>
      </c>
      <c r="P369" s="169">
        <f>(INDEX(Models!$BJ369:$BT369,,T369)*(1-R369)+INDEX(Models!$BJ369:$BT369,,T369+1)*R369-ERP_i)*Q369*Ramure*Pc/MaxiM</f>
        <v>1.2681052922306033E-4</v>
      </c>
      <c r="Q369" s="305">
        <f t="shared" si="130"/>
        <v>0.7</v>
      </c>
      <c r="R369" s="177">
        <f t="shared" si="131"/>
        <v>0.77929392235256612</v>
      </c>
      <c r="S369" s="810">
        <f t="shared" si="132"/>
        <v>-2</v>
      </c>
      <c r="T369" s="176">
        <f t="shared" si="133"/>
        <v>4</v>
      </c>
      <c r="U369" s="251">
        <f t="shared" si="134"/>
        <v>-1.2207060776474339</v>
      </c>
      <c r="V369" s="383">
        <f t="shared" si="135"/>
        <v>17.007678910189583</v>
      </c>
      <c r="W369" s="402">
        <f t="shared" si="136"/>
        <v>16.325357479334425</v>
      </c>
      <c r="X369" s="157">
        <f t="shared" si="137"/>
        <v>46012</v>
      </c>
      <c r="Y369" s="385">
        <f t="shared" si="138"/>
        <v>15.093543729265308</v>
      </c>
      <c r="Z369" s="385">
        <f t="shared" si="139"/>
        <v>16.071981695767505</v>
      </c>
      <c r="AA369" s="386">
        <f t="shared" si="140"/>
        <v>18.346028470954963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0.1239530822045589</v>
      </c>
      <c r="AD369" s="231">
        <f>(INDEX(Models!$BJ369:$BT369,,AH369)*(1-AF369)+INDEX(Models!$BJ369:$BT369,,AH369+1)*AF369-ERP_i)*AE369*Ramure*Pc/MaxiM</f>
        <v>2.8055793747929275E-3</v>
      </c>
      <c r="AE369" s="305">
        <f t="shared" si="142"/>
        <v>0.7</v>
      </c>
      <c r="AF369" s="177">
        <f t="shared" si="143"/>
        <v>0.59928397545174983</v>
      </c>
      <c r="AG369" s="810">
        <f t="shared" si="149"/>
        <v>1</v>
      </c>
      <c r="AH369" s="176">
        <f t="shared" si="144"/>
        <v>7</v>
      </c>
      <c r="AI369" s="225">
        <f t="shared" si="145"/>
        <v>1.5992839754517498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12.523229708672458</v>
      </c>
      <c r="C370" s="840"/>
      <c r="D370" s="393">
        <f t="shared" si="127"/>
        <v>13.335357573313184</v>
      </c>
      <c r="E370" s="385">
        <f t="shared" si="150"/>
        <v>14.111230671837376</v>
      </c>
      <c r="F370" s="385">
        <f t="shared" si="128"/>
        <v>14.112339284918752</v>
      </c>
      <c r="G370" s="110">
        <f t="shared" si="151"/>
        <v>0.73478013440291301</v>
      </c>
      <c r="H370" s="414" t="b">
        <f>Wh_hp&gt;='2024'!Maxi_hp</f>
        <v>0</v>
      </c>
      <c r="I370" s="390">
        <f>IF(H370,Wh_hp,'2024'!Maxi_hp)</f>
        <v>18.146352200038717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6.0900344079709012E-2</v>
      </c>
      <c r="M370" s="844"/>
      <c r="N370" s="844"/>
      <c r="O370" s="48">
        <f>IF(t&lt;Tnet,'2024'!Resal+('2024'!Salim-'2024'!Resal)*(1-EXP(('2024'!Tnet-t)/('2024'!Tau_j))),Resal+(Salim-Resal)*(1-EXP((Tnet-t)/(Tau_j))))*Salcycl</f>
        <v>5.4982667108734111E-2</v>
      </c>
      <c r="P370" s="169">
        <f>(INDEX(Models!$BJ370:$BT370,,T370)*(1-R370)+INDEX(Models!$BJ370:$BT370,,T370+1)*R370-ERP_i)*Q370*Ramure*Pc/MaxiM</f>
        <v>1.2646611297894786E-4</v>
      </c>
      <c r="Q370" s="305">
        <f t="shared" si="130"/>
        <v>0.7</v>
      </c>
      <c r="R370" s="177">
        <f t="shared" si="131"/>
        <v>0.77929948091160384</v>
      </c>
      <c r="S370" s="810">
        <f t="shared" si="132"/>
        <v>-2</v>
      </c>
      <c r="T370" s="176">
        <f t="shared" si="133"/>
        <v>4</v>
      </c>
      <c r="U370" s="251">
        <f t="shared" si="134"/>
        <v>-1.2207005190883962</v>
      </c>
      <c r="V370" s="383">
        <f t="shared" si="135"/>
        <v>17.042689492483813</v>
      </c>
      <c r="W370" s="402">
        <f t="shared" si="136"/>
        <v>12.523229708672458</v>
      </c>
      <c r="X370" s="157">
        <f t="shared" si="137"/>
        <v>46013</v>
      </c>
      <c r="Y370" s="385">
        <f t="shared" si="138"/>
        <v>11.589308383252702</v>
      </c>
      <c r="Z370" s="385">
        <f t="shared" si="139"/>
        <v>12.340871717065543</v>
      </c>
      <c r="AA370" s="386">
        <f t="shared" si="140"/>
        <v>14.087812399392508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0.12400368721564575</v>
      </c>
      <c r="AD370" s="231">
        <f>(INDEX(Models!$BJ370:$BT370,,AH370)*(1-AF370)+INDEX(Models!$BJ370:$BT370,,AH370+1)*AF370-ERP_i)*AE370*Ramure*Pc/MaxiM</f>
        <v>2.7979282655854745E-3</v>
      </c>
      <c r="AE370" s="305">
        <f t="shared" si="142"/>
        <v>0.7</v>
      </c>
      <c r="AF370" s="177">
        <f t="shared" si="143"/>
        <v>0.59928953401078777</v>
      </c>
      <c r="AG370" s="810">
        <f t="shared" si="149"/>
        <v>1</v>
      </c>
      <c r="AH370" s="176">
        <f t="shared" si="144"/>
        <v>7</v>
      </c>
      <c r="AI370" s="225">
        <f t="shared" si="145"/>
        <v>1.5992895340107878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13.174150223203425</v>
      </c>
      <c r="C371" s="840"/>
      <c r="D371" s="393">
        <f t="shared" si="127"/>
        <v>14.02881656808775</v>
      </c>
      <c r="E371" s="385">
        <f t="shared" si="150"/>
        <v>14.84712006247565</v>
      </c>
      <c r="F371" s="385">
        <f t="shared" si="128"/>
        <v>14.848382199865759</v>
      </c>
      <c r="G371" s="110">
        <f t="shared" si="151"/>
        <v>0.77126418468377411</v>
      </c>
      <c r="H371" s="414" t="b">
        <f>Wh_hp&gt;='2024'!Maxi_hp</f>
        <v>0</v>
      </c>
      <c r="I371" s="390">
        <f>IF(H371,Wh_hp,'2024'!Maxi_hp)</f>
        <v>16.298095724245826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6.0922198300638497E-2</v>
      </c>
      <c r="M371" s="844"/>
      <c r="N371" s="844"/>
      <c r="O371" s="48">
        <f>IF(t&lt;Tnet,'2024'!Resal+('2024'!Salim-'2024'!Resal)*(1-EXP(('2024'!Tnet-t)/('2024'!Tau_j))),Resal+(Salim-Resal)*(1-EXP((Tnet-t)/(Tau_j))))*Salcycl</f>
        <v>5.5115301212931178E-2</v>
      </c>
      <c r="P371" s="169">
        <f>(INDEX(Models!$BJ371:$BT371,,T371)*(1-R371)+INDEX(Models!$BJ371:$BT371,,T371+1)*R371-ERP_i)*Q371*Ramure*Pc/MaxiM</f>
        <v>1.2625011402994971E-4</v>
      </c>
      <c r="Q371" s="305">
        <f t="shared" si="130"/>
        <v>0.7</v>
      </c>
      <c r="R371" s="177">
        <f t="shared" si="131"/>
        <v>0.77929948091160384</v>
      </c>
      <c r="S371" s="810">
        <f t="shared" si="132"/>
        <v>-2</v>
      </c>
      <c r="T371" s="176">
        <f t="shared" si="133"/>
        <v>4</v>
      </c>
      <c r="U371" s="251">
        <f t="shared" si="134"/>
        <v>-1.2207005190883962</v>
      </c>
      <c r="V371" s="383">
        <f t="shared" si="135"/>
        <v>17.080537415731278</v>
      </c>
      <c r="W371" s="402">
        <f t="shared" si="136"/>
        <v>13.174150223203425</v>
      </c>
      <c r="X371" s="157">
        <f t="shared" si="137"/>
        <v>46014</v>
      </c>
      <c r="Y371" s="385">
        <f t="shared" si="138"/>
        <v>12.19104791061765</v>
      </c>
      <c r="Z371" s="385">
        <f t="shared" si="139"/>
        <v>12.98193598928294</v>
      </c>
      <c r="AA371" s="386">
        <f t="shared" si="140"/>
        <v>14.820493174427041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0.12405506102297294</v>
      </c>
      <c r="AD371" s="231">
        <f>(INDEX(Models!$BJ371:$BT371,,AH371)*(1-AF371)+INDEX(Models!$BJ371:$BT371,,AH371+1)*AF371-ERP_i)*AE371*Ramure*Pc/MaxiM</f>
        <v>2.7897063104335563E-3</v>
      </c>
      <c r="AE371" s="305">
        <f t="shared" si="142"/>
        <v>0.7</v>
      </c>
      <c r="AF371" s="177">
        <f t="shared" si="143"/>
        <v>0.59928953401078777</v>
      </c>
      <c r="AG371" s="810">
        <f t="shared" si="149"/>
        <v>1</v>
      </c>
      <c r="AH371" s="176">
        <f t="shared" si="144"/>
        <v>7</v>
      </c>
      <c r="AI371" s="225">
        <f t="shared" si="145"/>
        <v>1.5992895340107878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16.9269842581059</v>
      </c>
      <c r="C372" s="840"/>
      <c r="D372" s="393">
        <f t="shared" si="127"/>
        <v>18.02553329691494</v>
      </c>
      <c r="E372" s="385">
        <f t="shared" si="150"/>
        <v>19.079647762398004</v>
      </c>
      <c r="F372" s="385">
        <f t="shared" si="128"/>
        <v>19.082016491633386</v>
      </c>
      <c r="G372" s="110">
        <f t="shared" si="151"/>
        <v>0.98870551770121162</v>
      </c>
      <c r="H372" s="414" t="b">
        <f>Wh_hp&gt;='2024'!Maxi_hp</f>
        <v>1</v>
      </c>
      <c r="I372" s="390">
        <f>IF(H372,Wh_hp,'2024'!Maxi_hp)</f>
        <v>19.082016491633386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6.094405201298847E-2</v>
      </c>
      <c r="M372" s="844"/>
      <c r="N372" s="844"/>
      <c r="O372" s="48">
        <f>IF(t&lt;Tnet,'2024'!Resal+('2024'!Salim-'2024'!Resal)*(1-EXP(('2024'!Tnet-t)/('2024'!Tau_j))),Resal+(Salim-Resal)*(1-EXP((Tnet-t)/(Tau_j))))*Salcycl</f>
        <v>5.5248109326237319E-2</v>
      </c>
      <c r="P372" s="169">
        <f>(INDEX(Models!$BJ372:$BT372,,T372)*(1-R372)+INDEX(Models!$BJ372:$BT372,,T372+1)*R372-ERP_i)*Q372*Ramure*Pc/MaxiM</f>
        <v>1.2616949413688929E-4</v>
      </c>
      <c r="Q372" s="305">
        <f t="shared" si="130"/>
        <v>0.7</v>
      </c>
      <c r="R372" s="177">
        <f t="shared" si="131"/>
        <v>0.77929948091160384</v>
      </c>
      <c r="S372" s="810">
        <f t="shared" si="132"/>
        <v>-2</v>
      </c>
      <c r="T372" s="176">
        <f t="shared" si="133"/>
        <v>4</v>
      </c>
      <c r="U372" s="251">
        <f t="shared" si="134"/>
        <v>-1.2207005190883962</v>
      </c>
      <c r="V372" s="383">
        <f t="shared" si="135"/>
        <v>17.120314894529052</v>
      </c>
      <c r="W372" s="402">
        <f t="shared" si="136"/>
        <v>16.9269842581059</v>
      </c>
      <c r="X372" s="157">
        <f t="shared" si="137"/>
        <v>46015</v>
      </c>
      <c r="Y372" s="385">
        <f t="shared" si="138"/>
        <v>15.652250039298258</v>
      </c>
      <c r="Z372" s="385">
        <f t="shared" si="139"/>
        <v>16.668069749039862</v>
      </c>
      <c r="AA372" s="386">
        <f t="shared" si="140"/>
        <v>19.029804258228509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0.12410713621331296</v>
      </c>
      <c r="AD372" s="231">
        <f>(INDEX(Models!$BJ372:$BT372,,AH372)*(1-AF372)+INDEX(Models!$BJ372:$BT372,,AH372+1)*AF372-ERP_i)*AE372*Ramure*Pc/MaxiM</f>
        <v>2.7810654666860276E-3</v>
      </c>
      <c r="AE372" s="305">
        <f t="shared" si="142"/>
        <v>0.7</v>
      </c>
      <c r="AF372" s="177">
        <f t="shared" si="143"/>
        <v>0.59928953401078777</v>
      </c>
      <c r="AG372" s="810">
        <f t="shared" si="149"/>
        <v>1</v>
      </c>
      <c r="AH372" s="176">
        <f t="shared" si="144"/>
        <v>7</v>
      </c>
      <c r="AI372" s="225">
        <f t="shared" si="145"/>
        <v>1.5992895340107878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9.6932795498778344</v>
      </c>
      <c r="C373" s="840"/>
      <c r="D373" s="393">
        <f t="shared" si="127"/>
        <v>10.322606605796855</v>
      </c>
      <c r="E373" s="385">
        <f t="shared" si="150"/>
        <v>10.927799794430149</v>
      </c>
      <c r="F373" s="385">
        <f t="shared" si="128"/>
        <v>10.928321604877944</v>
      </c>
      <c r="G373" s="110">
        <f t="shared" si="151"/>
        <v>0.56476018344426404</v>
      </c>
      <c r="H373" s="414" t="b">
        <f>Wh_hp&gt;='2024'!Maxi_hp</f>
        <v>0</v>
      </c>
      <c r="I373" s="390">
        <f>IF(H373,Wh_hp,'2024'!Maxi_hp)</f>
        <v>15.376095224212161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6.0965905216770588E-2</v>
      </c>
      <c r="M373" s="844"/>
      <c r="N373" s="844"/>
      <c r="O373" s="48">
        <f>IF(t&lt;Tnet,'2024'!Resal+('2024'!Salim-'2024'!Resal)*(1-EXP(('2024'!Tnet-t)/('2024'!Tau_j))),Resal+(Salim-Resal)*(1-EXP((Tnet-t)/(Tau_j))))*Salcycl</f>
        <v>5.5381064808833508E-2</v>
      </c>
      <c r="P373" s="169">
        <f>(INDEX(Models!$BJ373:$BT373,,T373)*(1-R373)+INDEX(Models!$BJ373:$BT373,,T373+1)*R373-ERP_i)*Q373*Ramure*Pc/MaxiM</f>
        <v>1.2622110276923652E-4</v>
      </c>
      <c r="Q373" s="305">
        <f t="shared" si="130"/>
        <v>0.7</v>
      </c>
      <c r="R373" s="177">
        <f t="shared" si="131"/>
        <v>0.77929948091160384</v>
      </c>
      <c r="S373" s="810">
        <f t="shared" si="132"/>
        <v>-2</v>
      </c>
      <c r="T373" s="176">
        <f t="shared" si="133"/>
        <v>4</v>
      </c>
      <c r="U373" s="251">
        <f t="shared" si="134"/>
        <v>-1.2207005190883962</v>
      </c>
      <c r="V373" s="383">
        <f t="shared" si="135"/>
        <v>17.162185190023738</v>
      </c>
      <c r="W373" s="402">
        <f t="shared" si="136"/>
        <v>9.6932795498778344</v>
      </c>
      <c r="X373" s="157">
        <f t="shared" si="137"/>
        <v>46016</v>
      </c>
      <c r="Y373" s="385">
        <f t="shared" si="138"/>
        <v>8.9785050977882026</v>
      </c>
      <c r="Z373" s="385">
        <f t="shared" si="139"/>
        <v>9.5614260948222949</v>
      </c>
      <c r="AA373" s="386">
        <f t="shared" si="140"/>
        <v>10.916862025422265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0.12415984808121105</v>
      </c>
      <c r="AD373" s="231">
        <f>(INDEX(Models!$BJ373:$BT373,,AH373)*(1-AF373)+INDEX(Models!$BJ373:$BT373,,AH373+1)*AF373-ERP_i)*AE373*Ramure*Pc/MaxiM</f>
        <v>2.771965878181458E-3</v>
      </c>
      <c r="AE373" s="305">
        <f t="shared" si="142"/>
        <v>0.7</v>
      </c>
      <c r="AF373" s="177">
        <f t="shared" si="143"/>
        <v>0.59928953401078777</v>
      </c>
      <c r="AG373" s="810">
        <f t="shared" si="149"/>
        <v>1</v>
      </c>
      <c r="AH373" s="176">
        <f t="shared" si="144"/>
        <v>7</v>
      </c>
      <c r="AI373" s="225">
        <f t="shared" si="145"/>
        <v>1.5992895340107878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16.487001865284203</v>
      </c>
      <c r="C374" s="840"/>
      <c r="D374" s="393">
        <f t="shared" si="127"/>
        <v>17.557813547375517</v>
      </c>
      <c r="E374" s="385">
        <f t="shared" si="150"/>
        <v>18.589810954601827</v>
      </c>
      <c r="F374" s="385">
        <f t="shared" si="128"/>
        <v>18.592020372042303</v>
      </c>
      <c r="G374" s="110">
        <f t="shared" si="151"/>
        <v>0.95813508919935775</v>
      </c>
      <c r="H374" s="414" t="b">
        <f>Wh_hp&gt;='2024'!Maxi_hp</f>
        <v>1</v>
      </c>
      <c r="I374" s="390">
        <f>IF(H374,Wh_hp,'2024'!Maxi_hp)</f>
        <v>18.592020372042303</v>
      </c>
      <c r="J374" s="85">
        <f>IF(H374,An,'2024'!An_max)</f>
        <v>2025</v>
      </c>
      <c r="K374" s="197">
        <f t="shared" si="129"/>
        <v>46017</v>
      </c>
      <c r="L374" s="147">
        <f>IF(t&lt;Tvie,1-EXP((T0-t)*PertePVj)+'2024'!Pspv,1-EXP((T0-t)*PertePVj)+Pspv)</f>
        <v>6.0987757911996732E-2</v>
      </c>
      <c r="M374" s="844"/>
      <c r="N374" s="844"/>
      <c r="O374" s="48">
        <f>IF(t&lt;Tnet,'2024'!Resal+('2024'!Salim-'2024'!Resal)*(1-EXP(('2024'!Tnet-t)/('2024'!Tau_j))),Resal+(Salim-Resal)*(1-EXP((Tnet-t)/(Tau_j))))*Salcycl</f>
        <v>5.5514142115083986E-2</v>
      </c>
      <c r="P374" s="169">
        <f>(INDEX(Models!$BJ374:$BT374,,T374)*(1-R374)+INDEX(Models!$BJ374:$BT374,,T374+1)*R374-ERP_i)*Q374*Ramure*Pc/MaxiM</f>
        <v>1.2639485784828814E-4</v>
      </c>
      <c r="Q374" s="305">
        <f t="shared" si="130"/>
        <v>0.7</v>
      </c>
      <c r="R374" s="177">
        <f t="shared" si="131"/>
        <v>0.77929948091160384</v>
      </c>
      <c r="S374" s="810">
        <f t="shared" si="132"/>
        <v>-2</v>
      </c>
      <c r="T374" s="176">
        <f t="shared" si="133"/>
        <v>4</v>
      </c>
      <c r="U374" s="251">
        <f t="shared" si="134"/>
        <v>-1.2207005190883962</v>
      </c>
      <c r="V374" s="383">
        <f t="shared" si="135"/>
        <v>17.207257544060493</v>
      </c>
      <c r="W374" s="402">
        <f t="shared" si="136"/>
        <v>16.487001865284203</v>
      </c>
      <c r="X374" s="157">
        <f t="shared" si="137"/>
        <v>46017</v>
      </c>
      <c r="Y374" s="385">
        <f t="shared" si="138"/>
        <v>15.249897282296903</v>
      </c>
      <c r="Z374" s="385">
        <f t="shared" si="139"/>
        <v>16.240360454073503</v>
      </c>
      <c r="AA374" s="386">
        <f t="shared" si="140"/>
        <v>18.543736040398674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0.12421313489941424</v>
      </c>
      <c r="AD374" s="231">
        <f>(INDEX(Models!$BJ374:$BT374,,AH374)*(1-AF374)+INDEX(Models!$BJ374:$BT374,,AH374+1)*AF374-ERP_i)*AE374*Ramure*Pc/MaxiM</f>
        <v>2.762217371235557E-3</v>
      </c>
      <c r="AE374" s="305">
        <f t="shared" si="142"/>
        <v>0.7</v>
      </c>
      <c r="AF374" s="177">
        <f t="shared" si="143"/>
        <v>0.59928953401078777</v>
      </c>
      <c r="AG374" s="810">
        <f t="shared" si="149"/>
        <v>1</v>
      </c>
      <c r="AH374" s="176">
        <f t="shared" si="144"/>
        <v>7</v>
      </c>
      <c r="AI374" s="225">
        <f t="shared" si="145"/>
        <v>1.5992895340107878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6.6995025842764857</v>
      </c>
      <c r="C375" s="840"/>
      <c r="D375" s="393">
        <f t="shared" si="127"/>
        <v>7.134793557344647</v>
      </c>
      <c r="E375" s="385">
        <f t="shared" si="150"/>
        <v>7.5552213544028488</v>
      </c>
      <c r="F375" s="385">
        <f t="shared" si="128"/>
        <v>7.5553421525175928</v>
      </c>
      <c r="G375" s="110">
        <f t="shared" si="151"/>
        <v>0.38819796791323946</v>
      </c>
      <c r="H375" s="414" t="b">
        <f>Wh_hp&gt;='2024'!Maxi_hp</f>
        <v>0</v>
      </c>
      <c r="I375" s="390">
        <f>IF(H375,Wh_hp,'2024'!Maxi_hp)</f>
        <v>18.041116002865003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6.1009610098678668E-2</v>
      </c>
      <c r="M375" s="844"/>
      <c r="N375" s="844"/>
      <c r="O375" s="48">
        <f>IF(t&lt;Tnet,'2024'!Resal+('2024'!Salim-'2024'!Resal)*(1-EXP(('2024'!Tnet-t)/('2024'!Tau_j))),Resal+(Salim-Resal)*(1-EXP((Tnet-t)/(Tau_j))))*Salcycl</f>
        <v>5.5647316913248958E-2</v>
      </c>
      <c r="P375" s="169">
        <f>(INDEX(Models!$BJ375:$BT375,,T375)*(1-R375)+INDEX(Models!$BJ375:$BT375,,T375+1)*R375-ERP_i)*Q375*Ramure*Pc/MaxiM</f>
        <v>1.2683339662693312E-4</v>
      </c>
      <c r="Q375" s="305">
        <f t="shared" si="130"/>
        <v>0.7</v>
      </c>
      <c r="R375" s="177">
        <f t="shared" si="131"/>
        <v>0.77929948091160384</v>
      </c>
      <c r="S375" s="810">
        <f t="shared" si="132"/>
        <v>-2</v>
      </c>
      <c r="T375" s="176">
        <f t="shared" si="133"/>
        <v>4</v>
      </c>
      <c r="U375" s="251">
        <f t="shared" si="134"/>
        <v>-1.2207005190883962</v>
      </c>
      <c r="V375" s="383">
        <f t="shared" si="135"/>
        <v>17.256040783318245</v>
      </c>
      <c r="W375" s="402">
        <f t="shared" si="136"/>
        <v>6.6995025842764857</v>
      </c>
      <c r="X375" s="157">
        <f t="shared" si="137"/>
        <v>46018</v>
      </c>
      <c r="Y375" s="385">
        <f t="shared" si="138"/>
        <v>6.2106388312873024</v>
      </c>
      <c r="Z375" s="385">
        <f t="shared" si="139"/>
        <v>6.6141665538664132</v>
      </c>
      <c r="AA375" s="386">
        <f t="shared" si="140"/>
        <v>7.5527199349149283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0.12426693815425936</v>
      </c>
      <c r="AD375" s="231">
        <f>(INDEX(Models!$BJ375:$BT375,,AH375)*(1-AF375)+INDEX(Models!$BJ375:$BT375,,AH375+1)*AF375-ERP_i)*AE375*Ramure*Pc/MaxiM</f>
        <v>2.7532281107642128E-3</v>
      </c>
      <c r="AE375" s="305">
        <f t="shared" si="142"/>
        <v>0.7</v>
      </c>
      <c r="AF375" s="177">
        <f t="shared" si="143"/>
        <v>0.59928953401078777</v>
      </c>
      <c r="AG375" s="810">
        <f t="shared" si="149"/>
        <v>1</v>
      </c>
      <c r="AH375" s="176">
        <f t="shared" si="144"/>
        <v>7</v>
      </c>
      <c r="AI375" s="225">
        <f t="shared" si="145"/>
        <v>1.5992895340107878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15.942536276076366</v>
      </c>
      <c r="C376" s="840"/>
      <c r="D376" s="393">
        <f t="shared" si="127"/>
        <v>16.978775781182975</v>
      </c>
      <c r="E376" s="385">
        <f t="shared" si="150"/>
        <v>17.981811402330326</v>
      </c>
      <c r="F376" s="385">
        <f t="shared" si="128"/>
        <v>17.983845121418753</v>
      </c>
      <c r="G376" s="110">
        <f t="shared" si="151"/>
        <v>0.92103897800980372</v>
      </c>
      <c r="H376" s="414" t="b">
        <f>Wh_hp&gt;='2024'!Maxi_hp</f>
        <v>1</v>
      </c>
      <c r="I376" s="390">
        <f>IF(H376,Wh_hp,'2024'!Maxi_hp)</f>
        <v>17.983845121418753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6.1031461776828388E-2</v>
      </c>
      <c r="M376" s="844"/>
      <c r="N376" s="844"/>
      <c r="O376" s="48">
        <f>IF(t&lt;Tnet,'2024'!Resal+('2024'!Salim-'2024'!Resal)*(1-EXP(('2024'!Tnet-t)/('2024'!Tau_j))),Resal+(Salim-Resal)*(1-EXP((Tnet-t)/(Tau_j))))*Salcycl</f>
        <v>5.5780566190198388E-2</v>
      </c>
      <c r="P376" s="169">
        <f>(INDEX(Models!$BJ376:$BT376,,T376)*(1-R376)+INDEX(Models!$BJ376:$BT376,,T376+1)*R376-ERP_i)*Q376*Ramure*Pc/MaxiM</f>
        <v>1.2746129678876486E-4</v>
      </c>
      <c r="Q376" s="305">
        <f t="shared" si="130"/>
        <v>0.7</v>
      </c>
      <c r="R376" s="177">
        <f t="shared" si="131"/>
        <v>0.77929948091160384</v>
      </c>
      <c r="S376" s="810">
        <f t="shared" si="132"/>
        <v>-2</v>
      </c>
      <c r="T376" s="176">
        <f t="shared" si="133"/>
        <v>4</v>
      </c>
      <c r="U376" s="251">
        <f t="shared" si="134"/>
        <v>-1.2207005190883962</v>
      </c>
      <c r="V376" s="383">
        <f t="shared" si="135"/>
        <v>17.309047119941269</v>
      </c>
      <c r="W376" s="402">
        <f t="shared" si="136"/>
        <v>15.942536276076366</v>
      </c>
      <c r="X376" s="157">
        <f t="shared" si="137"/>
        <v>46019</v>
      </c>
      <c r="Y376" s="385">
        <f t="shared" si="138"/>
        <v>14.750930616760286</v>
      </c>
      <c r="Z376" s="385">
        <f t="shared" si="139"/>
        <v>15.709717648978696</v>
      </c>
      <c r="AA376" s="386">
        <f t="shared" si="140"/>
        <v>17.940045708798028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0.12432120274507164</v>
      </c>
      <c r="AD376" s="231">
        <f>(INDEX(Models!$BJ376:$BT376,,AH376)*(1-AF376)+INDEX(Models!$BJ376:$BT376,,AH376+1)*AF376-ERP_i)*AE376*Ramure*Pc/MaxiM</f>
        <v>2.7450840988765377E-3</v>
      </c>
      <c r="AE376" s="305">
        <f t="shared" si="142"/>
        <v>0.7</v>
      </c>
      <c r="AF376" s="177">
        <f t="shared" si="143"/>
        <v>0.59928953401078777</v>
      </c>
      <c r="AG376" s="810">
        <f t="shared" si="149"/>
        <v>1</v>
      </c>
      <c r="AH376" s="176">
        <f t="shared" si="144"/>
        <v>7</v>
      </c>
      <c r="AI376" s="225">
        <f t="shared" si="145"/>
        <v>1.5992895340107878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9.0223509484618738</v>
      </c>
      <c r="C377" s="840"/>
      <c r="D377" s="393">
        <f t="shared" si="127"/>
        <v>9.6090130279647958</v>
      </c>
      <c r="E377" s="385">
        <f t="shared" si="150"/>
        <v>10.178110561877952</v>
      </c>
      <c r="F377" s="385">
        <f t="shared" si="128"/>
        <v>10.17851999895742</v>
      </c>
      <c r="G377" s="110">
        <f t="shared" si="151"/>
        <v>0.51947181807383802</v>
      </c>
      <c r="H377" s="414" t="b">
        <f>Wh_hp&gt;='2024'!Maxi_hp</f>
        <v>0</v>
      </c>
      <c r="I377" s="390">
        <f>IF(H377,Wh_hp,'2024'!Maxi_hp)</f>
        <v>20.470863800267029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6.105331294645755E-2</v>
      </c>
      <c r="M377" s="844"/>
      <c r="N377" s="844"/>
      <c r="O377" s="48">
        <f>IF(t&lt;Tnet,'2024'!Resal+('2024'!Salim-'2024'!Resal)*(1-EXP(('2024'!Tnet-t)/('2024'!Tau_j))),Resal+(Salim-Resal)*(1-EXP((Tnet-t)/(Tau_j))))*Salcycl</f>
        <v>5.5913868340623882E-2</v>
      </c>
      <c r="P377" s="169">
        <f>(INDEX(Models!$BJ377:$BT377,,T377)*(1-R377)+INDEX(Models!$BJ377:$BT377,,T377+1)*R377-ERP_i)*Q377*Ramure*Pc/MaxiM</f>
        <v>1.282718347520473E-4</v>
      </c>
      <c r="Q377" s="305">
        <f t="shared" si="130"/>
        <v>0.7</v>
      </c>
      <c r="R377" s="177">
        <f t="shared" si="131"/>
        <v>0.77929948091160384</v>
      </c>
      <c r="S377" s="810">
        <f t="shared" si="132"/>
        <v>-2</v>
      </c>
      <c r="T377" s="176">
        <f t="shared" si="133"/>
        <v>4</v>
      </c>
      <c r="U377" s="251">
        <f t="shared" si="134"/>
        <v>-1.2207005190883962</v>
      </c>
      <c r="V377" s="383">
        <f t="shared" si="135"/>
        <v>17.366787222322127</v>
      </c>
      <c r="W377" s="402">
        <f t="shared" si="136"/>
        <v>9.0223509484618738</v>
      </c>
      <c r="X377" s="157">
        <f t="shared" si="137"/>
        <v>46020</v>
      </c>
      <c r="Y377" s="385">
        <f t="shared" si="138"/>
        <v>8.3612319497888894</v>
      </c>
      <c r="Z377" s="385">
        <f t="shared" si="139"/>
        <v>8.9049059601315772</v>
      </c>
      <c r="AA377" s="386">
        <f t="shared" si="140"/>
        <v>10.169781448136451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0.12437587714696223</v>
      </c>
      <c r="AD377" s="231">
        <f>(INDEX(Models!$BJ377:$BT377,,AH377)*(1-AF377)+INDEX(Models!$BJ377:$BT377,,AH377+1)*AF377-ERP_i)*AE377*Ramure*Pc/MaxiM</f>
        <v>2.7376854786528046E-3</v>
      </c>
      <c r="AE377" s="305">
        <f t="shared" si="142"/>
        <v>0.7</v>
      </c>
      <c r="AF377" s="177">
        <f t="shared" si="143"/>
        <v>0.59928953401078777</v>
      </c>
      <c r="AG377" s="810">
        <f t="shared" si="149"/>
        <v>1</v>
      </c>
      <c r="AH377" s="176">
        <f t="shared" si="144"/>
        <v>7</v>
      </c>
      <c r="AI377" s="225">
        <f t="shared" si="145"/>
        <v>1.5992895340107878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11.959776684038253</v>
      </c>
      <c r="C378" s="840"/>
      <c r="D378" s="393">
        <f t="shared" si="127"/>
        <v>12.73773599385296</v>
      </c>
      <c r="E378" s="385">
        <f t="shared" si="150"/>
        <v>13.494039148545317</v>
      </c>
      <c r="F378" s="385">
        <f t="shared" si="128"/>
        <v>13.495001448498366</v>
      </c>
      <c r="G378" s="110">
        <f t="shared" si="151"/>
        <v>0.68612968537721675</v>
      </c>
      <c r="H378" s="414" t="b">
        <f>Wh_hp&gt;='2024'!Maxi_hp</f>
        <v>0</v>
      </c>
      <c r="I378" s="390">
        <f>IF(H378,Wh_hp,'2024'!Maxi_hp)</f>
        <v>18.88344038484756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6.1075163607578142E-2</v>
      </c>
      <c r="M378" s="844"/>
      <c r="N378" s="844"/>
      <c r="O378" s="48">
        <f>IF(t&lt;Tnet,'2024'!Resal+('2024'!Salim-'2024'!Resal)*(1-EXP(('2024'!Tnet-t)/('2024'!Tau_j))),Resal+(Salim-Resal)*(1-EXP((Tnet-t)/(Tau_j))))*Salcycl</f>
        <v>5.6047203240394403E-2</v>
      </c>
      <c r="P378" s="169">
        <f>(INDEX(Models!$BJ378:$BT378,,T378)*(1-R378)+INDEX(Models!$BJ378:$BT378,,T378+1)*R378-ERP_i)*Q378*Ramure*Pc/MaxiM</f>
        <v>1.292580659467864E-4</v>
      </c>
      <c r="Q378" s="305">
        <f t="shared" si="130"/>
        <v>0.7</v>
      </c>
      <c r="R378" s="177">
        <f t="shared" si="131"/>
        <v>0.77929948091160384</v>
      </c>
      <c r="S378" s="810">
        <f t="shared" si="132"/>
        <v>-2</v>
      </c>
      <c r="T378" s="176">
        <f t="shared" si="133"/>
        <v>4</v>
      </c>
      <c r="U378" s="251">
        <f t="shared" si="134"/>
        <v>-1.2207005190883962</v>
      </c>
      <c r="V378" s="383">
        <f t="shared" si="135"/>
        <v>17.429771394840436</v>
      </c>
      <c r="W378" s="402">
        <f t="shared" si="136"/>
        <v>11.959776684038253</v>
      </c>
      <c r="X378" s="157">
        <f t="shared" si="137"/>
        <v>46021</v>
      </c>
      <c r="Y378" s="385">
        <f t="shared" si="138"/>
        <v>11.077439609646074</v>
      </c>
      <c r="Z378" s="385">
        <f t="shared" si="139"/>
        <v>11.798004675441645</v>
      </c>
      <c r="AA378" s="386">
        <f t="shared" si="140"/>
        <v>13.474670197754703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0.12443091353675167</v>
      </c>
      <c r="AD378" s="231">
        <f>(INDEX(Models!$BJ378:$BT378,,AH378)*(1-AF378)+INDEX(Models!$BJ378:$BT378,,AH378+1)*AF378-ERP_i)*AE378*Ramure*Pc/MaxiM</f>
        <v>2.7309345085992556E-3</v>
      </c>
      <c r="AE378" s="305">
        <f t="shared" si="142"/>
        <v>0.7</v>
      </c>
      <c r="AF378" s="177">
        <f t="shared" si="143"/>
        <v>0.59928953401078777</v>
      </c>
      <c r="AG378" s="810">
        <f t="shared" si="149"/>
        <v>1</v>
      </c>
      <c r="AH378" s="176">
        <f t="shared" si="144"/>
        <v>7</v>
      </c>
      <c r="AI378" s="225">
        <f t="shared" si="145"/>
        <v>1.5992895340107878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8.9014284431461608</v>
      </c>
      <c r="C379" s="840"/>
      <c r="D379" s="393">
        <f t="shared" si="127"/>
        <v>9.4806690079828044</v>
      </c>
      <c r="E379" s="385">
        <f t="shared" si="150"/>
        <v>10.045002813965125</v>
      </c>
      <c r="F379" s="385">
        <f t="shared" si="128"/>
        <v>10.045393388561191</v>
      </c>
      <c r="G379" s="110">
        <f t="shared" si="151"/>
        <v>0.50864981409337862</v>
      </c>
      <c r="H379" s="414" t="b">
        <f>Wh_hp&gt;='2024'!Maxi_hp</f>
        <v>0</v>
      </c>
      <c r="I379" s="390">
        <f>IF(H379,Wh_hp,'2024'!Maxi_hp)</f>
        <v>18.889316634056641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6.1097013760201824E-2</v>
      </c>
      <c r="M379" s="844"/>
      <c r="N379" s="844"/>
      <c r="O379" s="48">
        <f>IF(t&lt;Tnet,'2024'!Resal+('2024'!Salim-'2024'!Resal)*(1-EXP(('2024'!Tnet-t)/('2024'!Tau_j))),Resal+(Salim-Resal)*(1-EXP((Tnet-t)/(Tau_j))))*Salcycl</f>
        <v>5.618055230385325E-2</v>
      </c>
      <c r="P379" s="169">
        <f>(INDEX(Models!$BJ379:$BT379,,T379)*(1-R379)+INDEX(Models!$BJ379:$BT379,,T379+1)*R379-ERP_i)*Q379*Ramure*Pc/MaxiM</f>
        <v>1.3041278576760731E-4</v>
      </c>
      <c r="Q379" s="306">
        <f t="shared" si="130"/>
        <v>0.7</v>
      </c>
      <c r="R379" s="177">
        <f t="shared" si="131"/>
        <v>0.77929948091160384</v>
      </c>
      <c r="S379" s="810">
        <f t="shared" si="132"/>
        <v>-2</v>
      </c>
      <c r="T379" s="176">
        <f t="shared" si="133"/>
        <v>4</v>
      </c>
      <c r="U379" s="307">
        <f t="shared" si="134"/>
        <v>-1.2207005190883962</v>
      </c>
      <c r="V379" s="383">
        <f t="shared" si="135"/>
        <v>17.498509585389879</v>
      </c>
      <c r="W379" s="402">
        <f t="shared" si="136"/>
        <v>8.9014284431461608</v>
      </c>
      <c r="X379" s="157">
        <f t="shared" si="137"/>
        <v>46022</v>
      </c>
      <c r="Y379" s="385">
        <f t="shared" si="138"/>
        <v>8.2508309790687431</v>
      </c>
      <c r="Z379" s="385">
        <f t="shared" si="139"/>
        <v>8.7877353677533847</v>
      </c>
      <c r="AA379" s="386">
        <f t="shared" si="140"/>
        <v>10.037233050012047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0.12448626788207955</v>
      </c>
      <c r="AD379" s="231">
        <f>(INDEX(Models!$BJ379:$BT379,,AH379)*(1-AF379)+INDEX(Models!$BJ379:$BT379,,AH379+1)*AF379-ERP_i)*AE379*Ramure*Pc/MaxiM</f>
        <v>2.7247355401985511E-3</v>
      </c>
      <c r="AE379" s="306">
        <f t="shared" si="142"/>
        <v>0.7</v>
      </c>
      <c r="AF379" s="177">
        <f t="shared" si="143"/>
        <v>0.59928953401078777</v>
      </c>
      <c r="AG379" s="810">
        <f t="shared" si="149"/>
        <v>1</v>
      </c>
      <c r="AH379" s="176">
        <f t="shared" si="144"/>
        <v>7</v>
      </c>
      <c r="AI379" s="222">
        <f t="shared" si="145"/>
        <v>1.5992895340107878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8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13.770822168887381</v>
      </c>
      <c r="J380" s="85">
        <f>IF(H380,An,'2024'!An_max)</f>
        <v>2024</v>
      </c>
      <c r="K380" s="234"/>
      <c r="L380" s="214"/>
      <c r="M380" s="849"/>
      <c r="N380" s="849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1.605103920802776</v>
      </c>
      <c r="C381" s="375"/>
      <c r="D381" s="373">
        <f>MIN(D15:D380)</f>
        <v>1.6954872438957507</v>
      </c>
      <c r="E381" s="373">
        <f>MIN(E15:E380)</f>
        <v>1.8796979659350006</v>
      </c>
      <c r="F381" s="374">
        <f>MIN(F15:F380)</f>
        <v>1.8796979659350006</v>
      </c>
      <c r="G381" s="125">
        <f>+MIN(G15:G380)</f>
        <v>8.9336618898857037E-2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5.3109869318555769E-2</v>
      </c>
      <c r="M381" s="846"/>
      <c r="N381" s="846"/>
      <c r="O381" s="47">
        <f t="shared" si="152"/>
        <v>1.8199148020337074E-2</v>
      </c>
      <c r="P381" s="168">
        <f t="shared" si="152"/>
        <v>0</v>
      </c>
      <c r="Q381" s="310">
        <f t="shared" si="152"/>
        <v>0.7</v>
      </c>
      <c r="R381" s="311">
        <f t="shared" si="152"/>
        <v>0.1992905524397246</v>
      </c>
      <c r="S381" s="810">
        <f t="shared" si="152"/>
        <v>-2</v>
      </c>
      <c r="T381" s="176">
        <f t="shared" si="152"/>
        <v>4</v>
      </c>
      <c r="U381" s="252">
        <f>MIN(U15:U380)</f>
        <v>-1.6007099697463862</v>
      </c>
      <c r="V381" s="57">
        <f>MIN(V15:V380)</f>
        <v>16.906995129434584</v>
      </c>
      <c r="W381" s="58"/>
      <c r="X381" s="112" t="s">
        <v>7</v>
      </c>
      <c r="Y381" s="373">
        <f>MIN(Y15:Y380)</f>
        <v>1.5206841876821795</v>
      </c>
      <c r="Z381" s="373">
        <f>MIN(Z15:Z380)</f>
        <v>1.6063138397416641</v>
      </c>
      <c r="AA381" s="373">
        <f>MIN(AA15:AA380)</f>
        <v>1.8796979659350006</v>
      </c>
      <c r="AB381" s="200" t="s">
        <v>7</v>
      </c>
      <c r="AC381" s="47">
        <f t="shared" ref="AC381:AH381" si="153">MIN(AC15:AC380)</f>
        <v>0.10847545092637721</v>
      </c>
      <c r="AD381" s="168">
        <f t="shared" si="153"/>
        <v>2.3680891205543449E-4</v>
      </c>
      <c r="AE381" s="310">
        <f t="shared" si="153"/>
        <v>0.7</v>
      </c>
      <c r="AF381" s="311">
        <f t="shared" si="153"/>
        <v>0.1992905524397246</v>
      </c>
      <c r="AG381" s="810">
        <f t="shared" si="153"/>
        <v>1</v>
      </c>
      <c r="AH381" s="176">
        <f t="shared" si="153"/>
        <v>7</v>
      </c>
      <c r="AI381" s="226">
        <f>MIN(AI15:AI380)</f>
        <v>1.1992905524397246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28.809030424917371</v>
      </c>
      <c r="C382" s="375"/>
      <c r="D382" s="375">
        <f>AVERAGE(D15:D380)</f>
        <v>30.551571097911165</v>
      </c>
      <c r="E382" s="375">
        <f>AVERAGE(E15:E380)</f>
        <v>32.234206719910141</v>
      </c>
      <c r="F382" s="376">
        <f>AVERAGE(F15:F380)</f>
        <v>32.245501795314546</v>
      </c>
      <c r="G382" s="126">
        <f>AVERAGE(G15:G380)</f>
        <v>0.71318856891221016</v>
      </c>
      <c r="H382" s="94"/>
      <c r="I382" s="376">
        <f>AVERAGE(I15:I380)</f>
        <v>41.223033415025292</v>
      </c>
      <c r="J382" s="59">
        <f>AVERAGE(J15:J380)</f>
        <v>2021.0382513661202</v>
      </c>
      <c r="K382" s="200" t="s">
        <v>8</v>
      </c>
      <c r="L382" s="147">
        <f t="shared" ref="L382:V382" si="154">AVERAGE(L15:L380)</f>
        <v>5.7109064241797521E-2</v>
      </c>
      <c r="M382" s="844"/>
      <c r="N382" s="844"/>
      <c r="O382" s="48">
        <f t="shared" si="154"/>
        <v>5.9717796629855442E-2</v>
      </c>
      <c r="P382" s="169">
        <f t="shared" si="154"/>
        <v>7.6039375196435422E-4</v>
      </c>
      <c r="Q382" s="312">
        <f t="shared" si="154"/>
        <v>0.69999999999999529</v>
      </c>
      <c r="R382" s="177">
        <f t="shared" si="154"/>
        <v>0.55931454057226004</v>
      </c>
      <c r="S382" s="810">
        <f t="shared" si="154"/>
        <v>-1.2684931506849315</v>
      </c>
      <c r="T382" s="176">
        <f t="shared" si="154"/>
        <v>4.7315068493150685</v>
      </c>
      <c r="U382" s="251">
        <f>AVERAGE(U15:U380)</f>
        <v>-0.70917861011267147</v>
      </c>
      <c r="V382" s="59">
        <f t="shared" si="154"/>
        <v>38.995065193575819</v>
      </c>
      <c r="X382" s="112" t="s">
        <v>8</v>
      </c>
      <c r="Y382" s="375">
        <f>AVERAGE(Y15:Y380)</f>
        <v>26.545807341305881</v>
      </c>
      <c r="Z382" s="375">
        <f>AVERAGE(Z15:Z380)</f>
        <v>28.150897415262971</v>
      </c>
      <c r="AA382" s="375">
        <f>AVERAGE(AA15:AA380)</f>
        <v>32.208993485189339</v>
      </c>
      <c r="AB382" s="200" t="s">
        <v>8</v>
      </c>
      <c r="AC382" s="48">
        <f t="shared" ref="AC382:AH382" si="155">AVERAGE(AC15:AC380)</f>
        <v>0.1288770420464784</v>
      </c>
      <c r="AD382" s="169">
        <f t="shared" si="155"/>
        <v>2.1533157552773323E-3</v>
      </c>
      <c r="AE382" s="312">
        <f t="shared" si="155"/>
        <v>0.69999999999999529</v>
      </c>
      <c r="AF382" s="177">
        <f t="shared" si="155"/>
        <v>0.42319743003903931</v>
      </c>
      <c r="AG382" s="810">
        <f t="shared" si="155"/>
        <v>1</v>
      </c>
      <c r="AH382" s="176">
        <f t="shared" si="155"/>
        <v>7</v>
      </c>
      <c r="AI382" s="225">
        <f>AVERAGE(AI15:AI380)</f>
        <v>1.4231974300390398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60.24128670064195</v>
      </c>
      <c r="C383" s="377"/>
      <c r="D383" s="377">
        <f>MAX(D15:D380)</f>
        <v>63.839643569449855</v>
      </c>
      <c r="E383" s="377">
        <f>MAX(E15:E380)</f>
        <v>65.393443335993965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2025</v>
      </c>
      <c r="K383" s="200" t="s">
        <v>9</v>
      </c>
      <c r="L383" s="148">
        <f t="shared" ref="L383:T383" si="156">MAX(L15:L380)</f>
        <v>6.1097013760201824E-2</v>
      </c>
      <c r="M383" s="847"/>
      <c r="N383" s="847"/>
      <c r="O383" s="49">
        <f t="shared" si="156"/>
        <v>0.1083406273225091</v>
      </c>
      <c r="P383" s="170">
        <f t="shared" si="156"/>
        <v>4.2416285062020333E-3</v>
      </c>
      <c r="Q383" s="313">
        <f t="shared" si="156"/>
        <v>0.7</v>
      </c>
      <c r="R383" s="314">
        <f t="shared" si="156"/>
        <v>0.77929948091160384</v>
      </c>
      <c r="S383" s="811">
        <f t="shared" si="156"/>
        <v>1</v>
      </c>
      <c r="T383" s="233">
        <f t="shared" si="156"/>
        <v>7</v>
      </c>
      <c r="U383" s="253">
        <f>MAX(U15:U380)</f>
        <v>1.2184935837658661</v>
      </c>
      <c r="V383" s="60">
        <f>MAX(V15:V380)</f>
        <v>59.113653466214352</v>
      </c>
      <c r="X383" s="112" t="s">
        <v>9</v>
      </c>
      <c r="Y383" s="377">
        <f>MAX(Y15:Y380)</f>
        <v>54.730750692354377</v>
      </c>
      <c r="Z383" s="377">
        <f>MAX(Z15:Z380)</f>
        <v>57.999949998596087</v>
      </c>
      <c r="AA383" s="377">
        <f>MAX(AA15:AA380)</f>
        <v>65.378253377133319</v>
      </c>
      <c r="AB383" s="200" t="s">
        <v>9</v>
      </c>
      <c r="AC383" s="49">
        <f t="shared" ref="AC383:AH383" si="157">MAX(AC15:AC380)</f>
        <v>0.15087213615926587</v>
      </c>
      <c r="AD383" s="170">
        <f t="shared" si="157"/>
        <v>6.3424135095924332E-3</v>
      </c>
      <c r="AE383" s="313">
        <f t="shared" si="157"/>
        <v>0.7</v>
      </c>
      <c r="AF383" s="314">
        <f t="shared" si="157"/>
        <v>0.59928953401078777</v>
      </c>
      <c r="AG383" s="811">
        <f t="shared" si="157"/>
        <v>1</v>
      </c>
      <c r="AH383" s="233">
        <f t="shared" si="157"/>
        <v>7</v>
      </c>
      <c r="AI383" s="227">
        <f>MAX(AI15:AI380)</f>
        <v>1.5992895340107878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'2025'!An+1</f>
        <v>2026</v>
      </c>
      <c r="K1" s="1274"/>
      <c r="L1" s="113" t="str">
        <f>"Calcul pertes et enveloppes en "&amp;TEXT(An,0)</f>
        <v>Calcul pertes et enveloppes en 2026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635.73541333866069</v>
      </c>
      <c r="AK4" s="833">
        <f>AM12-AK12</f>
        <v>11.412654080871214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635.73541333866069</v>
      </c>
      <c r="AA5" s="237">
        <f>Wh_Pvg_s-Wh_Pvg</f>
        <v>11.412654080871214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10124.09385818509</v>
      </c>
      <c r="AK6" s="515">
        <f>SUMIF(AK15:AK380,"FAUX",Wh)</f>
        <v>10124.09385818509</v>
      </c>
      <c r="AL6" s="515">
        <f>SUMIF(AJ15:AJ380,"FAUX",Wh_s)</f>
        <v>9474.9188733138362</v>
      </c>
      <c r="AM6" s="515">
        <f>SUMIF(AK15:AK380,"FAUX",Wh_s)</f>
        <v>9474.9188733138362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10827.427245106319</v>
      </c>
      <c r="AK8" s="515">
        <f>SUMIF(AK15:AK380,"FAUX",Wh_sa)</f>
        <v>11769.009227900202</v>
      </c>
      <c r="AL8" s="515">
        <f>SUMIF(AJ15:AJ380,"FAUX",Wh_pvt_s)</f>
        <v>10133.236894819958</v>
      </c>
      <c r="AM8" s="515">
        <f>SUMIF(AK15:AK380,"FAUX",Wh_sa_s)</f>
        <v>11754.733002411564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10827.427245106319</v>
      </c>
      <c r="E9" s="184">
        <f>SUM(E$15:E$380)</f>
        <v>11769.009227900202</v>
      </c>
      <c r="F9" s="184">
        <f>SUM(F$15:F$380)</f>
        <v>11770.757362719432</v>
      </c>
      <c r="H9" s="1275">
        <f>+SUM(Wh)</f>
        <v>10124.09385818509</v>
      </c>
      <c r="I9" s="1276"/>
      <c r="J9" s="1277"/>
      <c r="K9" s="191"/>
      <c r="L9" s="232"/>
      <c r="M9" s="232"/>
      <c r="N9" s="232"/>
      <c r="O9" s="223">
        <f>Tnet_2026</f>
        <v>45777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9474.9188733138362</v>
      </c>
      <c r="Y9" s="1270"/>
      <c r="Z9" s="515">
        <f>SUM(Z$15:Z$380)</f>
        <v>10133.236894819958</v>
      </c>
      <c r="AA9" s="515">
        <f>SUM(AA$15:AA$380)</f>
        <v>11754.733002411564</v>
      </c>
      <c r="AB9" s="515">
        <f>F9</f>
        <v>11770.757362719432</v>
      </c>
      <c r="AC9" s="325">
        <f>IF(An_Tnet,Tnet,'2025'!Tnet_s)</f>
        <v>45777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1.7999999999999999E-2</v>
      </c>
      <c r="P10" s="420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IF(OR(Inflex,GainD),'2025'!Resal_s+('2025'!Salim-'2025'!Resal_s)*(1-EXP(('2025'!Tnet_s-Tnet)/('2025'!Tau_j))),IF(Acti_net,'2025'!Resal+('2025'!Salim-'2025'!Resal)*(1-EXP(('2025'!Tnet-Tnet)/'2025'!Tau_j)),'2025'!Resal_s))</f>
        <v>0.10728843539779206</v>
      </c>
      <c r="AD10" s="427"/>
      <c r="AE10" s="427"/>
      <c r="AF10" s="260"/>
      <c r="AG10" s="261"/>
      <c r="AH10" s="262"/>
      <c r="AI10" s="472"/>
      <c r="AJ10" s="515">
        <f>SUMIF(AJ15:AJ380,"FAUX",Wh_sa)</f>
        <v>11769.009227900202</v>
      </c>
      <c r="AK10" s="515">
        <f>SUMIF(AK15:AK380,"FAUX",Wh_hp)</f>
        <v>11770.757362719432</v>
      </c>
      <c r="AL10" s="515">
        <f>SUMIF(AJ15:AJ380,"FAUX",Wh_sa_s)</f>
        <v>11754.733002411564</v>
      </c>
      <c r="AM10" s="515">
        <f>SUMIF(AK15:AK380,"FAUX",Wh_hp)</f>
        <v>11770.757362719432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703.33338692122925</v>
      </c>
      <c r="E11" s="51">
        <f>(E$9-D$9)*Prod_an/D$9</f>
        <v>880.41823354571852</v>
      </c>
      <c r="F11" s="186">
        <f>(F$9-E$9)*Prod_an/E$9</f>
        <v>1.5038038159316161</v>
      </c>
      <c r="G11" s="185" t="s">
        <v>6</v>
      </c>
      <c r="K11" s="194"/>
      <c r="L11" s="211">
        <f>Tvie_2026</f>
        <v>43313</v>
      </c>
      <c r="M11" s="843"/>
      <c r="N11" s="843"/>
      <c r="O11" s="202">
        <f>IF(An_Tnet,Salim_2026,'2025'!Salim)</f>
        <v>0.18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-0.82070051908839614</v>
      </c>
      <c r="V11" s="427"/>
      <c r="W11" s="518"/>
      <c r="X11" s="525" t="s">
        <v>43</v>
      </c>
      <c r="Y11" s="50">
        <f>Z$9-Prod_an_s</f>
        <v>658.31802150612202</v>
      </c>
      <c r="Z11" s="51">
        <f>(AA$9-Z$9)*Prod_an_s/Z$9</f>
        <v>1516.1536468843792</v>
      </c>
      <c r="AA11" s="186">
        <f>(AB$9-AA$9)*Prod_an_s/AA$9</f>
        <v>12.916457896802829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0</v>
      </c>
      <c r="AK11" s="833">
        <f>IF($AK7=0,0,($AK9-$AK7)*$AK5/$AK7)</f>
        <v>0</v>
      </c>
      <c r="AL11" s="832">
        <f>IF($AL7=0,0,($AL9-$AL7)*$AL5/$AL7)</f>
        <v>0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Pspv_2026</f>
        <v>0</v>
      </c>
      <c r="M12" s="212"/>
      <c r="N12" s="212"/>
      <c r="O12" s="205">
        <f>IF(An_Tnet,Tau_2026*365,'2025'!Tau_j)</f>
        <v>912.5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-1.2207005190883962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'2025'!Df_s</f>
        <v>0.7</v>
      </c>
      <c r="AF12" s="203"/>
      <c r="AG12" s="203"/>
      <c r="AH12" s="203"/>
      <c r="AI12" s="297">
        <f>'2025'!Hdf_s</f>
        <v>1.5992895340107878</v>
      </c>
      <c r="AJ12" s="832">
        <f>IF($AJ8=0,0,($AJ10-$AJ8)*$AJ6/$AJ8)</f>
        <v>880.41823354571852</v>
      </c>
      <c r="AK12" s="833">
        <f>IF($AK8=0,0,($AK10-$AK8)*$AK6/$AK8)</f>
        <v>1.5038038159316161</v>
      </c>
      <c r="AL12" s="832">
        <f>IF($AL8=0,0,($AL10-$AL8)*$AL6/$AL8)</f>
        <v>1516.1536468843792</v>
      </c>
      <c r="AM12" s="833">
        <f>IF($AM8=0,0,($AM10-$AM8)*$AM6/$AM8)</f>
        <v>12.916457896802829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880.41823354571852</v>
      </c>
      <c r="AK13" s="73">
        <f>+AK11+AK12</f>
        <v>1.5038038159316161</v>
      </c>
      <c r="AL13" s="73">
        <f>+AL11+AL12</f>
        <v>1516.1536468843792</v>
      </c>
      <c r="AM13" s="73">
        <f>+AM11+AM12</f>
        <v>12.916457896802829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17.207095158395393</v>
      </c>
      <c r="C15" s="840"/>
      <c r="D15" s="393">
        <f t="shared" ref="D15:D78" si="0">Wh/(1-Ppv)</f>
        <v>18.327234926443985</v>
      </c>
      <c r="E15" s="400">
        <f t="shared" ref="E15:E79" si="1">Wh_pvt/(1-Psa)</f>
        <v>19.420901608912377</v>
      </c>
      <c r="F15" s="400">
        <f t="shared" ref="F15:F78" si="2">Wh_sa/(1-Pvg*MEDIAN((-Sdif+Wh/Env_an)/Csdif,0,1))</f>
        <v>19.423384016462514</v>
      </c>
      <c r="G15" s="123">
        <f>+Wh_hp/MaxiM</f>
        <v>0.97914567411304543</v>
      </c>
      <c r="H15" s="414" t="b">
        <f>Wh_hp&gt;='2025'!Maxi_hp</f>
        <v>1</v>
      </c>
      <c r="I15" s="396">
        <f>IF(H15,Wh_hp,'2025'!Maxi_hp)</f>
        <v>19.423384016462514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6.1118863404340695E-2</v>
      </c>
      <c r="M15" s="844"/>
      <c r="N15" s="844"/>
      <c r="O15" s="48">
        <f>IF(t&lt;Tnet,'2025'!Resal+('2025'!Salim-'2025'!Resal)*(1-EXP(('2025'!Tnet-t)/('2025'!Tau_j))),Resal+(Salim-Resal)*(1-EXP((Tnet-t)/(Tau_j))))*Salcycl</f>
        <v>5.6313898525004645E-2</v>
      </c>
      <c r="P15" s="302">
        <f>(INDEX(Models!$BJ15:$BT15,,T15)*(1-R15)+INDEX(Models!$BJ15:$BT15,,T15+1)*R15-ERP_i)*Q15*Ramure*Pc/MaxiM</f>
        <v>1.3172882894410686E-4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0.77930043731018728</v>
      </c>
      <c r="S15" s="809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-1.2206995626898127</v>
      </c>
      <c r="V15" s="382">
        <f t="shared" ref="V15:V78" si="9">MaxiM*(1-Ppv)*(1-Pvg)*(1-Psa)</f>
        <v>17.573511366821919</v>
      </c>
      <c r="W15" s="402">
        <f t="shared" ref="W15:W78" si="10">Wh*(A15&gt;Tmaj)</f>
        <v>17.207095158395393</v>
      </c>
      <c r="X15" s="156">
        <f t="shared" ref="X15:X78" si="11">t</f>
        <v>46023</v>
      </c>
      <c r="Y15" s="385">
        <f t="shared" ref="Y15:Y78" si="12">Wh_pvt_s*(1-Ppv)</f>
        <v>15.922955800825918</v>
      </c>
      <c r="Z15" s="385">
        <f>Wh_sa_s*(1-Psa_s)</f>
        <v>16.959501240553024</v>
      </c>
      <c r="AA15" s="386">
        <f t="shared" ref="AA15:AA78" si="13">Wh_hp*(1-Pvg_s*MEDIAN((-Sdif+Wh/Env_an)/Csdif,0,1))</f>
        <v>19.37214498379598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0.1245418999940914</v>
      </c>
      <c r="AD15" s="231">
        <f>(INDEX(Models!$BJ15:$BT15,,AH15)*(1-AF15)+INDEX(Models!$BJ15:$BT15,,AH15+1)*AF15-ERP_i)*AE15*Ramure*Pc/MaxiM</f>
        <v>2.718996632530119E-3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0.59929049040937121</v>
      </c>
      <c r="AG15" s="809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1.5992904904093712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13.625354427694436</v>
      </c>
      <c r="C16" s="840"/>
      <c r="D16" s="393">
        <f t="shared" si="0"/>
        <v>14.512669374083425</v>
      </c>
      <c r="E16" s="385">
        <f t="shared" si="1"/>
        <v>15.380877235188127</v>
      </c>
      <c r="F16" s="385">
        <f t="shared" si="2"/>
        <v>15.382258479755938</v>
      </c>
      <c r="G16" s="110">
        <f t="shared" ref="G16:G79" si="21">+Wh_hp/MaxiM</f>
        <v>0.77171012775291925</v>
      </c>
      <c r="H16" s="414" t="b">
        <f>Wh_hp&gt;='2025'!Maxi_hp</f>
        <v>0</v>
      </c>
      <c r="I16" s="390">
        <f>IF(H16,Wh_hp,'2025'!Maxi_hp)</f>
        <v>17.983399088358674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6.1140712540006303E-2</v>
      </c>
      <c r="M16" s="844"/>
      <c r="N16" s="844"/>
      <c r="O16" s="48">
        <f>IF(t&lt;Tnet,'2025'!Resal+('2025'!Salim-'2025'!Resal)*(1-EXP(('2025'!Tnet-t)/('2025'!Tau_j))),Resal+(Salim-Resal)*(1-EXP((Tnet-t)/(Tau_j))))*Salcycl</f>
        <v>5.6447226502688061E-2</v>
      </c>
      <c r="P16" s="169">
        <f>(INDEX(Models!$BJ16:$BT16,,T16)*(1-R16)+INDEX(Models!$BJ16:$BT16,,T16+1)*R16-ERP_i)*Q16*Ramure*Pc/MaxiM</f>
        <v>1.3324239941718612E-4</v>
      </c>
      <c r="Q16" s="305">
        <f t="shared" si="4"/>
        <v>0.7</v>
      </c>
      <c r="R16" s="177">
        <f t="shared" si="5"/>
        <v>0.77932380900138276</v>
      </c>
      <c r="S16" s="810">
        <f t="shared" si="6"/>
        <v>-2</v>
      </c>
      <c r="T16" s="176">
        <f t="shared" si="7"/>
        <v>4</v>
      </c>
      <c r="U16" s="251">
        <f t="shared" si="8"/>
        <v>-1.2206761909986172</v>
      </c>
      <c r="V16" s="383">
        <f t="shared" si="9"/>
        <v>17.655285182359261</v>
      </c>
      <c r="W16" s="402">
        <f t="shared" si="10"/>
        <v>13.625354427694436</v>
      </c>
      <c r="X16" s="157">
        <f t="shared" si="11"/>
        <v>46024</v>
      </c>
      <c r="Y16" s="385">
        <f t="shared" si="12"/>
        <v>12.619234876125729</v>
      </c>
      <c r="Z16" s="385">
        <f t="shared" ref="Z16:Z78" si="22">Wh_sa_s*(1-Psa_s)</f>
        <v>13.441028964272194</v>
      </c>
      <c r="AA16" s="386">
        <f t="shared" si="13"/>
        <v>15.354117864988218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0.12459777354441286</v>
      </c>
      <c r="AD16" s="231">
        <f>(INDEX(Models!$BJ16:$BT16,,AH16)*(1-AF16)+INDEX(Models!$BJ16:$BT16,,AH16+1)*AF16-ERP_i)*AE16*Ramure*Pc/MaxiM</f>
        <v>2.714597487005773E-3</v>
      </c>
      <c r="AE16" s="305">
        <f t="shared" si="15"/>
        <v>0.7</v>
      </c>
      <c r="AF16" s="177">
        <f t="shared" ref="AF16:AF78" si="23">(Hp_vg_s-AG16)/(INDEX(Echel_vg,AH16+1)-AG16)</f>
        <v>0.5993138621005667</v>
      </c>
      <c r="AG16" s="810">
        <f t="shared" ref="AG16:AG79" si="24">INDEX(Echel_vg,AH16)</f>
        <v>1</v>
      </c>
      <c r="AH16" s="176">
        <f t="shared" si="16"/>
        <v>7</v>
      </c>
      <c r="AI16" s="225">
        <f t="shared" si="17"/>
        <v>1.5993138621005667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13.466926505969324</v>
      </c>
      <c r="C17" s="840"/>
      <c r="D17" s="393">
        <f t="shared" si="0"/>
        <v>14.344258067415904</v>
      </c>
      <c r="E17" s="385">
        <f t="shared" si="1"/>
        <v>15.204538817310407</v>
      </c>
      <c r="F17" s="385">
        <f t="shared" si="2"/>
        <v>15.205884070831434</v>
      </c>
      <c r="G17" s="110">
        <f t="shared" si="21"/>
        <v>0.75890682054927905</v>
      </c>
      <c r="H17" s="414" t="b">
        <f>Wh_hp&gt;='2025'!Maxi_hp</f>
        <v>0</v>
      </c>
      <c r="I17" s="390">
        <f>IF(H17,Wh_hp,'2025'!Maxi_hp)</f>
        <v>19.915594108485788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6.1162561167210638E-2</v>
      </c>
      <c r="M17" s="844"/>
      <c r="N17" s="844"/>
      <c r="O17" s="48">
        <f>IF(t&lt;Tnet,'2025'!Resal+('2025'!Salim-'2025'!Resal)*(1-EXP(('2025'!Tnet-t)/('2025'!Tau_j))),Resal+(Salim-Resal)*(1-EXP((Tnet-t)/(Tau_j))))*Salcycl</f>
        <v>5.6580522449985203E-2</v>
      </c>
      <c r="P17" s="169">
        <f>(INDEX(Models!$BJ17:$BT17,,T17)*(1-R17)+INDEX(Models!$BJ17:$BT17,,T17+1)*R17-ERP_i)*Q17*Ramure*Pc/MaxiM</f>
        <v>1.3493748547472169E-4</v>
      </c>
      <c r="Q17" s="305">
        <f t="shared" si="4"/>
        <v>0.7</v>
      </c>
      <c r="R17" s="177">
        <f t="shared" si="5"/>
        <v>0.77934815827777437</v>
      </c>
      <c r="S17" s="810">
        <f t="shared" si="6"/>
        <v>-2</v>
      </c>
      <c r="T17" s="176">
        <f t="shared" si="7"/>
        <v>4</v>
      </c>
      <c r="U17" s="251">
        <f t="shared" si="8"/>
        <v>-1.2206518417222256</v>
      </c>
      <c r="V17" s="383">
        <f t="shared" si="9"/>
        <v>17.744340019059923</v>
      </c>
      <c r="W17" s="402">
        <f t="shared" si="10"/>
        <v>13.466926505969324</v>
      </c>
      <c r="X17" s="157">
        <f t="shared" si="11"/>
        <v>46025</v>
      </c>
      <c r="Y17" s="385">
        <f t="shared" si="12"/>
        <v>12.474098669326146</v>
      </c>
      <c r="Z17" s="385">
        <f t="shared" si="22"/>
        <v>13.286750350342421</v>
      </c>
      <c r="AA17" s="386">
        <f t="shared" si="13"/>
        <v>15.178852893949987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0.12465385604743054</v>
      </c>
      <c r="AD17" s="231">
        <f>(INDEX(Models!$BJ17:$BT17,,AH17)*(1-AF17)+INDEX(Models!$BJ17:$BT17,,AH17+1)*AF17-ERP_i)*AE17*Ramure*Pc/MaxiM</f>
        <v>2.7113989897006559E-3</v>
      </c>
      <c r="AE17" s="305">
        <f t="shared" si="15"/>
        <v>0.7</v>
      </c>
      <c r="AF17" s="177">
        <f>(Hp_vg_s-AG17)/(INDEX(Echel_vg,AH17+1)-AG17)</f>
        <v>0.59933821137695831</v>
      </c>
      <c r="AG17" s="810">
        <f>INDEX(Echel_vg,AH17)</f>
        <v>1</v>
      </c>
      <c r="AH17" s="176">
        <f t="shared" si="16"/>
        <v>7</v>
      </c>
      <c r="AI17" s="225">
        <f t="shared" si="17"/>
        <v>1.5993382113769583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13.94822060184233</v>
      </c>
      <c r="C18" s="840"/>
      <c r="D18" s="393">
        <f t="shared" si="0"/>
        <v>14.857252840500591</v>
      </c>
      <c r="E18" s="385">
        <f t="shared" si="1"/>
        <v>15.750524532164203</v>
      </c>
      <c r="F18" s="385">
        <f t="shared" si="2"/>
        <v>15.752007753072187</v>
      </c>
      <c r="G18" s="110">
        <f t="shared" si="21"/>
        <v>0.78176568567302629</v>
      </c>
      <c r="H18" s="414" t="b">
        <f>Wh_hp&gt;='2025'!Maxi_hp</f>
        <v>0</v>
      </c>
      <c r="I18" s="390">
        <f>IF(H18,Wh_hp,'2025'!Maxi_hp)</f>
        <v>20.019430838359703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6.1184409285965469E-2</v>
      </c>
      <c r="M18" s="844"/>
      <c r="N18" s="844"/>
      <c r="O18" s="48">
        <f>IF(t&lt;Tnet,'2025'!Resal+('2025'!Salim-'2025'!Resal)*(1-EXP(('2025'!Tnet-t)/('2025'!Tau_j))),Resal+(Salim-Resal)*(1-EXP((Tnet-t)/(Tau_j))))*Salcycl</f>
        <v>5.6713774188247405E-2</v>
      </c>
      <c r="P18" s="169">
        <f>(INDEX(Models!$BJ18:$BT18,,T18)*(1-R18)+INDEX(Models!$BJ18:$BT18,,T18+1)*R18-ERP_i)*Q18*Ramure*Pc/MaxiM</f>
        <v>1.3680502266310123E-4</v>
      </c>
      <c r="Q18" s="305">
        <f t="shared" si="4"/>
        <v>0.7</v>
      </c>
      <c r="R18" s="177">
        <f t="shared" si="5"/>
        <v>0.7793735259028105</v>
      </c>
      <c r="S18" s="810">
        <f t="shared" si="6"/>
        <v>-2</v>
      </c>
      <c r="T18" s="176">
        <f t="shared" si="7"/>
        <v>4</v>
      </c>
      <c r="U18" s="251">
        <f t="shared" si="8"/>
        <v>-1.2206264740971895</v>
      </c>
      <c r="V18" s="383">
        <f t="shared" si="9"/>
        <v>17.84118437244781</v>
      </c>
      <c r="W18" s="402">
        <f t="shared" si="10"/>
        <v>13.94822060184233</v>
      </c>
      <c r="X18" s="157">
        <f t="shared" si="11"/>
        <v>46026</v>
      </c>
      <c r="Y18" s="385">
        <f t="shared" si="12"/>
        <v>12.919850955238321</v>
      </c>
      <c r="Z18" s="385">
        <f>Wh_sa_s*(1-Psa_s)</f>
        <v>13.761862375348789</v>
      </c>
      <c r="AA18" s="386">
        <f t="shared" si="13"/>
        <v>15.722633919434974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0.12471011880919314</v>
      </c>
      <c r="AD18" s="231">
        <f>(INDEX(Models!$BJ18:$BT18,,AH18)*(1-AF18)+INDEX(Models!$BJ18:$BT18,,AH18+1)*AF18-ERP_i)*AE18*Ramure*Pc/MaxiM</f>
        <v>2.7092983619722228E-3</v>
      </c>
      <c r="AE18" s="305">
        <f t="shared" si="15"/>
        <v>0.7</v>
      </c>
      <c r="AF18" s="177">
        <f t="shared" si="23"/>
        <v>0.59936357900199444</v>
      </c>
      <c r="AG18" s="810">
        <f t="shared" si="24"/>
        <v>1</v>
      </c>
      <c r="AH18" s="176">
        <f t="shared" si="16"/>
        <v>7</v>
      </c>
      <c r="AI18" s="225">
        <f t="shared" si="17"/>
        <v>1.5993635790019944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11.936823458311526</v>
      </c>
      <c r="C19" s="840"/>
      <c r="D19" s="393">
        <f t="shared" si="0"/>
        <v>12.715064992708152</v>
      </c>
      <c r="E19" s="385">
        <f t="shared" si="1"/>
        <v>13.481444265616018</v>
      </c>
      <c r="F19" s="385">
        <f t="shared" si="2"/>
        <v>13.482420670799129</v>
      </c>
      <c r="G19" s="110">
        <f t="shared" si="21"/>
        <v>0.66509604068036232</v>
      </c>
      <c r="H19" s="414" t="b">
        <f>Wh_hp&gt;='2025'!Maxi_hp</f>
        <v>0</v>
      </c>
      <c r="I19" s="390">
        <f>IF(H19,Wh_hp,'2025'!Maxi_hp)</f>
        <v>19.724952113879578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6.1206256896282674E-2</v>
      </c>
      <c r="M19" s="844"/>
      <c r="N19" s="844"/>
      <c r="O19" s="48">
        <f>IF(t&lt;Tnet,'2025'!Resal+('2025'!Salim-'2025'!Resal)*(1-EXP(('2025'!Tnet-t)/('2025'!Tau_j))),Resal+(Salim-Resal)*(1-EXP((Tnet-t)/(Tau_j))))*Salcycl</f>
        <v>5.6846971126268055E-2</v>
      </c>
      <c r="P19" s="169">
        <f>(INDEX(Models!$BJ19:$BT19,,T19)*(1-R19)+INDEX(Models!$BJ19:$BT19,,T19+1)*R19-ERP_i)*Q19*Ramure*Pc/MaxiM</f>
        <v>1.3883551343918106E-4</v>
      </c>
      <c r="Q19" s="305">
        <f t="shared" si="4"/>
        <v>0.7</v>
      </c>
      <c r="R19" s="177">
        <f t="shared" si="5"/>
        <v>0.77939995432885989</v>
      </c>
      <c r="S19" s="810">
        <f t="shared" si="6"/>
        <v>-2</v>
      </c>
      <c r="T19" s="176">
        <f t="shared" si="7"/>
        <v>4</v>
      </c>
      <c r="U19" s="251">
        <f t="shared" si="8"/>
        <v>-1.2206000456711401</v>
      </c>
      <c r="V19" s="383">
        <f t="shared" si="9"/>
        <v>17.946326376794946</v>
      </c>
      <c r="W19" s="402">
        <f t="shared" si="10"/>
        <v>11.936823458311526</v>
      </c>
      <c r="X19" s="157">
        <f t="shared" si="11"/>
        <v>46027</v>
      </c>
      <c r="Y19" s="385">
        <f t="shared" si="12"/>
        <v>11.062366039004282</v>
      </c>
      <c r="Z19" s="385">
        <f t="shared" si="22"/>
        <v>11.783595832702646</v>
      </c>
      <c r="AA19" s="386">
        <f t="shared" si="13"/>
        <v>13.463374435227008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0.1247665368445231</v>
      </c>
      <c r="AD19" s="231">
        <f>(INDEX(Models!$BJ19:$BT19,,AH19)*(1-AF19)+INDEX(Models!$BJ19:$BT19,,AH19+1)*AF19-ERP_i)*AE19*Ramure*Pc/MaxiM</f>
        <v>2.7081932178139329E-3</v>
      </c>
      <c r="AE19" s="305">
        <f t="shared" si="15"/>
        <v>0.7</v>
      </c>
      <c r="AF19" s="177">
        <f t="shared" si="23"/>
        <v>0.59939000742804383</v>
      </c>
      <c r="AG19" s="810">
        <f t="shared" si="24"/>
        <v>1</v>
      </c>
      <c r="AH19" s="176">
        <f t="shared" si="16"/>
        <v>7</v>
      </c>
      <c r="AI19" s="225">
        <f t="shared" si="17"/>
        <v>1.5993900074280438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15.334476140966938</v>
      </c>
      <c r="C20" s="840"/>
      <c r="D20" s="393">
        <f t="shared" si="0"/>
        <v>16.334613558709595</v>
      </c>
      <c r="E20" s="385">
        <f t="shared" si="1"/>
        <v>17.321600140037091</v>
      </c>
      <c r="F20" s="385">
        <f t="shared" si="2"/>
        <v>17.323516359140989</v>
      </c>
      <c r="G20" s="110">
        <f t="shared" si="21"/>
        <v>0.84904636564648972</v>
      </c>
      <c r="H20" s="414" t="b">
        <f>Wh_hp&gt;='2025'!Maxi_hp</f>
        <v>0</v>
      </c>
      <c r="I20" s="390">
        <f>IF(H20,Wh_hp,'2025'!Maxi_hp)</f>
        <v>19.527156693189088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6.1228103998174133E-2</v>
      </c>
      <c r="M20" s="844"/>
      <c r="N20" s="844"/>
      <c r="O20" s="48">
        <f>IF(t&lt;Tnet,'2025'!Resal+('2025'!Salim-'2025'!Resal)*(1-EXP(('2025'!Tnet-t)/('2025'!Tau_j))),Resal+(Salim-Resal)*(1-EXP((Tnet-t)/(Tau_j))))*Salcycl</f>
        <v>5.6980104225254492E-2</v>
      </c>
      <c r="P20" s="169">
        <f>(INDEX(Models!$BJ20:$BT20,,T20)*(1-R20)+INDEX(Models!$BJ20:$BT20,,T20+1)*R20-ERP_i)*Q20*Ramure*Pc/MaxiM</f>
        <v>1.4101902626695577E-4</v>
      </c>
      <c r="Q20" s="305">
        <f t="shared" si="4"/>
        <v>0.7</v>
      </c>
      <c r="R20" s="177">
        <f t="shared" si="5"/>
        <v>0.77942748776626036</v>
      </c>
      <c r="S20" s="810">
        <f t="shared" si="6"/>
        <v>-2</v>
      </c>
      <c r="T20" s="176">
        <f t="shared" si="7"/>
        <v>4</v>
      </c>
      <c r="U20" s="251">
        <f t="shared" si="8"/>
        <v>-1.2205725122337396</v>
      </c>
      <c r="V20" s="383">
        <f t="shared" si="9"/>
        <v>18.060273809340302</v>
      </c>
      <c r="W20" s="402">
        <f t="shared" si="10"/>
        <v>15.334476140966938</v>
      </c>
      <c r="X20" s="157">
        <f t="shared" si="11"/>
        <v>46028</v>
      </c>
      <c r="Y20" s="385">
        <f t="shared" si="12"/>
        <v>14.202621433661637</v>
      </c>
      <c r="Z20" s="385">
        <f t="shared" si="22"/>
        <v>15.128937598313033</v>
      </c>
      <c r="AA20" s="386">
        <f t="shared" si="13"/>
        <v>17.286719295359241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0.12482308876418684</v>
      </c>
      <c r="AD20" s="231">
        <f>(INDEX(Models!$BJ20:$BT20,,AH20)*(1-AF20)+INDEX(Models!$BJ20:$BT20,,AH20+1)*AF20-ERP_i)*AE20*Ramure*Pc/MaxiM</f>
        <v>2.707981615166753E-3</v>
      </c>
      <c r="AE20" s="305">
        <f t="shared" si="15"/>
        <v>0.7</v>
      </c>
      <c r="AF20" s="177">
        <f t="shared" si="23"/>
        <v>0.5994175408654443</v>
      </c>
      <c r="AG20" s="810">
        <f t="shared" si="24"/>
        <v>1</v>
      </c>
      <c r="AH20" s="176">
        <f t="shared" si="16"/>
        <v>7</v>
      </c>
      <c r="AI20" s="225">
        <f t="shared" si="17"/>
        <v>1.5994175408654443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9.5243830671820557</v>
      </c>
      <c r="C21" s="840"/>
      <c r="D21" s="393">
        <f t="shared" si="0"/>
        <v>10.145813652084325</v>
      </c>
      <c r="E21" s="385">
        <f t="shared" si="1"/>
        <v>10.760372597959472</v>
      </c>
      <c r="F21" s="385">
        <f t="shared" si="2"/>
        <v>10.760865744726472</v>
      </c>
      <c r="G21" s="110">
        <f t="shared" si="21"/>
        <v>0.52374055474949044</v>
      </c>
      <c r="H21" s="414" t="b">
        <f>Wh_hp&gt;='2025'!Maxi_hp</f>
        <v>0</v>
      </c>
      <c r="I21" s="390">
        <f>IF(H21,Wh_hp,'2025'!Maxi_hp)</f>
        <v>12.454416389518343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6.1249950591651614E-2</v>
      </c>
      <c r="M21" s="844"/>
      <c r="N21" s="844"/>
      <c r="O21" s="48">
        <f>IF(t&lt;Tnet,'2025'!Resal+('2025'!Salim-'2025'!Resal)*(1-EXP(('2025'!Tnet-t)/('2025'!Tau_j))),Resal+(Salim-Resal)*(1-EXP((Tnet-t)/(Tau_j))))*Salcycl</f>
        <v>5.7113165950376972E-2</v>
      </c>
      <c r="P21" s="169">
        <f>(INDEX(Models!$BJ21:$BT21,,T21)*(1-R21)+INDEX(Models!$BJ21:$BT21,,T21+1)*R21-ERP_i)*Q21*Ramure*Pc/MaxiM</f>
        <v>1.433452037592771E-4</v>
      </c>
      <c r="Q21" s="305">
        <f t="shared" si="4"/>
        <v>0.7</v>
      </c>
      <c r="R21" s="177">
        <f t="shared" si="5"/>
        <v>0.77945617225511099</v>
      </c>
      <c r="S21" s="810">
        <f t="shared" si="6"/>
        <v>-2</v>
      </c>
      <c r="T21" s="176">
        <f t="shared" si="7"/>
        <v>4</v>
      </c>
      <c r="U21" s="251">
        <f t="shared" si="8"/>
        <v>-1.220543827744889</v>
      </c>
      <c r="V21" s="383">
        <f t="shared" si="9"/>
        <v>18.183534089754744</v>
      </c>
      <c r="W21" s="402">
        <f t="shared" si="10"/>
        <v>9.5243830671820557</v>
      </c>
      <c r="X21" s="157">
        <f t="shared" si="11"/>
        <v>46029</v>
      </c>
      <c r="Y21" s="385">
        <f t="shared" si="12"/>
        <v>8.832602436874005</v>
      </c>
      <c r="Z21" s="385">
        <f t="shared" si="22"/>
        <v>9.4088969075855644</v>
      </c>
      <c r="AA21" s="386">
        <f t="shared" si="13"/>
        <v>10.751547548938058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0.12487975663420743</v>
      </c>
      <c r="AD21" s="231">
        <f>(INDEX(Models!$BJ21:$BT21,,AH21)*(1-AF21)+INDEX(Models!$BJ21:$BT21,,AH21+1)*AF21-ERP_i)*AE21*Ramure*Pc/MaxiM</f>
        <v>2.7085621631213665E-3</v>
      </c>
      <c r="AE21" s="305">
        <f t="shared" si="15"/>
        <v>0.7</v>
      </c>
      <c r="AF21" s="177">
        <f t="shared" si="23"/>
        <v>0.59944622535429493</v>
      </c>
      <c r="AG21" s="810">
        <f t="shared" si="24"/>
        <v>1</v>
      </c>
      <c r="AH21" s="176">
        <f t="shared" si="16"/>
        <v>7</v>
      </c>
      <c r="AI21" s="225">
        <f t="shared" si="17"/>
        <v>1.5994462253542949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6.9245978701710147</v>
      </c>
      <c r="C22" s="840"/>
      <c r="D22" s="393">
        <f t="shared" si="0"/>
        <v>7.3765738002295507</v>
      </c>
      <c r="E22" s="385">
        <f t="shared" si="1"/>
        <v>7.8244960780282184</v>
      </c>
      <c r="F22" s="385">
        <f t="shared" si="2"/>
        <v>7.8246232836068268</v>
      </c>
      <c r="G22" s="110">
        <f t="shared" si="21"/>
        <v>0.37800112481192399</v>
      </c>
      <c r="H22" s="414" t="b">
        <f>Wh_hp&gt;='2025'!Maxi_hp</f>
        <v>0</v>
      </c>
      <c r="I22" s="390">
        <f>IF(H22,Wh_hp,'2025'!Maxi_hp)</f>
        <v>15.458337172992977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6.1271796676726886E-2</v>
      </c>
      <c r="M22" s="844"/>
      <c r="N22" s="844"/>
      <c r="O22" s="48">
        <f>IF(t&lt;Tnet,'2025'!Resal+('2025'!Salim-'2025'!Resal)*(1-EXP(('2025'!Tnet-t)/('2025'!Tau_j))),Resal+(Salim-Resal)*(1-EXP((Tnet-t)/(Tau_j))))*Salcycl</f>
        <v>5.7246150209783894E-2</v>
      </c>
      <c r="P22" s="169">
        <f>(INDEX(Models!$BJ22:$BT22,,T22)*(1-R22)+INDEX(Models!$BJ22:$BT22,,T22+1)*R22-ERP_i)*Q22*Ramure*Pc/MaxiM</f>
        <v>1.4580327972704346E-4</v>
      </c>
      <c r="Q22" s="305">
        <f t="shared" si="4"/>
        <v>0.7</v>
      </c>
      <c r="R22" s="177">
        <f t="shared" si="5"/>
        <v>0.77948605573990859</v>
      </c>
      <c r="S22" s="810">
        <f t="shared" si="6"/>
        <v>-2</v>
      </c>
      <c r="T22" s="176">
        <f t="shared" si="7"/>
        <v>4</v>
      </c>
      <c r="U22" s="251">
        <f t="shared" si="8"/>
        <v>-1.2205139442600914</v>
      </c>
      <c r="V22" s="383">
        <f t="shared" si="9"/>
        <v>18.316614279228439</v>
      </c>
      <c r="W22" s="402">
        <f t="shared" si="10"/>
        <v>6.9245978701710147</v>
      </c>
      <c r="X22" s="157">
        <f t="shared" si="11"/>
        <v>46030</v>
      </c>
      <c r="Y22" s="385">
        <f t="shared" si="12"/>
        <v>6.4255694147247135</v>
      </c>
      <c r="Z22" s="385">
        <f t="shared" si="22"/>
        <v>6.844973222256451</v>
      </c>
      <c r="AA22" s="386">
        <f t="shared" si="13"/>
        <v>7.8222590979351265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0.12493652580961595</v>
      </c>
      <c r="AD22" s="231">
        <f>(INDEX(Models!$BJ22:$BT22,,AH22)*(1-AF22)+INDEX(Models!$BJ22:$BT22,,AH22+1)*AF22-ERP_i)*AE22*Ramure*Pc/MaxiM</f>
        <v>2.7098341801299083E-3</v>
      </c>
      <c r="AE22" s="305">
        <f t="shared" si="15"/>
        <v>0.7</v>
      </c>
      <c r="AF22" s="177">
        <f t="shared" si="23"/>
        <v>0.59947610883909253</v>
      </c>
      <c r="AG22" s="810">
        <f t="shared" si="24"/>
        <v>1</v>
      </c>
      <c r="AH22" s="176">
        <f t="shared" si="16"/>
        <v>7</v>
      </c>
      <c r="AI22" s="225">
        <f t="shared" si="17"/>
        <v>1.5994761088390925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2.0849279203559701</v>
      </c>
      <c r="C23" s="840"/>
      <c r="D23" s="393">
        <f t="shared" si="0"/>
        <v>2.2210650893650539</v>
      </c>
      <c r="E23" s="385">
        <f t="shared" si="1"/>
        <v>2.3562653628080636</v>
      </c>
      <c r="F23" s="385">
        <f t="shared" si="2"/>
        <v>2.3562653628080636</v>
      </c>
      <c r="G23" s="110">
        <f t="shared" si="21"/>
        <v>0.11292892989515504</v>
      </c>
      <c r="H23" s="414" t="b">
        <f>Wh_hp&gt;='2025'!Maxi_hp</f>
        <v>0</v>
      </c>
      <c r="I23" s="390">
        <f>IF(H23,Wh_hp,'2025'!Maxi_hp)</f>
        <v>19.717901161584987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6.1293642253411829E-2</v>
      </c>
      <c r="M23" s="844"/>
      <c r="N23" s="844"/>
      <c r="O23" s="48">
        <f>IF(t&lt;Tnet,'2025'!Resal+('2025'!Salim-'2025'!Resal)*(1-EXP(('2025'!Tnet-t)/('2025'!Tau_j))),Resal+(Salim-Resal)*(1-EXP((Tnet-t)/(Tau_j))))*Salcycl</f>
        <v>5.737905228207639E-2</v>
      </c>
      <c r="P23" s="169">
        <f>(INDEX(Models!$BJ23:$BT23,,T23)*(1-R23)+INDEX(Models!$BJ23:$BT23,,T23+1)*R23-ERP_i)*Q23*Ramure*Pc/MaxiM</f>
        <v>1.4838579712063156E-4</v>
      </c>
      <c r="Q23" s="305">
        <f t="shared" si="4"/>
        <v>0.7</v>
      </c>
      <c r="R23" s="177">
        <f t="shared" si="5"/>
        <v>0.77951718814713677</v>
      </c>
      <c r="S23" s="810">
        <f t="shared" si="6"/>
        <v>-2</v>
      </c>
      <c r="T23" s="176">
        <f t="shared" si="7"/>
        <v>4</v>
      </c>
      <c r="U23" s="251">
        <f t="shared" si="8"/>
        <v>-1.2204828118528632</v>
      </c>
      <c r="V23" s="383">
        <f t="shared" si="9"/>
        <v>18.459561678304762</v>
      </c>
      <c r="W23" s="402">
        <f t="shared" si="10"/>
        <v>2.0849279203559701</v>
      </c>
      <c r="X23" s="157">
        <f t="shared" si="11"/>
        <v>46031</v>
      </c>
      <c r="Y23" s="385">
        <f t="shared" si="12"/>
        <v>1.9353757489240402</v>
      </c>
      <c r="Z23" s="385">
        <f t="shared" si="22"/>
        <v>2.0617477797529857</v>
      </c>
      <c r="AA23" s="386">
        <f t="shared" si="13"/>
        <v>2.3562653628080636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0.12499338474512409</v>
      </c>
      <c r="AD23" s="231">
        <f>(INDEX(Models!$BJ23:$BT23,,AH23)*(1-AF23)+INDEX(Models!$BJ23:$BT23,,AH23+1)*AF23-ERP_i)*AE23*Ramure*Pc/MaxiM</f>
        <v>2.7117653741689229E-3</v>
      </c>
      <c r="AE23" s="305">
        <f t="shared" si="15"/>
        <v>0.7</v>
      </c>
      <c r="AF23" s="177">
        <f t="shared" si="23"/>
        <v>0.59950724124632071</v>
      </c>
      <c r="AG23" s="810">
        <f t="shared" si="24"/>
        <v>1</v>
      </c>
      <c r="AH23" s="176">
        <f t="shared" si="16"/>
        <v>7</v>
      </c>
      <c r="AI23" s="225">
        <f t="shared" si="17"/>
        <v>1.5995072412463207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1.666231275347186</v>
      </c>
      <c r="C24" s="840"/>
      <c r="D24" s="393">
        <f t="shared" si="0"/>
        <v>1.775070593838868</v>
      </c>
      <c r="E24" s="385">
        <f t="shared" si="1"/>
        <v>1.8833877424570116</v>
      </c>
      <c r="F24" s="385">
        <f t="shared" si="2"/>
        <v>1.8833877424570116</v>
      </c>
      <c r="G24" s="110">
        <f t="shared" si="21"/>
        <v>8.9511983327048503E-2</v>
      </c>
      <c r="H24" s="414" t="b">
        <f>Wh_hp&gt;='2025'!Maxi_hp</f>
        <v>0</v>
      </c>
      <c r="I24" s="390">
        <f>IF(H24,Wh_hp,'2025'!Maxi_hp)</f>
        <v>10.382626561505731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6.1315487321718321E-2</v>
      </c>
      <c r="M24" s="844"/>
      <c r="N24" s="844"/>
      <c r="O24" s="48">
        <f>IF(t&lt;Tnet,'2025'!Resal+('2025'!Salim-'2025'!Resal)*(1-EXP(('2025'!Tnet-t)/('2025'!Tau_j))),Resal+(Salim-Resal)*(1-EXP((Tnet-t)/(Tau_j))))*Salcycl</f>
        <v>5.7511868733326352E-2</v>
      </c>
      <c r="P24" s="169">
        <f>(INDEX(Models!$BJ24:$BT24,,T24)*(1-R24)+INDEX(Models!$BJ24:$BT24,,T24+1)*R24-ERP_i)*Q24*Ramure*Pc/MaxiM</f>
        <v>1.5124033541516713E-4</v>
      </c>
      <c r="Q24" s="305">
        <f t="shared" si="4"/>
        <v>0.7</v>
      </c>
      <c r="R24" s="177">
        <f t="shared" si="5"/>
        <v>0.77954962146591233</v>
      </c>
      <c r="S24" s="810">
        <f t="shared" si="6"/>
        <v>-2</v>
      </c>
      <c r="T24" s="176">
        <f t="shared" si="7"/>
        <v>4</v>
      </c>
      <c r="U24" s="251">
        <f t="shared" si="8"/>
        <v>-1.2204503785340877</v>
      </c>
      <c r="V24" s="383">
        <f t="shared" si="9"/>
        <v>18.611801594019671</v>
      </c>
      <c r="W24" s="402">
        <f t="shared" si="10"/>
        <v>1.666231275347186</v>
      </c>
      <c r="X24" s="157">
        <f t="shared" si="11"/>
        <v>46032</v>
      </c>
      <c r="Y24" s="385">
        <f t="shared" si="12"/>
        <v>1.5468295725254029</v>
      </c>
      <c r="Z24" s="385">
        <f t="shared" si="22"/>
        <v>1.647869493565995</v>
      </c>
      <c r="AA24" s="386">
        <f t="shared" si="13"/>
        <v>1.8833877424570116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0.12505032478536074</v>
      </c>
      <c r="AD24" s="231">
        <f>(INDEX(Models!$BJ24:$BT24,,AH24)*(1-AF24)+INDEX(Models!$BJ24:$BT24,,AH24+1)*AF24-ERP_i)*AE24*Ramure*Pc/MaxiM</f>
        <v>2.7157863564609922E-3</v>
      </c>
      <c r="AE24" s="305">
        <f t="shared" si="15"/>
        <v>0.7</v>
      </c>
      <c r="AF24" s="177">
        <f t="shared" si="23"/>
        <v>0.59953967456509627</v>
      </c>
      <c r="AG24" s="810">
        <f t="shared" si="24"/>
        <v>1</v>
      </c>
      <c r="AH24" s="176">
        <f t="shared" si="16"/>
        <v>7</v>
      </c>
      <c r="AI24" s="225">
        <f t="shared" si="17"/>
        <v>1.5995396745650963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19.398307377139744</v>
      </c>
      <c r="C25" s="840"/>
      <c r="D25" s="393">
        <f t="shared" si="0"/>
        <v>20.665898448934694</v>
      </c>
      <c r="E25" s="385">
        <f t="shared" si="1"/>
        <v>21.930047188425398</v>
      </c>
      <c r="F25" s="385">
        <f t="shared" si="2"/>
        <v>21.933429825000893</v>
      </c>
      <c r="G25" s="110">
        <f t="shared" si="21"/>
        <v>1.0333135580192268</v>
      </c>
      <c r="H25" s="414" t="b">
        <f>Wh_hp&gt;='2025'!Maxi_hp</f>
        <v>1</v>
      </c>
      <c r="I25" s="390">
        <f>IF(H25,Wh_hp,'2025'!Maxi_hp)</f>
        <v>21.933429825000893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6.133733188165813E-2</v>
      </c>
      <c r="M25" s="844"/>
      <c r="N25" s="844"/>
      <c r="O25" s="48">
        <f>IF(t&lt;Tnet,'2025'!Resal+('2025'!Salim-'2025'!Resal)*(1-EXP(('2025'!Tnet-t)/('2025'!Tau_j))),Resal+(Salim-Resal)*(1-EXP((Tnet-t)/(Tau_j))))*Salcycl</f>
        <v>5.7644597324802607E-2</v>
      </c>
      <c r="P25" s="169">
        <f>(INDEX(Models!$BJ25:$BT25,,T25)*(1-R25)+INDEX(Models!$BJ25:$BT25,,T25+1)*R25-ERP_i)*Q25*Ramure*Pc/MaxiM</f>
        <v>1.5422287359901136E-4</v>
      </c>
      <c r="Q25" s="305">
        <f t="shared" si="4"/>
        <v>0.7</v>
      </c>
      <c r="R25" s="177">
        <f t="shared" si="5"/>
        <v>0.7795834098318053</v>
      </c>
      <c r="S25" s="810">
        <f t="shared" si="6"/>
        <v>-2</v>
      </c>
      <c r="T25" s="176">
        <f t="shared" si="7"/>
        <v>4</v>
      </c>
      <c r="U25" s="251">
        <f t="shared" si="8"/>
        <v>-1.2204165901681947</v>
      </c>
      <c r="V25" s="383">
        <f t="shared" si="9"/>
        <v>18.77291479105784</v>
      </c>
      <c r="W25" s="402">
        <f t="shared" si="10"/>
        <v>19.398307377139744</v>
      </c>
      <c r="X25" s="157">
        <f t="shared" si="11"/>
        <v>46033</v>
      </c>
      <c r="Y25" s="385">
        <f t="shared" si="12"/>
        <v>17.963367383354559</v>
      </c>
      <c r="Z25" s="385">
        <f t="shared" si="22"/>
        <v>19.13719165945335</v>
      </c>
      <c r="AA25" s="386">
        <f t="shared" si="13"/>
        <v>21.87375952849473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0.12510733993744791</v>
      </c>
      <c r="AD25" s="231">
        <f>(INDEX(Models!$BJ25:$BT25,,AH25)*(1-AF25)+INDEX(Models!$BJ25:$BT25,,AH25+1)*AF25-ERP_i)*AE25*Ramure*Pc/MaxiM</f>
        <v>2.7205182674233772E-3</v>
      </c>
      <c r="AE25" s="305">
        <f t="shared" si="15"/>
        <v>0.7</v>
      </c>
      <c r="AF25" s="177">
        <f t="shared" si="23"/>
        <v>0.59957346293098923</v>
      </c>
      <c r="AG25" s="810">
        <f t="shared" si="24"/>
        <v>1</v>
      </c>
      <c r="AH25" s="176">
        <f t="shared" si="16"/>
        <v>7</v>
      </c>
      <c r="AI25" s="225">
        <f t="shared" si="17"/>
        <v>1.5995734629309892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16.459622660966598</v>
      </c>
      <c r="C26" s="840"/>
      <c r="D26" s="393">
        <f t="shared" si="0"/>
        <v>17.535592144451602</v>
      </c>
      <c r="E26" s="385">
        <f t="shared" si="1"/>
        <v>18.610877205930638</v>
      </c>
      <c r="F26" s="385">
        <f t="shared" si="2"/>
        <v>18.613257275388261</v>
      </c>
      <c r="G26" s="110">
        <f t="shared" si="21"/>
        <v>0.8689009009141121</v>
      </c>
      <c r="H26" s="414" t="b">
        <f>Wh_hp&gt;='2025'!Maxi_hp</f>
        <v>0</v>
      </c>
      <c r="I26" s="390">
        <f>IF(H26,Wh_hp,'2025'!Maxi_hp)</f>
        <v>20.947040284507079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6.1359175933243137E-2</v>
      </c>
      <c r="M26" s="844"/>
      <c r="N26" s="844"/>
      <c r="O26" s="48">
        <f>IF(t&lt;Tnet,'2025'!Resal+('2025'!Salim-'2025'!Resal)*(1-EXP(('2025'!Tnet-t)/('2025'!Tau_j))),Resal+(Salim-Resal)*(1-EXP((Tnet-t)/(Tau_j))))*Salcycl</f>
        <v>5.7777236912636275E-2</v>
      </c>
      <c r="P26" s="169">
        <f>(INDEX(Models!$BJ26:$BT26,,T26)*(1-R26)+INDEX(Models!$BJ26:$BT26,,T26+1)*R26-ERP_i)*Q26*Ramure*Pc/MaxiM</f>
        <v>1.5732912452193505E-4</v>
      </c>
      <c r="Q26" s="305">
        <f t="shared" si="4"/>
        <v>0.7</v>
      </c>
      <c r="R26" s="177">
        <f t="shared" si="5"/>
        <v>0.77961860961394214</v>
      </c>
      <c r="S26" s="810">
        <f t="shared" si="6"/>
        <v>-2</v>
      </c>
      <c r="T26" s="176">
        <f t="shared" si="7"/>
        <v>4</v>
      </c>
      <c r="U26" s="251">
        <f t="shared" si="8"/>
        <v>-1.2203813903860579</v>
      </c>
      <c r="V26" s="383">
        <f t="shared" si="9"/>
        <v>18.942479733549657</v>
      </c>
      <c r="W26" s="402">
        <f t="shared" si="10"/>
        <v>16.459622660966598</v>
      </c>
      <c r="X26" s="157">
        <f t="shared" si="11"/>
        <v>46034</v>
      </c>
      <c r="Y26" s="385">
        <f t="shared" si="12"/>
        <v>15.250531630190377</v>
      </c>
      <c r="Z26" s="385">
        <f t="shared" si="22"/>
        <v>16.247462542824312</v>
      </c>
      <c r="AA26" s="386">
        <f t="shared" si="13"/>
        <v>18.57201860255201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0.12516442662879287</v>
      </c>
      <c r="AD26" s="231">
        <f>(INDEX(Models!$BJ26:$BT26,,AH26)*(1-AF26)+INDEX(Models!$BJ26:$BT26,,AH26+1)*AF26-ERP_i)*AE26*Ramure*Pc/MaxiM</f>
        <v>2.7259894760631458E-3</v>
      </c>
      <c r="AE26" s="305">
        <f t="shared" si="15"/>
        <v>0.7</v>
      </c>
      <c r="AF26" s="177">
        <f t="shared" si="23"/>
        <v>0.59960866271312607</v>
      </c>
      <c r="AG26" s="810">
        <f t="shared" si="24"/>
        <v>1</v>
      </c>
      <c r="AH26" s="176">
        <f t="shared" si="16"/>
        <v>7</v>
      </c>
      <c r="AI26" s="225">
        <f t="shared" si="17"/>
        <v>1.5996086627131261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5.387669476366522</v>
      </c>
      <c r="C27" s="840"/>
      <c r="D27" s="393">
        <f t="shared" si="0"/>
        <v>5.7399963011205557</v>
      </c>
      <c r="E27" s="385">
        <f t="shared" si="1"/>
        <v>6.0928308393290322</v>
      </c>
      <c r="F27" s="385">
        <f t="shared" si="2"/>
        <v>6.0928308393290322</v>
      </c>
      <c r="G27" s="110">
        <f t="shared" si="21"/>
        <v>0.28173552765008825</v>
      </c>
      <c r="H27" s="414" t="b">
        <f>Wh_hp&gt;='2025'!Maxi_hp</f>
        <v>0</v>
      </c>
      <c r="I27" s="390">
        <f>IF(H27,Wh_hp,'2025'!Maxi_hp)</f>
        <v>14.546314827403963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6.1381019476485221E-2</v>
      </c>
      <c r="M27" s="844"/>
      <c r="N27" s="844"/>
      <c r="O27" s="48">
        <f>IF(t&lt;Tnet,'2025'!Resal+('2025'!Salim-'2025'!Resal)*(1-EXP(('2025'!Tnet-t)/('2025'!Tau_j))),Resal+(Salim-Resal)*(1-EXP((Tnet-t)/(Tau_j))))*Salcycl</f>
        <v>5.7909787340712067E-2</v>
      </c>
      <c r="P27" s="169">
        <f>(INDEX(Models!$BJ27:$BT27,,T27)*(1-R27)+INDEX(Models!$BJ27:$BT27,,T27+1)*R27-ERP_i)*Q27*Ramure*Pc/MaxiM</f>
        <v>1.605548614219522E-4</v>
      </c>
      <c r="Q27" s="305">
        <f t="shared" si="4"/>
        <v>0.7</v>
      </c>
      <c r="R27" s="177">
        <f t="shared" si="5"/>
        <v>0.77965527950551738</v>
      </c>
      <c r="S27" s="810">
        <f t="shared" si="6"/>
        <v>-2</v>
      </c>
      <c r="T27" s="176">
        <f t="shared" si="7"/>
        <v>4</v>
      </c>
      <c r="U27" s="251">
        <f t="shared" si="8"/>
        <v>-1.2203447204944826</v>
      </c>
      <c r="V27" s="383">
        <f t="shared" si="9"/>
        <v>19.120075145548185</v>
      </c>
      <c r="W27" s="402">
        <f t="shared" si="10"/>
        <v>5.387669476366522</v>
      </c>
      <c r="X27" s="157">
        <f t="shared" si="11"/>
        <v>46035</v>
      </c>
      <c r="Y27" s="385">
        <f t="shared" si="12"/>
        <v>5.0027236352562925</v>
      </c>
      <c r="Z27" s="385">
        <f t="shared" si="22"/>
        <v>5.3298769139166815</v>
      </c>
      <c r="AA27" s="386">
        <f t="shared" si="13"/>
        <v>6.0928308393290322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0.12522158345304893</v>
      </c>
      <c r="AD27" s="231">
        <f>(INDEX(Models!$BJ27:$BT27,,AH27)*(1-AF27)+INDEX(Models!$BJ27:$BT27,,AH27+1)*AF27-ERP_i)*AE27*Ramure*Pc/MaxiM</f>
        <v>2.7322258379236727E-3</v>
      </c>
      <c r="AE27" s="305">
        <f t="shared" si="15"/>
        <v>0.7</v>
      </c>
      <c r="AF27" s="177">
        <f t="shared" si="23"/>
        <v>0.59964533260470132</v>
      </c>
      <c r="AG27" s="810">
        <f t="shared" si="24"/>
        <v>1</v>
      </c>
      <c r="AH27" s="176">
        <f t="shared" si="16"/>
        <v>7</v>
      </c>
      <c r="AI27" s="225">
        <f t="shared" si="17"/>
        <v>1.5996453326047013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19.824457422019151</v>
      </c>
      <c r="C28" s="840"/>
      <c r="D28" s="393">
        <f t="shared" si="0"/>
        <v>21.121370000193348</v>
      </c>
      <c r="E28" s="385">
        <f t="shared" si="1"/>
        <v>22.422842197675752</v>
      </c>
      <c r="F28" s="385">
        <f t="shared" si="2"/>
        <v>22.426517813211685</v>
      </c>
      <c r="G28" s="110">
        <f t="shared" si="21"/>
        <v>1.026893026787036</v>
      </c>
      <c r="H28" s="414" t="b">
        <f>Wh_hp&gt;='2025'!Maxi_hp</f>
        <v>1</v>
      </c>
      <c r="I28" s="390">
        <f>IF(H28,Wh_hp,'2025'!Maxi_hp)</f>
        <v>22.426517813211685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6.1402862511396039E-2</v>
      </c>
      <c r="M28" s="844"/>
      <c r="N28" s="844"/>
      <c r="O28" s="48">
        <f>IF(t&lt;Tnet,'2025'!Resal+('2025'!Salim-'2025'!Resal)*(1-EXP(('2025'!Tnet-t)/('2025'!Tau_j))),Resal+(Salim-Resal)*(1-EXP((Tnet-t)/(Tau_j))))*Salcycl</f>
        <v>5.8042249328111861E-2</v>
      </c>
      <c r="P28" s="169">
        <f>(INDEX(Models!$BJ28:$BT28,,T28)*(1-R28)+INDEX(Models!$BJ28:$BT28,,T28+1)*R28-ERP_i)*Q28*Ramure*Pc/MaxiM</f>
        <v>1.6389595418006144E-4</v>
      </c>
      <c r="Q28" s="305">
        <f t="shared" si="4"/>
        <v>0.7</v>
      </c>
      <c r="R28" s="177">
        <f t="shared" si="5"/>
        <v>0.77969348061782906</v>
      </c>
      <c r="S28" s="810">
        <f t="shared" si="6"/>
        <v>-2</v>
      </c>
      <c r="T28" s="176">
        <f t="shared" si="7"/>
        <v>4</v>
      </c>
      <c r="U28" s="251">
        <f t="shared" si="8"/>
        <v>-1.2203065193821709</v>
      </c>
      <c r="V28" s="383">
        <f t="shared" si="9"/>
        <v>19.305280009590021</v>
      </c>
      <c r="W28" s="402">
        <f t="shared" si="10"/>
        <v>19.824457422019151</v>
      </c>
      <c r="X28" s="157">
        <f t="shared" si="11"/>
        <v>46036</v>
      </c>
      <c r="Y28" s="385">
        <f t="shared" si="12"/>
        <v>18.361977207043438</v>
      </c>
      <c r="Z28" s="385">
        <f t="shared" si="22"/>
        <v>19.56321458232274</v>
      </c>
      <c r="AA28" s="386">
        <f t="shared" si="13"/>
        <v>22.365085956832981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0.12527881090723972</v>
      </c>
      <c r="AD28" s="231">
        <f>(INDEX(Models!$BJ28:$BT28,,AH28)*(1-AF28)+INDEX(Models!$BJ28:$BT28,,AH28+1)*AF28-ERP_i)*AE28*Ramure*Pc/MaxiM</f>
        <v>2.7392507784919709E-3</v>
      </c>
      <c r="AE28" s="305">
        <f t="shared" si="15"/>
        <v>0.7</v>
      </c>
      <c r="AF28" s="177">
        <f t="shared" si="23"/>
        <v>0.599683533717013</v>
      </c>
      <c r="AG28" s="810">
        <f t="shared" si="24"/>
        <v>1</v>
      </c>
      <c r="AH28" s="176">
        <f t="shared" si="16"/>
        <v>7</v>
      </c>
      <c r="AI28" s="225">
        <f t="shared" si="17"/>
        <v>1.599683533717013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19.777260863850792</v>
      </c>
      <c r="C29" s="840"/>
      <c r="D29" s="393">
        <f t="shared" si="0"/>
        <v>21.071576217709044</v>
      </c>
      <c r="E29" s="385">
        <f t="shared" si="1"/>
        <v>22.373124320654107</v>
      </c>
      <c r="F29" s="385">
        <f t="shared" si="2"/>
        <v>22.37686905391131</v>
      </c>
      <c r="G29" s="110">
        <f t="shared" si="21"/>
        <v>1.014339520461492</v>
      </c>
      <c r="H29" s="414" t="b">
        <f>Wh_hp&gt;='2025'!Maxi_hp</f>
        <v>1</v>
      </c>
      <c r="I29" s="390">
        <f>IF(H29,Wh_hp,'2025'!Maxi_hp)</f>
        <v>22.37686905391131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6.1424705037987581E-2</v>
      </c>
      <c r="M29" s="844"/>
      <c r="N29" s="844"/>
      <c r="O29" s="48">
        <f>IF(t&lt;Tnet,'2025'!Resal+('2025'!Salim-'2025'!Resal)*(1-EXP(('2025'!Tnet-t)/('2025'!Tau_j))),Resal+(Salim-Resal)*(1-EXP((Tnet-t)/(Tau_j))))*Salcycl</f>
        <v>5.8174624352465454E-2</v>
      </c>
      <c r="P29" s="169">
        <f>(INDEX(Models!$BJ29:$BT29,,T29)*(1-R29)+INDEX(Models!$BJ29:$BT29,,T29+1)*R29-ERP_i)*Q29*Ramure*Pc/MaxiM</f>
        <v>1.6734840107361729E-4</v>
      </c>
      <c r="Q29" s="305">
        <f t="shared" si="4"/>
        <v>0.7</v>
      </c>
      <c r="R29" s="177">
        <f t="shared" si="5"/>
        <v>0.77973327657796676</v>
      </c>
      <c r="S29" s="810">
        <f t="shared" si="6"/>
        <v>-2</v>
      </c>
      <c r="T29" s="176">
        <f t="shared" si="7"/>
        <v>4</v>
      </c>
      <c r="U29" s="251">
        <f t="shared" si="8"/>
        <v>-1.2202667234220332</v>
      </c>
      <c r="V29" s="383">
        <f t="shared" si="9"/>
        <v>19.497673574675243</v>
      </c>
      <c r="W29" s="402">
        <f t="shared" si="10"/>
        <v>19.777260863850792</v>
      </c>
      <c r="X29" s="157">
        <f t="shared" si="11"/>
        <v>46037</v>
      </c>
      <c r="Y29" s="385">
        <f t="shared" si="12"/>
        <v>18.31955626674587</v>
      </c>
      <c r="Z29" s="385">
        <f t="shared" si="22"/>
        <v>19.518472694817021</v>
      </c>
      <c r="AA29" s="386">
        <f t="shared" si="13"/>
        <v>22.315397883727055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0.12533611112305654</v>
      </c>
      <c r="AD29" s="231">
        <f>(INDEX(Models!$BJ29:$BT29,,AH29)*(1-AF29)+INDEX(Models!$BJ29:$BT29,,AH29+1)*AF29-ERP_i)*AE29*Ramure*Pc/MaxiM</f>
        <v>2.7470853959129246E-3</v>
      </c>
      <c r="AE29" s="305">
        <f t="shared" si="15"/>
        <v>0.7</v>
      </c>
      <c r="AF29" s="177">
        <f t="shared" si="23"/>
        <v>0.5997233296771507</v>
      </c>
      <c r="AG29" s="810">
        <f t="shared" si="24"/>
        <v>1</v>
      </c>
      <c r="AH29" s="176">
        <f t="shared" si="16"/>
        <v>7</v>
      </c>
      <c r="AI29" s="225">
        <f t="shared" si="17"/>
        <v>1.5997233296771507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19.50609047231762</v>
      </c>
      <c r="C30" s="840"/>
      <c r="D30" s="393">
        <f t="shared" si="0"/>
        <v>20.783142836604238</v>
      </c>
      <c r="E30" s="385">
        <f t="shared" si="1"/>
        <v>22.069974981545148</v>
      </c>
      <c r="F30" s="385">
        <f t="shared" si="2"/>
        <v>22.073711411263265</v>
      </c>
      <c r="G30" s="110">
        <f t="shared" si="21"/>
        <v>0.99031434098951276</v>
      </c>
      <c r="H30" s="414" t="b">
        <f>Wh_hp&gt;='2025'!Maxi_hp</f>
        <v>1</v>
      </c>
      <c r="I30" s="390">
        <f>IF(H30,Wh_hp,'2025'!Maxi_hp)</f>
        <v>22.073711411263265</v>
      </c>
      <c r="J30" s="85">
        <f>IF(H30,An,'2025'!An_max)</f>
        <v>2026</v>
      </c>
      <c r="K30" s="197">
        <f t="shared" si="3"/>
        <v>46038</v>
      </c>
      <c r="L30" s="147">
        <f>IF(t&lt;Tvie,1-EXP((T0-t)*PertePVj)+'2025'!Pspv,1-EXP((T0-t)*PertePVj)+Pspv)</f>
        <v>6.1446547056271617E-2</v>
      </c>
      <c r="M30" s="844"/>
      <c r="N30" s="844"/>
      <c r="O30" s="48">
        <f>IF(t&lt;Tnet,'2025'!Resal+('2025'!Salim-'2025'!Resal)*(1-EXP(('2025'!Tnet-t)/('2025'!Tau_j))),Resal+(Salim-Resal)*(1-EXP((Tnet-t)/(Tau_j))))*Salcycl</f>
        <v>5.8306914530576237E-2</v>
      </c>
      <c r="P30" s="169">
        <f>(INDEX(Models!$BJ30:$BT30,,T30)*(1-R30)+INDEX(Models!$BJ30:$BT30,,T30+1)*R30-ERP_i)*Q30*Ramure*Pc/MaxiM</f>
        <v>1.7164498614752503E-4</v>
      </c>
      <c r="Q30" s="305">
        <f t="shared" si="4"/>
        <v>0.7</v>
      </c>
      <c r="R30" s="177">
        <f t="shared" si="5"/>
        <v>0.77977473363028138</v>
      </c>
      <c r="S30" s="810">
        <f t="shared" si="6"/>
        <v>-2</v>
      </c>
      <c r="T30" s="176">
        <f t="shared" si="7"/>
        <v>4</v>
      </c>
      <c r="U30" s="251">
        <f t="shared" si="8"/>
        <v>-1.2202252663697186</v>
      </c>
      <c r="V30" s="383">
        <f t="shared" si="9"/>
        <v>19.696820839143719</v>
      </c>
      <c r="W30" s="402">
        <f t="shared" si="10"/>
        <v>19.50609047231762</v>
      </c>
      <c r="X30" s="157">
        <f t="shared" si="11"/>
        <v>46038</v>
      </c>
      <c r="Y30" s="385">
        <f t="shared" si="12"/>
        <v>18.070231709379428</v>
      </c>
      <c r="Z30" s="385">
        <f t="shared" si="22"/>
        <v>19.25327923806897</v>
      </c>
      <c r="AA30" s="386">
        <f t="shared" si="13"/>
        <v>22.013647240212375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0.12539348759532379</v>
      </c>
      <c r="AD30" s="231">
        <f>(INDEX(Models!$BJ30:$BT30,,AH30)*(1-AF30)+INDEX(Models!$BJ30:$BT30,,AH30+1)*AF30-ERP_i)*AE30*Ramure*Pc/MaxiM</f>
        <v>2.7592419999227904E-3</v>
      </c>
      <c r="AE30" s="305">
        <f t="shared" si="15"/>
        <v>0.7</v>
      </c>
      <c r="AF30" s="177">
        <f t="shared" si="23"/>
        <v>0.59976478672946532</v>
      </c>
      <c r="AG30" s="810">
        <f t="shared" si="24"/>
        <v>1</v>
      </c>
      <c r="AH30" s="176">
        <f t="shared" si="16"/>
        <v>7</v>
      </c>
      <c r="AI30" s="225">
        <f t="shared" si="17"/>
        <v>1.5997647867294653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11.49830273131861</v>
      </c>
      <c r="C31" s="840"/>
      <c r="D31" s="393">
        <f t="shared" si="0"/>
        <v>12.25137501096348</v>
      </c>
      <c r="E31" s="385">
        <f t="shared" si="1"/>
        <v>13.011771520778183</v>
      </c>
      <c r="F31" s="385">
        <f t="shared" si="2"/>
        <v>13.012683657276835</v>
      </c>
      <c r="G31" s="110">
        <f t="shared" si="21"/>
        <v>0.57767571013187191</v>
      </c>
      <c r="H31" s="414" t="b">
        <f>Wh_hp&gt;='2025'!Maxi_hp</f>
        <v>1</v>
      </c>
      <c r="I31" s="390">
        <f>IF(H31,Wh_hp,'2025'!Maxi_hp)</f>
        <v>13.012683657276835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6.1468388566259913E-2</v>
      </c>
      <c r="M31" s="844"/>
      <c r="N31" s="844"/>
      <c r="O31" s="48">
        <f>IF(t&lt;Tnet,'2025'!Resal+('2025'!Salim-'2025'!Resal)*(1-EXP(('2025'!Tnet-t)/('2025'!Tau_j))),Resal+(Salim-Resal)*(1-EXP((Tnet-t)/(Tau_j))))*Salcycl</f>
        <v>5.8439122497689407E-2</v>
      </c>
      <c r="P31" s="169">
        <f>(INDEX(Models!$BJ31:$BT31,,T31)*(1-R31)+INDEX(Models!$BJ31:$BT31,,T31+1)*R31-ERP_i)*Q31*Ramure*Pc/MaxiM</f>
        <v>1.7666756228903218E-4</v>
      </c>
      <c r="Q31" s="305">
        <f t="shared" si="4"/>
        <v>0.7</v>
      </c>
      <c r="R31" s="177">
        <f t="shared" si="5"/>
        <v>0.77981792074176481</v>
      </c>
      <c r="S31" s="810">
        <f t="shared" si="6"/>
        <v>-2</v>
      </c>
      <c r="T31" s="176">
        <f t="shared" si="7"/>
        <v>4</v>
      </c>
      <c r="U31" s="251">
        <f t="shared" si="8"/>
        <v>-1.2201820792582352</v>
      </c>
      <c r="V31" s="383">
        <f t="shared" si="9"/>
        <v>19.902303405139101</v>
      </c>
      <c r="W31" s="402">
        <f t="shared" si="10"/>
        <v>11.49830273131861</v>
      </c>
      <c r="X31" s="157">
        <f t="shared" si="11"/>
        <v>46039</v>
      </c>
      <c r="Y31" s="385">
        <f t="shared" si="12"/>
        <v>10.668946175940484</v>
      </c>
      <c r="Z31" s="385">
        <f t="shared" si="22"/>
        <v>11.367700401313234</v>
      </c>
      <c r="AA31" s="386">
        <f t="shared" si="13"/>
        <v>12.998356507458521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0.12545094491058217</v>
      </c>
      <c r="AD31" s="231">
        <f>(INDEX(Models!$BJ31:$BT31,,AH31)*(1-AF31)+INDEX(Models!$BJ31:$BT31,,AH31+1)*AF31-ERP_i)*AE31*Ramure*Pc/MaxiM</f>
        <v>2.7749603668908241E-3</v>
      </c>
      <c r="AE31" s="305">
        <f t="shared" si="15"/>
        <v>0.7</v>
      </c>
      <c r="AF31" s="177">
        <f t="shared" si="23"/>
        <v>0.59980797384094875</v>
      </c>
      <c r="AG31" s="810">
        <f t="shared" si="24"/>
        <v>1</v>
      </c>
      <c r="AH31" s="176">
        <f t="shared" si="16"/>
        <v>7</v>
      </c>
      <c r="AI31" s="225">
        <f t="shared" si="17"/>
        <v>1.5998079738409487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3.7686056683386262</v>
      </c>
      <c r="C32" s="840"/>
      <c r="D32" s="393">
        <f t="shared" si="0"/>
        <v>4.015520974921527</v>
      </c>
      <c r="E32" s="385">
        <f t="shared" si="1"/>
        <v>4.2653477285561889</v>
      </c>
      <c r="F32" s="385">
        <f t="shared" si="2"/>
        <v>4.2653477285561889</v>
      </c>
      <c r="G32" s="110">
        <f t="shared" si="21"/>
        <v>0.18733092653757902</v>
      </c>
      <c r="H32" s="414" t="b">
        <f>Wh_hp&gt;='2025'!Maxi_hp</f>
        <v>0</v>
      </c>
      <c r="I32" s="390">
        <f>IF(H32,Wh_hp,'2025'!Maxi_hp)</f>
        <v>22.54898457519629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6.1490229567964461E-2</v>
      </c>
      <c r="M32" s="844"/>
      <c r="N32" s="844"/>
      <c r="O32" s="48">
        <f>IF(t&lt;Tnet,'2025'!Resal+('2025'!Salim-'2025'!Resal)*(1-EXP(('2025'!Tnet-t)/('2025'!Tau_j))),Resal+(Salim-Resal)*(1-EXP((Tnet-t)/(Tau_j))))*Salcycl</f>
        <v>5.8571251286756942E-2</v>
      </c>
      <c r="P32" s="169">
        <f>(INDEX(Models!$BJ32:$BT32,,T32)*(1-R32)+INDEX(Models!$BJ32:$BT32,,T32+1)*R32-ERP_i)*Q32*Ramure*Pc/MaxiM</f>
        <v>1.8239246347383914E-4</v>
      </c>
      <c r="Q32" s="305">
        <f t="shared" si="4"/>
        <v>0.7</v>
      </c>
      <c r="R32" s="177">
        <f t="shared" si="5"/>
        <v>0.7798629097114782</v>
      </c>
      <c r="S32" s="810">
        <f t="shared" si="6"/>
        <v>-2</v>
      </c>
      <c r="T32" s="176">
        <f t="shared" si="7"/>
        <v>4</v>
      </c>
      <c r="U32" s="251">
        <f t="shared" si="8"/>
        <v>-1.2201370902885218</v>
      </c>
      <c r="V32" s="383">
        <f t="shared" si="9"/>
        <v>20.113701313013379</v>
      </c>
      <c r="W32" s="402">
        <f t="shared" si="10"/>
        <v>3.7686056683386262</v>
      </c>
      <c r="X32" s="157">
        <f t="shared" si="11"/>
        <v>46040</v>
      </c>
      <c r="Y32" s="385">
        <f t="shared" si="12"/>
        <v>3.5006511876100981</v>
      </c>
      <c r="Z32" s="385">
        <f t="shared" si="22"/>
        <v>3.7300103823091804</v>
      </c>
      <c r="AA32" s="386">
        <f t="shared" si="13"/>
        <v>4.2653477285561889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0.12550848847866838</v>
      </c>
      <c r="AD32" s="231">
        <f>(INDEX(Models!$BJ32:$BT32,,AH32)*(1-AF32)+INDEX(Models!$BJ32:$BT32,,AH32+1)*AF32-ERP_i)*AE32*Ramure*Pc/MaxiM</f>
        <v>2.794165958326753E-3</v>
      </c>
      <c r="AE32" s="305">
        <f t="shared" si="15"/>
        <v>0.7</v>
      </c>
      <c r="AF32" s="177">
        <f t="shared" si="23"/>
        <v>0.59985296281066214</v>
      </c>
      <c r="AG32" s="810">
        <f t="shared" si="24"/>
        <v>1</v>
      </c>
      <c r="AH32" s="176">
        <f t="shared" si="16"/>
        <v>7</v>
      </c>
      <c r="AI32" s="225">
        <f t="shared" si="17"/>
        <v>1.5998529628106621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8.7998862224097323</v>
      </c>
      <c r="C33" s="840"/>
      <c r="D33" s="393">
        <f t="shared" si="0"/>
        <v>9.3766642507436728</v>
      </c>
      <c r="E33" s="385">
        <f t="shared" si="1"/>
        <v>9.9614333001184558</v>
      </c>
      <c r="F33" s="385">
        <f t="shared" si="2"/>
        <v>9.9617902110190446</v>
      </c>
      <c r="G33" s="110">
        <f t="shared" si="21"/>
        <v>0.43277337067571087</v>
      </c>
      <c r="H33" s="414" t="b">
        <f>Wh_hp&gt;='2025'!Maxi_hp</f>
        <v>0</v>
      </c>
      <c r="I33" s="390">
        <f>IF(H33,Wh_hp,'2025'!Maxi_hp)</f>
        <v>23.630965099383026</v>
      </c>
      <c r="J33" s="85">
        <f>IF(H33,An,'2025'!An_max)</f>
        <v>2020</v>
      </c>
      <c r="K33" s="197">
        <f t="shared" si="3"/>
        <v>46041</v>
      </c>
      <c r="L33" s="147">
        <f>IF(t&lt;Tvie,1-EXP((T0-t)*PertePVj)+'2025'!Pspv,1-EXP((T0-t)*PertePVj)+Pspv)</f>
        <v>6.1512070061396917E-2</v>
      </c>
      <c r="M33" s="844"/>
      <c r="N33" s="844"/>
      <c r="O33" s="48">
        <f>IF(t&lt;Tnet,'2025'!Resal+('2025'!Salim-'2025'!Resal)*(1-EXP(('2025'!Tnet-t)/('2025'!Tau_j))),Resal+(Salim-Resal)*(1-EXP((Tnet-t)/(Tau_j))))*Salcycl</f>
        <v>5.8703304209026655E-2</v>
      </c>
      <c r="P33" s="169">
        <f>(INDEX(Models!$BJ33:$BT33,,T33)*(1-R33)+INDEX(Models!$BJ33:$BT33,,T33+1)*R33-ERP_i)*Q33*Ramure*Pc/MaxiM</f>
        <v>1.8879607218734508E-4</v>
      </c>
      <c r="Q33" s="305">
        <f t="shared" si="4"/>
        <v>0.7</v>
      </c>
      <c r="R33" s="177">
        <f t="shared" si="5"/>
        <v>0.77990977528416683</v>
      </c>
      <c r="S33" s="810">
        <f t="shared" si="6"/>
        <v>-2</v>
      </c>
      <c r="T33" s="176">
        <f t="shared" si="7"/>
        <v>4</v>
      </c>
      <c r="U33" s="251">
        <f t="shared" si="8"/>
        <v>-1.2200902247158332</v>
      </c>
      <c r="V33" s="383">
        <f t="shared" si="9"/>
        <v>20.330594876265547</v>
      </c>
      <c r="W33" s="402">
        <f t="shared" si="10"/>
        <v>8.7998862224097323</v>
      </c>
      <c r="X33" s="157">
        <f t="shared" si="11"/>
        <v>46041</v>
      </c>
      <c r="Y33" s="385">
        <f t="shared" si="12"/>
        <v>8.170729739922109</v>
      </c>
      <c r="Z33" s="385">
        <f t="shared" si="22"/>
        <v>8.7062704583282677</v>
      </c>
      <c r="AA33" s="386">
        <f t="shared" si="13"/>
        <v>9.9564652056289074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0.12556612427007116</v>
      </c>
      <c r="AD33" s="231">
        <f>(INDEX(Models!$BJ33:$BT33,,AH33)*(1-AF33)+INDEX(Models!$BJ33:$BT33,,AH33+1)*AF33-ERP_i)*AE33*Ramure*Pc/MaxiM</f>
        <v>2.8167817244432415E-3</v>
      </c>
      <c r="AE33" s="305">
        <f t="shared" si="15"/>
        <v>0.7</v>
      </c>
      <c r="AF33" s="177">
        <f t="shared" si="23"/>
        <v>0.59989982838335076</v>
      </c>
      <c r="AG33" s="810">
        <f t="shared" si="24"/>
        <v>1</v>
      </c>
      <c r="AH33" s="176">
        <f t="shared" si="16"/>
        <v>7</v>
      </c>
      <c r="AI33" s="225">
        <f t="shared" si="17"/>
        <v>1.5998998283833508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6.4233513369891835</v>
      </c>
      <c r="C34" s="840"/>
      <c r="D34" s="393">
        <f t="shared" si="0"/>
        <v>6.8445215077594632</v>
      </c>
      <c r="E34" s="385">
        <f t="shared" si="1"/>
        <v>7.2723949344494763</v>
      </c>
      <c r="F34" s="385">
        <f t="shared" si="2"/>
        <v>7.2724204360491163</v>
      </c>
      <c r="G34" s="110">
        <f t="shared" si="21"/>
        <v>0.31247272114613628</v>
      </c>
      <c r="H34" s="414" t="b">
        <f>Wh_hp&gt;='2025'!Maxi_hp</f>
        <v>0</v>
      </c>
      <c r="I34" s="390">
        <f>IF(H34,Wh_hp,'2025'!Maxi_hp)</f>
        <v>11.506630779358042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6.1533910046569273E-2</v>
      </c>
      <c r="M34" s="844"/>
      <c r="N34" s="844"/>
      <c r="O34" s="48">
        <f>IF(t&lt;Tnet,'2025'!Resal+('2025'!Salim-'2025'!Resal)*(1-EXP(('2025'!Tnet-t)/('2025'!Tau_j))),Resal+(Salim-Resal)*(1-EXP((Tnet-t)/(Tau_j))))*Salcycl</f>
        <v>5.8835284737242192E-2</v>
      </c>
      <c r="P34" s="169">
        <f>(INDEX(Models!$BJ34:$BT34,,T34)*(1-R34)+INDEX(Models!$BJ34:$BT34,,T34+1)*R34-ERP_i)*Q34*Ramure*Pc/MaxiM</f>
        <v>1.9585609776636564E-4</v>
      </c>
      <c r="Q34" s="305">
        <f t="shared" si="4"/>
        <v>0.7</v>
      </c>
      <c r="R34" s="177">
        <f t="shared" si="5"/>
        <v>0.77995859526820088</v>
      </c>
      <c r="S34" s="810">
        <f t="shared" si="6"/>
        <v>-2</v>
      </c>
      <c r="T34" s="176">
        <f t="shared" si="7"/>
        <v>4</v>
      </c>
      <c r="U34" s="251">
        <f t="shared" si="8"/>
        <v>-1.2200414047317991</v>
      </c>
      <c r="V34" s="383">
        <f t="shared" si="9"/>
        <v>20.552564655282229</v>
      </c>
      <c r="W34" s="402">
        <f t="shared" si="10"/>
        <v>6.4233513369891835</v>
      </c>
      <c r="X34" s="157">
        <f t="shared" si="11"/>
        <v>46042</v>
      </c>
      <c r="Y34" s="385">
        <f t="shared" si="12"/>
        <v>5.9672434617855794</v>
      </c>
      <c r="Z34" s="385">
        <f t="shared" si="22"/>
        <v>6.3585072765726576</v>
      </c>
      <c r="AA34" s="386">
        <f t="shared" si="13"/>
        <v>7.272050294182784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0.12562385856171918</v>
      </c>
      <c r="AD34" s="231">
        <f>(INDEX(Models!$BJ34:$BT34,,AH34)*(1-AF34)+INDEX(Models!$BJ34:$BT34,,AH34+1)*AF34-ERP_i)*AE34*Ramure*Pc/MaxiM</f>
        <v>2.842744870313693E-3</v>
      </c>
      <c r="AE34" s="305">
        <f t="shared" si="15"/>
        <v>0.7</v>
      </c>
      <c r="AF34" s="177">
        <f t="shared" si="23"/>
        <v>0.59994864836738482</v>
      </c>
      <c r="AG34" s="810">
        <f t="shared" si="24"/>
        <v>1</v>
      </c>
      <c r="AH34" s="176">
        <f t="shared" si="16"/>
        <v>7</v>
      </c>
      <c r="AI34" s="225">
        <f t="shared" si="17"/>
        <v>1.5999486483673848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17.431576623038382</v>
      </c>
      <c r="C35" s="840"/>
      <c r="D35" s="393">
        <f t="shared" si="0"/>
        <v>18.574973008985115</v>
      </c>
      <c r="E35" s="385">
        <f t="shared" si="1"/>
        <v>19.738921892818936</v>
      </c>
      <c r="F35" s="385">
        <f t="shared" si="2"/>
        <v>19.742015550121831</v>
      </c>
      <c r="G35" s="110">
        <f t="shared" si="21"/>
        <v>0.83885650209743257</v>
      </c>
      <c r="H35" s="414" t="b">
        <f>Wh_hp&gt;='2025'!Maxi_hp</f>
        <v>1</v>
      </c>
      <c r="I35" s="390">
        <f>IF(H35,Wh_hp,'2025'!Maxi_hp)</f>
        <v>19.742015550121831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6.1555749523493186E-2</v>
      </c>
      <c r="M35" s="844"/>
      <c r="N35" s="844"/>
      <c r="O35" s="48">
        <f>IF(t&lt;Tnet,'2025'!Resal+('2025'!Salim-'2025'!Resal)*(1-EXP(('2025'!Tnet-t)/('2025'!Tau_j))),Resal+(Salim-Resal)*(1-EXP((Tnet-t)/(Tau_j))))*Salcycl</f>
        <v>5.896719639268988E-2</v>
      </c>
      <c r="P35" s="169">
        <f>(INDEX(Models!$BJ35:$BT35,,T35)*(1-R35)+INDEX(Models!$BJ35:$BT35,,T35+1)*R35-ERP_i)*Q35*Ramure*Pc/MaxiM</f>
        <v>2.0355133189734585E-4</v>
      </c>
      <c r="Q35" s="305">
        <f t="shared" si="4"/>
        <v>0.7</v>
      </c>
      <c r="R35" s="177">
        <f t="shared" si="5"/>
        <v>0.78000945065798999</v>
      </c>
      <c r="S35" s="810">
        <f t="shared" si="6"/>
        <v>-2</v>
      </c>
      <c r="T35" s="176">
        <f t="shared" si="7"/>
        <v>4</v>
      </c>
      <c r="U35" s="251">
        <f t="shared" si="8"/>
        <v>-1.21999054934201</v>
      </c>
      <c r="V35" s="383">
        <f t="shared" si="9"/>
        <v>20.77919147385029</v>
      </c>
      <c r="W35" s="402">
        <f t="shared" si="10"/>
        <v>17.431576623038382</v>
      </c>
      <c r="X35" s="157">
        <f t="shared" si="11"/>
        <v>46043</v>
      </c>
      <c r="Y35" s="385">
        <f t="shared" si="12"/>
        <v>16.162489050106952</v>
      </c>
      <c r="Z35" s="385">
        <f t="shared" si="22"/>
        <v>17.222641666673589</v>
      </c>
      <c r="AA35" s="386">
        <f t="shared" si="13"/>
        <v>19.698365711026995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0.12568169769370841</v>
      </c>
      <c r="AD35" s="231">
        <f>(INDEX(Models!$BJ35:$BT35,,AH35)*(1-AF35)+INDEX(Models!$BJ35:$BT35,,AH35+1)*AF35-ERP_i)*AE35*Ramure*Pc/MaxiM</f>
        <v>2.8719997126192857E-3</v>
      </c>
      <c r="AE35" s="305">
        <f t="shared" si="15"/>
        <v>0.7</v>
      </c>
      <c r="AF35" s="177">
        <f t="shared" si="23"/>
        <v>0.59999950375717392</v>
      </c>
      <c r="AG35" s="810">
        <f t="shared" si="24"/>
        <v>1</v>
      </c>
      <c r="AH35" s="176">
        <f t="shared" si="16"/>
        <v>7</v>
      </c>
      <c r="AI35" s="225">
        <f t="shared" si="17"/>
        <v>1.5999995037571739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20.939374491414078</v>
      </c>
      <c r="C36" s="840"/>
      <c r="D36" s="393">
        <f t="shared" si="0"/>
        <v>22.313378532562464</v>
      </c>
      <c r="E36" s="385">
        <f t="shared" si="1"/>
        <v>23.714906821972985</v>
      </c>
      <c r="F36" s="385">
        <f t="shared" si="2"/>
        <v>23.719907981467813</v>
      </c>
      <c r="G36" s="110">
        <f t="shared" si="21"/>
        <v>0.99663478913730308</v>
      </c>
      <c r="H36" s="414" t="b">
        <f>Wh_hp&gt;='2025'!Maxi_hp</f>
        <v>1</v>
      </c>
      <c r="I36" s="390">
        <f>IF(H36,Wh_hp,'2025'!Maxi_hp)</f>
        <v>23.719907981467813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6.1577588492180535E-2</v>
      </c>
      <c r="M36" s="844"/>
      <c r="N36" s="844"/>
      <c r="O36" s="48">
        <f>IF(t&lt;Tnet,'2025'!Resal+('2025'!Salim-'2025'!Resal)*(1-EXP(('2025'!Tnet-t)/('2025'!Tau_j))),Resal+(Salim-Resal)*(1-EXP((Tnet-t)/(Tau_j))))*Salcycl</f>
        <v>5.9099042637263795E-2</v>
      </c>
      <c r="P36" s="169">
        <f>(INDEX(Models!$BJ36:$BT36,,T36)*(1-R36)+INDEX(Models!$BJ36:$BT36,,T36+1)*R36-ERP_i)*Q36*Ramure*Pc/MaxiM</f>
        <v>2.118604808386071E-4</v>
      </c>
      <c r="Q36" s="305">
        <f t="shared" si="4"/>
        <v>0.7</v>
      </c>
      <c r="R36" s="177">
        <f t="shared" si="5"/>
        <v>0.78006242576101559</v>
      </c>
      <c r="S36" s="810">
        <f t="shared" si="6"/>
        <v>-2</v>
      </c>
      <c r="T36" s="176">
        <f t="shared" si="7"/>
        <v>4</v>
      </c>
      <c r="U36" s="251">
        <f t="shared" si="8"/>
        <v>-1.2199375742389844</v>
      </c>
      <c r="V36" s="383">
        <f t="shared" si="9"/>
        <v>21.0100564365884</v>
      </c>
      <c r="W36" s="402">
        <f t="shared" si="10"/>
        <v>20.939374491414078</v>
      </c>
      <c r="X36" s="157">
        <f t="shared" si="11"/>
        <v>46044</v>
      </c>
      <c r="Y36" s="385">
        <f t="shared" si="12"/>
        <v>19.404166823613441</v>
      </c>
      <c r="Z36" s="385">
        <f t="shared" si="22"/>
        <v>20.677433302595155</v>
      </c>
      <c r="AA36" s="386">
        <f t="shared" si="13"/>
        <v>23.651345107314842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0.12573964783930713</v>
      </c>
      <c r="AD36" s="231">
        <f>(INDEX(Models!$BJ36:$BT36,,AH36)*(1-AF36)+INDEX(Models!$BJ36:$BT36,,AH36+1)*AF36-ERP_i)*AE36*Ramure*Pc/MaxiM</f>
        <v>2.9044791514353579E-3</v>
      </c>
      <c r="AE36" s="305">
        <f t="shared" si="15"/>
        <v>0.7</v>
      </c>
      <c r="AF36" s="177">
        <f t="shared" si="23"/>
        <v>0.60005247886019952</v>
      </c>
      <c r="AG36" s="810">
        <f t="shared" si="24"/>
        <v>1</v>
      </c>
      <c r="AH36" s="176">
        <f t="shared" si="16"/>
        <v>7</v>
      </c>
      <c r="AI36" s="225">
        <f t="shared" si="17"/>
        <v>1.6000524788601995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21.158465658874665</v>
      </c>
      <c r="C37" s="840"/>
      <c r="D37" s="393">
        <f t="shared" si="0"/>
        <v>22.547370778094031</v>
      </c>
      <c r="E37" s="385">
        <f t="shared" si="1"/>
        <v>23.966953233299769</v>
      </c>
      <c r="F37" s="385">
        <f t="shared" si="2"/>
        <v>23.972213580775126</v>
      </c>
      <c r="G37" s="110">
        <f t="shared" si="21"/>
        <v>0.9958496631244933</v>
      </c>
      <c r="H37" s="414" t="b">
        <f>Wh_hp&gt;='2025'!Maxi_hp</f>
        <v>1</v>
      </c>
      <c r="I37" s="390">
        <f>IF(H37,Wh_hp,'2025'!Maxi_hp)</f>
        <v>23.972213580775126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6.159942695264331E-2</v>
      </c>
      <c r="M37" s="844"/>
      <c r="N37" s="844"/>
      <c r="O37" s="48">
        <f>IF(t&lt;Tnet,'2025'!Resal+('2025'!Salim-'2025'!Resal)*(1-EXP(('2025'!Tnet-t)/('2025'!Tau_j))),Resal+(Salim-Resal)*(1-EXP((Tnet-t)/(Tau_j))))*Salcycl</f>
        <v>5.9230826771646795E-2</v>
      </c>
      <c r="P37" s="169">
        <f>(INDEX(Models!$BJ37:$BT37,,T37)*(1-R37)+INDEX(Models!$BJ37:$BT37,,T37+1)*R37-ERP_i)*Q37*Ramure*Pc/MaxiM</f>
        <v>2.2074358913440218E-4</v>
      </c>
      <c r="Q37" s="305">
        <f t="shared" si="4"/>
        <v>0.7</v>
      </c>
      <c r="R37" s="177">
        <f t="shared" si="5"/>
        <v>0.7801176083296375</v>
      </c>
      <c r="S37" s="810">
        <f t="shared" si="6"/>
        <v>-2</v>
      </c>
      <c r="T37" s="176">
        <f t="shared" si="7"/>
        <v>4</v>
      </c>
      <c r="U37" s="251">
        <f t="shared" si="8"/>
        <v>-1.2198823916703625</v>
      </c>
      <c r="V37" s="383">
        <f t="shared" si="9"/>
        <v>21.246618593916725</v>
      </c>
      <c r="W37" s="402">
        <f t="shared" si="10"/>
        <v>21.158465658874665</v>
      </c>
      <c r="X37" s="157">
        <f t="shared" si="11"/>
        <v>46045</v>
      </c>
      <c r="Y37" s="385">
        <f t="shared" si="12"/>
        <v>19.608180025151544</v>
      </c>
      <c r="Z37" s="385">
        <f t="shared" si="22"/>
        <v>20.895319747595689</v>
      </c>
      <c r="AA37" s="386">
        <f t="shared" si="13"/>
        <v>23.902156401462026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0.12579771479038684</v>
      </c>
      <c r="AD37" s="231">
        <f>(INDEX(Models!$BJ37:$BT37,,AH37)*(1-AF37)+INDEX(Models!$BJ37:$BT37,,AH37+1)*AF37-ERP_i)*AE37*Ramure*Pc/MaxiM</f>
        <v>2.9398577334774265E-3</v>
      </c>
      <c r="AE37" s="305">
        <f t="shared" si="15"/>
        <v>0.7</v>
      </c>
      <c r="AF37" s="177">
        <f t="shared" si="23"/>
        <v>0.60010766142882144</v>
      </c>
      <c r="AG37" s="810">
        <f t="shared" si="24"/>
        <v>1</v>
      </c>
      <c r="AH37" s="176">
        <f t="shared" si="16"/>
        <v>7</v>
      </c>
      <c r="AI37" s="225">
        <f t="shared" si="17"/>
        <v>1.6001076614288214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21.502355210695011</v>
      </c>
      <c r="C38" s="840"/>
      <c r="D38" s="393">
        <f t="shared" si="0"/>
        <v>22.914367521889439</v>
      </c>
      <c r="E38" s="385">
        <f t="shared" si="1"/>
        <v>24.360467007482864</v>
      </c>
      <c r="F38" s="385">
        <f t="shared" si="2"/>
        <v>24.366089837944376</v>
      </c>
      <c r="G38" s="110">
        <f t="shared" si="21"/>
        <v>1.0005589453397303</v>
      </c>
      <c r="H38" s="414" t="b">
        <f>Wh_hp&gt;='2025'!Maxi_hp</f>
        <v>1</v>
      </c>
      <c r="I38" s="390">
        <f>IF(H38,Wh_hp,'2025'!Maxi_hp)</f>
        <v>24.366089837944376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6.1621264904893058E-2</v>
      </c>
      <c r="M38" s="844"/>
      <c r="N38" s="844"/>
      <c r="O38" s="48">
        <f>IF(t&lt;Tnet,'2025'!Resal+('2025'!Salim-'2025'!Resal)*(1-EXP(('2025'!Tnet-t)/('2025'!Tau_j))),Resal+(Salim-Resal)*(1-EXP((Tnet-t)/(Tau_j))))*Salcycl</f>
        <v>5.9362551840620462E-2</v>
      </c>
      <c r="P38" s="169">
        <f>(INDEX(Models!$BJ38:$BT38,,T38)*(1-R38)+INDEX(Models!$BJ38:$BT38,,T38+1)*R38-ERP_i)*Q38*Ramure*Pc/MaxiM</f>
        <v>2.3076457892542222E-4</v>
      </c>
      <c r="Q38" s="305">
        <f t="shared" si="4"/>
        <v>0.7</v>
      </c>
      <c r="R38" s="177">
        <f t="shared" si="5"/>
        <v>0.78017508969782101</v>
      </c>
      <c r="S38" s="810">
        <f t="shared" si="6"/>
        <v>-2</v>
      </c>
      <c r="T38" s="176">
        <f t="shared" si="7"/>
        <v>4</v>
      </c>
      <c r="U38" s="251">
        <f t="shared" si="8"/>
        <v>-1.219824910302179</v>
      </c>
      <c r="V38" s="383">
        <f t="shared" si="9"/>
        <v>21.490343283467514</v>
      </c>
      <c r="W38" s="402">
        <f t="shared" si="10"/>
        <v>21.502355210695011</v>
      </c>
      <c r="X38" s="157">
        <f t="shared" si="11"/>
        <v>46046</v>
      </c>
      <c r="Y38" s="385">
        <f t="shared" si="12"/>
        <v>19.927326270962919</v>
      </c>
      <c r="Z38" s="385">
        <f t="shared" si="22"/>
        <v>21.235909900434002</v>
      </c>
      <c r="AA38" s="386">
        <f t="shared" si="13"/>
        <v>24.293374504023351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0.12585590376022013</v>
      </c>
      <c r="AD38" s="231">
        <f>(INDEX(Models!$BJ38:$BT38,,AH38)*(1-AF38)+INDEX(Models!$BJ38:$BT38,,AH38+1)*AF38-ERP_i)*AE38*Ramure*Pc/MaxiM</f>
        <v>2.9842840769546577E-3</v>
      </c>
      <c r="AE38" s="305">
        <f t="shared" si="15"/>
        <v>0.7</v>
      </c>
      <c r="AF38" s="177">
        <f t="shared" si="23"/>
        <v>0.60016514279700495</v>
      </c>
      <c r="AG38" s="810">
        <f t="shared" si="24"/>
        <v>1</v>
      </c>
      <c r="AH38" s="176">
        <f t="shared" si="16"/>
        <v>7</v>
      </c>
      <c r="AI38" s="225">
        <f t="shared" si="17"/>
        <v>1.6001651427970049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21.463428778744763</v>
      </c>
      <c r="C39" s="840"/>
      <c r="D39" s="393">
        <f t="shared" si="0"/>
        <v>22.873417174715815</v>
      </c>
      <c r="E39" s="385">
        <f t="shared" si="1"/>
        <v>24.320336646952928</v>
      </c>
      <c r="F39" s="385">
        <f t="shared" si="2"/>
        <v>24.326110311617207</v>
      </c>
      <c r="G39" s="110">
        <f t="shared" si="21"/>
        <v>0.98723556393135969</v>
      </c>
      <c r="H39" s="414" t="b">
        <f>Wh_hp&gt;='2025'!Maxi_hp</f>
        <v>1</v>
      </c>
      <c r="I39" s="390">
        <f>IF(H39,Wh_hp,'2025'!Maxi_hp)</f>
        <v>24.326110311617207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6.1643102348941881E-2</v>
      </c>
      <c r="M39" s="844"/>
      <c r="N39" s="844"/>
      <c r="O39" s="48">
        <f>IF(t&lt;Tnet,'2025'!Resal+('2025'!Salim-'2025'!Resal)*(1-EXP(('2025'!Tnet-t)/('2025'!Tau_j))),Resal+(Salim-Resal)*(1-EXP((Tnet-t)/(Tau_j))))*Salcycl</f>
        <v>5.9494220546424739E-2</v>
      </c>
      <c r="P39" s="169">
        <f>(INDEX(Models!$BJ39:$BT39,,T39)*(1-R39)+INDEX(Models!$BJ39:$BT39,,T39+1)*R39-ERP_i)*Q39*Ramure*Pc/MaxiM</f>
        <v>2.4175115005448117E-4</v>
      </c>
      <c r="Q39" s="305">
        <f t="shared" si="4"/>
        <v>0.7</v>
      </c>
      <c r="R39" s="177">
        <f t="shared" si="5"/>
        <v>0.78023496492294764</v>
      </c>
      <c r="S39" s="810">
        <f t="shared" si="6"/>
        <v>-2</v>
      </c>
      <c r="T39" s="176">
        <f t="shared" si="7"/>
        <v>4</v>
      </c>
      <c r="U39" s="251">
        <f t="shared" si="8"/>
        <v>-1.2197650350770524</v>
      </c>
      <c r="V39" s="383">
        <f t="shared" si="9"/>
        <v>21.740843781624921</v>
      </c>
      <c r="W39" s="402">
        <f t="shared" si="10"/>
        <v>21.463428778744763</v>
      </c>
      <c r="X39" s="157">
        <f t="shared" si="11"/>
        <v>46047</v>
      </c>
      <c r="Y39" s="385">
        <f t="shared" si="12"/>
        <v>19.892906386231388</v>
      </c>
      <c r="Z39" s="385">
        <f t="shared" si="22"/>
        <v>21.199723086203456</v>
      </c>
      <c r="AA39" s="386">
        <f t="shared" si="13"/>
        <v>24.253595644732584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0.12591421920536436</v>
      </c>
      <c r="AD39" s="231">
        <f>(INDEX(Models!$BJ39:$BT39,,AH39)*(1-AF39)+INDEX(Models!$BJ39:$BT39,,AH39+1)*AF39-ERP_i)*AE39*Ramure*Pc/MaxiM</f>
        <v>3.0362871996431218E-3</v>
      </c>
      <c r="AE39" s="305">
        <f t="shared" si="15"/>
        <v>0.7</v>
      </c>
      <c r="AF39" s="177">
        <f t="shared" si="23"/>
        <v>0.60022501802213157</v>
      </c>
      <c r="AG39" s="810">
        <f t="shared" si="24"/>
        <v>1</v>
      </c>
      <c r="AH39" s="176">
        <f t="shared" si="16"/>
        <v>7</v>
      </c>
      <c r="AI39" s="225">
        <f t="shared" si="17"/>
        <v>1.6002250180221316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21.591176668190329</v>
      </c>
      <c r="C40" s="840"/>
      <c r="D40" s="393">
        <f t="shared" si="0"/>
        <v>23.010092633364401</v>
      </c>
      <c r="E40" s="385">
        <f t="shared" si="1"/>
        <v>24.469082088775021</v>
      </c>
      <c r="F40" s="385">
        <f t="shared" si="2"/>
        <v>24.475126652491333</v>
      </c>
      <c r="G40" s="110">
        <f t="shared" si="21"/>
        <v>0.98151178425070806</v>
      </c>
      <c r="H40" s="414" t="b">
        <f>Wh_hp&gt;='2025'!Maxi_hp</f>
        <v>1</v>
      </c>
      <c r="I40" s="390">
        <f>IF(H40,Wh_hp,'2025'!Maxi_hp)</f>
        <v>24.475126652491333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6.1664939284801434E-2</v>
      </c>
      <c r="M40" s="844"/>
      <c r="N40" s="844"/>
      <c r="O40" s="48">
        <f>IF(t&lt;Tnet,'2025'!Resal+('2025'!Salim-'2025'!Resal)*(1-EXP(('2025'!Tnet-t)/('2025'!Tau_j))),Resal+(Salim-Resal)*(1-EXP((Tnet-t)/(Tau_j))))*Salcycl</f>
        <v>5.9625835170985721E-2</v>
      </c>
      <c r="P40" s="169">
        <f>(INDEX(Models!$BJ40:$BT40,,T40)*(1-R40)+INDEX(Models!$BJ40:$BT40,,T40+1)*R40-ERP_i)*Q40*Ramure*Pc/MaxiM</f>
        <v>2.5366496708919807E-4</v>
      </c>
      <c r="Q40" s="305">
        <f t="shared" si="4"/>
        <v>0.7</v>
      </c>
      <c r="R40" s="177">
        <f t="shared" si="5"/>
        <v>0.78029733293286174</v>
      </c>
      <c r="S40" s="810">
        <f t="shared" si="6"/>
        <v>-2</v>
      </c>
      <c r="T40" s="176">
        <f t="shared" si="7"/>
        <v>4</v>
      </c>
      <c r="U40" s="251">
        <f t="shared" si="8"/>
        <v>-1.2197026670671383</v>
      </c>
      <c r="V40" s="383">
        <f t="shared" si="9"/>
        <v>21.997730822246503</v>
      </c>
      <c r="W40" s="402">
        <f t="shared" si="10"/>
        <v>21.591176668190329</v>
      </c>
      <c r="X40" s="157">
        <f t="shared" si="11"/>
        <v>46048</v>
      </c>
      <c r="Y40" s="385">
        <f t="shared" si="12"/>
        <v>20.012300639858928</v>
      </c>
      <c r="Z40" s="385">
        <f t="shared" si="22"/>
        <v>21.327456979605518</v>
      </c>
      <c r="AA40" s="386">
        <f t="shared" si="13"/>
        <v>24.401361510629474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0.12597266466811427</v>
      </c>
      <c r="AD40" s="231">
        <f>(INDEX(Models!$BJ40:$BT40,,AH40)*(1-AF40)+INDEX(Models!$BJ40:$BT40,,AH40+1)*AF40-ERP_i)*AE40*Ramure*Pc/MaxiM</f>
        <v>3.095613374414065E-3</v>
      </c>
      <c r="AE40" s="305">
        <f t="shared" si="15"/>
        <v>0.7</v>
      </c>
      <c r="AF40" s="177">
        <f t="shared" si="23"/>
        <v>0.60028738603204568</v>
      </c>
      <c r="AG40" s="810">
        <f t="shared" si="24"/>
        <v>1</v>
      </c>
      <c r="AH40" s="176">
        <f t="shared" si="16"/>
        <v>7</v>
      </c>
      <c r="AI40" s="225">
        <f t="shared" si="17"/>
        <v>1.6002873860320457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22.490741654744568</v>
      </c>
      <c r="C41" s="840"/>
      <c r="D41" s="393">
        <f t="shared" si="0"/>
        <v>23.969332492166803</v>
      </c>
      <c r="E41" s="385">
        <f t="shared" si="1"/>
        <v>25.492710528784738</v>
      </c>
      <c r="F41" s="385">
        <f t="shared" si="2"/>
        <v>25.499505349293727</v>
      </c>
      <c r="G41" s="110">
        <f t="shared" si="21"/>
        <v>1.0103378208337839</v>
      </c>
      <c r="H41" s="414" t="b">
        <f>Wh_hp&gt;='2025'!Maxi_hp</f>
        <v>1</v>
      </c>
      <c r="I41" s="390">
        <f>IF(H41,Wh_hp,'2025'!Maxi_hp)</f>
        <v>25.499505349293727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6.1686775712483488E-2</v>
      </c>
      <c r="M41" s="844"/>
      <c r="N41" s="844"/>
      <c r="O41" s="48">
        <f>IF(t&lt;Tnet,'2025'!Resal+('2025'!Salim-'2025'!Resal)*(1-EXP(('2025'!Tnet-t)/('2025'!Tau_j))),Resal+(Salim-Resal)*(1-EXP((Tnet-t)/(Tau_j))))*Salcycl</f>
        <v>5.9757397507724075E-2</v>
      </c>
      <c r="P41" s="169">
        <f>(INDEX(Models!$BJ41:$BT41,,T41)*(1-R41)+INDEX(Models!$BJ41:$BT41,,T41+1)*R41-ERP_i)*Q41*Ramure*Pc/MaxiM</f>
        <v>2.6646871835011329E-4</v>
      </c>
      <c r="Q41" s="305">
        <f t="shared" si="4"/>
        <v>0.7</v>
      </c>
      <c r="R41" s="177">
        <f t="shared" si="5"/>
        <v>0.78036229667831902</v>
      </c>
      <c r="S41" s="810">
        <f t="shared" si="6"/>
        <v>-2</v>
      </c>
      <c r="T41" s="176">
        <f t="shared" si="7"/>
        <v>4</v>
      </c>
      <c r="U41" s="251">
        <f t="shared" si="8"/>
        <v>-1.219637703321681</v>
      </c>
      <c r="V41" s="383">
        <f t="shared" si="9"/>
        <v>22.26061540107845</v>
      </c>
      <c r="W41" s="402">
        <f t="shared" si="10"/>
        <v>22.490741654744568</v>
      </c>
      <c r="X41" s="157">
        <f t="shared" si="11"/>
        <v>46049</v>
      </c>
      <c r="Y41" s="385">
        <f t="shared" si="12"/>
        <v>20.844912714437399</v>
      </c>
      <c r="Z41" s="385">
        <f t="shared" si="22"/>
        <v>22.215303136397161</v>
      </c>
      <c r="AA41" s="386">
        <f t="shared" si="13"/>
        <v>25.418875616929775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0.12603124264076143</v>
      </c>
      <c r="AD41" s="231">
        <f>(INDEX(Models!$BJ41:$BT41,,AH41)*(1-AF41)+INDEX(Models!$BJ41:$BT41,,AH41+1)*AF41-ERP_i)*AE41*Ramure*Pc/MaxiM</f>
        <v>3.1620116256954813E-3</v>
      </c>
      <c r="AE41" s="305">
        <f t="shared" si="15"/>
        <v>0.7</v>
      </c>
      <c r="AF41" s="177">
        <f t="shared" si="23"/>
        <v>0.60035234977750296</v>
      </c>
      <c r="AG41" s="810">
        <f t="shared" si="24"/>
        <v>1</v>
      </c>
      <c r="AH41" s="176">
        <f t="shared" si="16"/>
        <v>7</v>
      </c>
      <c r="AI41" s="225">
        <f t="shared" si="17"/>
        <v>1.600352349777503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4.1824715306641771</v>
      </c>
      <c r="C42" s="840"/>
      <c r="D42" s="393">
        <f t="shared" si="0"/>
        <v>4.4575401442603919</v>
      </c>
      <c r="E42" s="385">
        <f t="shared" si="1"/>
        <v>4.741503622287218</v>
      </c>
      <c r="F42" s="385">
        <f t="shared" si="2"/>
        <v>4.741503622287218</v>
      </c>
      <c r="G42" s="110">
        <f t="shared" si="21"/>
        <v>0.18559544237270023</v>
      </c>
      <c r="H42" s="414" t="b">
        <f>Wh_hp&gt;='2025'!Maxi_hp</f>
        <v>0</v>
      </c>
      <c r="I42" s="390">
        <f>IF(H42,Wh_hp,'2025'!Maxi_hp)</f>
        <v>17.271645259588524</v>
      </c>
      <c r="J42" s="85">
        <f>IF(H42,An,'2025'!An_max)</f>
        <v>2020</v>
      </c>
      <c r="K42" s="197">
        <f t="shared" si="3"/>
        <v>46050</v>
      </c>
      <c r="L42" s="147">
        <f>IF(t&lt;Tvie,1-EXP((T0-t)*PertePVj)+'2025'!Pspv,1-EXP((T0-t)*PertePVj)+Pspv)</f>
        <v>6.1708611632000143E-2</v>
      </c>
      <c r="M42" s="844"/>
      <c r="N42" s="844"/>
      <c r="O42" s="48">
        <f>IF(t&lt;Tnet,'2025'!Resal+('2025'!Salim-'2025'!Resal)*(1-EXP(('2025'!Tnet-t)/('2025'!Tau_j))),Resal+(Salim-Resal)*(1-EXP((Tnet-t)/(Tau_j))))*Salcycl</f>
        <v>5.9888908803542577E-2</v>
      </c>
      <c r="P42" s="169">
        <f>(INDEX(Models!$BJ42:$BT42,,T42)*(1-R42)+INDEX(Models!$BJ42:$BT42,,T42+1)*R42-ERP_i)*Q42*Ramure*Pc/MaxiM</f>
        <v>2.8012633054936556E-4</v>
      </c>
      <c r="Q42" s="305">
        <f t="shared" si="4"/>
        <v>0.7</v>
      </c>
      <c r="R42" s="177">
        <f t="shared" si="5"/>
        <v>0.7804299632909959</v>
      </c>
      <c r="S42" s="810">
        <f t="shared" si="6"/>
        <v>-2</v>
      </c>
      <c r="T42" s="176">
        <f t="shared" si="7"/>
        <v>4</v>
      </c>
      <c r="U42" s="251">
        <f t="shared" si="8"/>
        <v>-1.2195700367090041</v>
      </c>
      <c r="V42" s="383">
        <f t="shared" si="9"/>
        <v>22.529108779864654</v>
      </c>
      <c r="W42" s="402">
        <f t="shared" si="10"/>
        <v>4.1824715306641771</v>
      </c>
      <c r="X42" s="157">
        <f t="shared" si="11"/>
        <v>46050</v>
      </c>
      <c r="Y42" s="385">
        <f t="shared" si="12"/>
        <v>3.8879489031572629</v>
      </c>
      <c r="Z42" s="385">
        <f t="shared" si="22"/>
        <v>4.1436476465159684</v>
      </c>
      <c r="AA42" s="386">
        <f t="shared" si="13"/>
        <v>4.741503622287218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0.12608995445264559</v>
      </c>
      <c r="AD42" s="231">
        <f>(INDEX(Models!$BJ42:$BT42,,AH42)*(1-AF42)+INDEX(Models!$BJ42:$BT42,,AH42+1)*AF42-ERP_i)*AE42*Ramure*Pc/MaxiM</f>
        <v>3.2352355779055588E-3</v>
      </c>
      <c r="AE42" s="305">
        <f t="shared" si="15"/>
        <v>0.7</v>
      </c>
      <c r="AF42" s="177">
        <f t="shared" si="23"/>
        <v>0.60042001639017983</v>
      </c>
      <c r="AG42" s="810">
        <f t="shared" si="24"/>
        <v>1</v>
      </c>
      <c r="AH42" s="176">
        <f t="shared" si="16"/>
        <v>7</v>
      </c>
      <c r="AI42" s="225">
        <f t="shared" si="17"/>
        <v>1.6004200163901798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9.5270769882313218</v>
      </c>
      <c r="C43" s="840"/>
      <c r="D43" s="393">
        <f t="shared" si="0"/>
        <v>10.153880575374084</v>
      </c>
      <c r="E43" s="385">
        <f t="shared" si="1"/>
        <v>10.802234695508622</v>
      </c>
      <c r="F43" s="385">
        <f t="shared" si="2"/>
        <v>10.802770281384204</v>
      </c>
      <c r="G43" s="110">
        <f t="shared" si="21"/>
        <v>0.4177001558896245</v>
      </c>
      <c r="H43" s="414" t="b">
        <f>Wh_hp&gt;='2025'!Maxi_hp</f>
        <v>0</v>
      </c>
      <c r="I43" s="390">
        <f>IF(H43,Wh_hp,'2025'!Maxi_hp)</f>
        <v>16.235625620989971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6.1730447043362946E-2</v>
      </c>
      <c r="M43" s="844"/>
      <c r="N43" s="844"/>
      <c r="O43" s="48">
        <f>IF(t&lt;Tnet,'2025'!Resal+('2025'!Salim-'2025'!Resal)*(1-EXP(('2025'!Tnet-t)/('2025'!Tau_j))),Resal+(Salim-Resal)*(1-EXP((Tnet-t)/(Tau_j))))*Salcycl</f>
        <v>6.0020369711473856E-2</v>
      </c>
      <c r="P43" s="169">
        <f>(INDEX(Models!$BJ43:$BT43,,T43)*(1-R43)+INDEX(Models!$BJ43:$BT43,,T43+1)*R43-ERP_i)*Q43*Ramure*Pc/MaxiM</f>
        <v>2.9460314993572323E-4</v>
      </c>
      <c r="Q43" s="305">
        <f t="shared" si="4"/>
        <v>0.7</v>
      </c>
      <c r="R43" s="177">
        <f t="shared" si="5"/>
        <v>0.78050044424722409</v>
      </c>
      <c r="S43" s="810">
        <f t="shared" si="6"/>
        <v>-2</v>
      </c>
      <c r="T43" s="176">
        <f t="shared" si="7"/>
        <v>4</v>
      </c>
      <c r="U43" s="251">
        <f t="shared" si="8"/>
        <v>-1.2194995557527759</v>
      </c>
      <c r="V43" s="383">
        <f t="shared" si="9"/>
        <v>22.802822479546691</v>
      </c>
      <c r="W43" s="402">
        <f t="shared" si="10"/>
        <v>9.5270769882313218</v>
      </c>
      <c r="X43" s="157">
        <f t="shared" si="11"/>
        <v>46051</v>
      </c>
      <c r="Y43" s="385">
        <f t="shared" si="12"/>
        <v>8.8523361440245498</v>
      </c>
      <c r="Z43" s="385">
        <f t="shared" si="22"/>
        <v>9.4347473134233404</v>
      </c>
      <c r="AA43" s="386">
        <f t="shared" si="13"/>
        <v>10.796743559286272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0.12614880018072469</v>
      </c>
      <c r="AD43" s="231">
        <f>(INDEX(Models!$BJ43:$BT43,,AH43)*(1-AF43)+INDEX(Models!$BJ43:$BT43,,AH43+1)*AF43-ERP_i)*AE43*Ramure*Pc/MaxiM</f>
        <v>3.3150450652012159E-3</v>
      </c>
      <c r="AE43" s="305">
        <f t="shared" si="15"/>
        <v>0.7</v>
      </c>
      <c r="AF43" s="177">
        <f t="shared" si="23"/>
        <v>0.60049049734640803</v>
      </c>
      <c r="AG43" s="810">
        <f t="shared" si="24"/>
        <v>1</v>
      </c>
      <c r="AH43" s="176">
        <f t="shared" si="16"/>
        <v>7</v>
      </c>
      <c r="AI43" s="225">
        <f t="shared" si="17"/>
        <v>1.600490497346408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4.5572123989825375</v>
      </c>
      <c r="C44" s="840"/>
      <c r="D44" s="393">
        <f t="shared" si="0"/>
        <v>4.8571526594675785</v>
      </c>
      <c r="E44" s="385">
        <f t="shared" si="1"/>
        <v>5.1680181516777939</v>
      </c>
      <c r="F44" s="385">
        <f t="shared" si="2"/>
        <v>5.1680181516777939</v>
      </c>
      <c r="G44" s="110">
        <f t="shared" si="21"/>
        <v>0.19737999131543185</v>
      </c>
      <c r="H44" s="414" t="b">
        <f>Wh_hp&gt;='2025'!Maxi_hp</f>
        <v>0</v>
      </c>
      <c r="I44" s="390">
        <f>IF(H44,Wh_hp,'2025'!Maxi_hp)</f>
        <v>11.307083616802787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6.1752281946583776E-2</v>
      </c>
      <c r="M44" s="844"/>
      <c r="N44" s="844"/>
      <c r="O44" s="48">
        <f>IF(t&lt;Tnet,'2025'!Resal+('2025'!Salim-'2025'!Resal)*(1-EXP(('2025'!Tnet-t)/('2025'!Tau_j))),Resal+(Salim-Resal)*(1-EXP((Tnet-t)/(Tau_j))))*Salcycl</f>
        <v>6.0151780254350092E-2</v>
      </c>
      <c r="P44" s="169">
        <f>(INDEX(Models!$BJ44:$BT44,,T44)*(1-R44)+INDEX(Models!$BJ44:$BT44,,T44+1)*R44-ERP_i)*Q44*Ramure*Pc/MaxiM</f>
        <v>3.0958362343147343E-4</v>
      </c>
      <c r="Q44" s="305">
        <f t="shared" si="4"/>
        <v>0.7</v>
      </c>
      <c r="R44" s="177">
        <f t="shared" si="5"/>
        <v>0.78057385553761893</v>
      </c>
      <c r="S44" s="810">
        <f t="shared" si="6"/>
        <v>-2</v>
      </c>
      <c r="T44" s="176">
        <f t="shared" si="7"/>
        <v>4</v>
      </c>
      <c r="U44" s="251">
        <f t="shared" si="8"/>
        <v>-1.2194261444623811</v>
      </c>
      <c r="V44" s="383">
        <f t="shared" si="9"/>
        <v>23.081374815620055</v>
      </c>
      <c r="W44" s="402">
        <f t="shared" si="10"/>
        <v>4.5572123989825375</v>
      </c>
      <c r="X44" s="157">
        <f t="shared" si="11"/>
        <v>46052</v>
      </c>
      <c r="Y44" s="385">
        <f t="shared" si="12"/>
        <v>4.2369147080456822</v>
      </c>
      <c r="Z44" s="385">
        <f t="shared" si="22"/>
        <v>4.5157740610720749</v>
      </c>
      <c r="AA44" s="386">
        <f t="shared" si="13"/>
        <v>5.1680181516777939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0.12620777858413057</v>
      </c>
      <c r="AD44" s="231">
        <f>(INDEX(Models!$BJ44:$BT44,,AH44)*(1-AF44)+INDEX(Models!$BJ44:$BT44,,AH44+1)*AF44-ERP_i)*AE44*Ramure*Pc/MaxiM</f>
        <v>3.4055796626349562E-3</v>
      </c>
      <c r="AE44" s="305">
        <f t="shared" si="15"/>
        <v>0.7</v>
      </c>
      <c r="AF44" s="177">
        <f t="shared" si="23"/>
        <v>0.60056390863680287</v>
      </c>
      <c r="AG44" s="810">
        <f t="shared" si="24"/>
        <v>1</v>
      </c>
      <c r="AH44" s="176">
        <f t="shared" si="16"/>
        <v>7</v>
      </c>
      <c r="AI44" s="225">
        <f t="shared" si="17"/>
        <v>1.6005639086368029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8.0487089236492775</v>
      </c>
      <c r="C45" s="840"/>
      <c r="D45" s="393">
        <f t="shared" si="0"/>
        <v>8.5786472786977424</v>
      </c>
      <c r="E45" s="385">
        <f t="shared" si="1"/>
        <v>9.1289702696932746</v>
      </c>
      <c r="F45" s="385">
        <f t="shared" si="2"/>
        <v>9.1291584924984441</v>
      </c>
      <c r="G45" s="110">
        <f t="shared" si="21"/>
        <v>0.34438146259894165</v>
      </c>
      <c r="H45" s="414" t="b">
        <f>Wh_hp&gt;='2025'!Maxi_hp</f>
        <v>0</v>
      </c>
      <c r="I45" s="390">
        <f>IF(H45,Wh_hp,'2025'!Maxi_hp)</f>
        <v>20.821047723853216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6.1774116341674623E-2</v>
      </c>
      <c r="M45" s="844"/>
      <c r="N45" s="844"/>
      <c r="O45" s="48">
        <f>IF(t&lt;Tnet,'2025'!Resal+('2025'!Salim-'2025'!Resal)*(1-EXP(('2025'!Tnet-t)/('2025'!Tau_j))),Resal+(Salim-Resal)*(1-EXP((Tnet-t)/(Tau_j))))*Salcycl</f>
        <v>6.0283139799733647E-2</v>
      </c>
      <c r="P45" s="169">
        <f>(INDEX(Models!$BJ45:$BT45,,T45)*(1-R45)+INDEX(Models!$BJ45:$BT45,,T45+1)*R45-ERP_i)*Q45*Ramure*Pc/MaxiM</f>
        <v>3.244255003564764E-4</v>
      </c>
      <c r="Q45" s="305">
        <f t="shared" si="4"/>
        <v>0.7</v>
      </c>
      <c r="R45" s="177">
        <f t="shared" si="5"/>
        <v>0.78065031784276284</v>
      </c>
      <c r="S45" s="810">
        <f t="shared" si="6"/>
        <v>-2</v>
      </c>
      <c r="T45" s="176">
        <f t="shared" si="7"/>
        <v>4</v>
      </c>
      <c r="U45" s="251">
        <f t="shared" si="8"/>
        <v>-1.2193496821572372</v>
      </c>
      <c r="V45" s="383">
        <f t="shared" si="9"/>
        <v>23.364392358533163</v>
      </c>
      <c r="W45" s="402">
        <f t="shared" si="10"/>
        <v>8.0487089236492775</v>
      </c>
      <c r="X45" s="157">
        <f t="shared" si="11"/>
        <v>46053</v>
      </c>
      <c r="Y45" s="385">
        <f t="shared" si="12"/>
        <v>7.4820437589822255</v>
      </c>
      <c r="Z45" s="385">
        <f t="shared" si="22"/>
        <v>7.9746720798282391</v>
      </c>
      <c r="AA45" s="386">
        <f t="shared" si="13"/>
        <v>9.1271258485570357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0.12626688706291861</v>
      </c>
      <c r="AD45" s="231">
        <f>(INDEX(Models!$BJ45:$BT45,,AH45)*(1-AF45)+INDEX(Models!$BJ45:$BT45,,AH45+1)*AF45-ERP_i)*AE45*Ramure*Pc/MaxiM</f>
        <v>3.5035155657408431E-3</v>
      </c>
      <c r="AE45" s="305">
        <f t="shared" si="15"/>
        <v>0.7</v>
      </c>
      <c r="AF45" s="177">
        <f t="shared" si="23"/>
        <v>0.60064037094194678</v>
      </c>
      <c r="AG45" s="810">
        <f t="shared" si="24"/>
        <v>1</v>
      </c>
      <c r="AH45" s="176">
        <f t="shared" si="16"/>
        <v>7</v>
      </c>
      <c r="AI45" s="225">
        <f t="shared" si="17"/>
        <v>1.6006403709419468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9.4576715421427995</v>
      </c>
      <c r="C46" s="840"/>
      <c r="D46" s="393">
        <f t="shared" si="0"/>
        <v>10.080612575108477</v>
      </c>
      <c r="E46" s="385">
        <f t="shared" si="1"/>
        <v>10.728786264771802</v>
      </c>
      <c r="F46" s="385">
        <f t="shared" si="2"/>
        <v>10.729305429198916</v>
      </c>
      <c r="G46" s="110">
        <f t="shared" si="21"/>
        <v>0.39976012799641036</v>
      </c>
      <c r="H46" s="414" t="b">
        <f>Wh_hp&gt;='2025'!Maxi_hp</f>
        <v>0</v>
      </c>
      <c r="I46" s="390">
        <f>IF(H46,Wh_hp,'2025'!Maxi_hp)</f>
        <v>21.147132908302876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6.1795950228647145E-2</v>
      </c>
      <c r="M46" s="844"/>
      <c r="N46" s="844"/>
      <c r="O46" s="48">
        <f>IF(t&lt;Tnet,'2025'!Resal+('2025'!Salim-'2025'!Resal)*(1-EXP(('2025'!Tnet-t)/('2025'!Tau_j))),Resal+(Salim-Resal)*(1-EXP((Tnet-t)/(Tau_j))))*Salcycl</f>
        <v>6.0414447046225388E-2</v>
      </c>
      <c r="P46" s="169">
        <f>(INDEX(Models!$BJ46:$BT46,,T46)*(1-R46)+INDEX(Models!$BJ46:$BT46,,T46+1)*R46-ERP_i)*Q46*Ramure*Pc/MaxiM</f>
        <v>3.3913178732670633E-4</v>
      </c>
      <c r="Q46" s="305">
        <f t="shared" si="4"/>
        <v>0.7</v>
      </c>
      <c r="R46" s="177">
        <f t="shared" si="5"/>
        <v>0.78072995671511536</v>
      </c>
      <c r="S46" s="810">
        <f t="shared" si="6"/>
        <v>-2</v>
      </c>
      <c r="T46" s="176">
        <f t="shared" si="7"/>
        <v>4</v>
      </c>
      <c r="U46" s="251">
        <f t="shared" si="8"/>
        <v>-1.2192700432848846</v>
      </c>
      <c r="V46" s="383">
        <f t="shared" si="9"/>
        <v>23.651487437327287</v>
      </c>
      <c r="W46" s="402">
        <f t="shared" si="10"/>
        <v>9.4576715421427995</v>
      </c>
      <c r="X46" s="157">
        <f t="shared" si="11"/>
        <v>46054</v>
      </c>
      <c r="Y46" s="385">
        <f t="shared" si="12"/>
        <v>8.790115822575995</v>
      </c>
      <c r="Z46" s="385">
        <f t="shared" si="22"/>
        <v>9.3690874865848315</v>
      </c>
      <c r="AA46" s="386">
        <f t="shared" si="13"/>
        <v>10.723781171278858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0.1263261216409616</v>
      </c>
      <c r="AD46" s="231">
        <f>(INDEX(Models!$BJ46:$BT46,,AH46)*(1-AF46)+INDEX(Models!$BJ46:$BT46,,AH46+1)*AF46-ERP_i)*AE46*Ramure*Pc/MaxiM</f>
        <v>3.608589811317123E-3</v>
      </c>
      <c r="AE46" s="305">
        <f t="shared" si="15"/>
        <v>0.7</v>
      </c>
      <c r="AF46" s="177">
        <f t="shared" si="23"/>
        <v>0.60072000981429929</v>
      </c>
      <c r="AG46" s="810">
        <f t="shared" si="24"/>
        <v>1</v>
      </c>
      <c r="AH46" s="176">
        <f t="shared" si="16"/>
        <v>7</v>
      </c>
      <c r="AI46" s="225">
        <f t="shared" si="17"/>
        <v>1.6007200098142993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5.359324464598223</v>
      </c>
      <c r="C47" s="840"/>
      <c r="D47" s="393">
        <f t="shared" si="0"/>
        <v>5.7124558225010729</v>
      </c>
      <c r="E47" s="385">
        <f t="shared" si="1"/>
        <v>6.0806106509168751</v>
      </c>
      <c r="F47" s="385">
        <f t="shared" si="2"/>
        <v>6.0806106509168751</v>
      </c>
      <c r="G47" s="110">
        <f t="shared" si="21"/>
        <v>0.22376442349786207</v>
      </c>
      <c r="H47" s="414" t="b">
        <f>Wh_hp&gt;='2025'!Maxi_hp</f>
        <v>0</v>
      </c>
      <c r="I47" s="390">
        <f>IF(H47,Wh_hp,'2025'!Maxi_hp)</f>
        <v>24.623005802832068</v>
      </c>
      <c r="J47" s="85">
        <f>IF(H47,An,'2025'!An_max)</f>
        <v>2020</v>
      </c>
      <c r="K47" s="197">
        <f t="shared" si="3"/>
        <v>46055</v>
      </c>
      <c r="L47" s="147">
        <f>IF(t&lt;Tvie,1-EXP((T0-t)*PertePVj)+'2025'!Pspv,1-EXP((T0-t)*PertePVj)+Pspv)</f>
        <v>6.1817783607513221E-2</v>
      </c>
      <c r="M47" s="844"/>
      <c r="N47" s="844"/>
      <c r="O47" s="48">
        <f>IF(t&lt;Tnet,'2025'!Resal+('2025'!Salim-'2025'!Resal)*(1-EXP(('2025'!Tnet-t)/('2025'!Tau_j))),Resal+(Salim-Resal)*(1-EXP((Tnet-t)/(Tau_j))))*Salcycl</f>
        <v>6.0545700021146606E-2</v>
      </c>
      <c r="P47" s="169">
        <f>(INDEX(Models!$BJ47:$BT47,,T47)*(1-R47)+INDEX(Models!$BJ47:$BT47,,T47+1)*R47-ERP_i)*Q47*Ramure*Pc/MaxiM</f>
        <v>3.537065193641563E-4</v>
      </c>
      <c r="Q47" s="305">
        <f t="shared" si="4"/>
        <v>0.7</v>
      </c>
      <c r="R47" s="177">
        <f t="shared" si="5"/>
        <v>0.78081290276731119</v>
      </c>
      <c r="S47" s="810">
        <f t="shared" si="6"/>
        <v>-2</v>
      </c>
      <c r="T47" s="176">
        <f t="shared" si="7"/>
        <v>4</v>
      </c>
      <c r="U47" s="251">
        <f t="shared" si="8"/>
        <v>-1.2191870972326888</v>
      </c>
      <c r="V47" s="383">
        <f t="shared" si="9"/>
        <v>23.942272649284185</v>
      </c>
      <c r="W47" s="402">
        <f t="shared" si="10"/>
        <v>5.359324464598223</v>
      </c>
      <c r="X47" s="157">
        <f t="shared" si="11"/>
        <v>46055</v>
      </c>
      <c r="Y47" s="385">
        <f t="shared" si="12"/>
        <v>4.9837269210369906</v>
      </c>
      <c r="Z47" s="385">
        <f t="shared" si="22"/>
        <v>5.3121097735155294</v>
      </c>
      <c r="AA47" s="386">
        <f t="shared" si="13"/>
        <v>6.0806106509168751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0.12638547697268951</v>
      </c>
      <c r="AD47" s="231">
        <f>(INDEX(Models!$BJ47:$BT47,,AH47)*(1-AF47)+INDEX(Models!$BJ47:$BT47,,AH47+1)*AF47-ERP_i)*AE47*Ramure*Pc/MaxiM</f>
        <v>3.720551530244609E-3</v>
      </c>
      <c r="AE47" s="305">
        <f t="shared" si="15"/>
        <v>0.7</v>
      </c>
      <c r="AF47" s="177">
        <f t="shared" si="23"/>
        <v>0.60080295586649513</v>
      </c>
      <c r="AG47" s="810">
        <f t="shared" si="24"/>
        <v>1</v>
      </c>
      <c r="AH47" s="176">
        <f t="shared" si="16"/>
        <v>7</v>
      </c>
      <c r="AI47" s="225">
        <f t="shared" si="17"/>
        <v>1.6008029558664951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9.7425364234518756</v>
      </c>
      <c r="C48" s="840"/>
      <c r="D48" s="393">
        <f t="shared" si="0"/>
        <v>10.384723757871587</v>
      </c>
      <c r="E48" s="385">
        <f t="shared" si="1"/>
        <v>11.055539584450301</v>
      </c>
      <c r="F48" s="385">
        <f t="shared" si="2"/>
        <v>11.056132579727041</v>
      </c>
      <c r="G48" s="110">
        <f t="shared" si="21"/>
        <v>0.40185373108414124</v>
      </c>
      <c r="H48" s="414" t="b">
        <f>Wh_hp&gt;='2025'!Maxi_hp</f>
        <v>0</v>
      </c>
      <c r="I48" s="390">
        <f>IF(H48,Wh_hp,'2025'!Maxi_hp)</f>
        <v>23.131615520800864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6.1839616478284731E-2</v>
      </c>
      <c r="M48" s="844"/>
      <c r="N48" s="844"/>
      <c r="O48" s="48">
        <f>IF(t&lt;Tnet,'2025'!Resal+('2025'!Salim-'2025'!Resal)*(1-EXP(('2025'!Tnet-t)/('2025'!Tau_j))),Resal+(Salim-Resal)*(1-EXP((Tnet-t)/(Tau_j))))*Salcycl</f>
        <v>6.0676896089470175E-2</v>
      </c>
      <c r="P48" s="169">
        <f>(INDEX(Models!$BJ48:$BT48,,T48)*(1-R48)+INDEX(Models!$BJ48:$BT48,,T48+1)*R48-ERP_i)*Q48*Ramure*Pc/MaxiM</f>
        <v>3.6815466749840669E-4</v>
      </c>
      <c r="Q48" s="305">
        <f t="shared" si="4"/>
        <v>0.7</v>
      </c>
      <c r="R48" s="177">
        <f t="shared" si="5"/>
        <v>0.78089929186701768</v>
      </c>
      <c r="S48" s="810">
        <f t="shared" si="6"/>
        <v>-2</v>
      </c>
      <c r="T48" s="176">
        <f t="shared" si="7"/>
        <v>4</v>
      </c>
      <c r="U48" s="251">
        <f t="shared" si="8"/>
        <v>-1.2191007081329823</v>
      </c>
      <c r="V48" s="383">
        <f t="shared" si="9"/>
        <v>24.236360859843888</v>
      </c>
      <c r="W48" s="402">
        <f t="shared" si="10"/>
        <v>9.7425364234518756</v>
      </c>
      <c r="X48" s="157">
        <f t="shared" si="11"/>
        <v>46056</v>
      </c>
      <c r="Y48" s="385">
        <f t="shared" si="12"/>
        <v>9.0558169224148486</v>
      </c>
      <c r="Z48" s="385">
        <f t="shared" si="22"/>
        <v>9.6527385737827167</v>
      </c>
      <c r="AA48" s="386">
        <f t="shared" si="13"/>
        <v>11.04994875103295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0.1264449463731333</v>
      </c>
      <c r="AD48" s="231">
        <f>(INDEX(Models!$BJ48:$BT48,,AH48)*(1-AF48)+INDEX(Models!$BJ48:$BT48,,AH48+1)*AF48-ERP_i)*AE48*Ramure*Pc/MaxiM</f>
        <v>3.8391627826398944E-3</v>
      </c>
      <c r="AE48" s="305">
        <f t="shared" si="15"/>
        <v>0.7</v>
      </c>
      <c r="AF48" s="177">
        <f t="shared" si="23"/>
        <v>0.60088934496620161</v>
      </c>
      <c r="AG48" s="810">
        <f t="shared" si="24"/>
        <v>1</v>
      </c>
      <c r="AH48" s="176">
        <f t="shared" si="16"/>
        <v>7</v>
      </c>
      <c r="AI48" s="225">
        <f t="shared" si="17"/>
        <v>1.6008893449662016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9.6173940553542607</v>
      </c>
      <c r="C49" s="840"/>
      <c r="D49" s="393">
        <f t="shared" si="0"/>
        <v>10.25157109626549</v>
      </c>
      <c r="E49" s="385">
        <f t="shared" si="1"/>
        <v>10.915309590870654</v>
      </c>
      <c r="F49" s="385">
        <f t="shared" si="2"/>
        <v>10.915858397474025</v>
      </c>
      <c r="G49" s="110">
        <f t="shared" si="21"/>
        <v>0.39188259977821938</v>
      </c>
      <c r="H49" s="414" t="b">
        <f>Wh_hp&gt;='2025'!Maxi_hp</f>
        <v>0</v>
      </c>
      <c r="I49" s="390">
        <f>IF(H49,Wh_hp,'2025'!Maxi_hp)</f>
        <v>21.711002332701614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6.1861448840973332E-2</v>
      </c>
      <c r="M49" s="844"/>
      <c r="N49" s="844"/>
      <c r="O49" s="48">
        <f>IF(t&lt;Tnet,'2025'!Resal+('2025'!Salim-'2025'!Resal)*(1-EXP(('2025'!Tnet-t)/('2025'!Tau_j))),Resal+(Salim-Resal)*(1-EXP((Tnet-t)/(Tau_j))))*Salcycl</f>
        <v>6.0808031973761195E-2</v>
      </c>
      <c r="P49" s="169">
        <f>(INDEX(Models!$BJ49:$BT49,,T49)*(1-R49)+INDEX(Models!$BJ49:$BT49,,T49+1)*R49-ERP_i)*Q49*Ramure*Pc/MaxiM</f>
        <v>3.8248205274630875E-4</v>
      </c>
      <c r="Q49" s="305">
        <f t="shared" si="4"/>
        <v>0.7</v>
      </c>
      <c r="R49" s="177">
        <f t="shared" si="5"/>
        <v>0.78098926533851043</v>
      </c>
      <c r="S49" s="810">
        <f t="shared" si="6"/>
        <v>-2</v>
      </c>
      <c r="T49" s="176">
        <f t="shared" si="7"/>
        <v>4</v>
      </c>
      <c r="U49" s="251">
        <f t="shared" si="8"/>
        <v>-1.2190107346614896</v>
      </c>
      <c r="V49" s="383">
        <f t="shared" si="9"/>
        <v>24.533365207945586</v>
      </c>
      <c r="W49" s="402">
        <f t="shared" si="10"/>
        <v>9.6173940553542607</v>
      </c>
      <c r="X49" s="157">
        <f t="shared" si="11"/>
        <v>46057</v>
      </c>
      <c r="Y49" s="385">
        <f t="shared" si="12"/>
        <v>8.9404458141806451</v>
      </c>
      <c r="Z49" s="385">
        <f t="shared" si="22"/>
        <v>9.5299844603285297</v>
      </c>
      <c r="AA49" s="386">
        <f t="shared" si="13"/>
        <v>10.910170343109272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0.12650452187049943</v>
      </c>
      <c r="AD49" s="231">
        <f>(INDEX(Models!$BJ49:$BT49,,AH49)*(1-AF49)+INDEX(Models!$BJ49:$BT49,,AH49+1)*AF49-ERP_i)*AE49*Ramure*Pc/MaxiM</f>
        <v>3.9641992210096974E-3</v>
      </c>
      <c r="AE49" s="305">
        <f t="shared" si="15"/>
        <v>0.7</v>
      </c>
      <c r="AF49" s="177">
        <f t="shared" si="23"/>
        <v>0.60097931843769437</v>
      </c>
      <c r="AG49" s="810">
        <f t="shared" si="24"/>
        <v>1</v>
      </c>
      <c r="AH49" s="176">
        <f t="shared" si="16"/>
        <v>7</v>
      </c>
      <c r="AI49" s="225">
        <f t="shared" si="17"/>
        <v>1.6009793184376944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8.8468154796541754</v>
      </c>
      <c r="C50" s="840"/>
      <c r="D50" s="393">
        <f t="shared" si="0"/>
        <v>9.4303995415558486</v>
      </c>
      <c r="E50" s="385">
        <f t="shared" si="1"/>
        <v>10.042372735957786</v>
      </c>
      <c r="F50" s="385">
        <f t="shared" si="2"/>
        <v>10.042692891686638</v>
      </c>
      <c r="G50" s="110">
        <f t="shared" si="21"/>
        <v>0.35612386142614549</v>
      </c>
      <c r="H50" s="414" t="b">
        <f>Wh_hp&gt;='2025'!Maxi_hp</f>
        <v>0</v>
      </c>
      <c r="I50" s="390">
        <f>IF(H50,Wh_hp,'2025'!Maxi_hp)</f>
        <v>28.631560461107572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6.1883280695591014E-2</v>
      </c>
      <c r="M50" s="844"/>
      <c r="N50" s="844"/>
      <c r="O50" s="48">
        <f>IF(t&lt;Tnet,'2025'!Resal+('2025'!Salim-'2025'!Resal)*(1-EXP(('2025'!Tnet-t)/('2025'!Tau_j))),Resal+(Salim-Resal)*(1-EXP((Tnet-t)/(Tau_j))))*Salcycl</f>
        <v>6.0939103784776114E-2</v>
      </c>
      <c r="P50" s="169">
        <f>(INDEX(Models!$BJ50:$BT50,,T50)*(1-R50)+INDEX(Models!$BJ50:$BT50,,T50+1)*R50-ERP_i)*Q50*Ramure*Pc/MaxiM</f>
        <v>3.9669526708238119E-4</v>
      </c>
      <c r="Q50" s="305">
        <f t="shared" si="4"/>
        <v>0.7</v>
      </c>
      <c r="R50" s="177">
        <f t="shared" si="5"/>
        <v>0.78108297017113504</v>
      </c>
      <c r="S50" s="810">
        <f t="shared" si="6"/>
        <v>-2</v>
      </c>
      <c r="T50" s="176">
        <f t="shared" si="7"/>
        <v>4</v>
      </c>
      <c r="U50" s="251">
        <f t="shared" si="8"/>
        <v>-1.218917029828865</v>
      </c>
      <c r="V50" s="383">
        <f t="shared" si="9"/>
        <v>24.832899102314872</v>
      </c>
      <c r="W50" s="402">
        <f t="shared" si="10"/>
        <v>8.8468154796541754</v>
      </c>
      <c r="X50" s="157">
        <f t="shared" si="11"/>
        <v>46058</v>
      </c>
      <c r="Y50" s="385">
        <f t="shared" si="12"/>
        <v>8.226120947890692</v>
      </c>
      <c r="Z50" s="385">
        <f t="shared" si="22"/>
        <v>8.7687606228680828</v>
      </c>
      <c r="AA50" s="386">
        <f t="shared" si="13"/>
        <v>10.039387629228877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0.12656419428028312</v>
      </c>
      <c r="AD50" s="231">
        <f>(INDEX(Models!$BJ50:$BT50,,AH50)*(1-AF50)+INDEX(Models!$BJ50:$BT50,,AH50+1)*AF50-ERP_i)*AE50*Ramure*Pc/MaxiM</f>
        <v>4.0954506051181193E-3</v>
      </c>
      <c r="AE50" s="305">
        <f t="shared" si="15"/>
        <v>0.7</v>
      </c>
      <c r="AF50" s="177">
        <f t="shared" si="23"/>
        <v>0.60107302327031897</v>
      </c>
      <c r="AG50" s="810">
        <f t="shared" si="24"/>
        <v>1</v>
      </c>
      <c r="AH50" s="176">
        <f t="shared" si="16"/>
        <v>7</v>
      </c>
      <c r="AI50" s="225">
        <f t="shared" si="17"/>
        <v>1.601073023270319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16.883552954010586</v>
      </c>
      <c r="C51" s="840"/>
      <c r="D51" s="393">
        <f t="shared" si="0"/>
        <v>17.997702759861092</v>
      </c>
      <c r="E51" s="385">
        <f t="shared" si="1"/>
        <v>19.168313731656372</v>
      </c>
      <c r="F51" s="385">
        <f t="shared" si="2"/>
        <v>19.172495489026808</v>
      </c>
      <c r="G51" s="110">
        <f t="shared" si="21"/>
        <v>0.67155428475175261</v>
      </c>
      <c r="H51" s="414" t="b">
        <f>Wh_hp&gt;='2025'!Maxi_hp</f>
        <v>0</v>
      </c>
      <c r="I51" s="390">
        <f>IF(H51,Wh_hp,'2025'!Maxi_hp)</f>
        <v>29.492309215343429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6.1905112042149546E-2</v>
      </c>
      <c r="M51" s="844"/>
      <c r="N51" s="844"/>
      <c r="O51" s="48">
        <f>IF(t&lt;Tnet,'2025'!Resal+('2025'!Salim-'2025'!Resal)*(1-EXP(('2025'!Tnet-t)/('2025'!Tau_j))),Resal+(Salim-Resal)*(1-EXP((Tnet-t)/(Tau_j))))*Salcycl</f>
        <v>6.1070107062262034E-2</v>
      </c>
      <c r="P51" s="169">
        <f>(INDEX(Models!$BJ51:$BT51,,T51)*(1-R51)+INDEX(Models!$BJ51:$BT51,,T51+1)*R51-ERP_i)*Q51*Ramure*Pc/MaxiM</f>
        <v>4.1077564434506694E-4</v>
      </c>
      <c r="Q51" s="305">
        <f t="shared" si="4"/>
        <v>0.7</v>
      </c>
      <c r="R51" s="177">
        <f t="shared" si="5"/>
        <v>0.78118055923481045</v>
      </c>
      <c r="S51" s="810">
        <f t="shared" si="6"/>
        <v>-2</v>
      </c>
      <c r="T51" s="176">
        <f t="shared" si="7"/>
        <v>4</v>
      </c>
      <c r="U51" s="251">
        <f t="shared" si="8"/>
        <v>-1.2188194407651896</v>
      </c>
      <c r="V51" s="383">
        <f t="shared" si="9"/>
        <v>25.136165141263742</v>
      </c>
      <c r="W51" s="402">
        <f t="shared" si="10"/>
        <v>16.883552954010586</v>
      </c>
      <c r="X51" s="157">
        <f t="shared" si="11"/>
        <v>46059</v>
      </c>
      <c r="Y51" s="385">
        <f t="shared" si="12"/>
        <v>15.672908097984514</v>
      </c>
      <c r="Z51" s="385">
        <f t="shared" si="22"/>
        <v>16.707167152464766</v>
      </c>
      <c r="AA51" s="386">
        <f t="shared" si="13"/>
        <v>19.129408478268349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0.12662395329972326</v>
      </c>
      <c r="AD51" s="231">
        <f>(INDEX(Models!$BJ51:$BT51,,AH51)*(1-AF51)+INDEX(Models!$BJ51:$BT51,,AH51+1)*AF51-ERP_i)*AE51*Ramure*Pc/MaxiM</f>
        <v>4.2324537363967315E-3</v>
      </c>
      <c r="AE51" s="305">
        <f t="shared" si="15"/>
        <v>0.7</v>
      </c>
      <c r="AF51" s="177">
        <f t="shared" si="23"/>
        <v>0.60117061233399438</v>
      </c>
      <c r="AG51" s="810">
        <f t="shared" si="24"/>
        <v>1</v>
      </c>
      <c r="AH51" s="176">
        <f t="shared" si="16"/>
        <v>7</v>
      </c>
      <c r="AI51" s="225">
        <f t="shared" si="17"/>
        <v>1.6011706123339944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9.0166164965858577</v>
      </c>
      <c r="C52" s="840"/>
      <c r="D52" s="393">
        <f t="shared" si="0"/>
        <v>9.6118489153439004</v>
      </c>
      <c r="E52" s="385">
        <f t="shared" si="1"/>
        <v>10.238452844942344</v>
      </c>
      <c r="F52" s="385">
        <f t="shared" si="2"/>
        <v>10.238789516817208</v>
      </c>
      <c r="G52" s="110">
        <f t="shared" si="21"/>
        <v>0.35422619896280177</v>
      </c>
      <c r="H52" s="414" t="b">
        <f>Wh_hp&gt;='2025'!Maxi_hp</f>
        <v>0</v>
      </c>
      <c r="I52" s="390">
        <f>IF(H52,Wh_hp,'2025'!Maxi_hp)</f>
        <v>20.449279964874634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6.1926942880660807E-2</v>
      </c>
      <c r="M52" s="844"/>
      <c r="N52" s="844"/>
      <c r="O52" s="48">
        <f>IF(t&lt;Tnet,'2025'!Resal+('2025'!Salim-'2025'!Resal)*(1-EXP(('2025'!Tnet-t)/('2025'!Tau_j))),Resal+(Salim-Resal)*(1-EXP((Tnet-t)/(Tau_j))))*Salcycl</f>
        <v>6.1201036825400554E-2</v>
      </c>
      <c r="P52" s="169">
        <f>(INDEX(Models!$BJ52:$BT52,,T52)*(1-R52)+INDEX(Models!$BJ52:$BT52,,T52+1)*R52-ERP_i)*Q52*Ramure*Pc/MaxiM</f>
        <v>4.2338959485843587E-4</v>
      </c>
      <c r="Q52" s="305">
        <f t="shared" si="4"/>
        <v>0.7</v>
      </c>
      <c r="R52" s="177">
        <f t="shared" si="5"/>
        <v>0.78128219150273148</v>
      </c>
      <c r="S52" s="810">
        <f t="shared" si="6"/>
        <v>-2</v>
      </c>
      <c r="T52" s="176">
        <f t="shared" si="7"/>
        <v>4</v>
      </c>
      <c r="U52" s="251">
        <f t="shared" si="8"/>
        <v>-1.2187178084972685</v>
      </c>
      <c r="V52" s="383">
        <f t="shared" si="9"/>
        <v>25.444462747165428</v>
      </c>
      <c r="W52" s="402">
        <f t="shared" si="10"/>
        <v>9.0166164965858577</v>
      </c>
      <c r="X52" s="157">
        <f t="shared" si="11"/>
        <v>46060</v>
      </c>
      <c r="Y52" s="385">
        <f t="shared" si="12"/>
        <v>8.3851253306677229</v>
      </c>
      <c r="Z52" s="385">
        <f t="shared" si="22"/>
        <v>8.9386698264386766</v>
      </c>
      <c r="AA52" s="386">
        <f t="shared" si="13"/>
        <v>10.235318776564402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0.12668378762121557</v>
      </c>
      <c r="AD52" s="231">
        <f>(INDEX(Models!$BJ52:$BT52,,AH52)*(1-AF52)+INDEX(Models!$BJ52:$BT52,,AH52+1)*AF52-ERP_i)*AE52*Ramure*Pc/MaxiM</f>
        <v>4.3647106254032795E-3</v>
      </c>
      <c r="AE52" s="305">
        <f t="shared" si="15"/>
        <v>0.7</v>
      </c>
      <c r="AF52" s="177">
        <f t="shared" si="23"/>
        <v>0.60127224460191542</v>
      </c>
      <c r="AG52" s="810">
        <f t="shared" si="24"/>
        <v>1</v>
      </c>
      <c r="AH52" s="176">
        <f t="shared" si="16"/>
        <v>7</v>
      </c>
      <c r="AI52" s="225">
        <f t="shared" si="17"/>
        <v>1.6012722446019154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26.389236887658033</v>
      </c>
      <c r="C53" s="840"/>
      <c r="D53" s="393">
        <f t="shared" si="0"/>
        <v>28.131978440019374</v>
      </c>
      <c r="E53" s="385">
        <f t="shared" si="1"/>
        <v>29.970101326929679</v>
      </c>
      <c r="F53" s="385">
        <f t="shared" si="2"/>
        <v>29.983116479380314</v>
      </c>
      <c r="G53" s="110">
        <f t="shared" si="21"/>
        <v>1.0245257763407305</v>
      </c>
      <c r="H53" s="414" t="b">
        <f>Wh_hp&gt;='2025'!Maxi_hp</f>
        <v>1</v>
      </c>
      <c r="I53" s="390">
        <f>IF(H53,Wh_hp,'2025'!Maxi_hp)</f>
        <v>29.983116479380314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6.1948773211136454E-2</v>
      </c>
      <c r="M53" s="844"/>
      <c r="N53" s="844"/>
      <c r="O53" s="48">
        <f>IF(t&lt;Tnet,'2025'!Resal+('2025'!Salim-'2025'!Resal)*(1-EXP(('2025'!Tnet-t)/('2025'!Tau_j))),Resal+(Salim-Resal)*(1-EXP((Tnet-t)/(Tau_j))))*Salcycl</f>
        <v>6.1331887632246999E-2</v>
      </c>
      <c r="P53" s="169">
        <f>(INDEX(Models!$BJ53:$BT53,,T53)*(1-R53)+INDEX(Models!$BJ53:$BT53,,T53+1)*R53-ERP_i)*Q53*Ramure*Pc/MaxiM</f>
        <v>4.3408270983389373E-4</v>
      </c>
      <c r="Q53" s="305">
        <f t="shared" si="4"/>
        <v>0.7</v>
      </c>
      <c r="R53" s="177">
        <f t="shared" si="5"/>
        <v>0.78138803228142462</v>
      </c>
      <c r="S53" s="810">
        <f t="shared" si="6"/>
        <v>-2</v>
      </c>
      <c r="T53" s="176">
        <f t="shared" si="7"/>
        <v>4</v>
      </c>
      <c r="U53" s="251">
        <f t="shared" si="8"/>
        <v>-1.2186119677185754</v>
      </c>
      <c r="V53" s="383">
        <f t="shared" si="9"/>
        <v>25.757513863547405</v>
      </c>
      <c r="W53" s="402">
        <f t="shared" si="10"/>
        <v>26.389236887658033</v>
      </c>
      <c r="X53" s="157">
        <f t="shared" si="11"/>
        <v>46061</v>
      </c>
      <c r="Y53" s="385">
        <f t="shared" si="12"/>
        <v>24.450739935463805</v>
      </c>
      <c r="Z53" s="385">
        <f t="shared" si="22"/>
        <v>26.065463417348287</v>
      </c>
      <c r="AA53" s="386">
        <f t="shared" si="13"/>
        <v>29.848582794654774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0.12674368506313</v>
      </c>
      <c r="AD53" s="231">
        <f>(INDEX(Models!$BJ53:$BT53,,AH53)*(1-AF53)+INDEX(Models!$BJ53:$BT53,,AH53+1)*AF53-ERP_i)*AE53*Ramure*Pc/MaxiM</f>
        <v>4.4869813589277332E-3</v>
      </c>
      <c r="AE53" s="305">
        <f t="shared" si="15"/>
        <v>0.7</v>
      </c>
      <c r="AF53" s="177">
        <f t="shared" si="23"/>
        <v>0.60137808538060855</v>
      </c>
      <c r="AG53" s="810">
        <f t="shared" si="24"/>
        <v>1</v>
      </c>
      <c r="AH53" s="176">
        <f t="shared" si="16"/>
        <v>7</v>
      </c>
      <c r="AI53" s="225">
        <f t="shared" si="17"/>
        <v>1.6013780853806086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26.466639138723401</v>
      </c>
      <c r="C54" s="840"/>
      <c r="D54" s="393">
        <f t="shared" si="0"/>
        <v>28.215148932769647</v>
      </c>
      <c r="E54" s="385">
        <f t="shared" si="1"/>
        <v>30.062894185747698</v>
      </c>
      <c r="F54" s="385">
        <f t="shared" si="2"/>
        <v>30.076215660223149</v>
      </c>
      <c r="G54" s="110">
        <f t="shared" si="21"/>
        <v>1.0150186423570315</v>
      </c>
      <c r="H54" s="414" t="b">
        <f>Wh_hp&gt;='2025'!Maxi_hp</f>
        <v>1</v>
      </c>
      <c r="I54" s="390">
        <f>IF(H54,Wh_hp,'2025'!Maxi_hp)</f>
        <v>30.076215660223149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6.1970603033588478E-2</v>
      </c>
      <c r="M54" s="844"/>
      <c r="N54" s="844"/>
      <c r="O54" s="48">
        <f>IF(t&lt;Tnet,'2025'!Resal+('2025'!Salim-'2025'!Resal)*(1-EXP(('2025'!Tnet-t)/('2025'!Tau_j))),Resal+(Salim-Resal)*(1-EXP((Tnet-t)/(Tau_j))))*Salcycl</f>
        <v>6.1462653647433411E-2</v>
      </c>
      <c r="P54" s="169">
        <f>(INDEX(Models!$BJ54:$BT54,,T54)*(1-R54)+INDEX(Models!$BJ54:$BT54,,T54+1)*R54-ERP_i)*Q54*Ramure*Pc/MaxiM</f>
        <v>4.4292389128815907E-4</v>
      </c>
      <c r="Q54" s="305">
        <f t="shared" si="4"/>
        <v>0.7</v>
      </c>
      <c r="R54" s="177">
        <f t="shared" si="5"/>
        <v>0.78149825344829749</v>
      </c>
      <c r="S54" s="810">
        <f t="shared" si="6"/>
        <v>-2</v>
      </c>
      <c r="T54" s="176">
        <f t="shared" si="7"/>
        <v>4</v>
      </c>
      <c r="U54" s="251">
        <f t="shared" si="8"/>
        <v>-1.2185017465517025</v>
      </c>
      <c r="V54" s="383">
        <f t="shared" si="9"/>
        <v>26.075027624383079</v>
      </c>
      <c r="W54" s="402">
        <f t="shared" si="10"/>
        <v>26.466639138723401</v>
      </c>
      <c r="X54" s="157">
        <f t="shared" si="11"/>
        <v>46062</v>
      </c>
      <c r="Y54" s="385">
        <f t="shared" si="12"/>
        <v>24.521631509354343</v>
      </c>
      <c r="Z54" s="385">
        <f t="shared" si="22"/>
        <v>26.141645015238687</v>
      </c>
      <c r="AA54" s="386">
        <f t="shared" si="13"/>
        <v>29.937876512885417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0.1268036327163288</v>
      </c>
      <c r="AD54" s="231">
        <f>(INDEX(Models!$BJ54:$BT54,,AH54)*(1-AF54)+INDEX(Models!$BJ54:$BT54,,AH54+1)*AF54-ERP_i)*AE54*Ramure*Pc/MaxiM</f>
        <v>4.5996194767511074E-3</v>
      </c>
      <c r="AE54" s="305">
        <f t="shared" si="15"/>
        <v>0.7</v>
      </c>
      <c r="AF54" s="177">
        <f t="shared" si="23"/>
        <v>0.60148830654748142</v>
      </c>
      <c r="AG54" s="810">
        <f t="shared" si="24"/>
        <v>1</v>
      </c>
      <c r="AH54" s="176">
        <f t="shared" si="16"/>
        <v>7</v>
      </c>
      <c r="AI54" s="225">
        <f t="shared" si="17"/>
        <v>1.6014883065474814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24.839211087651645</v>
      </c>
      <c r="C55" s="840"/>
      <c r="D55" s="393">
        <f t="shared" si="0"/>
        <v>26.480821631140326</v>
      </c>
      <c r="E55" s="385">
        <f t="shared" si="1"/>
        <v>28.218918771053438</v>
      </c>
      <c r="F55" s="385">
        <f t="shared" si="2"/>
        <v>28.230551215321459</v>
      </c>
      <c r="G55" s="110">
        <f t="shared" si="21"/>
        <v>0.9409606497214662</v>
      </c>
      <c r="H55" s="414" t="b">
        <f>Wh_hp&gt;='2025'!Maxi_hp</f>
        <v>1</v>
      </c>
      <c r="I55" s="390">
        <f>IF(H55,Wh_hp,'2025'!Maxi_hp)</f>
        <v>28.230551215321459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6.1992432348028648E-2</v>
      </c>
      <c r="M55" s="844"/>
      <c r="N55" s="844"/>
      <c r="O55" s="48">
        <f>IF(t&lt;Tnet,'2025'!Resal+('2025'!Salim-'2025'!Resal)*(1-EXP(('2025'!Tnet-t)/('2025'!Tau_j))),Resal+(Salim-Resal)*(1-EXP((Tnet-t)/(Tau_j))))*Salcycl</f>
        <v>6.1593328717329462E-2</v>
      </c>
      <c r="P55" s="169">
        <f>(INDEX(Models!$BJ55:$BT55,,T55)*(1-R55)+INDEX(Models!$BJ55:$BT55,,T55+1)*R55-ERP_i)*Q55*Ramure*Pc/MaxiM</f>
        <v>4.4998092278947482E-4</v>
      </c>
      <c r="Q55" s="305">
        <f t="shared" si="4"/>
        <v>0.7</v>
      </c>
      <c r="R55" s="177">
        <f t="shared" si="5"/>
        <v>0.78161303369682744</v>
      </c>
      <c r="S55" s="810">
        <f t="shared" si="6"/>
        <v>-2</v>
      </c>
      <c r="T55" s="176">
        <f t="shared" si="7"/>
        <v>4</v>
      </c>
      <c r="U55" s="251">
        <f t="shared" si="8"/>
        <v>-1.2183869663031726</v>
      </c>
      <c r="V55" s="383">
        <f t="shared" si="9"/>
        <v>26.396713372227904</v>
      </c>
      <c r="W55" s="402">
        <f t="shared" si="10"/>
        <v>24.839211087651645</v>
      </c>
      <c r="X55" s="157">
        <f t="shared" si="11"/>
        <v>46063</v>
      </c>
      <c r="Y55" s="385">
        <f t="shared" si="12"/>
        <v>23.021490184865922</v>
      </c>
      <c r="Z55" s="385">
        <f t="shared" si="22"/>
        <v>24.542968499170549</v>
      </c>
      <c r="AA55" s="386">
        <f t="shared" si="13"/>
        <v>28.108974703107151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0.12686361710455471</v>
      </c>
      <c r="AD55" s="231">
        <f>(INDEX(Models!$BJ55:$BT55,,AH55)*(1-AF55)+INDEX(Models!$BJ55:$BT55,,AH55+1)*AF55-ERP_i)*AE55*Ramure*Pc/MaxiM</f>
        <v>4.702976424837013E-3</v>
      </c>
      <c r="AE55" s="305">
        <f t="shared" si="15"/>
        <v>0.7</v>
      </c>
      <c r="AF55" s="177">
        <f t="shared" si="23"/>
        <v>0.60160308679601138</v>
      </c>
      <c r="AG55" s="810">
        <f t="shared" si="24"/>
        <v>1</v>
      </c>
      <c r="AH55" s="176">
        <f t="shared" si="16"/>
        <v>7</v>
      </c>
      <c r="AI55" s="225">
        <f t="shared" si="17"/>
        <v>1.6016030867960114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15.788713563162334</v>
      </c>
      <c r="C56" s="840"/>
      <c r="D56" s="393">
        <f t="shared" si="0"/>
        <v>16.832573150413793</v>
      </c>
      <c r="E56" s="385">
        <f t="shared" si="1"/>
        <v>17.939893455836962</v>
      </c>
      <c r="F56" s="385">
        <f t="shared" si="2"/>
        <v>17.943288002934484</v>
      </c>
      <c r="G56" s="110">
        <f t="shared" si="21"/>
        <v>0.59068726163499663</v>
      </c>
      <c r="H56" s="414" t="b">
        <f>Wh_hp&gt;='2025'!Maxi_hp</f>
        <v>0</v>
      </c>
      <c r="I56" s="390">
        <f>IF(H56,Wh_hp,'2025'!Maxi_hp)</f>
        <v>25.264298487786281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6.2014261154468731E-2</v>
      </c>
      <c r="M56" s="844"/>
      <c r="N56" s="844"/>
      <c r="O56" s="48">
        <f>IF(t&lt;Tnet,'2025'!Resal+('2025'!Salim-'2025'!Resal)*(1-EXP(('2025'!Tnet-t)/('2025'!Tau_j))),Resal+(Salim-Resal)*(1-EXP((Tnet-t)/(Tau_j))))*Salcycl</f>
        <v>6.1723906451790544E-2</v>
      </c>
      <c r="P56" s="169">
        <f>(INDEX(Models!$BJ56:$BT56,,T56)*(1-R56)+INDEX(Models!$BJ56:$BT56,,T56+1)*R56-ERP_i)*Q56*Ramure*Pc/MaxiM</f>
        <v>4.5532022200142955E-4</v>
      </c>
      <c r="Q56" s="305">
        <f t="shared" si="4"/>
        <v>0.7</v>
      </c>
      <c r="R56" s="177">
        <f t="shared" si="5"/>
        <v>0.78173255878951631</v>
      </c>
      <c r="S56" s="810">
        <f t="shared" si="6"/>
        <v>-2</v>
      </c>
      <c r="T56" s="176">
        <f t="shared" si="7"/>
        <v>4</v>
      </c>
      <c r="U56" s="251">
        <f t="shared" si="8"/>
        <v>-1.2182674412104837</v>
      </c>
      <c r="V56" s="383">
        <f t="shared" si="9"/>
        <v>26.722280660352901</v>
      </c>
      <c r="W56" s="402">
        <f t="shared" si="10"/>
        <v>15.788713563162334</v>
      </c>
      <c r="X56" s="157">
        <f t="shared" si="11"/>
        <v>46064</v>
      </c>
      <c r="Y56" s="385">
        <f t="shared" si="12"/>
        <v>14.665064074386585</v>
      </c>
      <c r="Z56" s="385">
        <f t="shared" si="22"/>
        <v>15.634634373478089</v>
      </c>
      <c r="AA56" s="386">
        <f t="shared" si="13"/>
        <v>17.907521964454766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0.12692362435674831</v>
      </c>
      <c r="AD56" s="231">
        <f>(INDEX(Models!$BJ56:$BT56,,AH56)*(1-AF56)+INDEX(Models!$BJ56:$BT56,,AH56+1)*AF56-ERP_i)*AE56*Ramure*Pc/MaxiM</f>
        <v>4.7974000987024588E-3</v>
      </c>
      <c r="AE56" s="305">
        <f t="shared" si="15"/>
        <v>0.7</v>
      </c>
      <c r="AF56" s="177">
        <f t="shared" si="23"/>
        <v>0.60172261188870024</v>
      </c>
      <c r="AG56" s="810">
        <f t="shared" si="24"/>
        <v>1</v>
      </c>
      <c r="AH56" s="176">
        <f t="shared" si="16"/>
        <v>7</v>
      </c>
      <c r="AI56" s="225">
        <f t="shared" si="17"/>
        <v>1.6017226118887002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22.826153241116703</v>
      </c>
      <c r="C57" s="840"/>
      <c r="D57" s="393">
        <f t="shared" si="0"/>
        <v>24.335854486984537</v>
      </c>
      <c r="E57" s="385">
        <f t="shared" si="1"/>
        <v>25.940380657607022</v>
      </c>
      <c r="F57" s="385">
        <f t="shared" si="2"/>
        <v>25.94963393860332</v>
      </c>
      <c r="G57" s="110">
        <f t="shared" si="21"/>
        <v>0.84371904699288069</v>
      </c>
      <c r="H57" s="414" t="b">
        <f>Wh_hp&gt;='2025'!Maxi_hp</f>
        <v>0</v>
      </c>
      <c r="I57" s="390">
        <f>IF(H57,Wh_hp,'2025'!Maxi_hp)</f>
        <v>31.080312640486358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6.2036089452920717E-2</v>
      </c>
      <c r="M57" s="844"/>
      <c r="N57" s="844"/>
      <c r="O57" s="48">
        <f>IF(t&lt;Tnet,'2025'!Resal+('2025'!Salim-'2025'!Resal)*(1-EXP(('2025'!Tnet-t)/('2025'!Tau_j))),Resal+(Salim-Resal)*(1-EXP((Tnet-t)/(Tau_j))))*Salcycl</f>
        <v>6.185438031156866E-2</v>
      </c>
      <c r="P57" s="169">
        <f>(INDEX(Models!$BJ57:$BT57,,T57)*(1-R57)+INDEX(Models!$BJ57:$BT57,,T57+1)*R57-ERP_i)*Q57*Ramure*Pc/MaxiM</f>
        <v>4.5900662995915513E-4</v>
      </c>
      <c r="Q57" s="305">
        <f t="shared" si="4"/>
        <v>0.7</v>
      </c>
      <c r="R57" s="177">
        <f t="shared" si="5"/>
        <v>0.78185702181873462</v>
      </c>
      <c r="S57" s="810">
        <f t="shared" si="6"/>
        <v>-2</v>
      </c>
      <c r="T57" s="176">
        <f t="shared" si="7"/>
        <v>4</v>
      </c>
      <c r="U57" s="251">
        <f t="shared" si="8"/>
        <v>-1.2181429781812654</v>
      </c>
      <c r="V57" s="383">
        <f t="shared" si="9"/>
        <v>27.051439248371739</v>
      </c>
      <c r="W57" s="402">
        <f t="shared" si="10"/>
        <v>22.826153241116703</v>
      </c>
      <c r="X57" s="157">
        <f t="shared" si="11"/>
        <v>46065</v>
      </c>
      <c r="Y57" s="385">
        <f t="shared" si="12"/>
        <v>21.16845043987415</v>
      </c>
      <c r="Z57" s="385">
        <f t="shared" si="22"/>
        <v>22.568512713380819</v>
      </c>
      <c r="AA57" s="386">
        <f t="shared" si="13"/>
        <v>25.851191062953248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0.12698364038927243</v>
      </c>
      <c r="AD57" s="231">
        <f>(INDEX(Models!$BJ57:$BT57,,AH57)*(1-AF57)+INDEX(Models!$BJ57:$BT57,,AH57+1)*AF57-ERP_i)*AE57*Ramure*Pc/MaxiM</f>
        <v>4.883233591816861E-3</v>
      </c>
      <c r="AE57" s="305">
        <f t="shared" si="15"/>
        <v>0.7</v>
      </c>
      <c r="AF57" s="177">
        <f t="shared" si="23"/>
        <v>0.60184707491791856</v>
      </c>
      <c r="AG57" s="810">
        <f t="shared" si="24"/>
        <v>1</v>
      </c>
      <c r="AH57" s="176">
        <f t="shared" si="16"/>
        <v>7</v>
      </c>
      <c r="AI57" s="225">
        <f t="shared" si="17"/>
        <v>1.6018470749179186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27.002189448953654</v>
      </c>
      <c r="C58" s="840"/>
      <c r="D58" s="393">
        <f t="shared" si="0"/>
        <v>28.788759930244783</v>
      </c>
      <c r="E58" s="385">
        <f t="shared" si="1"/>
        <v>30.691142534093569</v>
      </c>
      <c r="F58" s="385">
        <f t="shared" si="2"/>
        <v>30.704982022136729</v>
      </c>
      <c r="G58" s="110">
        <f t="shared" si="21"/>
        <v>0.98605056117375522</v>
      </c>
      <c r="H58" s="414" t="b">
        <f>Wh_hp&gt;='2025'!Maxi_hp</f>
        <v>0</v>
      </c>
      <c r="I58" s="390">
        <f>IF(H58,Wh_hp,'2025'!Maxi_hp)</f>
        <v>32.091869543727995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6.2057917243396155E-2</v>
      </c>
      <c r="M58" s="844"/>
      <c r="N58" s="844"/>
      <c r="O58" s="48">
        <f>IF(t&lt;Tnet,'2025'!Resal+('2025'!Salim-'2025'!Resal)*(1-EXP(('2025'!Tnet-t)/('2025'!Tau_j))),Resal+(Salim-Resal)*(1-EXP((Tnet-t)/(Tau_j))))*Salcycl</f>
        <v>6.1984743700417955E-2</v>
      </c>
      <c r="P58" s="169">
        <f>(INDEX(Models!$BJ58:$BT58,,T58)*(1-R58)+INDEX(Models!$BJ58:$BT58,,T58+1)*R58-ERP_i)*Q58*Ramure*Pc/MaxiM</f>
        <v>4.5988301938019169E-4</v>
      </c>
      <c r="Q58" s="305">
        <f t="shared" si="4"/>
        <v>0.7</v>
      </c>
      <c r="R58" s="177">
        <f t="shared" si="5"/>
        <v>0.78198662347556591</v>
      </c>
      <c r="S58" s="810">
        <f t="shared" si="6"/>
        <v>-2</v>
      </c>
      <c r="T58" s="176">
        <f t="shared" si="7"/>
        <v>4</v>
      </c>
      <c r="U58" s="251">
        <f t="shared" si="8"/>
        <v>-1.2180133765244341</v>
      </c>
      <c r="V58" s="383">
        <f t="shared" si="9"/>
        <v>27.383932529332551</v>
      </c>
      <c r="W58" s="402">
        <f t="shared" si="10"/>
        <v>27.002189448953654</v>
      </c>
      <c r="X58" s="157">
        <f t="shared" si="11"/>
        <v>46066</v>
      </c>
      <c r="Y58" s="385">
        <f t="shared" si="12"/>
        <v>25.018839949753282</v>
      </c>
      <c r="Z58" s="385">
        <f t="shared" si="22"/>
        <v>26.674184269697253</v>
      </c>
      <c r="AA58" s="386">
        <f t="shared" si="13"/>
        <v>30.556149002393422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0.12704365109595789</v>
      </c>
      <c r="AD58" s="231">
        <f>(INDEX(Models!$BJ58:$BT58,,AH58)*(1-AF58)+INDEX(Models!$BJ58:$BT58,,AH58+1)*AF58-ERP_i)*AE58*Ramure*Pc/MaxiM</f>
        <v>4.945687173511717E-3</v>
      </c>
      <c r="AE58" s="305">
        <f t="shared" si="15"/>
        <v>0.7</v>
      </c>
      <c r="AF58" s="177">
        <f t="shared" si="23"/>
        <v>0.60197667657474985</v>
      </c>
      <c r="AG58" s="810">
        <f t="shared" si="24"/>
        <v>1</v>
      </c>
      <c r="AH58" s="176">
        <f t="shared" si="16"/>
        <v>7</v>
      </c>
      <c r="AI58" s="225">
        <f t="shared" si="17"/>
        <v>1.6019766765747498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14.14263313947388</v>
      </c>
      <c r="C59" s="840"/>
      <c r="D59" s="393">
        <f t="shared" si="0"/>
        <v>15.07871597497931</v>
      </c>
      <c r="E59" s="385">
        <f t="shared" si="1"/>
        <v>16.077361099905342</v>
      </c>
      <c r="F59" s="385">
        <f t="shared" si="2"/>
        <v>16.079573997560384</v>
      </c>
      <c r="G59" s="110">
        <f t="shared" si="21"/>
        <v>0.51004223403828941</v>
      </c>
      <c r="H59" s="414" t="b">
        <f>Wh_hp&gt;='2025'!Maxi_hp</f>
        <v>0</v>
      </c>
      <c r="I59" s="390">
        <f>IF(H59,Wh_hp,'2025'!Maxi_hp)</f>
        <v>32.218134869509122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6.2079744525907143E-2</v>
      </c>
      <c r="M59" s="844"/>
      <c r="N59" s="844"/>
      <c r="O59" s="48">
        <f>IF(t&lt;Tnet,'2025'!Resal+('2025'!Salim-'2025'!Resal)*(1-EXP(('2025'!Tnet-t)/('2025'!Tau_j))),Resal+(Salim-Resal)*(1-EXP((Tnet-t)/(Tau_j))))*Salcycl</f>
        <v>6.2114990060894541E-2</v>
      </c>
      <c r="P59" s="169">
        <f>(INDEX(Models!$BJ59:$BT59,,T59)*(1-R59)+INDEX(Models!$BJ59:$BT59,,T59+1)*R59-ERP_i)*Q59*Ramure*Pc/MaxiM</f>
        <v>4.582896026885833E-4</v>
      </c>
      <c r="Q59" s="305">
        <f t="shared" si="4"/>
        <v>0.7</v>
      </c>
      <c r="R59" s="177">
        <f t="shared" si="5"/>
        <v>0.78212157232675139</v>
      </c>
      <c r="S59" s="810">
        <f t="shared" si="6"/>
        <v>-2</v>
      </c>
      <c r="T59" s="176">
        <f t="shared" si="7"/>
        <v>4</v>
      </c>
      <c r="U59" s="251">
        <f t="shared" si="8"/>
        <v>-1.2178784276732486</v>
      </c>
      <c r="V59" s="383">
        <f t="shared" si="9"/>
        <v>27.71946415934994</v>
      </c>
      <c r="W59" s="402">
        <f t="shared" si="10"/>
        <v>14.14263313947388</v>
      </c>
      <c r="X59" s="157">
        <f t="shared" si="11"/>
        <v>46067</v>
      </c>
      <c r="Y59" s="385">
        <f t="shared" si="12"/>
        <v>13.144767666442185</v>
      </c>
      <c r="Z59" s="385">
        <f t="shared" si="22"/>
        <v>14.014803059987084</v>
      </c>
      <c r="AA59" s="386">
        <f t="shared" si="13"/>
        <v>16.055517863346186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0.12710364254384687</v>
      </c>
      <c r="AD59" s="231">
        <f>(INDEX(Models!$BJ59:$BT59,,AH59)*(1-AF59)+INDEX(Models!$BJ59:$BT59,,AH59+1)*AF59-ERP_i)*AE59*Ramure*Pc/MaxiM</f>
        <v>4.9820090712821364E-3</v>
      </c>
      <c r="AE59" s="305">
        <f t="shared" si="15"/>
        <v>0.7</v>
      </c>
      <c r="AF59" s="177">
        <f t="shared" si="23"/>
        <v>0.60211162542593533</v>
      </c>
      <c r="AG59" s="810">
        <f t="shared" si="24"/>
        <v>1</v>
      </c>
      <c r="AH59" s="176">
        <f t="shared" si="16"/>
        <v>7</v>
      </c>
      <c r="AI59" s="225">
        <f t="shared" si="17"/>
        <v>1.6021116254259353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16.675780368307873</v>
      </c>
      <c r="C60" s="840"/>
      <c r="D60" s="393">
        <f t="shared" si="0"/>
        <v>17.779942750762544</v>
      </c>
      <c r="E60" s="385">
        <f t="shared" si="1"/>
        <v>18.960117400323799</v>
      </c>
      <c r="F60" s="385">
        <f t="shared" si="2"/>
        <v>18.963740106353541</v>
      </c>
      <c r="G60" s="110">
        <f t="shared" si="21"/>
        <v>0.59418136826701606</v>
      </c>
      <c r="H60" s="414" t="b">
        <f>Wh_hp&gt;='2025'!Maxi_hp</f>
        <v>0</v>
      </c>
      <c r="I60" s="390">
        <f>IF(H60,Wh_hp,'2025'!Maxi_hp)</f>
        <v>32.495097407012501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6.2101571300465341E-2</v>
      </c>
      <c r="M60" s="844"/>
      <c r="N60" s="844"/>
      <c r="O60" s="48">
        <f>IF(t&lt;Tnet,'2025'!Resal+('2025'!Salim-'2025'!Resal)*(1-EXP(('2025'!Tnet-t)/('2025'!Tau_j))),Resal+(Salim-Resal)*(1-EXP((Tnet-t)/(Tau_j))))*Salcycl</f>
        <v>6.2245112972828934E-2</v>
      </c>
      <c r="P60" s="169">
        <f>(INDEX(Models!$BJ60:$BT60,,T60)*(1-R60)+INDEX(Models!$BJ60:$BT60,,T60+1)*R60-ERP_i)*Q60*Ramure*Pc/MaxiM</f>
        <v>4.5431908743612432E-4</v>
      </c>
      <c r="Q60" s="305">
        <f t="shared" si="4"/>
        <v>0.7</v>
      </c>
      <c r="R60" s="177">
        <f t="shared" si="5"/>
        <v>0.78226208509981565</v>
      </c>
      <c r="S60" s="810">
        <f t="shared" si="6"/>
        <v>-2</v>
      </c>
      <c r="T60" s="176">
        <f t="shared" si="7"/>
        <v>4</v>
      </c>
      <c r="U60" s="251">
        <f t="shared" si="8"/>
        <v>-1.2177379149001843</v>
      </c>
      <c r="V60" s="383">
        <f t="shared" si="9"/>
        <v>28.057744527113755</v>
      </c>
      <c r="W60" s="402">
        <f t="shared" si="10"/>
        <v>16.675780368307873</v>
      </c>
      <c r="X60" s="157">
        <f t="shared" si="11"/>
        <v>46068</v>
      </c>
      <c r="Y60" s="385">
        <f t="shared" si="12"/>
        <v>15.49172827139226</v>
      </c>
      <c r="Z60" s="385">
        <f t="shared" si="22"/>
        <v>16.517490377793557</v>
      </c>
      <c r="AA60" s="386">
        <f t="shared" si="13"/>
        <v>18.923924804215059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0.12716360117249575</v>
      </c>
      <c r="AD60" s="231">
        <f>(INDEX(Models!$BJ60:$BT60,,AH60)*(1-AF60)+INDEX(Models!$BJ60:$BT60,,AH60+1)*AF60-ERP_i)*AE60*Ramure*Pc/MaxiM</f>
        <v>4.9931878504770747E-3</v>
      </c>
      <c r="AE60" s="305">
        <f t="shared" si="15"/>
        <v>0.7</v>
      </c>
      <c r="AF60" s="177">
        <f t="shared" si="23"/>
        <v>0.60225213819899959</v>
      </c>
      <c r="AG60" s="810">
        <f t="shared" si="24"/>
        <v>1</v>
      </c>
      <c r="AH60" s="176">
        <f t="shared" si="16"/>
        <v>7</v>
      </c>
      <c r="AI60" s="225">
        <f t="shared" si="17"/>
        <v>1.6022521381989996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9.1781714282364231</v>
      </c>
      <c r="C61" s="840"/>
      <c r="D61" s="393">
        <f t="shared" si="0"/>
        <v>9.786118349074501</v>
      </c>
      <c r="E61" s="385">
        <f t="shared" si="1"/>
        <v>10.437135803819304</v>
      </c>
      <c r="F61" s="385">
        <f t="shared" si="2"/>
        <v>10.437290746282571</v>
      </c>
      <c r="G61" s="110">
        <f t="shared" si="21"/>
        <v>0.32305228585526968</v>
      </c>
      <c r="H61" s="414" t="b">
        <f>Wh_hp&gt;='2025'!Maxi_hp</f>
        <v>0</v>
      </c>
      <c r="I61" s="390">
        <f>IF(H61,Wh_hp,'2025'!Maxi_hp)</f>
        <v>33.091277518761402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6.2123397567082628E-2</v>
      </c>
      <c r="M61" s="844"/>
      <c r="N61" s="844"/>
      <c r="O61" s="48">
        <f>IF(t&lt;Tnet,'2025'!Resal+('2025'!Salim-'2025'!Resal)*(1-EXP(('2025'!Tnet-t)/('2025'!Tau_j))),Resal+(Salim-Resal)*(1-EXP((Tnet-t)/(Tau_j))))*Salcycl</f>
        <v>6.2375106253439158E-2</v>
      </c>
      <c r="P61" s="169">
        <f>(INDEX(Models!$BJ61:$BT61,,T61)*(1-R61)+INDEX(Models!$BJ61:$BT61,,T61+1)*R61-ERP_i)*Q61*Ramure*Pc/MaxiM</f>
        <v>4.4806074462826596E-4</v>
      </c>
      <c r="Q61" s="305">
        <f t="shared" si="4"/>
        <v>0.7</v>
      </c>
      <c r="R61" s="177">
        <f t="shared" si="5"/>
        <v>0.78240838697644621</v>
      </c>
      <c r="S61" s="810">
        <f t="shared" si="6"/>
        <v>-2</v>
      </c>
      <c r="T61" s="176">
        <f t="shared" si="7"/>
        <v>4</v>
      </c>
      <c r="U61" s="251">
        <f t="shared" si="8"/>
        <v>-1.2175916130235538</v>
      </c>
      <c r="V61" s="383">
        <f t="shared" si="9"/>
        <v>28.398484218513875</v>
      </c>
      <c r="W61" s="402">
        <f t="shared" si="10"/>
        <v>9.1781714282364231</v>
      </c>
      <c r="X61" s="157">
        <f t="shared" si="11"/>
        <v>46069</v>
      </c>
      <c r="Y61" s="385">
        <f t="shared" si="12"/>
        <v>8.542103998158769</v>
      </c>
      <c r="Z61" s="385">
        <f t="shared" si="22"/>
        <v>9.1079188626733565</v>
      </c>
      <c r="AA61" s="386">
        <f t="shared" si="13"/>
        <v>10.435568566197716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0.12722351399470505</v>
      </c>
      <c r="AD61" s="231">
        <f>(INDEX(Models!$BJ61:$BT61,,AH61)*(1-AF61)+INDEX(Models!$BJ61:$BT61,,AH61+1)*AF61-ERP_i)*AE61*Ramure*Pc/MaxiM</f>
        <v>4.9801795772181877E-3</v>
      </c>
      <c r="AE61" s="305">
        <f t="shared" si="15"/>
        <v>0.7</v>
      </c>
      <c r="AF61" s="177">
        <f t="shared" si="23"/>
        <v>0.60239844007563015</v>
      </c>
      <c r="AG61" s="810">
        <f t="shared" si="24"/>
        <v>1</v>
      </c>
      <c r="AH61" s="176">
        <f t="shared" si="16"/>
        <v>7</v>
      </c>
      <c r="AI61" s="225">
        <f t="shared" si="17"/>
        <v>1.6023984400756301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10.929842230995204</v>
      </c>
      <c r="C62" s="840"/>
      <c r="D62" s="393">
        <f t="shared" si="0"/>
        <v>11.65408814118752</v>
      </c>
      <c r="E62" s="385">
        <f t="shared" si="1"/>
        <v>12.431093173179413</v>
      </c>
      <c r="F62" s="385">
        <f t="shared" si="2"/>
        <v>12.431719946817395</v>
      </c>
      <c r="G62" s="110">
        <f t="shared" si="21"/>
        <v>0.38013425172287274</v>
      </c>
      <c r="H62" s="414" t="b">
        <f>Wh_hp&gt;='2025'!Maxi_hp</f>
        <v>0</v>
      </c>
      <c r="I62" s="390">
        <f>IF(H62,Wh_hp,'2025'!Maxi_hp)</f>
        <v>33.499351483700778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6.2145223325770771E-2</v>
      </c>
      <c r="M62" s="844"/>
      <c r="N62" s="844"/>
      <c r="O62" s="48">
        <f>IF(t&lt;Tnet,'2025'!Resal+('2025'!Salim-'2025'!Resal)*(1-EXP(('2025'!Tnet-t)/('2025'!Tau_j))),Resal+(Salim-Resal)*(1-EXP((Tnet-t)/(Tau_j))))*Salcycl</f>
        <v>6.2504964058053517E-2</v>
      </c>
      <c r="P62" s="169">
        <f>(INDEX(Models!$BJ62:$BT62,,T62)*(1-R62)+INDEX(Models!$BJ62:$BT62,,T62+1)*R62-ERP_i)*Q62*Ramure*Pc/MaxiM</f>
        <v>4.3960028144500457E-4</v>
      </c>
      <c r="Q62" s="305">
        <f t="shared" si="4"/>
        <v>0.7</v>
      </c>
      <c r="R62" s="177">
        <f t="shared" si="5"/>
        <v>0.78256071189417131</v>
      </c>
      <c r="S62" s="810">
        <f t="shared" si="6"/>
        <v>-2</v>
      </c>
      <c r="T62" s="176">
        <f t="shared" si="7"/>
        <v>4</v>
      </c>
      <c r="U62" s="251">
        <f t="shared" si="8"/>
        <v>-1.2174392881058287</v>
      </c>
      <c r="V62" s="383">
        <f t="shared" si="9"/>
        <v>28.741394016240079</v>
      </c>
      <c r="W62" s="402">
        <f t="shared" si="10"/>
        <v>10.929842230995204</v>
      </c>
      <c r="X62" s="157">
        <f t="shared" si="11"/>
        <v>46070</v>
      </c>
      <c r="Y62" s="385">
        <f t="shared" si="12"/>
        <v>10.169362892126948</v>
      </c>
      <c r="Z62" s="385">
        <f t="shared" si="22"/>
        <v>10.843217036425408</v>
      </c>
      <c r="AA62" s="386">
        <f t="shared" si="13"/>
        <v>12.424671020046048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0.12728336879657512</v>
      </c>
      <c r="AD62" s="231">
        <f>(INDEX(Models!$BJ62:$BT62,,AH62)*(1-AF62)+INDEX(Models!$BJ62:$BT62,,AH62+1)*AF62-ERP_i)*AE62*Ramure*Pc/MaxiM</f>
        <v>4.9439063878649091E-3</v>
      </c>
      <c r="AE62" s="305">
        <f t="shared" si="15"/>
        <v>0.7</v>
      </c>
      <c r="AF62" s="177">
        <f t="shared" si="23"/>
        <v>0.60255076499335525</v>
      </c>
      <c r="AG62" s="810">
        <f t="shared" si="24"/>
        <v>1</v>
      </c>
      <c r="AH62" s="176">
        <f t="shared" si="16"/>
        <v>7</v>
      </c>
      <c r="AI62" s="225">
        <f t="shared" si="17"/>
        <v>1.6025507649933552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24.198216287601682</v>
      </c>
      <c r="C63" s="840"/>
      <c r="D63" s="393">
        <f t="shared" si="0"/>
        <v>25.802267078452751</v>
      </c>
      <c r="E63" s="385">
        <f t="shared" si="1"/>
        <v>27.526372647795721</v>
      </c>
      <c r="F63" s="385">
        <f t="shared" si="2"/>
        <v>27.535349822148262</v>
      </c>
      <c r="G63" s="110">
        <f t="shared" si="21"/>
        <v>0.8318630730884442</v>
      </c>
      <c r="H63" s="414" t="b">
        <f>Wh_hp&gt;='2025'!Maxi_hp</f>
        <v>0</v>
      </c>
      <c r="I63" s="390">
        <f>IF(H63,Wh_hp,'2025'!Maxi_hp)</f>
        <v>33.359346298317604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6.2167048576541539E-2</v>
      </c>
      <c r="M63" s="844"/>
      <c r="N63" s="844"/>
      <c r="O63" s="48">
        <f>IF(t&lt;Tnet,'2025'!Resal+('2025'!Salim-'2025'!Resal)*(1-EXP(('2025'!Tnet-t)/('2025'!Tau_j))),Resal+(Salim-Resal)*(1-EXP((Tnet-t)/(Tau_j))))*Salcycl</f>
        <v>6.2634680980424573E-2</v>
      </c>
      <c r="P63" s="169">
        <f>(INDEX(Models!$BJ63:$BT63,,T63)*(1-R63)+INDEX(Models!$BJ63:$BT63,,T63+1)*R63-ERP_i)*Q63*Ramure*Pc/MaxiM</f>
        <v>4.2901974217491136E-4</v>
      </c>
      <c r="Q63" s="305">
        <f t="shared" si="4"/>
        <v>0.7</v>
      </c>
      <c r="R63" s="177">
        <f t="shared" si="5"/>
        <v>0.78271930285636993</v>
      </c>
      <c r="S63" s="810">
        <f t="shared" si="6"/>
        <v>-2</v>
      </c>
      <c r="T63" s="176">
        <f t="shared" si="7"/>
        <v>4</v>
      </c>
      <c r="U63" s="251">
        <f t="shared" si="8"/>
        <v>-1.2172806971436301</v>
      </c>
      <c r="V63" s="383">
        <f t="shared" si="9"/>
        <v>29.086184896323182</v>
      </c>
      <c r="W63" s="402">
        <f t="shared" si="10"/>
        <v>24.198216287601682</v>
      </c>
      <c r="X63" s="157">
        <f t="shared" si="11"/>
        <v>46071</v>
      </c>
      <c r="Y63" s="385">
        <f t="shared" si="12"/>
        <v>22.451444859879022</v>
      </c>
      <c r="Z63" s="385">
        <f t="shared" si="22"/>
        <v>23.939705707505635</v>
      </c>
      <c r="AA63" s="386">
        <f t="shared" si="13"/>
        <v>27.433126579392304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0.12734315433483695</v>
      </c>
      <c r="AD63" s="231">
        <f>(INDEX(Models!$BJ63:$BT63,,AH63)*(1-AF63)+INDEX(Models!$BJ63:$BT63,,AH63+1)*AF63-ERP_i)*AE63*Ramure*Pc/MaxiM</f>
        <v>4.885255374262612E-3</v>
      </c>
      <c r="AE63" s="305">
        <f t="shared" si="15"/>
        <v>0.7</v>
      </c>
      <c r="AF63" s="177">
        <f t="shared" si="23"/>
        <v>0.60270935595555386</v>
      </c>
      <c r="AG63" s="810">
        <f t="shared" si="24"/>
        <v>1</v>
      </c>
      <c r="AH63" s="176">
        <f t="shared" si="16"/>
        <v>7</v>
      </c>
      <c r="AI63" s="225">
        <f t="shared" si="17"/>
        <v>1.6027093559555539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18.505699791355465</v>
      </c>
      <c r="C64" s="840"/>
      <c r="D64" s="393">
        <f t="shared" si="0"/>
        <v>19.732864395474675</v>
      </c>
      <c r="E64" s="385">
        <f t="shared" si="1"/>
        <v>21.054323248740712</v>
      </c>
      <c r="F64" s="385">
        <f t="shared" si="2"/>
        <v>21.058441385469774</v>
      </c>
      <c r="G64" s="110">
        <f t="shared" si="21"/>
        <v>0.62861019061802836</v>
      </c>
      <c r="H64" s="414" t="b">
        <f>Wh_hp&gt;='2025'!Maxi_hp</f>
        <v>0</v>
      </c>
      <c r="I64" s="390">
        <f>IF(H64,Wh_hp,'2025'!Maxi_hp)</f>
        <v>33.466194315132412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6.2188873319406923E-2</v>
      </c>
      <c r="M64" s="844"/>
      <c r="N64" s="844"/>
      <c r="O64" s="48">
        <f>IF(t&lt;Tnet,'2025'!Resal+('2025'!Salim-'2025'!Resal)*(1-EXP(('2025'!Tnet-t)/('2025'!Tau_j))),Resal+(Salim-Resal)*(1-EXP((Tnet-t)/(Tau_j))))*Salcycl</f>
        <v>6.2764252151637154E-2</v>
      </c>
      <c r="P64" s="169">
        <f>(INDEX(Models!$BJ64:$BT64,,T64)*(1-R64)+INDEX(Models!$BJ64:$BT64,,T64+1)*R64-ERP_i)*Q64*Ramure*Pc/MaxiM</f>
        <v>4.1639743325042278E-4</v>
      </c>
      <c r="Q64" s="305">
        <f t="shared" si="4"/>
        <v>0.7</v>
      </c>
      <c r="R64" s="177">
        <f t="shared" si="5"/>
        <v>0.78288441225061711</v>
      </c>
      <c r="S64" s="810">
        <f t="shared" si="6"/>
        <v>-2</v>
      </c>
      <c r="T64" s="176">
        <f t="shared" si="7"/>
        <v>4</v>
      </c>
      <c r="U64" s="251">
        <f t="shared" si="8"/>
        <v>-1.2171155877493829</v>
      </c>
      <c r="V64" s="383">
        <f t="shared" si="9"/>
        <v>29.432568022491282</v>
      </c>
      <c r="W64" s="402">
        <f t="shared" si="10"/>
        <v>18.505699791355465</v>
      </c>
      <c r="X64" s="157">
        <f t="shared" si="11"/>
        <v>46072</v>
      </c>
      <c r="Y64" s="385">
        <f t="shared" si="12"/>
        <v>17.193893252470289</v>
      </c>
      <c r="Z64" s="385">
        <f t="shared" si="22"/>
        <v>18.334068303634361</v>
      </c>
      <c r="AA64" s="386">
        <f t="shared" si="13"/>
        <v>21.010919557631365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0.12740286052947872</v>
      </c>
      <c r="AD64" s="231">
        <f>(INDEX(Models!$BJ64:$BT64,,AH64)*(1-AF64)+INDEX(Models!$BJ64:$BT64,,AH64+1)*AF64-ERP_i)*AE64*Ramure*Pc/MaxiM</f>
        <v>4.8050777419865387E-3</v>
      </c>
      <c r="AE64" s="305">
        <f t="shared" si="15"/>
        <v>0.7</v>
      </c>
      <c r="AF64" s="177">
        <f t="shared" si="23"/>
        <v>0.60287446534980105</v>
      </c>
      <c r="AG64" s="810">
        <f t="shared" si="24"/>
        <v>1</v>
      </c>
      <c r="AH64" s="176">
        <f t="shared" si="16"/>
        <v>7</v>
      </c>
      <c r="AI64" s="225">
        <f t="shared" si="17"/>
        <v>1.602874465349801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18.158911205582797</v>
      </c>
      <c r="C65" s="840"/>
      <c r="D65" s="393">
        <f t="shared" si="0"/>
        <v>19.363529908292765</v>
      </c>
      <c r="E65" s="385">
        <f t="shared" si="1"/>
        <v>20.663108718130477</v>
      </c>
      <c r="F65" s="385">
        <f t="shared" si="2"/>
        <v>20.666783015091781</v>
      </c>
      <c r="G65" s="110">
        <f t="shared" si="21"/>
        <v>0.60960357351816152</v>
      </c>
      <c r="H65" s="414" t="b">
        <f>Wh_hp&gt;='2025'!Maxi_hp</f>
        <v>0</v>
      </c>
      <c r="I65" s="390">
        <f>IF(H65,Wh_hp,'2025'!Maxi_hp)</f>
        <v>34.378402325425711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6.2210697554378691E-2</v>
      </c>
      <c r="M65" s="844"/>
      <c r="N65" s="844"/>
      <c r="O65" s="48">
        <f>IF(t&lt;Tnet,'2025'!Resal+('2025'!Salim-'2025'!Resal)*(1-EXP(('2025'!Tnet-t)/('2025'!Tau_j))),Resal+(Salim-Resal)*(1-EXP((Tnet-t)/(Tau_j))))*Salcycl</f>
        <v>6.2893673336646624E-2</v>
      </c>
      <c r="P65" s="169">
        <f>(INDEX(Models!$BJ65:$BT65,,T65)*(1-R65)+INDEX(Models!$BJ65:$BT65,,T65+1)*R65-ERP_i)*Q65*Ramure*Pc/MaxiM</f>
        <v>4.0179253514705329E-4</v>
      </c>
      <c r="Q65" s="305">
        <f t="shared" si="4"/>
        <v>0.7</v>
      </c>
      <c r="R65" s="177">
        <f t="shared" si="5"/>
        <v>0.78305630217534539</v>
      </c>
      <c r="S65" s="810">
        <f t="shared" si="6"/>
        <v>-2</v>
      </c>
      <c r="T65" s="176">
        <f t="shared" si="7"/>
        <v>4</v>
      </c>
      <c r="U65" s="251">
        <f t="shared" si="8"/>
        <v>-1.2169436978246546</v>
      </c>
      <c r="V65" s="383">
        <f t="shared" si="9"/>
        <v>29.781391685538736</v>
      </c>
      <c r="W65" s="402">
        <f t="shared" si="10"/>
        <v>18.158911205582797</v>
      </c>
      <c r="X65" s="157">
        <f t="shared" si="11"/>
        <v>46073</v>
      </c>
      <c r="Y65" s="385">
        <f t="shared" si="12"/>
        <v>16.875527543817679</v>
      </c>
      <c r="Z65" s="385">
        <f t="shared" si="22"/>
        <v>17.995009646419192</v>
      </c>
      <c r="AA65" s="386">
        <f t="shared" si="13"/>
        <v>20.623765976931921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0.12746247864977922</v>
      </c>
      <c r="AD65" s="231">
        <f>(INDEX(Models!$BJ65:$BT65,,AH65)*(1-AF65)+INDEX(Models!$BJ65:$BT65,,AH65+1)*AF65-ERP_i)*AE65*Ramure*Pc/MaxiM</f>
        <v>4.7040086848695074E-3</v>
      </c>
      <c r="AE65" s="305">
        <f t="shared" si="15"/>
        <v>0.7</v>
      </c>
      <c r="AF65" s="177">
        <f t="shared" si="23"/>
        <v>0.60304635527452932</v>
      </c>
      <c r="AG65" s="810">
        <f t="shared" si="24"/>
        <v>1</v>
      </c>
      <c r="AH65" s="176">
        <f t="shared" si="16"/>
        <v>7</v>
      </c>
      <c r="AI65" s="225">
        <f t="shared" si="17"/>
        <v>1.6030463552745293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19.802542746328747</v>
      </c>
      <c r="C66" s="840"/>
      <c r="D66" s="393">
        <f t="shared" si="0"/>
        <v>21.1166874472861</v>
      </c>
      <c r="E66" s="385">
        <f t="shared" si="1"/>
        <v>22.537037854953965</v>
      </c>
      <c r="F66" s="385">
        <f t="shared" si="2"/>
        <v>22.541476267530626</v>
      </c>
      <c r="G66" s="110">
        <f t="shared" si="21"/>
        <v>0.65703510994742698</v>
      </c>
      <c r="H66" s="414" t="b">
        <f>Wh_hp&gt;='2025'!Maxi_hp</f>
        <v>0</v>
      </c>
      <c r="I66" s="390">
        <f>IF(H66,Wh_hp,'2025'!Maxi_hp)</f>
        <v>33.562567282376634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6.2232521281468611E-2</v>
      </c>
      <c r="M66" s="844"/>
      <c r="N66" s="844"/>
      <c r="O66" s="48">
        <f>IF(t&lt;Tnet,'2025'!Resal+('2025'!Salim-'2025'!Resal)*(1-EXP(('2025'!Tnet-t)/('2025'!Tau_j))),Resal+(Salim-Resal)*(1-EXP((Tnet-t)/(Tau_j))))*Salcycl</f>
        <v>6.3022941027525203E-2</v>
      </c>
      <c r="P66" s="169">
        <f>(INDEX(Models!$BJ66:$BT66,,T66)*(1-R66)+INDEX(Models!$BJ66:$BT66,,T66+1)*R66-ERP_i)*Q66*Ramure*Pc/MaxiM</f>
        <v>3.8590583154479144E-4</v>
      </c>
      <c r="Q66" s="305">
        <f t="shared" si="4"/>
        <v>0.7</v>
      </c>
      <c r="R66" s="177">
        <f t="shared" si="5"/>
        <v>0.78323524477477457</v>
      </c>
      <c r="S66" s="810">
        <f t="shared" si="6"/>
        <v>-2</v>
      </c>
      <c r="T66" s="176">
        <f t="shared" si="7"/>
        <v>4</v>
      </c>
      <c r="U66" s="251">
        <f t="shared" si="8"/>
        <v>-1.2167647552252254</v>
      </c>
      <c r="V66" s="383">
        <f t="shared" si="9"/>
        <v>30.133548283516525</v>
      </c>
      <c r="W66" s="402">
        <f t="shared" si="10"/>
        <v>19.802542746328747</v>
      </c>
      <c r="X66" s="157">
        <f t="shared" si="11"/>
        <v>46074</v>
      </c>
      <c r="Y66" s="385">
        <f t="shared" si="12"/>
        <v>18.399884141941026</v>
      </c>
      <c r="Z66" s="385">
        <f t="shared" si="22"/>
        <v>19.620945020491273</v>
      </c>
      <c r="AA66" s="386">
        <f t="shared" si="13"/>
        <v>22.488756225422069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0.12752200149196879</v>
      </c>
      <c r="AD66" s="231">
        <f>(INDEX(Models!$BJ66:$BT66,,AH66)*(1-AF66)+INDEX(Models!$BJ66:$BT66,,AH66+1)*AF66-ERP_i)*AE66*Ramure*Pc/MaxiM</f>
        <v>4.5838396808709691E-3</v>
      </c>
      <c r="AE66" s="305">
        <f t="shared" si="15"/>
        <v>0.7</v>
      </c>
      <c r="AF66" s="177">
        <f t="shared" si="23"/>
        <v>0.60322529787395851</v>
      </c>
      <c r="AG66" s="810">
        <f t="shared" si="24"/>
        <v>1</v>
      </c>
      <c r="AH66" s="176">
        <f t="shared" si="16"/>
        <v>7</v>
      </c>
      <c r="AI66" s="225">
        <f t="shared" si="17"/>
        <v>1.6032252978739585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28.899609760887547</v>
      </c>
      <c r="C67" s="840"/>
      <c r="D67" s="393">
        <f t="shared" si="0"/>
        <v>30.818175047155702</v>
      </c>
      <c r="E67" s="385">
        <f t="shared" si="1"/>
        <v>32.89559968665705</v>
      </c>
      <c r="F67" s="385">
        <f t="shared" si="2"/>
        <v>32.906865081960554</v>
      </c>
      <c r="G67" s="110">
        <f t="shared" si="21"/>
        <v>0.94784980539853181</v>
      </c>
      <c r="H67" s="414" t="b">
        <f>Wh_hp&gt;='2025'!Maxi_hp</f>
        <v>0</v>
      </c>
      <c r="I67" s="390">
        <f>IF(H67,Wh_hp,'2025'!Maxi_hp)</f>
        <v>34.11239789666849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6.2254344500688563E-2</v>
      </c>
      <c r="M67" s="844"/>
      <c r="N67" s="844"/>
      <c r="O67" s="48">
        <f>IF(t&lt;Tnet,'2025'!Resal+('2025'!Salim-'2025'!Resal)*(1-EXP(('2025'!Tnet-t)/('2025'!Tau_j))),Resal+(Salim-Resal)*(1-EXP((Tnet-t)/(Tau_j))))*Salcycl</f>
        <v>6.3152052532545383E-2</v>
      </c>
      <c r="P67" s="169">
        <f>(INDEX(Models!$BJ67:$BT67,,T67)*(1-R67)+INDEX(Models!$BJ67:$BT67,,T67+1)*R67-ERP_i)*Q67*Ramure*Pc/MaxiM</f>
        <v>3.6988449409931052E-4</v>
      </c>
      <c r="Q67" s="305">
        <f t="shared" si="4"/>
        <v>0.7</v>
      </c>
      <c r="R67" s="177">
        <f t="shared" si="5"/>
        <v>0.78342152258203002</v>
      </c>
      <c r="S67" s="810">
        <f t="shared" si="6"/>
        <v>-2</v>
      </c>
      <c r="T67" s="176">
        <f t="shared" si="7"/>
        <v>4</v>
      </c>
      <c r="U67" s="251">
        <f t="shared" si="8"/>
        <v>-1.21657847741797</v>
      </c>
      <c r="V67" s="383">
        <f t="shared" si="9"/>
        <v>30.488810938702525</v>
      </c>
      <c r="W67" s="402">
        <f t="shared" si="10"/>
        <v>28.899609760887547</v>
      </c>
      <c r="X67" s="157">
        <f t="shared" si="11"/>
        <v>46075</v>
      </c>
      <c r="Y67" s="385">
        <f t="shared" si="12"/>
        <v>26.810358266325299</v>
      </c>
      <c r="Z67" s="385">
        <f t="shared" si="22"/>
        <v>28.590223915300225</v>
      </c>
      <c r="AA67" s="386">
        <f t="shared" si="13"/>
        <v>32.771223225822666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0.127581423546862</v>
      </c>
      <c r="AD67" s="231">
        <f>(INDEX(Models!$BJ67:$BT67,,AH67)*(1-AF67)+INDEX(Models!$BJ67:$BT67,,AH67+1)*AF67-ERP_i)*AE67*Ramure*Pc/MaxiM</f>
        <v>4.4536226190519451E-3</v>
      </c>
      <c r="AE67" s="305">
        <f t="shared" si="15"/>
        <v>0.7</v>
      </c>
      <c r="AF67" s="177">
        <f t="shared" si="23"/>
        <v>0.60341157568121395</v>
      </c>
      <c r="AG67" s="810">
        <f t="shared" si="24"/>
        <v>1</v>
      </c>
      <c r="AH67" s="176">
        <f t="shared" si="16"/>
        <v>7</v>
      </c>
      <c r="AI67" s="225">
        <f t="shared" si="17"/>
        <v>1.603411575681214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29.114968002484275</v>
      </c>
      <c r="C68" s="840"/>
      <c r="D68" s="393">
        <f t="shared" si="0"/>
        <v>31.048552872888457</v>
      </c>
      <c r="E68" s="385">
        <f t="shared" si="1"/>
        <v>33.146069497643587</v>
      </c>
      <c r="F68" s="385">
        <f t="shared" si="2"/>
        <v>33.156857509452273</v>
      </c>
      <c r="G68" s="110">
        <f t="shared" si="21"/>
        <v>0.94382450399925943</v>
      </c>
      <c r="H68" s="414" t="b">
        <f>Wh_hp&gt;='2025'!Maxi_hp</f>
        <v>0</v>
      </c>
      <c r="I68" s="390">
        <f>IF(H68,Wh_hp,'2025'!Maxi_hp)</f>
        <v>35.162786198923072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6.2276167212050204E-2</v>
      </c>
      <c r="M68" s="844"/>
      <c r="N68" s="844"/>
      <c r="O68" s="48">
        <f>IF(t&lt;Tnet,'2025'!Resal+('2025'!Salim-'2025'!Resal)*(1-EXP(('2025'!Tnet-t)/('2025'!Tau_j))),Resal+(Salim-Resal)*(1-EXP((Tnet-t)/(Tau_j))))*Salcycl</f>
        <v>6.3281006060288525E-2</v>
      </c>
      <c r="P68" s="169">
        <f>(INDEX(Models!$BJ68:$BT68,,T68)*(1-R68)+INDEX(Models!$BJ68:$BT68,,T68+1)*R68-ERP_i)*Q68*Ramure*Pc/MaxiM</f>
        <v>3.5373702388218417E-4</v>
      </c>
      <c r="Q68" s="305">
        <f t="shared" si="4"/>
        <v>0.7</v>
      </c>
      <c r="R68" s="177">
        <f t="shared" si="5"/>
        <v>0.78361542887033231</v>
      </c>
      <c r="S68" s="810">
        <f t="shared" si="6"/>
        <v>-2</v>
      </c>
      <c r="T68" s="176">
        <f t="shared" si="7"/>
        <v>4</v>
      </c>
      <c r="U68" s="251">
        <f t="shared" si="8"/>
        <v>-1.2163845711296677</v>
      </c>
      <c r="V68" s="383">
        <f t="shared" si="9"/>
        <v>30.846986382501228</v>
      </c>
      <c r="W68" s="402">
        <f t="shared" si="10"/>
        <v>29.114968002484275</v>
      </c>
      <c r="X68" s="157">
        <f t="shared" si="11"/>
        <v>46076</v>
      </c>
      <c r="Y68" s="385">
        <f t="shared" si="12"/>
        <v>27.01575456981983</v>
      </c>
      <c r="Z68" s="385">
        <f t="shared" si="22"/>
        <v>28.809926361260544</v>
      </c>
      <c r="AA68" s="386">
        <f t="shared" si="13"/>
        <v>33.025300149202323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0.12764074115594656</v>
      </c>
      <c r="AD68" s="231">
        <f>(INDEX(Models!$BJ68:$BT68,,AH68)*(1-AF68)+INDEX(Models!$BJ68:$BT68,,AH68+1)*AF68-ERP_i)*AE68*Ramure*Pc/MaxiM</f>
        <v>4.3137428758792343E-3</v>
      </c>
      <c r="AE68" s="305">
        <f t="shared" si="15"/>
        <v>0.7</v>
      </c>
      <c r="AF68" s="177">
        <f t="shared" si="23"/>
        <v>0.60360548196951624</v>
      </c>
      <c r="AG68" s="810">
        <f t="shared" si="24"/>
        <v>1</v>
      </c>
      <c r="AH68" s="176">
        <f t="shared" si="16"/>
        <v>7</v>
      </c>
      <c r="AI68" s="225">
        <f t="shared" si="17"/>
        <v>1.6036054819695162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17.856764035482371</v>
      </c>
      <c r="C69" s="840"/>
      <c r="D69" s="393">
        <f t="shared" si="0"/>
        <v>19.043111600403758</v>
      </c>
      <c r="E69" s="385">
        <f t="shared" si="1"/>
        <v>20.332384020919363</v>
      </c>
      <c r="F69" s="385">
        <f t="shared" si="2"/>
        <v>20.335052444784694</v>
      </c>
      <c r="G69" s="110">
        <f t="shared" si="21"/>
        <v>0.57206961189374672</v>
      </c>
      <c r="H69" s="414" t="b">
        <f>Wh_hp&gt;='2025'!Maxi_hp</f>
        <v>0</v>
      </c>
      <c r="I69" s="390">
        <f>IF(H69,Wh_hp,'2025'!Maxi_hp)</f>
        <v>36.637666820783267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6.2297989415565524E-2</v>
      </c>
      <c r="M69" s="844"/>
      <c r="N69" s="844"/>
      <c r="O69" s="48">
        <f>IF(t&lt;Tnet,'2025'!Resal+('2025'!Salim-'2025'!Resal)*(1-EXP(('2025'!Tnet-t)/('2025'!Tau_j))),Resal+(Salim-Resal)*(1-EXP((Tnet-t)/(Tau_j))))*Salcycl</f>
        <v>6.3409800798032906E-2</v>
      </c>
      <c r="P69" s="169">
        <f>(INDEX(Models!$BJ69:$BT69,,T69)*(1-R69)+INDEX(Models!$BJ69:$BT69,,T69+1)*R69-ERP_i)*Q69*Ramure*Pc/MaxiM</f>
        <v>3.3747309724404574E-4</v>
      </c>
      <c r="Q69" s="305">
        <f t="shared" si="4"/>
        <v>0.7</v>
      </c>
      <c r="R69" s="177">
        <f t="shared" si="5"/>
        <v>0.78381726801210694</v>
      </c>
      <c r="S69" s="810">
        <f t="shared" si="6"/>
        <v>-2</v>
      </c>
      <c r="T69" s="176">
        <f t="shared" si="7"/>
        <v>4</v>
      </c>
      <c r="U69" s="251">
        <f t="shared" si="8"/>
        <v>-1.2161827319878931</v>
      </c>
      <c r="V69" s="383">
        <f t="shared" si="9"/>
        <v>31.207881382340183</v>
      </c>
      <c r="W69" s="402">
        <f t="shared" si="10"/>
        <v>17.856764035482371</v>
      </c>
      <c r="X69" s="157">
        <f t="shared" si="11"/>
        <v>46077</v>
      </c>
      <c r="Y69" s="385">
        <f t="shared" si="12"/>
        <v>16.606273704869476</v>
      </c>
      <c r="Z69" s="385">
        <f t="shared" si="22"/>
        <v>17.709542602472837</v>
      </c>
      <c r="AA69" s="386">
        <f t="shared" si="13"/>
        <v>20.302122711521253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0.1276999526545641</v>
      </c>
      <c r="AD69" s="231">
        <f>(INDEX(Models!$BJ69:$BT69,,AH69)*(1-AF69)+INDEX(Models!$BJ69:$BT69,,AH69+1)*AF69-ERP_i)*AE69*Ramure*Pc/MaxiM</f>
        <v>4.1645928970347953E-3</v>
      </c>
      <c r="AE69" s="305">
        <f t="shared" si="15"/>
        <v>0.7</v>
      </c>
      <c r="AF69" s="177">
        <f t="shared" si="23"/>
        <v>0.60380732111129087</v>
      </c>
      <c r="AG69" s="810">
        <f t="shared" si="24"/>
        <v>1</v>
      </c>
      <c r="AH69" s="176">
        <f t="shared" si="16"/>
        <v>7</v>
      </c>
      <c r="AI69" s="225">
        <f t="shared" si="17"/>
        <v>1.6038073211112909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28.707881655715685</v>
      </c>
      <c r="C70" s="840"/>
      <c r="D70" s="393">
        <f t="shared" si="0"/>
        <v>30.615856019883967</v>
      </c>
      <c r="E70" s="385">
        <f t="shared" si="1"/>
        <v>32.693126155945251</v>
      </c>
      <c r="F70" s="385">
        <f t="shared" si="2"/>
        <v>32.70226635434868</v>
      </c>
      <c r="G70" s="110">
        <f t="shared" si="21"/>
        <v>0.90926519994978383</v>
      </c>
      <c r="H70" s="414" t="b">
        <f>Wh_hp&gt;='2025'!Maxi_hp</f>
        <v>0</v>
      </c>
      <c r="I70" s="390">
        <f>IF(H70,Wh_hp,'2025'!Maxi_hp)</f>
        <v>35.339882745455832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6.2319811111246293E-2</v>
      </c>
      <c r="M70" s="844"/>
      <c r="N70" s="844"/>
      <c r="O70" s="48">
        <f>IF(t&lt;Tnet,'2025'!Resal+('2025'!Salim-'2025'!Resal)*(1-EXP(('2025'!Tnet-t)/('2025'!Tau_j))),Resal+(Salim-Resal)*(1-EXP((Tnet-t)/(Tau_j))))*Salcycl</f>
        <v>6.3538436983749086E-2</v>
      </c>
      <c r="P70" s="169">
        <f>(INDEX(Models!$BJ70:$BT70,,T70)*(1-R70)+INDEX(Models!$BJ70:$BT70,,T70+1)*R70-ERP_i)*Q70*Ramure*Pc/MaxiM</f>
        <v>3.211015970128651E-4</v>
      </c>
      <c r="Q70" s="305">
        <f t="shared" si="4"/>
        <v>0.7</v>
      </c>
      <c r="R70" s="177">
        <f t="shared" si="5"/>
        <v>0.78402735584581573</v>
      </c>
      <c r="S70" s="810">
        <f t="shared" si="6"/>
        <v>-2</v>
      </c>
      <c r="T70" s="176">
        <f t="shared" si="7"/>
        <v>4</v>
      </c>
      <c r="U70" s="251">
        <f t="shared" si="8"/>
        <v>-1.2159726441541843</v>
      </c>
      <c r="V70" s="383">
        <f t="shared" si="9"/>
        <v>31.571302800333712</v>
      </c>
      <c r="W70" s="402">
        <f t="shared" si="10"/>
        <v>28.707881655715685</v>
      </c>
      <c r="X70" s="157">
        <f t="shared" si="11"/>
        <v>46078</v>
      </c>
      <c r="Y70" s="385">
        <f t="shared" si="12"/>
        <v>26.653352321333013</v>
      </c>
      <c r="Z70" s="385">
        <f t="shared" si="22"/>
        <v>28.424779191421273</v>
      </c>
      <c r="AA70" s="386">
        <f t="shared" si="13"/>
        <v>32.58821942314578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0.12775905850098168</v>
      </c>
      <c r="AD70" s="231">
        <f>(INDEX(Models!$BJ70:$BT70,,AH70)*(1-AF70)+INDEX(Models!$BJ70:$BT70,,AH70+1)*AF70-ERP_i)*AE70*Ramure*Pc/MaxiM</f>
        <v>4.0065488873763048E-3</v>
      </c>
      <c r="AE70" s="305">
        <f t="shared" si="15"/>
        <v>0.7</v>
      </c>
      <c r="AF70" s="177">
        <f t="shared" si="23"/>
        <v>0.60401740894499967</v>
      </c>
      <c r="AG70" s="810">
        <f t="shared" si="24"/>
        <v>1</v>
      </c>
      <c r="AH70" s="176">
        <f t="shared" si="16"/>
        <v>7</v>
      </c>
      <c r="AI70" s="225">
        <f t="shared" si="17"/>
        <v>1.6040174089449997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32.837448215370344</v>
      </c>
      <c r="C71" s="840"/>
      <c r="D71" s="393">
        <f t="shared" si="0"/>
        <v>35.020695539556243</v>
      </c>
      <c r="E71" s="385">
        <f t="shared" si="1"/>
        <v>37.401963186933187</v>
      </c>
      <c r="F71" s="385">
        <f t="shared" si="2"/>
        <v>37.413360442633895</v>
      </c>
      <c r="G71" s="110">
        <f t="shared" si="21"/>
        <v>1.0281926607440854</v>
      </c>
      <c r="H71" s="414" t="b">
        <f>Wh_hp&gt;='2025'!Maxi_hp</f>
        <v>1</v>
      </c>
      <c r="I71" s="390">
        <f>IF(H71,Wh_hp,'2025'!Maxi_hp)</f>
        <v>37.413360442633895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6.2341632299104277E-2</v>
      </c>
      <c r="M71" s="844"/>
      <c r="N71" s="844"/>
      <c r="O71" s="48">
        <f>IF(t&lt;Tnet,'2025'!Resal+('2025'!Salim-'2025'!Resal)*(1-EXP(('2025'!Tnet-t)/('2025'!Tau_j))),Resal+(Salim-Resal)*(1-EXP((Tnet-t)/(Tau_j))))*Salcycl</f>
        <v>6.3666915971107893E-2</v>
      </c>
      <c r="P71" s="169">
        <f>(INDEX(Models!$BJ71:$BT71,,T71)*(1-R71)+INDEX(Models!$BJ71:$BT71,,T71+1)*R71-ERP_i)*Q71*Ramure*Pc/MaxiM</f>
        <v>3.0463063370587279E-4</v>
      </c>
      <c r="Q71" s="305">
        <f t="shared" si="4"/>
        <v>0.7</v>
      </c>
      <c r="R71" s="177">
        <f t="shared" si="5"/>
        <v>0.78424602005026811</v>
      </c>
      <c r="S71" s="810">
        <f t="shared" si="6"/>
        <v>-2</v>
      </c>
      <c r="T71" s="176">
        <f t="shared" si="7"/>
        <v>4</v>
      </c>
      <c r="U71" s="251">
        <f t="shared" si="8"/>
        <v>-1.2157539799497319</v>
      </c>
      <c r="V71" s="383">
        <f t="shared" si="9"/>
        <v>31.937057585692592</v>
      </c>
      <c r="W71" s="402">
        <f t="shared" si="10"/>
        <v>32.837448215370344</v>
      </c>
      <c r="X71" s="157">
        <f t="shared" si="11"/>
        <v>46079</v>
      </c>
      <c r="Y71" s="385">
        <f t="shared" si="12"/>
        <v>30.479479922157875</v>
      </c>
      <c r="Z71" s="385">
        <f t="shared" si="22"/>
        <v>32.505954164193568</v>
      </c>
      <c r="AA71" s="386">
        <f t="shared" si="13"/>
        <v>37.269694229177112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0.12781806139032351</v>
      </c>
      <c r="AD71" s="231">
        <f>(INDEX(Models!$BJ71:$BT71,,AH71)*(1-AF71)+INDEX(Models!$BJ71:$BT71,,AH71+1)*AF71-ERP_i)*AE71*Ramure*Pc/MaxiM</f>
        <v>3.8399708488380565E-3</v>
      </c>
      <c r="AE71" s="305">
        <f t="shared" si="15"/>
        <v>0.7</v>
      </c>
      <c r="AF71" s="177">
        <f t="shared" si="23"/>
        <v>0.60423607314945205</v>
      </c>
      <c r="AG71" s="810">
        <f t="shared" si="24"/>
        <v>1</v>
      </c>
      <c r="AH71" s="176">
        <f t="shared" si="16"/>
        <v>7</v>
      </c>
      <c r="AI71" s="225">
        <f t="shared" si="17"/>
        <v>1.604236073149452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26.88409459879691</v>
      </c>
      <c r="C72" s="840"/>
      <c r="D72" s="393">
        <f t="shared" si="0"/>
        <v>28.672191462902884</v>
      </c>
      <c r="E72" s="385">
        <f t="shared" si="1"/>
        <v>30.625983435175286</v>
      </c>
      <c r="F72" s="385">
        <f t="shared" si="2"/>
        <v>30.632710618445273</v>
      </c>
      <c r="G72" s="110">
        <f t="shared" si="21"/>
        <v>0.83214031934697719</v>
      </c>
      <c r="H72" s="414" t="b">
        <f>Wh_hp&gt;='2025'!Maxi_hp</f>
        <v>0</v>
      </c>
      <c r="I72" s="390">
        <f>IF(H72,Wh_hp,'2025'!Maxi_hp)</f>
        <v>37.047346489228502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6.2363452979151468E-2</v>
      </c>
      <c r="M72" s="844"/>
      <c r="N72" s="844"/>
      <c r="O72" s="48">
        <f>IF(t&lt;Tnet,'2025'!Resal+('2025'!Salim-'2025'!Resal)*(1-EXP(('2025'!Tnet-t)/('2025'!Tau_j))),Resal+(Salim-Resal)*(1-EXP((Tnet-t)/(Tau_j))))*Salcycl</f>
        <v>6.3795240286990545E-2</v>
      </c>
      <c r="P72" s="169">
        <f>(INDEX(Models!$BJ72:$BT72,,T72)*(1-R72)+INDEX(Models!$BJ72:$BT72,,T72+1)*R72-ERP_i)*Q72*Ramure*Pc/MaxiM</f>
        <v>2.8885019794138778E-4</v>
      </c>
      <c r="Q72" s="305">
        <f t="shared" si="4"/>
        <v>0.7</v>
      </c>
      <c r="R72" s="177">
        <f t="shared" si="5"/>
        <v>0.78447360052611614</v>
      </c>
      <c r="S72" s="810">
        <f t="shared" si="6"/>
        <v>-2</v>
      </c>
      <c r="T72" s="176">
        <f t="shared" si="7"/>
        <v>4</v>
      </c>
      <c r="U72" s="251">
        <f t="shared" si="8"/>
        <v>-1.2155263994738839</v>
      </c>
      <c r="V72" s="383">
        <f t="shared" si="9"/>
        <v>32.304927482390205</v>
      </c>
      <c r="W72" s="402">
        <f t="shared" si="10"/>
        <v>26.88409459879691</v>
      </c>
      <c r="X72" s="157">
        <f t="shared" si="11"/>
        <v>46080</v>
      </c>
      <c r="Y72" s="385">
        <f t="shared" si="12"/>
        <v>24.979434372466486</v>
      </c>
      <c r="Z72" s="385">
        <f t="shared" si="22"/>
        <v>26.640849753386441</v>
      </c>
      <c r="AA72" s="386">
        <f t="shared" si="13"/>
        <v>30.547123198852052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0.12787696635251106</v>
      </c>
      <c r="AD72" s="231">
        <f>(INDEX(Models!$BJ72:$BT72,,AH72)*(1-AF72)+INDEX(Models!$BJ72:$BT72,,AH72+1)*AF72-ERP_i)*AE72*Ramure*Pc/MaxiM</f>
        <v>3.6749323005794616E-3</v>
      </c>
      <c r="AE72" s="305">
        <f t="shared" si="15"/>
        <v>0.7</v>
      </c>
      <c r="AF72" s="177">
        <f t="shared" si="23"/>
        <v>0.60446365362530008</v>
      </c>
      <c r="AG72" s="810">
        <f t="shared" si="24"/>
        <v>1</v>
      </c>
      <c r="AH72" s="176">
        <f t="shared" si="16"/>
        <v>7</v>
      </c>
      <c r="AI72" s="225">
        <f t="shared" si="17"/>
        <v>1.6044636536253001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27.911742864670959</v>
      </c>
      <c r="C73" s="840"/>
      <c r="D73" s="393">
        <f t="shared" si="0"/>
        <v>29.768882746204934</v>
      </c>
      <c r="E73" s="385">
        <f t="shared" si="1"/>
        <v>31.801759793255396</v>
      </c>
      <c r="F73" s="385">
        <f t="shared" si="2"/>
        <v>31.808679845123084</v>
      </c>
      <c r="G73" s="110">
        <f t="shared" si="21"/>
        <v>0.85418251644257848</v>
      </c>
      <c r="H73" s="414" t="b">
        <f>Wh_hp&gt;='2025'!Maxi_hp</f>
        <v>1</v>
      </c>
      <c r="I73" s="390">
        <f>IF(H73,Wh_hp,'2025'!Maxi_hp)</f>
        <v>31.808679845123084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6.2385273151399412E-2</v>
      </c>
      <c r="M73" s="844"/>
      <c r="N73" s="844"/>
      <c r="O73" s="48">
        <f>IF(t&lt;Tnet,'2025'!Resal+('2025'!Salim-'2025'!Resal)*(1-EXP(('2025'!Tnet-t)/('2025'!Tau_j))),Resal+(Salim-Resal)*(1-EXP((Tnet-t)/(Tau_j))))*Salcycl</f>
        <v>6.3923413681075514E-2</v>
      </c>
      <c r="P73" s="169">
        <f>(INDEX(Models!$BJ73:$BT73,,T73)*(1-R73)+INDEX(Models!$BJ73:$BT73,,T73+1)*R73-ERP_i)*Q73*Ramure*Pc/MaxiM</f>
        <v>2.7477082246199415E-4</v>
      </c>
      <c r="Q73" s="305">
        <f t="shared" si="4"/>
        <v>0.7</v>
      </c>
      <c r="R73" s="177">
        <f t="shared" si="5"/>
        <v>0.78471044978418636</v>
      </c>
      <c r="S73" s="810">
        <f t="shared" si="6"/>
        <v>-2</v>
      </c>
      <c r="T73" s="176">
        <f t="shared" si="7"/>
        <v>4</v>
      </c>
      <c r="U73" s="251">
        <f t="shared" si="8"/>
        <v>-1.2152895502158136</v>
      </c>
      <c r="V73" s="383">
        <f t="shared" si="9"/>
        <v>32.674685926678201</v>
      </c>
      <c r="W73" s="402">
        <f t="shared" si="10"/>
        <v>27.911742864670959</v>
      </c>
      <c r="X73" s="157">
        <f t="shared" si="11"/>
        <v>46081</v>
      </c>
      <c r="Y73" s="385">
        <f t="shared" si="12"/>
        <v>25.936122629893035</v>
      </c>
      <c r="Z73" s="385">
        <f t="shared" si="22"/>
        <v>27.661812349158012</v>
      </c>
      <c r="AA73" s="386">
        <f t="shared" si="13"/>
        <v>31.719925827937139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0.12793578083354051</v>
      </c>
      <c r="AD73" s="231">
        <f>(INDEX(Models!$BJ73:$BT73,,AH73)*(1-AF73)+INDEX(Models!$BJ73:$BT73,,AH73+1)*AF73-ERP_i)*AE73*Ramure*Pc/MaxiM</f>
        <v>3.524108599945782E-3</v>
      </c>
      <c r="AE73" s="305">
        <f t="shared" si="15"/>
        <v>0.7</v>
      </c>
      <c r="AF73" s="177">
        <f t="shared" si="23"/>
        <v>0.60470050288337029</v>
      </c>
      <c r="AG73" s="810">
        <f t="shared" si="24"/>
        <v>1</v>
      </c>
      <c r="AH73" s="176">
        <f t="shared" si="16"/>
        <v>7</v>
      </c>
      <c r="AI73" s="225">
        <f t="shared" si="17"/>
        <v>1.6047005028833703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33.101562350262469</v>
      </c>
      <c r="C74" s="840"/>
      <c r="D74" s="393">
        <f t="shared" si="0"/>
        <v>35.30483442934306</v>
      </c>
      <c r="E74" s="385">
        <f t="shared" si="1"/>
        <v>37.72091328755252</v>
      </c>
      <c r="F74" s="385">
        <f t="shared" si="2"/>
        <v>37.730811639617201</v>
      </c>
      <c r="G74" s="110">
        <f t="shared" si="21"/>
        <v>1.0016771201596428</v>
      </c>
      <c r="H74" s="414" t="b">
        <f>Wh_hp&gt;='2025'!Maxi_hp</f>
        <v>1</v>
      </c>
      <c r="I74" s="390">
        <f>IF(H74,Wh_hp,'2025'!Maxi_hp)</f>
        <v>37.730811639617201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6.240709281586021E-2</v>
      </c>
      <c r="M74" s="844"/>
      <c r="N74" s="844"/>
      <c r="O74" s="48">
        <f>IF(t&lt;Tnet,'2025'!Resal+('2025'!Salim-'2025'!Resal)*(1-EXP(('2025'!Tnet-t)/('2025'!Tau_j))),Resal+(Salim-Resal)*(1-EXP((Tnet-t)/(Tau_j))))*Salcycl</f>
        <v>6.4051441167166448E-2</v>
      </c>
      <c r="P74" s="169">
        <f>(INDEX(Models!$BJ74:$BT74,,T74)*(1-R74)+INDEX(Models!$BJ74:$BT74,,T74+1)*R74-ERP_i)*Q74*Ramure*Pc/MaxiM</f>
        <v>2.6234135006747807E-4</v>
      </c>
      <c r="Q74" s="305">
        <f t="shared" si="4"/>
        <v>0.7</v>
      </c>
      <c r="R74" s="177">
        <f t="shared" si="5"/>
        <v>0.78495693334023331</v>
      </c>
      <c r="S74" s="810">
        <f t="shared" si="6"/>
        <v>-2</v>
      </c>
      <c r="T74" s="176">
        <f t="shared" si="7"/>
        <v>4</v>
      </c>
      <c r="U74" s="251">
        <f t="shared" si="8"/>
        <v>-1.2150430666597667</v>
      </c>
      <c r="V74" s="383">
        <f t="shared" si="9"/>
        <v>33.046140002665616</v>
      </c>
      <c r="W74" s="402">
        <f t="shared" si="10"/>
        <v>33.101562350262469</v>
      </c>
      <c r="X74" s="157">
        <f t="shared" si="11"/>
        <v>46082</v>
      </c>
      <c r="Y74" s="385">
        <f t="shared" si="12"/>
        <v>30.743704419137273</v>
      </c>
      <c r="Z74" s="385">
        <f t="shared" si="22"/>
        <v>32.790035188586728</v>
      </c>
      <c r="AA74" s="386">
        <f t="shared" si="13"/>
        <v>37.603014824554002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0.12799451475961182</v>
      </c>
      <c r="AD74" s="231">
        <f>(INDEX(Models!$BJ74:$BT74,,AH74)*(1-AF74)+INDEX(Models!$BJ74:$BT74,,AH74+1)*AF74-ERP_i)*AE74*Ramure*Pc/MaxiM</f>
        <v>3.3870677440983638E-3</v>
      </c>
      <c r="AE74" s="305">
        <f t="shared" si="15"/>
        <v>0.7</v>
      </c>
      <c r="AF74" s="177">
        <f t="shared" si="23"/>
        <v>0.60494698643941724</v>
      </c>
      <c r="AG74" s="810">
        <f t="shared" si="24"/>
        <v>1</v>
      </c>
      <c r="AH74" s="176">
        <f t="shared" si="16"/>
        <v>7</v>
      </c>
      <c r="AI74" s="225">
        <f t="shared" si="17"/>
        <v>1.6049469864394172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10.616723176978409</v>
      </c>
      <c r="C75" s="840"/>
      <c r="D75" s="393">
        <f t="shared" si="0"/>
        <v>11.323646081402547</v>
      </c>
      <c r="E75" s="385">
        <f t="shared" si="1"/>
        <v>12.100230773894014</v>
      </c>
      <c r="F75" s="385">
        <f t="shared" si="2"/>
        <v>12.100307659669124</v>
      </c>
      <c r="G75" s="110">
        <f t="shared" si="21"/>
        <v>0.31760644007101069</v>
      </c>
      <c r="H75" s="414" t="b">
        <f>Wh_hp&gt;='2025'!Maxi_hp</f>
        <v>0</v>
      </c>
      <c r="I75" s="390">
        <f>IF(H75,Wh_hp,'2025'!Maxi_hp)</f>
        <v>27.571693836230367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6.2428911972545409E-2</v>
      </c>
      <c r="M75" s="844"/>
      <c r="N75" s="844"/>
      <c r="O75" s="48">
        <f>IF(t&lt;Tnet,'2025'!Resal+('2025'!Salim-'2025'!Resal)*(1-EXP(('2025'!Tnet-t)/('2025'!Tau_j))),Resal+(Salim-Resal)*(1-EXP((Tnet-t)/(Tau_j))))*Salcycl</f>
        <v>6.4179329056015325E-2</v>
      </c>
      <c r="P75" s="169">
        <f>(INDEX(Models!$BJ75:$BT75,,T75)*(1-R75)+INDEX(Models!$BJ75:$BT75,,T75+1)*R75-ERP_i)*Q75*Ramure*Pc/MaxiM</f>
        <v>2.5151226805484732E-4</v>
      </c>
      <c r="Q75" s="305">
        <f t="shared" si="4"/>
        <v>0.7</v>
      </c>
      <c r="R75" s="177">
        <f t="shared" si="5"/>
        <v>0.7852134301156426</v>
      </c>
      <c r="S75" s="810">
        <f t="shared" si="6"/>
        <v>-2</v>
      </c>
      <c r="T75" s="176">
        <f t="shared" si="7"/>
        <v>4</v>
      </c>
      <c r="U75" s="251">
        <f t="shared" si="8"/>
        <v>-1.2147865698843574</v>
      </c>
      <c r="V75" s="383">
        <f t="shared" si="9"/>
        <v>33.41909685763703</v>
      </c>
      <c r="W75" s="402">
        <f t="shared" si="10"/>
        <v>10.616723176978409</v>
      </c>
      <c r="X75" s="157">
        <f t="shared" si="11"/>
        <v>46083</v>
      </c>
      <c r="Y75" s="385">
        <f t="shared" si="12"/>
        <v>9.8913327177316894</v>
      </c>
      <c r="Z75" s="385">
        <f t="shared" si="22"/>
        <v>10.549954925062755</v>
      </c>
      <c r="AA75" s="386">
        <f t="shared" si="13"/>
        <v>12.09931006127923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0.12805318058380813</v>
      </c>
      <c r="AD75" s="231">
        <f>(INDEX(Models!$BJ75:$BT75,,AH75)*(1-AF75)+INDEX(Models!$BJ75:$BT75,,AH75+1)*AF75-ERP_i)*AE75*Ramure*Pc/MaxiM</f>
        <v>3.2633895319366347E-3</v>
      </c>
      <c r="AE75" s="305">
        <f t="shared" si="15"/>
        <v>0.7</v>
      </c>
      <c r="AF75" s="177">
        <f t="shared" si="23"/>
        <v>0.60520348321482653</v>
      </c>
      <c r="AG75" s="810">
        <f t="shared" si="24"/>
        <v>1</v>
      </c>
      <c r="AH75" s="176">
        <f t="shared" si="16"/>
        <v>7</v>
      </c>
      <c r="AI75" s="225">
        <f t="shared" si="17"/>
        <v>1.6052034832148265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31.719189525058187</v>
      </c>
      <c r="C76" s="840"/>
      <c r="D76" s="393">
        <f t="shared" si="0"/>
        <v>33.832024151737301</v>
      </c>
      <c r="E76" s="385">
        <f t="shared" si="1"/>
        <v>36.1571874796076</v>
      </c>
      <c r="F76" s="385">
        <f t="shared" si="2"/>
        <v>36.165179831401133</v>
      </c>
      <c r="G76" s="110">
        <f t="shared" si="21"/>
        <v>0.93860190844264502</v>
      </c>
      <c r="H76" s="414" t="b">
        <f>Wh_hp&gt;='2025'!Maxi_hp</f>
        <v>1</v>
      </c>
      <c r="I76" s="390">
        <f>IF(H76,Wh_hp,'2025'!Maxi_hp)</f>
        <v>36.165179831401133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6.2450730621466999E-2</v>
      </c>
      <c r="M76" s="844"/>
      <c r="N76" s="844"/>
      <c r="O76" s="48">
        <f>IF(t&lt;Tnet,'2025'!Resal+('2025'!Salim-'2025'!Resal)*(1-EXP(('2025'!Tnet-t)/('2025'!Tau_j))),Resal+(Salim-Resal)*(1-EXP((Tnet-t)/(Tau_j))))*Salcycl</f>
        <v>6.4307084979485174E-2</v>
      </c>
      <c r="P76" s="169">
        <f>(INDEX(Models!$BJ76:$BT76,,T76)*(1-R76)+INDEX(Models!$BJ76:$BT76,,T76+1)*R76-ERP_i)*Q76*Ramure*Pc/MaxiM</f>
        <v>2.4223574526314459E-4</v>
      </c>
      <c r="Q76" s="305">
        <f t="shared" si="4"/>
        <v>0.7</v>
      </c>
      <c r="R76" s="177">
        <f t="shared" si="5"/>
        <v>0.78548033284352892</v>
      </c>
      <c r="S76" s="810">
        <f t="shared" si="6"/>
        <v>-2</v>
      </c>
      <c r="T76" s="176">
        <f t="shared" si="7"/>
        <v>4</v>
      </c>
      <c r="U76" s="251">
        <f t="shared" si="8"/>
        <v>-1.2145196671564711</v>
      </c>
      <c r="V76" s="383">
        <f t="shared" si="9"/>
        <v>33.793363699835666</v>
      </c>
      <c r="W76" s="402">
        <f t="shared" si="10"/>
        <v>31.719189525058187</v>
      </c>
      <c r="X76" s="157">
        <f t="shared" si="11"/>
        <v>46084</v>
      </c>
      <c r="Y76" s="385">
        <f t="shared" si="12"/>
        <v>29.477768319144516</v>
      </c>
      <c r="Z76" s="385">
        <f t="shared" si="22"/>
        <v>31.441300507528791</v>
      </c>
      <c r="AA76" s="386">
        <f t="shared" si="13"/>
        <v>36.061160440601597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0.12811179331520511</v>
      </c>
      <c r="AD76" s="231">
        <f>(INDEX(Models!$BJ76:$BT76,,AH76)*(1-AF76)+INDEX(Models!$BJ76:$BT76,,AH76+1)*AF76-ERP_i)*AE76*Ramure*Pc/MaxiM</f>
        <v>3.1526658614473503E-3</v>
      </c>
      <c r="AE76" s="305">
        <f t="shared" si="15"/>
        <v>0.7</v>
      </c>
      <c r="AF76" s="177">
        <f t="shared" si="23"/>
        <v>0.60547038594271285</v>
      </c>
      <c r="AG76" s="810">
        <f t="shared" si="24"/>
        <v>1</v>
      </c>
      <c r="AH76" s="176">
        <f t="shared" si="16"/>
        <v>7</v>
      </c>
      <c r="AI76" s="225">
        <f t="shared" si="17"/>
        <v>1.6054703859427129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3.7677183824582698</v>
      </c>
      <c r="C77" s="840"/>
      <c r="D77" s="393">
        <f t="shared" si="0"/>
        <v>4.0187819327162924</v>
      </c>
      <c r="E77" s="385">
        <f t="shared" si="1"/>
        <v>4.2955654828504555</v>
      </c>
      <c r="F77" s="385">
        <f t="shared" si="2"/>
        <v>4.2955654828504555</v>
      </c>
      <c r="G77" s="110">
        <f t="shared" si="21"/>
        <v>0.11024211378665681</v>
      </c>
      <c r="H77" s="414" t="b">
        <f>Wh_hp&gt;='2025'!Maxi_hp</f>
        <v>0</v>
      </c>
      <c r="I77" s="390">
        <f>IF(H77,Wh_hp,'2025'!Maxi_hp)</f>
        <v>30.44612113653443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6.2472548762636748E-2</v>
      </c>
      <c r="M77" s="844"/>
      <c r="N77" s="844"/>
      <c r="O77" s="48">
        <f>IF(t&lt;Tnet,'2025'!Resal+('2025'!Salim-'2025'!Resal)*(1-EXP(('2025'!Tnet-t)/('2025'!Tau_j))),Resal+(Salim-Resal)*(1-EXP((Tnet-t)/(Tau_j))))*Salcycl</f>
        <v>6.443471790598683E-2</v>
      </c>
      <c r="P77" s="169">
        <f>(INDEX(Models!$BJ77:$BT77,,T77)*(1-R77)+INDEX(Models!$BJ77:$BT77,,T77+1)*R77-ERP_i)*Q77*Ramure*Pc/MaxiM</f>
        <v>2.3446566365884099E-4</v>
      </c>
      <c r="Q77" s="305">
        <f t="shared" si="4"/>
        <v>0.7</v>
      </c>
      <c r="R77" s="177">
        <f t="shared" si="5"/>
        <v>0.7857580484796074</v>
      </c>
      <c r="S77" s="810">
        <f t="shared" si="6"/>
        <v>-2</v>
      </c>
      <c r="T77" s="176">
        <f t="shared" si="7"/>
        <v>4</v>
      </c>
      <c r="U77" s="251">
        <f t="shared" si="8"/>
        <v>-1.2142419515203926</v>
      </c>
      <c r="V77" s="383">
        <f t="shared" si="9"/>
        <v>34.168747790494265</v>
      </c>
      <c r="W77" s="402">
        <f t="shared" si="10"/>
        <v>3.7677183824582698</v>
      </c>
      <c r="X77" s="157">
        <f t="shared" si="11"/>
        <v>46085</v>
      </c>
      <c r="Y77" s="385">
        <f t="shared" si="12"/>
        <v>3.511041489239493</v>
      </c>
      <c r="Z77" s="385">
        <f t="shared" si="22"/>
        <v>3.7450012632756149</v>
      </c>
      <c r="AA77" s="386">
        <f t="shared" si="13"/>
        <v>4.2955654828504555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0.12817037053047009</v>
      </c>
      <c r="AD77" s="231">
        <f>(INDEX(Models!$BJ77:$BT77,,AH77)*(1-AF77)+INDEX(Models!$BJ77:$BT77,,AH77+1)*AF77-ERP_i)*AE77*Ramure*Pc/MaxiM</f>
        <v>3.0545009736849898E-3</v>
      </c>
      <c r="AE77" s="305">
        <f t="shared" si="15"/>
        <v>0.7</v>
      </c>
      <c r="AF77" s="177">
        <f t="shared" si="23"/>
        <v>0.60574810157879133</v>
      </c>
      <c r="AG77" s="810">
        <f t="shared" si="24"/>
        <v>1</v>
      </c>
      <c r="AH77" s="176">
        <f t="shared" si="16"/>
        <v>7</v>
      </c>
      <c r="AI77" s="225">
        <f t="shared" si="17"/>
        <v>1.6057481015787913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13.194895938165109</v>
      </c>
      <c r="C78" s="840"/>
      <c r="D78" s="393">
        <f t="shared" si="0"/>
        <v>14.074471091380701</v>
      </c>
      <c r="E78" s="385">
        <f t="shared" si="1"/>
        <v>15.045865866590511</v>
      </c>
      <c r="F78" s="385">
        <f t="shared" si="2"/>
        <v>15.046267821997031</v>
      </c>
      <c r="G78" s="110">
        <f t="shared" si="21"/>
        <v>0.38188497010144751</v>
      </c>
      <c r="H78" s="414" t="b">
        <f>Wh_hp&gt;='2025'!Maxi_hp</f>
        <v>0</v>
      </c>
      <c r="I78" s="390">
        <f>IF(H78,Wh_hp,'2025'!Maxi_hp)</f>
        <v>38.571800708819332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6.2494366396066536E-2</v>
      </c>
      <c r="M78" s="844"/>
      <c r="N78" s="844"/>
      <c r="O78" s="48">
        <f>IF(t&lt;Tnet,'2025'!Resal+('2025'!Salim-'2025'!Resal)*(1-EXP(('2025'!Tnet-t)/('2025'!Tau_j))),Resal+(Salim-Resal)*(1-EXP((Tnet-t)/(Tau_j))))*Salcycl</f>
        <v>6.4562238147210918E-2</v>
      </c>
      <c r="P78" s="169">
        <f>(INDEX(Models!$BJ78:$BT78,,T78)*(1-R78)+INDEX(Models!$BJ78:$BT78,,T78+1)*R78-ERP_i)*Q78*Ramure*Pc/MaxiM</f>
        <v>2.2815764519922574E-4</v>
      </c>
      <c r="Q78" s="305">
        <f t="shared" si="4"/>
        <v>0.7</v>
      </c>
      <c r="R78" s="177">
        <f t="shared" si="5"/>
        <v>0.7860469986171239</v>
      </c>
      <c r="S78" s="810">
        <f t="shared" si="6"/>
        <v>-2</v>
      </c>
      <c r="T78" s="176">
        <f t="shared" si="7"/>
        <v>4</v>
      </c>
      <c r="U78" s="251">
        <f t="shared" si="8"/>
        <v>-1.2139530013828761</v>
      </c>
      <c r="V78" s="383">
        <f t="shared" si="9"/>
        <v>34.545056444523638</v>
      </c>
      <c r="W78" s="402">
        <f t="shared" si="10"/>
        <v>13.194895938165109</v>
      </c>
      <c r="X78" s="157">
        <f t="shared" si="11"/>
        <v>46086</v>
      </c>
      <c r="Y78" s="385">
        <f t="shared" si="12"/>
        <v>12.292894317742626</v>
      </c>
      <c r="Z78" s="385">
        <f t="shared" si="22"/>
        <v>13.112341811202368</v>
      </c>
      <c r="AA78" s="386">
        <f t="shared" si="13"/>
        <v>15.041038063837409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0.12822893236818075</v>
      </c>
      <c r="AD78" s="231">
        <f>(INDEX(Models!$BJ78:$BT78,,AH78)*(1-AF78)+INDEX(Models!$BJ78:$BT78,,AH78+1)*AF78-ERP_i)*AE78*Ramure*Pc/MaxiM</f>
        <v>2.9685116490584789E-3</v>
      </c>
      <c r="AE78" s="305">
        <f t="shared" si="15"/>
        <v>0.7</v>
      </c>
      <c r="AF78" s="177">
        <f t="shared" si="23"/>
        <v>0.60603705171630784</v>
      </c>
      <c r="AG78" s="810">
        <f t="shared" si="24"/>
        <v>1</v>
      </c>
      <c r="AH78" s="176">
        <f t="shared" si="16"/>
        <v>7</v>
      </c>
      <c r="AI78" s="225">
        <f t="shared" si="17"/>
        <v>1.6060370517163078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15.562289168320198</v>
      </c>
      <c r="C79" s="840"/>
      <c r="D79" s="393">
        <f t="shared" ref="D79:D142" si="25">Wh/(1-Ppv)</f>
        <v>16.600061670164894</v>
      </c>
      <c r="E79" s="385">
        <f t="shared" si="1"/>
        <v>17.748185723300523</v>
      </c>
      <c r="F79" s="385">
        <f t="shared" ref="F79:F142" si="26">Wh_sa/(1-Pvg*MEDIAN((-Sdif+Wh/Env_an)/Csdif,0,1))</f>
        <v>17.749010063554216</v>
      </c>
      <c r="G79" s="110">
        <f t="shared" si="21"/>
        <v>0.44553849911058074</v>
      </c>
      <c r="H79" s="414" t="b">
        <f>Wh_hp&gt;='2025'!Maxi_hp</f>
        <v>0</v>
      </c>
      <c r="I79" s="390">
        <f>IF(H79,Wh_hp,'2025'!Maxi_hp)</f>
        <v>22.950602771895554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6.2516183521768132E-2</v>
      </c>
      <c r="M79" s="844"/>
      <c r="N79" s="844"/>
      <c r="O79" s="48">
        <f>IF(t&lt;Tnet,'2025'!Resal+('2025'!Salim-'2025'!Resal)*(1-EXP(('2025'!Tnet-t)/('2025'!Tau_j))),Resal+(Salim-Resal)*(1-EXP((Tnet-t)/(Tau_j))))*Salcycl</f>
        <v>6.4689657356262892E-2</v>
      </c>
      <c r="P79" s="169">
        <f>(INDEX(Models!$BJ79:$BT79,,T79)*(1-R79)+INDEX(Models!$BJ79:$BT79,,T79+1)*R79-ERP_i)*Q79*Ramure*Pc/MaxiM</f>
        <v>2.2326335593423718E-4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0.78634761990504254</v>
      </c>
      <c r="S79" s="810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-1.2136523800949575</v>
      </c>
      <c r="V79" s="383">
        <f t="shared" ref="V79:V142" si="33">MaxiM*(1-Ppv)*(1-Pvg)*(1-Psa)</f>
        <v>34.922991755398364</v>
      </c>
      <c r="W79" s="402">
        <f t="shared" ref="W79:W142" si="34">Wh*(A79&gt;Tmaj)</f>
        <v>15.562289168320198</v>
      </c>
      <c r="X79" s="157">
        <f t="shared" ref="X79:X142" si="35">t</f>
        <v>46087</v>
      </c>
      <c r="Y79" s="385">
        <f t="shared" ref="Y79:Y142" si="36">Wh_pvt_s*(1-Ppv)</f>
        <v>14.49604841356641</v>
      </c>
      <c r="Z79" s="385">
        <f t="shared" ref="Z79:Z142" si="37">Wh_sa_s*(1-Psa_s)</f>
        <v>15.462718565129496</v>
      </c>
      <c r="AA79" s="386">
        <f t="shared" ref="AA79:AA142" si="38">Wh_hp*(1-Pvg_s*MEDIAN((-Sdif+Wh/Env_an)/Csdif,0,1))</f>
        <v>17.73832380727362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0.12828750150625895</v>
      </c>
      <c r="AD79" s="231">
        <f>(INDEX(Models!$BJ79:$BT79,,AH79)*(1-AF79)+INDEX(Models!$BJ79:$BT79,,AH79+1)*AF79-ERP_i)*AE79*Ramure*Pc/MaxiM</f>
        <v>2.8942532272268843E-3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0.60633767300422647</v>
      </c>
      <c r="AG79" s="810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1.6063376730042265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33.910767392920143</v>
      </c>
      <c r="C80" s="840"/>
      <c r="D80" s="393">
        <f t="shared" si="25"/>
        <v>36.172951434805285</v>
      </c>
      <c r="E80" s="385">
        <f t="shared" ref="E80:E143" si="47">Wh_pvt/(1-Psa)</f>
        <v>38.680077579101592</v>
      </c>
      <c r="F80" s="385">
        <f t="shared" si="26"/>
        <v>38.688092322407336</v>
      </c>
      <c r="G80" s="110">
        <f t="shared" ref="G80:G143" si="48">+Wh_hp/MaxiM</f>
        <v>0.96054430780434541</v>
      </c>
      <c r="H80" s="414" t="b">
        <f>Wh_hp&gt;='2025'!Maxi_hp</f>
        <v>1</v>
      </c>
      <c r="I80" s="390">
        <f>IF(H80,Wh_hp,'2025'!Maxi_hp)</f>
        <v>38.688092322407336</v>
      </c>
      <c r="J80" s="85">
        <f>IF(H80,An,'2025'!An_max)</f>
        <v>2026</v>
      </c>
      <c r="K80" s="197">
        <f t="shared" si="27"/>
        <v>46088</v>
      </c>
      <c r="L80" s="147">
        <f>IF(t&lt;Tvie,1-EXP((T0-t)*PertePVj)+'2025'!Pspv,1-EXP((T0-t)*PertePVj)+Pspv)</f>
        <v>6.2538000139753303E-2</v>
      </c>
      <c r="M80" s="844"/>
      <c r="N80" s="844"/>
      <c r="O80" s="48">
        <f>IF(t&lt;Tnet,'2025'!Resal+('2025'!Salim-'2025'!Resal)*(1-EXP(('2025'!Tnet-t)/('2025'!Tau_j))),Resal+(Salim-Resal)*(1-EXP((Tnet-t)/(Tau_j))))*Salcycl</f>
        <v>6.4816988517388027E-2</v>
      </c>
      <c r="P80" s="169">
        <f>(INDEX(Models!$BJ80:$BT80,,T80)*(1-R80)+INDEX(Models!$BJ80:$BT80,,T80+1)*R80-ERP_i)*Q80*Ramure*Pc/MaxiM</f>
        <v>2.1953338481642533E-4</v>
      </c>
      <c r="Q80" s="305">
        <f t="shared" si="28"/>
        <v>0.7</v>
      </c>
      <c r="R80" s="177">
        <f t="shared" si="29"/>
        <v>0.786660364468591</v>
      </c>
      <c r="S80" s="810">
        <f t="shared" si="30"/>
        <v>-2</v>
      </c>
      <c r="T80" s="176">
        <f t="shared" si="31"/>
        <v>4</v>
      </c>
      <c r="U80" s="251">
        <f t="shared" si="32"/>
        <v>-1.213339635531409</v>
      </c>
      <c r="V80" s="383">
        <f t="shared" si="33"/>
        <v>35.303262476310003</v>
      </c>
      <c r="W80" s="402">
        <f t="shared" si="34"/>
        <v>33.910767392920143</v>
      </c>
      <c r="X80" s="157">
        <f t="shared" si="35"/>
        <v>46088</v>
      </c>
      <c r="Y80" s="385">
        <f t="shared" si="36"/>
        <v>31.529138290413268</v>
      </c>
      <c r="Z80" s="385">
        <f t="shared" si="37"/>
        <v>33.63244408318792</v>
      </c>
      <c r="AA80" s="386">
        <f t="shared" si="38"/>
        <v>38.584631129041448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0.12834610312306877</v>
      </c>
      <c r="AD80" s="231">
        <f>(INDEX(Models!$BJ80:$BT80,,AH80)*(1-AF80)+INDEX(Models!$BJ80:$BT80,,AH80+1)*AF80-ERP_i)*AE80*Ramure*Pc/MaxiM</f>
        <v>2.8339255682083659E-3</v>
      </c>
      <c r="AE80" s="305">
        <f t="shared" si="40"/>
        <v>0.7</v>
      </c>
      <c r="AF80" s="177">
        <f t="shared" si="41"/>
        <v>0.60665041756777494</v>
      </c>
      <c r="AG80" s="810">
        <f t="shared" ref="AG80:AG143" si="49">INDEX(Echel_vg,AH80)</f>
        <v>1</v>
      </c>
      <c r="AH80" s="176">
        <f t="shared" si="42"/>
        <v>7</v>
      </c>
      <c r="AI80" s="225">
        <f t="shared" si="43"/>
        <v>1.6066504175677749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26.816039247396816</v>
      </c>
      <c r="C81" s="840"/>
      <c r="D81" s="393">
        <f t="shared" si="25"/>
        <v>28.605600348948965</v>
      </c>
      <c r="E81" s="385">
        <f t="shared" si="47"/>
        <v>30.592400746546904</v>
      </c>
      <c r="F81" s="385">
        <f t="shared" si="26"/>
        <v>30.596670650750038</v>
      </c>
      <c r="G81" s="110">
        <f t="shared" si="48"/>
        <v>0.75139292584351558</v>
      </c>
      <c r="H81" s="414" t="b">
        <f>Wh_hp&gt;='2025'!Maxi_hp</f>
        <v>1</v>
      </c>
      <c r="I81" s="390">
        <f>IF(H81,Wh_hp,'2025'!Maxi_hp)</f>
        <v>30.596670650750038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6.2559816250033817E-2</v>
      </c>
      <c r="M81" s="844"/>
      <c r="N81" s="844"/>
      <c r="O81" s="48">
        <f>IF(t&lt;Tnet,'2025'!Resal+('2025'!Salim-'2025'!Resal)*(1-EXP(('2025'!Tnet-t)/('2025'!Tau_j))),Resal+(Salim-Resal)*(1-EXP((Tnet-t)/(Tau_j))))*Salcycl</f>
        <v>6.4944245927551131E-2</v>
      </c>
      <c r="P81" s="169">
        <f>(INDEX(Models!$BJ81:$BT81,,T81)*(1-R81)+INDEX(Models!$BJ81:$BT81,,T81+1)*R81-ERP_i)*Q81*Ramure*Pc/MaxiM</f>
        <v>2.1638726518059695E-4</v>
      </c>
      <c r="Q81" s="305">
        <f t="shared" si="28"/>
        <v>0.7</v>
      </c>
      <c r="R81" s="177">
        <f t="shared" si="29"/>
        <v>0.78698570033115889</v>
      </c>
      <c r="S81" s="810">
        <f t="shared" si="30"/>
        <v>-2</v>
      </c>
      <c r="T81" s="176">
        <f t="shared" si="31"/>
        <v>4</v>
      </c>
      <c r="U81" s="251">
        <f t="shared" si="32"/>
        <v>-1.2130142996688411</v>
      </c>
      <c r="V81" s="383">
        <f t="shared" si="33"/>
        <v>35.685694778490074</v>
      </c>
      <c r="W81" s="402">
        <f t="shared" si="34"/>
        <v>26.816039247396816</v>
      </c>
      <c r="X81" s="157">
        <f t="shared" si="35"/>
        <v>46089</v>
      </c>
      <c r="Y81" s="385">
        <f t="shared" si="36"/>
        <v>24.954651895879692</v>
      </c>
      <c r="Z81" s="385">
        <f t="shared" si="37"/>
        <v>26.619993817691508</v>
      </c>
      <c r="AA81" s="386">
        <f t="shared" si="38"/>
        <v>30.541692684784504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0.12840476484287128</v>
      </c>
      <c r="AD81" s="231">
        <f>(INDEX(Models!$BJ81:$BT81,,AH81)*(1-AF81)+INDEX(Models!$BJ81:$BT81,,AH81+1)*AF81-ERP_i)*AE81*Ramure*Pc/MaxiM</f>
        <v>2.7861355043372672E-3</v>
      </c>
      <c r="AE81" s="305">
        <f t="shared" si="40"/>
        <v>0.7</v>
      </c>
      <c r="AF81" s="177">
        <f t="shared" si="41"/>
        <v>0.60697575343034282</v>
      </c>
      <c r="AG81" s="810">
        <f t="shared" si="49"/>
        <v>1</v>
      </c>
      <c r="AH81" s="176">
        <f t="shared" si="42"/>
        <v>7</v>
      </c>
      <c r="AI81" s="225">
        <f t="shared" si="43"/>
        <v>1.6069757534303428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28.557503633041158</v>
      </c>
      <c r="C82" s="840"/>
      <c r="D82" s="393">
        <f t="shared" si="25"/>
        <v>30.463989829300449</v>
      </c>
      <c r="E82" s="385">
        <f t="shared" si="47"/>
        <v>32.584297133641961</v>
      </c>
      <c r="F82" s="385">
        <f t="shared" si="26"/>
        <v>32.589191802860064</v>
      </c>
      <c r="G82" s="110">
        <f t="shared" si="48"/>
        <v>0.79167205788028516</v>
      </c>
      <c r="H82" s="414" t="b">
        <f>Wh_hp&gt;='2025'!Maxi_hp</f>
        <v>0</v>
      </c>
      <c r="I82" s="390">
        <f>IF(H82,Wh_hp,'2025'!Maxi_hp)</f>
        <v>40.500150797480835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6.2581631852621666E-2</v>
      </c>
      <c r="M82" s="844"/>
      <c r="N82" s="844"/>
      <c r="O82" s="48">
        <f>IF(t&lt;Tnet,'2025'!Resal+('2025'!Salim-'2025'!Resal)*(1-EXP(('2025'!Tnet-t)/('2025'!Tau_j))),Resal+(Salim-Resal)*(1-EXP((Tnet-t)/(Tau_j))))*Salcycl</f>
        <v>6.5071445170206785E-2</v>
      </c>
      <c r="P82" s="169">
        <f>(INDEX(Models!$BJ82:$BT82,,T82)*(1-R82)+INDEX(Models!$BJ82:$BT82,,T82+1)*R82-ERP_i)*Q82*Ramure*Pc/MaxiM</f>
        <v>2.1380988306320944E-4</v>
      </c>
      <c r="Q82" s="305">
        <f t="shared" si="28"/>
        <v>0.7</v>
      </c>
      <c r="R82" s="177">
        <f t="shared" si="29"/>
        <v>0.78732411183642848</v>
      </c>
      <c r="S82" s="810">
        <f t="shared" si="30"/>
        <v>-2</v>
      </c>
      <c r="T82" s="176">
        <f t="shared" si="31"/>
        <v>4</v>
      </c>
      <c r="U82" s="251">
        <f t="shared" si="32"/>
        <v>-1.2126758881635715</v>
      </c>
      <c r="V82" s="383">
        <f t="shared" si="33"/>
        <v>36.070095359776502</v>
      </c>
      <c r="W82" s="402">
        <f t="shared" si="34"/>
        <v>28.557503633041158</v>
      </c>
      <c r="X82" s="157">
        <f t="shared" si="35"/>
        <v>46090</v>
      </c>
      <c r="Y82" s="385">
        <f t="shared" si="36"/>
        <v>26.57374091092219</v>
      </c>
      <c r="Z82" s="385">
        <f t="shared" si="37"/>
        <v>28.347791993280357</v>
      </c>
      <c r="AA82" s="386">
        <f t="shared" si="38"/>
        <v>32.526225276138582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0.12846351666645892</v>
      </c>
      <c r="AD82" s="231">
        <f>(INDEX(Models!$BJ82:$BT82,,AH82)*(1-AF82)+INDEX(Models!$BJ82:$BT82,,AH82+1)*AF82-ERP_i)*AE82*Ramure*Pc/MaxiM</f>
        <v>2.7505159420022534E-3</v>
      </c>
      <c r="AE82" s="305">
        <f t="shared" si="40"/>
        <v>0.7</v>
      </c>
      <c r="AF82" s="177">
        <f t="shared" si="41"/>
        <v>0.60731416493561241</v>
      </c>
      <c r="AG82" s="810">
        <f t="shared" si="49"/>
        <v>1</v>
      </c>
      <c r="AH82" s="176">
        <f t="shared" si="42"/>
        <v>7</v>
      </c>
      <c r="AI82" s="225">
        <f t="shared" si="43"/>
        <v>1.6073141649356124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21.574342535657031</v>
      </c>
      <c r="C83" s="840"/>
      <c r="D83" s="393">
        <f t="shared" si="25"/>
        <v>23.015171610567457</v>
      </c>
      <c r="E83" s="385">
        <f t="shared" si="47"/>
        <v>24.620386411957764</v>
      </c>
      <c r="F83" s="385">
        <f t="shared" si="26"/>
        <v>24.622560111631206</v>
      </c>
      <c r="G83" s="110">
        <f t="shared" si="48"/>
        <v>0.59171377579119644</v>
      </c>
      <c r="H83" s="414" t="b">
        <f>Wh_hp&gt;='2025'!Maxi_hp</f>
        <v>0</v>
      </c>
      <c r="I83" s="390">
        <f>IF(H83,Wh_hp,'2025'!Maxi_hp)</f>
        <v>40.033914552307429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6.2603446947528507E-2</v>
      </c>
      <c r="M83" s="844"/>
      <c r="N83" s="844"/>
      <c r="O83" s="48">
        <f>IF(t&lt;Tnet,'2025'!Resal+('2025'!Salim-'2025'!Resal)*(1-EXP(('2025'!Tnet-t)/('2025'!Tau_j))),Resal+(Salim-Resal)*(1-EXP((Tnet-t)/(Tau_j))))*Salcycl</f>
        <v>6.5198603081659062E-2</v>
      </c>
      <c r="P83" s="169">
        <f>(INDEX(Models!$BJ83:$BT83,,T83)*(1-R83)+INDEX(Models!$BJ83:$BT83,,T83+1)*R83-ERP_i)*Q83*Ramure*Pc/MaxiM</f>
        <v>2.1178667219936737E-4</v>
      </c>
      <c r="Q83" s="305">
        <f t="shared" si="28"/>
        <v>0.7</v>
      </c>
      <c r="R83" s="177">
        <f t="shared" si="29"/>
        <v>0.78767610006949784</v>
      </c>
      <c r="S83" s="810">
        <f t="shared" si="30"/>
        <v>-2</v>
      </c>
      <c r="T83" s="176">
        <f t="shared" si="31"/>
        <v>4</v>
      </c>
      <c r="U83" s="251">
        <f t="shared" si="32"/>
        <v>-1.2123238999305022</v>
      </c>
      <c r="V83" s="383">
        <f t="shared" si="33"/>
        <v>36.456270962922858</v>
      </c>
      <c r="W83" s="402">
        <f t="shared" si="34"/>
        <v>21.574342535657031</v>
      </c>
      <c r="X83" s="157">
        <f t="shared" si="35"/>
        <v>46091</v>
      </c>
      <c r="Y83" s="385">
        <f t="shared" si="36"/>
        <v>20.091802148258036</v>
      </c>
      <c r="Z83" s="385">
        <f t="shared" si="37"/>
        <v>21.43362068361839</v>
      </c>
      <c r="AA83" s="386">
        <f t="shared" si="38"/>
        <v>24.594574157167546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0.12852239088790915</v>
      </c>
      <c r="AD83" s="231">
        <f>(INDEX(Models!$BJ83:$BT83,,AH83)*(1-AF83)+INDEX(Models!$BJ83:$BT83,,AH83+1)*AF83-ERP_i)*AE83*Ramure*Pc/MaxiM</f>
        <v>2.7267116228611153E-3</v>
      </c>
      <c r="AE83" s="305">
        <f t="shared" si="40"/>
        <v>0.7</v>
      </c>
      <c r="AF83" s="177">
        <f t="shared" si="41"/>
        <v>0.60766615316868178</v>
      </c>
      <c r="AG83" s="810">
        <f t="shared" si="49"/>
        <v>1</v>
      </c>
      <c r="AH83" s="176">
        <f t="shared" si="42"/>
        <v>7</v>
      </c>
      <c r="AI83" s="225">
        <f t="shared" si="43"/>
        <v>1.6076661531686818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14.042614319098067</v>
      </c>
      <c r="C84" s="840"/>
      <c r="D84" s="393">
        <f t="shared" si="25"/>
        <v>14.980790224931898</v>
      </c>
      <c r="E84" s="385">
        <f t="shared" si="47"/>
        <v>16.027819347711279</v>
      </c>
      <c r="F84" s="385">
        <f t="shared" si="26"/>
        <v>16.028210055017926</v>
      </c>
      <c r="G84" s="110">
        <f t="shared" si="48"/>
        <v>0.38106591407024698</v>
      </c>
      <c r="H84" s="414" t="b">
        <f>Wh_hp&gt;='2025'!Maxi_hp</f>
        <v>0</v>
      </c>
      <c r="I84" s="390">
        <f>IF(H84,Wh_hp,'2025'!Maxi_hp)</f>
        <v>32.943027804132434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6.262526153476633E-2</v>
      </c>
      <c r="M84" s="844"/>
      <c r="N84" s="844"/>
      <c r="O84" s="48">
        <f>IF(t&lt;Tnet,'2025'!Resal+('2025'!Salim-'2025'!Resal)*(1-EXP(('2025'!Tnet-t)/('2025'!Tau_j))),Resal+(Salim-Resal)*(1-EXP((Tnet-t)/(Tau_j))))*Salcycl</f>
        <v>6.5325737710469844E-2</v>
      </c>
      <c r="P84" s="169">
        <f>(INDEX(Models!$BJ84:$BT84,,T84)*(1-R84)+INDEX(Models!$BJ84:$BT84,,T84+1)*R84-ERP_i)*Q84*Ramure*Pc/MaxiM</f>
        <v>2.1030363616915079E-4</v>
      </c>
      <c r="Q84" s="305">
        <f t="shared" si="28"/>
        <v>0.7</v>
      </c>
      <c r="R84" s="177">
        <f t="shared" si="29"/>
        <v>0.78804218327562991</v>
      </c>
      <c r="S84" s="810">
        <f t="shared" si="30"/>
        <v>-2</v>
      </c>
      <c r="T84" s="176">
        <f t="shared" si="31"/>
        <v>4</v>
      </c>
      <c r="U84" s="251">
        <f t="shared" si="32"/>
        <v>-1.2119578167243701</v>
      </c>
      <c r="V84" s="383">
        <f t="shared" si="33"/>
        <v>36.844028369284771</v>
      </c>
      <c r="W84" s="402">
        <f t="shared" si="34"/>
        <v>14.042614319098067</v>
      </c>
      <c r="X84" s="157">
        <f t="shared" si="35"/>
        <v>46092</v>
      </c>
      <c r="Y84" s="385">
        <f t="shared" si="36"/>
        <v>13.088456226518932</v>
      </c>
      <c r="Z84" s="385">
        <f t="shared" si="37"/>
        <v>13.962885588263983</v>
      </c>
      <c r="AA84" s="386">
        <f t="shared" si="38"/>
        <v>16.023167213494865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0.12858142199849809</v>
      </c>
      <c r="AD84" s="231">
        <f>(INDEX(Models!$BJ84:$BT84,,AH84)*(1-AF84)+INDEX(Models!$BJ84:$BT84,,AH84+1)*AF84-ERP_i)*AE84*Ramure*Pc/MaxiM</f>
        <v>2.7143795134767896E-3</v>
      </c>
      <c r="AE84" s="305">
        <f t="shared" si="40"/>
        <v>0.7</v>
      </c>
      <c r="AF84" s="177">
        <f t="shared" si="41"/>
        <v>0.60803223637481385</v>
      </c>
      <c r="AG84" s="810">
        <f t="shared" si="49"/>
        <v>1</v>
      </c>
      <c r="AH84" s="176">
        <f t="shared" si="42"/>
        <v>7</v>
      </c>
      <c r="AI84" s="225">
        <f t="shared" si="43"/>
        <v>1.6080322363748139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15.713193223506909</v>
      </c>
      <c r="C85" s="840"/>
      <c r="D85" s="393">
        <f t="shared" si="25"/>
        <v>16.763369286766167</v>
      </c>
      <c r="E85" s="385">
        <f t="shared" si="47"/>
        <v>17.937425216577374</v>
      </c>
      <c r="F85" s="385">
        <f t="shared" si="26"/>
        <v>17.938079824292537</v>
      </c>
      <c r="G85" s="110">
        <f t="shared" si="48"/>
        <v>0.42194836399301944</v>
      </c>
      <c r="H85" s="414" t="b">
        <f>Wh_hp&gt;='2025'!Maxi_hp</f>
        <v>0</v>
      </c>
      <c r="I85" s="390">
        <f>IF(H85,Wh_hp,'2025'!Maxi_hp)</f>
        <v>41.337289787164842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6.2647075614346792E-2</v>
      </c>
      <c r="M85" s="844"/>
      <c r="N85" s="844"/>
      <c r="O85" s="48">
        <f>IF(t&lt;Tnet,'2025'!Resal+('2025'!Salim-'2025'!Resal)*(1-EXP(('2025'!Tnet-t)/('2025'!Tau_j))),Resal+(Salim-Resal)*(1-EXP((Tnet-t)/(Tau_j))))*Salcycl</f>
        <v>6.5452868270423209E-2</v>
      </c>
      <c r="P85" s="169">
        <f>(INDEX(Models!$BJ85:$BT85,,T85)*(1-R85)+INDEX(Models!$BJ85:$BT85,,T85+1)*R85-ERP_i)*Q85*Ramure*Pc/MaxiM</f>
        <v>2.0934736849626332E-4</v>
      </c>
      <c r="Q85" s="305">
        <f t="shared" si="28"/>
        <v>0.7</v>
      </c>
      <c r="R85" s="177">
        <f t="shared" si="29"/>
        <v>0.78842289727511394</v>
      </c>
      <c r="S85" s="810">
        <f t="shared" si="30"/>
        <v>-2</v>
      </c>
      <c r="T85" s="176">
        <f t="shared" si="31"/>
        <v>4</v>
      </c>
      <c r="U85" s="251">
        <f t="shared" si="32"/>
        <v>-1.2115771027248861</v>
      </c>
      <c r="V85" s="383">
        <f t="shared" si="33"/>
        <v>37.233174400326753</v>
      </c>
      <c r="W85" s="402">
        <f t="shared" si="34"/>
        <v>15.713193223506909</v>
      </c>
      <c r="X85" s="157">
        <f t="shared" si="35"/>
        <v>46093</v>
      </c>
      <c r="Y85" s="385">
        <f t="shared" si="36"/>
        <v>14.644378291693434</v>
      </c>
      <c r="Z85" s="385">
        <f t="shared" si="37"/>
        <v>15.62312114328917</v>
      </c>
      <c r="AA85" s="386">
        <f t="shared" si="38"/>
        <v>17.929595960553179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0.12864064657890087</v>
      </c>
      <c r="AD85" s="231">
        <f>(INDEX(Models!$BJ85:$BT85,,AH85)*(1-AF85)+INDEX(Models!$BJ85:$BT85,,AH85+1)*AF85-ERP_i)*AE85*Ramure*Pc/MaxiM</f>
        <v>2.7131891472933346E-3</v>
      </c>
      <c r="AE85" s="305">
        <f t="shared" si="40"/>
        <v>0.7</v>
      </c>
      <c r="AF85" s="177">
        <f t="shared" si="41"/>
        <v>0.60841295037429788</v>
      </c>
      <c r="AG85" s="810">
        <f t="shared" si="49"/>
        <v>1</v>
      </c>
      <c r="AH85" s="176">
        <f t="shared" si="42"/>
        <v>7</v>
      </c>
      <c r="AI85" s="225">
        <f t="shared" si="43"/>
        <v>1.6084129503742979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9.6144493959747859</v>
      </c>
      <c r="C86" s="840"/>
      <c r="D86" s="393">
        <f t="shared" si="25"/>
        <v>10.2572605187811</v>
      </c>
      <c r="E86" s="385">
        <f t="shared" si="47"/>
        <v>10.977141632670309</v>
      </c>
      <c r="F86" s="385">
        <f t="shared" si="26"/>
        <v>10.977141632670309</v>
      </c>
      <c r="G86" s="110">
        <f t="shared" si="48"/>
        <v>0.25549023410488747</v>
      </c>
      <c r="H86" s="414" t="b">
        <f>Wh_hp&gt;='2025'!Maxi_hp</f>
        <v>0</v>
      </c>
      <c r="I86" s="390">
        <f>IF(H86,Wh_hp,'2025'!Maxi_hp)</f>
        <v>39.947876857948046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6.2668889186281662E-2</v>
      </c>
      <c r="M86" s="844"/>
      <c r="N86" s="844"/>
      <c r="O86" s="48">
        <f>IF(t&lt;Tnet,'2025'!Resal+('2025'!Salim-'2025'!Resal)*(1-EXP(('2025'!Tnet-t)/('2025'!Tau_j))),Resal+(Salim-Resal)*(1-EXP((Tnet-t)/(Tau_j))))*Salcycl</f>
        <v>6.5580015087597046E-2</v>
      </c>
      <c r="P86" s="169">
        <f>(INDEX(Models!$BJ86:$BT86,,T86)*(1-R86)+INDEX(Models!$BJ86:$BT86,,T86+1)*R86-ERP_i)*Q86*Ramure*Pc/MaxiM</f>
        <v>2.0869611622092627E-4</v>
      </c>
      <c r="Q86" s="305">
        <f t="shared" si="28"/>
        <v>0.7</v>
      </c>
      <c r="R86" s="177">
        <f t="shared" si="29"/>
        <v>0.78881879587259074</v>
      </c>
      <c r="S86" s="810">
        <f t="shared" si="30"/>
        <v>-2</v>
      </c>
      <c r="T86" s="176">
        <f t="shared" si="31"/>
        <v>4</v>
      </c>
      <c r="U86" s="251">
        <f t="shared" si="32"/>
        <v>-1.2111812041274093</v>
      </c>
      <c r="V86" s="383">
        <f t="shared" si="33"/>
        <v>37.623523777351139</v>
      </c>
      <c r="W86" s="402">
        <f t="shared" si="34"/>
        <v>9.6144493959747859</v>
      </c>
      <c r="X86" s="157">
        <f t="shared" si="35"/>
        <v>46094</v>
      </c>
      <c r="Y86" s="385">
        <f t="shared" si="36"/>
        <v>8.9649931529138343</v>
      </c>
      <c r="Z86" s="385">
        <f t="shared" si="37"/>
        <v>9.564382371914574</v>
      </c>
      <c r="AA86" s="386">
        <f t="shared" si="38"/>
        <v>10.977141632670309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0.12870010318087391</v>
      </c>
      <c r="AD86" s="231">
        <f>(INDEX(Models!$BJ86:$BT86,,AH86)*(1-AF86)+INDEX(Models!$BJ86:$BT86,,AH86+1)*AF86-ERP_i)*AE86*Ramure*Pc/MaxiM</f>
        <v>2.7190629222208053E-3</v>
      </c>
      <c r="AE86" s="305">
        <f t="shared" si="40"/>
        <v>0.7</v>
      </c>
      <c r="AF86" s="177">
        <f t="shared" si="41"/>
        <v>0.60880884897177467</v>
      </c>
      <c r="AG86" s="810">
        <f t="shared" si="49"/>
        <v>1</v>
      </c>
      <c r="AH86" s="176">
        <f t="shared" si="42"/>
        <v>7</v>
      </c>
      <c r="AI86" s="225">
        <f t="shared" si="43"/>
        <v>1.6088088489717747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14.15163034567094</v>
      </c>
      <c r="C87" s="840"/>
      <c r="D87" s="393">
        <f t="shared" si="25"/>
        <v>15.09814356867105</v>
      </c>
      <c r="E87" s="385">
        <f t="shared" si="47"/>
        <v>16.159969937980723</v>
      </c>
      <c r="F87" s="385">
        <f t="shared" si="26"/>
        <v>16.160316400147348</v>
      </c>
      <c r="G87" s="110">
        <f t="shared" si="48"/>
        <v>0.37219594046899068</v>
      </c>
      <c r="H87" s="414" t="b">
        <f>Wh_hp&gt;='2025'!Maxi_hp</f>
        <v>0</v>
      </c>
      <c r="I87" s="390">
        <f>IF(H87,Wh_hp,'2025'!Maxi_hp)</f>
        <v>39.828022010256511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6.269070225058293E-2</v>
      </c>
      <c r="M87" s="844"/>
      <c r="N87" s="844"/>
      <c r="O87" s="48">
        <f>IF(t&lt;Tnet,'2025'!Resal+('2025'!Salim-'2025'!Resal)*(1-EXP(('2025'!Tnet-t)/('2025'!Tau_j))),Resal+(Salim-Resal)*(1-EXP((Tnet-t)/(Tau_j))))*Salcycl</f>
        <v>6.5707199542126948E-2</v>
      </c>
      <c r="P87" s="169">
        <f>(INDEX(Models!$BJ87:$BT87,,T87)*(1-R87)+INDEX(Models!$BJ87:$BT87,,T87+1)*R87-ERP_i)*Q87*Ramure*Pc/MaxiM</f>
        <v>2.076702910651786E-4</v>
      </c>
      <c r="Q87" s="305">
        <f t="shared" si="28"/>
        <v>0.7</v>
      </c>
      <c r="R87" s="177">
        <f t="shared" si="29"/>
        <v>0.78923045125902069</v>
      </c>
      <c r="S87" s="810">
        <f t="shared" si="30"/>
        <v>-2</v>
      </c>
      <c r="T87" s="176">
        <f t="shared" si="31"/>
        <v>4</v>
      </c>
      <c r="U87" s="251">
        <f t="shared" si="32"/>
        <v>-1.2107695487409793</v>
      </c>
      <c r="V87" s="383">
        <f t="shared" si="33"/>
        <v>38.014909017949542</v>
      </c>
      <c r="W87" s="402">
        <f t="shared" si="34"/>
        <v>14.15163034567094</v>
      </c>
      <c r="X87" s="157">
        <f t="shared" si="35"/>
        <v>46095</v>
      </c>
      <c r="Y87" s="385">
        <f t="shared" si="36"/>
        <v>13.193151456284061</v>
      </c>
      <c r="Z87" s="385">
        <f t="shared" si="37"/>
        <v>14.075558076679995</v>
      </c>
      <c r="AA87" s="386">
        <f t="shared" si="38"/>
        <v>16.155772652467721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0.12875983219966777</v>
      </c>
      <c r="AD87" s="231">
        <f>(INDEX(Models!$BJ87:$BT87,,AH87)*(1-AF87)+INDEX(Models!$BJ87:$BT87,,AH87+1)*AF87-ERP_i)*AE87*Ramure*Pc/MaxiM</f>
        <v>2.7235337478466021E-3</v>
      </c>
      <c r="AE87" s="305">
        <f t="shared" si="40"/>
        <v>0.7</v>
      </c>
      <c r="AF87" s="177">
        <f t="shared" si="41"/>
        <v>0.60922050435820463</v>
      </c>
      <c r="AG87" s="810">
        <f t="shared" si="49"/>
        <v>1</v>
      </c>
      <c r="AH87" s="176">
        <f t="shared" si="42"/>
        <v>7</v>
      </c>
      <c r="AI87" s="225">
        <f t="shared" si="43"/>
        <v>1.6092205043582046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13.419569937210872</v>
      </c>
      <c r="C88" s="840"/>
      <c r="D88" s="393">
        <f t="shared" si="25"/>
        <v>14.317453448609056</v>
      </c>
      <c r="E88" s="385">
        <f t="shared" si="47"/>
        <v>15.326462591915423</v>
      </c>
      <c r="F88" s="385">
        <f t="shared" si="26"/>
        <v>15.326685725705175</v>
      </c>
      <c r="G88" s="110">
        <f t="shared" si="48"/>
        <v>0.34933603593066831</v>
      </c>
      <c r="H88" s="414" t="b">
        <f>Wh_hp&gt;='2025'!Maxi_hp</f>
        <v>0</v>
      </c>
      <c r="I88" s="390">
        <f>IF(H88,Wh_hp,'2025'!Maxi_hp)</f>
        <v>32.760869095233581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6.2712514807262365E-2</v>
      </c>
      <c r="M88" s="844"/>
      <c r="N88" s="844"/>
      <c r="O88" s="48">
        <f>IF(t&lt;Tnet,'2025'!Resal+('2025'!Salim-'2025'!Resal)*(1-EXP(('2025'!Tnet-t)/('2025'!Tau_j))),Resal+(Salim-Resal)*(1-EXP((Tnet-t)/(Tau_j))))*Salcycl</f>
        <v>6.5834444005272927E-2</v>
      </c>
      <c r="P88" s="169">
        <f>(INDEX(Models!$BJ88:$BT88,,T88)*(1-R88)+INDEX(Models!$BJ88:$BT88,,T88+1)*R88-ERP_i)*Q88*Ramure*Pc/MaxiM</f>
        <v>2.0628211762461267E-4</v>
      </c>
      <c r="Q88" s="305">
        <f t="shared" si="28"/>
        <v>0.7</v>
      </c>
      <c r="R88" s="177">
        <f t="shared" si="29"/>
        <v>0.78965845440432592</v>
      </c>
      <c r="S88" s="810">
        <f t="shared" si="30"/>
        <v>-2</v>
      </c>
      <c r="T88" s="176">
        <f t="shared" si="31"/>
        <v>4</v>
      </c>
      <c r="U88" s="251">
        <f t="shared" si="32"/>
        <v>-1.2103415455956741</v>
      </c>
      <c r="V88" s="383">
        <f t="shared" si="33"/>
        <v>38.407137173009183</v>
      </c>
      <c r="W88" s="402">
        <f t="shared" si="34"/>
        <v>13.419569937210872</v>
      </c>
      <c r="X88" s="157">
        <f t="shared" si="35"/>
        <v>46096</v>
      </c>
      <c r="Y88" s="385">
        <f t="shared" si="36"/>
        <v>12.512539079054296</v>
      </c>
      <c r="Z88" s="385">
        <f t="shared" si="37"/>
        <v>13.349734501662848</v>
      </c>
      <c r="AA88" s="386">
        <f t="shared" si="38"/>
        <v>15.323736308812933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0.12881987573845188</v>
      </c>
      <c r="AD88" s="231">
        <f>(INDEX(Models!$BJ88:$BT88,,AH88)*(1-AF88)+INDEX(Models!$BJ88:$BT88,,AH88+1)*AF88-ERP_i)*AE88*Ramure*Pc/MaxiM</f>
        <v>2.7266688875748754E-3</v>
      </c>
      <c r="AE88" s="305">
        <f t="shared" si="40"/>
        <v>0.7</v>
      </c>
      <c r="AF88" s="177">
        <f t="shared" si="41"/>
        <v>0.60964850750350985</v>
      </c>
      <c r="AG88" s="810">
        <f t="shared" si="49"/>
        <v>1</v>
      </c>
      <c r="AH88" s="176">
        <f t="shared" si="42"/>
        <v>7</v>
      </c>
      <c r="AI88" s="225">
        <f t="shared" si="43"/>
        <v>1.6096485075035099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13.142682817778406</v>
      </c>
      <c r="C89" s="840"/>
      <c r="D89" s="393">
        <f t="shared" si="25"/>
        <v>14.022366543838883</v>
      </c>
      <c r="E89" s="385">
        <f t="shared" si="47"/>
        <v>15.012625950489753</v>
      </c>
      <c r="F89" s="385">
        <f t="shared" si="26"/>
        <v>15.012795846342135</v>
      </c>
      <c r="G89" s="110">
        <f t="shared" si="48"/>
        <v>0.33866335254365171</v>
      </c>
      <c r="H89" s="414" t="b">
        <f>Wh_hp&gt;='2025'!Maxi_hp</f>
        <v>0</v>
      </c>
      <c r="I89" s="390">
        <f>IF(H89,Wh_hp,'2025'!Maxi_hp)</f>
        <v>45.209296903916872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6.2734326856331624E-2</v>
      </c>
      <c r="M89" s="844"/>
      <c r="N89" s="844"/>
      <c r="O89" s="48">
        <f>IF(t&lt;Tnet,'2025'!Resal+('2025'!Salim-'2025'!Resal)*(1-EXP(('2025'!Tnet-t)/('2025'!Tau_j))),Resal+(Salim-Resal)*(1-EXP((Tnet-t)/(Tau_j))))*Salcycl</f>
        <v>6.5961771772417022E-2</v>
      </c>
      <c r="P89" s="169">
        <f>(INDEX(Models!$BJ89:$BT89,,T89)*(1-R89)+INDEX(Models!$BJ89:$BT89,,T89+1)*R89-ERP_i)*Q89*Ramure*Pc/MaxiM</f>
        <v>2.0454324651969407E-4</v>
      </c>
      <c r="Q89" s="305">
        <f t="shared" si="28"/>
        <v>0.7</v>
      </c>
      <c r="R89" s="177">
        <f t="shared" si="29"/>
        <v>0.79010341543854357</v>
      </c>
      <c r="S89" s="810">
        <f t="shared" si="30"/>
        <v>-2</v>
      </c>
      <c r="T89" s="176">
        <f t="shared" si="31"/>
        <v>4</v>
      </c>
      <c r="U89" s="251">
        <f t="shared" si="32"/>
        <v>-1.2098965845614564</v>
      </c>
      <c r="V89" s="383">
        <f t="shared" si="33"/>
        <v>38.800015341518687</v>
      </c>
      <c r="W89" s="402">
        <f t="shared" si="34"/>
        <v>13.142682817778406</v>
      </c>
      <c r="X89" s="157">
        <f t="shared" si="35"/>
        <v>46097</v>
      </c>
      <c r="Y89" s="385">
        <f t="shared" si="36"/>
        <v>12.255656221357652</v>
      </c>
      <c r="Z89" s="385">
        <f t="shared" si="37"/>
        <v>13.07596829002725</v>
      </c>
      <c r="AA89" s="386">
        <f t="shared" si="38"/>
        <v>15.010529496440917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0.12888027746605224</v>
      </c>
      <c r="AD89" s="231">
        <f>(INDEX(Models!$BJ89:$BT89,,AH89)*(1-AF89)+INDEX(Models!$BJ89:$BT89,,AH89+1)*AF89-ERP_i)*AE89*Ramure*Pc/MaxiM</f>
        <v>2.7285337461095392E-3</v>
      </c>
      <c r="AE89" s="305">
        <f t="shared" si="40"/>
        <v>0.7</v>
      </c>
      <c r="AF89" s="177">
        <f t="shared" si="41"/>
        <v>0.6100934685377275</v>
      </c>
      <c r="AG89" s="810">
        <f t="shared" si="49"/>
        <v>1</v>
      </c>
      <c r="AH89" s="176">
        <f t="shared" si="42"/>
        <v>7</v>
      </c>
      <c r="AI89" s="225">
        <f t="shared" si="43"/>
        <v>1.6100934685377275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11.394993344291754</v>
      </c>
      <c r="C90" s="840"/>
      <c r="D90" s="393">
        <f t="shared" si="25"/>
        <v>12.157981301485687</v>
      </c>
      <c r="E90" s="385">
        <f t="shared" si="47"/>
        <v>13.018353993248811</v>
      </c>
      <c r="F90" s="385">
        <f t="shared" si="26"/>
        <v>13.018353993248811</v>
      </c>
      <c r="G90" s="110">
        <f t="shared" si="48"/>
        <v>0.29067905814895978</v>
      </c>
      <c r="H90" s="414" t="b">
        <f>Wh_hp&gt;='2025'!Maxi_hp</f>
        <v>0</v>
      </c>
      <c r="I90" s="390">
        <f>IF(H90,Wh_hp,'2025'!Maxi_hp)</f>
        <v>26.308361762464799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6.2756138397802697E-2</v>
      </c>
      <c r="M90" s="844"/>
      <c r="N90" s="844"/>
      <c r="O90" s="48">
        <f>IF(t&lt;Tnet,'2025'!Resal+('2025'!Salim-'2025'!Resal)*(1-EXP(('2025'!Tnet-t)/('2025'!Tau_j))),Resal+(Salim-Resal)*(1-EXP((Tnet-t)/(Tau_j))))*Salcycl</f>
        <v>6.6089206992627741E-2</v>
      </c>
      <c r="P90" s="169">
        <f>(INDEX(Models!$BJ90:$BT90,,T90)*(1-R90)+INDEX(Models!$BJ90:$BT90,,T90+1)*R90-ERP_i)*Q90*Ramure*Pc/MaxiM</f>
        <v>2.0246474649868686E-4</v>
      </c>
      <c r="Q90" s="305">
        <f t="shared" si="28"/>
        <v>0.7</v>
      </c>
      <c r="R90" s="177">
        <f t="shared" si="29"/>
        <v>0.79056596401915491</v>
      </c>
      <c r="S90" s="810">
        <f t="shared" si="30"/>
        <v>-2</v>
      </c>
      <c r="T90" s="176">
        <f t="shared" si="31"/>
        <v>4</v>
      </c>
      <c r="U90" s="251">
        <f t="shared" si="32"/>
        <v>-1.2094340359808451</v>
      </c>
      <c r="V90" s="383">
        <f t="shared" si="33"/>
        <v>39.193350674800648</v>
      </c>
      <c r="W90" s="402">
        <f t="shared" si="34"/>
        <v>11.394993344291754</v>
      </c>
      <c r="X90" s="157">
        <f t="shared" si="35"/>
        <v>46098</v>
      </c>
      <c r="Y90" s="385">
        <f t="shared" si="36"/>
        <v>10.628114207552501</v>
      </c>
      <c r="Z90" s="385">
        <f t="shared" si="37"/>
        <v>11.339753337390739</v>
      </c>
      <c r="AA90" s="386">
        <f t="shared" si="38"/>
        <v>13.018353993248811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0.12894108246930275</v>
      </c>
      <c r="AD90" s="231">
        <f>(INDEX(Models!$BJ90:$BT90,,AH90)*(1-AF90)+INDEX(Models!$BJ90:$BT90,,AH90+1)*AF90-ERP_i)*AE90*Ramure*Pc/MaxiM</f>
        <v>2.729191855414574E-3</v>
      </c>
      <c r="AE90" s="305">
        <f t="shared" si="40"/>
        <v>0.7</v>
      </c>
      <c r="AF90" s="177">
        <f t="shared" si="41"/>
        <v>0.61055601711833885</v>
      </c>
      <c r="AG90" s="810">
        <f t="shared" si="49"/>
        <v>1</v>
      </c>
      <c r="AH90" s="176">
        <f t="shared" si="42"/>
        <v>7</v>
      </c>
      <c r="AI90" s="225">
        <f t="shared" si="43"/>
        <v>1.6105560171183388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14.75460732482871</v>
      </c>
      <c r="C91" s="840"/>
      <c r="D91" s="393">
        <f t="shared" si="25"/>
        <v>15.742915263124477</v>
      </c>
      <c r="E91" s="385">
        <f t="shared" si="47"/>
        <v>16.859282577392282</v>
      </c>
      <c r="F91" s="385">
        <f t="shared" si="26"/>
        <v>16.85963294308722</v>
      </c>
      <c r="G91" s="110">
        <f t="shared" si="48"/>
        <v>0.37264709674324686</v>
      </c>
      <c r="H91" s="414" t="b">
        <f>Wh_hp&gt;='2025'!Maxi_hp</f>
        <v>0</v>
      </c>
      <c r="I91" s="390">
        <f>IF(H91,Wh_hp,'2025'!Maxi_hp)</f>
        <v>32.389497861269035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6.2777949431687352E-2</v>
      </c>
      <c r="M91" s="844"/>
      <c r="N91" s="844"/>
      <c r="O91" s="48">
        <f>IF(t&lt;Tnet,'2025'!Resal+('2025'!Salim-'2025'!Resal)*(1-EXP(('2025'!Tnet-t)/('2025'!Tau_j))),Resal+(Salim-Resal)*(1-EXP((Tnet-t)/(Tau_j))))*Salcycl</f>
        <v>6.6216774595427616E-2</v>
      </c>
      <c r="P91" s="169">
        <f>(INDEX(Models!$BJ91:$BT91,,T91)*(1-R91)+INDEX(Models!$BJ91:$BT91,,T91+1)*R91-ERP_i)*Q91*Ramure*Pc/MaxiM</f>
        <v>2.0005709735873052E-4</v>
      </c>
      <c r="Q91" s="305">
        <f t="shared" si="28"/>
        <v>0.7</v>
      </c>
      <c r="R91" s="177">
        <f t="shared" si="29"/>
        <v>0.79104674968205524</v>
      </c>
      <c r="S91" s="810">
        <f t="shared" si="30"/>
        <v>-2</v>
      </c>
      <c r="T91" s="176">
        <f t="shared" si="31"/>
        <v>4</v>
      </c>
      <c r="U91" s="251">
        <f t="shared" si="32"/>
        <v>-1.2089532503179448</v>
      </c>
      <c r="V91" s="383">
        <f t="shared" si="33"/>
        <v>39.586950375621711</v>
      </c>
      <c r="W91" s="402">
        <f t="shared" si="34"/>
        <v>14.75460732482871</v>
      </c>
      <c r="X91" s="157">
        <f t="shared" si="35"/>
        <v>46099</v>
      </c>
      <c r="Y91" s="385">
        <f t="shared" si="36"/>
        <v>13.75892441150962</v>
      </c>
      <c r="Z91" s="385">
        <f t="shared" si="37"/>
        <v>14.680538516103503</v>
      </c>
      <c r="AA91" s="386">
        <f t="shared" si="38"/>
        <v>16.854854084506098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0.12900233710129494</v>
      </c>
      <c r="AD91" s="231">
        <f>(INDEX(Models!$BJ91:$BT91,,AH91)*(1-AF91)+INDEX(Models!$BJ91:$BT91,,AH91+1)*AF91-ERP_i)*AE91*Ramure*Pc/MaxiM</f>
        <v>2.7287048653558167E-3</v>
      </c>
      <c r="AE91" s="305">
        <f t="shared" si="40"/>
        <v>0.7</v>
      </c>
      <c r="AF91" s="177">
        <f t="shared" si="41"/>
        <v>0.61103680278123917</v>
      </c>
      <c r="AG91" s="810">
        <f t="shared" si="49"/>
        <v>1</v>
      </c>
      <c r="AH91" s="176">
        <f t="shared" si="42"/>
        <v>7</v>
      </c>
      <c r="AI91" s="225">
        <f t="shared" si="43"/>
        <v>1.6110368027812392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26.023564332974985</v>
      </c>
      <c r="C92" s="840"/>
      <c r="D92" s="393">
        <f t="shared" si="25"/>
        <v>27.767347063215308</v>
      </c>
      <c r="E92" s="385">
        <f t="shared" si="47"/>
        <v>29.740463232553267</v>
      </c>
      <c r="F92" s="385">
        <f t="shared" si="26"/>
        <v>29.743405451848176</v>
      </c>
      <c r="G92" s="110">
        <f t="shared" si="48"/>
        <v>0.65084038188116855</v>
      </c>
      <c r="H92" s="414" t="b">
        <f>Wh_hp&gt;='2025'!Maxi_hp</f>
        <v>0</v>
      </c>
      <c r="I92" s="390">
        <f>IF(H92,Wh_hp,'2025'!Maxi_hp)</f>
        <v>42.780968964285989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6.2799759957997359E-2</v>
      </c>
      <c r="M92" s="844"/>
      <c r="N92" s="844"/>
      <c r="O92" s="48">
        <f>IF(t&lt;Tnet,'2025'!Resal+('2025'!Salim-'2025'!Resal)*(1-EXP(('2025'!Tnet-t)/('2025'!Tau_j))),Resal+(Salim-Resal)*(1-EXP((Tnet-t)/(Tau_j))))*Salcycl</f>
        <v>6.6344500215391081E-2</v>
      </c>
      <c r="P92" s="169">
        <f>(INDEX(Models!$BJ92:$BT92,,T92)*(1-R92)+INDEX(Models!$BJ92:$BT92,,T92+1)*R92-ERP_i)*Q92*Ramure*Pc/MaxiM</f>
        <v>1.973301835501369E-4</v>
      </c>
      <c r="Q92" s="305">
        <f t="shared" si="28"/>
        <v>0.7</v>
      </c>
      <c r="R92" s="177">
        <f t="shared" si="29"/>
        <v>0.79154644217342063</v>
      </c>
      <c r="S92" s="810">
        <f t="shared" si="30"/>
        <v>-2</v>
      </c>
      <c r="T92" s="176">
        <f t="shared" si="31"/>
        <v>4</v>
      </c>
      <c r="U92" s="251">
        <f t="shared" si="32"/>
        <v>-1.2084535578265794</v>
      </c>
      <c r="V92" s="383">
        <f t="shared" si="33"/>
        <v>39.980621703417569</v>
      </c>
      <c r="W92" s="402">
        <f t="shared" si="34"/>
        <v>26.023564332974985</v>
      </c>
      <c r="X92" s="157">
        <f t="shared" si="35"/>
        <v>46100</v>
      </c>
      <c r="Y92" s="385">
        <f t="shared" si="36"/>
        <v>24.244607339954172</v>
      </c>
      <c r="Z92" s="385">
        <f t="shared" si="37"/>
        <v>25.869186011804263</v>
      </c>
      <c r="AA92" s="386">
        <f t="shared" si="38"/>
        <v>29.702743542812904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0.12906408882677903</v>
      </c>
      <c r="AD92" s="231">
        <f>(INDEX(Models!$BJ92:$BT92,,AH92)*(1-AF92)+INDEX(Models!$BJ92:$BT92,,AH92+1)*AF92-ERP_i)*AE92*Ramure*Pc/MaxiM</f>
        <v>2.7271325381188474E-3</v>
      </c>
      <c r="AE92" s="305">
        <f t="shared" si="40"/>
        <v>0.7</v>
      </c>
      <c r="AF92" s="177">
        <f t="shared" si="41"/>
        <v>0.61153649527260456</v>
      </c>
      <c r="AG92" s="810">
        <f t="shared" si="49"/>
        <v>1</v>
      </c>
      <c r="AH92" s="176">
        <f t="shared" si="42"/>
        <v>7</v>
      </c>
      <c r="AI92" s="225">
        <f t="shared" si="43"/>
        <v>1.6115364952726046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29.239688525549845</v>
      </c>
      <c r="C93" s="840"/>
      <c r="D93" s="393">
        <f t="shared" si="25"/>
        <v>31.199702840817924</v>
      </c>
      <c r="E93" s="385">
        <f t="shared" si="47"/>
        <v>33.421297001696018</v>
      </c>
      <c r="F93" s="385">
        <f t="shared" si="26"/>
        <v>33.425231709368305</v>
      </c>
      <c r="G93" s="110">
        <f t="shared" si="48"/>
        <v>0.72409416667518389</v>
      </c>
      <c r="H93" s="414" t="b">
        <f>Wh_hp&gt;='2025'!Maxi_hp</f>
        <v>0</v>
      </c>
      <c r="I93" s="390">
        <f>IF(H93,Wh_hp,'2025'!Maxi_hp)</f>
        <v>45.417095514762579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6.2821569976744596E-2</v>
      </c>
      <c r="M93" s="844"/>
      <c r="N93" s="844"/>
      <c r="O93" s="48">
        <f>IF(t&lt;Tnet,'2025'!Resal+('2025'!Salim-'2025'!Resal)*(1-EXP(('2025'!Tnet-t)/('2025'!Tau_j))),Resal+(Salim-Resal)*(1-EXP((Tnet-t)/(Tau_j))))*Salcycl</f>
        <v>6.6472410115183594E-2</v>
      </c>
      <c r="P93" s="169">
        <f>(INDEX(Models!$BJ93:$BT93,,T93)*(1-R93)+INDEX(Models!$BJ93:$BT93,,T93+1)*R93-ERP_i)*Q93*Ramure*Pc/MaxiM</f>
        <v>1.9427504159845777E-4</v>
      </c>
      <c r="Q93" s="305">
        <f t="shared" si="28"/>
        <v>0.7</v>
      </c>
      <c r="R93" s="177">
        <f t="shared" si="29"/>
        <v>0.79206573175951767</v>
      </c>
      <c r="S93" s="810">
        <f t="shared" si="30"/>
        <v>-2</v>
      </c>
      <c r="T93" s="176">
        <f t="shared" si="31"/>
        <v>4</v>
      </c>
      <c r="U93" s="251">
        <f t="shared" si="32"/>
        <v>-1.2079342682404823</v>
      </c>
      <c r="V93" s="383">
        <f t="shared" si="33"/>
        <v>40.3779661061605</v>
      </c>
      <c r="W93" s="402">
        <f t="shared" si="34"/>
        <v>29.239688525549845</v>
      </c>
      <c r="X93" s="157">
        <f t="shared" si="35"/>
        <v>46101</v>
      </c>
      <c r="Y93" s="385">
        <f t="shared" si="36"/>
        <v>27.23543738561813</v>
      </c>
      <c r="Z93" s="385">
        <f t="shared" si="37"/>
        <v>29.061101400874435</v>
      </c>
      <c r="AA93" s="386">
        <f t="shared" si="38"/>
        <v>33.370056154984454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0.129126386065922</v>
      </c>
      <c r="AD93" s="231">
        <f>(INDEX(Models!$BJ93:$BT93,,AH93)*(1-AF93)+INDEX(Models!$BJ93:$BT93,,AH93+1)*AF93-ERP_i)*AE93*Ramure*Pc/MaxiM</f>
        <v>2.7242768754208672E-3</v>
      </c>
      <c r="AE93" s="305">
        <f t="shared" si="40"/>
        <v>0.7</v>
      </c>
      <c r="AF93" s="177">
        <f t="shared" si="41"/>
        <v>0.6120557848587016</v>
      </c>
      <c r="AG93" s="810">
        <f t="shared" si="49"/>
        <v>1</v>
      </c>
      <c r="AH93" s="176">
        <f t="shared" si="42"/>
        <v>7</v>
      </c>
      <c r="AI93" s="225">
        <f t="shared" si="43"/>
        <v>1.6120557848587016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39.058898670919724</v>
      </c>
      <c r="C94" s="840"/>
      <c r="D94" s="393">
        <f t="shared" si="25"/>
        <v>41.678090743869554</v>
      </c>
      <c r="E94" s="385">
        <f t="shared" si="47"/>
        <v>44.651933210683396</v>
      </c>
      <c r="F94" s="385">
        <f t="shared" si="26"/>
        <v>44.659937602161165</v>
      </c>
      <c r="G94" s="110">
        <f t="shared" si="48"/>
        <v>0.95774459475938811</v>
      </c>
      <c r="H94" s="414" t="b">
        <f>Wh_hp&gt;='2025'!Maxi_hp</f>
        <v>0</v>
      </c>
      <c r="I94" s="390">
        <f>IF(H94,Wh_hp,'2025'!Maxi_hp)</f>
        <v>48.198985258159908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6.2843379487940831E-2</v>
      </c>
      <c r="M94" s="844"/>
      <c r="N94" s="844"/>
      <c r="O94" s="48">
        <f>IF(t&lt;Tnet,'2025'!Resal+('2025'!Salim-'2025'!Resal)*(1-EXP(('2025'!Tnet-t)/('2025'!Tau_j))),Resal+(Salim-Resal)*(1-EXP((Tnet-t)/(Tau_j))))*Salcycl</f>
        <v>6.6600531107627897E-2</v>
      </c>
      <c r="P94" s="169">
        <f>(INDEX(Models!$BJ94:$BT94,,T94)*(1-R94)+INDEX(Models!$BJ94:$BT94,,T94+1)*R94-ERP_i)*Q94*Ramure*Pc/MaxiM</f>
        <v>1.9074083544065321E-4</v>
      </c>
      <c r="Q94" s="305">
        <f t="shared" si="28"/>
        <v>0.7</v>
      </c>
      <c r="R94" s="177">
        <f t="shared" si="29"/>
        <v>0.79260532951127782</v>
      </c>
      <c r="S94" s="810">
        <f t="shared" si="30"/>
        <v>-2</v>
      </c>
      <c r="T94" s="176">
        <f t="shared" si="31"/>
        <v>4</v>
      </c>
      <c r="U94" s="251">
        <f t="shared" si="32"/>
        <v>-1.2073946704887222</v>
      </c>
      <c r="V94" s="383">
        <f t="shared" si="33"/>
        <v>40.781696075859301</v>
      </c>
      <c r="W94" s="402">
        <f t="shared" si="34"/>
        <v>39.058898670919724</v>
      </c>
      <c r="X94" s="157">
        <f t="shared" si="35"/>
        <v>46102</v>
      </c>
      <c r="Y94" s="385">
        <f t="shared" si="36"/>
        <v>36.353330390723883</v>
      </c>
      <c r="Z94" s="385">
        <f t="shared" si="37"/>
        <v>38.791093820433716</v>
      </c>
      <c r="AA94" s="386">
        <f t="shared" si="38"/>
        <v>44.54595337665949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0.12918927803756738</v>
      </c>
      <c r="AD94" s="231">
        <f>(INDEX(Models!$BJ94:$BT94,,AH94)*(1-AF94)+INDEX(Models!$BJ94:$BT94,,AH94+1)*AF94-ERP_i)*AE94*Ramure*Pc/MaxiM</f>
        <v>2.7161897890213057E-3</v>
      </c>
      <c r="AE94" s="305">
        <f t="shared" si="40"/>
        <v>0.7</v>
      </c>
      <c r="AF94" s="177">
        <f t="shared" si="41"/>
        <v>0.61259538261046176</v>
      </c>
      <c r="AG94" s="810">
        <f t="shared" si="49"/>
        <v>1</v>
      </c>
      <c r="AH94" s="176">
        <f t="shared" si="42"/>
        <v>7</v>
      </c>
      <c r="AI94" s="225">
        <f t="shared" si="43"/>
        <v>1.6125953826104618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37.018456551470138</v>
      </c>
      <c r="C95" s="840"/>
      <c r="D95" s="393">
        <f t="shared" si="25"/>
        <v>39.50174094150406</v>
      </c>
      <c r="E95" s="385">
        <f t="shared" si="47"/>
        <v>42.326115678978368</v>
      </c>
      <c r="F95" s="385">
        <f t="shared" si="26"/>
        <v>42.332883870305409</v>
      </c>
      <c r="G95" s="110">
        <f t="shared" si="48"/>
        <v>0.89869416566513705</v>
      </c>
      <c r="H95" s="414" t="b">
        <f>Wh_hp&gt;='2025'!Maxi_hp</f>
        <v>0</v>
      </c>
      <c r="I95" s="390">
        <f>IF(H95,Wh_hp,'2025'!Maxi_hp)</f>
        <v>46.410432138632295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6.2865188491597834E-2</v>
      </c>
      <c r="M95" s="844"/>
      <c r="N95" s="844"/>
      <c r="O95" s="48">
        <f>IF(t&lt;Tnet,'2025'!Resal+('2025'!Salim-'2025'!Resal)*(1-EXP(('2025'!Tnet-t)/('2025'!Tau_j))),Resal+(Salim-Resal)*(1-EXP((Tnet-t)/(Tau_j))))*Salcycl</f>
        <v>6.6728890477352781E-2</v>
      </c>
      <c r="P95" s="169">
        <f>(INDEX(Models!$BJ95:$BT95,,T95)*(1-R95)+INDEX(Models!$BJ95:$BT95,,T95+1)*R95-ERP_i)*Q95*Ramure*Pc/MaxiM</f>
        <v>1.8692618881588769E-4</v>
      </c>
      <c r="Q95" s="305">
        <f t="shared" si="28"/>
        <v>0.7</v>
      </c>
      <c r="R95" s="177">
        <f t="shared" si="29"/>
        <v>0.79316596756021762</v>
      </c>
      <c r="S95" s="810">
        <f t="shared" si="30"/>
        <v>-2</v>
      </c>
      <c r="T95" s="176">
        <f t="shared" si="31"/>
        <v>4</v>
      </c>
      <c r="U95" s="251">
        <f t="shared" si="32"/>
        <v>-1.2068340324397824</v>
      </c>
      <c r="V95" s="383">
        <f t="shared" si="33"/>
        <v>41.19026984494397</v>
      </c>
      <c r="W95" s="402">
        <f t="shared" si="34"/>
        <v>37.018456551470138</v>
      </c>
      <c r="X95" s="157">
        <f t="shared" si="35"/>
        <v>46103</v>
      </c>
      <c r="Y95" s="385">
        <f t="shared" si="36"/>
        <v>34.464151025167602</v>
      </c>
      <c r="Z95" s="385">
        <f t="shared" si="37"/>
        <v>36.776086644027743</v>
      </c>
      <c r="AA95" s="386">
        <f t="shared" si="38"/>
        <v>42.235091035365464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0.12925281460306623</v>
      </c>
      <c r="AD95" s="231">
        <f>(INDEX(Models!$BJ95:$BT95,,AH95)*(1-AF95)+INDEX(Models!$BJ95:$BT95,,AH95+1)*AF95-ERP_i)*AE95*Ramure*Pc/MaxiM</f>
        <v>2.7008754696092913E-3</v>
      </c>
      <c r="AE95" s="305">
        <f t="shared" si="40"/>
        <v>0.7</v>
      </c>
      <c r="AF95" s="177">
        <f t="shared" si="41"/>
        <v>0.61315602065940156</v>
      </c>
      <c r="AG95" s="810">
        <f t="shared" si="49"/>
        <v>1</v>
      </c>
      <c r="AH95" s="176">
        <f t="shared" si="42"/>
        <v>7</v>
      </c>
      <c r="AI95" s="225">
        <f t="shared" si="43"/>
        <v>1.6131560206594016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42.501058467361815</v>
      </c>
      <c r="C96" s="840"/>
      <c r="D96" s="393">
        <f t="shared" si="25"/>
        <v>45.353184013822947</v>
      </c>
      <c r="E96" s="385">
        <f t="shared" si="47"/>
        <v>48.602635488929408</v>
      </c>
      <c r="F96" s="385">
        <f t="shared" si="26"/>
        <v>48.611523908671678</v>
      </c>
      <c r="G96" s="110">
        <f t="shared" si="48"/>
        <v>1.0216071649905398</v>
      </c>
      <c r="H96" s="414" t="b">
        <f>Wh_hp&gt;='2025'!Maxi_hp</f>
        <v>0</v>
      </c>
      <c r="I96" s="390">
        <f>IF(H96,Wh_hp,'2025'!Maxi_hp)</f>
        <v>49.043918463336865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6.2886996987727484E-2</v>
      </c>
      <c r="M96" s="844"/>
      <c r="N96" s="844"/>
      <c r="O96" s="48">
        <f>IF(t&lt;Tnet,'2025'!Resal+('2025'!Salim-'2025'!Resal)*(1-EXP(('2025'!Tnet-t)/('2025'!Tau_j))),Resal+(Salim-Resal)*(1-EXP((Tnet-t)/(Tau_j))))*Salcycl</f>
        <v>6.6857515902540132E-2</v>
      </c>
      <c r="P96" s="169">
        <f>(INDEX(Models!$BJ96:$BT96,,T96)*(1-R96)+INDEX(Models!$BJ96:$BT96,,T96+1)*R96-ERP_i)*Q96*Ramure*Pc/MaxiM</f>
        <v>1.8284593914331382E-4</v>
      </c>
      <c r="Q96" s="305">
        <f t="shared" si="28"/>
        <v>0.7</v>
      </c>
      <c r="R96" s="177">
        <f t="shared" si="29"/>
        <v>0.79374839932205332</v>
      </c>
      <c r="S96" s="810">
        <f t="shared" si="30"/>
        <v>-2</v>
      </c>
      <c r="T96" s="176">
        <f t="shared" si="31"/>
        <v>4</v>
      </c>
      <c r="U96" s="251">
        <f t="shared" si="32"/>
        <v>-1.2062516006779467</v>
      </c>
      <c r="V96" s="383">
        <f t="shared" si="33"/>
        <v>41.602153864842336</v>
      </c>
      <c r="W96" s="402">
        <f t="shared" si="34"/>
        <v>42.501058467361815</v>
      </c>
      <c r="X96" s="157">
        <f t="shared" si="35"/>
        <v>46104</v>
      </c>
      <c r="Y96" s="385">
        <f t="shared" si="36"/>
        <v>39.557274200690941</v>
      </c>
      <c r="Z96" s="385">
        <f t="shared" si="37"/>
        <v>42.211850730421354</v>
      </c>
      <c r="AA96" s="386">
        <f t="shared" si="38"/>
        <v>48.481310610147702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0.12931704611166339</v>
      </c>
      <c r="AD96" s="231">
        <f>(INDEX(Models!$BJ96:$BT96,,AH96)*(1-AF96)+INDEX(Models!$BJ96:$BT96,,AH96+1)*AF96-ERP_i)*AE96*Ramure*Pc/MaxiM</f>
        <v>2.6786508229738855E-3</v>
      </c>
      <c r="AE96" s="305">
        <f t="shared" si="40"/>
        <v>0.7</v>
      </c>
      <c r="AF96" s="177">
        <f t="shared" si="41"/>
        <v>0.61373845242123726</v>
      </c>
      <c r="AG96" s="810">
        <f t="shared" si="49"/>
        <v>1</v>
      </c>
      <c r="AH96" s="176">
        <f t="shared" si="42"/>
        <v>7</v>
      </c>
      <c r="AI96" s="225">
        <f t="shared" si="43"/>
        <v>1.6137384524212373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41.860960826061138</v>
      </c>
      <c r="C97" s="840"/>
      <c r="D97" s="393">
        <f t="shared" si="25"/>
        <v>44.671170797847786</v>
      </c>
      <c r="E97" s="385">
        <f t="shared" si="47"/>
        <v>47.878372289163408</v>
      </c>
      <c r="F97" s="385">
        <f t="shared" si="26"/>
        <v>47.88687574099243</v>
      </c>
      <c r="G97" s="110">
        <f t="shared" si="48"/>
        <v>0.99631343484839441</v>
      </c>
      <c r="H97" s="414" t="b">
        <f>Wh_hp&gt;='2025'!Maxi_hp</f>
        <v>0</v>
      </c>
      <c r="I97" s="390">
        <f>IF(H97,Wh_hp,'2025'!Maxi_hp)</f>
        <v>48.279322574126304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6.2908804976341548E-2</v>
      </c>
      <c r="M97" s="844"/>
      <c r="N97" s="844"/>
      <c r="O97" s="48">
        <f>IF(t&lt;Tnet,'2025'!Resal+('2025'!Salim-'2025'!Resal)*(1-EXP(('2025'!Tnet-t)/('2025'!Tau_j))),Resal+(Salim-Resal)*(1-EXP((Tnet-t)/(Tau_j))))*Salcycl</f>
        <v>6.6986435377242901E-2</v>
      </c>
      <c r="P97" s="169">
        <f>(INDEX(Models!$BJ97:$BT97,,T97)*(1-R97)+INDEX(Models!$BJ97:$BT97,,T97+1)*R97-ERP_i)*Q97*Ramure*Pc/MaxiM</f>
        <v>1.7851365147381043E-4</v>
      </c>
      <c r="Q97" s="305">
        <f t="shared" si="28"/>
        <v>0.7</v>
      </c>
      <c r="R97" s="177">
        <f t="shared" si="29"/>
        <v>0.79435339968410124</v>
      </c>
      <c r="S97" s="810">
        <f t="shared" si="30"/>
        <v>-2</v>
      </c>
      <c r="T97" s="176">
        <f t="shared" si="31"/>
        <v>4</v>
      </c>
      <c r="U97" s="251">
        <f t="shared" si="32"/>
        <v>-1.2056466003158988</v>
      </c>
      <c r="V97" s="383">
        <f t="shared" si="33"/>
        <v>42.015815514950262</v>
      </c>
      <c r="W97" s="402">
        <f t="shared" si="34"/>
        <v>41.860960826061138</v>
      </c>
      <c r="X97" s="157">
        <f t="shared" si="35"/>
        <v>46105</v>
      </c>
      <c r="Y97" s="385">
        <f t="shared" si="36"/>
        <v>38.965453693784546</v>
      </c>
      <c r="Z97" s="385">
        <f t="shared" si="37"/>
        <v>41.581282484252554</v>
      </c>
      <c r="AA97" s="386">
        <f t="shared" si="38"/>
        <v>47.760652312044783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0.12938202324832668</v>
      </c>
      <c r="AD97" s="231">
        <f>(INDEX(Models!$BJ97:$BT97,,AH97)*(1-AF97)+INDEX(Models!$BJ97:$BT97,,AH97+1)*AF97-ERP_i)*AE97*Ramure*Pc/MaxiM</f>
        <v>2.6498186449522886E-3</v>
      </c>
      <c r="AE97" s="305">
        <f t="shared" si="40"/>
        <v>0.7</v>
      </c>
      <c r="AF97" s="177">
        <f t="shared" si="41"/>
        <v>0.61434345278328517</v>
      </c>
      <c r="AG97" s="810">
        <f t="shared" si="49"/>
        <v>1</v>
      </c>
      <c r="AH97" s="176">
        <f t="shared" si="42"/>
        <v>7</v>
      </c>
      <c r="AI97" s="225">
        <f t="shared" si="43"/>
        <v>1.6143434527832852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39.532835389153291</v>
      </c>
      <c r="C98" s="840"/>
      <c r="D98" s="393">
        <f t="shared" si="25"/>
        <v>42.187735417147309</v>
      </c>
      <c r="E98" s="385">
        <f t="shared" si="47"/>
        <v>45.22290104261802</v>
      </c>
      <c r="F98" s="385">
        <f t="shared" si="26"/>
        <v>45.230001069740489</v>
      </c>
      <c r="G98" s="110">
        <f t="shared" si="48"/>
        <v>0.93170922868093131</v>
      </c>
      <c r="H98" s="414" t="b">
        <f>Wh_hp&gt;='2025'!Maxi_hp</f>
        <v>1</v>
      </c>
      <c r="I98" s="390">
        <f>IF(H98,Wh_hp,'2025'!Maxi_hp)</f>
        <v>45.230001069740489</v>
      </c>
      <c r="J98" s="85">
        <f>IF(H98,An,'2025'!An_max)</f>
        <v>2026</v>
      </c>
      <c r="K98" s="197">
        <f t="shared" si="27"/>
        <v>46106</v>
      </c>
      <c r="L98" s="147">
        <f>IF(t&lt;Tvie,1-EXP((T0-t)*PertePVj)+'2025'!Pspv,1-EXP((T0-t)*PertePVj)+Pspv)</f>
        <v>6.2930612457451907E-2</v>
      </c>
      <c r="M98" s="844"/>
      <c r="N98" s="844"/>
      <c r="O98" s="48">
        <f>IF(t&lt;Tnet,'2025'!Resal+('2025'!Salim-'2025'!Resal)*(1-EXP(('2025'!Tnet-t)/('2025'!Tau_j))),Resal+(Salim-Resal)*(1-EXP((Tnet-t)/(Tau_j))))*Salcycl</f>
        <v>6.7115677134697224E-2</v>
      </c>
      <c r="P98" s="169">
        <f>(INDEX(Models!$BJ98:$BT98,,T98)*(1-R98)+INDEX(Models!$BJ98:$BT98,,T98+1)*R98-ERP_i)*Q98*Ramure*Pc/MaxiM</f>
        <v>1.7394155942356736E-4</v>
      </c>
      <c r="Q98" s="305">
        <f t="shared" si="28"/>
        <v>0.7</v>
      </c>
      <c r="R98" s="177">
        <f t="shared" si="29"/>
        <v>0.79498176515229901</v>
      </c>
      <c r="S98" s="810">
        <f t="shared" si="30"/>
        <v>-2</v>
      </c>
      <c r="T98" s="176">
        <f t="shared" si="31"/>
        <v>4</v>
      </c>
      <c r="U98" s="251">
        <f t="shared" si="32"/>
        <v>-1.205018234847701</v>
      </c>
      <c r="V98" s="383">
        <f t="shared" si="33"/>
        <v>42.429723107193404</v>
      </c>
      <c r="W98" s="402">
        <f t="shared" si="34"/>
        <v>39.532835389153291</v>
      </c>
      <c r="X98" s="157">
        <f t="shared" si="35"/>
        <v>46106</v>
      </c>
      <c r="Y98" s="385">
        <f t="shared" si="36"/>
        <v>36.81011521621145</v>
      </c>
      <c r="Z98" s="385">
        <f t="shared" si="37"/>
        <v>39.282165979987333</v>
      </c>
      <c r="AA98" s="386">
        <f t="shared" si="38"/>
        <v>45.123274445138783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0.12944779688480076</v>
      </c>
      <c r="AD98" s="231">
        <f>(INDEX(Models!$BJ98:$BT98,,AH98)*(1-AF98)+INDEX(Models!$BJ98:$BT98,,AH98+1)*AF98-ERP_i)*AE98*Ramure*Pc/MaxiM</f>
        <v>2.6146654364858396E-3</v>
      </c>
      <c r="AE98" s="305">
        <f t="shared" si="40"/>
        <v>0.7</v>
      </c>
      <c r="AF98" s="177">
        <f t="shared" si="41"/>
        <v>0.61497181825148295</v>
      </c>
      <c r="AG98" s="810">
        <f t="shared" si="49"/>
        <v>1</v>
      </c>
      <c r="AH98" s="176">
        <f t="shared" si="42"/>
        <v>7</v>
      </c>
      <c r="AI98" s="225">
        <f t="shared" si="43"/>
        <v>1.6149718182514829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42.071677421995524</v>
      </c>
      <c r="C99" s="840"/>
      <c r="D99" s="393">
        <f t="shared" si="25"/>
        <v>44.898122885554699</v>
      </c>
      <c r="E99" s="385">
        <f t="shared" si="47"/>
        <v>48.134972057394741</v>
      </c>
      <c r="F99" s="385">
        <f t="shared" si="26"/>
        <v>48.142905718264203</v>
      </c>
      <c r="G99" s="110">
        <f t="shared" si="48"/>
        <v>0.98200725584698367</v>
      </c>
      <c r="H99" s="414" t="b">
        <f>Wh_hp&gt;='2025'!Maxi_hp</f>
        <v>0</v>
      </c>
      <c r="I99" s="390">
        <f>IF(H99,Wh_hp,'2025'!Maxi_hp)</f>
        <v>50.66707986781163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6.2952419431070328E-2</v>
      </c>
      <c r="M99" s="844"/>
      <c r="N99" s="844"/>
      <c r="O99" s="48">
        <f>IF(t&lt;Tnet,'2025'!Resal+('2025'!Salim-'2025'!Resal)*(1-EXP(('2025'!Tnet-t)/('2025'!Tau_j))),Resal+(Salim-Resal)*(1-EXP((Tnet-t)/(Tau_j))))*Salcycl</f>
        <v>6.7245269571996821E-2</v>
      </c>
      <c r="P99" s="169">
        <f>(INDEX(Models!$BJ99:$BT99,,T99)*(1-R99)+INDEX(Models!$BJ99:$BT99,,T99+1)*R99-ERP_i)*Q99*Ramure*Pc/MaxiM</f>
        <v>1.6914051929847447E-4</v>
      </c>
      <c r="Q99" s="305">
        <f t="shared" si="28"/>
        <v>0.7</v>
      </c>
      <c r="R99" s="177">
        <f t="shared" si="29"/>
        <v>0.79563431395342188</v>
      </c>
      <c r="S99" s="810">
        <f t="shared" si="30"/>
        <v>-2</v>
      </c>
      <c r="T99" s="176">
        <f t="shared" si="31"/>
        <v>4</v>
      </c>
      <c r="U99" s="251">
        <f t="shared" si="32"/>
        <v>-1.2043656860465781</v>
      </c>
      <c r="V99" s="383">
        <f t="shared" si="33"/>
        <v>42.842345894092603</v>
      </c>
      <c r="W99" s="402">
        <f t="shared" si="34"/>
        <v>42.071677421995524</v>
      </c>
      <c r="X99" s="157">
        <f t="shared" si="35"/>
        <v>46107</v>
      </c>
      <c r="Y99" s="385">
        <f t="shared" si="36"/>
        <v>39.171052341981529</v>
      </c>
      <c r="Z99" s="385">
        <f t="shared" si="37"/>
        <v>41.80262897450605</v>
      </c>
      <c r="AA99" s="386">
        <f t="shared" si="38"/>
        <v>48.022195698312316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0.12951441793455626</v>
      </c>
      <c r="AD99" s="231">
        <f>(INDEX(Models!$BJ99:$BT99,,AH99)*(1-AF99)+INDEX(Models!$BJ99:$BT99,,AH99+1)*AF99-ERP_i)*AE99*Ramure*Pc/MaxiM</f>
        <v>2.5734595661621369E-3</v>
      </c>
      <c r="AE99" s="305">
        <f t="shared" si="40"/>
        <v>0.7</v>
      </c>
      <c r="AF99" s="177">
        <f t="shared" si="41"/>
        <v>0.61562436705260581</v>
      </c>
      <c r="AG99" s="810">
        <f t="shared" si="49"/>
        <v>1</v>
      </c>
      <c r="AH99" s="176">
        <f t="shared" si="42"/>
        <v>7</v>
      </c>
      <c r="AI99" s="225">
        <f t="shared" si="43"/>
        <v>1.6156243670526058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40.322348721529281</v>
      </c>
      <c r="C100" s="840"/>
      <c r="D100" s="393">
        <f t="shared" si="25"/>
        <v>43.032272789015011</v>
      </c>
      <c r="E100" s="385">
        <f t="shared" si="47"/>
        <v>46.141036233369235</v>
      </c>
      <c r="F100" s="385">
        <f t="shared" si="26"/>
        <v>46.147873043868188</v>
      </c>
      <c r="G100" s="110">
        <f t="shared" si="48"/>
        <v>0.93224731899798507</v>
      </c>
      <c r="H100" s="414" t="b">
        <f>Wh_hp&gt;='2025'!Maxi_hp</f>
        <v>0</v>
      </c>
      <c r="I100" s="390">
        <f>IF(H100,Wh_hp,'2025'!Maxi_hp)</f>
        <v>49.81019451356466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6.297422589720858E-2</v>
      </c>
      <c r="M100" s="844"/>
      <c r="N100" s="844"/>
      <c r="O100" s="48">
        <f>IF(t&lt;Tnet,'2025'!Resal+('2025'!Salim-'2025'!Resal)*(1-EXP(('2025'!Tnet-t)/('2025'!Tau_j))),Resal+(Salim-Resal)*(1-EXP((Tnet-t)/(Tau_j))))*Salcycl</f>
        <v>6.7375241176442571E-2</v>
      </c>
      <c r="P100" s="169">
        <f>(INDEX(Models!$BJ100:$BT100,,T100)*(1-R100)+INDEX(Models!$BJ100:$BT100,,T100+1)*R100-ERP_i)*Q100*Ramure*Pc/MaxiM</f>
        <v>1.640222372165648E-4</v>
      </c>
      <c r="Q100" s="305">
        <f t="shared" si="28"/>
        <v>0.7</v>
      </c>
      <c r="R100" s="177">
        <f t="shared" si="29"/>
        <v>0.79631188608779357</v>
      </c>
      <c r="S100" s="810">
        <f t="shared" si="30"/>
        <v>-2</v>
      </c>
      <c r="T100" s="176">
        <f t="shared" si="31"/>
        <v>4</v>
      </c>
      <c r="U100" s="251">
        <f t="shared" si="32"/>
        <v>-1.2036881139122064</v>
      </c>
      <c r="V100" s="383">
        <f t="shared" si="33"/>
        <v>43.252158308021961</v>
      </c>
      <c r="W100" s="402">
        <f t="shared" si="34"/>
        <v>40.322348721529281</v>
      </c>
      <c r="X100" s="157">
        <f t="shared" si="35"/>
        <v>46108</v>
      </c>
      <c r="Y100" s="385">
        <f t="shared" si="36"/>
        <v>37.552566507044666</v>
      </c>
      <c r="Z100" s="385">
        <f t="shared" si="37"/>
        <v>40.076343196644196</v>
      </c>
      <c r="AA100" s="386">
        <f t="shared" si="38"/>
        <v>46.042637337150261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0.12958193721218611</v>
      </c>
      <c r="AD100" s="231">
        <f>(INDEX(Models!$BJ100:$BT100,,AH100)*(1-AF100)+INDEX(Models!$BJ100:$BT100,,AH100+1)*AF100-ERP_i)*AE100*Ramure*Pc/MaxiM</f>
        <v>2.5247147121568348E-3</v>
      </c>
      <c r="AE100" s="305">
        <f t="shared" si="40"/>
        <v>0.7</v>
      </c>
      <c r="AF100" s="177">
        <f t="shared" si="41"/>
        <v>0.61630193918697751</v>
      </c>
      <c r="AG100" s="810">
        <f t="shared" si="49"/>
        <v>1</v>
      </c>
      <c r="AH100" s="176">
        <f t="shared" si="42"/>
        <v>7</v>
      </c>
      <c r="AI100" s="225">
        <f t="shared" si="43"/>
        <v>1.6163019391869775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30.510929681579931</v>
      </c>
      <c r="C101" s="840"/>
      <c r="D101" s="393">
        <f t="shared" si="25"/>
        <v>32.562220352184262</v>
      </c>
      <c r="E101" s="385">
        <f t="shared" si="47"/>
        <v>34.91948162522047</v>
      </c>
      <c r="F101" s="385">
        <f t="shared" si="26"/>
        <v>34.922641269949658</v>
      </c>
      <c r="G101" s="110">
        <f t="shared" si="48"/>
        <v>0.698820572079487</v>
      </c>
      <c r="H101" s="414" t="b">
        <f>Wh_hp&gt;='2025'!Maxi_hp</f>
        <v>0</v>
      </c>
      <c r="I101" s="390">
        <f>IF(H101,Wh_hp,'2025'!Maxi_hp)</f>
        <v>49.482894626918331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6.2996031855878432E-2</v>
      </c>
      <c r="M101" s="844"/>
      <c r="N101" s="844"/>
      <c r="O101" s="48">
        <f>IF(t&lt;Tnet,'2025'!Resal+('2025'!Salim-'2025'!Resal)*(1-EXP(('2025'!Tnet-t)/('2025'!Tau_j))),Resal+(Salim-Resal)*(1-EXP((Tnet-t)/(Tau_j))))*Salcycl</f>
        <v>6.7505620453818152E-2</v>
      </c>
      <c r="P101" s="169">
        <f>(INDEX(Models!$BJ101:$BT101,,T101)*(1-R101)+INDEX(Models!$BJ101:$BT101,,T101+1)*R101-ERP_i)*Q101*Ramure*Pc/MaxiM</f>
        <v>1.5878141717133793E-4</v>
      </c>
      <c r="Q101" s="305">
        <f t="shared" si="28"/>
        <v>0.7</v>
      </c>
      <c r="R101" s="177">
        <f t="shared" si="29"/>
        <v>0.79701534332752488</v>
      </c>
      <c r="S101" s="810">
        <f t="shared" si="30"/>
        <v>-2</v>
      </c>
      <c r="T101" s="176">
        <f t="shared" si="31"/>
        <v>4</v>
      </c>
      <c r="U101" s="251">
        <f t="shared" si="32"/>
        <v>-1.2029846566724751</v>
      </c>
      <c r="V101" s="383">
        <f t="shared" si="33"/>
        <v>43.657623481688212</v>
      </c>
      <c r="W101" s="402">
        <f t="shared" si="34"/>
        <v>30.510929681579931</v>
      </c>
      <c r="X101" s="157">
        <f t="shared" si="35"/>
        <v>46109</v>
      </c>
      <c r="Y101" s="385">
        <f t="shared" si="36"/>
        <v>28.440032301052302</v>
      </c>
      <c r="Z101" s="385">
        <f t="shared" si="37"/>
        <v>30.352093766883506</v>
      </c>
      <c r="AA101" s="386">
        <f t="shared" si="38"/>
        <v>34.873450796819952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0.12965040529768113</v>
      </c>
      <c r="AD101" s="231">
        <f>(INDEX(Models!$BJ101:$BT101,,AH101)*(1-AF101)+INDEX(Models!$BJ101:$BT101,,AH101+1)*AF101-ERP_i)*AE101*Ramure*Pc/MaxiM</f>
        <v>2.4719655861048418E-3</v>
      </c>
      <c r="AE101" s="305">
        <f t="shared" si="40"/>
        <v>0.7</v>
      </c>
      <c r="AF101" s="177">
        <f t="shared" si="41"/>
        <v>0.61700539642670882</v>
      </c>
      <c r="AG101" s="810">
        <f t="shared" si="49"/>
        <v>1</v>
      </c>
      <c r="AH101" s="176">
        <f t="shared" si="42"/>
        <v>7</v>
      </c>
      <c r="AI101" s="225">
        <f t="shared" si="43"/>
        <v>1.6170053964267088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26.275978720988888</v>
      </c>
      <c r="C102" s="840"/>
      <c r="D102" s="393">
        <f t="shared" si="25"/>
        <v>28.043200572219138</v>
      </c>
      <c r="E102" s="385">
        <f t="shared" si="47"/>
        <v>30.077538044989115</v>
      </c>
      <c r="F102" s="385">
        <f t="shared" si="26"/>
        <v>30.079492154961507</v>
      </c>
      <c r="G102" s="110">
        <f t="shared" si="48"/>
        <v>0.59635306342164418</v>
      </c>
      <c r="H102" s="414" t="b">
        <f>Wh_hp&gt;='2025'!Maxi_hp</f>
        <v>0</v>
      </c>
      <c r="I102" s="390">
        <f>IF(H102,Wh_hp,'2025'!Maxi_hp)</f>
        <v>51.787106415664866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6.3017837307091873E-2</v>
      </c>
      <c r="M102" s="844"/>
      <c r="N102" s="844"/>
      <c r="O102" s="48">
        <f>IF(t&lt;Tnet,'2025'!Resal+('2025'!Salim-'2025'!Resal)*(1-EXP(('2025'!Tnet-t)/('2025'!Tau_j))),Resal+(Salim-Resal)*(1-EXP((Tnet-t)/(Tau_j))))*Salcycl</f>
        <v>6.7636435858781874E-2</v>
      </c>
      <c r="P102" s="169">
        <f>(INDEX(Models!$BJ102:$BT102,,T102)*(1-R102)+INDEX(Models!$BJ102:$BT102,,T102+1)*R102-ERP_i)*Q102*Ramure*Pc/MaxiM</f>
        <v>1.5342276636912065E-4</v>
      </c>
      <c r="Q102" s="305">
        <f t="shared" si="28"/>
        <v>0.7</v>
      </c>
      <c r="R102" s="177">
        <f t="shared" si="29"/>
        <v>0.79774556915503414</v>
      </c>
      <c r="S102" s="810">
        <f t="shared" si="30"/>
        <v>-2</v>
      </c>
      <c r="T102" s="176">
        <f t="shared" si="31"/>
        <v>4</v>
      </c>
      <c r="U102" s="251">
        <f t="shared" si="32"/>
        <v>-1.2022544308449659</v>
      </c>
      <c r="V102" s="383">
        <f t="shared" si="33"/>
        <v>44.057213525734682</v>
      </c>
      <c r="W102" s="402">
        <f t="shared" si="34"/>
        <v>26.275978720988888</v>
      </c>
      <c r="X102" s="157">
        <f t="shared" si="35"/>
        <v>46110</v>
      </c>
      <c r="Y102" s="385">
        <f t="shared" si="36"/>
        <v>24.502843332698919</v>
      </c>
      <c r="Z102" s="385">
        <f t="shared" si="37"/>
        <v>26.150810878061101</v>
      </c>
      <c r="AA102" s="386">
        <f t="shared" si="38"/>
        <v>30.048728046169575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0.12971987240589239</v>
      </c>
      <c r="AD102" s="231">
        <f>(INDEX(Models!$BJ102:$BT102,,AH102)*(1-AF102)+INDEX(Models!$BJ102:$BT102,,AH102+1)*AF102-ERP_i)*AE102*Ramure*Pc/MaxiM</f>
        <v>2.4153782245756126E-3</v>
      </c>
      <c r="AE102" s="305">
        <f t="shared" si="40"/>
        <v>0.7</v>
      </c>
      <c r="AF102" s="177">
        <f t="shared" si="41"/>
        <v>0.61773562225421808</v>
      </c>
      <c r="AG102" s="810">
        <f t="shared" si="49"/>
        <v>1</v>
      </c>
      <c r="AH102" s="176">
        <f t="shared" si="42"/>
        <v>7</v>
      </c>
      <c r="AI102" s="225">
        <f t="shared" si="43"/>
        <v>1.6177356222542181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7.7118469428269378</v>
      </c>
      <c r="C103" s="840"/>
      <c r="D103" s="393">
        <f t="shared" si="25"/>
        <v>8.2307078192220562</v>
      </c>
      <c r="E103" s="385">
        <f t="shared" si="47"/>
        <v>8.8290310881533127</v>
      </c>
      <c r="F103" s="385">
        <f t="shared" si="26"/>
        <v>8.8290310881533127</v>
      </c>
      <c r="G103" s="110">
        <f t="shared" si="48"/>
        <v>0.173471536423144</v>
      </c>
      <c r="H103" s="414" t="b">
        <f>Wh_hp&gt;='2025'!Maxi_hp</f>
        <v>0</v>
      </c>
      <c r="I103" s="390">
        <f>IF(H103,Wh_hp,'2025'!Maxi_hp)</f>
        <v>50.64313114829168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6.3039642250860561E-2</v>
      </c>
      <c r="M103" s="844"/>
      <c r="N103" s="844"/>
      <c r="O103" s="48">
        <f>IF(t&lt;Tnet,'2025'!Resal+('2025'!Salim-'2025'!Resal)*(1-EXP(('2025'!Tnet-t)/('2025'!Tau_j))),Resal+(Salim-Resal)*(1-EXP((Tnet-t)/(Tau_j))))*Salcycl</f>
        <v>6.7767715727502578E-2</v>
      </c>
      <c r="P103" s="169">
        <f>(INDEX(Models!$BJ103:$BT103,,T103)*(1-R103)+INDEX(Models!$BJ103:$BT103,,T103+1)*R103-ERP_i)*Q103*Ramure*Pc/MaxiM</f>
        <v>1.4794972582557854E-4</v>
      </c>
      <c r="Q103" s="305">
        <f t="shared" si="28"/>
        <v>0.7</v>
      </c>
      <c r="R103" s="177">
        <f t="shared" si="29"/>
        <v>0.79850346863632882</v>
      </c>
      <c r="S103" s="810">
        <f t="shared" si="30"/>
        <v>-2</v>
      </c>
      <c r="T103" s="176">
        <f t="shared" si="31"/>
        <v>4</v>
      </c>
      <c r="U103" s="251">
        <f t="shared" si="32"/>
        <v>-1.2014965313636712</v>
      </c>
      <c r="V103" s="383">
        <f t="shared" si="33"/>
        <v>44.449401533964853</v>
      </c>
      <c r="W103" s="402">
        <f t="shared" si="34"/>
        <v>7.7118469428269378</v>
      </c>
      <c r="X103" s="157">
        <f t="shared" si="35"/>
        <v>46111</v>
      </c>
      <c r="Y103" s="385">
        <f t="shared" si="36"/>
        <v>7.198767353506013</v>
      </c>
      <c r="Z103" s="385">
        <f t="shared" si="37"/>
        <v>7.6831077152502134</v>
      </c>
      <c r="AA103" s="386">
        <f t="shared" si="38"/>
        <v>8.8290310881533127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0.12979038826136716</v>
      </c>
      <c r="AD103" s="231">
        <f>(INDEX(Models!$BJ103:$BT103,,AH103)*(1-AF103)+INDEX(Models!$BJ103:$BT103,,AH103+1)*AF103-ERP_i)*AE103*Ramure*Pc/MaxiM</f>
        <v>2.3550992168692819E-3</v>
      </c>
      <c r="AE103" s="305">
        <f t="shared" si="40"/>
        <v>0.7</v>
      </c>
      <c r="AF103" s="177">
        <f t="shared" si="41"/>
        <v>0.61849352173551275</v>
      </c>
      <c r="AG103" s="810">
        <f t="shared" si="49"/>
        <v>1</v>
      </c>
      <c r="AH103" s="176">
        <f t="shared" si="42"/>
        <v>7</v>
      </c>
      <c r="AI103" s="225">
        <f t="shared" si="43"/>
        <v>1.6184935217355128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27.755596019390186</v>
      </c>
      <c r="C104" s="840"/>
      <c r="D104" s="393">
        <f t="shared" si="25"/>
        <v>29.62371003013234</v>
      </c>
      <c r="E104" s="385">
        <f t="shared" si="47"/>
        <v>31.781669096314417</v>
      </c>
      <c r="F104" s="385">
        <f t="shared" si="26"/>
        <v>31.7837317486735</v>
      </c>
      <c r="G104" s="110">
        <f t="shared" si="48"/>
        <v>0.61904523895155661</v>
      </c>
      <c r="H104" s="414" t="b">
        <f>Wh_hp&gt;='2025'!Maxi_hp</f>
        <v>0</v>
      </c>
      <c r="I104" s="390">
        <f>IF(H104,Wh_hp,'2025'!Maxi_hp)</f>
        <v>46.771911898558628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6.3061446687196376E-2</v>
      </c>
      <c r="M104" s="844"/>
      <c r="N104" s="844"/>
      <c r="O104" s="48">
        <f>IF(t&lt;Tnet,'2025'!Resal+('2025'!Salim-'2025'!Resal)*(1-EXP(('2025'!Tnet-t)/('2025'!Tau_j))),Resal+(Salim-Resal)*(1-EXP((Tnet-t)/(Tau_j))))*Salcycl</f>
        <v>6.7899488212603873E-2</v>
      </c>
      <c r="P104" s="169">
        <f>(INDEX(Models!$BJ104:$BT104,,T104)*(1-R104)+INDEX(Models!$BJ104:$BT104,,T104+1)*R104-ERP_i)*Q104*Ramure*Pc/MaxiM</f>
        <v>1.4236447771801762E-4</v>
      </c>
      <c r="Q104" s="305">
        <f t="shared" si="28"/>
        <v>0.7</v>
      </c>
      <c r="R104" s="177">
        <f t="shared" si="29"/>
        <v>0.79928996822326015</v>
      </c>
      <c r="S104" s="810">
        <f t="shared" si="30"/>
        <v>-2</v>
      </c>
      <c r="T104" s="176">
        <f t="shared" si="31"/>
        <v>4</v>
      </c>
      <c r="U104" s="251">
        <f t="shared" si="32"/>
        <v>-1.2007100317767399</v>
      </c>
      <c r="V104" s="383">
        <f t="shared" si="33"/>
        <v>44.8326615942308</v>
      </c>
      <c r="W104" s="402">
        <f t="shared" si="34"/>
        <v>27.755596019390186</v>
      </c>
      <c r="X104" s="157">
        <f t="shared" si="35"/>
        <v>46112</v>
      </c>
      <c r="Y104" s="385">
        <f t="shared" si="36"/>
        <v>25.885126347875541</v>
      </c>
      <c r="Z104" s="385">
        <f t="shared" si="37"/>
        <v>27.627346805563253</v>
      </c>
      <c r="AA104" s="386">
        <f t="shared" si="38"/>
        <v>31.750534821356585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0.12986200197862249</v>
      </c>
      <c r="AD104" s="231">
        <f>(INDEX(Models!$BJ104:$BT104,,AH104)*(1-AF104)+INDEX(Models!$BJ104:$BT104,,AH104+1)*AF104-ERP_i)*AE104*Ramure*Pc/MaxiM</f>
        <v>2.291255333698014E-3</v>
      </c>
      <c r="AE104" s="305">
        <f t="shared" si="40"/>
        <v>0.7</v>
      </c>
      <c r="AF104" s="177">
        <f t="shared" si="41"/>
        <v>0.61928002132244409</v>
      </c>
      <c r="AG104" s="810">
        <f t="shared" si="49"/>
        <v>1</v>
      </c>
      <c r="AH104" s="176">
        <f t="shared" si="42"/>
        <v>7</v>
      </c>
      <c r="AI104" s="225">
        <f t="shared" si="43"/>
        <v>1.6192800213224441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31.720544430964647</v>
      </c>
      <c r="C105" s="840"/>
      <c r="D105" s="393">
        <f t="shared" si="25"/>
        <v>33.856310554618538</v>
      </c>
      <c r="E105" s="385">
        <f t="shared" si="47"/>
        <v>36.327752247768387</v>
      </c>
      <c r="F105" s="385">
        <f t="shared" si="26"/>
        <v>36.330601558952544</v>
      </c>
      <c r="G105" s="110">
        <f t="shared" si="48"/>
        <v>0.70165618670527952</v>
      </c>
      <c r="H105" s="414" t="b">
        <f>Wh_hp&gt;='2025'!Maxi_hp</f>
        <v>0</v>
      </c>
      <c r="I105" s="390">
        <f>IF(H105,Wh_hp,'2025'!Maxi_hp)</f>
        <v>47.56351472577898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6.3083250616111086E-2</v>
      </c>
      <c r="M105" s="844"/>
      <c r="N105" s="844"/>
      <c r="O105" s="48">
        <f>IF(t&lt;Tnet,'2025'!Resal+('2025'!Salim-'2025'!Resal)*(1-EXP(('2025'!Tnet-t)/('2025'!Tau_j))),Resal+(Salim-Resal)*(1-EXP((Tnet-t)/(Tau_j))))*Salcycl</f>
        <v>6.8031781220421417E-2</v>
      </c>
      <c r="P105" s="169">
        <f>(INDEX(Models!$BJ105:$BT105,,T105)*(1-R105)+INDEX(Models!$BJ105:$BT105,,T105+1)*R105-ERP_i)*Q105*Ramure*Pc/MaxiM</f>
        <v>1.3666795113927412E-4</v>
      </c>
      <c r="Q105" s="305">
        <f t="shared" si="28"/>
        <v>0.7</v>
      </c>
      <c r="R105" s="177">
        <f t="shared" si="29"/>
        <v>0.80010601547868831</v>
      </c>
      <c r="S105" s="810">
        <f t="shared" si="30"/>
        <v>-2</v>
      </c>
      <c r="T105" s="176">
        <f t="shared" si="31"/>
        <v>4</v>
      </c>
      <c r="U105" s="251">
        <f t="shared" si="32"/>
        <v>-1.1998939845213117</v>
      </c>
      <c r="V105" s="383">
        <f t="shared" si="33"/>
        <v>45.205468806615286</v>
      </c>
      <c r="W105" s="402">
        <f t="shared" si="34"/>
        <v>31.720544430964647</v>
      </c>
      <c r="X105" s="157">
        <f t="shared" si="35"/>
        <v>46113</v>
      </c>
      <c r="Y105" s="385">
        <f t="shared" si="36"/>
        <v>29.578135845214142</v>
      </c>
      <c r="Z105" s="385">
        <f t="shared" si="37"/>
        <v>31.569652121882285</v>
      </c>
      <c r="AA105" s="386">
        <f t="shared" si="38"/>
        <v>36.284235642555814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0.1299347619478044</v>
      </c>
      <c r="AD105" s="231">
        <f>(INDEX(Models!$BJ105:$BT105,,AH105)*(1-AF105)+INDEX(Models!$BJ105:$BT105,,AH105+1)*AF105-ERP_i)*AE105*Ramure*Pc/MaxiM</f>
        <v>2.2239532248626913E-3</v>
      </c>
      <c r="AE105" s="305">
        <f t="shared" si="40"/>
        <v>0.7</v>
      </c>
      <c r="AF105" s="177">
        <f t="shared" si="41"/>
        <v>0.62009606857787225</v>
      </c>
      <c r="AG105" s="810">
        <f t="shared" si="49"/>
        <v>1</v>
      </c>
      <c r="AH105" s="176">
        <f t="shared" si="42"/>
        <v>7</v>
      </c>
      <c r="AI105" s="225">
        <f t="shared" si="43"/>
        <v>1.6200960685778723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20.180109339578504</v>
      </c>
      <c r="C106" s="840"/>
      <c r="D106" s="393">
        <f t="shared" si="25"/>
        <v>21.5393512650977</v>
      </c>
      <c r="E106" s="385">
        <f t="shared" si="47"/>
        <v>23.114974792468004</v>
      </c>
      <c r="F106" s="385">
        <f t="shared" si="26"/>
        <v>23.115592190435731</v>
      </c>
      <c r="G106" s="110">
        <f t="shared" si="48"/>
        <v>0.44282743659838564</v>
      </c>
      <c r="H106" s="414" t="b">
        <f>Wh_hp&gt;='2025'!Maxi_hp</f>
        <v>0</v>
      </c>
      <c r="I106" s="390">
        <f>IF(H106,Wh_hp,'2025'!Maxi_hp)</f>
        <v>43.51711445287431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6.310505403761657E-2</v>
      </c>
      <c r="M106" s="844"/>
      <c r="N106" s="844"/>
      <c r="O106" s="48">
        <f>IF(t&lt;Tnet,'2025'!Resal+('2025'!Salim-'2025'!Resal)*(1-EXP(('2025'!Tnet-t)/('2025'!Tau_j))),Resal+(Salim-Resal)*(1-EXP((Tnet-t)/(Tau_j))))*Salcycl</f>
        <v>6.8164622350517151E-2</v>
      </c>
      <c r="P106" s="169">
        <f>(INDEX(Models!$BJ106:$BT106,,T106)*(1-R106)+INDEX(Models!$BJ106:$BT106,,T106+1)*R106-ERP_i)*Q106*Ramure*Pc/MaxiM</f>
        <v>1.308598249612936E-4</v>
      </c>
      <c r="Q106" s="305">
        <f t="shared" si="28"/>
        <v>0.7</v>
      </c>
      <c r="R106" s="177">
        <f t="shared" si="29"/>
        <v>0.80095257871823988</v>
      </c>
      <c r="S106" s="810">
        <f t="shared" si="30"/>
        <v>-2</v>
      </c>
      <c r="T106" s="176">
        <f t="shared" si="31"/>
        <v>4</v>
      </c>
      <c r="U106" s="251">
        <f t="shared" si="32"/>
        <v>-1.1990474212817601</v>
      </c>
      <c r="V106" s="383">
        <f t="shared" si="33"/>
        <v>45.566299293830184</v>
      </c>
      <c r="W106" s="402">
        <f t="shared" si="34"/>
        <v>20.180109339578504</v>
      </c>
      <c r="X106" s="157">
        <f t="shared" si="35"/>
        <v>46114</v>
      </c>
      <c r="Y106" s="385">
        <f t="shared" si="36"/>
        <v>18.833017485404163</v>
      </c>
      <c r="Z106" s="385">
        <f t="shared" si="37"/>
        <v>20.10152532743016</v>
      </c>
      <c r="AA106" s="386">
        <f t="shared" si="38"/>
        <v>23.105432997750917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0.13000871572556807</v>
      </c>
      <c r="AD106" s="231">
        <f>(INDEX(Models!$BJ106:$BT106,,AH106)*(1-AF106)+INDEX(Models!$BJ106:$BT106,,AH106+1)*AF106-ERP_i)*AE106*Ramure*Pc/MaxiM</f>
        <v>2.1532791586251869E-3</v>
      </c>
      <c r="AE106" s="305">
        <f t="shared" si="40"/>
        <v>0.7</v>
      </c>
      <c r="AF106" s="177">
        <f t="shared" si="41"/>
        <v>0.62094263181742382</v>
      </c>
      <c r="AG106" s="810">
        <f t="shared" si="49"/>
        <v>1</v>
      </c>
      <c r="AH106" s="176">
        <f t="shared" si="42"/>
        <v>7</v>
      </c>
      <c r="AI106" s="225">
        <f t="shared" si="43"/>
        <v>1.6209426318174238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21.142084523701666</v>
      </c>
      <c r="C107" s="840"/>
      <c r="D107" s="393">
        <f t="shared" si="25"/>
        <v>22.566645954768553</v>
      </c>
      <c r="E107" s="385">
        <f t="shared" si="47"/>
        <v>24.220884891782219</v>
      </c>
      <c r="F107" s="385">
        <f t="shared" si="26"/>
        <v>24.221578415336573</v>
      </c>
      <c r="G107" s="110">
        <f t="shared" si="48"/>
        <v>0.46039042971977528</v>
      </c>
      <c r="H107" s="414" t="b">
        <f>Wh_hp&gt;='2025'!Maxi_hp</f>
        <v>0</v>
      </c>
      <c r="I107" s="390">
        <f>IF(H107,Wh_hp,'2025'!Maxi_hp)</f>
        <v>53.130196848122523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6.3126856951724486E-2</v>
      </c>
      <c r="M107" s="844"/>
      <c r="N107" s="844"/>
      <c r="O107" s="48">
        <f>IF(t&lt;Tnet,'2025'!Resal+('2025'!Salim-'2025'!Resal)*(1-EXP(('2025'!Tnet-t)/('2025'!Tau_j))),Resal+(Salim-Resal)*(1-EXP((Tnet-t)/(Tau_j))))*Salcycl</f>
        <v>6.8298038837339356E-2</v>
      </c>
      <c r="P107" s="169">
        <f>(INDEX(Models!$BJ107:$BT107,,T107)*(1-R107)+INDEX(Models!$BJ107:$BT107,,T107+1)*R107-ERP_i)*Q107*Ramure*Pc/MaxiM</f>
        <v>1.2492757869183305E-4</v>
      </c>
      <c r="Q107" s="305">
        <f t="shared" si="28"/>
        <v>0.7</v>
      </c>
      <c r="R107" s="177">
        <f t="shared" si="29"/>
        <v>0.8018306465620908</v>
      </c>
      <c r="S107" s="810">
        <f t="shared" si="30"/>
        <v>-2</v>
      </c>
      <c r="T107" s="176">
        <f t="shared" si="31"/>
        <v>4</v>
      </c>
      <c r="U107" s="251">
        <f t="shared" si="32"/>
        <v>-1.1981693534379092</v>
      </c>
      <c r="V107" s="383">
        <f t="shared" si="33"/>
        <v>45.917654280721813</v>
      </c>
      <c r="W107" s="402">
        <f t="shared" si="34"/>
        <v>21.142084523701666</v>
      </c>
      <c r="X107" s="157">
        <f t="shared" si="35"/>
        <v>46115</v>
      </c>
      <c r="Y107" s="385">
        <f t="shared" si="36"/>
        <v>19.731204394460626</v>
      </c>
      <c r="Z107" s="385">
        <f t="shared" si="37"/>
        <v>21.060700203510809</v>
      </c>
      <c r="AA107" s="386">
        <f t="shared" si="38"/>
        <v>24.210036397692285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0.13008390993091079</v>
      </c>
      <c r="AD107" s="231">
        <f>(INDEX(Models!$BJ107:$BT107,,AH107)*(1-AF107)+INDEX(Models!$BJ107:$BT107,,AH107+1)*AF107-ERP_i)*AE107*Ramure*Pc/MaxiM</f>
        <v>2.0791165757343372E-3</v>
      </c>
      <c r="AE107" s="305">
        <f t="shared" si="40"/>
        <v>0.7</v>
      </c>
      <c r="AF107" s="177">
        <f t="shared" si="41"/>
        <v>0.62182069966127473</v>
      </c>
      <c r="AG107" s="810">
        <f t="shared" si="49"/>
        <v>1</v>
      </c>
      <c r="AH107" s="176">
        <f t="shared" si="42"/>
        <v>7</v>
      </c>
      <c r="AI107" s="225">
        <f t="shared" si="43"/>
        <v>1.6218206996612747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42.280786606038305</v>
      </c>
      <c r="C108" s="840"/>
      <c r="D108" s="393">
        <f t="shared" si="25"/>
        <v>45.130731816089991</v>
      </c>
      <c r="E108" s="385">
        <f t="shared" si="47"/>
        <v>48.445990632393126</v>
      </c>
      <c r="F108" s="385">
        <f t="shared" si="26"/>
        <v>48.451044908839378</v>
      </c>
      <c r="G108" s="110">
        <f t="shared" si="48"/>
        <v>0.91390924006896512</v>
      </c>
      <c r="H108" s="414" t="b">
        <f>Wh_hp&gt;='2025'!Maxi_hp</f>
        <v>0</v>
      </c>
      <c r="I108" s="390">
        <f>IF(H108,Wh_hp,'2025'!Maxi_hp)</f>
        <v>54.788293499905031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6.3148659358446824E-2</v>
      </c>
      <c r="M108" s="844"/>
      <c r="N108" s="844"/>
      <c r="O108" s="48">
        <f>IF(t&lt;Tnet,'2025'!Resal+('2025'!Salim-'2025'!Resal)*(1-EXP(('2025'!Tnet-t)/('2025'!Tau_j))),Resal+(Salim-Resal)*(1-EXP((Tnet-t)/(Tau_j))))*Salcycl</f>
        <v>6.8432057493864232E-2</v>
      </c>
      <c r="P108" s="169">
        <f>(INDEX(Models!$BJ108:$BT108,,T108)*(1-R108)+INDEX(Models!$BJ108:$BT108,,T108+1)*R108-ERP_i)*Q108*Ramure*Pc/MaxiM</f>
        <v>1.189433749916174E-4</v>
      </c>
      <c r="Q108" s="305">
        <f t="shared" si="28"/>
        <v>0.7</v>
      </c>
      <c r="R108" s="177">
        <f t="shared" si="29"/>
        <v>0.80274122738997278</v>
      </c>
      <c r="S108" s="810">
        <f t="shared" si="30"/>
        <v>-2</v>
      </c>
      <c r="T108" s="176">
        <f t="shared" si="31"/>
        <v>4</v>
      </c>
      <c r="U108" s="251">
        <f t="shared" si="32"/>
        <v>-1.1972587726100272</v>
      </c>
      <c r="V108" s="383">
        <f t="shared" si="33"/>
        <v>46.262983544586163</v>
      </c>
      <c r="W108" s="402">
        <f t="shared" si="34"/>
        <v>42.280786606038305</v>
      </c>
      <c r="X108" s="157">
        <f t="shared" si="35"/>
        <v>46116</v>
      </c>
      <c r="Y108" s="385">
        <f t="shared" si="36"/>
        <v>39.413952017940268</v>
      </c>
      <c r="Z108" s="385">
        <f t="shared" si="37"/>
        <v>42.070657646654702</v>
      </c>
      <c r="AA108" s="386">
        <f t="shared" si="38"/>
        <v>48.365994339687916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0.1301603901455908</v>
      </c>
      <c r="AD108" s="231">
        <f>(INDEX(Models!$BJ108:$BT108,,AH108)*(1-AF108)+INDEX(Models!$BJ108:$BT108,,AH108+1)*AF108-ERP_i)*AE108*Ramure*Pc/MaxiM</f>
        <v>2.0015133417031501E-3</v>
      </c>
      <c r="AE108" s="305">
        <f t="shared" si="40"/>
        <v>0.7</v>
      </c>
      <c r="AF108" s="177">
        <f t="shared" si="41"/>
        <v>0.62273128048915671</v>
      </c>
      <c r="AG108" s="810">
        <f t="shared" si="49"/>
        <v>1</v>
      </c>
      <c r="AH108" s="176">
        <f t="shared" si="42"/>
        <v>7</v>
      </c>
      <c r="AI108" s="225">
        <f t="shared" si="43"/>
        <v>1.6227312804891567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47.441044729862696</v>
      </c>
      <c r="C109" s="840"/>
      <c r="D109" s="393">
        <f t="shared" si="25"/>
        <v>50.639996678112269</v>
      </c>
      <c r="E109" s="385">
        <f t="shared" si="47"/>
        <v>54.367818856490956</v>
      </c>
      <c r="F109" s="385">
        <f t="shared" si="26"/>
        <v>54.373965155861008</v>
      </c>
      <c r="G109" s="110">
        <f t="shared" si="48"/>
        <v>1.0180004045115796</v>
      </c>
      <c r="H109" s="414" t="b">
        <f>Wh_hp&gt;='2025'!Maxi_hp</f>
        <v>0</v>
      </c>
      <c r="I109" s="390">
        <f>IF(H109,Wh_hp,'2025'!Maxi_hp)</f>
        <v>55.766032914356472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6.3170461257795241E-2</v>
      </c>
      <c r="M109" s="844"/>
      <c r="N109" s="844"/>
      <c r="O109" s="48">
        <f>IF(t&lt;Tnet,'2025'!Resal+('2025'!Salim-'2025'!Resal)*(1-EXP(('2025'!Tnet-t)/('2025'!Tau_j))),Resal+(Salim-Resal)*(1-EXP((Tnet-t)/(Tau_j))))*Salcycl</f>
        <v>6.8566704657007316E-2</v>
      </c>
      <c r="P109" s="169">
        <f>(INDEX(Models!$BJ109:$BT109,,T109)*(1-R109)+INDEX(Models!$BJ109:$BT109,,T109+1)*R109-ERP_i)*Q109*Ramure*Pc/MaxiM</f>
        <v>1.1303754200075185E-4</v>
      </c>
      <c r="Q109" s="305">
        <f t="shared" si="28"/>
        <v>0.7</v>
      </c>
      <c r="R109" s="177">
        <f t="shared" si="29"/>
        <v>0.80368534869238784</v>
      </c>
      <c r="S109" s="810">
        <f t="shared" si="30"/>
        <v>-2</v>
      </c>
      <c r="T109" s="176">
        <f t="shared" si="31"/>
        <v>4</v>
      </c>
      <c r="U109" s="251">
        <f t="shared" si="32"/>
        <v>-1.1963146513076122</v>
      </c>
      <c r="V109" s="383">
        <f t="shared" si="33"/>
        <v>46.602186521354241</v>
      </c>
      <c r="W109" s="402">
        <f t="shared" si="34"/>
        <v>47.441044729862696</v>
      </c>
      <c r="X109" s="157">
        <f t="shared" si="35"/>
        <v>46117</v>
      </c>
      <c r="Y109" s="385">
        <f t="shared" si="36"/>
        <v>44.219677532219094</v>
      </c>
      <c r="Z109" s="385">
        <f t="shared" si="37"/>
        <v>47.201412534012114</v>
      </c>
      <c r="AA109" s="386">
        <f t="shared" si="38"/>
        <v>54.269355791943781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0.13023820081868173</v>
      </c>
      <c r="AD109" s="231">
        <f>(INDEX(Models!$BJ109:$BT109,,AH109)*(1-AF109)+INDEX(Models!$BJ109:$BT109,,AH109+1)*AF109-ERP_i)*AE109*Ramure*Pc/MaxiM</f>
        <v>1.9238869855705062E-3</v>
      </c>
      <c r="AE109" s="305">
        <f t="shared" si="40"/>
        <v>0.7</v>
      </c>
      <c r="AF109" s="177">
        <f t="shared" si="41"/>
        <v>0.62367540179157177</v>
      </c>
      <c r="AG109" s="810">
        <f t="shared" si="49"/>
        <v>1</v>
      </c>
      <c r="AH109" s="176">
        <f t="shared" si="42"/>
        <v>7</v>
      </c>
      <c r="AI109" s="225">
        <f t="shared" si="43"/>
        <v>1.6236754017915718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11.197873921915836</v>
      </c>
      <c r="C110" s="840"/>
      <c r="D110" s="393">
        <f t="shared" si="25"/>
        <v>11.953225272871114</v>
      </c>
      <c r="E110" s="385">
        <f t="shared" si="47"/>
        <v>12.835016666639648</v>
      </c>
      <c r="F110" s="385">
        <f t="shared" si="26"/>
        <v>12.835016666639648</v>
      </c>
      <c r="G110" s="110">
        <f t="shared" si="48"/>
        <v>0.23855615553008425</v>
      </c>
      <c r="H110" s="414" t="b">
        <f>Wh_hp&gt;='2025'!Maxi_hp</f>
        <v>0</v>
      </c>
      <c r="I110" s="390">
        <f>IF(H110,Wh_hp,'2025'!Maxi_hp)</f>
        <v>56.273634835365598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6.3192262649781616E-2</v>
      </c>
      <c r="M110" s="844"/>
      <c r="N110" s="844"/>
      <c r="O110" s="48">
        <f>IF(t&lt;Tnet,'2025'!Resal+('2025'!Salim-'2025'!Resal)*(1-EXP(('2025'!Tnet-t)/('2025'!Tau_j))),Resal+(Salim-Resal)*(1-EXP((Tnet-t)/(Tau_j))))*Salcycl</f>
        <v>6.8702006134550436E-2</v>
      </c>
      <c r="P110" s="169">
        <f>(INDEX(Models!$BJ110:$BT110,,T110)*(1-R110)+INDEX(Models!$BJ110:$BT110,,T110+1)*R110-ERP_i)*Q110*Ramure*Pc/MaxiM</f>
        <v>1.0720403641556098E-4</v>
      </c>
      <c r="Q110" s="305">
        <f t="shared" si="28"/>
        <v>0.7</v>
      </c>
      <c r="R110" s="177">
        <f t="shared" si="29"/>
        <v>0.80466405631082005</v>
      </c>
      <c r="S110" s="810">
        <f t="shared" si="30"/>
        <v>-2</v>
      </c>
      <c r="T110" s="176">
        <f t="shared" si="31"/>
        <v>4</v>
      </c>
      <c r="U110" s="251">
        <f t="shared" si="32"/>
        <v>-1.1953359436891799</v>
      </c>
      <c r="V110" s="383">
        <f t="shared" si="33"/>
        <v>46.93516895320743</v>
      </c>
      <c r="W110" s="402">
        <f t="shared" si="34"/>
        <v>11.197873921915836</v>
      </c>
      <c r="X110" s="157">
        <f t="shared" si="35"/>
        <v>46118</v>
      </c>
      <c r="Y110" s="385">
        <f t="shared" si="36"/>
        <v>10.457014121199114</v>
      </c>
      <c r="Z110" s="385">
        <f t="shared" si="37"/>
        <v>11.162390855969029</v>
      </c>
      <c r="AA110" s="386">
        <f t="shared" si="38"/>
        <v>12.835016666639648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0.13031738517473465</v>
      </c>
      <c r="AD110" s="231">
        <f>(INDEX(Models!$BJ110:$BT110,,AH110)*(1-AF110)+INDEX(Models!$BJ110:$BT110,,AH110+1)*AF110-ERP_i)*AE110*Ramure*Pc/MaxiM</f>
        <v>1.8461897815165089E-3</v>
      </c>
      <c r="AE110" s="305">
        <f t="shared" si="40"/>
        <v>0.7</v>
      </c>
      <c r="AF110" s="177">
        <f t="shared" si="41"/>
        <v>0.62465410941000399</v>
      </c>
      <c r="AG110" s="810">
        <f t="shared" si="49"/>
        <v>1</v>
      </c>
      <c r="AH110" s="176">
        <f t="shared" si="42"/>
        <v>7</v>
      </c>
      <c r="AI110" s="225">
        <f t="shared" si="43"/>
        <v>1.624654109410004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33.883805189579988</v>
      </c>
      <c r="C111" s="840"/>
      <c r="D111" s="393">
        <f t="shared" si="25"/>
        <v>36.170275268457651</v>
      </c>
      <c r="E111" s="385">
        <f t="shared" si="47"/>
        <v>38.844234160583419</v>
      </c>
      <c r="F111" s="385">
        <f t="shared" si="26"/>
        <v>38.846581208965183</v>
      </c>
      <c r="G111" s="110">
        <f t="shared" si="48"/>
        <v>0.71690855954237809</v>
      </c>
      <c r="H111" s="414" t="b">
        <f>Wh_hp&gt;='2025'!Maxi_hp</f>
        <v>0</v>
      </c>
      <c r="I111" s="390">
        <f>IF(H111,Wh_hp,'2025'!Maxi_hp)</f>
        <v>55.325751817582876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6.321406353441783E-2</v>
      </c>
      <c r="M111" s="844"/>
      <c r="N111" s="844"/>
      <c r="O111" s="48">
        <f>IF(t&lt;Tnet,'2025'!Resal+('2025'!Salim-'2025'!Resal)*(1-EXP(('2025'!Tnet-t)/('2025'!Tau_j))),Resal+(Salim-Resal)*(1-EXP((Tnet-t)/(Tau_j))))*Salcycl</f>
        <v>6.8837987153293631E-2</v>
      </c>
      <c r="P111" s="169">
        <f>(INDEX(Models!$BJ111:$BT111,,T111)*(1-R111)+INDEX(Models!$BJ111:$BT111,,T111+1)*R111-ERP_i)*Q111*Ramure*Pc/MaxiM</f>
        <v>1.0143686816435404E-4</v>
      </c>
      <c r="Q111" s="305">
        <f t="shared" si="28"/>
        <v>0.7</v>
      </c>
      <c r="R111" s="177">
        <f t="shared" si="29"/>
        <v>0.80567841355957914</v>
      </c>
      <c r="S111" s="810">
        <f t="shared" si="30"/>
        <v>-2</v>
      </c>
      <c r="T111" s="176">
        <f t="shared" si="31"/>
        <v>4</v>
      </c>
      <c r="U111" s="251">
        <f t="shared" si="32"/>
        <v>-1.1943215864404209</v>
      </c>
      <c r="V111" s="383">
        <f t="shared" si="33"/>
        <v>47.261836663705346</v>
      </c>
      <c r="W111" s="402">
        <f t="shared" si="34"/>
        <v>33.883805189579988</v>
      </c>
      <c r="X111" s="157">
        <f t="shared" si="35"/>
        <v>46119</v>
      </c>
      <c r="Y111" s="385">
        <f t="shared" si="36"/>
        <v>31.61229491494505</v>
      </c>
      <c r="Z111" s="385">
        <f t="shared" si="37"/>
        <v>33.745484090224167</v>
      </c>
      <c r="AA111" s="386">
        <f t="shared" si="38"/>
        <v>38.805664560325624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0.13039798512495809</v>
      </c>
      <c r="AD111" s="231">
        <f>(INDEX(Models!$BJ111:$BT111,,AH111)*(1-AF111)+INDEX(Models!$BJ111:$BT111,,AH111+1)*AF111-ERP_i)*AE111*Ramure*Pc/MaxiM</f>
        <v>1.7683728746382488E-3</v>
      </c>
      <c r="AE111" s="305">
        <f t="shared" si="40"/>
        <v>0.7</v>
      </c>
      <c r="AF111" s="177">
        <f t="shared" si="41"/>
        <v>0.62566846665876308</v>
      </c>
      <c r="AG111" s="810">
        <f t="shared" si="49"/>
        <v>1</v>
      </c>
      <c r="AH111" s="176">
        <f t="shared" si="42"/>
        <v>7</v>
      </c>
      <c r="AI111" s="225">
        <f t="shared" si="43"/>
        <v>1.6256684666587631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26.993352730087732</v>
      </c>
      <c r="C112" s="840"/>
      <c r="D112" s="393">
        <f t="shared" si="25"/>
        <v>28.815527506001541</v>
      </c>
      <c r="E112" s="385">
        <f t="shared" si="47"/>
        <v>30.950315366219211</v>
      </c>
      <c r="F112" s="385">
        <f t="shared" si="26"/>
        <v>30.951446805791392</v>
      </c>
      <c r="G112" s="110">
        <f t="shared" si="48"/>
        <v>0.56726705750058648</v>
      </c>
      <c r="H112" s="414" t="b">
        <f>Wh_hp&gt;='2025'!Maxi_hp</f>
        <v>0</v>
      </c>
      <c r="I112" s="390">
        <f>IF(H112,Wh_hp,'2025'!Maxi_hp)</f>
        <v>53.843386079314278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6.323586391171554E-2</v>
      </c>
      <c r="M112" s="844"/>
      <c r="N112" s="844"/>
      <c r="O112" s="48">
        <f>IF(t&lt;Tnet,'2025'!Resal+('2025'!Salim-'2025'!Resal)*(1-EXP(('2025'!Tnet-t)/('2025'!Tau_j))),Resal+(Salim-Resal)*(1-EXP((Tnet-t)/(Tau_j))))*Salcycl</f>
        <v>6.8974672308111329E-2</v>
      </c>
      <c r="P112" s="169">
        <f>(INDEX(Models!$BJ112:$BT112,,T112)*(1-R112)+INDEX(Models!$BJ112:$BT112,,T112+1)*R112-ERP_i)*Q112*Ramure*Pc/MaxiM</f>
        <v>9.5730090484433958E-5</v>
      </c>
      <c r="Q112" s="305">
        <f t="shared" si="28"/>
        <v>0.7</v>
      </c>
      <c r="R112" s="177">
        <f t="shared" si="29"/>
        <v>0.80672950022177403</v>
      </c>
      <c r="S112" s="810">
        <f t="shared" si="30"/>
        <v>-2</v>
      </c>
      <c r="T112" s="176">
        <f t="shared" si="31"/>
        <v>4</v>
      </c>
      <c r="U112" s="251">
        <f t="shared" si="32"/>
        <v>-1.193270499778226</v>
      </c>
      <c r="V112" s="383">
        <f t="shared" si="33"/>
        <v>47.582095573749093</v>
      </c>
      <c r="W112" s="402">
        <f t="shared" si="34"/>
        <v>26.993352730087732</v>
      </c>
      <c r="X112" s="157">
        <f t="shared" si="35"/>
        <v>46120</v>
      </c>
      <c r="Y112" s="385">
        <f t="shared" si="36"/>
        <v>25.194766809397247</v>
      </c>
      <c r="Z112" s="385">
        <f t="shared" si="37"/>
        <v>26.89552880899658</v>
      </c>
      <c r="AA112" s="386">
        <f t="shared" si="38"/>
        <v>30.931468031532866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0.13048004118077666</v>
      </c>
      <c r="AD112" s="231">
        <f>(INDEX(Models!$BJ112:$BT112,,AH112)*(1-AF112)+INDEX(Models!$BJ112:$BT112,,AH112+1)*AF112-ERP_i)*AE112*Ramure*Pc/MaxiM</f>
        <v>1.6903862252651356E-3</v>
      </c>
      <c r="AE112" s="305">
        <f t="shared" si="40"/>
        <v>0.7</v>
      </c>
      <c r="AF112" s="177">
        <f t="shared" si="41"/>
        <v>0.62671955332095797</v>
      </c>
      <c r="AG112" s="810">
        <f t="shared" si="49"/>
        <v>1</v>
      </c>
      <c r="AH112" s="176">
        <f t="shared" si="42"/>
        <v>7</v>
      </c>
      <c r="AI112" s="225">
        <f t="shared" si="43"/>
        <v>1.626719553320958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35.274631526248164</v>
      </c>
      <c r="C113" s="840"/>
      <c r="D113" s="393">
        <f t="shared" si="25"/>
        <v>37.656706825757475</v>
      </c>
      <c r="E113" s="385">
        <f t="shared" si="47"/>
        <v>40.452460752433062</v>
      </c>
      <c r="F113" s="385">
        <f t="shared" si="26"/>
        <v>40.454733020127399</v>
      </c>
      <c r="G113" s="110">
        <f t="shared" si="48"/>
        <v>0.73646117684698786</v>
      </c>
      <c r="H113" s="414" t="b">
        <f>Wh_hp&gt;='2025'!Maxi_hp</f>
        <v>0</v>
      </c>
      <c r="I113" s="390">
        <f>IF(H113,Wh_hp,'2025'!Maxi_hp)</f>
        <v>46.323967550802834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6.3257663781686624E-2</v>
      </c>
      <c r="M113" s="844"/>
      <c r="N113" s="844"/>
      <c r="O113" s="48">
        <f>IF(t&lt;Tnet,'2025'!Resal+('2025'!Salim-'2025'!Resal)*(1-EXP(('2025'!Tnet-t)/('2025'!Tau_j))),Resal+(Salim-Resal)*(1-EXP((Tnet-t)/(Tau_j))))*Salcycl</f>
        <v>6.9112085511570123E-2</v>
      </c>
      <c r="P113" s="169">
        <f>(INDEX(Models!$BJ113:$BT113,,T113)*(1-R113)+INDEX(Models!$BJ113:$BT113,,T113+1)*R113-ERP_i)*Q113*Ramure*Pc/MaxiM</f>
        <v>9.0077790431874682E-5</v>
      </c>
      <c r="Q113" s="305">
        <f t="shared" si="28"/>
        <v>0.7</v>
      </c>
      <c r="R113" s="177">
        <f t="shared" si="29"/>
        <v>0.80781841141182698</v>
      </c>
      <c r="S113" s="810">
        <f t="shared" si="30"/>
        <v>-2</v>
      </c>
      <c r="T113" s="176">
        <f t="shared" si="31"/>
        <v>4</v>
      </c>
      <c r="U113" s="251">
        <f t="shared" si="32"/>
        <v>-1.192181588588173</v>
      </c>
      <c r="V113" s="383">
        <f t="shared" si="33"/>
        <v>47.895851700102106</v>
      </c>
      <c r="W113" s="402">
        <f t="shared" si="34"/>
        <v>35.274631526248164</v>
      </c>
      <c r="X113" s="157">
        <f t="shared" si="35"/>
        <v>46121</v>
      </c>
      <c r="Y113" s="385">
        <f t="shared" si="36"/>
        <v>32.91474574936089</v>
      </c>
      <c r="Z113" s="385">
        <f t="shared" si="37"/>
        <v>35.137459338327496</v>
      </c>
      <c r="AA113" s="386">
        <f t="shared" si="38"/>
        <v>40.41406482398429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0.13056359236909318</v>
      </c>
      <c r="AD113" s="231">
        <f>(INDEX(Models!$BJ113:$BT113,,AH113)*(1-AF113)+INDEX(Models!$BJ113:$BT113,,AH113+1)*AF113-ERP_i)*AE113*Ramure*Pc/MaxiM</f>
        <v>1.612178555609091E-3</v>
      </c>
      <c r="AE113" s="305">
        <f t="shared" si="40"/>
        <v>0.7</v>
      </c>
      <c r="AF113" s="177">
        <f t="shared" si="41"/>
        <v>0.62780846451101091</v>
      </c>
      <c r="AG113" s="810">
        <f t="shared" si="49"/>
        <v>1</v>
      </c>
      <c r="AH113" s="176">
        <f t="shared" si="42"/>
        <v>7</v>
      </c>
      <c r="AI113" s="225">
        <f t="shared" si="43"/>
        <v>1.6278084645110109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48.090874739826099</v>
      </c>
      <c r="C114" s="840"/>
      <c r="D114" s="393">
        <f t="shared" si="25"/>
        <v>51.33961821874373</v>
      </c>
      <c r="E114" s="385">
        <f t="shared" si="47"/>
        <v>55.159421977433801</v>
      </c>
      <c r="F114" s="385">
        <f t="shared" si="26"/>
        <v>55.164073665859505</v>
      </c>
      <c r="G114" s="110">
        <f t="shared" si="48"/>
        <v>0.99767351428214945</v>
      </c>
      <c r="H114" s="414" t="b">
        <f>Wh_hp&gt;='2025'!Maxi_hp</f>
        <v>0</v>
      </c>
      <c r="I114" s="390">
        <f>IF(H114,Wh_hp,'2025'!Maxi_hp)</f>
        <v>55.540517907478055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6.3279463144342962E-2</v>
      </c>
      <c r="M114" s="844"/>
      <c r="N114" s="844"/>
      <c r="O114" s="48">
        <f>IF(t&lt;Tnet,'2025'!Resal+('2025'!Salim-'2025'!Resal)*(1-EXP(('2025'!Tnet-t)/('2025'!Tau_j))),Resal+(Salim-Resal)*(1-EXP((Tnet-t)/(Tau_j))))*Salcycl</f>
        <v>6.925024994375005E-2</v>
      </c>
      <c r="P114" s="169">
        <f>(INDEX(Models!$BJ114:$BT114,,T114)*(1-R114)+INDEX(Models!$BJ114:$BT114,,T114+1)*R114-ERP_i)*Q114*Ramure*Pc/MaxiM</f>
        <v>8.4605757272886875E-5</v>
      </c>
      <c r="Q114" s="305">
        <f t="shared" si="28"/>
        <v>0.7</v>
      </c>
      <c r="R114" s="177">
        <f t="shared" si="29"/>
        <v>0.80894625629690098</v>
      </c>
      <c r="S114" s="810">
        <f t="shared" si="30"/>
        <v>-2</v>
      </c>
      <c r="T114" s="176">
        <f t="shared" si="31"/>
        <v>4</v>
      </c>
      <c r="U114" s="251">
        <f t="shared" si="32"/>
        <v>-1.191053743703099</v>
      </c>
      <c r="V114" s="383">
        <f t="shared" si="33"/>
        <v>48.203004819839578</v>
      </c>
      <c r="W114" s="402">
        <f t="shared" si="34"/>
        <v>48.090874739826099</v>
      </c>
      <c r="X114" s="157">
        <f t="shared" si="35"/>
        <v>46122</v>
      </c>
      <c r="Y114" s="385">
        <f t="shared" si="36"/>
        <v>44.8535357643024</v>
      </c>
      <c r="Z114" s="385">
        <f t="shared" si="37"/>
        <v>47.883583202803273</v>
      </c>
      <c r="AA114" s="386">
        <f t="shared" si="38"/>
        <v>55.07966904641858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0.13064867614855827</v>
      </c>
      <c r="AD114" s="231">
        <f>(INDEX(Models!$BJ114:$BT114,,AH114)*(1-AF114)+INDEX(Models!$BJ114:$BT114,,AH114+1)*AF114-ERP_i)*AE114*Ramure*Pc/MaxiM</f>
        <v>1.5351666086825979E-3</v>
      </c>
      <c r="AE114" s="305">
        <f t="shared" si="40"/>
        <v>0.7</v>
      </c>
      <c r="AF114" s="177">
        <f t="shared" si="41"/>
        <v>0.62893630939608491</v>
      </c>
      <c r="AG114" s="810">
        <f t="shared" si="49"/>
        <v>1</v>
      </c>
      <c r="AH114" s="176">
        <f t="shared" si="42"/>
        <v>7</v>
      </c>
      <c r="AI114" s="225">
        <f t="shared" si="43"/>
        <v>1.6289363093960849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39.960725506434727</v>
      </c>
      <c r="C115" s="840"/>
      <c r="D115" s="393">
        <f t="shared" si="25"/>
        <v>42.661235555568524</v>
      </c>
      <c r="E115" s="385">
        <f t="shared" si="47"/>
        <v>45.842187739009184</v>
      </c>
      <c r="F115" s="385">
        <f t="shared" si="26"/>
        <v>45.844911921407807</v>
      </c>
      <c r="G115" s="110">
        <f t="shared" si="48"/>
        <v>0.82385730662326129</v>
      </c>
      <c r="H115" s="414" t="b">
        <f>Wh_hp&gt;='2025'!Maxi_hp</f>
        <v>0</v>
      </c>
      <c r="I115" s="390">
        <f>IF(H115,Wh_hp,'2025'!Maxi_hp)</f>
        <v>56.677954021859833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6.3301261999696212E-2</v>
      </c>
      <c r="M115" s="844"/>
      <c r="N115" s="844"/>
      <c r="O115" s="48">
        <f>IF(t&lt;Tnet,'2025'!Resal+('2025'!Salim-'2025'!Resal)*(1-EXP(('2025'!Tnet-t)/('2025'!Tau_j))),Resal+(Salim-Resal)*(1-EXP((Tnet-t)/(Tau_j))))*Salcycl</f>
        <v>6.9389188001903399E-2</v>
      </c>
      <c r="P115" s="169">
        <f>(INDEX(Models!$BJ115:$BT115,,T115)*(1-R115)+INDEX(Models!$BJ115:$BT115,,T115+1)*R115-ERP_i)*Q115*Ramure*Pc/MaxiM</f>
        <v>7.9399255195584611E-5</v>
      </c>
      <c r="Q115" s="305">
        <f t="shared" si="28"/>
        <v>0.7</v>
      </c>
      <c r="R115" s="177">
        <f t="shared" si="29"/>
        <v>0.81011415666961861</v>
      </c>
      <c r="S115" s="810">
        <f t="shared" si="30"/>
        <v>-2</v>
      </c>
      <c r="T115" s="176">
        <f t="shared" si="31"/>
        <v>4</v>
      </c>
      <c r="U115" s="251">
        <f t="shared" si="32"/>
        <v>-1.1898858433303814</v>
      </c>
      <c r="V115" s="383">
        <f t="shared" si="33"/>
        <v>48.503456630130096</v>
      </c>
      <c r="W115" s="402">
        <f t="shared" si="34"/>
        <v>39.960725506434727</v>
      </c>
      <c r="X115" s="157">
        <f t="shared" si="35"/>
        <v>46123</v>
      </c>
      <c r="Y115" s="385">
        <f t="shared" si="36"/>
        <v>37.287909486566292</v>
      </c>
      <c r="Z115" s="385">
        <f t="shared" si="37"/>
        <v>39.807793022300622</v>
      </c>
      <c r="AA115" s="386">
        <f t="shared" si="38"/>
        <v>45.794789917835722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0.13073532832614532</v>
      </c>
      <c r="AD115" s="231">
        <f>(INDEX(Models!$BJ115:$BT115,,AH115)*(1-AF115)+INDEX(Models!$BJ115:$BT115,,AH115+1)*AF115-ERP_i)*AE115*Ramure*Pc/MaxiM</f>
        <v>1.4608602399557064E-3</v>
      </c>
      <c r="AE115" s="305">
        <f t="shared" si="40"/>
        <v>0.7</v>
      </c>
      <c r="AF115" s="177">
        <f t="shared" si="41"/>
        <v>0.63010420976880255</v>
      </c>
      <c r="AG115" s="810">
        <f t="shared" si="49"/>
        <v>1</v>
      </c>
      <c r="AH115" s="176">
        <f t="shared" si="42"/>
        <v>7</v>
      </c>
      <c r="AI115" s="225">
        <f t="shared" si="43"/>
        <v>1.6301042097688025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34.988990705170607</v>
      </c>
      <c r="C116" s="840"/>
      <c r="D116" s="393">
        <f t="shared" si="25"/>
        <v>37.354384659198402</v>
      </c>
      <c r="E116" s="385">
        <f t="shared" si="47"/>
        <v>40.14566977123453</v>
      </c>
      <c r="F116" s="385">
        <f t="shared" si="26"/>
        <v>40.14745051694667</v>
      </c>
      <c r="G116" s="110">
        <f t="shared" si="48"/>
        <v>0.71700834796602408</v>
      </c>
      <c r="H116" s="414" t="b">
        <f>Wh_hp&gt;='2025'!Maxi_hp</f>
        <v>0</v>
      </c>
      <c r="I116" s="390">
        <f>IF(H116,Wh_hp,'2025'!Maxi_hp)</f>
        <v>57.166150894542305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6.3323060347758253E-2</v>
      </c>
      <c r="M116" s="844"/>
      <c r="N116" s="844"/>
      <c r="O116" s="48">
        <f>IF(t&lt;Tnet,'2025'!Resal+('2025'!Salim-'2025'!Resal)*(1-EXP(('2025'!Tnet-t)/('2025'!Tau_j))),Resal+(Salim-Resal)*(1-EXP((Tnet-t)/(Tau_j))))*Salcycl</f>
        <v>6.9528921249587899E-2</v>
      </c>
      <c r="P116" s="169">
        <f>(INDEX(Models!$BJ116:$BT116,,T116)*(1-R116)+INDEX(Models!$BJ116:$BT116,,T116+1)*R116-ERP_i)*Q116*Ramure*Pc/MaxiM</f>
        <v>7.4451722782849735E-5</v>
      </c>
      <c r="Q116" s="305">
        <f t="shared" si="28"/>
        <v>0.7</v>
      </c>
      <c r="R116" s="177">
        <f t="shared" si="29"/>
        <v>0.81132324536452116</v>
      </c>
      <c r="S116" s="810">
        <f t="shared" si="30"/>
        <v>-2</v>
      </c>
      <c r="T116" s="176">
        <f t="shared" si="31"/>
        <v>4</v>
      </c>
      <c r="U116" s="251">
        <f t="shared" si="32"/>
        <v>-1.1886767546354788</v>
      </c>
      <c r="V116" s="383">
        <f t="shared" si="33"/>
        <v>48.797113323144579</v>
      </c>
      <c r="W116" s="402">
        <f t="shared" si="34"/>
        <v>34.988990705170607</v>
      </c>
      <c r="X116" s="157">
        <f t="shared" si="35"/>
        <v>46124</v>
      </c>
      <c r="Y116" s="385">
        <f t="shared" si="36"/>
        <v>32.65849443313374</v>
      </c>
      <c r="Z116" s="385">
        <f t="shared" si="37"/>
        <v>34.866337635320448</v>
      </c>
      <c r="AA116" s="386">
        <f t="shared" si="38"/>
        <v>40.114224169350592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0.13082358297333857</v>
      </c>
      <c r="AD116" s="231">
        <f>(INDEX(Models!$BJ116:$BT116,,AH116)*(1-AF116)+INDEX(Models!$BJ116:$BT116,,AH116+1)*AF116-ERP_i)*AE116*Ramure*Pc/MaxiM</f>
        <v>1.3891701681204465E-3</v>
      </c>
      <c r="AE116" s="305">
        <f t="shared" si="40"/>
        <v>0.7</v>
      </c>
      <c r="AF116" s="177">
        <f t="shared" si="41"/>
        <v>0.6313132984637051</v>
      </c>
      <c r="AG116" s="810">
        <f t="shared" si="49"/>
        <v>1</v>
      </c>
      <c r="AH116" s="176">
        <f t="shared" si="42"/>
        <v>7</v>
      </c>
      <c r="AI116" s="225">
        <f t="shared" si="43"/>
        <v>1.6313132984637051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7.7542332906193634</v>
      </c>
      <c r="C117" s="840"/>
      <c r="D117" s="393">
        <f t="shared" si="25"/>
        <v>8.2786427410444148</v>
      </c>
      <c r="E117" s="385">
        <f t="shared" si="47"/>
        <v>8.8986037513911</v>
      </c>
      <c r="F117" s="385">
        <f t="shared" si="26"/>
        <v>8.8986037513911</v>
      </c>
      <c r="G117" s="110">
        <f t="shared" si="48"/>
        <v>0.15796820029900005</v>
      </c>
      <c r="H117" s="414" t="b">
        <f>Wh_hp&gt;='2025'!Maxi_hp</f>
        <v>0</v>
      </c>
      <c r="I117" s="390">
        <f>IF(H117,Wh_hp,'2025'!Maxi_hp)</f>
        <v>56.753271585996224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6.3344858188540853E-2</v>
      </c>
      <c r="M117" s="844"/>
      <c r="N117" s="844"/>
      <c r="O117" s="48">
        <f>IF(t&lt;Tnet,'2025'!Resal+('2025'!Salim-'2025'!Resal)*(1-EXP(('2025'!Tnet-t)/('2025'!Tau_j))),Resal+(Salim-Resal)*(1-EXP((Tnet-t)/(Tau_j))))*Salcycl</f>
        <v>6.9669470364917413E-2</v>
      </c>
      <c r="P117" s="169">
        <f>(INDEX(Models!$BJ117:$BT117,,T117)*(1-R117)+INDEX(Models!$BJ117:$BT117,,T117+1)*R117-ERP_i)*Q117*Ramure*Pc/MaxiM</f>
        <v>6.9757085321421142E-5</v>
      </c>
      <c r="Q117" s="305">
        <f t="shared" si="28"/>
        <v>0.7</v>
      </c>
      <c r="R117" s="177">
        <f t="shared" si="29"/>
        <v>0.81257466451085847</v>
      </c>
      <c r="S117" s="810">
        <f t="shared" si="30"/>
        <v>-2</v>
      </c>
      <c r="T117" s="176">
        <f t="shared" si="31"/>
        <v>4</v>
      </c>
      <c r="U117" s="251">
        <f t="shared" si="32"/>
        <v>-1.1874253354891415</v>
      </c>
      <c r="V117" s="383">
        <f t="shared" si="33"/>
        <v>49.083881206660735</v>
      </c>
      <c r="W117" s="402">
        <f t="shared" si="34"/>
        <v>7.7542332906193634</v>
      </c>
      <c r="X117" s="157">
        <f t="shared" si="35"/>
        <v>46125</v>
      </c>
      <c r="Y117" s="385">
        <f t="shared" si="36"/>
        <v>7.2437692524650616</v>
      </c>
      <c r="Z117" s="385">
        <f t="shared" si="37"/>
        <v>7.733656635307482</v>
      </c>
      <c r="AA117" s="386">
        <f t="shared" si="38"/>
        <v>8.8986037513911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0.13091347234126524</v>
      </c>
      <c r="AD117" s="231">
        <f>(INDEX(Models!$BJ117:$BT117,,AH117)*(1-AF117)+INDEX(Models!$BJ117:$BT117,,AH117+1)*AF117-ERP_i)*AE117*Ramure*Pc/MaxiM</f>
        <v>1.3200110137693091E-3</v>
      </c>
      <c r="AE117" s="305">
        <f t="shared" si="40"/>
        <v>0.7</v>
      </c>
      <c r="AF117" s="177">
        <f t="shared" si="41"/>
        <v>0.6325647176100424</v>
      </c>
      <c r="AG117" s="810">
        <f t="shared" si="49"/>
        <v>1</v>
      </c>
      <c r="AH117" s="176">
        <f t="shared" si="42"/>
        <v>7</v>
      </c>
      <c r="AI117" s="225">
        <f t="shared" si="43"/>
        <v>1.6325647176100424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38.012395859496174</v>
      </c>
      <c r="C118" s="840"/>
      <c r="D118" s="393">
        <f t="shared" si="25"/>
        <v>40.584072821668897</v>
      </c>
      <c r="E118" s="385">
        <f t="shared" si="47"/>
        <v>43.629914457333911</v>
      </c>
      <c r="F118" s="385">
        <f t="shared" si="26"/>
        <v>43.631827944905652</v>
      </c>
      <c r="G118" s="110">
        <f t="shared" si="48"/>
        <v>0.77003153998002516</v>
      </c>
      <c r="H118" s="414" t="b">
        <f>Wh_hp&gt;='2025'!Maxi_hp</f>
        <v>0</v>
      </c>
      <c r="I118" s="390">
        <f>IF(H118,Wh_hp,'2025'!Maxi_hp)</f>
        <v>57.09243105824325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6.3366655522055892E-2</v>
      </c>
      <c r="M118" s="844"/>
      <c r="N118" s="844"/>
      <c r="O118" s="48">
        <f>IF(t&lt;Tnet,'2025'!Resal+('2025'!Salim-'2025'!Resal)*(1-EXP(('2025'!Tnet-t)/('2025'!Tau_j))),Resal+(Salim-Resal)*(1-EXP((Tnet-t)/(Tau_j))))*Salcycl</f>
        <v>6.9810855087592882E-2</v>
      </c>
      <c r="P118" s="169">
        <f>(INDEX(Models!$BJ118:$BT118,,T118)*(1-R118)+INDEX(Models!$BJ118:$BT118,,T118+1)*R118-ERP_i)*Q118*Ramure*Pc/MaxiM</f>
        <v>6.5309748547492363E-5</v>
      </c>
      <c r="Q118" s="305">
        <f t="shared" si="28"/>
        <v>0.7</v>
      </c>
      <c r="R118" s="177">
        <f t="shared" si="29"/>
        <v>0.81386956361450946</v>
      </c>
      <c r="S118" s="810">
        <f t="shared" si="30"/>
        <v>-2</v>
      </c>
      <c r="T118" s="176">
        <f t="shared" si="31"/>
        <v>4</v>
      </c>
      <c r="U118" s="251">
        <f t="shared" si="32"/>
        <v>-1.1861304363854905</v>
      </c>
      <c r="V118" s="383">
        <f t="shared" si="33"/>
        <v>49.363666701633626</v>
      </c>
      <c r="W118" s="402">
        <f t="shared" si="34"/>
        <v>38.012395859496174</v>
      </c>
      <c r="X118" s="157">
        <f t="shared" si="35"/>
        <v>46126</v>
      </c>
      <c r="Y118" s="385">
        <f t="shared" si="36"/>
        <v>35.483351712895498</v>
      </c>
      <c r="Z118" s="385">
        <f t="shared" si="37"/>
        <v>37.88392963168851</v>
      </c>
      <c r="AA118" s="386">
        <f t="shared" si="38"/>
        <v>43.595107910759161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0.13100502677414291</v>
      </c>
      <c r="AD118" s="231">
        <f>(INDEX(Models!$BJ118:$BT118,,AH118)*(1-AF118)+INDEX(Models!$BJ118:$BT118,,AH118+1)*AF118-ERP_i)*AE118*Ramure*Pc/MaxiM</f>
        <v>1.2533011618083593E-3</v>
      </c>
      <c r="AE118" s="305">
        <f t="shared" si="40"/>
        <v>0.7</v>
      </c>
      <c r="AF118" s="177">
        <f t="shared" si="41"/>
        <v>0.6338596167136934</v>
      </c>
      <c r="AG118" s="810">
        <f t="shared" si="49"/>
        <v>1</v>
      </c>
      <c r="AH118" s="176">
        <f t="shared" si="42"/>
        <v>7</v>
      </c>
      <c r="AI118" s="225">
        <f t="shared" si="43"/>
        <v>1.6338596167136934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42.026210091533862</v>
      </c>
      <c r="C119" s="840"/>
      <c r="D119" s="393">
        <f t="shared" si="25"/>
        <v>44.870480400229837</v>
      </c>
      <c r="E119" s="385">
        <f t="shared" si="47"/>
        <v>48.245395064151069</v>
      </c>
      <c r="F119" s="385">
        <f t="shared" si="26"/>
        <v>48.24769749674747</v>
      </c>
      <c r="G119" s="110">
        <f t="shared" si="48"/>
        <v>0.84667033922487289</v>
      </c>
      <c r="H119" s="414" t="b">
        <f>Wh_hp&gt;='2025'!Maxi_hp</f>
        <v>0</v>
      </c>
      <c r="I119" s="390">
        <f>IF(H119,Wh_hp,'2025'!Maxi_hp)</f>
        <v>57.996745654334866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6.3388452348315139E-2</v>
      </c>
      <c r="M119" s="844"/>
      <c r="N119" s="844"/>
      <c r="O119" s="48">
        <f>IF(t&lt;Tnet,'2025'!Resal+('2025'!Salim-'2025'!Resal)*(1-EXP(('2025'!Tnet-t)/('2025'!Tau_j))),Resal+(Salim-Resal)*(1-EXP((Tnet-t)/(Tau_j))))*Salcycl</f>
        <v>6.9953094164399862E-2</v>
      </c>
      <c r="P119" s="169">
        <f>(INDEX(Models!$BJ119:$BT119,,T119)*(1-R119)+INDEX(Models!$BJ119:$BT119,,T119+1)*R119-ERP_i)*Q119*Ramure*Pc/MaxiM</f>
        <v>6.1104593472888091E-5</v>
      </c>
      <c r="Q119" s="305">
        <f t="shared" si="28"/>
        <v>0.7</v>
      </c>
      <c r="R119" s="177">
        <f t="shared" si="29"/>
        <v>0.81520909746213466</v>
      </c>
      <c r="S119" s="810">
        <f t="shared" si="30"/>
        <v>-2</v>
      </c>
      <c r="T119" s="176">
        <f t="shared" si="31"/>
        <v>4</v>
      </c>
      <c r="U119" s="251">
        <f t="shared" si="32"/>
        <v>-1.1847909025378653</v>
      </c>
      <c r="V119" s="383">
        <f t="shared" si="33"/>
        <v>49.636376355328991</v>
      </c>
      <c r="W119" s="402">
        <f t="shared" si="34"/>
        <v>42.026210091533862</v>
      </c>
      <c r="X119" s="157">
        <f t="shared" si="35"/>
        <v>46127</v>
      </c>
      <c r="Y119" s="385">
        <f t="shared" si="36"/>
        <v>39.228645163852889</v>
      </c>
      <c r="Z119" s="385">
        <f t="shared" si="37"/>
        <v>41.883580511268235</v>
      </c>
      <c r="AA119" s="386">
        <f t="shared" si="38"/>
        <v>48.202897160750425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0.13109827462046711</v>
      </c>
      <c r="AD119" s="231">
        <f>(INDEX(Models!$BJ119:$BT119,,AH119)*(1-AF119)+INDEX(Models!$BJ119:$BT119,,AH119+1)*AF119-ERP_i)*AE119*Ramure*Pc/MaxiM</f>
        <v>1.1889626314502051E-3</v>
      </c>
      <c r="AE119" s="305">
        <f t="shared" si="40"/>
        <v>0.7</v>
      </c>
      <c r="AF119" s="177">
        <f t="shared" si="41"/>
        <v>0.63519915056131859</v>
      </c>
      <c r="AG119" s="810">
        <f t="shared" si="49"/>
        <v>1</v>
      </c>
      <c r="AH119" s="176">
        <f t="shared" si="42"/>
        <v>7</v>
      </c>
      <c r="AI119" s="225">
        <f t="shared" si="43"/>
        <v>1.6351991505613186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45.573363990056542</v>
      </c>
      <c r="C120" s="840"/>
      <c r="D120" s="393">
        <f t="shared" si="25"/>
        <v>48.658832669490991</v>
      </c>
      <c r="E120" s="385">
        <f t="shared" si="47"/>
        <v>52.326738471711586</v>
      </c>
      <c r="F120" s="385">
        <f t="shared" si="26"/>
        <v>52.329357911186612</v>
      </c>
      <c r="G120" s="110">
        <f t="shared" si="48"/>
        <v>0.91325231961445574</v>
      </c>
      <c r="H120" s="414" t="b">
        <f>Wh_hp&gt;='2025'!Maxi_hp</f>
        <v>0</v>
      </c>
      <c r="I120" s="390">
        <f>IF(H120,Wh_hp,'2025'!Maxi_hp)</f>
        <v>52.329713070140862</v>
      </c>
      <c r="J120" s="85">
        <f>IF(H120,An,'2025'!An_max)</f>
        <v>2025</v>
      </c>
      <c r="K120" s="197">
        <f t="shared" si="27"/>
        <v>46128</v>
      </c>
      <c r="L120" s="147">
        <f>IF(t&lt;Tvie,1-EXP((T0-t)*PertePVj)+'2025'!Pspv,1-EXP((T0-t)*PertePVj)+Pspv)</f>
        <v>6.3410248667330471E-2</v>
      </c>
      <c r="M120" s="844"/>
      <c r="N120" s="844"/>
      <c r="O120" s="48">
        <f>IF(t&lt;Tnet,'2025'!Resal+('2025'!Salim-'2025'!Resal)*(1-EXP(('2025'!Tnet-t)/('2025'!Tau_j))),Resal+(Salim-Resal)*(1-EXP((Tnet-t)/(Tau_j))))*Salcycl</f>
        <v>7.0096205292892566E-2</v>
      </c>
      <c r="P120" s="169">
        <f>(INDEX(Models!$BJ120:$BT120,,T120)*(1-R120)+INDEX(Models!$BJ120:$BT120,,T120+1)*R120-ERP_i)*Q120*Ramure*Pc/MaxiM</f>
        <v>5.71369722895478E-5</v>
      </c>
      <c r="Q120" s="305">
        <f t="shared" si="28"/>
        <v>0.7</v>
      </c>
      <c r="R120" s="177">
        <f t="shared" si="29"/>
        <v>0.81659442384104852</v>
      </c>
      <c r="S120" s="810">
        <f t="shared" si="30"/>
        <v>-2</v>
      </c>
      <c r="T120" s="176">
        <f t="shared" si="31"/>
        <v>4</v>
      </c>
      <c r="U120" s="251">
        <f t="shared" si="32"/>
        <v>-1.1834055761589515</v>
      </c>
      <c r="V120" s="383">
        <f t="shared" si="33"/>
        <v>49.901916838536451</v>
      </c>
      <c r="W120" s="402">
        <f t="shared" si="34"/>
        <v>45.573363990056542</v>
      </c>
      <c r="X120" s="157">
        <f t="shared" si="35"/>
        <v>46128</v>
      </c>
      <c r="Y120" s="385">
        <f t="shared" si="36"/>
        <v>42.539170448688779</v>
      </c>
      <c r="Z120" s="385">
        <f t="shared" si="37"/>
        <v>45.419214109656842</v>
      </c>
      <c r="AA120" s="386">
        <f t="shared" si="38"/>
        <v>52.277694319051889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0.13119324214143022</v>
      </c>
      <c r="AD120" s="231">
        <f>(INDEX(Models!$BJ120:$BT120,,AH120)*(1-AF120)+INDEX(Models!$BJ120:$BT120,,AH120+1)*AF120-ERP_i)*AE120*Ramure*Pc/MaxiM</f>
        <v>1.1269209540133499E-3</v>
      </c>
      <c r="AE120" s="305">
        <f t="shared" si="40"/>
        <v>0.7</v>
      </c>
      <c r="AF120" s="177">
        <f t="shared" si="41"/>
        <v>0.63658447694023246</v>
      </c>
      <c r="AG120" s="810">
        <f t="shared" si="49"/>
        <v>1</v>
      </c>
      <c r="AH120" s="176">
        <f t="shared" si="42"/>
        <v>7</v>
      </c>
      <c r="AI120" s="225">
        <f t="shared" si="43"/>
        <v>1.6365844769402325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49.880086873441279</v>
      </c>
      <c r="C121" s="840"/>
      <c r="D121" s="393">
        <f t="shared" si="25"/>
        <v>53.258374450468693</v>
      </c>
      <c r="E121" s="385">
        <f t="shared" si="47"/>
        <v>57.28186434871477</v>
      </c>
      <c r="F121" s="385">
        <f t="shared" si="26"/>
        <v>57.284899108022081</v>
      </c>
      <c r="G121" s="110">
        <f t="shared" si="48"/>
        <v>0.99441467677678708</v>
      </c>
      <c r="H121" s="414" t="b">
        <f>Wh_hp&gt;='2025'!Maxi_hp</f>
        <v>0</v>
      </c>
      <c r="I121" s="390">
        <f>IF(H121,Wh_hp,'2025'!Maxi_hp)</f>
        <v>57.284922424535502</v>
      </c>
      <c r="J121" s="85">
        <f>IF(H121,An,'2025'!An_max)</f>
        <v>2025</v>
      </c>
      <c r="K121" s="197">
        <f t="shared" si="27"/>
        <v>46129</v>
      </c>
      <c r="L121" s="147">
        <f>IF(t&lt;Tvie,1-EXP((T0-t)*PertePVj)+'2025'!Pspv,1-EXP((T0-t)*PertePVj)+Pspv)</f>
        <v>6.3432044479113547E-2</v>
      </c>
      <c r="M121" s="844"/>
      <c r="N121" s="844"/>
      <c r="O121" s="48">
        <f>IF(t&lt;Tnet,'2025'!Resal+('2025'!Salim-'2025'!Resal)*(1-EXP(('2025'!Tnet-t)/('2025'!Tau_j))),Resal+(Salim-Resal)*(1-EXP((Tnet-t)/(Tau_j))))*Salcycl</f>
        <v>7.0240205063024391E-2</v>
      </c>
      <c r="P121" s="169">
        <f>(INDEX(Models!$BJ121:$BT121,,T121)*(1-R121)+INDEX(Models!$BJ121:$BT121,,T121+1)*R121-ERP_i)*Q121*Ramure*Pc/MaxiM</f>
        <v>5.34026714788816E-5</v>
      </c>
      <c r="Q121" s="305">
        <f t="shared" si="28"/>
        <v>0.7</v>
      </c>
      <c r="R121" s="177">
        <f t="shared" si="29"/>
        <v>0.81802670106878983</v>
      </c>
      <c r="S121" s="810">
        <f t="shared" si="30"/>
        <v>-2</v>
      </c>
      <c r="T121" s="176">
        <f t="shared" si="31"/>
        <v>4</v>
      </c>
      <c r="U121" s="251">
        <f t="shared" si="32"/>
        <v>-1.1819732989312102</v>
      </c>
      <c r="V121" s="383">
        <f t="shared" si="33"/>
        <v>50.160226699002074</v>
      </c>
      <c r="W121" s="402">
        <f t="shared" si="34"/>
        <v>49.880086873441279</v>
      </c>
      <c r="X121" s="157">
        <f t="shared" si="35"/>
        <v>46129</v>
      </c>
      <c r="Y121" s="385">
        <f t="shared" si="36"/>
        <v>46.557999093362987</v>
      </c>
      <c r="Z121" s="385">
        <f t="shared" si="37"/>
        <v>49.711287706260514</v>
      </c>
      <c r="AA121" s="386">
        <f t="shared" si="38"/>
        <v>57.224257854213747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0.13128995341614572</v>
      </c>
      <c r="AD121" s="231">
        <f>(INDEX(Models!$BJ121:$BT121,,AH121)*(1-AF121)+INDEX(Models!$BJ121:$BT121,,AH121+1)*AF121-ERP_i)*AE121*Ramure*Pc/MaxiM</f>
        <v>1.0671043820135843E-3</v>
      </c>
      <c r="AE121" s="305">
        <f t="shared" si="40"/>
        <v>0.7</v>
      </c>
      <c r="AF121" s="177">
        <f t="shared" si="41"/>
        <v>0.63801675416797377</v>
      </c>
      <c r="AG121" s="810">
        <f t="shared" si="49"/>
        <v>1</v>
      </c>
      <c r="AH121" s="176">
        <f t="shared" si="42"/>
        <v>7</v>
      </c>
      <c r="AI121" s="225">
        <f t="shared" si="43"/>
        <v>1.6380167541679738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39.332549776930236</v>
      </c>
      <c r="C122" s="840"/>
      <c r="D122" s="393">
        <f t="shared" si="25"/>
        <v>41.997449189098369</v>
      </c>
      <c r="E122" s="385">
        <f t="shared" si="47"/>
        <v>45.177255217207986</v>
      </c>
      <c r="F122" s="385">
        <f t="shared" si="26"/>
        <v>45.178804336860338</v>
      </c>
      <c r="G122" s="110">
        <f t="shared" si="48"/>
        <v>0.78021951455032335</v>
      </c>
      <c r="H122" s="414" t="b">
        <f>Wh_hp&gt;='2025'!Maxi_hp</f>
        <v>0</v>
      </c>
      <c r="I122" s="390">
        <f>IF(H122,Wh_hp,'2025'!Maxi_hp)</f>
        <v>45.179479187545411</v>
      </c>
      <c r="J122" s="85">
        <f>IF(H122,An,'2025'!An_max)</f>
        <v>2025</v>
      </c>
      <c r="K122" s="197">
        <f t="shared" si="27"/>
        <v>46130</v>
      </c>
      <c r="L122" s="147">
        <f>IF(t&lt;Tvie,1-EXP((T0-t)*PertePVj)+'2025'!Pspv,1-EXP((T0-t)*PertePVj)+Pspv)</f>
        <v>6.3453839783676247E-2</v>
      </c>
      <c r="M122" s="844"/>
      <c r="N122" s="844"/>
      <c r="O122" s="48">
        <f>IF(t&lt;Tnet,'2025'!Resal+('2025'!Salim-'2025'!Resal)*(1-EXP(('2025'!Tnet-t)/('2025'!Tau_j))),Resal+(Salim-Resal)*(1-EXP((Tnet-t)/(Tau_j))))*Salcycl</f>
        <v>7.0385108896532281E-2</v>
      </c>
      <c r="P122" s="169">
        <f>(INDEX(Models!$BJ122:$BT122,,T122)*(1-R122)+INDEX(Models!$BJ122:$BT122,,T122+1)*R122-ERP_i)*Q122*Ramure*Pc/MaxiM</f>
        <v>4.9980131409242997E-5</v>
      </c>
      <c r="Q122" s="305">
        <f t="shared" si="28"/>
        <v>0.7</v>
      </c>
      <c r="R122" s="177">
        <f t="shared" si="29"/>
        <v>0.81950708532696814</v>
      </c>
      <c r="S122" s="810">
        <f t="shared" si="30"/>
        <v>-2</v>
      </c>
      <c r="T122" s="176">
        <f t="shared" si="31"/>
        <v>4</v>
      </c>
      <c r="U122" s="251">
        <f t="shared" si="32"/>
        <v>-1.1804929146730319</v>
      </c>
      <c r="V122" s="383">
        <f t="shared" si="33"/>
        <v>50.411367359835069</v>
      </c>
      <c r="W122" s="402">
        <f t="shared" si="34"/>
        <v>39.332549776930236</v>
      </c>
      <c r="X122" s="157">
        <f t="shared" si="35"/>
        <v>46130</v>
      </c>
      <c r="Y122" s="385">
        <f t="shared" si="36"/>
        <v>36.72724540694626</v>
      </c>
      <c r="Z122" s="385">
        <f t="shared" si="37"/>
        <v>39.21562755482654</v>
      </c>
      <c r="AA122" s="386">
        <f t="shared" si="38"/>
        <v>45.147484698842788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0.13138843024334179</v>
      </c>
      <c r="AD122" s="231">
        <f>(INDEX(Models!$BJ122:$BT122,,AH122)*(1-AF122)+INDEX(Models!$BJ122:$BT122,,AH122+1)*AF122-ERP_i)*AE122*Ramure*Pc/MaxiM</f>
        <v>1.0104833551277973E-3</v>
      </c>
      <c r="AE122" s="305">
        <f t="shared" si="40"/>
        <v>0.7</v>
      </c>
      <c r="AF122" s="177">
        <f t="shared" si="41"/>
        <v>0.63949713842615208</v>
      </c>
      <c r="AG122" s="810">
        <f t="shared" si="49"/>
        <v>1</v>
      </c>
      <c r="AH122" s="176">
        <f t="shared" si="42"/>
        <v>7</v>
      </c>
      <c r="AI122" s="225">
        <f t="shared" si="43"/>
        <v>1.6394971384261521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9.1896915564579444</v>
      </c>
      <c r="C123" s="840"/>
      <c r="D123" s="393">
        <f t="shared" si="25"/>
        <v>9.8125493535310042</v>
      </c>
      <c r="E123" s="385">
        <f t="shared" si="47"/>
        <v>10.557155348825722</v>
      </c>
      <c r="F123" s="385">
        <f t="shared" si="26"/>
        <v>10.557155348825722</v>
      </c>
      <c r="G123" s="110">
        <f t="shared" si="48"/>
        <v>0.1814072009001802</v>
      </c>
      <c r="H123" s="414" t="b">
        <f>Wh_hp&gt;='2025'!Maxi_hp</f>
        <v>0</v>
      </c>
      <c r="I123" s="390">
        <f>IF(H123,Wh_hp,'2025'!Maxi_hp)</f>
        <v>58.078197981437626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6.3475634581030338E-2</v>
      </c>
      <c r="M123" s="844"/>
      <c r="N123" s="844"/>
      <c r="O123" s="48">
        <f>IF(t&lt;Tnet,'2025'!Resal+('2025'!Salim-'2025'!Resal)*(1-EXP(('2025'!Tnet-t)/('2025'!Tau_j))),Resal+(Salim-Resal)*(1-EXP((Tnet-t)/(Tau_j))))*Salcycl</f>
        <v>7.053093098393598E-2</v>
      </c>
      <c r="P123" s="169">
        <f>(INDEX(Models!$BJ123:$BT123,,T123)*(1-R123)+INDEX(Models!$BJ123:$BT123,,T123+1)*R123-ERP_i)*Q123*Ramure*Pc/MaxiM</f>
        <v>4.6781913239462932E-5</v>
      </c>
      <c r="Q123" s="305">
        <f t="shared" si="28"/>
        <v>0.7</v>
      </c>
      <c r="R123" s="177">
        <f t="shared" si="29"/>
        <v>0.82103672779467773</v>
      </c>
      <c r="S123" s="810">
        <f t="shared" si="30"/>
        <v>-2</v>
      </c>
      <c r="T123" s="176">
        <f t="shared" si="31"/>
        <v>4</v>
      </c>
      <c r="U123" s="251">
        <f t="shared" si="32"/>
        <v>-1.1789632722053223</v>
      </c>
      <c r="V123" s="383">
        <f t="shared" si="33"/>
        <v>50.655440354659738</v>
      </c>
      <c r="W123" s="402">
        <f t="shared" si="34"/>
        <v>9.1896915564579444</v>
      </c>
      <c r="X123" s="157">
        <f t="shared" si="35"/>
        <v>46131</v>
      </c>
      <c r="Y123" s="385">
        <f t="shared" si="36"/>
        <v>8.5870001482715352</v>
      </c>
      <c r="Z123" s="385">
        <f t="shared" si="37"/>
        <v>9.1690088003529926</v>
      </c>
      <c r="AA123" s="386">
        <f t="shared" si="38"/>
        <v>10.557155348825722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0.13148869203929386</v>
      </c>
      <c r="AD123" s="231">
        <f>(INDEX(Models!$BJ123:$BT123,,AH123)*(1-AF123)+INDEX(Models!$BJ123:$BT123,,AH123+1)*AF123-ERP_i)*AE123*Ramure*Pc/MaxiM</f>
        <v>9.5681203855349918E-4</v>
      </c>
      <c r="AE123" s="305">
        <f t="shared" si="40"/>
        <v>0.7</v>
      </c>
      <c r="AF123" s="177">
        <f t="shared" si="41"/>
        <v>0.64102678089386167</v>
      </c>
      <c r="AG123" s="810">
        <f t="shared" si="49"/>
        <v>1</v>
      </c>
      <c r="AH123" s="176">
        <f t="shared" si="42"/>
        <v>7</v>
      </c>
      <c r="AI123" s="225">
        <f t="shared" si="43"/>
        <v>1.6410267808938617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9.6394597431764666</v>
      </c>
      <c r="C124" s="840"/>
      <c r="D124" s="393">
        <f t="shared" si="25"/>
        <v>10.293041407838908</v>
      </c>
      <c r="E124" s="385">
        <f t="shared" si="47"/>
        <v>11.075857356539927</v>
      </c>
      <c r="F124" s="385">
        <f t="shared" si="26"/>
        <v>11.075857356539927</v>
      </c>
      <c r="G124" s="110">
        <f t="shared" si="48"/>
        <v>0.18939980025306369</v>
      </c>
      <c r="H124" s="414" t="b">
        <f>Wh_hp&gt;='2025'!Maxi_hp</f>
        <v>0</v>
      </c>
      <c r="I124" s="390">
        <f>IF(H124,Wh_hp,'2025'!Maxi_hp)</f>
        <v>49.816269691728465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6.34974288711877E-2</v>
      </c>
      <c r="M124" s="844"/>
      <c r="N124" s="844"/>
      <c r="O124" s="48">
        <f>IF(t&lt;Tnet,'2025'!Resal+('2025'!Salim-'2025'!Resal)*(1-EXP(('2025'!Tnet-t)/('2025'!Tau_j))),Resal+(Salim-Resal)*(1-EXP((Tnet-t)/(Tau_j))))*Salcycl</f>
        <v>7.0677684219072542E-2</v>
      </c>
      <c r="P124" s="169">
        <f>(INDEX(Models!$BJ124:$BT124,,T124)*(1-R124)+INDEX(Models!$BJ124:$BT124,,T124+1)*R124-ERP_i)*Q124*Ramure*Pc/MaxiM</f>
        <v>4.3805219611624667E-5</v>
      </c>
      <c r="Q124" s="305">
        <f t="shared" si="28"/>
        <v>0.7</v>
      </c>
      <c r="R124" s="177">
        <f t="shared" si="29"/>
        <v>0.82261677157761315</v>
      </c>
      <c r="S124" s="810">
        <f t="shared" si="30"/>
        <v>-2</v>
      </c>
      <c r="T124" s="176">
        <f t="shared" si="31"/>
        <v>4</v>
      </c>
      <c r="U124" s="251">
        <f t="shared" si="32"/>
        <v>-1.1773832284223869</v>
      </c>
      <c r="V124" s="383">
        <f t="shared" si="33"/>
        <v>50.892543031441555</v>
      </c>
      <c r="W124" s="402">
        <f t="shared" si="34"/>
        <v>9.6394597431764666</v>
      </c>
      <c r="X124" s="157">
        <f t="shared" si="35"/>
        <v>46132</v>
      </c>
      <c r="Y124" s="385">
        <f t="shared" si="36"/>
        <v>9.007634712495376</v>
      </c>
      <c r="Z124" s="385">
        <f t="shared" si="37"/>
        <v>9.6183769166143698</v>
      </c>
      <c r="AA124" s="386">
        <f t="shared" si="38"/>
        <v>11.075857356539927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0.13159075573187695</v>
      </c>
      <c r="AD124" s="231">
        <f>(INDEX(Models!$BJ124:$BT124,,AH124)*(1-AF124)+INDEX(Models!$BJ124:$BT124,,AH124+1)*AF124-ERP_i)*AE124*Ramure*Pc/MaxiM</f>
        <v>9.060267376552999E-4</v>
      </c>
      <c r="AE124" s="305">
        <f t="shared" si="40"/>
        <v>0.7</v>
      </c>
      <c r="AF124" s="177">
        <f t="shared" si="41"/>
        <v>0.64260682467679708</v>
      </c>
      <c r="AG124" s="810">
        <f t="shared" si="49"/>
        <v>1</v>
      </c>
      <c r="AH124" s="176">
        <f t="shared" si="42"/>
        <v>7</v>
      </c>
      <c r="AI124" s="225">
        <f t="shared" si="43"/>
        <v>1.6426068246767971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9.3286360934818813</v>
      </c>
      <c r="C125" s="840"/>
      <c r="D125" s="393">
        <f t="shared" si="25"/>
        <v>9.961374882590718</v>
      </c>
      <c r="E125" s="385">
        <f t="shared" si="47"/>
        <v>10.720670441899008</v>
      </c>
      <c r="F125" s="385">
        <f t="shared" si="26"/>
        <v>10.720670441899008</v>
      </c>
      <c r="G125" s="110">
        <f t="shared" si="48"/>
        <v>0.18246766891033028</v>
      </c>
      <c r="H125" s="414" t="b">
        <f>Wh_hp&gt;='2025'!Maxi_hp</f>
        <v>0</v>
      </c>
      <c r="I125" s="390">
        <f>IF(H125,Wh_hp,'2025'!Maxi_hp)</f>
        <v>54.888327904191918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6.351922265415999E-2</v>
      </c>
      <c r="M125" s="844"/>
      <c r="N125" s="844"/>
      <c r="O125" s="48">
        <f>IF(t&lt;Tnet,'2025'!Resal+('2025'!Salim-'2025'!Resal)*(1-EXP(('2025'!Tnet-t)/('2025'!Tau_j))),Resal+(Salim-Resal)*(1-EXP((Tnet-t)/(Tau_j))))*Salcycl</f>
        <v>7.0825380131150847E-2</v>
      </c>
      <c r="P125" s="169">
        <f>(INDEX(Models!$BJ125:$BT125,,T125)*(1-R125)+INDEX(Models!$BJ125:$BT125,,T125+1)*R125-ERP_i)*Q125*Ramure*Pc/MaxiM</f>
        <v>4.10478643041541E-5</v>
      </c>
      <c r="Q125" s="305">
        <f t="shared" si="28"/>
        <v>0.7</v>
      </c>
      <c r="R125" s="177">
        <f t="shared" si="29"/>
        <v>0.82424834842999162</v>
      </c>
      <c r="S125" s="810">
        <f t="shared" si="30"/>
        <v>-2</v>
      </c>
      <c r="T125" s="176">
        <f t="shared" si="31"/>
        <v>4</v>
      </c>
      <c r="U125" s="251">
        <f t="shared" si="32"/>
        <v>-1.1757516515700084</v>
      </c>
      <c r="V125" s="383">
        <f t="shared" si="33"/>
        <v>51.122772755306798</v>
      </c>
      <c r="W125" s="402">
        <f t="shared" si="34"/>
        <v>9.3286360934818813</v>
      </c>
      <c r="X125" s="157">
        <f t="shared" si="35"/>
        <v>46133</v>
      </c>
      <c r="Y125" s="385">
        <f t="shared" si="36"/>
        <v>8.7175269199407843</v>
      </c>
      <c r="Z125" s="385">
        <f t="shared" si="37"/>
        <v>9.3088156541214548</v>
      </c>
      <c r="AA125" s="386">
        <f t="shared" si="38"/>
        <v>10.720670441899008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0.13169463565074041</v>
      </c>
      <c r="AD125" s="231">
        <f>(INDEX(Models!$BJ125:$BT125,,AH125)*(1-AF125)+INDEX(Models!$BJ125:$BT125,,AH125+1)*AF125-ERP_i)*AE125*Ramure*Pc/MaxiM</f>
        <v>8.5807146149834037E-4</v>
      </c>
      <c r="AE125" s="305">
        <f t="shared" si="40"/>
        <v>0.7</v>
      </c>
      <c r="AF125" s="177">
        <f t="shared" si="41"/>
        <v>0.64423840152917555</v>
      </c>
      <c r="AG125" s="810">
        <f t="shared" si="49"/>
        <v>1</v>
      </c>
      <c r="AH125" s="176">
        <f t="shared" si="42"/>
        <v>7</v>
      </c>
      <c r="AI125" s="225">
        <f t="shared" si="43"/>
        <v>1.6442384015291756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26.942480129715872</v>
      </c>
      <c r="C126" s="840"/>
      <c r="D126" s="393">
        <f t="shared" si="25"/>
        <v>28.770592826840513</v>
      </c>
      <c r="E126" s="385">
        <f t="shared" si="47"/>
        <v>30.96855601369634</v>
      </c>
      <c r="F126" s="385">
        <f t="shared" si="26"/>
        <v>30.968938861057005</v>
      </c>
      <c r="G126" s="110">
        <f t="shared" si="48"/>
        <v>0.52470799332232321</v>
      </c>
      <c r="H126" s="414" t="b">
        <f>Wh_hp&gt;='2025'!Maxi_hp</f>
        <v>0</v>
      </c>
      <c r="I126" s="390">
        <f>IF(H126,Wh_hp,'2025'!Maxi_hp)</f>
        <v>59.567608044722562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6.3541015929959199E-2</v>
      </c>
      <c r="M126" s="844"/>
      <c r="N126" s="844"/>
      <c r="O126" s="48">
        <f>IF(t&lt;Tnet,'2025'!Resal+('2025'!Salim-'2025'!Resal)*(1-EXP(('2025'!Tnet-t)/('2025'!Tau_j))),Resal+(Salim-Resal)*(1-EXP((Tnet-t)/(Tau_j))))*Salcycl</f>
        <v>7.0974028814380044E-2</v>
      </c>
      <c r="P126" s="169">
        <f>(INDEX(Models!$BJ126:$BT126,,T126)*(1-R126)+INDEX(Models!$BJ126:$BT126,,T126+1)*R126-ERP_i)*Q126*Ramure*Pc/MaxiM</f>
        <v>3.8508121771227993E-5</v>
      </c>
      <c r="Q126" s="305">
        <f t="shared" si="28"/>
        <v>0.7</v>
      </c>
      <c r="R126" s="177">
        <f t="shared" si="29"/>
        <v>0.82593257526749753</v>
      </c>
      <c r="S126" s="810">
        <f t="shared" si="30"/>
        <v>-2</v>
      </c>
      <c r="T126" s="176">
        <f t="shared" si="31"/>
        <v>4</v>
      </c>
      <c r="U126" s="251">
        <f t="shared" si="32"/>
        <v>-1.1740674247325025</v>
      </c>
      <c r="V126" s="383">
        <f t="shared" si="33"/>
        <v>51.346226912185216</v>
      </c>
      <c r="W126" s="402">
        <f t="shared" si="34"/>
        <v>26.942480129715872</v>
      </c>
      <c r="X126" s="157">
        <f t="shared" si="35"/>
        <v>46134</v>
      </c>
      <c r="Y126" s="385">
        <f t="shared" si="36"/>
        <v>25.172209910585693</v>
      </c>
      <c r="Z126" s="385">
        <f t="shared" si="37"/>
        <v>26.880205474864642</v>
      </c>
      <c r="AA126" s="386">
        <f t="shared" si="38"/>
        <v>30.960857068933638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0.13180034341373426</v>
      </c>
      <c r="AD126" s="231">
        <f>(INDEX(Models!$BJ126:$BT126,,AH126)*(1-AF126)+INDEX(Models!$BJ126:$BT126,,AH126+1)*AF126-ERP_i)*AE126*Ramure*Pc/MaxiM</f>
        <v>8.1289481707820174E-4</v>
      </c>
      <c r="AE126" s="305">
        <f t="shared" si="40"/>
        <v>0.7</v>
      </c>
      <c r="AF126" s="177">
        <f t="shared" si="41"/>
        <v>0.64592262836668146</v>
      </c>
      <c r="AG126" s="810">
        <f t="shared" si="49"/>
        <v>1</v>
      </c>
      <c r="AH126" s="176">
        <f t="shared" si="42"/>
        <v>7</v>
      </c>
      <c r="AI126" s="225">
        <f t="shared" si="43"/>
        <v>1.6459226283666815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9.0566554902753769</v>
      </c>
      <c r="C127" s="840"/>
      <c r="D127" s="393">
        <f t="shared" si="25"/>
        <v>9.6713966237169551</v>
      </c>
      <c r="E127" s="385">
        <f t="shared" si="47"/>
        <v>10.411931047312242</v>
      </c>
      <c r="F127" s="385">
        <f t="shared" si="26"/>
        <v>10.411931047312242</v>
      </c>
      <c r="G127" s="110">
        <f t="shared" si="48"/>
        <v>0.17563615894364024</v>
      </c>
      <c r="H127" s="414" t="b">
        <f>Wh_hp&gt;='2025'!Maxi_hp</f>
        <v>0</v>
      </c>
      <c r="I127" s="390">
        <f>IF(H127,Wh_hp,'2025'!Maxi_hp)</f>
        <v>59.226386677752629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6.3562808698597095E-2</v>
      </c>
      <c r="M127" s="844"/>
      <c r="N127" s="844"/>
      <c r="O127" s="48">
        <f>IF(t&lt;Tnet,'2025'!Resal+('2025'!Salim-'2025'!Resal)*(1-EXP(('2025'!Tnet-t)/('2025'!Tau_j))),Resal+(Salim-Resal)*(1-EXP((Tnet-t)/(Tau_j))))*Salcycl</f>
        <v>7.1123638855296753E-2</v>
      </c>
      <c r="P127" s="169">
        <f>(INDEX(Models!$BJ127:$BT127,,T127)*(1-R127)+INDEX(Models!$BJ127:$BT127,,T127+1)*R127-ERP_i)*Q127*Ramure*Pc/MaxiM</f>
        <v>3.6184621905896638E-5</v>
      </c>
      <c r="Q127" s="305">
        <f t="shared" si="28"/>
        <v>0.7</v>
      </c>
      <c r="R127" s="177">
        <f t="shared" si="29"/>
        <v>0.82767055047072424</v>
      </c>
      <c r="S127" s="810">
        <f t="shared" si="30"/>
        <v>-2</v>
      </c>
      <c r="T127" s="176">
        <f t="shared" si="31"/>
        <v>4</v>
      </c>
      <c r="U127" s="251">
        <f t="shared" si="32"/>
        <v>-1.1723294495292758</v>
      </c>
      <c r="V127" s="383">
        <f t="shared" si="33"/>
        <v>51.563002932253873</v>
      </c>
      <c r="W127" s="402">
        <f t="shared" si="34"/>
        <v>9.0566554902753769</v>
      </c>
      <c r="X127" s="157">
        <f t="shared" si="35"/>
        <v>46135</v>
      </c>
      <c r="Y127" s="385">
        <f t="shared" si="36"/>
        <v>8.464001801319295</v>
      </c>
      <c r="Z127" s="385">
        <f t="shared" si="37"/>
        <v>9.0385152148394976</v>
      </c>
      <c r="AA127" s="386">
        <f t="shared" si="38"/>
        <v>10.411931047312242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0.13190788780984888</v>
      </c>
      <c r="AD127" s="231">
        <f>(INDEX(Models!$BJ127:$BT127,,AH127)*(1-AF127)+INDEX(Models!$BJ127:$BT127,,AH127+1)*AF127-ERP_i)*AE127*Ramure*Pc/MaxiM</f>
        <v>7.7044765902738947E-4</v>
      </c>
      <c r="AE127" s="305">
        <f t="shared" si="40"/>
        <v>0.7</v>
      </c>
      <c r="AF127" s="177">
        <f t="shared" si="41"/>
        <v>0.64766060356990818</v>
      </c>
      <c r="AG127" s="810">
        <f t="shared" si="49"/>
        <v>1</v>
      </c>
      <c r="AH127" s="176">
        <f t="shared" si="42"/>
        <v>7</v>
      </c>
      <c r="AI127" s="225">
        <f t="shared" si="43"/>
        <v>1.6476606035699082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31.154484816389974</v>
      </c>
      <c r="C128" s="840"/>
      <c r="D128" s="393">
        <f t="shared" si="25"/>
        <v>33.269940721107275</v>
      </c>
      <c r="E128" s="385">
        <f t="shared" si="47"/>
        <v>35.823212124982376</v>
      </c>
      <c r="F128" s="385">
        <f t="shared" si="26"/>
        <v>35.823739416173268</v>
      </c>
      <c r="G128" s="110">
        <f t="shared" si="48"/>
        <v>0.60173763202827646</v>
      </c>
      <c r="H128" s="414" t="b">
        <f>Wh_hp&gt;='2025'!Maxi_hp</f>
        <v>0</v>
      </c>
      <c r="I128" s="390">
        <f>IF(H128,Wh_hp,'2025'!Maxi_hp)</f>
        <v>54.494579426141378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6.3584600960085336E-2</v>
      </c>
      <c r="M128" s="844"/>
      <c r="N128" s="844"/>
      <c r="O128" s="48">
        <f>IF(t&lt;Tnet,'2025'!Resal+('2025'!Salim-'2025'!Resal)*(1-EXP(('2025'!Tnet-t)/('2025'!Tau_j))),Resal+(Salim-Resal)*(1-EXP((Tnet-t)/(Tau_j))))*Salcycl</f>
        <v>7.1274217257991351E-2</v>
      </c>
      <c r="P128" s="169">
        <f>(INDEX(Models!$BJ128:$BT128,,T128)*(1-R128)+INDEX(Models!$BJ128:$BT128,,T128+1)*R128-ERP_i)*Q128*Ramure*Pc/MaxiM</f>
        <v>3.4145331693080492E-5</v>
      </c>
      <c r="Q128" s="305">
        <f t="shared" si="28"/>
        <v>0.7</v>
      </c>
      <c r="R128" s="177">
        <f t="shared" si="29"/>
        <v>0.82946334997998949</v>
      </c>
      <c r="S128" s="810">
        <f t="shared" si="30"/>
        <v>-2</v>
      </c>
      <c r="T128" s="176">
        <f t="shared" si="31"/>
        <v>4</v>
      </c>
      <c r="U128" s="251">
        <f t="shared" si="32"/>
        <v>-1.1705366500200105</v>
      </c>
      <c r="V128" s="383">
        <f t="shared" si="33"/>
        <v>51.773194716908854</v>
      </c>
      <c r="W128" s="402">
        <f t="shared" si="34"/>
        <v>31.154484816389974</v>
      </c>
      <c r="X128" s="157">
        <f t="shared" si="35"/>
        <v>46136</v>
      </c>
      <c r="Y128" s="385">
        <f t="shared" si="36"/>
        <v>29.108080908607842</v>
      </c>
      <c r="Z128" s="385">
        <f t="shared" si="37"/>
        <v>31.084581627397085</v>
      </c>
      <c r="AA128" s="386">
        <f t="shared" si="38"/>
        <v>35.812442714114589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0.13201727467906377</v>
      </c>
      <c r="AD128" s="231">
        <f>(INDEX(Models!$BJ128:$BT128,,AH128)*(1-AF128)+INDEX(Models!$BJ128:$BT128,,AH128+1)*AF128-ERP_i)*AE128*Ramure*Pc/MaxiM</f>
        <v>7.3153059541348521E-4</v>
      </c>
      <c r="AE128" s="305">
        <f t="shared" si="40"/>
        <v>0.7</v>
      </c>
      <c r="AF128" s="177">
        <f t="shared" si="41"/>
        <v>0.64945340307917343</v>
      </c>
      <c r="AG128" s="810">
        <f t="shared" si="49"/>
        <v>1</v>
      </c>
      <c r="AH128" s="176">
        <f t="shared" si="42"/>
        <v>7</v>
      </c>
      <c r="AI128" s="225">
        <f t="shared" si="43"/>
        <v>1.6494534030791734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46.685376903008589</v>
      </c>
      <c r="C129" s="840"/>
      <c r="D129" s="393">
        <f t="shared" si="25"/>
        <v>49.856573709789693</v>
      </c>
      <c r="E129" s="385">
        <f t="shared" si="47"/>
        <v>53.691532744593019</v>
      </c>
      <c r="F129" s="385">
        <f t="shared" si="26"/>
        <v>53.69301282925592</v>
      </c>
      <c r="G129" s="110">
        <f t="shared" si="48"/>
        <v>0.89819038694897679</v>
      </c>
      <c r="H129" s="414" t="b">
        <f>Wh_hp&gt;='2025'!Maxi_hp</f>
        <v>0</v>
      </c>
      <c r="I129" s="390">
        <f>IF(H129,Wh_hp,'2025'!Maxi_hp)</f>
        <v>58.750852702335024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6.3606392714435911E-2</v>
      </c>
      <c r="M129" s="844"/>
      <c r="N129" s="844"/>
      <c r="O129" s="48">
        <f>IF(t&lt;Tnet,'2025'!Resal+('2025'!Salim-'2025'!Resal)*(1-EXP(('2025'!Tnet-t)/('2025'!Tau_j))),Resal+(Salim-Resal)*(1-EXP((Tnet-t)/(Tau_j))))*Salcycl</f>
        <v>7.1425769367508454E-2</v>
      </c>
      <c r="P129" s="169">
        <f>(INDEX(Models!$BJ129:$BT129,,T129)*(1-R129)+INDEX(Models!$BJ129:$BT129,,T129+1)*R129-ERP_i)*Q129*Ramure*Pc/MaxiM</f>
        <v>3.2257026848297877E-5</v>
      </c>
      <c r="Q129" s="305">
        <f t="shared" si="28"/>
        <v>0.7</v>
      </c>
      <c r="R129" s="177">
        <f t="shared" si="29"/>
        <v>0.83131202318396213</v>
      </c>
      <c r="S129" s="810">
        <f t="shared" si="30"/>
        <v>-2</v>
      </c>
      <c r="T129" s="176">
        <f t="shared" si="31"/>
        <v>4</v>
      </c>
      <c r="U129" s="251">
        <f t="shared" si="32"/>
        <v>-1.1686879768160379</v>
      </c>
      <c r="V129" s="383">
        <f t="shared" si="33"/>
        <v>51.976906631653023</v>
      </c>
      <c r="W129" s="402">
        <f t="shared" si="34"/>
        <v>46.685376903008589</v>
      </c>
      <c r="X129" s="157">
        <f t="shared" si="35"/>
        <v>46137</v>
      </c>
      <c r="Y129" s="385">
        <f t="shared" si="36"/>
        <v>43.60876026196398</v>
      </c>
      <c r="Z129" s="385">
        <f t="shared" si="37"/>
        <v>46.570971782237919</v>
      </c>
      <c r="AA129" s="386">
        <f t="shared" si="38"/>
        <v>53.661137791225514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0.13212850678963717</v>
      </c>
      <c r="AD129" s="231">
        <f>(INDEX(Models!$BJ129:$BT129,,AH129)*(1-AF129)+INDEX(Models!$BJ129:$BT129,,AH129+1)*AF129-ERP_i)*AE129*Ramure*Pc/MaxiM</f>
        <v>6.9468590770944126E-4</v>
      </c>
      <c r="AE129" s="305">
        <f t="shared" si="40"/>
        <v>0.7</v>
      </c>
      <c r="AF129" s="177">
        <f t="shared" si="41"/>
        <v>0.65130207628314607</v>
      </c>
      <c r="AG129" s="810">
        <f t="shared" si="49"/>
        <v>1</v>
      </c>
      <c r="AH129" s="176">
        <f t="shared" si="42"/>
        <v>7</v>
      </c>
      <c r="AI129" s="225">
        <f t="shared" si="43"/>
        <v>1.6513020762831461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50.789386333388236</v>
      </c>
      <c r="C130" s="840"/>
      <c r="D130" s="393">
        <f t="shared" si="25"/>
        <v>54.240618377720025</v>
      </c>
      <c r="E130" s="385">
        <f t="shared" si="47"/>
        <v>58.422393947849905</v>
      </c>
      <c r="F130" s="385">
        <f t="shared" si="26"/>
        <v>58.424109389521881</v>
      </c>
      <c r="G130" s="110">
        <f t="shared" si="48"/>
        <v>0.97345608016206142</v>
      </c>
      <c r="H130" s="414" t="b">
        <f>Wh_hp&gt;='2025'!Maxi_hp</f>
        <v>0</v>
      </c>
      <c r="I130" s="390">
        <f>IF(H130,Wh_hp,'2025'!Maxi_hp)</f>
        <v>58.424171715559702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6.3628183961660367E-2</v>
      </c>
      <c r="M130" s="844"/>
      <c r="N130" s="844"/>
      <c r="O130" s="48">
        <f>IF(t&lt;Tnet,'2025'!Resal+('2025'!Salim-'2025'!Resal)*(1-EXP(('2025'!Tnet-t)/('2025'!Tau_j))),Resal+(Salim-Resal)*(1-EXP((Tnet-t)/(Tau_j))))*Salcycl</f>
        <v>7.1578298791773104E-2</v>
      </c>
      <c r="P130" s="169">
        <f>(INDEX(Models!$BJ130:$BT130,,T130)*(1-R130)+INDEX(Models!$BJ130:$BT130,,T130+1)*R130-ERP_i)*Q130*Ramure*Pc/MaxiM</f>
        <v>3.0519111817600511E-5</v>
      </c>
      <c r="Q130" s="305">
        <f t="shared" si="28"/>
        <v>0.7</v>
      </c>
      <c r="R130" s="177">
        <f t="shared" si="29"/>
        <v>0.83321758860624917</v>
      </c>
      <c r="S130" s="810">
        <f t="shared" si="30"/>
        <v>-2</v>
      </c>
      <c r="T130" s="176">
        <f t="shared" si="31"/>
        <v>4</v>
      </c>
      <c r="U130" s="251">
        <f t="shared" si="32"/>
        <v>-1.1667824113937508</v>
      </c>
      <c r="V130" s="383">
        <f t="shared" si="33"/>
        <v>52.17423630257499</v>
      </c>
      <c r="W130" s="402">
        <f t="shared" si="34"/>
        <v>50.789386333388236</v>
      </c>
      <c r="X130" s="157">
        <f t="shared" si="35"/>
        <v>46138</v>
      </c>
      <c r="Y130" s="385">
        <f t="shared" si="36"/>
        <v>47.442052006113961</v>
      </c>
      <c r="Z130" s="385">
        <f t="shared" si="37"/>
        <v>50.665826537619168</v>
      </c>
      <c r="AA130" s="386">
        <f t="shared" si="38"/>
        <v>58.387018306822718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0.13224158371350342</v>
      </c>
      <c r="AD130" s="231">
        <f>(INDEX(Models!$BJ130:$BT130,,AH130)*(1-AF130)+INDEX(Models!$BJ130:$BT130,,AH130+1)*AF130-ERP_i)*AE130*Ramure*Pc/MaxiM</f>
        <v>6.5988072857577421E-4</v>
      </c>
      <c r="AE130" s="305">
        <f t="shared" si="40"/>
        <v>0.7</v>
      </c>
      <c r="AF130" s="177">
        <f t="shared" si="41"/>
        <v>0.65320764170543311</v>
      </c>
      <c r="AG130" s="810">
        <f t="shared" si="49"/>
        <v>1</v>
      </c>
      <c r="AH130" s="176">
        <f t="shared" si="42"/>
        <v>7</v>
      </c>
      <c r="AI130" s="225">
        <f t="shared" si="43"/>
        <v>1.6532076417054331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37.04869438053705</v>
      </c>
      <c r="C131" s="840"/>
      <c r="D131" s="393">
        <f t="shared" si="25"/>
        <v>39.567141965673542</v>
      </c>
      <c r="E131" s="385">
        <f t="shared" si="47"/>
        <v>42.624687862615062</v>
      </c>
      <c r="F131" s="385">
        <f t="shared" si="26"/>
        <v>42.62540577535492</v>
      </c>
      <c r="G131" s="110">
        <f t="shared" si="48"/>
        <v>0.70749636962718176</v>
      </c>
      <c r="H131" s="414" t="b">
        <f>Wh_hp&gt;='2025'!Maxi_hp</f>
        <v>0</v>
      </c>
      <c r="I131" s="390">
        <f>IF(H131,Wh_hp,'2025'!Maxi_hp)</f>
        <v>42.625878657103108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6.3649974701770806E-2</v>
      </c>
      <c r="M131" s="844"/>
      <c r="N131" s="844"/>
      <c r="O131" s="48">
        <f>IF(t&lt;Tnet,'2025'!Resal+('2025'!Salim-'2025'!Resal)*(1-EXP(('2025'!Tnet-t)/('2025'!Tau_j))),Resal+(Salim-Resal)*(1-EXP((Tnet-t)/(Tau_j))))*Salcycl</f>
        <v>7.1731807322469712E-2</v>
      </c>
      <c r="P131" s="169">
        <f>(INDEX(Models!$BJ131:$BT131,,T131)*(1-R131)+INDEX(Models!$BJ131:$BT131,,T131+1)*R131-ERP_i)*Q131*Ramure*Pc/MaxiM</f>
        <v>2.8931324366076572E-5</v>
      </c>
      <c r="Q131" s="305">
        <f t="shared" si="28"/>
        <v>0.7</v>
      </c>
      <c r="R131" s="177">
        <f t="shared" si="29"/>
        <v>0.83518102939595718</v>
      </c>
      <c r="S131" s="810">
        <f t="shared" si="30"/>
        <v>-2</v>
      </c>
      <c r="T131" s="176">
        <f t="shared" si="31"/>
        <v>4</v>
      </c>
      <c r="U131" s="251">
        <f t="shared" si="32"/>
        <v>-1.1648189706040428</v>
      </c>
      <c r="V131" s="383">
        <f t="shared" si="33"/>
        <v>52.365281411182522</v>
      </c>
      <c r="W131" s="402">
        <f t="shared" si="34"/>
        <v>37.04869438053705</v>
      </c>
      <c r="X131" s="157">
        <f t="shared" si="35"/>
        <v>46139</v>
      </c>
      <c r="Y131" s="385">
        <f t="shared" si="36"/>
        <v>34.617005577039151</v>
      </c>
      <c r="Z131" s="385">
        <f t="shared" si="37"/>
        <v>36.970155008020178</v>
      </c>
      <c r="AA131" s="386">
        <f t="shared" si="38"/>
        <v>42.609845034834585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0.13235650170057706</v>
      </c>
      <c r="AD131" s="231">
        <f>(INDEX(Models!$BJ131:$BT131,,AH131)*(1-AF131)+INDEX(Models!$BJ131:$BT131,,AH131+1)*AF131-ERP_i)*AE131*Ramure*Pc/MaxiM</f>
        <v>6.2708572557360683E-4</v>
      </c>
      <c r="AE131" s="305">
        <f t="shared" si="40"/>
        <v>0.7</v>
      </c>
      <c r="AF131" s="177">
        <f t="shared" si="41"/>
        <v>0.65517108249514111</v>
      </c>
      <c r="AG131" s="810">
        <f t="shared" si="49"/>
        <v>1</v>
      </c>
      <c r="AH131" s="176">
        <f t="shared" si="42"/>
        <v>7</v>
      </c>
      <c r="AI131" s="225">
        <f t="shared" si="43"/>
        <v>1.6551710824951411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22.916863236324073</v>
      </c>
      <c r="C132" s="840"/>
      <c r="D132" s="393">
        <f t="shared" si="25"/>
        <v>24.475245301908224</v>
      </c>
      <c r="E132" s="385">
        <f t="shared" si="47"/>
        <v>26.37095559115172</v>
      </c>
      <c r="F132" s="385">
        <f t="shared" si="26"/>
        <v>26.37109655464376</v>
      </c>
      <c r="G132" s="110">
        <f t="shared" si="48"/>
        <v>0.43608553265380351</v>
      </c>
      <c r="H132" s="414" t="b">
        <f>Wh_hp&gt;='2025'!Maxi_hp</f>
        <v>0</v>
      </c>
      <c r="I132" s="390">
        <f>IF(H132,Wh_hp,'2025'!Maxi_hp)</f>
        <v>46.447787354157064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6.3671764934778885E-2</v>
      </c>
      <c r="M132" s="844"/>
      <c r="N132" s="844"/>
      <c r="O132" s="48">
        <f>IF(t&lt;Tnet,'2025'!Resal+('2025'!Salim-'2025'!Resal)*(1-EXP(('2025'!Tnet-t)/('2025'!Tau_j))),Resal+(Salim-Resal)*(1-EXP((Tnet-t)/(Tau_j))))*Salcycl</f>
        <v>7.1886294855373636E-2</v>
      </c>
      <c r="P132" s="169">
        <f>(INDEX(Models!$BJ132:$BT132,,T132)*(1-R132)+INDEX(Models!$BJ132:$BT132,,T132+1)*R132-ERP_i)*Q132*Ramure*Pc/MaxiM</f>
        <v>2.7493733580678051E-5</v>
      </c>
      <c r="Q132" s="305">
        <f t="shared" si="28"/>
        <v>0.7</v>
      </c>
      <c r="R132" s="177">
        <f t="shared" si="29"/>
        <v>0.83720328863025917</v>
      </c>
      <c r="S132" s="810">
        <f t="shared" si="30"/>
        <v>-2</v>
      </c>
      <c r="T132" s="176">
        <f t="shared" si="31"/>
        <v>4</v>
      </c>
      <c r="U132" s="251">
        <f t="shared" si="32"/>
        <v>-1.1627967113697408</v>
      </c>
      <c r="V132" s="383">
        <f t="shared" si="33"/>
        <v>52.550139701559054</v>
      </c>
      <c r="W132" s="402">
        <f t="shared" si="34"/>
        <v>22.916863236324073</v>
      </c>
      <c r="X132" s="157">
        <f t="shared" si="35"/>
        <v>46140</v>
      </c>
      <c r="Y132" s="385">
        <f t="shared" si="36"/>
        <v>21.418489105551224</v>
      </c>
      <c r="Z132" s="385">
        <f t="shared" si="37"/>
        <v>22.874979417938082</v>
      </c>
      <c r="AA132" s="386">
        <f t="shared" si="38"/>
        <v>26.368039385091919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0.13247325355288869</v>
      </c>
      <c r="AD132" s="231">
        <f>(INDEX(Models!$BJ132:$BT132,,AH132)*(1-AF132)+INDEX(Models!$BJ132:$BT132,,AH132+1)*AF132-ERP_i)*AE132*Ramure*Pc/MaxiM</f>
        <v>5.9627499257128964E-4</v>
      </c>
      <c r="AE132" s="305">
        <f t="shared" si="40"/>
        <v>0.7</v>
      </c>
      <c r="AF132" s="177">
        <f t="shared" si="41"/>
        <v>0.6571933417294431</v>
      </c>
      <c r="AG132" s="810">
        <f t="shared" si="49"/>
        <v>1</v>
      </c>
      <c r="AH132" s="176">
        <f t="shared" si="42"/>
        <v>7</v>
      </c>
      <c r="AI132" s="225">
        <f t="shared" si="43"/>
        <v>1.6571933417294431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41.643164213052195</v>
      </c>
      <c r="C133" s="840"/>
      <c r="D133" s="393">
        <f t="shared" si="25"/>
        <v>44.475998665117942</v>
      </c>
      <c r="E133" s="385">
        <f t="shared" si="47"/>
        <v>47.928879463456127</v>
      </c>
      <c r="F133" s="385">
        <f t="shared" si="26"/>
        <v>47.929758289994915</v>
      </c>
      <c r="G133" s="110">
        <f t="shared" si="48"/>
        <v>0.78975342432808282</v>
      </c>
      <c r="H133" s="414" t="b">
        <f>Wh_hp&gt;='2025'!Maxi_hp</f>
        <v>0</v>
      </c>
      <c r="I133" s="390">
        <f>IF(H133,Wh_hp,'2025'!Maxi_hp)</f>
        <v>53.503420570987252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6.3693554660696372E-2</v>
      </c>
      <c r="M133" s="844"/>
      <c r="N133" s="844"/>
      <c r="O133" s="48">
        <f>IF(t&lt;Tnet,'2025'!Resal+('2025'!Salim-'2025'!Resal)*(1-EXP(('2025'!Tnet-t)/('2025'!Tau_j))),Resal+(Salim-Resal)*(1-EXP((Tnet-t)/(Tau_j))))*Salcycl</f>
        <v>7.2041759310706832E-2</v>
      </c>
      <c r="P133" s="169">
        <f>(INDEX(Models!$BJ133:$BT133,,T133)*(1-R133)+INDEX(Models!$BJ133:$BT133,,T133+1)*R133-ERP_i)*Q133*Ramure*Pc/MaxiM</f>
        <v>2.620673823727456E-5</v>
      </c>
      <c r="Q133" s="305">
        <f t="shared" si="28"/>
        <v>0.7</v>
      </c>
      <c r="R133" s="177">
        <f t="shared" si="29"/>
        <v>0.83928526443916462</v>
      </c>
      <c r="S133" s="810">
        <f t="shared" si="30"/>
        <v>-2</v>
      </c>
      <c r="T133" s="176">
        <f t="shared" si="31"/>
        <v>4</v>
      </c>
      <c r="U133" s="251">
        <f t="shared" si="32"/>
        <v>-1.1607147355608354</v>
      </c>
      <c r="V133" s="383">
        <f t="shared" si="33"/>
        <v>52.728908986104578</v>
      </c>
      <c r="W133" s="402">
        <f t="shared" si="34"/>
        <v>41.643164213052195</v>
      </c>
      <c r="X133" s="157">
        <f t="shared" si="35"/>
        <v>46141</v>
      </c>
      <c r="Y133" s="385">
        <f t="shared" si="36"/>
        <v>38.911171864957382</v>
      </c>
      <c r="Z133" s="385">
        <f t="shared" si="37"/>
        <v>41.558158718918726</v>
      </c>
      <c r="AA133" s="386">
        <f t="shared" si="38"/>
        <v>47.910730016565886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0.13259182849960041</v>
      </c>
      <c r="AD133" s="231">
        <f>(INDEX(Models!$BJ133:$BT133,,AH133)*(1-AF133)+INDEX(Models!$BJ133:$BT133,,AH133+1)*AF133-ERP_i)*AE133*Ramure*Pc/MaxiM</f>
        <v>5.674259468195533E-4</v>
      </c>
      <c r="AE133" s="305">
        <f t="shared" si="40"/>
        <v>0.7</v>
      </c>
      <c r="AF133" s="177">
        <f t="shared" si="41"/>
        <v>0.65927531753834856</v>
      </c>
      <c r="AG133" s="810">
        <f t="shared" si="49"/>
        <v>1</v>
      </c>
      <c r="AH133" s="176">
        <f t="shared" si="42"/>
        <v>7</v>
      </c>
      <c r="AI133" s="225">
        <f t="shared" si="43"/>
        <v>1.6592753175383486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43.88146356663654</v>
      </c>
      <c r="C134" s="840"/>
      <c r="D134" s="393">
        <f t="shared" si="25"/>
        <v>46.867652139533334</v>
      </c>
      <c r="E134" s="385">
        <f t="shared" si="47"/>
        <v>50.51472412046131</v>
      </c>
      <c r="F134" s="385">
        <f t="shared" si="26"/>
        <v>50.515682106991214</v>
      </c>
      <c r="G134" s="110">
        <f t="shared" si="48"/>
        <v>0.8294857488731231</v>
      </c>
      <c r="H134" s="414" t="b">
        <f>Wh_hp&gt;='2025'!Maxi_hp</f>
        <v>0</v>
      </c>
      <c r="I134" s="390">
        <f>IF(H134,Wh_hp,'2025'!Maxi_hp)</f>
        <v>61.024126150933135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6.3715343879535036E-2</v>
      </c>
      <c r="M134" s="844"/>
      <c r="N134" s="844"/>
      <c r="O134" s="48">
        <f>IF(t&lt;Tnet,'2025'!Resal+('2025'!Salim-'2025'!Resal)*(1-EXP(('2025'!Tnet-t)/('2025'!Tau_j))),Resal+(Salim-Resal)*(1-EXP((Tnet-t)/(Tau_j))))*Salcycl</f>
        <v>7.2198196554154895E-2</v>
      </c>
      <c r="P134" s="169">
        <f>(INDEX(Models!$BJ134:$BT134,,T134)*(1-R134)+INDEX(Models!$BJ134:$BT134,,T134+1)*R134-ERP_i)*Q134*Ramure*Pc/MaxiM</f>
        <v>2.5071065438934729E-5</v>
      </c>
      <c r="Q134" s="305">
        <f t="shared" si="28"/>
        <v>0.7</v>
      </c>
      <c r="R134" s="177">
        <f t="shared" si="29"/>
        <v>0.84142780496498792</v>
      </c>
      <c r="S134" s="810">
        <f t="shared" si="30"/>
        <v>-2</v>
      </c>
      <c r="T134" s="176">
        <f t="shared" si="31"/>
        <v>4</v>
      </c>
      <c r="U134" s="251">
        <f t="shared" si="32"/>
        <v>-1.1585721950350121</v>
      </c>
      <c r="V134" s="383">
        <f t="shared" si="33"/>
        <v>52.901687148207202</v>
      </c>
      <c r="W134" s="402">
        <f t="shared" si="34"/>
        <v>43.88146356663654</v>
      </c>
      <c r="X134" s="157">
        <f t="shared" si="35"/>
        <v>46142</v>
      </c>
      <c r="Y134" s="385">
        <f t="shared" si="36"/>
        <v>41.003389467913081</v>
      </c>
      <c r="Z134" s="385">
        <f t="shared" si="37"/>
        <v>43.793721492577227</v>
      </c>
      <c r="AA134" s="386">
        <f t="shared" si="38"/>
        <v>50.495028411857263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0.13271221207405903</v>
      </c>
      <c r="AD134" s="231">
        <f>(INDEX(Models!$BJ134:$BT134,,AH134)*(1-AF134)+INDEX(Models!$BJ134:$BT134,,AH134+1)*AF134-ERP_i)*AE134*Ramure*Pc/MaxiM</f>
        <v>5.4051923079973441E-4</v>
      </c>
      <c r="AE134" s="305">
        <f t="shared" si="40"/>
        <v>0.7</v>
      </c>
      <c r="AF134" s="177">
        <f t="shared" si="41"/>
        <v>0.66141785806417186</v>
      </c>
      <c r="AG134" s="810">
        <f t="shared" si="49"/>
        <v>1</v>
      </c>
      <c r="AH134" s="176">
        <f t="shared" si="42"/>
        <v>7</v>
      </c>
      <c r="AI134" s="225">
        <f t="shared" si="43"/>
        <v>1.6614178580641719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44.741897339422493</v>
      </c>
      <c r="C135" s="840"/>
      <c r="D135" s="393">
        <f t="shared" si="25"/>
        <v>47.787751599350742</v>
      </c>
      <c r="E135" s="385">
        <f t="shared" si="47"/>
        <v>51.51516207697339</v>
      </c>
      <c r="F135" s="385">
        <f t="shared" si="26"/>
        <v>51.516124867561594</v>
      </c>
      <c r="G135" s="110">
        <f t="shared" si="48"/>
        <v>0.84310168934534813</v>
      </c>
      <c r="H135" s="414" t="b">
        <f>Wh_hp&gt;='2025'!Maxi_hp</f>
        <v>0</v>
      </c>
      <c r="I135" s="390">
        <f>IF(H135,Wh_hp,'2025'!Maxi_hp)</f>
        <v>55.440910682526471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6.3737132591306755E-2</v>
      </c>
      <c r="M135" s="844"/>
      <c r="N135" s="844"/>
      <c r="O135" s="48">
        <f>IF(t&lt;Tnet,'2025'!Resal+('2025'!Salim-'2025'!Resal)*(1-EXP(('2025'!Tnet-t)/('2025'!Tau_j))),Resal+(Salim-Resal)*(1-EXP((Tnet-t)/(Tau_j))))*Salcycl</f>
        <v>7.2355600319245678E-2</v>
      </c>
      <c r="P135" s="169">
        <f>(INDEX(Models!$BJ135:$BT135,,T135)*(1-R135)+INDEX(Models!$BJ135:$BT135,,T135+1)*R135-ERP_i)*Q135*Ramure*Pc/MaxiM</f>
        <v>2.4088063939039207E-5</v>
      </c>
      <c r="Q135" s="305">
        <f t="shared" si="28"/>
        <v>0.7</v>
      </c>
      <c r="R135" s="177">
        <f t="shared" si="29"/>
        <v>0.84363170317143599</v>
      </c>
      <c r="S135" s="810">
        <f t="shared" si="30"/>
        <v>-2</v>
      </c>
      <c r="T135" s="176">
        <f t="shared" si="31"/>
        <v>4</v>
      </c>
      <c r="U135" s="251">
        <f t="shared" si="32"/>
        <v>-1.156368296828564</v>
      </c>
      <c r="V135" s="383">
        <f t="shared" si="33"/>
        <v>53.067923289611016</v>
      </c>
      <c r="W135" s="402">
        <f t="shared" si="34"/>
        <v>44.741897339422493</v>
      </c>
      <c r="X135" s="157">
        <f t="shared" si="35"/>
        <v>46143</v>
      </c>
      <c r="Y135" s="385">
        <f t="shared" si="36"/>
        <v>41.808952345684361</v>
      </c>
      <c r="Z135" s="385">
        <f t="shared" si="37"/>
        <v>44.655143123853172</v>
      </c>
      <c r="AA135" s="386">
        <f t="shared" si="38"/>
        <v>51.495518736691785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0.13283438599414837</v>
      </c>
      <c r="AD135" s="231">
        <f>(INDEX(Models!$BJ135:$BT135,,AH135)*(1-AF135)+INDEX(Models!$BJ135:$BT135,,AH135+1)*AF135-ERP_i)*AE135*Ramure*Pc/MaxiM</f>
        <v>5.1554492120088179E-4</v>
      </c>
      <c r="AE135" s="305">
        <f t="shared" si="40"/>
        <v>0.7</v>
      </c>
      <c r="AF135" s="177">
        <f t="shared" si="41"/>
        <v>0.66362175627061992</v>
      </c>
      <c r="AG135" s="810">
        <f t="shared" si="49"/>
        <v>1</v>
      </c>
      <c r="AH135" s="176">
        <f t="shared" si="42"/>
        <v>7</v>
      </c>
      <c r="AI135" s="225">
        <f t="shared" si="43"/>
        <v>1.6636217562706199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26.153775097961621</v>
      </c>
      <c r="C136" s="840"/>
      <c r="D136" s="393">
        <f t="shared" si="25"/>
        <v>27.934872415765426</v>
      </c>
      <c r="E136" s="385">
        <f t="shared" si="47"/>
        <v>30.118914221042363</v>
      </c>
      <c r="F136" s="385">
        <f t="shared" si="26"/>
        <v>30.11910603320413</v>
      </c>
      <c r="G136" s="110">
        <f t="shared" si="48"/>
        <v>0.49135343464861442</v>
      </c>
      <c r="H136" s="414" t="b">
        <f>Wh_hp&gt;='2025'!Maxi_hp</f>
        <v>0</v>
      </c>
      <c r="I136" s="390">
        <f>IF(H136,Wh_hp,'2025'!Maxi_hp)</f>
        <v>48.436895497277384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6.3758920796023411E-2</v>
      </c>
      <c r="M136" s="844"/>
      <c r="N136" s="844"/>
      <c r="O136" s="48">
        <f>IF(t&lt;Tnet,'2025'!Resal+('2025'!Salim-'2025'!Resal)*(1-EXP(('2025'!Tnet-t)/('2025'!Tau_j))),Resal+(Salim-Resal)*(1-EXP((Tnet-t)/(Tau_j))))*Salcycl</f>
        <v>7.2513962131844481E-2</v>
      </c>
      <c r="P136" s="169">
        <f>(INDEX(Models!$BJ136:$BT136,,T136)*(1-R136)+INDEX(Models!$BJ136:$BT136,,T136+1)*R136-ERP_i)*Q136*Ramure*Pc/MaxiM</f>
        <v>2.3295764310592128E-5</v>
      </c>
      <c r="Q136" s="305">
        <f t="shared" si="28"/>
        <v>0.7</v>
      </c>
      <c r="R136" s="177">
        <f t="shared" si="29"/>
        <v>0.845897691519784</v>
      </c>
      <c r="S136" s="810">
        <f t="shared" si="30"/>
        <v>-2</v>
      </c>
      <c r="T136" s="176">
        <f t="shared" si="31"/>
        <v>4</v>
      </c>
      <c r="U136" s="251">
        <f t="shared" si="32"/>
        <v>-1.154102308480216</v>
      </c>
      <c r="V136" s="383">
        <f t="shared" si="33"/>
        <v>53.22712845346517</v>
      </c>
      <c r="W136" s="402">
        <f t="shared" si="34"/>
        <v>26.153775097961621</v>
      </c>
      <c r="X136" s="157">
        <f t="shared" si="35"/>
        <v>46144</v>
      </c>
      <c r="Y136" s="385">
        <f t="shared" si="36"/>
        <v>24.446190559791411</v>
      </c>
      <c r="Z136" s="385">
        <f t="shared" si="37"/>
        <v>26.110999723037551</v>
      </c>
      <c r="AA136" s="386">
        <f t="shared" si="38"/>
        <v>30.115045871130551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0.13295832804729121</v>
      </c>
      <c r="AD136" s="231">
        <f>(INDEX(Models!$BJ136:$BT136,,AH136)*(1-AF136)+INDEX(Models!$BJ136:$BT136,,AH136+1)*AF136-ERP_i)*AE136*Ramure*Pc/MaxiM</f>
        <v>4.9311043605658488E-4</v>
      </c>
      <c r="AE136" s="305">
        <f t="shared" si="40"/>
        <v>0.7</v>
      </c>
      <c r="AF136" s="177">
        <f t="shared" si="41"/>
        <v>0.66588774461896794</v>
      </c>
      <c r="AG136" s="810">
        <f t="shared" si="49"/>
        <v>1</v>
      </c>
      <c r="AH136" s="176">
        <f t="shared" si="42"/>
        <v>7</v>
      </c>
      <c r="AI136" s="225">
        <f t="shared" si="43"/>
        <v>1.6658877446189679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35.939645046522202</v>
      </c>
      <c r="C137" s="840"/>
      <c r="D137" s="393">
        <f t="shared" si="25"/>
        <v>38.388062895711251</v>
      </c>
      <c r="E137" s="385">
        <f t="shared" si="47"/>
        <v>41.396480555394241</v>
      </c>
      <c r="F137" s="385">
        <f t="shared" si="26"/>
        <v>41.396979670237656</v>
      </c>
      <c r="G137" s="110">
        <f t="shared" si="48"/>
        <v>0.67327841414447964</v>
      </c>
      <c r="H137" s="414" t="b">
        <f>Wh_hp&gt;='2025'!Maxi_hp</f>
        <v>0</v>
      </c>
      <c r="I137" s="390">
        <f>IF(H137,Wh_hp,'2025'!Maxi_hp)</f>
        <v>59.778288949958807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6.3780708493696658E-2</v>
      </c>
      <c r="M137" s="844"/>
      <c r="N137" s="844"/>
      <c r="O137" s="48">
        <f>IF(t&lt;Tnet,'2025'!Resal+('2025'!Salim-'2025'!Resal)*(1-EXP(('2025'!Tnet-t)/('2025'!Tau_j))),Resal+(Salim-Resal)*(1-EXP((Tnet-t)/(Tau_j))))*Salcycl</f>
        <v>7.2673271237570822E-2</v>
      </c>
      <c r="P137" s="169">
        <f>(INDEX(Models!$BJ137:$BT137,,T137)*(1-R137)+INDEX(Models!$BJ137:$BT137,,T137+1)*R137-ERP_i)*Q137*Ramure*Pc/MaxiM</f>
        <v>2.2609383843539432E-5</v>
      </c>
      <c r="Q137" s="305">
        <f t="shared" si="28"/>
        <v>0.7</v>
      </c>
      <c r="R137" s="177">
        <f t="shared" si="29"/>
        <v>0.84822643653223517</v>
      </c>
      <c r="S137" s="810">
        <f t="shared" si="30"/>
        <v>-2</v>
      </c>
      <c r="T137" s="176">
        <f t="shared" si="31"/>
        <v>4</v>
      </c>
      <c r="U137" s="251">
        <f t="shared" si="32"/>
        <v>-1.1517735634677648</v>
      </c>
      <c r="V137" s="383">
        <f t="shared" si="33"/>
        <v>53.379501006685999</v>
      </c>
      <c r="W137" s="402">
        <f t="shared" si="34"/>
        <v>35.939645046522202</v>
      </c>
      <c r="X137" s="157">
        <f t="shared" si="35"/>
        <v>46145</v>
      </c>
      <c r="Y137" s="385">
        <f t="shared" si="36"/>
        <v>33.59030058565402</v>
      </c>
      <c r="Z137" s="385">
        <f t="shared" si="37"/>
        <v>35.878667413069287</v>
      </c>
      <c r="AA137" s="386">
        <f t="shared" si="38"/>
        <v>41.386556377946114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0.13308401198152939</v>
      </c>
      <c r="AD137" s="231">
        <f>(INDEX(Models!$BJ137:$BT137,,AH137)*(1-AF137)+INDEX(Models!$BJ137:$BT137,,AH137+1)*AF137-ERP_i)*AE137*Ramure*Pc/MaxiM</f>
        <v>4.7216431136511448E-4</v>
      </c>
      <c r="AE137" s="305">
        <f t="shared" si="40"/>
        <v>0.7</v>
      </c>
      <c r="AF137" s="177">
        <f t="shared" si="41"/>
        <v>0.66821648963141911</v>
      </c>
      <c r="AG137" s="810">
        <f t="shared" si="49"/>
        <v>1</v>
      </c>
      <c r="AH137" s="176">
        <f t="shared" si="42"/>
        <v>7</v>
      </c>
      <c r="AI137" s="225">
        <f t="shared" si="43"/>
        <v>1.6682164896314191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20.382121519785365</v>
      </c>
      <c r="C138" s="840"/>
      <c r="D138" s="393">
        <f t="shared" si="25"/>
        <v>21.771176942715968</v>
      </c>
      <c r="E138" s="385">
        <f t="shared" si="47"/>
        <v>23.481410603134293</v>
      </c>
      <c r="F138" s="385">
        <f t="shared" si="26"/>
        <v>23.48147030986684</v>
      </c>
      <c r="G138" s="110">
        <f t="shared" si="48"/>
        <v>0.38078720061096122</v>
      </c>
      <c r="H138" s="414" t="b">
        <f>Wh_hp&gt;='2025'!Maxi_hp</f>
        <v>0</v>
      </c>
      <c r="I138" s="390">
        <f>IF(H138,Wh_hp,'2025'!Maxi_hp)</f>
        <v>54.701655711301164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6.3802495684338378E-2</v>
      </c>
      <c r="M138" s="844"/>
      <c r="N138" s="844"/>
      <c r="O138" s="48">
        <f>IF(t&lt;Tnet,'2025'!Resal+('2025'!Salim-'2025'!Resal)*(1-EXP(('2025'!Tnet-t)/('2025'!Tau_j))),Resal+(Salim-Resal)*(1-EXP((Tnet-t)/(Tau_j))))*Salcycl</f>
        <v>7.2833514532982979E-2</v>
      </c>
      <c r="P138" s="169">
        <f>(INDEX(Models!$BJ138:$BT138,,T138)*(1-R138)+INDEX(Models!$BJ138:$BT138,,T138+1)*R138-ERP_i)*Q138*Ramure*Pc/MaxiM</f>
        <v>2.2029954921977333E-5</v>
      </c>
      <c r="Q138" s="305">
        <f t="shared" si="28"/>
        <v>0.7</v>
      </c>
      <c r="R138" s="177">
        <f t="shared" si="29"/>
        <v>0.85061853326526737</v>
      </c>
      <c r="S138" s="810">
        <f t="shared" si="30"/>
        <v>-2</v>
      </c>
      <c r="T138" s="176">
        <f t="shared" si="31"/>
        <v>4</v>
      </c>
      <c r="U138" s="251">
        <f t="shared" si="32"/>
        <v>-1.1493814667347326</v>
      </c>
      <c r="V138" s="383">
        <f t="shared" si="33"/>
        <v>53.525234815721554</v>
      </c>
      <c r="W138" s="402">
        <f t="shared" si="34"/>
        <v>20.382121519785365</v>
      </c>
      <c r="X138" s="157">
        <f t="shared" si="35"/>
        <v>46146</v>
      </c>
      <c r="Y138" s="385">
        <f t="shared" si="36"/>
        <v>19.053872753648516</v>
      </c>
      <c r="Z138" s="385">
        <f t="shared" si="37"/>
        <v>20.352407121162376</v>
      </c>
      <c r="AA138" s="386">
        <f t="shared" si="38"/>
        <v>23.480243389234818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0.13321140740417053</v>
      </c>
      <c r="AD138" s="231">
        <f>(INDEX(Models!$BJ138:$BT138,,AH138)*(1-AF138)+INDEX(Models!$BJ138:$BT138,,AH138+1)*AF138-ERP_i)*AE138*Ramure*Pc/MaxiM</f>
        <v>4.5269612090288671E-4</v>
      </c>
      <c r="AE138" s="305">
        <f t="shared" si="40"/>
        <v>0.7</v>
      </c>
      <c r="AF138" s="177">
        <f t="shared" si="41"/>
        <v>0.67060858636445131</v>
      </c>
      <c r="AG138" s="810">
        <f t="shared" si="49"/>
        <v>1</v>
      </c>
      <c r="AH138" s="176">
        <f t="shared" si="42"/>
        <v>7</v>
      </c>
      <c r="AI138" s="225">
        <f t="shared" si="43"/>
        <v>1.6706085863644513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41.655925827059569</v>
      </c>
      <c r="C139" s="840"/>
      <c r="D139" s="393">
        <f t="shared" si="25"/>
        <v>44.495840943646726</v>
      </c>
      <c r="E139" s="385">
        <f t="shared" si="47"/>
        <v>47.999552770329217</v>
      </c>
      <c r="F139" s="385">
        <f t="shared" si="26"/>
        <v>48.000256789229432</v>
      </c>
      <c r="G139" s="110">
        <f t="shared" si="48"/>
        <v>0.77622302048897096</v>
      </c>
      <c r="H139" s="414" t="b">
        <f>Wh_hp&gt;='2025'!Maxi_hp</f>
        <v>0</v>
      </c>
      <c r="I139" s="390">
        <f>IF(H139,Wh_hp,'2025'!Maxi_hp)</f>
        <v>58.762376134897934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6.3824282367960339E-2</v>
      </c>
      <c r="M139" s="844"/>
      <c r="N139" s="844"/>
      <c r="O139" s="48">
        <f>IF(t&lt;Tnet,'2025'!Resal+('2025'!Salim-'2025'!Resal)*(1-EXP(('2025'!Tnet-t)/('2025'!Tau_j))),Resal+(Salim-Resal)*(1-EXP((Tnet-t)/(Tau_j))))*Salcycl</f>
        <v>7.2994676501408992E-2</v>
      </c>
      <c r="P139" s="169">
        <f>(INDEX(Models!$BJ139:$BT139,,T139)*(1-R139)+INDEX(Models!$BJ139:$BT139,,T139+1)*R139-ERP_i)*Q139*Ramure*Pc/MaxiM</f>
        <v>2.1558747888150928E-5</v>
      </c>
      <c r="Q139" s="305">
        <f t="shared" si="28"/>
        <v>0.7</v>
      </c>
      <c r="R139" s="177">
        <f t="shared" si="29"/>
        <v>0.85307449971852867</v>
      </c>
      <c r="S139" s="810">
        <f t="shared" si="30"/>
        <v>-2</v>
      </c>
      <c r="T139" s="176">
        <f t="shared" si="31"/>
        <v>4</v>
      </c>
      <c r="U139" s="251">
        <f t="shared" si="32"/>
        <v>-1.1469255002814713</v>
      </c>
      <c r="V139" s="383">
        <f t="shared" si="33"/>
        <v>53.664523777867331</v>
      </c>
      <c r="W139" s="402">
        <f t="shared" si="34"/>
        <v>41.655925827059569</v>
      </c>
      <c r="X139" s="157">
        <f t="shared" si="35"/>
        <v>46147</v>
      </c>
      <c r="Y139" s="385">
        <f t="shared" si="36"/>
        <v>38.933279668444804</v>
      </c>
      <c r="Z139" s="385">
        <f t="shared" si="37"/>
        <v>41.587576920839751</v>
      </c>
      <c r="AA139" s="386">
        <f t="shared" si="38"/>
        <v>47.986061361146653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0.13334047968953802</v>
      </c>
      <c r="AD139" s="231">
        <f>(INDEX(Models!$BJ139:$BT139,,AH139)*(1-AF139)+INDEX(Models!$BJ139:$BT139,,AH139+1)*AF139-ERP_i)*AE139*Ramure*Pc/MaxiM</f>
        <v>4.3469806720638712E-4</v>
      </c>
      <c r="AE139" s="305">
        <f t="shared" si="40"/>
        <v>0.7</v>
      </c>
      <c r="AF139" s="177">
        <f t="shared" si="41"/>
        <v>0.6730645528177126</v>
      </c>
      <c r="AG139" s="810">
        <f t="shared" si="49"/>
        <v>1</v>
      </c>
      <c r="AH139" s="176">
        <f t="shared" si="42"/>
        <v>7</v>
      </c>
      <c r="AI139" s="225">
        <f t="shared" si="43"/>
        <v>1.6730645528177126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35.180460256064542</v>
      </c>
      <c r="C140" s="840"/>
      <c r="D140" s="393">
        <f t="shared" si="25"/>
        <v>37.579781565805064</v>
      </c>
      <c r="E140" s="385">
        <f t="shared" si="47"/>
        <v>40.545994294133834</v>
      </c>
      <c r="F140" s="385">
        <f t="shared" si="26"/>
        <v>40.546428870387373</v>
      </c>
      <c r="G140" s="110">
        <f t="shared" si="48"/>
        <v>0.65393468388512555</v>
      </c>
      <c r="H140" s="414" t="b">
        <f>Wh_hp&gt;='2025'!Maxi_hp</f>
        <v>0</v>
      </c>
      <c r="I140" s="390">
        <f>IF(H140,Wh_hp,'2025'!Maxi_hp)</f>
        <v>63.468441538808548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6.3846068544574308E-2</v>
      </c>
      <c r="M140" s="844"/>
      <c r="N140" s="844"/>
      <c r="O140" s="48">
        <f>IF(t&lt;Tnet,'2025'!Resal+('2025'!Salim-'2025'!Resal)*(1-EXP(('2025'!Tnet-t)/('2025'!Tau_j))),Resal+(Salim-Resal)*(1-EXP((Tnet-t)/(Tau_j))))*Salcycl</f>
        <v>7.3156739154326716E-2</v>
      </c>
      <c r="P140" s="169">
        <f>(INDEX(Models!$BJ140:$BT140,,T140)*(1-R140)+INDEX(Models!$BJ140:$BT140,,T140+1)*R140-ERP_i)*Q140*Ramure*Pc/MaxiM</f>
        <v>2.1197267948271922E-5</v>
      </c>
      <c r="Q140" s="305">
        <f t="shared" si="28"/>
        <v>0.7</v>
      </c>
      <c r="R140" s="177">
        <f t="shared" si="29"/>
        <v>0.85559477120760175</v>
      </c>
      <c r="S140" s="810">
        <f t="shared" si="30"/>
        <v>-2</v>
      </c>
      <c r="T140" s="176">
        <f t="shared" si="31"/>
        <v>4</v>
      </c>
      <c r="U140" s="251">
        <f t="shared" si="32"/>
        <v>-1.1444052287923983</v>
      </c>
      <c r="V140" s="383">
        <f t="shared" si="33"/>
        <v>53.797561825764177</v>
      </c>
      <c r="W140" s="402">
        <f t="shared" si="34"/>
        <v>35.180460256064542</v>
      </c>
      <c r="X140" s="157">
        <f t="shared" si="35"/>
        <v>46148</v>
      </c>
      <c r="Y140" s="385">
        <f t="shared" si="36"/>
        <v>32.88448510141788</v>
      </c>
      <c r="Z140" s="385">
        <f t="shared" si="37"/>
        <v>35.12721999713532</v>
      </c>
      <c r="AA140" s="386">
        <f t="shared" si="38"/>
        <v>40.537855853835474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0.13347118989738643</v>
      </c>
      <c r="AD140" s="231">
        <f>(INDEX(Models!$BJ140:$BT140,,AH140)*(1-AF140)+INDEX(Models!$BJ140:$BT140,,AH140+1)*AF140-ERP_i)*AE140*Ramure*Pc/MaxiM</f>
        <v>4.1816488474580868E-4</v>
      </c>
      <c r="AE140" s="305">
        <f t="shared" si="40"/>
        <v>0.7</v>
      </c>
      <c r="AF140" s="177">
        <f t="shared" si="41"/>
        <v>0.67558482430678568</v>
      </c>
      <c r="AG140" s="810">
        <f t="shared" si="49"/>
        <v>1</v>
      </c>
      <c r="AH140" s="176">
        <f t="shared" si="42"/>
        <v>7</v>
      </c>
      <c r="AI140" s="225">
        <f t="shared" si="43"/>
        <v>1.6755848243067857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49.617530316387551</v>
      </c>
      <c r="C141" s="840"/>
      <c r="D141" s="393">
        <f t="shared" si="25"/>
        <v>53.002698966968616</v>
      </c>
      <c r="E141" s="385">
        <f t="shared" si="47"/>
        <v>57.196314560961135</v>
      </c>
      <c r="F141" s="385">
        <f t="shared" si="26"/>
        <v>57.197375980532783</v>
      </c>
      <c r="G141" s="110">
        <f t="shared" si="48"/>
        <v>0.9201266998678107</v>
      </c>
      <c r="H141" s="414" t="b">
        <f>Wh_hp&gt;='2025'!Maxi_hp</f>
        <v>0</v>
      </c>
      <c r="I141" s="390">
        <f>IF(H141,Wh_hp,'2025'!Maxi_hp)</f>
        <v>60.14956112877281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6.3867854214192166E-2</v>
      </c>
      <c r="M141" s="844"/>
      <c r="N141" s="844"/>
      <c r="O141" s="48">
        <f>IF(t&lt;Tnet,'2025'!Resal+('2025'!Salim-'2025'!Resal)*(1-EXP(('2025'!Tnet-t)/('2025'!Tau_j))),Resal+(Salim-Resal)*(1-EXP((Tnet-t)/(Tau_j))))*Salcycl</f>
        <v>7.3319681979209836E-2</v>
      </c>
      <c r="P141" s="169">
        <f>(INDEX(Models!$BJ141:$BT141,,T141)*(1-R141)+INDEX(Models!$BJ141:$BT141,,T141+1)*R141-ERP_i)*Q141*Ramure*Pc/MaxiM</f>
        <v>2.0947251901794841E-5</v>
      </c>
      <c r="Q141" s="305">
        <f t="shared" si="28"/>
        <v>0.7</v>
      </c>
      <c r="R141" s="177">
        <f t="shared" si="29"/>
        <v>0.85817969473172351</v>
      </c>
      <c r="S141" s="810">
        <f t="shared" si="30"/>
        <v>-2</v>
      </c>
      <c r="T141" s="176">
        <f t="shared" si="31"/>
        <v>4</v>
      </c>
      <c r="U141" s="251">
        <f t="shared" si="32"/>
        <v>-1.1418203052682765</v>
      </c>
      <c r="V141" s="383">
        <f t="shared" si="33"/>
        <v>53.924542924079979</v>
      </c>
      <c r="W141" s="402">
        <f t="shared" si="34"/>
        <v>49.617530316387551</v>
      </c>
      <c r="X141" s="157">
        <f t="shared" si="35"/>
        <v>46149</v>
      </c>
      <c r="Y141" s="385">
        <f t="shared" si="36"/>
        <v>46.374030312603026</v>
      </c>
      <c r="Z141" s="385">
        <f t="shared" si="37"/>
        <v>49.537910348838352</v>
      </c>
      <c r="AA141" s="386">
        <f t="shared" si="38"/>
        <v>57.176950791010768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0.13360349470355831</v>
      </c>
      <c r="AD141" s="231">
        <f>(INDEX(Models!$BJ141:$BT141,,AH141)*(1-AF141)+INDEX(Models!$BJ141:$BT141,,AH141+1)*AF141-ERP_i)*AE141*Ramure*Pc/MaxiM</f>
        <v>4.0309374491262728E-4</v>
      </c>
      <c r="AE141" s="305">
        <f t="shared" si="40"/>
        <v>0.7</v>
      </c>
      <c r="AF141" s="177">
        <f t="shared" si="41"/>
        <v>0.67816974783090744</v>
      </c>
      <c r="AG141" s="810">
        <f t="shared" si="49"/>
        <v>1</v>
      </c>
      <c r="AH141" s="176">
        <f t="shared" si="42"/>
        <v>7</v>
      </c>
      <c r="AI141" s="225">
        <f t="shared" si="43"/>
        <v>1.6781697478309074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45.101231314545728</v>
      </c>
      <c r="C142" s="840"/>
      <c r="D142" s="393">
        <f t="shared" si="25"/>
        <v>48.179395519692321</v>
      </c>
      <c r="E142" s="385">
        <f t="shared" si="47"/>
        <v>52.000579135082141</v>
      </c>
      <c r="F142" s="385">
        <f t="shared" si="26"/>
        <v>52.001405401085009</v>
      </c>
      <c r="G142" s="110">
        <f t="shared" si="48"/>
        <v>0.83449824565450115</v>
      </c>
      <c r="H142" s="414" t="b">
        <f>Wh_hp&gt;='2025'!Maxi_hp</f>
        <v>0</v>
      </c>
      <c r="I142" s="390">
        <f>IF(H142,Wh_hp,'2025'!Maxi_hp)</f>
        <v>57.498688083785559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6.388963937682568E-2</v>
      </c>
      <c r="M142" s="844"/>
      <c r="N142" s="844"/>
      <c r="O142" s="48">
        <f>IF(t&lt;Tnet,'2025'!Resal+('2025'!Salim-'2025'!Resal)*(1-EXP(('2025'!Tnet-t)/('2025'!Tau_j))),Resal+(Salim-Resal)*(1-EXP((Tnet-t)/(Tau_j))))*Salcycl</f>
        <v>7.3483481894759631E-2</v>
      </c>
      <c r="P142" s="169">
        <f>(INDEX(Models!$BJ142:$BT142,,T142)*(1-R142)+INDEX(Models!$BJ142:$BT142,,T142+1)*R142-ERP_i)*Q142*Ramure*Pc/MaxiM</f>
        <v>2.0809096428635476E-5</v>
      </c>
      <c r="Q142" s="305">
        <f t="shared" si="28"/>
        <v>0.7</v>
      </c>
      <c r="R142" s="177">
        <f t="shared" si="29"/>
        <v>0.86082952337022989</v>
      </c>
      <c r="S142" s="810">
        <f t="shared" si="30"/>
        <v>-2</v>
      </c>
      <c r="T142" s="176">
        <f t="shared" si="31"/>
        <v>4</v>
      </c>
      <c r="U142" s="251">
        <f t="shared" si="32"/>
        <v>-1.1391704766297701</v>
      </c>
      <c r="V142" s="383">
        <f t="shared" si="33"/>
        <v>54.045661158739499</v>
      </c>
      <c r="W142" s="402">
        <f t="shared" si="34"/>
        <v>45.101231314545728</v>
      </c>
      <c r="X142" s="157">
        <f t="shared" si="35"/>
        <v>46150</v>
      </c>
      <c r="Y142" s="385">
        <f t="shared" si="36"/>
        <v>42.156296069720312</v>
      </c>
      <c r="Z142" s="385">
        <f t="shared" si="37"/>
        <v>45.033468106961891</v>
      </c>
      <c r="AA142" s="386">
        <f t="shared" si="38"/>
        <v>51.985928190398823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0.13373734634444723</v>
      </c>
      <c r="AD142" s="231">
        <f>(INDEX(Models!$BJ142:$BT142,,AH142)*(1-AF142)+INDEX(Models!$BJ142:$BT142,,AH142+1)*AF142-ERP_i)*AE142*Ramure*Pc/MaxiM</f>
        <v>3.8978581776179949E-4</v>
      </c>
      <c r="AE142" s="305">
        <f t="shared" si="40"/>
        <v>0.7</v>
      </c>
      <c r="AF142" s="177">
        <f t="shared" si="41"/>
        <v>0.68081957646941382</v>
      </c>
      <c r="AG142" s="810">
        <f t="shared" si="49"/>
        <v>1</v>
      </c>
      <c r="AH142" s="176">
        <f t="shared" si="42"/>
        <v>7</v>
      </c>
      <c r="AI142" s="225">
        <f t="shared" si="43"/>
        <v>1.6808195764694138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51.648215306491153</v>
      </c>
      <c r="C143" s="840"/>
      <c r="D143" s="393">
        <f t="shared" ref="D143:D206" si="50">Wh/(1-Ppv)</f>
        <v>55.174495910399386</v>
      </c>
      <c r="E143" s="385">
        <f t="shared" si="47"/>
        <v>59.561055250672112</v>
      </c>
      <c r="F143" s="385">
        <f t="shared" ref="F143:F206" si="51">Wh_sa/(1-Pvg*MEDIAN((-Sdif+Wh/Env_an)/Csdif,0,1))</f>
        <v>59.562207018476208</v>
      </c>
      <c r="G143" s="110">
        <f t="shared" si="48"/>
        <v>0.95360194770192652</v>
      </c>
      <c r="H143" s="414" t="b">
        <f>Wh_hp&gt;='2025'!Maxi_hp</f>
        <v>0</v>
      </c>
      <c r="I143" s="390">
        <f>IF(H143,Wh_hp,'2025'!Maxi_hp)</f>
        <v>59.562277463820259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6.3911424032486619E-2</v>
      </c>
      <c r="M143" s="844"/>
      <c r="N143" s="844"/>
      <c r="O143" s="48">
        <f>IF(t&lt;Tnet,'2025'!Resal+('2025'!Salim-'2025'!Resal)*(1-EXP(('2025'!Tnet-t)/('2025'!Tau_j))),Resal+(Salim-Resal)*(1-EXP((Tnet-t)/(Tau_j))))*Salcycl</f>
        <v>7.3648113214435151E-2</v>
      </c>
      <c r="P143" s="169">
        <f>(INDEX(Models!$BJ143:$BT143,,T143)*(1-R143)+INDEX(Models!$BJ143:$BT143,,T143+1)*R143-ERP_i)*Q143*Ramure*Pc/MaxiM</f>
        <v>2.0709899201689407E-5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0.86354441074410615</v>
      </c>
      <c r="S143" s="810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-1.1364555892558938</v>
      </c>
      <c r="V143" s="383">
        <f t="shared" ref="V143:V206" si="58">MaxiM*(1-Ppv)*(1-Pvg)*(1-Psa)</f>
        <v>54.161114638469911</v>
      </c>
      <c r="W143" s="402">
        <f t="shared" ref="W143:W206" si="59">Wh*(A143&gt;Tmaj)</f>
        <v>51.648215306491153</v>
      </c>
      <c r="X143" s="157">
        <f t="shared" ref="X143:X206" si="60">t</f>
        <v>46151</v>
      </c>
      <c r="Y143" s="385">
        <f t="shared" ref="Y143:Y206" si="61">Wh_pvt_s*(1-Ppv)</f>
        <v>48.274346090878957</v>
      </c>
      <c r="Z143" s="385">
        <f t="shared" ref="Z143:Z206" si="62">Wh_sa_s*(1-Psa_s)</f>
        <v>51.57027585876051</v>
      </c>
      <c r="AA143" s="386">
        <f t="shared" ref="AA143:AA206" si="63">Wh_hp*(1-Pvg_s*MEDIAN((-Sdif+Wh/Env_an)/Csdif,0,1))</f>
        <v>59.541219191191026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0.13387269257680556</v>
      </c>
      <c r="AD143" s="231">
        <f>(INDEX(Models!$BJ143:$BT143,,AH143)*(1-AF143)+INDEX(Models!$BJ143:$BT143,,AH143+1)*AF143-ERP_i)*AE143*Ramure*Pc/MaxiM</f>
        <v>3.7738143573125916E-4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0.68353446384329009</v>
      </c>
      <c r="AG143" s="810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1.6835344638432901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47.901190107251388</v>
      </c>
      <c r="C144" s="840"/>
      <c r="D144" s="393">
        <f t="shared" si="50"/>
        <v>51.172833526310193</v>
      </c>
      <c r="E144" s="385">
        <f t="shared" ref="E144:E169" si="72">Wh_pvt/(1-Psa)</f>
        <v>55.251114281327553</v>
      </c>
      <c r="F144" s="385">
        <f t="shared" si="51"/>
        <v>55.252063936083239</v>
      </c>
      <c r="G144" s="110">
        <f t="shared" ref="G144:G169" si="73">+Wh_hp/MaxiM</f>
        <v>0.88262494027932481</v>
      </c>
      <c r="H144" s="414" t="b">
        <f>Wh_hp&gt;='2025'!Maxi_hp</f>
        <v>0</v>
      </c>
      <c r="I144" s="390">
        <f>IF(H144,Wh_hp,'2025'!Maxi_hp)</f>
        <v>55.252227791209307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6.3933208181186751E-2</v>
      </c>
      <c r="M144" s="844"/>
      <c r="N144" s="844"/>
      <c r="O144" s="48">
        <f>IF(t&lt;Tnet,'2025'!Resal+('2025'!Salim-'2025'!Resal)*(1-EXP(('2025'!Tnet-t)/('2025'!Tau_j))),Resal+(Salim-Resal)*(1-EXP((Tnet-t)/(Tau_j))))*Salcycl</f>
        <v>7.3813547619176911E-2</v>
      </c>
      <c r="P144" s="169">
        <f>(INDEX(Models!$BJ144:$BT144,,T144)*(1-R144)+INDEX(Models!$BJ144:$BT144,,T144+1)*R144-ERP_i)*Q144*Ramure*Pc/MaxiM</f>
        <v>2.065018431096152E-5</v>
      </c>
      <c r="Q144" s="305">
        <f t="shared" si="53"/>
        <v>0.7</v>
      </c>
      <c r="R144" s="177">
        <f t="shared" si="54"/>
        <v>0.86632440558148072</v>
      </c>
      <c r="S144" s="810">
        <f t="shared" si="55"/>
        <v>-2</v>
      </c>
      <c r="T144" s="176">
        <f t="shared" si="56"/>
        <v>4</v>
      </c>
      <c r="U144" s="251">
        <f t="shared" si="57"/>
        <v>-1.1336755944185193</v>
      </c>
      <c r="V144" s="383">
        <f t="shared" si="58"/>
        <v>54.271097563967167</v>
      </c>
      <c r="W144" s="402">
        <f t="shared" si="59"/>
        <v>47.901190107251388</v>
      </c>
      <c r="X144" s="157">
        <f t="shared" si="60"/>
        <v>46152</v>
      </c>
      <c r="Y144" s="385">
        <f t="shared" si="61"/>
        <v>44.775063133458438</v>
      </c>
      <c r="Z144" s="385">
        <f t="shared" si="62"/>
        <v>47.83319259351012</v>
      </c>
      <c r="AA144" s="386">
        <f t="shared" si="63"/>
        <v>55.235237920057692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0.1340094766543887</v>
      </c>
      <c r="AD144" s="231">
        <f>(INDEX(Models!$BJ144:$BT144,,AH144)*(1-AF144)+INDEX(Models!$BJ144:$BT144,,AH144+1)*AF144-ERP_i)*AE144*Ramure*Pc/MaxiM</f>
        <v>3.6588068460312697E-4</v>
      </c>
      <c r="AE144" s="305">
        <f t="shared" si="65"/>
        <v>0.7</v>
      </c>
      <c r="AF144" s="177">
        <f t="shared" si="66"/>
        <v>0.68631445868066465</v>
      </c>
      <c r="AG144" s="810">
        <f t="shared" ref="AG144:AG207" si="74">INDEX(Echel_vg,AH144)</f>
        <v>1</v>
      </c>
      <c r="AH144" s="176">
        <f t="shared" si="67"/>
        <v>7</v>
      </c>
      <c r="AI144" s="225">
        <f t="shared" si="68"/>
        <v>1.6863144586806647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52.057698732580825</v>
      </c>
      <c r="C145" s="840"/>
      <c r="D145" s="393">
        <f t="shared" si="50"/>
        <v>55.614525239510279</v>
      </c>
      <c r="E145" s="385">
        <f t="shared" si="72"/>
        <v>60.057569462611632</v>
      </c>
      <c r="F145" s="385">
        <f t="shared" si="51"/>
        <v>60.058733046981033</v>
      </c>
      <c r="G145" s="110">
        <f t="shared" si="73"/>
        <v>0.95736760322005998</v>
      </c>
      <c r="H145" s="414" t="b">
        <f>Wh_hp&gt;='2025'!Maxi_hp</f>
        <v>0</v>
      </c>
      <c r="I145" s="390">
        <f>IF(H145,Wh_hp,'2025'!Maxi_hp)</f>
        <v>60.058797286162218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6.3954991822937957E-2</v>
      </c>
      <c r="M145" s="844"/>
      <c r="N145" s="844"/>
      <c r="O145" s="48">
        <f>IF(t&lt;Tnet,'2025'!Resal+('2025'!Salim-'2025'!Resal)*(1-EXP(('2025'!Tnet-t)/('2025'!Tau_j))),Resal+(Salim-Resal)*(1-EXP((Tnet-t)/(Tau_j))))*Salcycl</f>
        <v>7.3979754140189286E-2</v>
      </c>
      <c r="P145" s="169">
        <f>(INDEX(Models!$BJ145:$BT145,,T145)*(1-R145)+INDEX(Models!$BJ145:$BT145,,T145+1)*R145-ERP_i)*Q145*Ramure*Pc/MaxiM</f>
        <v>2.0630543076699937E-5</v>
      </c>
      <c r="Q145" s="305">
        <f t="shared" si="53"/>
        <v>0.7</v>
      </c>
      <c r="R145" s="177">
        <f t="shared" si="54"/>
        <v>0.86916944642817229</v>
      </c>
      <c r="S145" s="810">
        <f t="shared" si="55"/>
        <v>-2</v>
      </c>
      <c r="T145" s="176">
        <f t="shared" si="56"/>
        <v>4</v>
      </c>
      <c r="U145" s="251">
        <f t="shared" si="57"/>
        <v>-1.1308305535718277</v>
      </c>
      <c r="V145" s="383">
        <f t="shared" si="58"/>
        <v>54.375804183358639</v>
      </c>
      <c r="W145" s="402">
        <f t="shared" si="59"/>
        <v>52.057698732580825</v>
      </c>
      <c r="X145" s="157">
        <f t="shared" si="60"/>
        <v>46153</v>
      </c>
      <c r="Y145" s="385">
        <f t="shared" si="61"/>
        <v>48.659967980275106</v>
      </c>
      <c r="Z145" s="385">
        <f t="shared" si="62"/>
        <v>51.984645562118736</v>
      </c>
      <c r="AA145" s="386">
        <f t="shared" si="63"/>
        <v>60.038694589210046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0.13414763732286</v>
      </c>
      <c r="AD145" s="231">
        <f>(INDEX(Models!$BJ145:$BT145,,AH145)*(1-AF145)+INDEX(Models!$BJ145:$BT145,,AH145+1)*AF145-ERP_i)*AE145*Ramure*Pc/MaxiM</f>
        <v>3.5528516634193989E-4</v>
      </c>
      <c r="AE145" s="305">
        <f t="shared" si="65"/>
        <v>0.7</v>
      </c>
      <c r="AF145" s="177">
        <f t="shared" si="66"/>
        <v>0.68915949952735622</v>
      </c>
      <c r="AG145" s="810">
        <f t="shared" si="74"/>
        <v>1</v>
      </c>
      <c r="AH145" s="176">
        <f t="shared" si="67"/>
        <v>7</v>
      </c>
      <c r="AI145" s="225">
        <f t="shared" si="68"/>
        <v>1.6891594995273562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40.062573343222624</v>
      </c>
      <c r="C146" s="840"/>
      <c r="D146" s="393">
        <f t="shared" si="50"/>
        <v>42.800832577006169</v>
      </c>
      <c r="E146" s="385">
        <f t="shared" si="72"/>
        <v>46.228525121455434</v>
      </c>
      <c r="F146" s="385">
        <f t="shared" si="51"/>
        <v>46.229118982684163</v>
      </c>
      <c r="G146" s="110">
        <f t="shared" si="73"/>
        <v>0.73541891311666285</v>
      </c>
      <c r="H146" s="414" t="b">
        <f>Wh_hp&gt;='2025'!Maxi_hp</f>
        <v>0</v>
      </c>
      <c r="I146" s="390">
        <f>IF(H146,Wh_hp,'2025'!Maxi_hp)</f>
        <v>59.107632705662361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6.3976774957752003E-2</v>
      </c>
      <c r="M146" s="844"/>
      <c r="N146" s="844"/>
      <c r="O146" s="48">
        <f>IF(t&lt;Tnet,'2025'!Resal+('2025'!Salim-'2025'!Resal)*(1-EXP(('2025'!Tnet-t)/('2025'!Tau_j))),Resal+(Salim-Resal)*(1-EXP((Tnet-t)/(Tau_j))))*Salcycl</f>
        <v>7.4146699152606368E-2</v>
      </c>
      <c r="P146" s="169">
        <f>(INDEX(Models!$BJ146:$BT146,,T146)*(1-R146)+INDEX(Models!$BJ146:$BT146,,T146+1)*R146-ERP_i)*Q146*Ramure*Pc/MaxiM</f>
        <v>2.0651632145038375E-5</v>
      </c>
      <c r="Q146" s="305">
        <f t="shared" si="53"/>
        <v>0.7</v>
      </c>
      <c r="R146" s="177">
        <f t="shared" si="54"/>
        <v>0.87207935654643509</v>
      </c>
      <c r="S146" s="810">
        <f t="shared" si="55"/>
        <v>-2</v>
      </c>
      <c r="T146" s="176">
        <f t="shared" si="56"/>
        <v>4</v>
      </c>
      <c r="U146" s="251">
        <f t="shared" si="57"/>
        <v>-1.1279206434535649</v>
      </c>
      <c r="V146" s="383">
        <f t="shared" si="58"/>
        <v>54.475428783055918</v>
      </c>
      <c r="W146" s="402">
        <f t="shared" si="59"/>
        <v>40.062573343222624</v>
      </c>
      <c r="X146" s="157">
        <f t="shared" si="60"/>
        <v>46154</v>
      </c>
      <c r="Y146" s="385">
        <f t="shared" si="61"/>
        <v>37.452667426838261</v>
      </c>
      <c r="Z146" s="385">
        <f t="shared" si="62"/>
        <v>40.012540741334504</v>
      </c>
      <c r="AA146" s="386">
        <f t="shared" si="63"/>
        <v>46.21918091973491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0.13428710883429487</v>
      </c>
      <c r="AD146" s="231">
        <f>(INDEX(Models!$BJ146:$BT146,,AH146)*(1-AF146)+INDEX(Models!$BJ146:$BT146,,AH146+1)*AF146-ERP_i)*AE146*Ramure*Pc/MaxiM</f>
        <v>3.4559794499749801E-4</v>
      </c>
      <c r="AE146" s="305">
        <f t="shared" si="65"/>
        <v>0.7</v>
      </c>
      <c r="AF146" s="177">
        <f t="shared" si="66"/>
        <v>0.69206940964561903</v>
      </c>
      <c r="AG146" s="810">
        <f t="shared" si="74"/>
        <v>1</v>
      </c>
      <c r="AH146" s="176">
        <f t="shared" si="67"/>
        <v>7</v>
      </c>
      <c r="AI146" s="225">
        <f t="shared" si="68"/>
        <v>1.692069409645619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41.580400332328104</v>
      </c>
      <c r="C147" s="840"/>
      <c r="D147" s="393">
        <f t="shared" si="50"/>
        <v>44.423436170219958</v>
      </c>
      <c r="E147" s="385">
        <f t="shared" si="72"/>
        <v>47.98976412406968</v>
      </c>
      <c r="F147" s="385">
        <f t="shared" si="51"/>
        <v>47.99042016428735</v>
      </c>
      <c r="G147" s="110">
        <f t="shared" si="73"/>
        <v>0.7619567745628445</v>
      </c>
      <c r="H147" s="414" t="b">
        <f>Wh_hp&gt;='2025'!Maxi_hp</f>
        <v>0</v>
      </c>
      <c r="I147" s="390">
        <f>IF(H147,Wh_hp,'2025'!Maxi_hp)</f>
        <v>65.445503800800012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6.3998557585640659E-2</v>
      </c>
      <c r="M147" s="844"/>
      <c r="N147" s="844"/>
      <c r="O147" s="48">
        <f>IF(t&lt;Tnet,'2025'!Resal+('2025'!Salim-'2025'!Resal)*(1-EXP(('2025'!Tnet-t)/('2025'!Tau_j))),Resal+(Salim-Resal)*(1-EXP((Tnet-t)/(Tau_j))))*Salcycl</f>
        <v>7.4314346380815008E-2</v>
      </c>
      <c r="P147" s="169">
        <f>(INDEX(Models!$BJ147:$BT147,,T147)*(1-R147)+INDEX(Models!$BJ147:$BT147,,T147+1)*R147-ERP_i)*Q147*Ramure*Pc/MaxiM</f>
        <v>2.071417140083616E-5</v>
      </c>
      <c r="Q147" s="305">
        <f t="shared" si="53"/>
        <v>0.7</v>
      </c>
      <c r="R147" s="177">
        <f t="shared" si="54"/>
        <v>0.87505383904679679</v>
      </c>
      <c r="S147" s="810">
        <f t="shared" si="55"/>
        <v>-2</v>
      </c>
      <c r="T147" s="176">
        <f t="shared" si="56"/>
        <v>4</v>
      </c>
      <c r="U147" s="251">
        <f t="shared" si="57"/>
        <v>-1.1249461609532032</v>
      </c>
      <c r="V147" s="383">
        <f t="shared" si="58"/>
        <v>54.570165692659529</v>
      </c>
      <c r="W147" s="402">
        <f t="shared" si="59"/>
        <v>41.580400332328104</v>
      </c>
      <c r="X147" s="157">
        <f t="shared" si="60"/>
        <v>46155</v>
      </c>
      <c r="Y147" s="385">
        <f t="shared" si="61"/>
        <v>38.872082813603122</v>
      </c>
      <c r="Z147" s="385">
        <f t="shared" si="62"/>
        <v>41.529939006648242</v>
      </c>
      <c r="AA147" s="386">
        <f t="shared" si="63"/>
        <v>47.979752599938223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0.13442782098251774</v>
      </c>
      <c r="AD147" s="231">
        <f>(INDEX(Models!$BJ147:$BT147,,AH147)*(1-AF147)+INDEX(Models!$BJ147:$BT147,,AH147+1)*AF147-ERP_i)*AE147*Ramure*Pc/MaxiM</f>
        <v>3.3682349100999995E-4</v>
      </c>
      <c r="AE147" s="305">
        <f t="shared" si="65"/>
        <v>0.7</v>
      </c>
      <c r="AF147" s="177">
        <f t="shared" si="66"/>
        <v>0.69504389214598072</v>
      </c>
      <c r="AG147" s="810">
        <f t="shared" si="74"/>
        <v>1</v>
      </c>
      <c r="AH147" s="176">
        <f t="shared" si="67"/>
        <v>7</v>
      </c>
      <c r="AI147" s="225">
        <f t="shared" si="68"/>
        <v>1.6950438921459807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45.816751919357543</v>
      </c>
      <c r="C148" s="840"/>
      <c r="D148" s="393">
        <f t="shared" si="50"/>
        <v>48.950584999887937</v>
      </c>
      <c r="E148" s="385">
        <f t="shared" si="72"/>
        <v>52.889970529112901</v>
      </c>
      <c r="F148" s="385">
        <f t="shared" si="51"/>
        <v>52.890817157668529</v>
      </c>
      <c r="G148" s="110">
        <f t="shared" si="73"/>
        <v>0.83820629411913705</v>
      </c>
      <c r="H148" s="414" t="b">
        <f>Wh_hp&gt;='2025'!Maxi_hp</f>
        <v>0</v>
      </c>
      <c r="I148" s="390">
        <f>IF(H148,Wh_hp,'2025'!Maxi_hp)</f>
        <v>63.25386320981476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6.4020339706615692E-2</v>
      </c>
      <c r="M148" s="844"/>
      <c r="N148" s="844"/>
      <c r="O148" s="48">
        <f>IF(t&lt;Tnet,'2025'!Resal+('2025'!Salim-'2025'!Resal)*(1-EXP(('2025'!Tnet-t)/('2025'!Tau_j))),Resal+(Salim-Resal)*(1-EXP((Tnet-t)/(Tau_j))))*Salcycl</f>
        <v>7.4482656916145515E-2</v>
      </c>
      <c r="P148" s="169">
        <f>(INDEX(Models!$BJ148:$BT148,,T148)*(1-R148)+INDEX(Models!$BJ148:$BT148,,T148+1)*R148-ERP_i)*Q148*Ramure*Pc/MaxiM</f>
        <v>2.0818941682684324E-5</v>
      </c>
      <c r="Q148" s="305">
        <f t="shared" si="53"/>
        <v>0.7</v>
      </c>
      <c r="R148" s="177">
        <f t="shared" si="54"/>
        <v>0.87809247229927867</v>
      </c>
      <c r="S148" s="810">
        <f t="shared" si="55"/>
        <v>-2</v>
      </c>
      <c r="T148" s="176">
        <f t="shared" si="56"/>
        <v>4</v>
      </c>
      <c r="U148" s="251">
        <f t="shared" si="57"/>
        <v>-1.1219075277007213</v>
      </c>
      <c r="V148" s="383">
        <f t="shared" si="58"/>
        <v>54.660209275787132</v>
      </c>
      <c r="W148" s="402">
        <f t="shared" si="59"/>
        <v>45.816751919357543</v>
      </c>
      <c r="X148" s="157">
        <f t="shared" si="60"/>
        <v>46156</v>
      </c>
      <c r="Y148" s="385">
        <f t="shared" si="61"/>
        <v>42.832056154611962</v>
      </c>
      <c r="Z148" s="385">
        <f t="shared" si="62"/>
        <v>45.761738178355486</v>
      </c>
      <c r="AA148" s="386">
        <f t="shared" si="63"/>
        <v>52.877439273802445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0.13456969916038197</v>
      </c>
      <c r="AD148" s="231">
        <f>(INDEX(Models!$BJ148:$BT148,,AH148)*(1-AF148)+INDEX(Models!$BJ148:$BT148,,AH148+1)*AF148-ERP_i)*AE148*Ramure*Pc/MaxiM</f>
        <v>3.2896762363506221E-4</v>
      </c>
      <c r="AE148" s="305">
        <f t="shared" si="65"/>
        <v>0.7</v>
      </c>
      <c r="AF148" s="177">
        <f t="shared" si="66"/>
        <v>0.69808252539846261</v>
      </c>
      <c r="AG148" s="810">
        <f t="shared" si="74"/>
        <v>1</v>
      </c>
      <c r="AH148" s="176">
        <f t="shared" si="67"/>
        <v>7</v>
      </c>
      <c r="AI148" s="225">
        <f t="shared" si="68"/>
        <v>1.6980825253984626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48.79118957348431</v>
      </c>
      <c r="C149" s="840"/>
      <c r="D149" s="393">
        <f t="shared" si="50"/>
        <v>52.129685197299061</v>
      </c>
      <c r="E149" s="385">
        <f t="shared" si="72"/>
        <v>56.335197198761811</v>
      </c>
      <c r="F149" s="385">
        <f t="shared" si="51"/>
        <v>56.336194901443996</v>
      </c>
      <c r="G149" s="110">
        <f t="shared" si="73"/>
        <v>0.89124722253213695</v>
      </c>
      <c r="H149" s="414" t="b">
        <f>Wh_hp&gt;='2025'!Maxi_hp</f>
        <v>0</v>
      </c>
      <c r="I149" s="390">
        <f>IF(H149,Wh_hp,'2025'!Maxi_hp)</f>
        <v>64.201306106001624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6.4042121320688983E-2</v>
      </c>
      <c r="M149" s="844"/>
      <c r="N149" s="844"/>
      <c r="O149" s="48">
        <f>IF(t&lt;Tnet,'2025'!Resal+('2025'!Salim-'2025'!Resal)*(1-EXP(('2025'!Tnet-t)/('2025'!Tau_j))),Resal+(Salim-Resal)*(1-EXP((Tnet-t)/(Tau_j))))*Salcycl</f>
        <v>7.4651589247568775E-2</v>
      </c>
      <c r="P149" s="169">
        <f>(INDEX(Models!$BJ149:$BT149,,T149)*(1-R149)+INDEX(Models!$BJ149:$BT149,,T149+1)*R149-ERP_i)*Q149*Ramure*Pc/MaxiM</f>
        <v>2.0967199306002255E-5</v>
      </c>
      <c r="Q149" s="305">
        <f t="shared" si="53"/>
        <v>0.7</v>
      </c>
      <c r="R149" s="177">
        <f t="shared" si="54"/>
        <v>0.88119470567131053</v>
      </c>
      <c r="S149" s="810">
        <f t="shared" si="55"/>
        <v>-2</v>
      </c>
      <c r="T149" s="176">
        <f t="shared" si="56"/>
        <v>4</v>
      </c>
      <c r="U149" s="251">
        <f t="shared" si="57"/>
        <v>-1.1188052943286895</v>
      </c>
      <c r="V149" s="383">
        <f t="shared" si="58"/>
        <v>54.744665009566717</v>
      </c>
      <c r="W149" s="402">
        <f t="shared" si="59"/>
        <v>48.79118957348431</v>
      </c>
      <c r="X149" s="157">
        <f t="shared" si="60"/>
        <v>46157</v>
      </c>
      <c r="Y149" s="385">
        <f t="shared" si="61"/>
        <v>45.612724362363515</v>
      </c>
      <c r="Z149" s="385">
        <f t="shared" si="62"/>
        <v>48.733736209075587</v>
      </c>
      <c r="AA149" s="386">
        <f t="shared" si="63"/>
        <v>56.320870774716425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0.13471266443996199</v>
      </c>
      <c r="AD149" s="231">
        <f>(INDEX(Models!$BJ149:$BT149,,AH149)*(1-AF149)+INDEX(Models!$BJ149:$BT149,,AH149+1)*AF149-ERP_i)*AE149*Ramure*Pc/MaxiM</f>
        <v>3.2204385637596487E-4</v>
      </c>
      <c r="AE149" s="305">
        <f t="shared" si="65"/>
        <v>0.7</v>
      </c>
      <c r="AF149" s="177">
        <f t="shared" si="66"/>
        <v>0.70118475877049447</v>
      </c>
      <c r="AG149" s="810">
        <f t="shared" si="74"/>
        <v>1</v>
      </c>
      <c r="AH149" s="176">
        <f t="shared" si="67"/>
        <v>7</v>
      </c>
      <c r="AI149" s="225">
        <f t="shared" si="68"/>
        <v>1.7011847587704945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47.061780171739549</v>
      </c>
      <c r="C150" s="840"/>
      <c r="D150" s="393">
        <f t="shared" si="50"/>
        <v>50.283112590507542</v>
      </c>
      <c r="E150" s="385">
        <f t="shared" si="72"/>
        <v>54.349610170299442</v>
      </c>
      <c r="F150" s="385">
        <f t="shared" si="51"/>
        <v>54.350528123709744</v>
      </c>
      <c r="G150" s="110">
        <f t="shared" si="73"/>
        <v>0.85843231199758008</v>
      </c>
      <c r="H150" s="414" t="b">
        <f>Wh_hp&gt;='2025'!Maxi_hp</f>
        <v>0</v>
      </c>
      <c r="I150" s="390">
        <f>IF(H150,Wh_hp,'2025'!Maxi_hp)</f>
        <v>54.350720019855153</v>
      </c>
      <c r="J150" s="85">
        <f>IF(H150,An,'2025'!An_max)</f>
        <v>2025</v>
      </c>
      <c r="K150" s="197">
        <f t="shared" si="52"/>
        <v>46158</v>
      </c>
      <c r="L150" s="147">
        <f>IF(t&lt;Tvie,1-EXP((T0-t)*PertePVj)+'2025'!Pspv,1-EXP((T0-t)*PertePVj)+Pspv)</f>
        <v>6.4063902427872299E-2</v>
      </c>
      <c r="M150" s="844"/>
      <c r="N150" s="844"/>
      <c r="O150" s="48">
        <f>IF(t&lt;Tnet,'2025'!Resal+('2025'!Salim-'2025'!Resal)*(1-EXP(('2025'!Tnet-t)/('2025'!Tau_j))),Resal+(Salim-Resal)*(1-EXP((Tnet-t)/(Tau_j))))*Salcycl</f>
        <v>7.4821099305954694E-2</v>
      </c>
      <c r="P150" s="169">
        <f>(INDEX(Models!$BJ150:$BT150,,T150)*(1-R150)+INDEX(Models!$BJ150:$BT150,,T150+1)*R150-ERP_i)*Q150*Ramure*Pc/MaxiM</f>
        <v>2.117100687970081E-5</v>
      </c>
      <c r="Q150" s="305">
        <f t="shared" si="53"/>
        <v>0.7</v>
      </c>
      <c r="R150" s="177">
        <f t="shared" si="54"/>
        <v>0.88435985564021147</v>
      </c>
      <c r="S150" s="810">
        <f t="shared" si="55"/>
        <v>-2</v>
      </c>
      <c r="T150" s="176">
        <f t="shared" si="56"/>
        <v>4</v>
      </c>
      <c r="U150" s="251">
        <f t="shared" si="57"/>
        <v>-1.1156401443597885</v>
      </c>
      <c r="V150" s="383">
        <f t="shared" si="58"/>
        <v>54.822701819822434</v>
      </c>
      <c r="W150" s="402">
        <f t="shared" si="59"/>
        <v>47.061780171739549</v>
      </c>
      <c r="X150" s="157">
        <f t="shared" si="60"/>
        <v>46158</v>
      </c>
      <c r="Y150" s="385">
        <f t="shared" si="61"/>
        <v>43.997541898998684</v>
      </c>
      <c r="Z150" s="385">
        <f t="shared" si="62"/>
        <v>47.009130231359649</v>
      </c>
      <c r="AA150" s="386">
        <f t="shared" si="63"/>
        <v>54.336809436714866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0.13485663367647011</v>
      </c>
      <c r="AD150" s="231">
        <f>(INDEX(Models!$BJ150:$BT150,,AH150)*(1-AF150)+INDEX(Models!$BJ150:$BT150,,AH150+1)*AF150-ERP_i)*AE150*Ramure*Pc/MaxiM</f>
        <v>3.1639777519015458E-4</v>
      </c>
      <c r="AE150" s="305">
        <f t="shared" si="65"/>
        <v>0.7</v>
      </c>
      <c r="AF150" s="177">
        <f t="shared" si="66"/>
        <v>0.7043499087393954</v>
      </c>
      <c r="AG150" s="810">
        <f t="shared" si="74"/>
        <v>1</v>
      </c>
      <c r="AH150" s="176">
        <f t="shared" si="67"/>
        <v>7</v>
      </c>
      <c r="AI150" s="225">
        <f t="shared" si="68"/>
        <v>1.7043499087393954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50.61165885302723</v>
      </c>
      <c r="C151" s="840"/>
      <c r="D151" s="393">
        <f t="shared" si="50"/>
        <v>54.077235421275205</v>
      </c>
      <c r="E151" s="385">
        <f t="shared" si="72"/>
        <v>58.461316199514883</v>
      </c>
      <c r="F151" s="385">
        <f t="shared" si="51"/>
        <v>58.462427356205282</v>
      </c>
      <c r="G151" s="110">
        <f t="shared" si="73"/>
        <v>0.92197642005645331</v>
      </c>
      <c r="H151" s="414" t="b">
        <f>Wh_hp&gt;='2025'!Maxi_hp</f>
        <v>0</v>
      </c>
      <c r="I151" s="390">
        <f>IF(H151,Wh_hp,'2025'!Maxi_hp)</f>
        <v>59.772823260261717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6.408568302817752E-2</v>
      </c>
      <c r="M151" s="844"/>
      <c r="N151" s="844"/>
      <c r="O151" s="48">
        <f>IF(t&lt;Tnet,'2025'!Resal+('2025'!Salim-'2025'!Resal)*(1-EXP(('2025'!Tnet-t)/('2025'!Tau_j))),Resal+(Salim-Resal)*(1-EXP((Tnet-t)/(Tau_j))))*Salcycl</f>
        <v>7.499114052235549E-2</v>
      </c>
      <c r="P151" s="169">
        <f>(INDEX(Models!$BJ151:$BT151,,T151)*(1-R151)+INDEX(Models!$BJ151:$BT151,,T151+1)*R151-ERP_i)*Q151*Ramure*Pc/MaxiM</f>
        <v>2.1390505457638791E-5</v>
      </c>
      <c r="Q151" s="305">
        <f t="shared" si="53"/>
        <v>0.7</v>
      </c>
      <c r="R151" s="177">
        <f t="shared" si="54"/>
        <v>0.88758710232819049</v>
      </c>
      <c r="S151" s="810">
        <f t="shared" si="55"/>
        <v>-2</v>
      </c>
      <c r="T151" s="176">
        <f t="shared" si="56"/>
        <v>4</v>
      </c>
      <c r="U151" s="251">
        <f t="shared" si="57"/>
        <v>-1.1124128976718095</v>
      </c>
      <c r="V151" s="383">
        <f t="shared" si="58"/>
        <v>54.894612360038145</v>
      </c>
      <c r="W151" s="402">
        <f t="shared" si="59"/>
        <v>50.61165885302723</v>
      </c>
      <c r="X151" s="157">
        <f t="shared" si="60"/>
        <v>46159</v>
      </c>
      <c r="Y151" s="385">
        <f t="shared" si="61"/>
        <v>47.316008443162396</v>
      </c>
      <c r="Z151" s="385">
        <f t="shared" si="62"/>
        <v>50.555919046366014</v>
      </c>
      <c r="AA151" s="386">
        <f t="shared" si="63"/>
        <v>58.446251865232213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0.13500151963653809</v>
      </c>
      <c r="AD151" s="231">
        <f>(INDEX(Models!$BJ151:$BT151,,AH151)*(1-AF151)+INDEX(Models!$BJ151:$BT151,,AH151+1)*AF151-ERP_i)*AE151*Ramure*Pc/MaxiM</f>
        <v>3.1138896154852413E-4</v>
      </c>
      <c r="AE151" s="305">
        <f t="shared" si="65"/>
        <v>0.7</v>
      </c>
      <c r="AF151" s="177">
        <f t="shared" si="66"/>
        <v>0.70757715542737443</v>
      </c>
      <c r="AG151" s="810">
        <f t="shared" si="74"/>
        <v>1</v>
      </c>
      <c r="AH151" s="176">
        <f t="shared" si="67"/>
        <v>7</v>
      </c>
      <c r="AI151" s="225">
        <f t="shared" si="68"/>
        <v>1.7075771554273744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49.46744833048762</v>
      </c>
      <c r="C152" s="840"/>
      <c r="D152" s="393">
        <f t="shared" si="50"/>
        <v>52.855906400839004</v>
      </c>
      <c r="E152" s="385">
        <f t="shared" si="72"/>
        <v>57.151508904538424</v>
      </c>
      <c r="F152" s="385">
        <f t="shared" si="51"/>
        <v>57.152568398005144</v>
      </c>
      <c r="G152" s="110">
        <f t="shared" si="73"/>
        <v>0.90004871194421199</v>
      </c>
      <c r="H152" s="414" t="b">
        <f>Wh_hp&gt;='2025'!Maxi_hp</f>
        <v>0</v>
      </c>
      <c r="I152" s="390">
        <f>IF(H152,Wh_hp,'2025'!Maxi_hp)</f>
        <v>66.086546918529152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6.4107463121616193E-2</v>
      </c>
      <c r="M152" s="844"/>
      <c r="N152" s="844"/>
      <c r="O152" s="48">
        <f>IF(t&lt;Tnet,'2025'!Resal+('2025'!Salim-'2025'!Resal)*(1-EXP(('2025'!Tnet-t)/('2025'!Tau_j))),Resal+(Salim-Resal)*(1-EXP((Tnet-t)/(Tau_j))))*Salcycl</f>
        <v>7.5161663900676301E-2</v>
      </c>
      <c r="P152" s="169">
        <f>(INDEX(Models!$BJ152:$BT152,,T152)*(1-R152)+INDEX(Models!$BJ152:$BT152,,T152+1)*R152-ERP_i)*Q152*Ramure*Pc/MaxiM</f>
        <v>2.1625793496050666E-5</v>
      </c>
      <c r="Q152" s="305">
        <f t="shared" si="53"/>
        <v>0.7</v>
      </c>
      <c r="R152" s="177">
        <f t="shared" si="54"/>
        <v>0.89087548650735604</v>
      </c>
      <c r="S152" s="810">
        <f t="shared" si="55"/>
        <v>-2</v>
      </c>
      <c r="T152" s="176">
        <f t="shared" si="56"/>
        <v>4</v>
      </c>
      <c r="U152" s="251">
        <f t="shared" si="57"/>
        <v>-1.109124513492644</v>
      </c>
      <c r="V152" s="383">
        <f t="shared" si="58"/>
        <v>54.96068704415238</v>
      </c>
      <c r="W152" s="402">
        <f t="shared" si="59"/>
        <v>49.46744833048762</v>
      </c>
      <c r="X152" s="157">
        <f t="shared" si="60"/>
        <v>46160</v>
      </c>
      <c r="Y152" s="385">
        <f t="shared" si="61"/>
        <v>46.247642793981029</v>
      </c>
      <c r="Z152" s="385">
        <f t="shared" si="62"/>
        <v>49.415548229754457</v>
      </c>
      <c r="AA152" s="386">
        <f t="shared" si="63"/>
        <v>57.137526767172041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0.13514723115131744</v>
      </c>
      <c r="AD152" s="231">
        <f>(INDEX(Models!$BJ152:$BT152,,AH152)*(1-AF152)+INDEX(Models!$BJ152:$BT152,,AH152+1)*AF152-ERP_i)*AE152*Ramure*Pc/MaxiM</f>
        <v>3.0702143284318549E-4</v>
      </c>
      <c r="AE152" s="305">
        <f t="shared" si="65"/>
        <v>0.7</v>
      </c>
      <c r="AF152" s="177">
        <f t="shared" si="66"/>
        <v>0.71086553960653998</v>
      </c>
      <c r="AG152" s="810">
        <f t="shared" si="74"/>
        <v>1</v>
      </c>
      <c r="AH152" s="176">
        <f t="shared" si="67"/>
        <v>7</v>
      </c>
      <c r="AI152" s="225">
        <f t="shared" si="68"/>
        <v>1.71086553960654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52.288037282080253</v>
      </c>
      <c r="C153" s="840"/>
      <c r="D153" s="393">
        <f t="shared" si="50"/>
        <v>55.871002352280058</v>
      </c>
      <c r="E153" s="385">
        <f t="shared" si="72"/>
        <v>60.42281088987702</v>
      </c>
      <c r="F153" s="385">
        <f t="shared" si="51"/>
        <v>60.424038977537876</v>
      </c>
      <c r="G153" s="110">
        <f t="shared" si="73"/>
        <v>0.95032352406447818</v>
      </c>
      <c r="H153" s="414" t="b">
        <f>Wh_hp&gt;='2025'!Maxi_hp</f>
        <v>0</v>
      </c>
      <c r="I153" s="390">
        <f>IF(H153,Wh_hp,'2025'!Maxi_hp)</f>
        <v>64.867381436850934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6.4129242708200418E-2</v>
      </c>
      <c r="M153" s="844"/>
      <c r="N153" s="844"/>
      <c r="O153" s="48">
        <f>IF(t&lt;Tnet,'2025'!Resal+('2025'!Salim-'2025'!Resal)*(1-EXP(('2025'!Tnet-t)/('2025'!Tau_j))),Resal+(Salim-Resal)*(1-EXP((Tnet-t)/(Tau_j))))*Salcycl</f>
        <v>7.5332618104987106E-2</v>
      </c>
      <c r="P153" s="169">
        <f>(INDEX(Models!$BJ153:$BT153,,T153)*(1-R153)+INDEX(Models!$BJ153:$BT153,,T153+1)*R153-ERP_i)*Q153*Ramure*Pc/MaxiM</f>
        <v>2.1876971788540655E-5</v>
      </c>
      <c r="Q153" s="305">
        <f t="shared" si="53"/>
        <v>0.7</v>
      </c>
      <c r="R153" s="177">
        <f t="shared" si="54"/>
        <v>0.89422390712119326</v>
      </c>
      <c r="S153" s="810">
        <f t="shared" si="55"/>
        <v>-2</v>
      </c>
      <c r="T153" s="176">
        <f t="shared" si="56"/>
        <v>4</v>
      </c>
      <c r="U153" s="251">
        <f t="shared" si="57"/>
        <v>-1.1057760928788067</v>
      </c>
      <c r="V153" s="383">
        <f t="shared" si="58"/>
        <v>55.021216227998408</v>
      </c>
      <c r="W153" s="402">
        <f t="shared" si="59"/>
        <v>52.288037282080253</v>
      </c>
      <c r="X153" s="157">
        <f t="shared" si="60"/>
        <v>46161</v>
      </c>
      <c r="Y153" s="385">
        <f t="shared" si="61"/>
        <v>48.884578444115036</v>
      </c>
      <c r="Z153" s="385">
        <f t="shared" si="62"/>
        <v>52.234326228523329</v>
      </c>
      <c r="AA153" s="386">
        <f t="shared" si="63"/>
        <v>60.4070128959778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0.13529367329465572</v>
      </c>
      <c r="AD153" s="231">
        <f>(INDEX(Models!$BJ153:$BT153,,AH153)*(1-AF153)+INDEX(Models!$BJ153:$BT153,,AH153+1)*AF153-ERP_i)*AE153*Ramure*Pc/MaxiM</f>
        <v>3.0330009642811343E-4</v>
      </c>
      <c r="AE153" s="305">
        <f t="shared" si="65"/>
        <v>0.7</v>
      </c>
      <c r="AF153" s="177">
        <f t="shared" si="66"/>
        <v>0.7142139602203772</v>
      </c>
      <c r="AG153" s="810">
        <f t="shared" si="74"/>
        <v>1</v>
      </c>
      <c r="AH153" s="176">
        <f t="shared" si="67"/>
        <v>7</v>
      </c>
      <c r="AI153" s="225">
        <f t="shared" si="68"/>
        <v>1.7142139602203772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45.840276601866108</v>
      </c>
      <c r="C154" s="840"/>
      <c r="D154" s="393">
        <f t="shared" si="50"/>
        <v>48.982557730034678</v>
      </c>
      <c r="E154" s="385">
        <f t="shared" si="72"/>
        <v>52.982982141251675</v>
      </c>
      <c r="F154" s="385">
        <f t="shared" si="51"/>
        <v>52.983874342198433</v>
      </c>
      <c r="G154" s="110">
        <f t="shared" si="73"/>
        <v>0.83229765103201325</v>
      </c>
      <c r="H154" s="414" t="b">
        <f>Wh_hp&gt;='2025'!Maxi_hp</f>
        <v>0</v>
      </c>
      <c r="I154" s="390">
        <f>IF(H154,Wh_hp,'2025'!Maxi_hp)</f>
        <v>62.875000616079284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6.4151021787941742E-2</v>
      </c>
      <c r="M154" s="844"/>
      <c r="N154" s="844"/>
      <c r="O154" s="48">
        <f>IF(t&lt;Tnet,'2025'!Resal+('2025'!Salim-'2025'!Resal)*(1-EXP(('2025'!Tnet-t)/('2025'!Tau_j))),Resal+(Salim-Resal)*(1-EXP((Tnet-t)/(Tau_j))))*Salcycl</f>
        <v>7.55039495616147E-2</v>
      </c>
      <c r="P154" s="169">
        <f>(INDEX(Models!$BJ154:$BT154,,T154)*(1-R154)+INDEX(Models!$BJ154:$BT154,,T154+1)*R154-ERP_i)*Q154*Ramure*Pc/MaxiM</f>
        <v>2.2144141888340792E-5</v>
      </c>
      <c r="Q154" s="305">
        <f t="shared" si="53"/>
        <v>0.7</v>
      </c>
      <c r="R154" s="177">
        <f t="shared" si="54"/>
        <v>0.89763111936732187</v>
      </c>
      <c r="S154" s="810">
        <f t="shared" si="55"/>
        <v>-2</v>
      </c>
      <c r="T154" s="176">
        <f t="shared" si="56"/>
        <v>4</v>
      </c>
      <c r="U154" s="251">
        <f t="shared" si="57"/>
        <v>-1.1023688806326781</v>
      </c>
      <c r="V154" s="383">
        <f t="shared" si="58"/>
        <v>55.076490191347709</v>
      </c>
      <c r="W154" s="402">
        <f t="shared" si="59"/>
        <v>45.840276601866108</v>
      </c>
      <c r="X154" s="157">
        <f t="shared" si="60"/>
        <v>46162</v>
      </c>
      <c r="Y154" s="385">
        <f t="shared" si="61"/>
        <v>42.85930088600405</v>
      </c>
      <c r="Z154" s="385">
        <f t="shared" si="62"/>
        <v>45.797240670056453</v>
      </c>
      <c r="AA154" s="386">
        <f t="shared" si="63"/>
        <v>52.971777865083972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0.13544074758639679</v>
      </c>
      <c r="AD154" s="231">
        <f>(INDEX(Models!$BJ154:$BT154,,AH154)*(1-AF154)+INDEX(Models!$BJ154:$BT154,,AH154+1)*AF154-ERP_i)*AE154*Ramure*Pc/MaxiM</f>
        <v>3.0023068967222782E-4</v>
      </c>
      <c r="AE154" s="305">
        <f t="shared" si="65"/>
        <v>0.7</v>
      </c>
      <c r="AF154" s="177">
        <f t="shared" si="66"/>
        <v>0.71762117246650581</v>
      </c>
      <c r="AG154" s="810">
        <f t="shared" si="74"/>
        <v>1</v>
      </c>
      <c r="AH154" s="176">
        <f t="shared" si="67"/>
        <v>7</v>
      </c>
      <c r="AI154" s="225">
        <f t="shared" si="68"/>
        <v>1.7176211724665058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45.439016900052088</v>
      </c>
      <c r="C155" s="840"/>
      <c r="D155" s="393">
        <f t="shared" si="50"/>
        <v>48.554922230913185</v>
      </c>
      <c r="E155" s="385">
        <f t="shared" si="72"/>
        <v>52.530174867430333</v>
      </c>
      <c r="F155" s="385">
        <f t="shared" si="51"/>
        <v>52.531057229574934</v>
      </c>
      <c r="G155" s="110">
        <f t="shared" si="73"/>
        <v>0.82425901311483663</v>
      </c>
      <c r="H155" s="414" t="b">
        <f>Wh_hp&gt;='2025'!Maxi_hp</f>
        <v>0</v>
      </c>
      <c r="I155" s="390">
        <f>IF(H155,Wh_hp,'2025'!Maxi_hp)</f>
        <v>62.49902622803689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6.4172800360852156E-2</v>
      </c>
      <c r="M155" s="844"/>
      <c r="N155" s="844"/>
      <c r="O155" s="48">
        <f>IF(t&lt;Tnet,'2025'!Resal+('2025'!Salim-'2025'!Resal)*(1-EXP(('2025'!Tnet-t)/('2025'!Tau_j))),Resal+(Salim-Resal)*(1-EXP((Tnet-t)/(Tau_j))))*Salcycl</f>
        <v>7.5675602576032494E-2</v>
      </c>
      <c r="P155" s="169">
        <f>(INDEX(Models!$BJ155:$BT155,,T155)*(1-R155)+INDEX(Models!$BJ155:$BT155,,T155+1)*R155-ERP_i)*Q155*Ramure*Pc/MaxiM</f>
        <v>2.2427404494139508E-5</v>
      </c>
      <c r="Q155" s="305">
        <f t="shared" si="53"/>
        <v>0.7</v>
      </c>
      <c r="R155" s="177">
        <f t="shared" si="54"/>
        <v>0.90109573338407611</v>
      </c>
      <c r="S155" s="810">
        <f t="shared" si="55"/>
        <v>-2</v>
      </c>
      <c r="T155" s="176">
        <f t="shared" si="56"/>
        <v>4</v>
      </c>
      <c r="U155" s="251">
        <f t="shared" si="57"/>
        <v>-1.0989042666159239</v>
      </c>
      <c r="V155" s="383">
        <f t="shared" si="58"/>
        <v>55.126799138353668</v>
      </c>
      <c r="W155" s="402">
        <f t="shared" si="59"/>
        <v>45.439016900052088</v>
      </c>
      <c r="X155" s="157">
        <f t="shared" si="60"/>
        <v>46163</v>
      </c>
      <c r="Y155" s="385">
        <f t="shared" si="61"/>
        <v>42.484991390742877</v>
      </c>
      <c r="Z155" s="385">
        <f t="shared" si="62"/>
        <v>45.398329314562517</v>
      </c>
      <c r="AA155" s="386">
        <f t="shared" si="63"/>
        <v>52.519340098191662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0.13558835222063909</v>
      </c>
      <c r="AD155" s="231">
        <f>(INDEX(Models!$BJ155:$BT155,,AH155)*(1-AF155)+INDEX(Models!$BJ155:$BT155,,AH155+1)*AF155-ERP_i)*AE155*Ramure*Pc/MaxiM</f>
        <v>2.978197179605608E-4</v>
      </c>
      <c r="AE155" s="305">
        <f t="shared" si="65"/>
        <v>0.7</v>
      </c>
      <c r="AF155" s="177">
        <f t="shared" si="66"/>
        <v>0.72108578648326005</v>
      </c>
      <c r="AG155" s="810">
        <f t="shared" si="74"/>
        <v>1</v>
      </c>
      <c r="AH155" s="176">
        <f t="shared" si="67"/>
        <v>7</v>
      </c>
      <c r="AI155" s="225">
        <f t="shared" si="68"/>
        <v>1.72108578648326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33.655644535359713</v>
      </c>
      <c r="C156" s="840"/>
      <c r="D156" s="393">
        <f t="shared" si="50"/>
        <v>35.964361564379196</v>
      </c>
      <c r="E156" s="385">
        <f t="shared" si="72"/>
        <v>38.916047212833661</v>
      </c>
      <c r="F156" s="385">
        <f t="shared" si="51"/>
        <v>38.916439187834449</v>
      </c>
      <c r="G156" s="110">
        <f t="shared" si="73"/>
        <v>0.61000062339054451</v>
      </c>
      <c r="H156" s="414" t="b">
        <f>Wh_hp&gt;='2025'!Maxi_hp</f>
        <v>0</v>
      </c>
      <c r="I156" s="390">
        <f>IF(H156,Wh_hp,'2025'!Maxi_hp)</f>
        <v>62.066231268120049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6.4194578426943316E-2</v>
      </c>
      <c r="M156" s="844"/>
      <c r="N156" s="844"/>
      <c r="O156" s="48">
        <f>IF(t&lt;Tnet,'2025'!Resal+('2025'!Salim-'2025'!Resal)*(1-EXP(('2025'!Tnet-t)/('2025'!Tau_j))),Resal+(Salim-Resal)*(1-EXP((Tnet-t)/(Tau_j))))*Salcycl</f>
        <v>7.5847519464439905E-2</v>
      </c>
      <c r="P156" s="169">
        <f>(INDEX(Models!$BJ156:$BT156,,T156)*(1-R156)+INDEX(Models!$BJ156:$BT156,,T156+1)*R156-ERP_i)*Q156*Ramure*Pc/MaxiM</f>
        <v>2.2743113471349476E-5</v>
      </c>
      <c r="Q156" s="305">
        <f t="shared" si="53"/>
        <v>0.7</v>
      </c>
      <c r="R156" s="177">
        <f t="shared" si="54"/>
        <v>0.90461621358052047</v>
      </c>
      <c r="S156" s="810">
        <f t="shared" si="55"/>
        <v>-2</v>
      </c>
      <c r="T156" s="176">
        <f t="shared" si="56"/>
        <v>4</v>
      </c>
      <c r="U156" s="251">
        <f t="shared" si="57"/>
        <v>-1.0953837864194795</v>
      </c>
      <c r="V156" s="383">
        <f t="shared" si="58"/>
        <v>55.172432278787284</v>
      </c>
      <c r="W156" s="402">
        <f t="shared" si="59"/>
        <v>33.655644535359713</v>
      </c>
      <c r="X156" s="157">
        <f t="shared" si="60"/>
        <v>46164</v>
      </c>
      <c r="Y156" s="385">
        <f t="shared" si="61"/>
        <v>31.470810738858169</v>
      </c>
      <c r="Z156" s="385">
        <f t="shared" si="62"/>
        <v>33.629652076557562</v>
      </c>
      <c r="AA156" s="386">
        <f t="shared" si="63"/>
        <v>38.911336065234259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0.13573638231856225</v>
      </c>
      <c r="AD156" s="231">
        <f>(INDEX(Models!$BJ156:$BT156,,AH156)*(1-AF156)+INDEX(Models!$BJ156:$BT156,,AH156+1)*AF156-ERP_i)*AE156*Ramure*Pc/MaxiM</f>
        <v>2.9609259805363469E-4</v>
      </c>
      <c r="AE156" s="305">
        <f t="shared" si="65"/>
        <v>0.7</v>
      </c>
      <c r="AF156" s="177">
        <f t="shared" si="66"/>
        <v>0.7246062666797044</v>
      </c>
      <c r="AG156" s="810">
        <f t="shared" si="74"/>
        <v>1</v>
      </c>
      <c r="AH156" s="176">
        <f t="shared" si="67"/>
        <v>7</v>
      </c>
      <c r="AI156" s="225">
        <f t="shared" si="68"/>
        <v>1.7246062666797044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19.119787204282538</v>
      </c>
      <c r="C157" s="840"/>
      <c r="D157" s="393">
        <f t="shared" si="50"/>
        <v>20.431845893644546</v>
      </c>
      <c r="E157" s="385">
        <f t="shared" si="72"/>
        <v>22.112857365408722</v>
      </c>
      <c r="F157" s="385">
        <f t="shared" si="51"/>
        <v>22.112891132904931</v>
      </c>
      <c r="G157" s="110">
        <f t="shared" si="73"/>
        <v>0.3462796725821774</v>
      </c>
      <c r="H157" s="414" t="b">
        <f>Wh_hp&gt;='2025'!Maxi_hp</f>
        <v>0</v>
      </c>
      <c r="I157" s="390">
        <f>IF(H157,Wh_hp,'2025'!Maxi_hp)</f>
        <v>58.102638040850181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6.4216355986226992E-2</v>
      </c>
      <c r="M157" s="844"/>
      <c r="N157" s="844"/>
      <c r="O157" s="48">
        <f>IF(t&lt;Tnet,'2025'!Resal+('2025'!Salim-'2025'!Resal)*(1-EXP(('2025'!Tnet-t)/('2025'!Tau_j))),Resal+(Salim-Resal)*(1-EXP((Tnet-t)/(Tau_j))))*Salcycl</f>
        <v>7.6019640699794472E-2</v>
      </c>
      <c r="P157" s="169">
        <f>(INDEX(Models!$BJ157:$BT157,,T157)*(1-R157)+INDEX(Models!$BJ157:$BT157,,T157+1)*R157-ERP_i)*Q157*Ramure*Pc/MaxiM</f>
        <v>2.3093566921470896E-5</v>
      </c>
      <c r="Q157" s="305">
        <f t="shared" si="53"/>
        <v>0.7</v>
      </c>
      <c r="R157" s="177">
        <f t="shared" si="54"/>
        <v>0.9081908786459385</v>
      </c>
      <c r="S157" s="810">
        <f t="shared" si="55"/>
        <v>-2</v>
      </c>
      <c r="T157" s="176">
        <f t="shared" si="56"/>
        <v>4</v>
      </c>
      <c r="U157" s="251">
        <f t="shared" si="57"/>
        <v>-1.0918091213540615</v>
      </c>
      <c r="V157" s="383">
        <f t="shared" si="58"/>
        <v>55.213679491701292</v>
      </c>
      <c r="W157" s="402">
        <f t="shared" si="59"/>
        <v>19.119787204282538</v>
      </c>
      <c r="X157" s="157">
        <f t="shared" si="60"/>
        <v>46165</v>
      </c>
      <c r="Y157" s="385">
        <f t="shared" si="61"/>
        <v>17.880686703609761</v>
      </c>
      <c r="Z157" s="385">
        <f t="shared" si="62"/>
        <v>19.107714500026667</v>
      </c>
      <c r="AA157" s="386">
        <f t="shared" si="63"/>
        <v>22.112460186665057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0.13588473020520814</v>
      </c>
      <c r="AD157" s="231">
        <f>(INDEX(Models!$BJ157:$BT157,,AH157)*(1-AF157)+INDEX(Models!$BJ157:$BT157,,AH157+1)*AF157-ERP_i)*AE157*Ramure*Pc/MaxiM</f>
        <v>2.947238305443194E-4</v>
      </c>
      <c r="AE157" s="305">
        <f t="shared" si="65"/>
        <v>0.7</v>
      </c>
      <c r="AF157" s="177">
        <f t="shared" si="66"/>
        <v>0.72818093174512244</v>
      </c>
      <c r="AG157" s="810">
        <f t="shared" si="74"/>
        <v>1</v>
      </c>
      <c r="AH157" s="176">
        <f t="shared" si="67"/>
        <v>7</v>
      </c>
      <c r="AI157" s="225">
        <f t="shared" si="68"/>
        <v>1.7281809317451224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15.564921226968471</v>
      </c>
      <c r="C158" s="840"/>
      <c r="D158" s="393">
        <f t="shared" si="50"/>
        <v>16.633421147532651</v>
      </c>
      <c r="E158" s="385">
        <f t="shared" si="72"/>
        <v>18.005277545037902</v>
      </c>
      <c r="F158" s="385">
        <f t="shared" si="51"/>
        <v>18.005277545037902</v>
      </c>
      <c r="G158" s="110">
        <f t="shared" si="73"/>
        <v>0.281707181472023</v>
      </c>
      <c r="H158" s="414" t="b">
        <f>Wh_hp&gt;='2025'!Maxi_hp</f>
        <v>0</v>
      </c>
      <c r="I158" s="390">
        <f>IF(H158,Wh_hp,'2025'!Maxi_hp)</f>
        <v>29.473911948934084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6.4238133038715173E-2</v>
      </c>
      <c r="M158" s="844"/>
      <c r="N158" s="844"/>
      <c r="O158" s="48">
        <f>IF(t&lt;Tnet,'2025'!Resal+('2025'!Salim-'2025'!Resal)*(1-EXP(('2025'!Tnet-t)/('2025'!Tau_j))),Resal+(Salim-Resal)*(1-EXP((Tnet-t)/(Tau_j))))*Salcycl</f>
        <v>7.6191905071928287E-2</v>
      </c>
      <c r="P158" s="169">
        <f>(INDEX(Models!$BJ158:$BT158,,T158)*(1-R158)+INDEX(Models!$BJ158:$BT158,,T158+1)*R158-ERP_i)*Q158*Ramure*Pc/MaxiM</f>
        <v>2.3479346046565036E-5</v>
      </c>
      <c r="Q158" s="305">
        <f t="shared" si="53"/>
        <v>0.7</v>
      </c>
      <c r="R158" s="177">
        <f t="shared" si="54"/>
        <v>0.91181790227060211</v>
      </c>
      <c r="S158" s="810">
        <f t="shared" si="55"/>
        <v>-2</v>
      </c>
      <c r="T158" s="176">
        <f t="shared" si="56"/>
        <v>4</v>
      </c>
      <c r="U158" s="251">
        <f t="shared" si="57"/>
        <v>-1.0881820977293979</v>
      </c>
      <c r="V158" s="383">
        <f t="shared" si="58"/>
        <v>55.25083063721096</v>
      </c>
      <c r="W158" s="402">
        <f t="shared" si="59"/>
        <v>15.564921226968471</v>
      </c>
      <c r="X158" s="157">
        <f t="shared" si="60"/>
        <v>46166</v>
      </c>
      <c r="Y158" s="385">
        <f t="shared" si="61"/>
        <v>14.556674621587289</v>
      </c>
      <c r="Z158" s="385">
        <f t="shared" si="62"/>
        <v>15.555960480477177</v>
      </c>
      <c r="AA158" s="386">
        <f t="shared" si="63"/>
        <v>18.005277545037902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0.13603328570937442</v>
      </c>
      <c r="AD158" s="231">
        <f>(INDEX(Models!$BJ158:$BT158,,AH158)*(1-AF158)+INDEX(Models!$BJ158:$BT158,,AH158+1)*AF158-ERP_i)*AE158*Ramure*Pc/MaxiM</f>
        <v>2.9371262241144151E-4</v>
      </c>
      <c r="AE158" s="305">
        <f t="shared" si="65"/>
        <v>0.7</v>
      </c>
      <c r="AF158" s="177">
        <f t="shared" si="66"/>
        <v>0.73180795536978605</v>
      </c>
      <c r="AG158" s="810">
        <f t="shared" si="74"/>
        <v>1</v>
      </c>
      <c r="AH158" s="176">
        <f t="shared" si="67"/>
        <v>7</v>
      </c>
      <c r="AI158" s="225">
        <f t="shared" si="68"/>
        <v>1.731807955369786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37.912291723780598</v>
      </c>
      <c r="C159" s="840"/>
      <c r="D159" s="393">
        <f t="shared" si="50"/>
        <v>40.515835660031414</v>
      </c>
      <c r="E159" s="385">
        <f t="shared" si="72"/>
        <v>43.865599240766706</v>
      </c>
      <c r="F159" s="385">
        <f t="shared" si="51"/>
        <v>43.866177045160342</v>
      </c>
      <c r="G159" s="110">
        <f t="shared" si="73"/>
        <v>0.68576377693654644</v>
      </c>
      <c r="H159" s="414" t="b">
        <f>Wh_hp&gt;='2025'!Maxi_hp</f>
        <v>0</v>
      </c>
      <c r="I159" s="390">
        <f>IF(H159,Wh_hp,'2025'!Maxi_hp)</f>
        <v>60.701429062818967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6.4259909584419406E-2</v>
      </c>
      <c r="M159" s="844"/>
      <c r="N159" s="844"/>
      <c r="O159" s="48">
        <f>IF(t&lt;Tnet,'2025'!Resal+('2025'!Salim-'2025'!Resal)*(1-EXP(('2025'!Tnet-t)/('2025'!Tau_j))),Resal+(Salim-Resal)*(1-EXP((Tnet-t)/(Tau_j))))*Salcycl</f>
        <v>7.6364249861248207E-2</v>
      </c>
      <c r="P159" s="169">
        <f>(INDEX(Models!$BJ159:$BT159,,T159)*(1-R159)+INDEX(Models!$BJ159:$BT159,,T159+1)*R159-ERP_i)*Q159*Ramure*Pc/MaxiM</f>
        <v>2.3901181190786747E-5</v>
      </c>
      <c r="Q159" s="305">
        <f t="shared" si="53"/>
        <v>0.7</v>
      </c>
      <c r="R159" s="177">
        <f t="shared" si="54"/>
        <v>0.91549531460477573</v>
      </c>
      <c r="S159" s="810">
        <f t="shared" si="55"/>
        <v>-2</v>
      </c>
      <c r="T159" s="176">
        <f t="shared" si="56"/>
        <v>4</v>
      </c>
      <c r="U159" s="251">
        <f t="shared" si="57"/>
        <v>-1.0845046853952243</v>
      </c>
      <c r="V159" s="383">
        <f t="shared" si="58"/>
        <v>55.284175433071532</v>
      </c>
      <c r="W159" s="402">
        <f t="shared" si="59"/>
        <v>37.912291723780598</v>
      </c>
      <c r="X159" s="157">
        <f t="shared" si="60"/>
        <v>46167</v>
      </c>
      <c r="Y159" s="385">
        <f t="shared" si="61"/>
        <v>35.451707575216574</v>
      </c>
      <c r="Z159" s="385">
        <f t="shared" si="62"/>
        <v>37.88627626232384</v>
      </c>
      <c r="AA159" s="386">
        <f t="shared" si="63"/>
        <v>43.859092397516427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0.1361819364855531</v>
      </c>
      <c r="AD159" s="231">
        <f>(INDEX(Models!$BJ159:$BT159,,AH159)*(1-AF159)+INDEX(Models!$BJ159:$BT159,,AH159+1)*AF159-ERP_i)*AE159*Ramure*Pc/MaxiM</f>
        <v>2.9306015820459031E-4</v>
      </c>
      <c r="AE159" s="305">
        <f t="shared" si="65"/>
        <v>0.7</v>
      </c>
      <c r="AF159" s="177">
        <f t="shared" si="66"/>
        <v>0.73548536770395967</v>
      </c>
      <c r="AG159" s="810">
        <f t="shared" si="74"/>
        <v>1</v>
      </c>
      <c r="AH159" s="176">
        <f t="shared" si="67"/>
        <v>7</v>
      </c>
      <c r="AI159" s="225">
        <f t="shared" si="68"/>
        <v>1.7354853677039597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22.315232261099148</v>
      </c>
      <c r="C160" s="840"/>
      <c r="D160" s="393">
        <f t="shared" si="50"/>
        <v>23.848237143851339</v>
      </c>
      <c r="E160" s="385">
        <f t="shared" si="72"/>
        <v>25.824778143432148</v>
      </c>
      <c r="F160" s="385">
        <f t="shared" si="51"/>
        <v>25.824871094268211</v>
      </c>
      <c r="G160" s="110">
        <f t="shared" si="73"/>
        <v>0.40341988629788911</v>
      </c>
      <c r="H160" s="414" t="b">
        <f>Wh_hp&gt;='2025'!Maxi_hp</f>
        <v>0</v>
      </c>
      <c r="I160" s="390">
        <f>IF(H160,Wh_hp,'2025'!Maxi_hp)</f>
        <v>63.484208413127426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6.4281685623351681E-2</v>
      </c>
      <c r="M160" s="844"/>
      <c r="N160" s="844"/>
      <c r="O160" s="48">
        <f>IF(t&lt;Tnet,'2025'!Resal+('2025'!Salim-'2025'!Resal)*(1-EXP(('2025'!Tnet-t)/('2025'!Tau_j))),Resal+(Salim-Resal)*(1-EXP((Tnet-t)/(Tau_j))))*Salcycl</f>
        <v>7.6536611025388029E-2</v>
      </c>
      <c r="P160" s="169">
        <f>(INDEX(Models!$BJ160:$BT160,,T160)*(1-R160)+INDEX(Models!$BJ160:$BT160,,T160+1)*R160-ERP_i)*Q160*Ramure*Pc/MaxiM</f>
        <v>2.4359813128275319E-5</v>
      </c>
      <c r="Q160" s="305">
        <f t="shared" si="53"/>
        <v>0.7</v>
      </c>
      <c r="R160" s="177">
        <f t="shared" si="54"/>
        <v>0.91922100447744159</v>
      </c>
      <c r="S160" s="810">
        <f t="shared" si="55"/>
        <v>-2</v>
      </c>
      <c r="T160" s="176">
        <f t="shared" si="56"/>
        <v>4</v>
      </c>
      <c r="U160" s="251">
        <f t="shared" si="57"/>
        <v>-1.0807789955225584</v>
      </c>
      <c r="V160" s="383">
        <f t="shared" si="58"/>
        <v>55.314003451837905</v>
      </c>
      <c r="W160" s="402">
        <f t="shared" si="59"/>
        <v>22.315232261099148</v>
      </c>
      <c r="X160" s="157">
        <f t="shared" si="60"/>
        <v>46168</v>
      </c>
      <c r="Y160" s="385">
        <f t="shared" si="61"/>
        <v>20.86950046218886</v>
      </c>
      <c r="Z160" s="385">
        <f t="shared" si="62"/>
        <v>22.303186911641873</v>
      </c>
      <c r="AA160" s="386">
        <f t="shared" si="63"/>
        <v>25.823753967074772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0.13633056835662291</v>
      </c>
      <c r="AD160" s="231">
        <f>(INDEX(Models!$BJ160:$BT160,,AH160)*(1-AF160)+INDEX(Models!$BJ160:$BT160,,AH160+1)*AF160-ERP_i)*AE160*Ramure*Pc/MaxiM</f>
        <v>2.9276777731081542E-4</v>
      </c>
      <c r="AE160" s="305">
        <f t="shared" si="65"/>
        <v>0.7</v>
      </c>
      <c r="AF160" s="177">
        <f t="shared" si="66"/>
        <v>0.73921105757662553</v>
      </c>
      <c r="AG160" s="810">
        <f t="shared" si="74"/>
        <v>1</v>
      </c>
      <c r="AH160" s="176">
        <f t="shared" si="67"/>
        <v>7</v>
      </c>
      <c r="AI160" s="225">
        <f t="shared" si="68"/>
        <v>1.7392110575766255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43.970266705707978</v>
      </c>
      <c r="C161" s="840"/>
      <c r="D161" s="393">
        <f t="shared" si="50"/>
        <v>46.992015979890624</v>
      </c>
      <c r="E161" s="385">
        <f t="shared" si="72"/>
        <v>50.896209408671567</v>
      </c>
      <c r="F161" s="385">
        <f t="shared" si="51"/>
        <v>50.897103180370287</v>
      </c>
      <c r="G161" s="110">
        <f t="shared" si="73"/>
        <v>0.79453317533724765</v>
      </c>
      <c r="H161" s="414" t="b">
        <f>Wh_hp&gt;='2025'!Maxi_hp</f>
        <v>0</v>
      </c>
      <c r="I161" s="390">
        <f>IF(H161,Wh_hp,'2025'!Maxi_hp)</f>
        <v>63.520031293079448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6.4303461155523656E-2</v>
      </c>
      <c r="M161" s="844"/>
      <c r="N161" s="844"/>
      <c r="O161" s="48">
        <f>IF(t&lt;Tnet,'2025'!Resal+('2025'!Salim-'2025'!Resal)*(1-EXP(('2025'!Tnet-t)/('2025'!Tau_j))),Resal+(Salim-Resal)*(1-EXP((Tnet-t)/(Tau_j))))*Salcycl</f>
        <v>7.670892339805091E-2</v>
      </c>
      <c r="P161" s="169">
        <f>(INDEX(Models!$BJ161:$BT161,,T161)*(1-R161)+INDEX(Models!$BJ161:$BT161,,T161+1)*R161-ERP_i)*Q161*Ramure*Pc/MaxiM</f>
        <v>2.4855989210610142E-5</v>
      </c>
      <c r="Q161" s="305">
        <f t="shared" si="53"/>
        <v>0.7</v>
      </c>
      <c r="R161" s="177">
        <f t="shared" si="54"/>
        <v>0.92299272239022234</v>
      </c>
      <c r="S161" s="810">
        <f t="shared" si="55"/>
        <v>-2</v>
      </c>
      <c r="T161" s="176">
        <f t="shared" si="56"/>
        <v>4</v>
      </c>
      <c r="U161" s="251">
        <f t="shared" si="57"/>
        <v>-1.0770072776097777</v>
      </c>
      <c r="V161" s="383">
        <f t="shared" si="58"/>
        <v>55.340604111162172</v>
      </c>
      <c r="W161" s="402">
        <f t="shared" si="59"/>
        <v>43.970266705707978</v>
      </c>
      <c r="X161" s="157">
        <f t="shared" si="60"/>
        <v>46169</v>
      </c>
      <c r="Y161" s="385">
        <f t="shared" si="61"/>
        <v>41.116023020525475</v>
      </c>
      <c r="Z161" s="385">
        <f t="shared" si="62"/>
        <v>43.941621362948567</v>
      </c>
      <c r="AA161" s="386">
        <f t="shared" si="63"/>
        <v>50.886573349072385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0.1364790656757873</v>
      </c>
      <c r="AD161" s="231">
        <f>(INDEX(Models!$BJ161:$BT161,,AH161)*(1-AF161)+INDEX(Models!$BJ161:$BT161,,AH161+1)*AF161-ERP_i)*AE161*Ramure*Pc/MaxiM</f>
        <v>2.9283694427132052E-4</v>
      </c>
      <c r="AE161" s="305">
        <f t="shared" si="65"/>
        <v>0.7</v>
      </c>
      <c r="AF161" s="177">
        <f t="shared" si="66"/>
        <v>0.74298277548940628</v>
      </c>
      <c r="AG161" s="810">
        <f t="shared" si="74"/>
        <v>1</v>
      </c>
      <c r="AH161" s="176">
        <f t="shared" si="67"/>
        <v>7</v>
      </c>
      <c r="AI161" s="225">
        <f t="shared" si="68"/>
        <v>1.7429827754894063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52.404979432020305</v>
      </c>
      <c r="C162" s="840"/>
      <c r="D162" s="393">
        <f t="shared" si="50"/>
        <v>56.007687134922818</v>
      </c>
      <c r="E162" s="385">
        <f t="shared" si="72"/>
        <v>60.672236699867426</v>
      </c>
      <c r="F162" s="385">
        <f t="shared" si="51"/>
        <v>60.673659598656506</v>
      </c>
      <c r="G162" s="110">
        <f t="shared" si="73"/>
        <v>0.9465469516281082</v>
      </c>
      <c r="H162" s="414" t="b">
        <f>Wh_hp&gt;='2025'!Maxi_hp</f>
        <v>0</v>
      </c>
      <c r="I162" s="390">
        <f>IF(H162,Wh_hp,'2025'!Maxi_hp)</f>
        <v>62.361941334367771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6.4325236180947321E-2</v>
      </c>
      <c r="M162" s="844"/>
      <c r="N162" s="844"/>
      <c r="O162" s="48">
        <f>IF(t&lt;Tnet,'2025'!Resal+('2025'!Salim-'2025'!Resal)*(1-EXP(('2025'!Tnet-t)/('2025'!Tau_j))),Resal+(Salim-Resal)*(1-EXP((Tnet-t)/(Tau_j))))*Salcycl</f>
        <v>7.6881120899154221E-2</v>
      </c>
      <c r="P162" s="169">
        <f>(INDEX(Models!$BJ162:$BT162,,T162)*(1-R162)+INDEX(Models!$BJ162:$BT162,,T162+1)*R162-ERP_i)*Q162*Ramure*Pc/MaxiM</f>
        <v>2.5390459350419653E-5</v>
      </c>
      <c r="Q162" s="305">
        <f t="shared" si="53"/>
        <v>0.7</v>
      </c>
      <c r="R162" s="177">
        <f t="shared" si="54"/>
        <v>0.92680808429545625</v>
      </c>
      <c r="S162" s="810">
        <f t="shared" si="55"/>
        <v>-2</v>
      </c>
      <c r="T162" s="176">
        <f t="shared" si="56"/>
        <v>4</v>
      </c>
      <c r="U162" s="251">
        <f t="shared" si="57"/>
        <v>-1.0731919157045438</v>
      </c>
      <c r="V162" s="383">
        <f t="shared" si="58"/>
        <v>55.364266650913592</v>
      </c>
      <c r="W162" s="402">
        <f t="shared" si="59"/>
        <v>52.404979432020305</v>
      </c>
      <c r="X162" s="157">
        <f t="shared" si="60"/>
        <v>46170</v>
      </c>
      <c r="Y162" s="385">
        <f t="shared" si="61"/>
        <v>49.00109188020145</v>
      </c>
      <c r="Z162" s="385">
        <f t="shared" si="62"/>
        <v>52.369791058806008</v>
      </c>
      <c r="AA162" s="386">
        <f t="shared" si="63"/>
        <v>60.657224590101023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0.13662731170604014</v>
      </c>
      <c r="AD162" s="231">
        <f>(INDEX(Models!$BJ162:$BT162,,AH162)*(1-AF162)+INDEX(Models!$BJ162:$BT162,,AH162+1)*AF162-ERP_i)*AE162*Ramure*Pc/MaxiM</f>
        <v>2.9326921904284362E-4</v>
      </c>
      <c r="AE162" s="305">
        <f t="shared" si="65"/>
        <v>0.7</v>
      </c>
      <c r="AF162" s="177">
        <f t="shared" si="66"/>
        <v>0.74679813739464018</v>
      </c>
      <c r="AG162" s="810">
        <f t="shared" si="74"/>
        <v>1</v>
      </c>
      <c r="AH162" s="176">
        <f t="shared" si="67"/>
        <v>7</v>
      </c>
      <c r="AI162" s="225">
        <f t="shared" si="68"/>
        <v>1.7467981373946402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56.46992684236973</v>
      </c>
      <c r="C163" s="840"/>
      <c r="D163" s="393">
        <f t="shared" si="50"/>
        <v>60.353493750493008</v>
      </c>
      <c r="E163" s="385">
        <f t="shared" si="72"/>
        <v>65.392165198235659</v>
      </c>
      <c r="F163" s="385">
        <f t="shared" si="51"/>
        <v>65.393863123176274</v>
      </c>
      <c r="G163" s="110">
        <f t="shared" si="73"/>
        <v>1.0196079969873806</v>
      </c>
      <c r="H163" s="414" t="b">
        <f>Wh_hp&gt;='2025'!Maxi_hp</f>
        <v>1</v>
      </c>
      <c r="I163" s="390">
        <f>IF(H163,Wh_hp,'2025'!Maxi_hp)</f>
        <v>65.393863123176274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6.4347010699634222E-2</v>
      </c>
      <c r="M163" s="844"/>
      <c r="N163" s="844"/>
      <c r="O163" s="48">
        <f>IF(t&lt;Tnet,'2025'!Resal+('2025'!Salim-'2025'!Resal)*(1-EXP(('2025'!Tnet-t)/('2025'!Tau_j))),Resal+(Salim-Resal)*(1-EXP((Tnet-t)/(Tau_j))))*Salcycl</f>
        <v>7.7053136755266677E-2</v>
      </c>
      <c r="P163" s="169">
        <f>(INDEX(Models!$BJ163:$BT163,,T163)*(1-R163)+INDEX(Models!$BJ163:$BT163,,T163+1)*R163-ERP_i)*Q163*Ramure*Pc/MaxiM</f>
        <v>2.5964591469663771E-5</v>
      </c>
      <c r="Q163" s="305">
        <f t="shared" si="53"/>
        <v>0.7</v>
      </c>
      <c r="R163" s="177">
        <f t="shared" si="54"/>
        <v>0.93066457616043374</v>
      </c>
      <c r="S163" s="810">
        <f t="shared" si="55"/>
        <v>-2</v>
      </c>
      <c r="T163" s="176">
        <f t="shared" si="56"/>
        <v>4</v>
      </c>
      <c r="U163" s="251">
        <f t="shared" si="57"/>
        <v>-1.0693354238395663</v>
      </c>
      <c r="V163" s="383">
        <f t="shared" si="58"/>
        <v>55.383958353818841</v>
      </c>
      <c r="W163" s="402">
        <f t="shared" si="59"/>
        <v>56.46992684236973</v>
      </c>
      <c r="X163" s="157">
        <f t="shared" si="60"/>
        <v>46171</v>
      </c>
      <c r="Y163" s="385">
        <f t="shared" si="61"/>
        <v>52.801709650831249</v>
      </c>
      <c r="Z163" s="385">
        <f t="shared" si="62"/>
        <v>56.433004815507203</v>
      </c>
      <c r="AA163" s="386">
        <f t="shared" si="63"/>
        <v>65.374632537645681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0.13677518901524205</v>
      </c>
      <c r="AD163" s="231">
        <f>(INDEX(Models!$BJ163:$BT163,,AH163)*(1-AF163)+INDEX(Models!$BJ163:$BT163,,AH163+1)*AF163-ERP_i)*AE163*Ramure*Pc/MaxiM</f>
        <v>2.9407324498281366E-4</v>
      </c>
      <c r="AE163" s="305">
        <f t="shared" si="65"/>
        <v>0.7</v>
      </c>
      <c r="AF163" s="177">
        <f t="shared" si="66"/>
        <v>0.75065462925961768</v>
      </c>
      <c r="AG163" s="810">
        <f t="shared" si="74"/>
        <v>1</v>
      </c>
      <c r="AH163" s="176">
        <f t="shared" si="67"/>
        <v>7</v>
      </c>
      <c r="AI163" s="225">
        <f t="shared" si="68"/>
        <v>1.7506546292596177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48.915309964956315</v>
      </c>
      <c r="C164" s="840"/>
      <c r="D164" s="393">
        <f t="shared" si="50"/>
        <v>52.280545118279761</v>
      </c>
      <c r="E164" s="385">
        <f t="shared" si="72"/>
        <v>56.655782464829443</v>
      </c>
      <c r="F164" s="385">
        <f t="shared" si="51"/>
        <v>56.657036148629125</v>
      </c>
      <c r="G164" s="110">
        <f t="shared" si="73"/>
        <v>0.88296545984725738</v>
      </c>
      <c r="H164" s="414" t="b">
        <f>Wh_hp&gt;='2025'!Maxi_hp</f>
        <v>0</v>
      </c>
      <c r="I164" s="390">
        <f>IF(H164,Wh_hp,'2025'!Maxi_hp)</f>
        <v>59.86002152871599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6.4368784711596239E-2</v>
      </c>
      <c r="M164" s="844"/>
      <c r="N164" s="844"/>
      <c r="O164" s="48">
        <f>IF(t&lt;Tnet,'2025'!Resal+('2025'!Salim-'2025'!Resal)*(1-EXP(('2025'!Tnet-t)/('2025'!Tau_j))),Resal+(Salim-Resal)*(1-EXP((Tnet-t)/(Tau_j))))*Salcycl</f>
        <v>7.7224903729212854E-2</v>
      </c>
      <c r="P164" s="169">
        <f>(INDEX(Models!$BJ164:$BT164,,T164)*(1-R164)+INDEX(Models!$BJ164:$BT164,,T164+1)*R164-ERP_i)*Q164*Ramure*Pc/MaxiM</f>
        <v>2.6569688081492262E-5</v>
      </c>
      <c r="Q164" s="305">
        <f t="shared" si="53"/>
        <v>0.7</v>
      </c>
      <c r="R164" s="177">
        <f t="shared" si="54"/>
        <v>0.93455955931250378</v>
      </c>
      <c r="S164" s="810">
        <f t="shared" si="55"/>
        <v>-2</v>
      </c>
      <c r="T164" s="176">
        <f t="shared" si="56"/>
        <v>4</v>
      </c>
      <c r="U164" s="251">
        <f t="shared" si="57"/>
        <v>-1.0654404406874962</v>
      </c>
      <c r="V164" s="383">
        <f t="shared" si="58"/>
        <v>55.398647963104175</v>
      </c>
      <c r="W164" s="402">
        <f t="shared" si="59"/>
        <v>48.915309964956315</v>
      </c>
      <c r="X164" s="157">
        <f t="shared" si="60"/>
        <v>46172</v>
      </c>
      <c r="Y164" s="385">
        <f t="shared" si="61"/>
        <v>45.740561663218529</v>
      </c>
      <c r="Z164" s="385">
        <f t="shared" si="62"/>
        <v>48.887383101171139</v>
      </c>
      <c r="AA164" s="386">
        <f t="shared" si="63"/>
        <v>56.643102880203266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0.13692257988470374</v>
      </c>
      <c r="AD164" s="231">
        <f>(INDEX(Models!$BJ164:$BT164,,AH164)*(1-AF164)+INDEX(Models!$BJ164:$BT164,,AH164+1)*AF164-ERP_i)*AE164*Ramure*Pc/MaxiM</f>
        <v>2.9529184003626894E-4</v>
      </c>
      <c r="AE164" s="305">
        <f t="shared" si="65"/>
        <v>0.7</v>
      </c>
      <c r="AF164" s="177">
        <f t="shared" si="66"/>
        <v>0.75454961241168772</v>
      </c>
      <c r="AG164" s="810">
        <f t="shared" si="74"/>
        <v>1</v>
      </c>
      <c r="AH164" s="176">
        <f t="shared" si="67"/>
        <v>7</v>
      </c>
      <c r="AI164" s="225">
        <f t="shared" si="68"/>
        <v>1.7545496124116877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51.94332266606704</v>
      </c>
      <c r="C165" s="840"/>
      <c r="D165" s="393">
        <f t="shared" si="50"/>
        <v>55.518168528814279</v>
      </c>
      <c r="E165" s="385">
        <f t="shared" si="72"/>
        <v>60.175535606254996</v>
      </c>
      <c r="F165" s="385">
        <f t="shared" si="51"/>
        <v>60.177025831605093</v>
      </c>
      <c r="G165" s="110">
        <f t="shared" si="73"/>
        <v>0.93745685026709757</v>
      </c>
      <c r="H165" s="414" t="b">
        <f>Wh_hp&gt;='2025'!Maxi_hp</f>
        <v>0</v>
      </c>
      <c r="I165" s="390">
        <f>IF(H165,Wh_hp,'2025'!Maxi_hp)</f>
        <v>63.940669699990565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6.4390558216845251E-2</v>
      </c>
      <c r="M165" s="844"/>
      <c r="N165" s="844"/>
      <c r="O165" s="48">
        <f>IF(t&lt;Tnet,'2025'!Resal+('2025'!Salim-'2025'!Resal)*(1-EXP(('2025'!Tnet-t)/('2025'!Tau_j))),Resal+(Salim-Resal)*(1-EXP((Tnet-t)/(Tau_j))))*Salcycl</f>
        <v>7.7396354357610483E-2</v>
      </c>
      <c r="P165" s="169">
        <f>(INDEX(Models!$BJ165:$BT165,,T165)*(1-R165)+INDEX(Models!$BJ165:$BT165,,T165+1)*R165-ERP_i)*Q165*Ramure*Pc/MaxiM</f>
        <v>2.7193613650482156E-5</v>
      </c>
      <c r="Q165" s="305">
        <f t="shared" si="53"/>
        <v>0.7</v>
      </c>
      <c r="R165" s="177">
        <f t="shared" si="54"/>
        <v>0.93849027655220518</v>
      </c>
      <c r="S165" s="810">
        <f t="shared" si="55"/>
        <v>-2</v>
      </c>
      <c r="T165" s="176">
        <f t="shared" si="56"/>
        <v>4</v>
      </c>
      <c r="U165" s="251">
        <f t="shared" si="57"/>
        <v>-1.0615097234477948</v>
      </c>
      <c r="V165" s="383">
        <f t="shared" si="58"/>
        <v>55.408626484745383</v>
      </c>
      <c r="W165" s="402">
        <f t="shared" si="59"/>
        <v>51.94332266606704</v>
      </c>
      <c r="X165" s="157">
        <f t="shared" si="60"/>
        <v>46173</v>
      </c>
      <c r="Y165" s="385">
        <f t="shared" si="61"/>
        <v>48.571766049872082</v>
      </c>
      <c r="Z165" s="385">
        <f t="shared" si="62"/>
        <v>51.914574480245051</v>
      </c>
      <c r="AA165" s="386">
        <f t="shared" si="63"/>
        <v>60.160773622625037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0.13706936672900072</v>
      </c>
      <c r="AD165" s="231">
        <f>(INDEX(Models!$BJ165:$BT165,,AH165)*(1-AF165)+INDEX(Models!$BJ165:$BT165,,AH165+1)*AF165-ERP_i)*AE165*Ramure*Pc/MaxiM</f>
        <v>2.9657010729407577E-4</v>
      </c>
      <c r="AE165" s="305">
        <f t="shared" si="65"/>
        <v>0.7</v>
      </c>
      <c r="AF165" s="177">
        <f t="shared" si="66"/>
        <v>0.75848032965138912</v>
      </c>
      <c r="AG165" s="810">
        <f t="shared" si="74"/>
        <v>1</v>
      </c>
      <c r="AH165" s="176">
        <f t="shared" si="67"/>
        <v>7</v>
      </c>
      <c r="AI165" s="225">
        <f t="shared" si="68"/>
        <v>1.7584803296513891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52.712461136216675</v>
      </c>
      <c r="C166" s="840"/>
      <c r="D166" s="393">
        <f t="shared" si="50"/>
        <v>56.341551834146976</v>
      </c>
      <c r="E166" s="385">
        <f t="shared" si="72"/>
        <v>61.079316937328024</v>
      </c>
      <c r="F166" s="385">
        <f t="shared" si="51"/>
        <v>61.080898786726344</v>
      </c>
      <c r="G166" s="110">
        <f t="shared" si="73"/>
        <v>0.95124307746294456</v>
      </c>
      <c r="H166" s="414" t="b">
        <f>Wh_hp&gt;='2025'!Maxi_hp</f>
        <v>0</v>
      </c>
      <c r="I166" s="390">
        <f>IF(H166,Wh_hp,'2025'!Maxi_hp)</f>
        <v>65.184195459638048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6.4412331215392915E-2</v>
      </c>
      <c r="M166" s="844"/>
      <c r="N166" s="844"/>
      <c r="O166" s="48">
        <f>IF(t&lt;Tnet,'2025'!Resal+('2025'!Salim-'2025'!Resal)*(1-EXP(('2025'!Tnet-t)/('2025'!Tau_j))),Resal+(Salim-Resal)*(1-EXP((Tnet-t)/(Tau_j))))*Salcycl</f>
        <v>7.7567421195007091E-2</v>
      </c>
      <c r="P166" s="169">
        <f>(INDEX(Models!$BJ166:$BT166,,T166)*(1-R166)+INDEX(Models!$BJ166:$BT166,,T166+1)*R166-ERP_i)*Q166*Ramure*Pc/MaxiM</f>
        <v>2.7836421559432994E-5</v>
      </c>
      <c r="Q166" s="305">
        <f t="shared" si="53"/>
        <v>0.7</v>
      </c>
      <c r="R166" s="177">
        <f t="shared" si="54"/>
        <v>0.94245385901387113</v>
      </c>
      <c r="S166" s="810">
        <f t="shared" si="55"/>
        <v>-2</v>
      </c>
      <c r="T166" s="176">
        <f t="shared" si="56"/>
        <v>4</v>
      </c>
      <c r="U166" s="251">
        <f t="shared" si="57"/>
        <v>-1.0575461409861289</v>
      </c>
      <c r="V166" s="383">
        <f t="shared" si="58"/>
        <v>55.414184011429256</v>
      </c>
      <c r="W166" s="402">
        <f t="shared" si="59"/>
        <v>52.712461136216675</v>
      </c>
      <c r="X166" s="157">
        <f t="shared" si="60"/>
        <v>46174</v>
      </c>
      <c r="Y166" s="385">
        <f t="shared" si="61"/>
        <v>49.29148386924556</v>
      </c>
      <c r="Z166" s="385">
        <f t="shared" si="62"/>
        <v>52.685050812264976</v>
      </c>
      <c r="AA166" s="386">
        <f t="shared" si="63"/>
        <v>61.06396984640827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0.13721543252458779</v>
      </c>
      <c r="AD166" s="231">
        <f>(INDEX(Models!$BJ166:$BT166,,AH166)*(1-AF166)+INDEX(Models!$BJ166:$BT166,,AH166+1)*AF166-ERP_i)*AE166*Ramure*Pc/MaxiM</f>
        <v>2.9790517336731275E-4</v>
      </c>
      <c r="AE166" s="305">
        <f t="shared" si="65"/>
        <v>0.7</v>
      </c>
      <c r="AF166" s="177">
        <f t="shared" si="66"/>
        <v>0.76244391211305507</v>
      </c>
      <c r="AG166" s="810">
        <f t="shared" si="74"/>
        <v>1</v>
      </c>
      <c r="AH166" s="176">
        <f t="shared" si="67"/>
        <v>7</v>
      </c>
      <c r="AI166" s="225">
        <f t="shared" si="68"/>
        <v>1.7624439121130551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43.68668316877627</v>
      </c>
      <c r="C167" s="840"/>
      <c r="D167" s="393">
        <f t="shared" si="50"/>
        <v>46.695463507047535</v>
      </c>
      <c r="E167" s="385">
        <f t="shared" si="72"/>
        <v>50.631453300266926</v>
      </c>
      <c r="F167" s="385">
        <f t="shared" si="51"/>
        <v>50.63245994284253</v>
      </c>
      <c r="G167" s="110">
        <f t="shared" si="73"/>
        <v>0.78833935831915625</v>
      </c>
      <c r="H167" s="414" t="b">
        <f>Wh_hp&gt;='2025'!Maxi_hp</f>
        <v>0</v>
      </c>
      <c r="I167" s="390">
        <f>IF(H167,Wh_hp,'2025'!Maxi_hp)</f>
        <v>63.527913970143331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6.4434103707251222E-2</v>
      </c>
      <c r="M167" s="844"/>
      <c r="N167" s="844"/>
      <c r="O167" s="48">
        <f>IF(t&lt;Tnet,'2025'!Resal+('2025'!Salim-'2025'!Resal)*(1-EXP(('2025'!Tnet-t)/('2025'!Tau_j))),Resal+(Salim-Resal)*(1-EXP((Tnet-t)/(Tau_j))))*Salcycl</f>
        <v>7.7738037063191337E-2</v>
      </c>
      <c r="P167" s="169">
        <f>(INDEX(Models!$BJ167:$BT167,,T167)*(1-R167)+INDEX(Models!$BJ167:$BT167,,T167+1)*R167-ERP_i)*Q167*Ramure*Pc/MaxiM</f>
        <v>2.8498141434432749E-5</v>
      </c>
      <c r="Q167" s="305">
        <f t="shared" si="53"/>
        <v>0.7</v>
      </c>
      <c r="R167" s="177">
        <f t="shared" si="54"/>
        <v>0.94644733374540113</v>
      </c>
      <c r="S167" s="810">
        <f t="shared" si="55"/>
        <v>-2</v>
      </c>
      <c r="T167" s="176">
        <f t="shared" si="56"/>
        <v>4</v>
      </c>
      <c r="U167" s="251">
        <f t="shared" si="57"/>
        <v>-1.0535526662545989</v>
      </c>
      <c r="V167" s="383">
        <f t="shared" si="58"/>
        <v>55.415610373928089</v>
      </c>
      <c r="W167" s="402">
        <f t="shared" si="59"/>
        <v>43.68668316877627</v>
      </c>
      <c r="X167" s="157">
        <f t="shared" si="60"/>
        <v>46175</v>
      </c>
      <c r="Y167" s="385">
        <f t="shared" si="61"/>
        <v>40.854695672208166</v>
      </c>
      <c r="Z167" s="385">
        <f t="shared" si="62"/>
        <v>43.66843194487744</v>
      </c>
      <c r="AA167" s="386">
        <f t="shared" si="63"/>
        <v>50.621887946686712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0.13736066124464616</v>
      </c>
      <c r="AD167" s="231">
        <f>(INDEX(Models!$BJ167:$BT167,,AH167)*(1-AF167)+INDEX(Models!$BJ167:$BT167,,AH167+1)*AF167-ERP_i)*AE167*Ramure*Pc/MaxiM</f>
        <v>2.9929415762309391E-4</v>
      </c>
      <c r="AE167" s="305">
        <f t="shared" si="65"/>
        <v>0.7</v>
      </c>
      <c r="AF167" s="177">
        <f t="shared" si="66"/>
        <v>0.76643738684458507</v>
      </c>
      <c r="AG167" s="810">
        <f t="shared" si="74"/>
        <v>1</v>
      </c>
      <c r="AH167" s="176">
        <f t="shared" si="67"/>
        <v>7</v>
      </c>
      <c r="AI167" s="225">
        <f t="shared" si="68"/>
        <v>1.7664373868445851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50.915985965299562</v>
      </c>
      <c r="C168" s="840"/>
      <c r="D168" s="393">
        <f t="shared" si="50"/>
        <v>54.423927896489559</v>
      </c>
      <c r="E168" s="385">
        <f t="shared" si="72"/>
        <v>59.022240603372744</v>
      </c>
      <c r="F168" s="385">
        <f t="shared" si="51"/>
        <v>59.023763168659961</v>
      </c>
      <c r="G168" s="110">
        <f t="shared" si="73"/>
        <v>0.91883916086596951</v>
      </c>
      <c r="H168" s="414" t="b">
        <f>Wh_hp&gt;='2025'!Maxi_hp</f>
        <v>0</v>
      </c>
      <c r="I168" s="390">
        <f>IF(H168,Wh_hp,'2025'!Maxi_hp)</f>
        <v>59.023908082530738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6.4455875692431719E-2</v>
      </c>
      <c r="M168" s="844"/>
      <c r="N168" s="844"/>
      <c r="O168" s="48">
        <f>IF(t&lt;Tnet,'2025'!Resal+('2025'!Salim-'2025'!Resal)*(1-EXP(('2025'!Tnet-t)/('2025'!Tau_j))),Resal+(Salim-Resal)*(1-EXP((Tnet-t)/(Tau_j))))*Salcycl</f>
        <v>7.7908135304175882E-2</v>
      </c>
      <c r="P168" s="169">
        <f>(INDEX(Models!$BJ168:$BT168,,T168)*(1-R168)+INDEX(Models!$BJ168:$BT168,,T168+1)*R168-ERP_i)*Q168*Ramure*Pc/MaxiM</f>
        <v>2.9178777933281389E-5</v>
      </c>
      <c r="Q168" s="305">
        <f t="shared" si="53"/>
        <v>0.7</v>
      </c>
      <c r="R168" s="177">
        <f t="shared" si="54"/>
        <v>0.95046763197121864</v>
      </c>
      <c r="S168" s="810">
        <f t="shared" si="55"/>
        <v>-2</v>
      </c>
      <c r="T168" s="176">
        <f t="shared" si="56"/>
        <v>4</v>
      </c>
      <c r="U168" s="251">
        <f t="shared" si="57"/>
        <v>-1.0495323680287814</v>
      </c>
      <c r="V168" s="383">
        <f t="shared" si="58"/>
        <v>55.413195129054998</v>
      </c>
      <c r="W168" s="402">
        <f t="shared" si="59"/>
        <v>50.915985965299562</v>
      </c>
      <c r="X168" s="157">
        <f t="shared" si="60"/>
        <v>46176</v>
      </c>
      <c r="Y168" s="385">
        <f t="shared" si="61"/>
        <v>47.613741301619065</v>
      </c>
      <c r="Z168" s="385">
        <f t="shared" si="62"/>
        <v>50.894169568816224</v>
      </c>
      <c r="AA168" s="386">
        <f t="shared" si="63"/>
        <v>59.008070687794664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0.13750493829747823</v>
      </c>
      <c r="AD168" s="231">
        <f>(INDEX(Models!$BJ168:$BT168,,AH168)*(1-AF168)+INDEX(Models!$BJ168:$BT168,,AH168+1)*AF168-ERP_i)*AE168*Ramure*Pc/MaxiM</f>
        <v>3.0073417424843061E-4</v>
      </c>
      <c r="AE168" s="305">
        <f t="shared" si="65"/>
        <v>0.7</v>
      </c>
      <c r="AF168" s="177">
        <f t="shared" si="66"/>
        <v>0.77045768507040258</v>
      </c>
      <c r="AG168" s="810">
        <f t="shared" si="74"/>
        <v>1</v>
      </c>
      <c r="AH168" s="176">
        <f t="shared" si="67"/>
        <v>7</v>
      </c>
      <c r="AI168" s="225">
        <f t="shared" si="68"/>
        <v>1.7704576850704026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25.218452459134987</v>
      </c>
      <c r="C169" s="840"/>
      <c r="D169" s="393">
        <f t="shared" si="50"/>
        <v>26.956547198336278</v>
      </c>
      <c r="E169" s="385">
        <f t="shared" si="72"/>
        <v>29.239498531918503</v>
      </c>
      <c r="F169" s="385">
        <f t="shared" si="51"/>
        <v>29.239692163024035</v>
      </c>
      <c r="G169" s="110">
        <f t="shared" si="73"/>
        <v>0.45513675903404749</v>
      </c>
      <c r="H169" s="414" t="b">
        <f>Wh_hp&gt;='2025'!Maxi_hp</f>
        <v>0</v>
      </c>
      <c r="I169" s="390">
        <f>IF(H169,Wh_hp,'2025'!Maxi_hp)</f>
        <v>55.953130597510338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6.4477647170946395E-2</v>
      </c>
      <c r="M169" s="844"/>
      <c r="N169" s="844"/>
      <c r="O169" s="48">
        <f>IF(t&lt;Tnet,'2025'!Resal+('2025'!Salim-'2025'!Resal)*(1-EXP(('2025'!Tnet-t)/('2025'!Tau_j))),Resal+(Salim-Resal)*(1-EXP((Tnet-t)/(Tau_j))))*Salcycl</f>
        <v>7.8077650035280319E-2</v>
      </c>
      <c r="P169" s="169">
        <f>(INDEX(Models!$BJ169:$BT169,,T169)*(1-R169)+INDEX(Models!$BJ169:$BT169,,T169+1)*R169-ERP_i)*Q169*Ramure*Pc/MaxiM</f>
        <v>2.9878309637125995E-5</v>
      </c>
      <c r="Q169" s="305">
        <f t="shared" si="53"/>
        <v>0.7</v>
      </c>
      <c r="R169" s="177">
        <f t="shared" si="54"/>
        <v>0.95451159799494634</v>
      </c>
      <c r="S169" s="810">
        <f t="shared" si="55"/>
        <v>-2</v>
      </c>
      <c r="T169" s="176">
        <f t="shared" si="56"/>
        <v>4</v>
      </c>
      <c r="U169" s="251">
        <f t="shared" si="57"/>
        <v>-1.0454884020050537</v>
      </c>
      <c r="V169" s="383">
        <f t="shared" si="58"/>
        <v>55.407227545607419</v>
      </c>
      <c r="W169" s="402">
        <f t="shared" si="59"/>
        <v>25.218452459134987</v>
      </c>
      <c r="X169" s="157">
        <f t="shared" si="60"/>
        <v>46177</v>
      </c>
      <c r="Y169" s="385">
        <f t="shared" si="61"/>
        <v>23.587524909458882</v>
      </c>
      <c r="Z169" s="385">
        <f t="shared" si="62"/>
        <v>25.213213600005759</v>
      </c>
      <c r="AA169" s="386">
        <f t="shared" si="63"/>
        <v>29.23773356344028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0.13764815096567196</v>
      </c>
      <c r="AD169" s="231">
        <f>(INDEX(Models!$BJ169:$BT169,,AH169)*(1-AF169)+INDEX(Models!$BJ169:$BT169,,AH169+1)*AF169-ERP_i)*AE169*Ramure*Pc/MaxiM</f>
        <v>3.0222233487499058E-4</v>
      </c>
      <c r="AE169" s="305">
        <f t="shared" si="65"/>
        <v>0.7</v>
      </c>
      <c r="AF169" s="177">
        <f t="shared" si="66"/>
        <v>0.77450165109413027</v>
      </c>
      <c r="AG169" s="810">
        <f t="shared" si="74"/>
        <v>1</v>
      </c>
      <c r="AH169" s="176">
        <f t="shared" si="67"/>
        <v>7</v>
      </c>
      <c r="AI169" s="225">
        <f t="shared" si="68"/>
        <v>1.7745016510941303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35.094130487188714</v>
      </c>
      <c r="C170" s="840"/>
      <c r="D170" s="393">
        <f t="shared" si="50"/>
        <v>37.513745226666181</v>
      </c>
      <c r="E170" s="385">
        <f t="shared" ref="E170:E232" si="75">Wh_pvt/(1-Psa)</f>
        <v>40.698240792476653</v>
      </c>
      <c r="F170" s="385">
        <f t="shared" si="51"/>
        <v>40.698834008143209</v>
      </c>
      <c r="G170" s="110">
        <f t="shared" ref="G170:G232" si="76">+Wh_hp/MaxiM</f>
        <v>0.6334808188673603</v>
      </c>
      <c r="H170" s="414" t="b">
        <f>Wh_hp&gt;='2025'!Maxi_hp</f>
        <v>0</v>
      </c>
      <c r="I170" s="390">
        <f>IF(H170,Wh_hp,'2025'!Maxi_hp)</f>
        <v>47.290496424932876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6.4499418142806908E-2</v>
      </c>
      <c r="M170" s="844"/>
      <c r="N170" s="844"/>
      <c r="O170" s="48">
        <f>IF(t&lt;Tnet,'2025'!Resal+('2025'!Salim-'2025'!Resal)*(1-EXP(('2025'!Tnet-t)/('2025'!Tau_j))),Resal+(Salim-Resal)*(1-EXP((Tnet-t)/(Tau_j))))*Salcycl</f>
        <v>7.8246516404688118E-2</v>
      </c>
      <c r="P170" s="169">
        <f>(INDEX(Models!$BJ170:$BT170,,T170)*(1-R170)+INDEX(Models!$BJ170:$BT170,,T170+1)*R170-ERP_i)*Q170*Ramure*Pc/MaxiM</f>
        <v>3.0594588063370865E-5</v>
      </c>
      <c r="Q170" s="305">
        <f t="shared" si="53"/>
        <v>0.7</v>
      </c>
      <c r="R170" s="177">
        <f t="shared" si="54"/>
        <v>0.95857599869116394</v>
      </c>
      <c r="S170" s="810">
        <f t="shared" si="55"/>
        <v>-2</v>
      </c>
      <c r="T170" s="176">
        <f t="shared" si="56"/>
        <v>4</v>
      </c>
      <c r="U170" s="251">
        <f t="shared" si="57"/>
        <v>-1.0414240013088361</v>
      </c>
      <c r="V170" s="383">
        <f t="shared" si="58"/>
        <v>55.397996697412381</v>
      </c>
      <c r="W170" s="402">
        <f t="shared" si="59"/>
        <v>35.094130487188714</v>
      </c>
      <c r="X170" s="157">
        <f t="shared" si="60"/>
        <v>46178</v>
      </c>
      <c r="Y170" s="385">
        <f t="shared" si="61"/>
        <v>32.822837042090406</v>
      </c>
      <c r="Z170" s="385">
        <f t="shared" si="62"/>
        <v>35.085854224621862</v>
      </c>
      <c r="AA170" s="386">
        <f t="shared" si="63"/>
        <v>40.692942449294996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0.13779018884318303</v>
      </c>
      <c r="AD170" s="231">
        <f>(INDEX(Models!$BJ170:$BT170,,AH170)*(1-AF170)+INDEX(Models!$BJ170:$BT170,,AH170+1)*AF170-ERP_i)*AE170*Ramure*Pc/MaxiM</f>
        <v>3.0385208310481829E-4</v>
      </c>
      <c r="AE170" s="305">
        <f t="shared" si="65"/>
        <v>0.7</v>
      </c>
      <c r="AF170" s="177">
        <f t="shared" si="66"/>
        <v>0.77856605179034788</v>
      </c>
      <c r="AG170" s="810">
        <f t="shared" si="74"/>
        <v>1</v>
      </c>
      <c r="AH170" s="176">
        <f t="shared" si="67"/>
        <v>7</v>
      </c>
      <c r="AI170" s="225">
        <f t="shared" si="68"/>
        <v>1.7785660517903479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42.30589249334345</v>
      </c>
      <c r="C171" s="840"/>
      <c r="D171" s="393">
        <f t="shared" si="50"/>
        <v>45.223784844889302</v>
      </c>
      <c r="E171" s="385">
        <f t="shared" si="75"/>
        <v>49.071728264592323</v>
      </c>
      <c r="F171" s="385">
        <f t="shared" si="51"/>
        <v>49.07274631699805</v>
      </c>
      <c r="G171" s="110">
        <f t="shared" si="76"/>
        <v>0.76383209268341734</v>
      </c>
      <c r="H171" s="414" t="b">
        <f>Wh_hp&gt;='2025'!Maxi_hp</f>
        <v>0</v>
      </c>
      <c r="I171" s="390">
        <f>IF(H171,Wh_hp,'2025'!Maxi_hp)</f>
        <v>63.423622728283476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6.4521188608025137E-2</v>
      </c>
      <c r="M171" s="844"/>
      <c r="N171" s="844"/>
      <c r="O171" s="48">
        <f>IF(t&lt;Tnet,'2025'!Resal+('2025'!Salim-'2025'!Resal)*(1-EXP(('2025'!Tnet-t)/('2025'!Tau_j))),Resal+(Salim-Resal)*(1-EXP((Tnet-t)/(Tau_j))))*Salcycl</f>
        <v>7.8414670845809692E-2</v>
      </c>
      <c r="P171" s="169">
        <f>(INDEX(Models!$BJ171:$BT171,,T171)*(1-R171)+INDEX(Models!$BJ171:$BT171,,T171+1)*R171-ERP_i)*Q171*Ramure*Pc/MaxiM</f>
        <v>3.1308298241618019E-5</v>
      </c>
      <c r="Q171" s="305">
        <f t="shared" si="53"/>
        <v>0.7</v>
      </c>
      <c r="R171" s="177">
        <f t="shared" si="54"/>
        <v>0.96265753352887584</v>
      </c>
      <c r="S171" s="810">
        <f t="shared" si="55"/>
        <v>-2</v>
      </c>
      <c r="T171" s="176">
        <f t="shared" si="56"/>
        <v>4</v>
      </c>
      <c r="U171" s="251">
        <f t="shared" si="57"/>
        <v>-1.0373424664711242</v>
      </c>
      <c r="V171" s="383">
        <f t="shared" si="58"/>
        <v>55.385792286750103</v>
      </c>
      <c r="W171" s="402">
        <f t="shared" si="59"/>
        <v>42.30589249334345</v>
      </c>
      <c r="X171" s="157">
        <f t="shared" si="60"/>
        <v>46179</v>
      </c>
      <c r="Y171" s="385">
        <f t="shared" si="61"/>
        <v>39.566571504139326</v>
      </c>
      <c r="Z171" s="385">
        <f t="shared" si="62"/>
        <v>42.295529329269371</v>
      </c>
      <c r="AA171" s="386">
        <f t="shared" si="63"/>
        <v>49.062808887540747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0.13793094426743854</v>
      </c>
      <c r="AD171" s="231">
        <f>(INDEX(Models!$BJ171:$BT171,,AH171)*(1-AF171)+INDEX(Models!$BJ171:$BT171,,AH171+1)*AF171-ERP_i)*AE171*Ramure*Pc/MaxiM</f>
        <v>3.0560706251809249E-4</v>
      </c>
      <c r="AE171" s="305">
        <f t="shared" si="65"/>
        <v>0.7</v>
      </c>
      <c r="AF171" s="177">
        <f t="shared" si="66"/>
        <v>0.78264758662805978</v>
      </c>
      <c r="AG171" s="810">
        <f t="shared" si="74"/>
        <v>1</v>
      </c>
      <c r="AH171" s="176">
        <f t="shared" si="67"/>
        <v>7</v>
      </c>
      <c r="AI171" s="225">
        <f t="shared" si="68"/>
        <v>1.7826475866280598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28.868574261650075</v>
      </c>
      <c r="C172" s="840"/>
      <c r="D172" s="393">
        <f t="shared" si="50"/>
        <v>30.860395489049051</v>
      </c>
      <c r="E172" s="385">
        <f t="shared" si="75"/>
        <v>33.492288199456254</v>
      </c>
      <c r="F172" s="385">
        <f t="shared" si="51"/>
        <v>33.492627330311734</v>
      </c>
      <c r="G172" s="110">
        <f t="shared" si="76"/>
        <v>0.521355817811615</v>
      </c>
      <c r="H172" s="414" t="b">
        <f>Wh_hp&gt;='2025'!Maxi_hp</f>
        <v>0</v>
      </c>
      <c r="I172" s="390">
        <f>IF(H172,Wh_hp,'2025'!Maxi_hp)</f>
        <v>52.756129092485281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6.454295856661274E-2</v>
      </c>
      <c r="M172" s="844"/>
      <c r="N172" s="844"/>
      <c r="O172" s="48">
        <f>IF(t&lt;Tnet,'2025'!Resal+('2025'!Salim-'2025'!Resal)*(1-EXP(('2025'!Tnet-t)/('2025'!Tau_j))),Resal+(Salim-Resal)*(1-EXP((Tnet-t)/(Tau_j))))*Salcycl</f>
        <v>7.8582051328757396E-2</v>
      </c>
      <c r="P172" s="169">
        <f>(INDEX(Models!$BJ172:$BT172,,T172)*(1-R172)+INDEX(Models!$BJ172:$BT172,,T172+1)*R172-ERP_i)*Q172*Ramure*Pc/MaxiM</f>
        <v>3.2018633508109541E-5</v>
      </c>
      <c r="Q172" s="305">
        <f t="shared" si="53"/>
        <v>0.7</v>
      </c>
      <c r="R172" s="177">
        <f t="shared" si="54"/>
        <v>0.96675284506313686</v>
      </c>
      <c r="S172" s="810">
        <f t="shared" si="55"/>
        <v>-2</v>
      </c>
      <c r="T172" s="176">
        <f t="shared" si="56"/>
        <v>4</v>
      </c>
      <c r="U172" s="251">
        <f t="shared" si="57"/>
        <v>-1.0332471549368631</v>
      </c>
      <c r="V172" s="383">
        <f t="shared" si="58"/>
        <v>55.370902647555816</v>
      </c>
      <c r="W172" s="402">
        <f t="shared" si="59"/>
        <v>28.868574261650075</v>
      </c>
      <c r="X172" s="157">
        <f t="shared" si="60"/>
        <v>46180</v>
      </c>
      <c r="Y172" s="385">
        <f t="shared" si="61"/>
        <v>27.002419017091029</v>
      </c>
      <c r="Z172" s="385">
        <f t="shared" si="62"/>
        <v>28.865482669001683</v>
      </c>
      <c r="AA172" s="386">
        <f t="shared" si="63"/>
        <v>33.489370531929509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0.13807031274354079</v>
      </c>
      <c r="AD172" s="231">
        <f>(INDEX(Models!$BJ172:$BT172,,AH172)*(1-AF172)+INDEX(Models!$BJ172:$BT172,,AH172+1)*AF172-ERP_i)*AE172*Ramure*Pc/MaxiM</f>
        <v>3.0748671825560461E-4</v>
      </c>
      <c r="AE172" s="305">
        <f t="shared" si="65"/>
        <v>0.7</v>
      </c>
      <c r="AF172" s="177">
        <f t="shared" si="66"/>
        <v>0.78674289816232079</v>
      </c>
      <c r="AG172" s="810">
        <f t="shared" si="74"/>
        <v>1</v>
      </c>
      <c r="AH172" s="176">
        <f t="shared" si="67"/>
        <v>7</v>
      </c>
      <c r="AI172" s="225">
        <f t="shared" si="68"/>
        <v>1.7867428981623208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20.254714698511446</v>
      </c>
      <c r="C173" s="840"/>
      <c r="D173" s="393">
        <f t="shared" si="50"/>
        <v>21.652716446759975</v>
      </c>
      <c r="E173" s="385">
        <f t="shared" si="75"/>
        <v>23.503591300399815</v>
      </c>
      <c r="F173" s="385">
        <f t="shared" si="51"/>
        <v>23.503663726939042</v>
      </c>
      <c r="G173" s="110">
        <f t="shared" si="76"/>
        <v>0.3659040877916675</v>
      </c>
      <c r="H173" s="414" t="b">
        <f>Wh_hp&gt;='2025'!Maxi_hp</f>
        <v>0</v>
      </c>
      <c r="I173" s="390">
        <f>IF(H173,Wh_hp,'2025'!Maxi_hp)</f>
        <v>64.288784503922017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6.4564728018581707E-2</v>
      </c>
      <c r="M173" s="844"/>
      <c r="N173" s="844"/>
      <c r="O173" s="48">
        <f>IF(t&lt;Tnet,'2025'!Resal+('2025'!Salim-'2025'!Resal)*(1-EXP(('2025'!Tnet-t)/('2025'!Tau_j))),Resal+(Salim-Resal)*(1-EXP((Tnet-t)/(Tau_j))))*Salcycl</f>
        <v>7.8748597607224177E-2</v>
      </c>
      <c r="P173" s="169">
        <f>(INDEX(Models!$BJ173:$BT173,,T173)*(1-R173)+INDEX(Models!$BJ173:$BT173,,T173+1)*R173-ERP_i)*Q173*Ramure*Pc/MaxiM</f>
        <v>3.2724753387834649E-5</v>
      </c>
      <c r="Q173" s="305">
        <f t="shared" si="53"/>
        <v>0.7</v>
      </c>
      <c r="R173" s="177">
        <f t="shared" si="54"/>
        <v>0.97085852982574994</v>
      </c>
      <c r="S173" s="810">
        <f t="shared" si="55"/>
        <v>-2</v>
      </c>
      <c r="T173" s="176">
        <f t="shared" si="56"/>
        <v>4</v>
      </c>
      <c r="U173" s="251">
        <f t="shared" si="57"/>
        <v>-1.0291414701742501</v>
      </c>
      <c r="V173" s="383">
        <f t="shared" si="58"/>
        <v>55.353615761058784</v>
      </c>
      <c r="W173" s="402">
        <f t="shared" si="59"/>
        <v>20.254714698511446</v>
      </c>
      <c r="X173" s="157">
        <f t="shared" si="60"/>
        <v>46181</v>
      </c>
      <c r="Y173" s="385">
        <f t="shared" si="61"/>
        <v>18.946936976276344</v>
      </c>
      <c r="Z173" s="385">
        <f t="shared" si="62"/>
        <v>20.254674528300992</v>
      </c>
      <c r="AA173" s="386">
        <f t="shared" si="63"/>
        <v>23.502978761443437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0.13820819335765552</v>
      </c>
      <c r="AD173" s="231">
        <f>(INDEX(Models!$BJ173:$BT173,,AH173)*(1-AF173)+INDEX(Models!$BJ173:$BT173,,AH173+1)*AF173-ERP_i)*AE173*Ramure*Pc/MaxiM</f>
        <v>3.0949051496205617E-4</v>
      </c>
      <c r="AE173" s="305">
        <f t="shared" si="65"/>
        <v>0.7</v>
      </c>
      <c r="AF173" s="177">
        <f t="shared" si="66"/>
        <v>0.79084858292493387</v>
      </c>
      <c r="AG173" s="810">
        <f t="shared" si="74"/>
        <v>1</v>
      </c>
      <c r="AH173" s="176">
        <f t="shared" si="67"/>
        <v>7</v>
      </c>
      <c r="AI173" s="225">
        <f t="shared" si="68"/>
        <v>1.7908485829249339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41.702094372342316</v>
      </c>
      <c r="C174" s="840"/>
      <c r="D174" s="393">
        <f t="shared" si="50"/>
        <v>44.581454337563557</v>
      </c>
      <c r="E174" s="385">
        <f t="shared" si="75"/>
        <v>48.400981567876322</v>
      </c>
      <c r="F174" s="385">
        <f t="shared" si="51"/>
        <v>48.402030044476398</v>
      </c>
      <c r="G174" s="110">
        <f t="shared" si="76"/>
        <v>0.75363137587018214</v>
      </c>
      <c r="H174" s="414" t="b">
        <f>Wh_hp&gt;='2025'!Maxi_hp</f>
        <v>0</v>
      </c>
      <c r="I174" s="390">
        <f>IF(H174,Wh_hp,'2025'!Maxi_hp)</f>
        <v>60.786891370501721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6.4586496963943696E-2</v>
      </c>
      <c r="M174" s="844"/>
      <c r="N174" s="844"/>
      <c r="O174" s="48">
        <f>IF(t&lt;Tnet,'2025'!Resal+('2025'!Salim-'2025'!Resal)*(1-EXP(('2025'!Tnet-t)/('2025'!Tau_j))),Resal+(Salim-Resal)*(1-EXP((Tnet-t)/(Tau_j))))*Salcycl</f>
        <v>7.8914251459060974E-2</v>
      </c>
      <c r="P174" s="169">
        <f>(INDEX(Models!$BJ174:$BT174,,T174)*(1-R174)+INDEX(Models!$BJ174:$BT174,,T174+1)*R174-ERP_i)*Q174*Ramure*Pc/MaxiM</f>
        <v>3.3425786286543307E-5</v>
      </c>
      <c r="Q174" s="305">
        <f t="shared" si="53"/>
        <v>0.7</v>
      </c>
      <c r="R174" s="177">
        <f t="shared" si="54"/>
        <v>0.97497114954119457</v>
      </c>
      <c r="S174" s="810">
        <f t="shared" si="55"/>
        <v>-2</v>
      </c>
      <c r="T174" s="176">
        <f t="shared" si="56"/>
        <v>4</v>
      </c>
      <c r="U174" s="251">
        <f t="shared" si="57"/>
        <v>-1.0250288504588054</v>
      </c>
      <c r="V174" s="383">
        <f t="shared" si="58"/>
        <v>55.334219242126515</v>
      </c>
      <c r="W174" s="402">
        <f t="shared" si="59"/>
        <v>41.702094372342316</v>
      </c>
      <c r="X174" s="157">
        <f t="shared" si="60"/>
        <v>46182</v>
      </c>
      <c r="Y174" s="385">
        <f t="shared" si="61"/>
        <v>39.004361115462501</v>
      </c>
      <c r="Z174" s="385">
        <f t="shared" si="62"/>
        <v>41.697453574132382</v>
      </c>
      <c r="AA174" s="386">
        <f t="shared" si="63"/>
        <v>48.392255431977581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0.13834448917669734</v>
      </c>
      <c r="AD174" s="231">
        <f>(INDEX(Models!$BJ174:$BT174,,AH174)*(1-AF174)+INDEX(Models!$BJ174:$BT174,,AH174+1)*AF174-ERP_i)*AE174*Ramure*Pc/MaxiM</f>
        <v>3.1161793062031576E-4</v>
      </c>
      <c r="AE174" s="305">
        <f t="shared" si="65"/>
        <v>0.7</v>
      </c>
      <c r="AF174" s="177">
        <f t="shared" si="66"/>
        <v>0.79496120264037851</v>
      </c>
      <c r="AG174" s="810">
        <f t="shared" si="74"/>
        <v>1</v>
      </c>
      <c r="AH174" s="176">
        <f t="shared" si="67"/>
        <v>7</v>
      </c>
      <c r="AI174" s="225">
        <f t="shared" si="68"/>
        <v>1.7949612026403785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54.12862972422861</v>
      </c>
      <c r="C175" s="840"/>
      <c r="D175" s="393">
        <f t="shared" si="50"/>
        <v>57.86733805974071</v>
      </c>
      <c r="E175" s="385">
        <f t="shared" si="75"/>
        <v>62.836372883969936</v>
      </c>
      <c r="F175" s="385">
        <f t="shared" si="51"/>
        <v>62.838451398795506</v>
      </c>
      <c r="G175" s="110">
        <f t="shared" si="76"/>
        <v>0.97858682242674155</v>
      </c>
      <c r="H175" s="414" t="b">
        <f>Wh_hp&gt;='2025'!Maxi_hp</f>
        <v>0</v>
      </c>
      <c r="I175" s="390">
        <f>IF(H175,Wh_hp,'2025'!Maxi_hp)</f>
        <v>62.838496647956177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6.4608265402710585E-2</v>
      </c>
      <c r="M175" s="844"/>
      <c r="N175" s="844"/>
      <c r="O175" s="48">
        <f>IF(t&lt;Tnet,'2025'!Resal+('2025'!Salim-'2025'!Resal)*(1-EXP(('2025'!Tnet-t)/('2025'!Tau_j))),Resal+(Salim-Resal)*(1-EXP((Tnet-t)/(Tau_j))))*Salcycl</f>
        <v>7.907895691886549E-2</v>
      </c>
      <c r="P175" s="169">
        <f>(INDEX(Models!$BJ175:$BT175,,T175)*(1-R175)+INDEX(Models!$BJ175:$BT175,,T175+1)*R175-ERP_i)*Q175*Ramure*Pc/MaxiM</f>
        <v>3.4120832394828939E-5</v>
      </c>
      <c r="Q175" s="305">
        <f t="shared" si="53"/>
        <v>0.7</v>
      </c>
      <c r="R175" s="177">
        <f t="shared" si="54"/>
        <v>0.9790872425900039</v>
      </c>
      <c r="S175" s="810">
        <f t="shared" si="55"/>
        <v>-2</v>
      </c>
      <c r="T175" s="176">
        <f t="shared" si="56"/>
        <v>4</v>
      </c>
      <c r="U175" s="251">
        <f t="shared" si="57"/>
        <v>-1.0209127574099961</v>
      </c>
      <c r="V175" s="383">
        <f t="shared" si="58"/>
        <v>55.313000325571139</v>
      </c>
      <c r="W175" s="402">
        <f t="shared" si="59"/>
        <v>54.12862972422861</v>
      </c>
      <c r="X175" s="157">
        <f t="shared" si="60"/>
        <v>46183</v>
      </c>
      <c r="Y175" s="385">
        <f t="shared" si="61"/>
        <v>50.623556605636075</v>
      </c>
      <c r="Z175" s="385">
        <f t="shared" si="62"/>
        <v>54.120166699389145</v>
      </c>
      <c r="AA175" s="386">
        <f t="shared" si="63"/>
        <v>62.819331694441402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0.138479107631481</v>
      </c>
      <c r="AD175" s="231">
        <f>(INDEX(Models!$BJ175:$BT175,,AH175)*(1-AF175)+INDEX(Models!$BJ175:$BT175,,AH175+1)*AF175-ERP_i)*AE175*Ramure*Pc/MaxiM</f>
        <v>3.1386845052975567E-4</v>
      </c>
      <c r="AE175" s="305">
        <f t="shared" si="65"/>
        <v>0.7</v>
      </c>
      <c r="AF175" s="177">
        <f t="shared" si="66"/>
        <v>0.79907729568918784</v>
      </c>
      <c r="AG175" s="810">
        <f t="shared" si="74"/>
        <v>1</v>
      </c>
      <c r="AH175" s="176">
        <f t="shared" si="67"/>
        <v>7</v>
      </c>
      <c r="AI175" s="225">
        <f t="shared" si="68"/>
        <v>1.7990772956891878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52.073203084126035</v>
      </c>
      <c r="C176" s="840"/>
      <c r="D176" s="393">
        <f t="shared" si="50"/>
        <v>55.671236986348525</v>
      </c>
      <c r="E176" s="385">
        <f t="shared" si="75"/>
        <v>60.462441729365757</v>
      </c>
      <c r="F176" s="385">
        <f t="shared" si="51"/>
        <v>60.464371486900525</v>
      </c>
      <c r="G176" s="110">
        <f t="shared" si="76"/>
        <v>0.94181263998833931</v>
      </c>
      <c r="H176" s="414" t="b">
        <f>Wh_hp&gt;='2025'!Maxi_hp</f>
        <v>0</v>
      </c>
      <c r="I176" s="390">
        <f>IF(H176,Wh_hp,'2025'!Maxi_hp)</f>
        <v>60.464491335230008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6.4630033334894033E-2</v>
      </c>
      <c r="M176" s="844"/>
      <c r="N176" s="844"/>
      <c r="O176" s="48">
        <f>IF(t&lt;Tnet,'2025'!Resal+('2025'!Salim-'2025'!Resal)*(1-EXP(('2025'!Tnet-t)/('2025'!Tau_j))),Resal+(Salim-Resal)*(1-EXP((Tnet-t)/(Tau_j))))*Salcycl</f>
        <v>7.9242660500927292E-2</v>
      </c>
      <c r="P176" s="169">
        <f>(INDEX(Models!$BJ176:$BT176,,T176)*(1-R176)+INDEX(Models!$BJ176:$BT176,,T176+1)*R176-ERP_i)*Q176*Ramure*Pc/MaxiM</f>
        <v>3.480896678692618E-5</v>
      </c>
      <c r="Q176" s="305">
        <f t="shared" si="53"/>
        <v>0.7</v>
      </c>
      <c r="R176" s="177">
        <f t="shared" si="54"/>
        <v>0.98320333563881301</v>
      </c>
      <c r="S176" s="810">
        <f t="shared" si="55"/>
        <v>-2</v>
      </c>
      <c r="T176" s="176">
        <f t="shared" si="56"/>
        <v>4</v>
      </c>
      <c r="U176" s="251">
        <f t="shared" si="57"/>
        <v>-1.016796664361187</v>
      </c>
      <c r="V176" s="383">
        <f t="shared" si="58"/>
        <v>55.290245853792378</v>
      </c>
      <c r="W176" s="402">
        <f t="shared" si="59"/>
        <v>52.073203084126035</v>
      </c>
      <c r="X176" s="157">
        <f t="shared" si="60"/>
        <v>46184</v>
      </c>
      <c r="Y176" s="385">
        <f t="shared" si="61"/>
        <v>48.703016063690526</v>
      </c>
      <c r="Z176" s="385">
        <f t="shared" si="62"/>
        <v>52.06818456800832</v>
      </c>
      <c r="AA176" s="386">
        <f t="shared" si="63"/>
        <v>60.44683952337806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0.13861196088058939</v>
      </c>
      <c r="AD176" s="231">
        <f>(INDEX(Models!$BJ176:$BT176,,AH176)*(1-AF176)+INDEX(Models!$BJ176:$BT176,,AH176+1)*AF176-ERP_i)*AE176*Ramure*Pc/MaxiM</f>
        <v>3.1624156142282336E-4</v>
      </c>
      <c r="AE176" s="305">
        <f t="shared" si="65"/>
        <v>0.7</v>
      </c>
      <c r="AF176" s="177">
        <f t="shared" si="66"/>
        <v>0.80319338873799695</v>
      </c>
      <c r="AG176" s="810">
        <f t="shared" si="74"/>
        <v>1</v>
      </c>
      <c r="AH176" s="176">
        <f t="shared" si="67"/>
        <v>7</v>
      </c>
      <c r="AI176" s="225">
        <f t="shared" si="68"/>
        <v>1.8031933887379969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40.504351991675897</v>
      </c>
      <c r="C177" s="840"/>
      <c r="D177" s="393">
        <f t="shared" si="50"/>
        <v>43.304035892311411</v>
      </c>
      <c r="E177" s="385">
        <f t="shared" si="75"/>
        <v>47.03919806302607</v>
      </c>
      <c r="F177" s="385">
        <f t="shared" si="51"/>
        <v>47.040230515215491</v>
      </c>
      <c r="G177" s="110">
        <f t="shared" si="76"/>
        <v>0.73289713184957983</v>
      </c>
      <c r="H177" s="414" t="b">
        <f>Wh_hp&gt;='2025'!Maxi_hp</f>
        <v>0</v>
      </c>
      <c r="I177" s="390">
        <f>IF(H177,Wh_hp,'2025'!Maxi_hp)</f>
        <v>55.539743241792053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6.4651800760505918E-2</v>
      </c>
      <c r="M177" s="844"/>
      <c r="N177" s="844"/>
      <c r="O177" s="48">
        <f>IF(t&lt;Tnet,'2025'!Resal+('2025'!Salim-'2025'!Resal)*(1-EXP(('2025'!Tnet-t)/('2025'!Tau_j))),Resal+(Salim-Resal)*(1-EXP((Tnet-t)/(Tau_j))))*Salcycl</f>
        <v>7.9405311410922719E-2</v>
      </c>
      <c r="P177" s="169">
        <f>(INDEX(Models!$BJ177:$BT177,,T177)*(1-R177)+INDEX(Models!$BJ177:$BT177,,T177+1)*R177-ERP_i)*Q177*Ramure*Pc/MaxiM</f>
        <v>3.5489827059852033E-5</v>
      </c>
      <c r="Q177" s="305">
        <f t="shared" si="53"/>
        <v>0.7</v>
      </c>
      <c r="R177" s="177">
        <f t="shared" si="54"/>
        <v>0.98731595535425787</v>
      </c>
      <c r="S177" s="810">
        <f t="shared" si="55"/>
        <v>-2</v>
      </c>
      <c r="T177" s="176">
        <f t="shared" si="56"/>
        <v>4</v>
      </c>
      <c r="U177" s="251">
        <f t="shared" si="57"/>
        <v>-1.0126840446457421</v>
      </c>
      <c r="V177" s="383">
        <f t="shared" si="58"/>
        <v>55.265332238187831</v>
      </c>
      <c r="W177" s="402">
        <f t="shared" si="59"/>
        <v>40.504351991675897</v>
      </c>
      <c r="X177" s="157">
        <f t="shared" si="60"/>
        <v>46185</v>
      </c>
      <c r="Y177" s="385">
        <f t="shared" si="61"/>
        <v>37.886974000932398</v>
      </c>
      <c r="Z177" s="385">
        <f t="shared" si="62"/>
        <v>40.505743242716726</v>
      </c>
      <c r="AA177" s="386">
        <f t="shared" si="63"/>
        <v>47.030957833524369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0.13874296615231541</v>
      </c>
      <c r="AD177" s="231">
        <f>(INDEX(Models!$BJ177:$BT177,,AH177)*(1-AF177)+INDEX(Models!$BJ177:$BT177,,AH177+1)*AF177-ERP_i)*AE177*Ramure*Pc/MaxiM</f>
        <v>3.1874199403288806E-4</v>
      </c>
      <c r="AE177" s="305">
        <f t="shared" si="65"/>
        <v>0.7</v>
      </c>
      <c r="AF177" s="177">
        <f t="shared" si="66"/>
        <v>0.8073060084534418</v>
      </c>
      <c r="AG177" s="810">
        <f t="shared" si="74"/>
        <v>1</v>
      </c>
      <c r="AH177" s="176">
        <f t="shared" si="67"/>
        <v>7</v>
      </c>
      <c r="AI177" s="225">
        <f t="shared" si="68"/>
        <v>1.8073060084534418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51.315558412207231</v>
      </c>
      <c r="C178" s="840"/>
      <c r="D178" s="393">
        <f t="shared" si="50"/>
        <v>54.863795824628809</v>
      </c>
      <c r="E178" s="385">
        <f t="shared" si="75"/>
        <v>59.606497793670464</v>
      </c>
      <c r="F178" s="385">
        <f t="shared" si="51"/>
        <v>59.608433730958353</v>
      </c>
      <c r="G178" s="110">
        <f t="shared" si="76"/>
        <v>0.9289949641898787</v>
      </c>
      <c r="H178" s="414" t="b">
        <f>Wh_hp&gt;='2025'!Maxi_hp</f>
        <v>0</v>
      </c>
      <c r="I178" s="390">
        <f>IF(H178,Wh_hp,'2025'!Maxi_hp)</f>
        <v>65.896682461422955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6.4673567679557897E-2</v>
      </c>
      <c r="M178" s="844"/>
      <c r="N178" s="844"/>
      <c r="O178" s="48">
        <f>IF(t&lt;Tnet,'2025'!Resal+('2025'!Salim-'2025'!Resal)*(1-EXP(('2025'!Tnet-t)/('2025'!Tau_j))),Resal+(Salim-Resal)*(1-EXP((Tnet-t)/(Tau_j))))*Salcycl</f>
        <v>7.9566861744816031E-2</v>
      </c>
      <c r="P178" s="169">
        <f>(INDEX(Models!$BJ178:$BT178,,T178)*(1-R178)+INDEX(Models!$BJ178:$BT178,,T178+1)*R178-ERP_i)*Q178*Ramure*Pc/MaxiM</f>
        <v>3.6143657174959839E-5</v>
      </c>
      <c r="Q178" s="305">
        <f t="shared" si="53"/>
        <v>0.7</v>
      </c>
      <c r="R178" s="177">
        <f t="shared" si="54"/>
        <v>0.99142164011687095</v>
      </c>
      <c r="S178" s="810">
        <f t="shared" si="55"/>
        <v>-2</v>
      </c>
      <c r="T178" s="176">
        <f t="shared" si="56"/>
        <v>4</v>
      </c>
      <c r="U178" s="251">
        <f t="shared" si="57"/>
        <v>-1.008578359883129</v>
      </c>
      <c r="V178" s="383">
        <f t="shared" si="58"/>
        <v>55.237511781041121</v>
      </c>
      <c r="W178" s="402">
        <f t="shared" si="59"/>
        <v>51.315558412207231</v>
      </c>
      <c r="X178" s="157">
        <f t="shared" si="60"/>
        <v>46186</v>
      </c>
      <c r="Y178" s="385">
        <f t="shared" si="61"/>
        <v>47.996902954260328</v>
      </c>
      <c r="Z178" s="385">
        <f t="shared" si="62"/>
        <v>51.31567043944785</v>
      </c>
      <c r="AA178" s="386">
        <f t="shared" si="63"/>
        <v>59.591225908748648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0.13887204606216802</v>
      </c>
      <c r="AD178" s="231">
        <f>(INDEX(Models!$BJ178:$BT178,,AH178)*(1-AF178)+INDEX(Models!$BJ178:$BT178,,AH178+1)*AF178-ERP_i)*AE178*Ramure*Pc/MaxiM</f>
        <v>3.2126744526612537E-4</v>
      </c>
      <c r="AE178" s="305">
        <f t="shared" si="65"/>
        <v>0.7</v>
      </c>
      <c r="AF178" s="177">
        <f t="shared" si="66"/>
        <v>0.81141169321605489</v>
      </c>
      <c r="AG178" s="810">
        <f t="shared" si="74"/>
        <v>1</v>
      </c>
      <c r="AH178" s="176">
        <f t="shared" si="67"/>
        <v>7</v>
      </c>
      <c r="AI178" s="225">
        <f t="shared" si="68"/>
        <v>1.8114116932160549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44.357870143781263</v>
      </c>
      <c r="C179" s="840"/>
      <c r="D179" s="393">
        <f t="shared" si="50"/>
        <v>47.426118740379948</v>
      </c>
      <c r="E179" s="385">
        <f t="shared" si="75"/>
        <v>51.534851596601499</v>
      </c>
      <c r="F179" s="385">
        <f t="shared" si="51"/>
        <v>51.536214997959981</v>
      </c>
      <c r="G179" s="110">
        <f t="shared" si="76"/>
        <v>0.80347612776722066</v>
      </c>
      <c r="H179" s="414" t="b">
        <f>Wh_hp&gt;='2025'!Maxi_hp</f>
        <v>0</v>
      </c>
      <c r="I179" s="390">
        <f>IF(H179,Wh_hp,'2025'!Maxi_hp)</f>
        <v>55.28412997128946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6.4695334092062073E-2</v>
      </c>
      <c r="M179" s="844"/>
      <c r="N179" s="844"/>
      <c r="O179" s="48">
        <f>IF(t&lt;Tnet,'2025'!Resal+('2025'!Salim-'2025'!Resal)*(1-EXP(('2025'!Tnet-t)/('2025'!Tau_j))),Resal+(Salim-Resal)*(1-EXP((Tnet-t)/(Tau_j))))*Salcycl</f>
        <v>7.9727266673501038E-2</v>
      </c>
      <c r="P179" s="169">
        <f>(INDEX(Models!$BJ179:$BT179,,T179)*(1-R179)+INDEX(Models!$BJ179:$BT179,,T179+1)*R179-ERP_i)*Q179*Ramure*Pc/MaxiM</f>
        <v>3.6780972087412563E-5</v>
      </c>
      <c r="Q179" s="305">
        <f t="shared" si="53"/>
        <v>0.7</v>
      </c>
      <c r="R179" s="177">
        <f t="shared" si="54"/>
        <v>0.99551695165113174</v>
      </c>
      <c r="S179" s="810">
        <f t="shared" si="55"/>
        <v>-2</v>
      </c>
      <c r="T179" s="176">
        <f t="shared" si="56"/>
        <v>4</v>
      </c>
      <c r="U179" s="251">
        <f t="shared" si="57"/>
        <v>-1.0044830483488683</v>
      </c>
      <c r="V179" s="383">
        <f t="shared" si="58"/>
        <v>55.206882407430349</v>
      </c>
      <c r="W179" s="402">
        <f t="shared" si="59"/>
        <v>44.357870143781263</v>
      </c>
      <c r="X179" s="157">
        <f t="shared" si="60"/>
        <v>46187</v>
      </c>
      <c r="Y179" s="385">
        <f t="shared" si="61"/>
        <v>41.492352580464924</v>
      </c>
      <c r="Z179" s="385">
        <f t="shared" si="62"/>
        <v>44.362392376377834</v>
      </c>
      <c r="AA179" s="386">
        <f t="shared" si="63"/>
        <v>51.524213117097204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0.13899912890358865</v>
      </c>
      <c r="AD179" s="231">
        <f>(INDEX(Models!$BJ179:$BT179,,AH179)*(1-AF179)+INDEX(Models!$BJ179:$BT179,,AH179+1)*AF179-ERP_i)*AE179*Ramure*Pc/MaxiM</f>
        <v>3.2377908549392114E-4</v>
      </c>
      <c r="AE179" s="305">
        <f t="shared" si="65"/>
        <v>0.7</v>
      </c>
      <c r="AF179" s="177">
        <f t="shared" si="66"/>
        <v>0.81550700475031568</v>
      </c>
      <c r="AG179" s="810">
        <f t="shared" si="74"/>
        <v>1</v>
      </c>
      <c r="AH179" s="176">
        <f t="shared" si="67"/>
        <v>7</v>
      </c>
      <c r="AI179" s="225">
        <f t="shared" si="68"/>
        <v>1.8155070047503157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51.430264926015631</v>
      </c>
      <c r="C180" s="840"/>
      <c r="D180" s="393">
        <f t="shared" si="50"/>
        <v>54.988993090654489</v>
      </c>
      <c r="E180" s="385">
        <f t="shared" si="75"/>
        <v>59.76327069541513</v>
      </c>
      <c r="F180" s="385">
        <f t="shared" si="51"/>
        <v>59.765289315113357</v>
      </c>
      <c r="G180" s="110">
        <f t="shared" si="76"/>
        <v>0.93215110475034313</v>
      </c>
      <c r="H180" s="414" t="b">
        <f>Wh_hp&gt;='2025'!Maxi_hp</f>
        <v>0</v>
      </c>
      <c r="I180" s="390">
        <f>IF(H180,Wh_hp,'2025'!Maxi_hp)</f>
        <v>59.765433679156097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6.4717099998029881E-2</v>
      </c>
      <c r="M180" s="844"/>
      <c r="N180" s="844"/>
      <c r="O180" s="48">
        <f>IF(t&lt;Tnet,'2025'!Resal+('2025'!Salim-'2025'!Resal)*(1-EXP(('2025'!Tnet-t)/('2025'!Tau_j))),Resal+(Salim-Resal)*(1-EXP((Tnet-t)/(Tau_j))))*Salcycl</f>
        <v>7.9886484611808681E-2</v>
      </c>
      <c r="P180" s="169">
        <f>(INDEX(Models!$BJ180:$BT180,,T180)*(1-R180)+INDEX(Models!$BJ180:$BT180,,T180+1)*R180-ERP_i)*Q180*Ramure*Pc/MaxiM</f>
        <v>3.7400748857756168E-5</v>
      </c>
      <c r="Q180" s="305">
        <f t="shared" si="53"/>
        <v>0.7</v>
      </c>
      <c r="R180" s="177">
        <f t="shared" si="54"/>
        <v>0.99959848648884386</v>
      </c>
      <c r="S180" s="810">
        <f t="shared" si="55"/>
        <v>-2</v>
      </c>
      <c r="T180" s="176">
        <f t="shared" si="56"/>
        <v>4</v>
      </c>
      <c r="U180" s="251">
        <f t="shared" si="57"/>
        <v>-1.0004015135111561</v>
      </c>
      <c r="V180" s="383">
        <f t="shared" si="58"/>
        <v>55.173542384802857</v>
      </c>
      <c r="W180" s="402">
        <f t="shared" si="59"/>
        <v>51.430264926015631</v>
      </c>
      <c r="X180" s="157">
        <f t="shared" si="60"/>
        <v>46188</v>
      </c>
      <c r="Y180" s="385">
        <f t="shared" si="61"/>
        <v>48.10658861377285</v>
      </c>
      <c r="Z180" s="385">
        <f t="shared" si="62"/>
        <v>51.43533428620529</v>
      </c>
      <c r="AA180" s="386">
        <f t="shared" si="63"/>
        <v>59.747679321080412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0.13912414890970215</v>
      </c>
      <c r="AD180" s="231">
        <f>(INDEX(Models!$BJ180:$BT180,,AH180)*(1-AF180)+INDEX(Models!$BJ180:$BT180,,AH180+1)*AF180-ERP_i)*AE180*Ramure*Pc/MaxiM</f>
        <v>3.2627590268298587E-4</v>
      </c>
      <c r="AE180" s="305">
        <f t="shared" si="65"/>
        <v>0.7</v>
      </c>
      <c r="AF180" s="177">
        <f t="shared" si="66"/>
        <v>0.8195885395880278</v>
      </c>
      <c r="AG180" s="810">
        <f t="shared" si="74"/>
        <v>1</v>
      </c>
      <c r="AH180" s="176">
        <f t="shared" si="67"/>
        <v>7</v>
      </c>
      <c r="AI180" s="225">
        <f t="shared" si="68"/>
        <v>1.8195885395880278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48.992184554926922</v>
      </c>
      <c r="C181" s="840"/>
      <c r="D181" s="393">
        <f t="shared" si="50"/>
        <v>52.383428266532142</v>
      </c>
      <c r="E181" s="385">
        <f t="shared" si="75"/>
        <v>56.941261808844231</v>
      </c>
      <c r="F181" s="385">
        <f t="shared" si="51"/>
        <v>56.943084128741113</v>
      </c>
      <c r="G181" s="110">
        <f t="shared" si="76"/>
        <v>0.88853885172789082</v>
      </c>
      <c r="H181" s="414" t="b">
        <f>Wh_hp&gt;='2025'!Maxi_hp</f>
        <v>0</v>
      </c>
      <c r="I181" s="390">
        <f>IF(H181,Wh_hp,'2025'!Maxi_hp)</f>
        <v>65.565674070131692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6.4738865397473311E-2</v>
      </c>
      <c r="M181" s="844"/>
      <c r="N181" s="844"/>
      <c r="O181" s="48">
        <f>IF(t&lt;Tnet,'2025'!Resal+('2025'!Salim-'2025'!Resal)*(1-EXP(('2025'!Tnet-t)/('2025'!Tau_j))),Resal+(Salim-Resal)*(1-EXP((Tnet-t)/(Tau_j))))*Salcycl</f>
        <v>8.0044477370611336E-2</v>
      </c>
      <c r="P181" s="169">
        <f>(INDEX(Models!$BJ181:$BT181,,T181)*(1-R181)+INDEX(Models!$BJ181:$BT181,,T181+1)*R181-ERP_i)*Q181*Ramure*Pc/MaxiM</f>
        <v>3.8062960134724556E-5</v>
      </c>
      <c r="Q181" s="305">
        <f t="shared" si="53"/>
        <v>0.7</v>
      </c>
      <c r="R181" s="177">
        <f t="shared" si="54"/>
        <v>3.6628871850612477E-3</v>
      </c>
      <c r="S181" s="810">
        <f t="shared" si="55"/>
        <v>-1</v>
      </c>
      <c r="T181" s="176">
        <f t="shared" si="56"/>
        <v>5</v>
      </c>
      <c r="U181" s="251">
        <f t="shared" si="57"/>
        <v>-0.99633711281493875</v>
      </c>
      <c r="V181" s="383">
        <f t="shared" si="58"/>
        <v>55.137586312606878</v>
      </c>
      <c r="W181" s="402">
        <f t="shared" si="59"/>
        <v>48.992184554926922</v>
      </c>
      <c r="X181" s="157">
        <f t="shared" si="60"/>
        <v>46189</v>
      </c>
      <c r="Y181" s="385">
        <f t="shared" si="61"/>
        <v>45.828150840301518</v>
      </c>
      <c r="Z181" s="385">
        <f t="shared" si="62"/>
        <v>49.000379834855281</v>
      </c>
      <c r="AA181" s="386">
        <f t="shared" si="63"/>
        <v>56.927344407830361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0.13924704648412736</v>
      </c>
      <c r="AD181" s="231">
        <f>(INDEX(Models!$BJ181:$BT181,,AH181)*(1-AF181)+INDEX(Models!$BJ181:$BT181,,AH181+1)*AF181-ERP_i)*AE181*Ramure*Pc/MaxiM</f>
        <v>3.2875697103589685E-4</v>
      </c>
      <c r="AE181" s="305">
        <f t="shared" si="65"/>
        <v>0.7</v>
      </c>
      <c r="AF181" s="177">
        <f t="shared" si="66"/>
        <v>0.82365294028424518</v>
      </c>
      <c r="AG181" s="810">
        <f t="shared" si="74"/>
        <v>1</v>
      </c>
      <c r="AH181" s="176">
        <f t="shared" si="67"/>
        <v>7</v>
      </c>
      <c r="AI181" s="225">
        <f t="shared" si="68"/>
        <v>1.8236529402842452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49.536334667808674</v>
      </c>
      <c r="C182" s="840"/>
      <c r="D182" s="393">
        <f t="shared" si="50"/>
        <v>52.966477109694765</v>
      </c>
      <c r="E182" s="385">
        <f t="shared" si="75"/>
        <v>57.584851928805634</v>
      </c>
      <c r="F182" s="385">
        <f t="shared" si="51"/>
        <v>57.586759762922775</v>
      </c>
      <c r="G182" s="110">
        <f t="shared" si="76"/>
        <v>0.89903546112383514</v>
      </c>
      <c r="H182" s="414" t="b">
        <f>Wh_hp&gt;='2025'!Maxi_hp</f>
        <v>0</v>
      </c>
      <c r="I182" s="390">
        <f>IF(H182,Wh_hp,'2025'!Maxi_hp)</f>
        <v>63.498775239752014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6.476063029040402E-2</v>
      </c>
      <c r="M182" s="844"/>
      <c r="N182" s="844"/>
      <c r="O182" s="48">
        <f>IF(t&lt;Tnet,'2025'!Resal+('2025'!Salim-'2025'!Resal)*(1-EXP(('2025'!Tnet-t)/('2025'!Tau_j))),Resal+(Salim-Resal)*(1-EXP((Tnet-t)/(Tau_j))))*Salcycl</f>
        <v>8.020121029087203E-2</v>
      </c>
      <c r="P182" s="169">
        <f>(INDEX(Models!$BJ182:$BT182,,T182)*(1-R182)+INDEX(Models!$BJ182:$BT182,,T182+1)*R182-ERP_i)*Q182*Ramure*Pc/MaxiM</f>
        <v>3.8713268227442739E-5</v>
      </c>
      <c r="Q182" s="305">
        <f t="shared" si="53"/>
        <v>0.7</v>
      </c>
      <c r="R182" s="177">
        <f t="shared" si="54"/>
        <v>7.7068532087891661E-3</v>
      </c>
      <c r="S182" s="810">
        <f t="shared" si="55"/>
        <v>-1</v>
      </c>
      <c r="T182" s="176">
        <f t="shared" si="56"/>
        <v>5</v>
      </c>
      <c r="U182" s="251">
        <f t="shared" si="57"/>
        <v>-0.99229314679121083</v>
      </c>
      <c r="V182" s="383">
        <f t="shared" si="58"/>
        <v>55.099114787947457</v>
      </c>
      <c r="W182" s="402">
        <f t="shared" si="59"/>
        <v>49.536334667808674</v>
      </c>
      <c r="X182" s="157">
        <f t="shared" si="60"/>
        <v>46190</v>
      </c>
      <c r="Y182" s="385">
        <f t="shared" si="61"/>
        <v>46.338280257455025</v>
      </c>
      <c r="Z182" s="385">
        <f t="shared" si="62"/>
        <v>49.546973489625081</v>
      </c>
      <c r="AA182" s="386">
        <f t="shared" si="63"/>
        <v>57.570436790939233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0.13936776839909143</v>
      </c>
      <c r="AD182" s="231">
        <f>(INDEX(Models!$BJ182:$BT182,,AH182)*(1-AF182)+INDEX(Models!$BJ182:$BT182,,AH182+1)*AF182-ERP_i)*AE182*Ramure*Pc/MaxiM</f>
        <v>3.3122145525677301E-4</v>
      </c>
      <c r="AE182" s="305">
        <f t="shared" si="65"/>
        <v>0.7</v>
      </c>
      <c r="AF182" s="177">
        <f t="shared" si="66"/>
        <v>0.8276969063079731</v>
      </c>
      <c r="AG182" s="810">
        <f t="shared" si="74"/>
        <v>1</v>
      </c>
      <c r="AH182" s="176">
        <f t="shared" si="67"/>
        <v>7</v>
      </c>
      <c r="AI182" s="225">
        <f t="shared" si="68"/>
        <v>1.8276969063079731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51.73758839660092</v>
      </c>
      <c r="C183" s="840"/>
      <c r="D183" s="393">
        <f t="shared" si="50"/>
        <v>55.321444017002769</v>
      </c>
      <c r="E183" s="385">
        <f t="shared" si="75"/>
        <v>60.155324516711872</v>
      </c>
      <c r="F183" s="385">
        <f t="shared" si="51"/>
        <v>60.157487430774324</v>
      </c>
      <c r="G183" s="110">
        <f t="shared" si="76"/>
        <v>0.93968544263906051</v>
      </c>
      <c r="H183" s="414" t="b">
        <f>Wh_hp&gt;='2025'!Maxi_hp</f>
        <v>0</v>
      </c>
      <c r="I183" s="390">
        <f>IF(H183,Wh_hp,'2025'!Maxi_hp)</f>
        <v>60.833252001548445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6.4782394676833999E-2</v>
      </c>
      <c r="M183" s="844"/>
      <c r="N183" s="844"/>
      <c r="O183" s="48">
        <f>IF(t&lt;Tnet,'2025'!Resal+('2025'!Salim-'2025'!Resal)*(1-EXP(('2025'!Tnet-t)/('2025'!Tau_j))),Resal+(Salim-Resal)*(1-EXP((Tnet-t)/(Tau_j))))*Salcycl</f>
        <v>8.0356652358615333E-2</v>
      </c>
      <c r="P183" s="169">
        <f>(INDEX(Models!$BJ183:$BT183,,T183)*(1-R183)+INDEX(Models!$BJ183:$BT183,,T183+1)*R183-ERP_i)*Q183*Ramure*Pc/MaxiM</f>
        <v>3.9344042907247018E-5</v>
      </c>
      <c r="Q183" s="305">
        <f t="shared" si="53"/>
        <v>0.7</v>
      </c>
      <c r="R183" s="177">
        <f t="shared" si="54"/>
        <v>1.1727151434606675E-2</v>
      </c>
      <c r="S183" s="810">
        <f t="shared" si="55"/>
        <v>-1</v>
      </c>
      <c r="T183" s="176">
        <f t="shared" si="56"/>
        <v>5</v>
      </c>
      <c r="U183" s="251">
        <f t="shared" si="57"/>
        <v>-0.98827284856539332</v>
      </c>
      <c r="V183" s="383">
        <f t="shared" si="58"/>
        <v>55.058225508380609</v>
      </c>
      <c r="W183" s="402">
        <f t="shared" si="59"/>
        <v>51.73758839660092</v>
      </c>
      <c r="X183" s="157">
        <f t="shared" si="60"/>
        <v>46191</v>
      </c>
      <c r="Y183" s="385">
        <f t="shared" si="61"/>
        <v>48.398034258911458</v>
      </c>
      <c r="Z183" s="385">
        <f t="shared" si="62"/>
        <v>51.750559424282265</v>
      </c>
      <c r="AA183" s="386">
        <f t="shared" si="63"/>
        <v>60.139144208144209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0.13948626795932911</v>
      </c>
      <c r="AD183" s="231">
        <f>(INDEX(Models!$BJ183:$BT183,,AH183)*(1-AF183)+INDEX(Models!$BJ183:$BT183,,AH183+1)*AF183-ERP_i)*AE183*Ramure*Pc/MaxiM</f>
        <v>3.3366861436904258E-4</v>
      </c>
      <c r="AE183" s="305">
        <f t="shared" si="65"/>
        <v>0.7</v>
      </c>
      <c r="AF183" s="177">
        <f t="shared" si="66"/>
        <v>0.83171720453379061</v>
      </c>
      <c r="AG183" s="810">
        <f t="shared" si="74"/>
        <v>1</v>
      </c>
      <c r="AH183" s="176">
        <f t="shared" si="67"/>
        <v>7</v>
      </c>
      <c r="AI183" s="225">
        <f t="shared" si="68"/>
        <v>1.8317172045337906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53.019717975267952</v>
      </c>
      <c r="C184" s="840"/>
      <c r="D184" s="393">
        <f t="shared" si="50"/>
        <v>56.693705880306496</v>
      </c>
      <c r="E184" s="385">
        <f t="shared" si="75"/>
        <v>61.657825256688319</v>
      </c>
      <c r="F184" s="385">
        <f t="shared" si="51"/>
        <v>61.660159976583984</v>
      </c>
      <c r="G184" s="110">
        <f t="shared" si="76"/>
        <v>0.96372975074325939</v>
      </c>
      <c r="H184" s="414" t="b">
        <f>Wh_hp&gt;='2025'!Maxi_hp</f>
        <v>0</v>
      </c>
      <c r="I184" s="390">
        <f>IF(H184,Wh_hp,'2025'!Maxi_hp)</f>
        <v>61.660243067382268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6.4804158556774905E-2</v>
      </c>
      <c r="M184" s="844"/>
      <c r="N184" s="844"/>
      <c r="O184" s="48">
        <f>IF(t&lt;Tnet,'2025'!Resal+('2025'!Salim-'2025'!Resal)*(1-EXP(('2025'!Tnet-t)/('2025'!Tau_j))),Resal+(Salim-Resal)*(1-EXP((Tnet-t)/(Tau_j))))*Salcycl</f>
        <v>8.051077629993672E-2</v>
      </c>
      <c r="P184" s="169">
        <f>(INDEX(Models!$BJ184:$BT184,,T184)*(1-R184)+INDEX(Models!$BJ184:$BT184,,T184+1)*R184-ERP_i)*Q184*Ramure*Pc/MaxiM</f>
        <v>3.9933335566040191E-5</v>
      </c>
      <c r="Q184" s="305">
        <f t="shared" si="53"/>
        <v>0.7</v>
      </c>
      <c r="R184" s="177">
        <f t="shared" si="54"/>
        <v>1.5720626166136675E-2</v>
      </c>
      <c r="S184" s="810">
        <f t="shared" si="55"/>
        <v>-1</v>
      </c>
      <c r="T184" s="176">
        <f t="shared" si="56"/>
        <v>5</v>
      </c>
      <c r="U184" s="251">
        <f t="shared" si="57"/>
        <v>-0.98427937383386332</v>
      </c>
      <c r="V184" s="383">
        <f t="shared" si="58"/>
        <v>55.015016638728426</v>
      </c>
      <c r="W184" s="402">
        <f t="shared" si="59"/>
        <v>53.019717975267952</v>
      </c>
      <c r="X184" s="157">
        <f t="shared" si="60"/>
        <v>46192</v>
      </c>
      <c r="Y184" s="385">
        <f t="shared" si="61"/>
        <v>49.598434847183718</v>
      </c>
      <c r="Z184" s="385">
        <f t="shared" si="62"/>
        <v>53.035345805902828</v>
      </c>
      <c r="AA184" s="386">
        <f t="shared" si="63"/>
        <v>61.640516298745204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0.13960250513050215</v>
      </c>
      <c r="AD184" s="231">
        <f>(INDEX(Models!$BJ184:$BT184,,AH184)*(1-AF184)+INDEX(Models!$BJ184:$BT184,,AH184+1)*AF184-ERP_i)*AE184*Ramure*Pc/MaxiM</f>
        <v>3.3598787603752946E-4</v>
      </c>
      <c r="AE184" s="305">
        <f t="shared" si="65"/>
        <v>0.7</v>
      </c>
      <c r="AF184" s="177">
        <f t="shared" si="66"/>
        <v>0.83571067926532061</v>
      </c>
      <c r="AG184" s="810">
        <f t="shared" si="74"/>
        <v>1</v>
      </c>
      <c r="AH184" s="176">
        <f t="shared" si="67"/>
        <v>7</v>
      </c>
      <c r="AI184" s="225">
        <f t="shared" si="68"/>
        <v>1.8357106792653206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31.301951645780324</v>
      </c>
      <c r="C185" s="840"/>
      <c r="D185" s="393">
        <f t="shared" si="50"/>
        <v>33.471791380690171</v>
      </c>
      <c r="E185" s="385">
        <f t="shared" si="75"/>
        <v>36.408642011113997</v>
      </c>
      <c r="F185" s="385">
        <f t="shared" si="51"/>
        <v>36.409209337381768</v>
      </c>
      <c r="G185" s="110">
        <f t="shared" si="76"/>
        <v>0.56942711775383903</v>
      </c>
      <c r="H185" s="414" t="b">
        <f>Wh_hp&gt;='2025'!Maxi_hp</f>
        <v>0</v>
      </c>
      <c r="I185" s="390">
        <f>IF(H185,Wh_hp,'2025'!Maxi_hp)</f>
        <v>56.819376844927362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6.4825921930238395E-2</v>
      </c>
      <c r="M185" s="844"/>
      <c r="N185" s="844"/>
      <c r="O185" s="48">
        <f>IF(t&lt;Tnet,'2025'!Resal+('2025'!Salim-'2025'!Resal)*(1-EXP(('2025'!Tnet-t)/('2025'!Tau_j))),Resal+(Salim-Resal)*(1-EXP((Tnet-t)/(Tau_j))))*Salcycl</f>
        <v>8.0663558655314188E-2</v>
      </c>
      <c r="P185" s="169">
        <f>(INDEX(Models!$BJ185:$BT185,,T185)*(1-R185)+INDEX(Models!$BJ185:$BT185,,T185+1)*R185-ERP_i)*Q185*Ramure*Pc/MaxiM</f>
        <v>4.04814000746835E-5</v>
      </c>
      <c r="Q185" s="305">
        <f t="shared" si="53"/>
        <v>0.7</v>
      </c>
      <c r="R185" s="177">
        <f t="shared" si="54"/>
        <v>1.9684208627802513E-2</v>
      </c>
      <c r="S185" s="810">
        <f t="shared" si="55"/>
        <v>-1</v>
      </c>
      <c r="T185" s="176">
        <f t="shared" si="56"/>
        <v>5</v>
      </c>
      <c r="U185" s="251">
        <f t="shared" si="57"/>
        <v>-0.98031579137219749</v>
      </c>
      <c r="V185" s="383">
        <f t="shared" si="58"/>
        <v>54.969584791714617</v>
      </c>
      <c r="W185" s="402">
        <f t="shared" si="59"/>
        <v>31.301951645780324</v>
      </c>
      <c r="X185" s="157">
        <f t="shared" si="60"/>
        <v>46193</v>
      </c>
      <c r="Y185" s="385">
        <f t="shared" si="61"/>
        <v>29.287938904504486</v>
      </c>
      <c r="Z185" s="385">
        <f t="shared" si="62"/>
        <v>31.318168019537087</v>
      </c>
      <c r="AA185" s="386">
        <f t="shared" si="63"/>
        <v>36.404471405846856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0.13971644663113739</v>
      </c>
      <c r="AD185" s="231">
        <f>(INDEX(Models!$BJ185:$BT185,,AH185)*(1-AF185)+INDEX(Models!$BJ185:$BT185,,AH185+1)*AF185-ERP_i)*AE185*Ramure*Pc/MaxiM</f>
        <v>3.3807372034098542E-4</v>
      </c>
      <c r="AE185" s="305">
        <f t="shared" si="65"/>
        <v>0.7</v>
      </c>
      <c r="AF185" s="177">
        <f t="shared" si="66"/>
        <v>0.83967426172698656</v>
      </c>
      <c r="AG185" s="810">
        <f t="shared" si="74"/>
        <v>1</v>
      </c>
      <c r="AH185" s="176">
        <f t="shared" si="67"/>
        <v>7</v>
      </c>
      <c r="AI185" s="225">
        <f t="shared" si="68"/>
        <v>1.8396742617269866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21.88014243190953</v>
      </c>
      <c r="C186" s="840"/>
      <c r="D186" s="393">
        <f t="shared" si="50"/>
        <v>23.397410321510446</v>
      </c>
      <c r="E186" s="385">
        <f t="shared" si="75"/>
        <v>25.454516564304424</v>
      </c>
      <c r="F186" s="385">
        <f t="shared" si="51"/>
        <v>25.454663199909159</v>
      </c>
      <c r="G186" s="110">
        <f t="shared" si="76"/>
        <v>0.39837153014244309</v>
      </c>
      <c r="H186" s="414" t="b">
        <f>Wh_hp&gt;='2025'!Maxi_hp</f>
        <v>0</v>
      </c>
      <c r="I186" s="390">
        <f>IF(H186,Wh_hp,'2025'!Maxi_hp)</f>
        <v>51.722405668054598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6.484768479723646E-2</v>
      </c>
      <c r="M186" s="844"/>
      <c r="N186" s="844"/>
      <c r="O186" s="48">
        <f>IF(t&lt;Tnet,'2025'!Resal+('2025'!Salim-'2025'!Resal)*(1-EXP(('2025'!Tnet-t)/('2025'!Tau_j))),Resal+(Salim-Resal)*(1-EXP((Tnet-t)/(Tau_j))))*Salcycl</f>
        <v>8.0814979832644476E-2</v>
      </c>
      <c r="P186" s="169">
        <f>(INDEX(Models!$BJ186:$BT186,,T186)*(1-R186)+INDEX(Models!$BJ186:$BT186,,T186+1)*R186-ERP_i)*Q186*Ramure*Pc/MaxiM</f>
        <v>4.0986302555466876E-5</v>
      </c>
      <c r="Q186" s="305">
        <f t="shared" si="53"/>
        <v>0.7</v>
      </c>
      <c r="R186" s="177">
        <f t="shared" si="54"/>
        <v>2.3614925867503911E-2</v>
      </c>
      <c r="S186" s="810">
        <f t="shared" si="55"/>
        <v>-1</v>
      </c>
      <c r="T186" s="176">
        <f t="shared" si="56"/>
        <v>5</v>
      </c>
      <c r="U186" s="251">
        <f t="shared" si="57"/>
        <v>-0.97638507413249609</v>
      </c>
      <c r="V186" s="383">
        <f t="shared" si="58"/>
        <v>54.922026374531065</v>
      </c>
      <c r="W186" s="402">
        <f t="shared" si="59"/>
        <v>21.88014243190953</v>
      </c>
      <c r="X186" s="157">
        <f t="shared" si="60"/>
        <v>46194</v>
      </c>
      <c r="Y186" s="385">
        <f t="shared" si="61"/>
        <v>20.474543478968005</v>
      </c>
      <c r="Z186" s="385">
        <f t="shared" si="62"/>
        <v>21.894340789316907</v>
      </c>
      <c r="AA186" s="386">
        <f t="shared" si="63"/>
        <v>25.45344706514831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0.13982806598736283</v>
      </c>
      <c r="AD186" s="231">
        <f>(INDEX(Models!$BJ186:$BT186,,AH186)*(1-AF186)+INDEX(Models!$BJ186:$BT186,,AH186+1)*AF186-ERP_i)*AE186*Ramure*Pc/MaxiM</f>
        <v>3.3992335862608505E-4</v>
      </c>
      <c r="AE186" s="305">
        <f t="shared" si="65"/>
        <v>0.7</v>
      </c>
      <c r="AF186" s="177">
        <f t="shared" si="66"/>
        <v>0.84360497896668774</v>
      </c>
      <c r="AG186" s="810">
        <f t="shared" si="74"/>
        <v>1</v>
      </c>
      <c r="AH186" s="176">
        <f t="shared" si="67"/>
        <v>7</v>
      </c>
      <c r="AI186" s="225">
        <f t="shared" si="68"/>
        <v>1.8436049789666877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41.156689366939354</v>
      </c>
      <c r="C187" s="840"/>
      <c r="D187" s="393">
        <f t="shared" si="50"/>
        <v>44.011704292890919</v>
      </c>
      <c r="E187" s="385">
        <f t="shared" si="75"/>
        <v>47.889041710995429</v>
      </c>
      <c r="F187" s="385">
        <f t="shared" si="51"/>
        <v>47.890317820167034</v>
      </c>
      <c r="G187" s="110">
        <f t="shared" si="76"/>
        <v>0.75003193131607859</v>
      </c>
      <c r="H187" s="414" t="b">
        <f>Wh_hp&gt;='2025'!Maxi_hp</f>
        <v>0</v>
      </c>
      <c r="I187" s="390">
        <f>IF(H187,Wh_hp,'2025'!Maxi_hp)</f>
        <v>65.775267938024328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6.4869447157780868E-2</v>
      </c>
      <c r="M187" s="844"/>
      <c r="N187" s="844"/>
      <c r="O187" s="48">
        <f>IF(t&lt;Tnet,'2025'!Resal+('2025'!Salim-'2025'!Resal)*(1-EXP(('2025'!Tnet-t)/('2025'!Tau_j))),Resal+(Salim-Resal)*(1-EXP((Tnet-t)/(Tau_j))))*Salcycl</f>
        <v>8.0965024138586278E-2</v>
      </c>
      <c r="P187" s="169">
        <f>(INDEX(Models!$BJ187:$BT187,,T187)*(1-R187)+INDEX(Models!$BJ187:$BT187,,T187+1)*R187-ERP_i)*Q187*Ramure*Pc/MaxiM</f>
        <v>4.1446141838419051E-5</v>
      </c>
      <c r="Q187" s="305">
        <f t="shared" si="53"/>
        <v>0.7</v>
      </c>
      <c r="R187" s="177">
        <f t="shared" si="54"/>
        <v>2.7509909019573953E-2</v>
      </c>
      <c r="S187" s="810">
        <f t="shared" si="55"/>
        <v>-1</v>
      </c>
      <c r="T187" s="176">
        <f t="shared" si="56"/>
        <v>5</v>
      </c>
      <c r="U187" s="251">
        <f t="shared" si="57"/>
        <v>-0.97249009098042605</v>
      </c>
      <c r="V187" s="383">
        <f t="shared" si="58"/>
        <v>54.872437462860447</v>
      </c>
      <c r="W187" s="402">
        <f t="shared" si="59"/>
        <v>41.156689366939354</v>
      </c>
      <c r="X187" s="157">
        <f t="shared" si="60"/>
        <v>46195</v>
      </c>
      <c r="Y187" s="385">
        <f t="shared" si="61"/>
        <v>38.508329988203585</v>
      </c>
      <c r="Z187" s="385">
        <f t="shared" si="62"/>
        <v>41.179629808011356</v>
      </c>
      <c r="AA187" s="386">
        <f t="shared" si="63"/>
        <v>47.879802127422643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0.1399373435500027</v>
      </c>
      <c r="AD187" s="231">
        <f>(INDEX(Models!$BJ187:$BT187,,AH187)*(1-AF187)+INDEX(Models!$BJ187:$BT187,,AH187+1)*AF187-ERP_i)*AE187*Ramure*Pc/MaxiM</f>
        <v>3.4153417490577086E-4</v>
      </c>
      <c r="AE187" s="305">
        <f t="shared" si="65"/>
        <v>0.7</v>
      </c>
      <c r="AF187" s="177">
        <f t="shared" si="66"/>
        <v>0.847499962118758</v>
      </c>
      <c r="AG187" s="810">
        <f t="shared" si="74"/>
        <v>1</v>
      </c>
      <c r="AH187" s="176">
        <f t="shared" si="67"/>
        <v>7</v>
      </c>
      <c r="AI187" s="225">
        <f t="shared" si="68"/>
        <v>1.847499962118758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39.151873065460819</v>
      </c>
      <c r="C188" s="840"/>
      <c r="D188" s="393">
        <f t="shared" si="50"/>
        <v>41.868789431537238</v>
      </c>
      <c r="E188" s="385">
        <f t="shared" si="75"/>
        <v>45.564710792381589</v>
      </c>
      <c r="F188" s="385">
        <f t="shared" si="51"/>
        <v>45.565839322107173</v>
      </c>
      <c r="G188" s="110">
        <f t="shared" si="76"/>
        <v>0.71416547346738024</v>
      </c>
      <c r="H188" s="414" t="b">
        <f>Wh_hp&gt;='2025'!Maxi_hp</f>
        <v>0</v>
      </c>
      <c r="I188" s="390">
        <f>IF(H188,Wh_hp,'2025'!Maxi_hp)</f>
        <v>56.866605968442144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6.4891209011883388E-2</v>
      </c>
      <c r="M188" s="844"/>
      <c r="N188" s="844"/>
      <c r="O188" s="48">
        <f>IF(t&lt;Tnet,'2025'!Resal+('2025'!Salim-'2025'!Resal)*(1-EXP(('2025'!Tnet-t)/('2025'!Tau_j))),Resal+(Salim-Resal)*(1-EXP((Tnet-t)/(Tau_j))))*Salcycl</f>
        <v>8.111367978796237E-2</v>
      </c>
      <c r="P188" s="169">
        <f>(INDEX(Models!$BJ188:$BT188,,T188)*(1-R188)+INDEX(Models!$BJ188:$BT188,,T188+1)*R188-ERP_i)*Q188*Ramure*Pc/MaxiM</f>
        <v>4.1858626830242576E-5</v>
      </c>
      <c r="Q188" s="305">
        <f t="shared" si="53"/>
        <v>0.7</v>
      </c>
      <c r="R188" s="177">
        <f t="shared" si="54"/>
        <v>3.136640088455156E-2</v>
      </c>
      <c r="S188" s="810">
        <f t="shared" si="55"/>
        <v>-1</v>
      </c>
      <c r="T188" s="176">
        <f t="shared" si="56"/>
        <v>5</v>
      </c>
      <c r="U188" s="251">
        <f t="shared" si="57"/>
        <v>-0.96863359911544844</v>
      </c>
      <c r="V188" s="383">
        <f t="shared" si="58"/>
        <v>54.820913828414334</v>
      </c>
      <c r="W188" s="402">
        <f t="shared" si="59"/>
        <v>39.151873065460819</v>
      </c>
      <c r="X188" s="157">
        <f t="shared" si="60"/>
        <v>46196</v>
      </c>
      <c r="Y188" s="385">
        <f t="shared" si="61"/>
        <v>36.634434202909468</v>
      </c>
      <c r="Z188" s="385">
        <f t="shared" si="62"/>
        <v>39.176654690839086</v>
      </c>
      <c r="AA188" s="386">
        <f t="shared" si="63"/>
        <v>45.55659455888658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0.14004426647388585</v>
      </c>
      <c r="AD188" s="231">
        <f>(INDEX(Models!$BJ188:$BT188,,AH188)*(1-AF188)+INDEX(Models!$BJ188:$BT188,,AH188+1)*AF188-ERP_i)*AE188*Ramure*Pc/MaxiM</f>
        <v>3.4290022230860641E-4</v>
      </c>
      <c r="AE188" s="305">
        <f t="shared" si="65"/>
        <v>0.7</v>
      </c>
      <c r="AF188" s="177">
        <f t="shared" si="66"/>
        <v>0.85135645398373549</v>
      </c>
      <c r="AG188" s="810">
        <f t="shared" si="74"/>
        <v>1</v>
      </c>
      <c r="AH188" s="176">
        <f t="shared" si="67"/>
        <v>7</v>
      </c>
      <c r="AI188" s="225">
        <f t="shared" si="68"/>
        <v>1.8513564539837355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37.737068465778776</v>
      </c>
      <c r="C189" s="840"/>
      <c r="D189" s="393">
        <f t="shared" si="50"/>
        <v>40.356744634014731</v>
      </c>
      <c r="E189" s="385">
        <f t="shared" si="75"/>
        <v>43.926231443024562</v>
      </c>
      <c r="F189" s="385">
        <f t="shared" si="51"/>
        <v>43.927262219357914</v>
      </c>
      <c r="G189" s="110">
        <f t="shared" si="76"/>
        <v>0.68902771844334554</v>
      </c>
      <c r="H189" s="414" t="b">
        <f>Wh_hp&gt;='2025'!Maxi_hp</f>
        <v>0</v>
      </c>
      <c r="I189" s="390">
        <f>IF(H189,Wh_hp,'2025'!Maxi_hp)</f>
        <v>64.123502417734827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6.4912970359555677E-2</v>
      </c>
      <c r="M189" s="844"/>
      <c r="N189" s="844"/>
      <c r="O189" s="48">
        <f>IF(t&lt;Tnet,'2025'!Resal+('2025'!Salim-'2025'!Resal)*(1-EXP(('2025'!Tnet-t)/('2025'!Tau_j))),Resal+(Salim-Resal)*(1-EXP((Tnet-t)/(Tau_j))))*Salcycl</f>
        <v>8.1260938891143164E-2</v>
      </c>
      <c r="P189" s="169">
        <f>(INDEX(Models!$BJ189:$BT189,,T189)*(1-R189)+INDEX(Models!$BJ189:$BT189,,T189+1)*R189-ERP_i)*Q189*Ramure*Pc/MaxiM</f>
        <v>4.2221471806800911E-5</v>
      </c>
      <c r="Q189" s="305">
        <f t="shared" si="53"/>
        <v>0.7</v>
      </c>
      <c r="R189" s="177">
        <f t="shared" si="54"/>
        <v>3.5181762789785465E-2</v>
      </c>
      <c r="S189" s="810">
        <f t="shared" si="55"/>
        <v>-1</v>
      </c>
      <c r="T189" s="176">
        <f t="shared" si="56"/>
        <v>5</v>
      </c>
      <c r="U189" s="251">
        <f t="shared" si="57"/>
        <v>-0.96481823721021454</v>
      </c>
      <c r="V189" s="383">
        <f t="shared" si="58"/>
        <v>54.767550919474751</v>
      </c>
      <c r="W189" s="402">
        <f t="shared" si="59"/>
        <v>37.737068465778776</v>
      </c>
      <c r="X189" s="157">
        <f t="shared" si="60"/>
        <v>46197</v>
      </c>
      <c r="Y189" s="385">
        <f t="shared" si="61"/>
        <v>35.312333241909663</v>
      </c>
      <c r="Z189" s="385">
        <f t="shared" si="62"/>
        <v>37.763686290769975</v>
      </c>
      <c r="AA189" s="386">
        <f t="shared" si="63"/>
        <v>43.918863577166981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0.14014882865951539</v>
      </c>
      <c r="AD189" s="231">
        <f>(INDEX(Models!$BJ189:$BT189,,AH189)*(1-AF189)+INDEX(Models!$BJ189:$BT189,,AH189+1)*AF189-ERP_i)*AE189*Ramure*Pc/MaxiM</f>
        <v>3.4401549880993566E-4</v>
      </c>
      <c r="AE189" s="305">
        <f t="shared" si="65"/>
        <v>0.7</v>
      </c>
      <c r="AF189" s="177">
        <f t="shared" si="66"/>
        <v>0.8551718158889694</v>
      </c>
      <c r="AG189" s="810">
        <f t="shared" si="74"/>
        <v>1</v>
      </c>
      <c r="AH189" s="176">
        <f t="shared" si="67"/>
        <v>7</v>
      </c>
      <c r="AI189" s="225">
        <f t="shared" si="68"/>
        <v>1.8551718158889694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31.079404865657917</v>
      </c>
      <c r="C190" s="840"/>
      <c r="D190" s="393">
        <f t="shared" si="50"/>
        <v>33.237685007347189</v>
      </c>
      <c r="E190" s="385">
        <f t="shared" si="75"/>
        <v>36.183247289416606</v>
      </c>
      <c r="F190" s="385">
        <f t="shared" si="51"/>
        <v>36.18383661720776</v>
      </c>
      <c r="G190" s="110">
        <f t="shared" si="76"/>
        <v>0.56803511173342813</v>
      </c>
      <c r="H190" s="414" t="b">
        <f>Wh_hp&gt;='2025'!Maxi_hp</f>
        <v>0</v>
      </c>
      <c r="I190" s="390">
        <f>IF(H190,Wh_hp,'2025'!Maxi_hp)</f>
        <v>60.228576007833119</v>
      </c>
      <c r="J190" s="85">
        <f>IF(H190,An,'2025'!An_max)</f>
        <v>2019</v>
      </c>
      <c r="K190" s="197">
        <f t="shared" si="52"/>
        <v>46198</v>
      </c>
      <c r="L190" s="147">
        <f>IF(t&lt;Tvie,1-EXP((T0-t)*PertePVj)+'2025'!Pspv,1-EXP((T0-t)*PertePVj)+Pspv)</f>
        <v>6.4934731200809614E-2</v>
      </c>
      <c r="M190" s="844"/>
      <c r="N190" s="844"/>
      <c r="O190" s="48">
        <f>IF(t&lt;Tnet,'2025'!Resal+('2025'!Salim-'2025'!Resal)*(1-EXP(('2025'!Tnet-t)/('2025'!Tau_j))),Resal+(Salim-Resal)*(1-EXP((Tnet-t)/(Tau_j))))*Salcycl</f>
        <v>8.1406797419505739E-2</v>
      </c>
      <c r="P190" s="169">
        <f>(INDEX(Models!$BJ190:$BT190,,T190)*(1-R190)+INDEX(Models!$BJ190:$BT190,,T190+1)*R190-ERP_i)*Q190*Ramure*Pc/MaxiM</f>
        <v>4.2532851775001076E-5</v>
      </c>
      <c r="Q190" s="305">
        <f t="shared" si="53"/>
        <v>0.7</v>
      </c>
      <c r="R190" s="177">
        <f t="shared" si="54"/>
        <v>3.8953480702566212E-2</v>
      </c>
      <c r="S190" s="810">
        <f t="shared" si="55"/>
        <v>-1</v>
      </c>
      <c r="T190" s="176">
        <f t="shared" si="56"/>
        <v>5</v>
      </c>
      <c r="U190" s="251">
        <f t="shared" si="57"/>
        <v>-0.96104651929743379</v>
      </c>
      <c r="V190" s="383">
        <f t="shared" si="58"/>
        <v>54.712443837302729</v>
      </c>
      <c r="W190" s="402">
        <f t="shared" si="59"/>
        <v>31.079404865657917</v>
      </c>
      <c r="X190" s="157">
        <f t="shared" si="60"/>
        <v>46198</v>
      </c>
      <c r="Y190" s="385">
        <f t="shared" si="61"/>
        <v>29.085119041372526</v>
      </c>
      <c r="Z190" s="385">
        <f t="shared" si="62"/>
        <v>31.104907873140874</v>
      </c>
      <c r="AA190" s="386">
        <f t="shared" si="63"/>
        <v>36.179058053340924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0.1402510306575403</v>
      </c>
      <c r="AD190" s="231">
        <f>(INDEX(Models!$BJ190:$BT190,,AH190)*(1-AF190)+INDEX(Models!$BJ190:$BT190,,AH190+1)*AF190-ERP_i)*AE190*Ramure*Pc/MaxiM</f>
        <v>3.4487759053009851E-4</v>
      </c>
      <c r="AE190" s="305">
        <f t="shared" si="65"/>
        <v>0.7</v>
      </c>
      <c r="AF190" s="177">
        <f t="shared" si="66"/>
        <v>0.85894353380175015</v>
      </c>
      <c r="AG190" s="810">
        <f t="shared" si="74"/>
        <v>1</v>
      </c>
      <c r="AH190" s="176">
        <f t="shared" si="67"/>
        <v>7</v>
      </c>
      <c r="AI190" s="225">
        <f t="shared" si="68"/>
        <v>1.8589435338017501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11.741619587997096</v>
      </c>
      <c r="C191" s="840"/>
      <c r="D191" s="393">
        <f t="shared" si="50"/>
        <v>12.557297582099466</v>
      </c>
      <c r="E191" s="385">
        <f t="shared" si="75"/>
        <v>13.672289991685794</v>
      </c>
      <c r="F191" s="385">
        <f t="shared" si="51"/>
        <v>13.672289991685794</v>
      </c>
      <c r="G191" s="110">
        <f t="shared" si="76"/>
        <v>0.21481900130863532</v>
      </c>
      <c r="H191" s="414" t="b">
        <f>Wh_hp&gt;='2025'!Maxi_hp</f>
        <v>0</v>
      </c>
      <c r="I191" s="390">
        <f>IF(H191,Wh_hp,'2025'!Maxi_hp)</f>
        <v>61.391181124623479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6.4956491535656968E-2</v>
      </c>
      <c r="M191" s="844"/>
      <c r="N191" s="844"/>
      <c r="O191" s="48">
        <f>IF(t&lt;Tnet,'2025'!Resal+('2025'!Salim-'2025'!Resal)*(1-EXP(('2025'!Tnet-t)/('2025'!Tau_j))),Resal+(Salim-Resal)*(1-EXP((Tnet-t)/(Tau_j))))*Salcycl</f>
        <v>8.1551255149237029E-2</v>
      </c>
      <c r="P191" s="169">
        <f>(INDEX(Models!$BJ191:$BT191,,T191)*(1-R191)+INDEX(Models!$BJ191:$BT191,,T191+1)*R191-ERP_i)*Q191*Ramure*Pc/MaxiM</f>
        <v>4.2790864480399397E-5</v>
      </c>
      <c r="Q191" s="305">
        <f t="shared" si="53"/>
        <v>0.7</v>
      </c>
      <c r="R191" s="177">
        <f t="shared" si="54"/>
        <v>4.2679170575231962E-2</v>
      </c>
      <c r="S191" s="810">
        <f t="shared" si="55"/>
        <v>-1</v>
      </c>
      <c r="T191" s="176">
        <f t="shared" si="56"/>
        <v>5</v>
      </c>
      <c r="U191" s="251">
        <f t="shared" si="57"/>
        <v>-0.95732082942476804</v>
      </c>
      <c r="V191" s="383">
        <f t="shared" si="58"/>
        <v>54.655859502278368</v>
      </c>
      <c r="W191" s="402">
        <f t="shared" si="59"/>
        <v>11.741619587997096</v>
      </c>
      <c r="X191" s="157">
        <f t="shared" si="60"/>
        <v>46199</v>
      </c>
      <c r="Y191" s="385">
        <f t="shared" si="61"/>
        <v>10.989914252945832</v>
      </c>
      <c r="Z191" s="385">
        <f t="shared" si="62"/>
        <v>11.753372066071</v>
      </c>
      <c r="AA191" s="386">
        <f t="shared" si="63"/>
        <v>13.672289991685794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0.1403508795367637</v>
      </c>
      <c r="AD191" s="231">
        <f>(INDEX(Models!$BJ191:$BT191,,AH191)*(1-AF191)+INDEX(Models!$BJ191:$BT191,,AH191+1)*AF191-ERP_i)*AE191*Ramure*Pc/MaxiM</f>
        <v>3.4548320053894672E-4</v>
      </c>
      <c r="AE191" s="305">
        <f t="shared" si="65"/>
        <v>0.7</v>
      </c>
      <c r="AF191" s="177">
        <f t="shared" si="66"/>
        <v>0.86266922367441579</v>
      </c>
      <c r="AG191" s="810">
        <f t="shared" si="74"/>
        <v>1</v>
      </c>
      <c r="AH191" s="176">
        <f t="shared" si="67"/>
        <v>7</v>
      </c>
      <c r="AI191" s="225">
        <f t="shared" si="68"/>
        <v>1.8626692236744158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13.667337998480708</v>
      </c>
      <c r="C192" s="840"/>
      <c r="D192" s="393">
        <f t="shared" si="50"/>
        <v>14.617133792256791</v>
      </c>
      <c r="E192" s="385">
        <f t="shared" si="75"/>
        <v>15.917503332837729</v>
      </c>
      <c r="F192" s="385">
        <f t="shared" si="51"/>
        <v>15.917503332837729</v>
      </c>
      <c r="G192" s="110">
        <f t="shared" si="76"/>
        <v>0.2503165182633178</v>
      </c>
      <c r="H192" s="414" t="b">
        <f>Wh_hp&gt;='2025'!Maxi_hp</f>
        <v>0</v>
      </c>
      <c r="I192" s="390">
        <f>IF(H192,Wh_hp,'2025'!Maxi_hp)</f>
        <v>61.300290769717577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6.4978251364109618E-2</v>
      </c>
      <c r="M192" s="844"/>
      <c r="N192" s="844"/>
      <c r="O192" s="48">
        <f>IF(t&lt;Tnet,'2025'!Resal+('2025'!Salim-'2025'!Resal)*(1-EXP(('2025'!Tnet-t)/('2025'!Tau_j))),Resal+(Salim-Resal)*(1-EXP((Tnet-t)/(Tau_j))))*Salcycl</f>
        <v>8.1694315583919583E-2</v>
      </c>
      <c r="P192" s="169">
        <f>(INDEX(Models!$BJ192:$BT192,,T192)*(1-R192)+INDEX(Models!$BJ192:$BT192,,T192+1)*R192-ERP_i)*Q192*Ramure*Pc/MaxiM</f>
        <v>4.2992235567685636E-5</v>
      </c>
      <c r="Q192" s="305">
        <f t="shared" si="53"/>
        <v>0.7</v>
      </c>
      <c r="R192" s="177">
        <f t="shared" si="54"/>
        <v>4.6356582909405697E-2</v>
      </c>
      <c r="S192" s="810">
        <f t="shared" si="55"/>
        <v>-1</v>
      </c>
      <c r="T192" s="176">
        <f t="shared" si="56"/>
        <v>5</v>
      </c>
      <c r="U192" s="251">
        <f t="shared" si="57"/>
        <v>-0.9536434170905943</v>
      </c>
      <c r="V192" s="383">
        <f t="shared" si="58"/>
        <v>54.597876735762604</v>
      </c>
      <c r="W192" s="402">
        <f t="shared" si="59"/>
        <v>13.667337998480708</v>
      </c>
      <c r="X192" s="157">
        <f t="shared" si="60"/>
        <v>46200</v>
      </c>
      <c r="Y192" s="385">
        <f t="shared" si="61"/>
        <v>12.792888683921728</v>
      </c>
      <c r="Z192" s="385">
        <f t="shared" si="62"/>
        <v>13.68191563734786</v>
      </c>
      <c r="AA192" s="386">
        <f t="shared" si="63"/>
        <v>15.917503332837729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0.14044838871670667</v>
      </c>
      <c r="AD192" s="231">
        <f>(INDEX(Models!$BJ192:$BT192,,AH192)*(1-AF192)+INDEX(Models!$BJ192:$BT192,,AH192+1)*AF192-ERP_i)*AE192*Ramure*Pc/MaxiM</f>
        <v>3.4593764378098874E-4</v>
      </c>
      <c r="AE192" s="305">
        <f t="shared" si="65"/>
        <v>0.7</v>
      </c>
      <c r="AF192" s="177">
        <f t="shared" si="66"/>
        <v>0.86634663600858963</v>
      </c>
      <c r="AG192" s="810">
        <f t="shared" si="74"/>
        <v>1</v>
      </c>
      <c r="AH192" s="176">
        <f t="shared" si="67"/>
        <v>7</v>
      </c>
      <c r="AI192" s="225">
        <f t="shared" si="68"/>
        <v>1.8663466360085896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55.680652319935263</v>
      </c>
      <c r="C193" s="840"/>
      <c r="D193" s="393">
        <f t="shared" si="50"/>
        <v>59.551500488035586</v>
      </c>
      <c r="E193" s="385">
        <f t="shared" si="75"/>
        <v>64.859327495630566</v>
      </c>
      <c r="F193" s="385">
        <f t="shared" si="51"/>
        <v>64.862126876574465</v>
      </c>
      <c r="G193" s="110">
        <f t="shared" si="76"/>
        <v>1.0209457463470908</v>
      </c>
      <c r="H193" s="414" t="b">
        <f>Wh_hp&gt;='2025'!Maxi_hp</f>
        <v>1</v>
      </c>
      <c r="I193" s="390">
        <f>IF(H193,Wh_hp,'2025'!Maxi_hp)</f>
        <v>64.862126876574465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6.5000010686179222E-2</v>
      </c>
      <c r="M193" s="844"/>
      <c r="N193" s="844"/>
      <c r="O193" s="48">
        <f>IF(t&lt;Tnet,'2025'!Resal+('2025'!Salim-'2025'!Resal)*(1-EXP(('2025'!Tnet-t)/('2025'!Tau_j))),Resal+(Salim-Resal)*(1-EXP((Tnet-t)/(Tau_j))))*Salcycl</f>
        <v>8.1835985856506963E-2</v>
      </c>
      <c r="P193" s="169">
        <f>(INDEX(Models!$BJ193:$BT193,,T193)*(1-R193)+INDEX(Models!$BJ193:$BT193,,T193+1)*R193-ERP_i)*Q193*Ramure*Pc/MaxiM</f>
        <v>4.3158944652368464E-5</v>
      </c>
      <c r="Q193" s="305">
        <f t="shared" si="53"/>
        <v>0.7</v>
      </c>
      <c r="R193" s="177">
        <f t="shared" si="54"/>
        <v>4.9983606534069303E-2</v>
      </c>
      <c r="S193" s="810">
        <f t="shared" si="55"/>
        <v>-1</v>
      </c>
      <c r="T193" s="176">
        <f t="shared" si="56"/>
        <v>5</v>
      </c>
      <c r="U193" s="251">
        <f t="shared" si="57"/>
        <v>-0.9500163934659307</v>
      </c>
      <c r="V193" s="383">
        <f t="shared" si="58"/>
        <v>54.538306779923182</v>
      </c>
      <c r="W193" s="402">
        <f t="shared" si="59"/>
        <v>55.680652319935263</v>
      </c>
      <c r="X193" s="157">
        <f t="shared" si="60"/>
        <v>46201</v>
      </c>
      <c r="Y193" s="385">
        <f t="shared" si="61"/>
        <v>52.10461682957277</v>
      </c>
      <c r="Z193" s="385">
        <f t="shared" si="62"/>
        <v>55.726863556235315</v>
      </c>
      <c r="AA193" s="386">
        <f t="shared" si="63"/>
        <v>64.839661575144405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0.14054357776602555</v>
      </c>
      <c r="AD193" s="231">
        <f>(INDEX(Models!$BJ193:$BT193,,AH193)*(1-AF193)+INDEX(Models!$BJ193:$BT193,,AH193+1)*AF193-ERP_i)*AE193*Ramure*Pc/MaxiM</f>
        <v>3.4635468357079795E-4</v>
      </c>
      <c r="AE193" s="305">
        <f t="shared" si="65"/>
        <v>0.7</v>
      </c>
      <c r="AF193" s="177">
        <f t="shared" si="66"/>
        <v>0.86997365963325324</v>
      </c>
      <c r="AG193" s="810">
        <f t="shared" si="74"/>
        <v>1</v>
      </c>
      <c r="AH193" s="176">
        <f t="shared" si="67"/>
        <v>7</v>
      </c>
      <c r="AI193" s="225">
        <f t="shared" si="68"/>
        <v>1.8699736596332532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53.396343996939009</v>
      </c>
      <c r="C194" s="840"/>
      <c r="D194" s="393">
        <f t="shared" si="50"/>
        <v>57.109718980827374</v>
      </c>
      <c r="E194" s="385">
        <f t="shared" si="75"/>
        <v>62.209415209912308</v>
      </c>
      <c r="F194" s="385">
        <f t="shared" si="51"/>
        <v>62.212032083994607</v>
      </c>
      <c r="G194" s="110">
        <f t="shared" si="76"/>
        <v>0.98016255889885495</v>
      </c>
      <c r="H194" s="414" t="b">
        <f>Wh_hp&gt;='2025'!Maxi_hp</f>
        <v>0</v>
      </c>
      <c r="I194" s="390">
        <f>IF(H194,Wh_hp,'2025'!Maxi_hp)</f>
        <v>62.212079374304885</v>
      </c>
      <c r="J194" s="85">
        <f>IF(H194,An,'2025'!An_max)</f>
        <v>2025</v>
      </c>
      <c r="K194" s="197">
        <f t="shared" si="52"/>
        <v>46202</v>
      </c>
      <c r="L194" s="147">
        <f>IF(t&lt;Tvie,1-EXP((T0-t)*PertePVj)+'2025'!Pspv,1-EXP((T0-t)*PertePVj)+Pspv)</f>
        <v>6.5021769501877658E-2</v>
      </c>
      <c r="M194" s="844"/>
      <c r="N194" s="844"/>
      <c r="O194" s="48">
        <f>IF(t&lt;Tnet,'2025'!Resal+('2025'!Salim-'2025'!Resal)*(1-EXP(('2025'!Tnet-t)/('2025'!Tau_j))),Resal+(Salim-Resal)*(1-EXP((Tnet-t)/(Tau_j))))*Salcycl</f>
        <v>8.1976276611459856E-2</v>
      </c>
      <c r="P194" s="169">
        <f>(INDEX(Models!$BJ194:$BT194,,T194)*(1-R194)+INDEX(Models!$BJ194:$BT194,,T194+1)*R194-ERP_i)*Q194*Ramure*Pc/MaxiM</f>
        <v>4.3290538620456424E-5</v>
      </c>
      <c r="Q194" s="305">
        <f t="shared" si="53"/>
        <v>0.7</v>
      </c>
      <c r="R194" s="177">
        <f t="shared" si="54"/>
        <v>5.3558271599487117E-2</v>
      </c>
      <c r="S194" s="810">
        <f t="shared" si="55"/>
        <v>-1</v>
      </c>
      <c r="T194" s="176">
        <f t="shared" si="56"/>
        <v>5</v>
      </c>
      <c r="U194" s="251">
        <f t="shared" si="57"/>
        <v>-0.94644172840051288</v>
      </c>
      <c r="V194" s="383">
        <f t="shared" si="58"/>
        <v>54.476962015847683</v>
      </c>
      <c r="W194" s="402">
        <f t="shared" si="59"/>
        <v>53.396343996939009</v>
      </c>
      <c r="X194" s="157">
        <f t="shared" si="60"/>
        <v>46202</v>
      </c>
      <c r="Y194" s="385">
        <f t="shared" si="61"/>
        <v>49.96966767293236</v>
      </c>
      <c r="Z194" s="385">
        <f t="shared" si="62"/>
        <v>53.444739185328778</v>
      </c>
      <c r="AA194" s="386">
        <f t="shared" si="63"/>
        <v>62.191072176615002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0.14063647216834779</v>
      </c>
      <c r="AD194" s="231">
        <f>(INDEX(Models!$BJ194:$BT194,,AH194)*(1-AF194)+INDEX(Models!$BJ194:$BT194,,AH194+1)*AF194-ERP_i)*AE194*Ramure*Pc/MaxiM</f>
        <v>3.4673646929975921E-4</v>
      </c>
      <c r="AE194" s="305">
        <f t="shared" si="65"/>
        <v>0.7</v>
      </c>
      <c r="AF194" s="177">
        <f t="shared" si="66"/>
        <v>0.87354832469867105</v>
      </c>
      <c r="AG194" s="810">
        <f t="shared" si="74"/>
        <v>1</v>
      </c>
      <c r="AH194" s="176">
        <f t="shared" si="67"/>
        <v>7</v>
      </c>
      <c r="AI194" s="225">
        <f t="shared" si="68"/>
        <v>1.8735483246986711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13.501626905579254</v>
      </c>
      <c r="C195" s="840"/>
      <c r="D195" s="393">
        <f t="shared" si="50"/>
        <v>14.440914959357647</v>
      </c>
      <c r="E195" s="385">
        <f t="shared" si="75"/>
        <v>15.73281852880238</v>
      </c>
      <c r="F195" s="385">
        <f t="shared" si="51"/>
        <v>15.73281852880238</v>
      </c>
      <c r="G195" s="110">
        <f t="shared" si="76"/>
        <v>0.24811862354538497</v>
      </c>
      <c r="H195" s="414" t="b">
        <f>Wh_hp&gt;='2025'!Maxi_hp</f>
        <v>0</v>
      </c>
      <c r="I195" s="390">
        <f>IF(H195,Wh_hp,'2025'!Maxi_hp)</f>
        <v>56.806125451843101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6.5043527811216584E-2</v>
      </c>
      <c r="M195" s="844"/>
      <c r="N195" s="844"/>
      <c r="O195" s="48">
        <f>IF(t&lt;Tnet,'2025'!Resal+('2025'!Salim-'2025'!Resal)*(1-EXP(('2025'!Tnet-t)/('2025'!Tau_j))),Resal+(Salim-Resal)*(1-EXP((Tnet-t)/(Tau_j))))*Salcycl</f>
        <v>8.2115201867969112E-2</v>
      </c>
      <c r="P195" s="169">
        <f>(INDEX(Models!$BJ195:$BT195,,T195)*(1-R195)+INDEX(Models!$BJ195:$BT195,,T195+1)*R195-ERP_i)*Q195*Ramure*Pc/MaxiM</f>
        <v>4.3386612566006404E-5</v>
      </c>
      <c r="Q195" s="305">
        <f t="shared" si="53"/>
        <v>0.7</v>
      </c>
      <c r="R195" s="177">
        <f t="shared" si="54"/>
        <v>5.7078751795931693E-2</v>
      </c>
      <c r="S195" s="810">
        <f t="shared" si="55"/>
        <v>-1</v>
      </c>
      <c r="T195" s="176">
        <f t="shared" si="56"/>
        <v>5</v>
      </c>
      <c r="U195" s="251">
        <f t="shared" si="57"/>
        <v>-0.94292124820406831</v>
      </c>
      <c r="V195" s="383">
        <f t="shared" si="58"/>
        <v>54.413654738231003</v>
      </c>
      <c r="W195" s="402">
        <f t="shared" si="59"/>
        <v>13.501626905579254</v>
      </c>
      <c r="X195" s="157">
        <f t="shared" si="60"/>
        <v>46203</v>
      </c>
      <c r="Y195" s="385">
        <f t="shared" si="61"/>
        <v>12.639475115184524</v>
      </c>
      <c r="Z195" s="385">
        <f t="shared" si="62"/>
        <v>13.518784554317094</v>
      </c>
      <c r="AA195" s="386">
        <f t="shared" si="63"/>
        <v>15.73281852880238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0.14072710305734537</v>
      </c>
      <c r="AD195" s="231">
        <f>(INDEX(Models!$BJ195:$BT195,,AH195)*(1-AF195)+INDEX(Models!$BJ195:$BT195,,AH195+1)*AF195-ERP_i)*AE195*Ramure*Pc/MaxiM</f>
        <v>3.4708525374779569E-4</v>
      </c>
      <c r="AE195" s="305">
        <f t="shared" si="65"/>
        <v>0.7</v>
      </c>
      <c r="AF195" s="177">
        <f t="shared" si="66"/>
        <v>0.87706880489511563</v>
      </c>
      <c r="AG195" s="810">
        <f t="shared" si="74"/>
        <v>1</v>
      </c>
      <c r="AH195" s="176">
        <f t="shared" si="67"/>
        <v>7</v>
      </c>
      <c r="AI195" s="225">
        <f t="shared" si="68"/>
        <v>1.8770688048951156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50.280347739080113</v>
      </c>
      <c r="C196" s="840"/>
      <c r="D196" s="393">
        <f t="shared" si="50"/>
        <v>53.779528094763201</v>
      </c>
      <c r="E196" s="385">
        <f t="shared" si="75"/>
        <v>58.599499792843666</v>
      </c>
      <c r="F196" s="385">
        <f t="shared" si="51"/>
        <v>58.601773613875714</v>
      </c>
      <c r="G196" s="110">
        <f t="shared" si="76"/>
        <v>0.92514778357897298</v>
      </c>
      <c r="H196" s="414" t="b">
        <f>Wh_hp&gt;='2025'!Maxi_hp</f>
        <v>0</v>
      </c>
      <c r="I196" s="390">
        <f>IF(H196,Wh_hp,'2025'!Maxi_hp)</f>
        <v>61.555241119105759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6.5065285614207991E-2</v>
      </c>
      <c r="M196" s="844"/>
      <c r="N196" s="844"/>
      <c r="O196" s="48">
        <f>IF(t&lt;Tnet,'2025'!Resal+('2025'!Salim-'2025'!Resal)*(1-EXP(('2025'!Tnet-t)/('2025'!Tau_j))),Resal+(Salim-Resal)*(1-EXP((Tnet-t)/(Tau_j))))*Salcycl</f>
        <v>8.2252778865342699E-2</v>
      </c>
      <c r="P196" s="169">
        <f>(INDEX(Models!$BJ196:$BT196,,T196)*(1-R196)+INDEX(Models!$BJ196:$BT196,,T196+1)*R196-ERP_i)*Q196*Ramure*Pc/MaxiM</f>
        <v>4.3446808255570874E-5</v>
      </c>
      <c r="Q196" s="305">
        <f t="shared" si="53"/>
        <v>0.7</v>
      </c>
      <c r="R196" s="177">
        <f t="shared" si="54"/>
        <v>6.0543365812685934E-2</v>
      </c>
      <c r="S196" s="810">
        <f t="shared" si="55"/>
        <v>-1</v>
      </c>
      <c r="T196" s="176">
        <f t="shared" si="56"/>
        <v>5</v>
      </c>
      <c r="U196" s="251">
        <f t="shared" si="57"/>
        <v>-0.93945663418731407</v>
      </c>
      <c r="V196" s="383">
        <f t="shared" si="58"/>
        <v>54.348197165140512</v>
      </c>
      <c r="W196" s="402">
        <f t="shared" si="59"/>
        <v>50.280347739080113</v>
      </c>
      <c r="X196" s="157">
        <f t="shared" si="60"/>
        <v>46204</v>
      </c>
      <c r="Y196" s="385">
        <f t="shared" si="61"/>
        <v>47.059110304280836</v>
      </c>
      <c r="Z196" s="385">
        <f t="shared" si="62"/>
        <v>50.334113794455106</v>
      </c>
      <c r="AA196" s="386">
        <f t="shared" si="63"/>
        <v>58.583591999198497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0.14081550692310313</v>
      </c>
      <c r="AD196" s="231">
        <f>(INDEX(Models!$BJ196:$BT196,,AH196)*(1-AF196)+INDEX(Models!$BJ196:$BT196,,AH196+1)*AF196-ERP_i)*AE196*Ramure*Pc/MaxiM</f>
        <v>3.4740338642539812E-4</v>
      </c>
      <c r="AE196" s="305">
        <f t="shared" si="65"/>
        <v>0.7</v>
      </c>
      <c r="AF196" s="177">
        <f t="shared" si="66"/>
        <v>0.88053341891186987</v>
      </c>
      <c r="AG196" s="810">
        <f t="shared" si="74"/>
        <v>1</v>
      </c>
      <c r="AH196" s="176">
        <f t="shared" si="67"/>
        <v>7</v>
      </c>
      <c r="AI196" s="225">
        <f t="shared" si="68"/>
        <v>1.8805334189118699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52.791889547267324</v>
      </c>
      <c r="C197" s="840"/>
      <c r="D197" s="393">
        <f t="shared" si="50"/>
        <v>56.467170710346714</v>
      </c>
      <c r="E197" s="385">
        <f t="shared" si="75"/>
        <v>61.537157277677657</v>
      </c>
      <c r="F197" s="385">
        <f t="shared" si="51"/>
        <v>61.539727658835929</v>
      </c>
      <c r="G197" s="110">
        <f t="shared" si="76"/>
        <v>0.97257570381694325</v>
      </c>
      <c r="H197" s="414" t="b">
        <f>Wh_hp&gt;='2025'!Maxi_hp</f>
        <v>0</v>
      </c>
      <c r="I197" s="390">
        <f>IF(H197,Wh_hp,'2025'!Maxi_hp)</f>
        <v>61.53979177175794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6.5087042910863424E-2</v>
      </c>
      <c r="M197" s="844"/>
      <c r="N197" s="844"/>
      <c r="O197" s="48">
        <f>IF(t&lt;Tnet,'2025'!Resal+('2025'!Salim-'2025'!Resal)*(1-EXP(('2025'!Tnet-t)/('2025'!Tau_j))),Resal+(Salim-Resal)*(1-EXP((Tnet-t)/(Tau_j))))*Salcycl</f>
        <v>8.2389027891771896E-2</v>
      </c>
      <c r="P197" s="169">
        <f>(INDEX(Models!$BJ197:$BT197,,T197)*(1-R197)+INDEX(Models!$BJ197:$BT197,,T197+1)*R197-ERP_i)*Q197*Ramure*Pc/MaxiM</f>
        <v>4.347081222431917E-5</v>
      </c>
      <c r="Q197" s="305">
        <f t="shared" si="53"/>
        <v>0.7</v>
      </c>
      <c r="R197" s="177">
        <f t="shared" si="54"/>
        <v>6.3950578058814433E-2</v>
      </c>
      <c r="S197" s="810">
        <f t="shared" si="55"/>
        <v>-1</v>
      </c>
      <c r="T197" s="176">
        <f t="shared" si="56"/>
        <v>5</v>
      </c>
      <c r="U197" s="251">
        <f t="shared" si="57"/>
        <v>-0.93604942194118557</v>
      </c>
      <c r="V197" s="383">
        <f t="shared" si="58"/>
        <v>54.280401446297148</v>
      </c>
      <c r="W197" s="402">
        <f t="shared" si="59"/>
        <v>52.791889547267324</v>
      </c>
      <c r="X197" s="157">
        <f t="shared" si="60"/>
        <v>46205</v>
      </c>
      <c r="Y197" s="385">
        <f t="shared" si="61"/>
        <v>49.41109581635682</v>
      </c>
      <c r="Z197" s="385">
        <f t="shared" si="62"/>
        <v>52.851011895480511</v>
      </c>
      <c r="AA197" s="386">
        <f t="shared" si="63"/>
        <v>61.519168937276341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0.14090172529205816</v>
      </c>
      <c r="AD197" s="231">
        <f>(INDEX(Models!$BJ197:$BT197,,AH197)*(1-AF197)+INDEX(Models!$BJ197:$BT197,,AH197+1)*AF197-ERP_i)*AE197*Ramure*Pc/MaxiM</f>
        <v>3.4769330673506003E-4</v>
      </c>
      <c r="AE197" s="305">
        <f t="shared" si="65"/>
        <v>0.7</v>
      </c>
      <c r="AF197" s="177">
        <f t="shared" si="66"/>
        <v>0.88394063115799826</v>
      </c>
      <c r="AG197" s="810">
        <f t="shared" si="74"/>
        <v>1</v>
      </c>
      <c r="AH197" s="176">
        <f t="shared" si="67"/>
        <v>7</v>
      </c>
      <c r="AI197" s="225">
        <f t="shared" si="68"/>
        <v>1.8839406311579983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41.15164591705954</v>
      </c>
      <c r="C198" s="840"/>
      <c r="D198" s="393">
        <f t="shared" si="50"/>
        <v>44.017577557588368</v>
      </c>
      <c r="E198" s="385">
        <f t="shared" si="75"/>
        <v>47.976814890995193</v>
      </c>
      <c r="F198" s="385">
        <f t="shared" si="51"/>
        <v>47.978182016596747</v>
      </c>
      <c r="G198" s="110">
        <f t="shared" si="76"/>
        <v>0.75910292642451449</v>
      </c>
      <c r="H198" s="414" t="b">
        <f>Wh_hp&gt;='2025'!Maxi_hp</f>
        <v>0</v>
      </c>
      <c r="I198" s="390">
        <f>IF(H198,Wh_hp,'2025'!Maxi_hp)</f>
        <v>50.673839895815256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6.5108799701194764E-2</v>
      </c>
      <c r="M198" s="844"/>
      <c r="N198" s="844"/>
      <c r="O198" s="48">
        <f>IF(t&lt;Tnet,'2025'!Resal+('2025'!Salim-'2025'!Resal)*(1-EXP(('2025'!Tnet-t)/('2025'!Tau_j))),Resal+(Salim-Resal)*(1-EXP((Tnet-t)/(Tau_j))))*Salcycl</f>
        <v>8.2523972097821308E-2</v>
      </c>
      <c r="P198" s="169">
        <f>(INDEX(Models!$BJ198:$BT198,,T198)*(1-R198)+INDEX(Models!$BJ198:$BT198,,T198+1)*R198-ERP_i)*Q198*Ramure*Pc/MaxiM</f>
        <v>4.3445207062643563E-5</v>
      </c>
      <c r="Q198" s="305">
        <f t="shared" si="53"/>
        <v>0.7</v>
      </c>
      <c r="R198" s="177">
        <f t="shared" si="54"/>
        <v>6.7298998672651544E-2</v>
      </c>
      <c r="S198" s="810">
        <f t="shared" si="55"/>
        <v>-1</v>
      </c>
      <c r="T198" s="176">
        <f t="shared" si="56"/>
        <v>5</v>
      </c>
      <c r="U198" s="251">
        <f t="shared" si="57"/>
        <v>-0.93270100132734846</v>
      </c>
      <c r="V198" s="383">
        <f t="shared" si="58"/>
        <v>54.210080386383517</v>
      </c>
      <c r="W198" s="402">
        <f t="shared" si="59"/>
        <v>41.15164591705954</v>
      </c>
      <c r="X198" s="157">
        <f t="shared" si="60"/>
        <v>46206</v>
      </c>
      <c r="Y198" s="385">
        <f t="shared" si="61"/>
        <v>38.521754844628639</v>
      </c>
      <c r="Z198" s="385">
        <f t="shared" si="62"/>
        <v>41.204532497809915</v>
      </c>
      <c r="AA198" s="386">
        <f t="shared" si="63"/>
        <v>47.967231168064167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0.14098580438298788</v>
      </c>
      <c r="AD198" s="231">
        <f>(INDEX(Models!$BJ198:$BT198,,AH198)*(1-AF198)+INDEX(Models!$BJ198:$BT198,,AH198+1)*AF198-ERP_i)*AE198*Ramure*Pc/MaxiM</f>
        <v>3.480015892226318E-4</v>
      </c>
      <c r="AE198" s="305">
        <f t="shared" si="65"/>
        <v>0.7</v>
      </c>
      <c r="AF198" s="177">
        <f t="shared" si="66"/>
        <v>0.88728905177183548</v>
      </c>
      <c r="AG198" s="810">
        <f t="shared" si="74"/>
        <v>1</v>
      </c>
      <c r="AH198" s="176">
        <f t="shared" si="67"/>
        <v>7</v>
      </c>
      <c r="AI198" s="225">
        <f t="shared" si="68"/>
        <v>1.8872890517718355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40.874923110791592</v>
      </c>
      <c r="C199" s="840"/>
      <c r="D199" s="393">
        <f t="shared" si="50"/>
        <v>43.722600382845656</v>
      </c>
      <c r="E199" s="385">
        <f t="shared" si="75"/>
        <v>47.662249298039484</v>
      </c>
      <c r="F199" s="385">
        <f t="shared" si="51"/>
        <v>47.663593787271459</v>
      </c>
      <c r="G199" s="110">
        <f t="shared" si="76"/>
        <v>0.75501539803278417</v>
      </c>
      <c r="H199" s="414" t="b">
        <f>Wh_hp&gt;='2025'!Maxi_hp</f>
        <v>0</v>
      </c>
      <c r="I199" s="390">
        <f>IF(H199,Wh_hp,'2025'!Maxi_hp)</f>
        <v>59.251249385209874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6.5130555985213889E-2</v>
      </c>
      <c r="M199" s="844"/>
      <c r="N199" s="844"/>
      <c r="O199" s="48">
        <f>IF(t&lt;Tnet,'2025'!Resal+('2025'!Salim-'2025'!Resal)*(1-EXP(('2025'!Tnet-t)/('2025'!Tau_j))),Resal+(Salim-Resal)*(1-EXP((Tnet-t)/(Tau_j))))*Salcycl</f>
        <v>8.2657637296103856E-2</v>
      </c>
      <c r="P199" s="169">
        <f>(INDEX(Models!$BJ199:$BT199,,T199)*(1-R199)+INDEX(Models!$BJ199:$BT199,,T199+1)*R199-ERP_i)*Q199*Ramure*Pc/MaxiM</f>
        <v>4.3394185972715131E-5</v>
      </c>
      <c r="Q199" s="305">
        <f t="shared" si="53"/>
        <v>0.7</v>
      </c>
      <c r="R199" s="177">
        <f t="shared" si="54"/>
        <v>7.0587382851817315E-2</v>
      </c>
      <c r="S199" s="810">
        <f t="shared" si="55"/>
        <v>-1</v>
      </c>
      <c r="T199" s="176">
        <f t="shared" si="56"/>
        <v>5</v>
      </c>
      <c r="U199" s="251">
        <f t="shared" si="57"/>
        <v>-0.92941261714818268</v>
      </c>
      <c r="V199" s="383">
        <f t="shared" si="58"/>
        <v>54.13704470259448</v>
      </c>
      <c r="W199" s="402">
        <f t="shared" si="59"/>
        <v>40.874923110791592</v>
      </c>
      <c r="X199" s="157">
        <f t="shared" si="60"/>
        <v>46207</v>
      </c>
      <c r="Y199" s="385">
        <f t="shared" si="61"/>
        <v>38.264695035126849</v>
      </c>
      <c r="Z199" s="385">
        <f t="shared" si="62"/>
        <v>40.930522737805568</v>
      </c>
      <c r="AA199" s="386">
        <f t="shared" si="63"/>
        <v>47.652797842755056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0.14106779474169984</v>
      </c>
      <c r="AD199" s="231">
        <f>(INDEX(Models!$BJ199:$BT199,,AH199)*(1-AF199)+INDEX(Models!$BJ199:$BT199,,AH199+1)*AF199-ERP_i)*AE199*Ramure*Pc/MaxiM</f>
        <v>3.4844550105423127E-4</v>
      </c>
      <c r="AE199" s="305">
        <f t="shared" si="65"/>
        <v>0.7</v>
      </c>
      <c r="AF199" s="177">
        <f t="shared" si="66"/>
        <v>0.89057743595100125</v>
      </c>
      <c r="AG199" s="810">
        <f t="shared" si="74"/>
        <v>1</v>
      </c>
      <c r="AH199" s="176">
        <f t="shared" si="67"/>
        <v>7</v>
      </c>
      <c r="AI199" s="225">
        <f t="shared" si="68"/>
        <v>1.8905774359510013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52.606022635092323</v>
      </c>
      <c r="C200" s="840"/>
      <c r="D200" s="393">
        <f t="shared" si="50"/>
        <v>56.272292585219496</v>
      </c>
      <c r="E200" s="385">
        <f t="shared" si="75"/>
        <v>61.351594247865897</v>
      </c>
      <c r="F200" s="385">
        <f t="shared" si="51"/>
        <v>61.354149797864871</v>
      </c>
      <c r="G200" s="110">
        <f t="shared" si="76"/>
        <v>0.97308284152812963</v>
      </c>
      <c r="H200" s="414" t="b">
        <f>Wh_hp&gt;='2025'!Maxi_hp</f>
        <v>0</v>
      </c>
      <c r="I200" s="390">
        <f>IF(H200,Wh_hp,'2025'!Maxi_hp)</f>
        <v>63.499188646110007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6.5152311762932458E-2</v>
      </c>
      <c r="M200" s="844"/>
      <c r="N200" s="844"/>
      <c r="O200" s="48">
        <f>IF(t&lt;Tnet,'2025'!Resal+('2025'!Salim-'2025'!Resal)*(1-EXP(('2025'!Tnet-t)/('2025'!Tau_j))),Resal+(Salim-Resal)*(1-EXP((Tnet-t)/(Tau_j))))*Salcycl</f>
        <v>8.2790051748705434E-2</v>
      </c>
      <c r="P200" s="169">
        <f>(INDEX(Models!$BJ200:$BT200,,T200)*(1-R200)+INDEX(Models!$BJ200:$BT200,,T200+1)*R200-ERP_i)*Q200*Ramure*Pc/MaxiM</f>
        <v>4.3318051634013506E-5</v>
      </c>
      <c r="Q200" s="305">
        <f t="shared" si="53"/>
        <v>0.7</v>
      </c>
      <c r="R200" s="177">
        <f t="shared" si="54"/>
        <v>7.3814629539796339E-2</v>
      </c>
      <c r="S200" s="810">
        <f t="shared" si="55"/>
        <v>-1</v>
      </c>
      <c r="T200" s="176">
        <f t="shared" si="56"/>
        <v>5</v>
      </c>
      <c r="U200" s="251">
        <f t="shared" si="57"/>
        <v>-0.92618537046020366</v>
      </c>
      <c r="V200" s="383">
        <f t="shared" si="58"/>
        <v>54.061106377735435</v>
      </c>
      <c r="W200" s="402">
        <f t="shared" si="59"/>
        <v>52.606022635092323</v>
      </c>
      <c r="X200" s="157">
        <f t="shared" si="60"/>
        <v>46208</v>
      </c>
      <c r="Y200" s="385">
        <f t="shared" si="61"/>
        <v>49.244471469470255</v>
      </c>
      <c r="Z200" s="385">
        <f t="shared" si="62"/>
        <v>52.676464935518325</v>
      </c>
      <c r="AA200" s="386">
        <f t="shared" si="63"/>
        <v>61.333558814214328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0.14114775085723036</v>
      </c>
      <c r="AD200" s="231">
        <f>(INDEX(Models!$BJ200:$BT200,,AH200)*(1-AF200)+INDEX(Models!$BJ200:$BT200,,AH200+1)*AF200-ERP_i)*AE200*Ramure*Pc/MaxiM</f>
        <v>3.4902909093098615E-4</v>
      </c>
      <c r="AE200" s="305">
        <f t="shared" si="65"/>
        <v>0.7</v>
      </c>
      <c r="AF200" s="177">
        <f t="shared" si="66"/>
        <v>0.89380468263898027</v>
      </c>
      <c r="AG200" s="810">
        <f t="shared" si="74"/>
        <v>1</v>
      </c>
      <c r="AH200" s="176">
        <f t="shared" si="67"/>
        <v>7</v>
      </c>
      <c r="AI200" s="225">
        <f t="shared" si="68"/>
        <v>1.8938046826389803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46.189057195530602</v>
      </c>
      <c r="C201" s="840"/>
      <c r="D201" s="393">
        <f t="shared" si="50"/>
        <v>49.409259592318584</v>
      </c>
      <c r="E201" s="385">
        <f t="shared" si="75"/>
        <v>53.876790159836361</v>
      </c>
      <c r="F201" s="385">
        <f t="shared" si="51"/>
        <v>53.878638430339791</v>
      </c>
      <c r="G201" s="110">
        <f t="shared" si="76"/>
        <v>0.85562927099284125</v>
      </c>
      <c r="H201" s="414" t="b">
        <f>Wh_hp&gt;='2025'!Maxi_hp</f>
        <v>0</v>
      </c>
      <c r="I201" s="390">
        <f>IF(H201,Wh_hp,'2025'!Maxi_hp)</f>
        <v>62.806622289088963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6.5174067034362348E-2</v>
      </c>
      <c r="M201" s="844"/>
      <c r="N201" s="844"/>
      <c r="O201" s="48">
        <f>IF(t&lt;Tnet,'2025'!Resal+('2025'!Salim-'2025'!Resal)*(1-EXP(('2025'!Tnet-t)/('2025'!Tau_j))),Resal+(Salim-Resal)*(1-EXP((Tnet-t)/(Tau_j))))*Salcycl</f>
        <v>8.2921245944013053E-2</v>
      </c>
      <c r="P201" s="169">
        <f>(INDEX(Models!$BJ201:$BT201,,T201)*(1-R201)+INDEX(Models!$BJ201:$BT201,,T201+1)*R201-ERP_i)*Q201*Ramure*Pc/MaxiM</f>
        <v>4.3217126065897457E-5</v>
      </c>
      <c r="Q201" s="305">
        <f t="shared" si="53"/>
        <v>0.7</v>
      </c>
      <c r="R201" s="177">
        <f t="shared" si="54"/>
        <v>7.6979779508697277E-2</v>
      </c>
      <c r="S201" s="810">
        <f t="shared" si="55"/>
        <v>-1</v>
      </c>
      <c r="T201" s="176">
        <f t="shared" si="56"/>
        <v>5</v>
      </c>
      <c r="U201" s="251">
        <f t="shared" si="57"/>
        <v>-0.92302022049130272</v>
      </c>
      <c r="V201" s="383">
        <f t="shared" si="58"/>
        <v>53.982077371065785</v>
      </c>
      <c r="W201" s="402">
        <f t="shared" si="59"/>
        <v>46.189057195530602</v>
      </c>
      <c r="X201" s="157">
        <f t="shared" si="60"/>
        <v>46209</v>
      </c>
      <c r="Y201" s="385">
        <f t="shared" si="61"/>
        <v>43.242002693065004</v>
      </c>
      <c r="Z201" s="385">
        <f t="shared" si="62"/>
        <v>46.256742745555066</v>
      </c>
      <c r="AA201" s="386">
        <f t="shared" si="63"/>
        <v>53.86368036693213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0.14122573076248787</v>
      </c>
      <c r="AD201" s="231">
        <f>(INDEX(Models!$BJ201:$BT201,,AH201)*(1-AF201)+INDEX(Models!$BJ201:$BT201,,AH201+1)*AF201-ERP_i)*AE201*Ramure*Pc/MaxiM</f>
        <v>3.4975644029978329E-4</v>
      </c>
      <c r="AE201" s="305">
        <f t="shared" si="65"/>
        <v>0.7</v>
      </c>
      <c r="AF201" s="177">
        <f t="shared" si="66"/>
        <v>0.89696983260788121</v>
      </c>
      <c r="AG201" s="810">
        <f t="shared" si="74"/>
        <v>1</v>
      </c>
      <c r="AH201" s="176">
        <f t="shared" si="67"/>
        <v>7</v>
      </c>
      <c r="AI201" s="225">
        <f t="shared" si="68"/>
        <v>1.8969698326078812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52.693029555983124</v>
      </c>
      <c r="C202" s="840"/>
      <c r="D202" s="393">
        <f t="shared" si="50"/>
        <v>56.367986777100391</v>
      </c>
      <c r="E202" s="385">
        <f t="shared" si="75"/>
        <v>61.473432318289383</v>
      </c>
      <c r="F202" s="385">
        <f t="shared" si="51"/>
        <v>61.475996698118138</v>
      </c>
      <c r="G202" s="110">
        <f t="shared" si="76"/>
        <v>0.97761005820947133</v>
      </c>
      <c r="H202" s="414" t="b">
        <f>Wh_hp&gt;='2025'!Maxi_hp</f>
        <v>0</v>
      </c>
      <c r="I202" s="390">
        <f>IF(H202,Wh_hp,'2025'!Maxi_hp)</f>
        <v>61.476047588751292</v>
      </c>
      <c r="J202" s="85">
        <f>IF(H202,An,'2025'!An_max)</f>
        <v>2025</v>
      </c>
      <c r="K202" s="197">
        <f t="shared" si="52"/>
        <v>46210</v>
      </c>
      <c r="L202" s="147">
        <f>IF(t&lt;Tvie,1-EXP((T0-t)*PertePVj)+'2025'!Pspv,1-EXP((T0-t)*PertePVj)+Pspv)</f>
        <v>6.5195821799515219E-2</v>
      </c>
      <c r="M202" s="844"/>
      <c r="N202" s="844"/>
      <c r="O202" s="48">
        <f>IF(t&lt;Tnet,'2025'!Resal+('2025'!Salim-'2025'!Resal)*(1-EXP(('2025'!Tnet-t)/('2025'!Tau_j))),Resal+(Salim-Resal)*(1-EXP((Tnet-t)/(Tau_j))))*Salcycl</f>
        <v>8.3051252364674616E-2</v>
      </c>
      <c r="P202" s="169">
        <f>(INDEX(Models!$BJ202:$BT202,,T202)*(1-R202)+INDEX(Models!$BJ202:$BT202,,T202+1)*R202-ERP_i)*Q202*Ramure*Pc/MaxiM</f>
        <v>4.3091747463387224E-5</v>
      </c>
      <c r="Q202" s="305">
        <f t="shared" si="53"/>
        <v>0.7</v>
      </c>
      <c r="R202" s="177">
        <f t="shared" si="54"/>
        <v>8.0082012880728914E-2</v>
      </c>
      <c r="S202" s="810">
        <f t="shared" si="55"/>
        <v>-1</v>
      </c>
      <c r="T202" s="176">
        <f t="shared" si="56"/>
        <v>5</v>
      </c>
      <c r="U202" s="251">
        <f t="shared" si="57"/>
        <v>-0.91991798711927109</v>
      </c>
      <c r="V202" s="383">
        <f t="shared" si="58"/>
        <v>53.899769634274001</v>
      </c>
      <c r="W202" s="402">
        <f t="shared" si="59"/>
        <v>52.693029555983124</v>
      </c>
      <c r="X202" s="157">
        <f t="shared" si="60"/>
        <v>46210</v>
      </c>
      <c r="Y202" s="385">
        <f t="shared" si="61"/>
        <v>49.330934906053756</v>
      </c>
      <c r="Z202" s="385">
        <f t="shared" si="62"/>
        <v>52.771410372829862</v>
      </c>
      <c r="AA202" s="386">
        <f t="shared" si="63"/>
        <v>61.455130689458066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0.14130179562237594</v>
      </c>
      <c r="AD202" s="231">
        <f>(INDEX(Models!$BJ202:$BT202,,AH202)*(1-AF202)+INDEX(Models!$BJ202:$BT202,,AH202+1)*AF202-ERP_i)*AE202*Ramure*Pc/MaxiM</f>
        <v>3.506316676125629E-4</v>
      </c>
      <c r="AE202" s="305">
        <f t="shared" si="65"/>
        <v>0.7</v>
      </c>
      <c r="AF202" s="177">
        <f t="shared" si="66"/>
        <v>0.90007206597991285</v>
      </c>
      <c r="AG202" s="810">
        <f t="shared" si="74"/>
        <v>1</v>
      </c>
      <c r="AH202" s="176">
        <f t="shared" si="67"/>
        <v>7</v>
      </c>
      <c r="AI202" s="225">
        <f t="shared" si="68"/>
        <v>1.9000720659799128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54.998054796943258</v>
      </c>
      <c r="C203" s="840"/>
      <c r="D203" s="393">
        <f t="shared" si="50"/>
        <v>58.835140015832607</v>
      </c>
      <c r="E203" s="385">
        <f t="shared" si="75"/>
        <v>64.173062073198253</v>
      </c>
      <c r="F203" s="385">
        <f t="shared" si="51"/>
        <v>64.175817928306742</v>
      </c>
      <c r="G203" s="110">
        <f t="shared" si="76"/>
        <v>1.0220028205169978</v>
      </c>
      <c r="H203" s="414" t="b">
        <f>Wh_hp&gt;='2025'!Maxi_hp</f>
        <v>0</v>
      </c>
      <c r="I203" s="390">
        <f>IF(H203,Wh_hp,'2025'!Maxi_hp)</f>
        <v>64.296413487200894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6.5217576058402948E-2</v>
      </c>
      <c r="M203" s="844"/>
      <c r="N203" s="844"/>
      <c r="O203" s="48">
        <f>IF(t&lt;Tnet,'2025'!Resal+('2025'!Salim-'2025'!Resal)*(1-EXP(('2025'!Tnet-t)/('2025'!Tau_j))),Resal+(Salim-Resal)*(1-EXP((Tnet-t)/(Tau_j))))*Salcycl</f>
        <v>8.3180105248476396E-2</v>
      </c>
      <c r="P203" s="169">
        <f>(INDEX(Models!$BJ203:$BT203,,T203)*(1-R203)+INDEX(Models!$BJ203:$BT203,,T203+1)*R203-ERP_i)*Q203*Ramure*Pc/MaxiM</f>
        <v>4.2942267000988447E-5</v>
      </c>
      <c r="Q203" s="305">
        <f t="shared" si="53"/>
        <v>0.7</v>
      </c>
      <c r="R203" s="177">
        <f t="shared" si="54"/>
        <v>8.3120646133210796E-2</v>
      </c>
      <c r="S203" s="810">
        <f t="shared" si="55"/>
        <v>-1</v>
      </c>
      <c r="T203" s="176">
        <f t="shared" si="56"/>
        <v>5</v>
      </c>
      <c r="U203" s="251">
        <f t="shared" si="57"/>
        <v>-0.9168793538667892</v>
      </c>
      <c r="V203" s="383">
        <f t="shared" si="58"/>
        <v>53.813995120993461</v>
      </c>
      <c r="W203" s="402">
        <f t="shared" si="59"/>
        <v>54.998054796943258</v>
      </c>
      <c r="X203" s="157">
        <f t="shared" si="60"/>
        <v>46211</v>
      </c>
      <c r="Y203" s="385">
        <f t="shared" si="61"/>
        <v>51.491105848736552</v>
      </c>
      <c r="Z203" s="385">
        <f t="shared" si="62"/>
        <v>55.083519469289456</v>
      </c>
      <c r="AA203" s="386">
        <f t="shared" si="63"/>
        <v>64.153249928626465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0.14137600931250588</v>
      </c>
      <c r="AD203" s="231">
        <f>(INDEX(Models!$BJ203:$BT203,,AH203)*(1-AF203)+INDEX(Models!$BJ203:$BT203,,AH203+1)*AF203-ERP_i)*AE203*Ramure*Pc/MaxiM</f>
        <v>3.5165893336164424E-4</v>
      </c>
      <c r="AE203" s="305">
        <f t="shared" si="65"/>
        <v>0.7</v>
      </c>
      <c r="AF203" s="177">
        <f t="shared" si="66"/>
        <v>0.90311069923239473</v>
      </c>
      <c r="AG203" s="810">
        <f t="shared" si="74"/>
        <v>1</v>
      </c>
      <c r="AH203" s="176">
        <f t="shared" si="67"/>
        <v>7</v>
      </c>
      <c r="AI203" s="225">
        <f t="shared" si="68"/>
        <v>1.9031106992323947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54.059241860350888</v>
      </c>
      <c r="C204" s="840"/>
      <c r="D204" s="393">
        <f t="shared" si="50"/>
        <v>57.832174142952297</v>
      </c>
      <c r="E204" s="385">
        <f t="shared" si="75"/>
        <v>63.087890011683321</v>
      </c>
      <c r="F204" s="385">
        <f t="shared" si="51"/>
        <v>63.090588335933639</v>
      </c>
      <c r="G204" s="110">
        <f t="shared" si="76"/>
        <v>1.0062294790360253</v>
      </c>
      <c r="H204" s="414" t="b">
        <f>Wh_hp&gt;='2025'!Maxi_hp</f>
        <v>1</v>
      </c>
      <c r="I204" s="390">
        <f>IF(H204,Wh_hp,'2025'!Maxi_hp)</f>
        <v>63.090588335933639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6.5239329811037305E-2</v>
      </c>
      <c r="M204" s="844"/>
      <c r="N204" s="844"/>
      <c r="O204" s="48">
        <f>IF(t&lt;Tnet,'2025'!Resal+('2025'!Salim-'2025'!Resal)*(1-EXP(('2025'!Tnet-t)/('2025'!Tau_j))),Resal+(Salim-Resal)*(1-EXP((Tnet-t)/(Tau_j))))*Salcycl</f>
        <v>8.3307840343966308E-2</v>
      </c>
      <c r="P204" s="169">
        <f>(INDEX(Models!$BJ204:$BT204,,T204)*(1-R204)+INDEX(Models!$BJ204:$BT204,,T204+1)*R204-ERP_i)*Q204*Ramure*Pc/MaxiM</f>
        <v>4.2769045613386159E-5</v>
      </c>
      <c r="Q204" s="305">
        <f t="shared" si="53"/>
        <v>0.7</v>
      </c>
      <c r="R204" s="177">
        <f t="shared" si="54"/>
        <v>8.6095128633572493E-2</v>
      </c>
      <c r="S204" s="810">
        <f t="shared" si="55"/>
        <v>-1</v>
      </c>
      <c r="T204" s="176">
        <f t="shared" si="56"/>
        <v>5</v>
      </c>
      <c r="U204" s="251">
        <f t="shared" si="57"/>
        <v>-0.91390487136642751</v>
      </c>
      <c r="V204" s="383">
        <f t="shared" si="58"/>
        <v>53.724565803955585</v>
      </c>
      <c r="W204" s="402">
        <f t="shared" si="59"/>
        <v>54.059241860350888</v>
      </c>
      <c r="X204" s="157">
        <f t="shared" si="60"/>
        <v>46212</v>
      </c>
      <c r="Y204" s="385">
        <f t="shared" si="61"/>
        <v>50.614870116209346</v>
      </c>
      <c r="Z204" s="385">
        <f t="shared" si="62"/>
        <v>54.147410915328201</v>
      </c>
      <c r="AA204" s="386">
        <f t="shared" si="63"/>
        <v>63.068327298438696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0.14144843799165321</v>
      </c>
      <c r="AD204" s="231">
        <f>(INDEX(Models!$BJ204:$BT204,,AH204)*(1-AF204)+INDEX(Models!$BJ204:$BT204,,AH204+1)*AF204-ERP_i)*AE204*Ramure*Pc/MaxiM</f>
        <v>3.5284244579262218E-4</v>
      </c>
      <c r="AE204" s="305">
        <f t="shared" si="65"/>
        <v>0.7</v>
      </c>
      <c r="AF204" s="177">
        <f t="shared" si="66"/>
        <v>0.90608518173275643</v>
      </c>
      <c r="AG204" s="810">
        <f t="shared" si="74"/>
        <v>1</v>
      </c>
      <c r="AH204" s="176">
        <f t="shared" si="67"/>
        <v>7</v>
      </c>
      <c r="AI204" s="225">
        <f t="shared" si="68"/>
        <v>1.9060851817327564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53.430992052420947</v>
      </c>
      <c r="C205" s="840"/>
      <c r="D205" s="393">
        <f t="shared" si="50"/>
        <v>57.16140740902064</v>
      </c>
      <c r="E205" s="385">
        <f t="shared" si="75"/>
        <v>62.364781432597638</v>
      </c>
      <c r="F205" s="385">
        <f t="shared" si="51"/>
        <v>62.367422320021653</v>
      </c>
      <c r="G205" s="110">
        <f t="shared" si="76"/>
        <v>0.99625251285990113</v>
      </c>
      <c r="H205" s="414" t="b">
        <f>Wh_hp&gt;='2025'!Maxi_hp</f>
        <v>0</v>
      </c>
      <c r="I205" s="390">
        <f>IF(H205,Wh_hp,'2025'!Maxi_hp)</f>
        <v>63.53664171225423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6.5261083057430058E-2</v>
      </c>
      <c r="M205" s="844"/>
      <c r="N205" s="844"/>
      <c r="O205" s="48">
        <f>IF(t&lt;Tnet,'2025'!Resal+('2025'!Salim-'2025'!Resal)*(1-EXP(('2025'!Tnet-t)/('2025'!Tau_j))),Resal+(Salim-Resal)*(1-EXP((Tnet-t)/(Tau_j))))*Salcycl</f>
        <v>8.3434494662675648E-2</v>
      </c>
      <c r="P205" s="169">
        <f>(INDEX(Models!$BJ205:$BT205,,T205)*(1-R205)+INDEX(Models!$BJ205:$BT205,,T205+1)*R205-ERP_i)*Q205*Ramure*Pc/MaxiM</f>
        <v>4.2571917949426537E-5</v>
      </c>
      <c r="Q205" s="305">
        <f t="shared" si="53"/>
        <v>0.7</v>
      </c>
      <c r="R205" s="177">
        <f t="shared" si="54"/>
        <v>8.9005038751835519E-2</v>
      </c>
      <c r="S205" s="810">
        <f t="shared" si="55"/>
        <v>-1</v>
      </c>
      <c r="T205" s="176">
        <f t="shared" si="56"/>
        <v>5</v>
      </c>
      <c r="U205" s="251">
        <f t="shared" si="57"/>
        <v>-0.91099496124816448</v>
      </c>
      <c r="V205" s="383">
        <f t="shared" si="58"/>
        <v>53.631964974170089</v>
      </c>
      <c r="W205" s="402">
        <f t="shared" si="59"/>
        <v>53.430992052420947</v>
      </c>
      <c r="X205" s="157">
        <f t="shared" si="60"/>
        <v>46213</v>
      </c>
      <c r="Y205" s="385">
        <f t="shared" si="61"/>
        <v>50.029447696590374</v>
      </c>
      <c r="Z205" s="385">
        <f t="shared" si="62"/>
        <v>53.522375916722602</v>
      </c>
      <c r="AA205" s="386">
        <f t="shared" si="63"/>
        <v>62.345451149223585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0.14151914967112825</v>
      </c>
      <c r="AD205" s="231">
        <f>(INDEX(Models!$BJ205:$BT205,,AH205)*(1-AF205)+INDEX(Models!$BJ205:$BT205,,AH205+1)*AF205-ERP_i)*AE205*Ramure*Pc/MaxiM</f>
        <v>3.5418203440446477E-4</v>
      </c>
      <c r="AE205" s="305">
        <f t="shared" si="65"/>
        <v>0.7</v>
      </c>
      <c r="AF205" s="177">
        <f t="shared" si="66"/>
        <v>0.90899509185101945</v>
      </c>
      <c r="AG205" s="810">
        <f t="shared" si="74"/>
        <v>1</v>
      </c>
      <c r="AH205" s="176">
        <f t="shared" si="67"/>
        <v>7</v>
      </c>
      <c r="AI205" s="225">
        <f t="shared" si="68"/>
        <v>1.9089950918510195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51.7386925858941</v>
      </c>
      <c r="C206" s="840"/>
      <c r="D206" s="393">
        <f t="shared" si="50"/>
        <v>55.352244044905994</v>
      </c>
      <c r="E206" s="385">
        <f t="shared" si="75"/>
        <v>60.399208307256139</v>
      </c>
      <c r="F206" s="385">
        <f t="shared" si="51"/>
        <v>60.401645214197892</v>
      </c>
      <c r="G206" s="110">
        <f t="shared" si="76"/>
        <v>0.9664127992861935</v>
      </c>
      <c r="H206" s="414" t="b">
        <f>Wh_hp&gt;='2025'!Maxi_hp</f>
        <v>0</v>
      </c>
      <c r="I206" s="390">
        <f>IF(H206,Wh_hp,'2025'!Maxi_hp)</f>
        <v>62.742397262991474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6.5282835797592975E-2</v>
      </c>
      <c r="M206" s="844"/>
      <c r="N206" s="844"/>
      <c r="O206" s="48">
        <f>IF(t&lt;Tnet,'2025'!Resal+('2025'!Salim-'2025'!Resal)*(1-EXP(('2025'!Tnet-t)/('2025'!Tau_j))),Resal+(Salim-Resal)*(1-EXP((Tnet-t)/(Tau_j))))*Salcycl</f>
        <v>8.3560106229800049E-2</v>
      </c>
      <c r="P206" s="169">
        <f>(INDEX(Models!$BJ206:$BT206,,T206)*(1-R206)+INDEX(Models!$BJ206:$BT206,,T206+1)*R206-ERP_i)*Q206*Ramure*Pc/MaxiM</f>
        <v>4.237830739037639E-5</v>
      </c>
      <c r="Q206" s="305">
        <f t="shared" si="53"/>
        <v>0.7</v>
      </c>
      <c r="R206" s="177">
        <f t="shared" si="54"/>
        <v>9.1850079598526868E-2</v>
      </c>
      <c r="S206" s="810">
        <f t="shared" si="55"/>
        <v>-1</v>
      </c>
      <c r="T206" s="176">
        <f t="shared" si="56"/>
        <v>5</v>
      </c>
      <c r="U206" s="251">
        <f t="shared" si="57"/>
        <v>-0.90814992040147313</v>
      </c>
      <c r="V206" s="383">
        <f t="shared" si="58"/>
        <v>53.53673649748449</v>
      </c>
      <c r="W206" s="402">
        <f t="shared" si="59"/>
        <v>51.7386925858941</v>
      </c>
      <c r="X206" s="157">
        <f t="shared" si="60"/>
        <v>46214</v>
      </c>
      <c r="Y206" s="385">
        <f t="shared" si="61"/>
        <v>48.448191806211973</v>
      </c>
      <c r="Z206" s="385">
        <f t="shared" si="62"/>
        <v>51.831926984621873</v>
      </c>
      <c r="AA206" s="386">
        <f t="shared" si="63"/>
        <v>60.381192123558179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0.1415882137842181</v>
      </c>
      <c r="AD206" s="231">
        <f>(INDEX(Models!$BJ206:$BT206,,AH206)*(1-AF206)+INDEX(Models!$BJ206:$BT206,,AH206+1)*AF206-ERP_i)*AE206*Ramure*Pc/MaxiM</f>
        <v>3.5568340643716699E-4</v>
      </c>
      <c r="AE206" s="305">
        <f t="shared" si="65"/>
        <v>0.7</v>
      </c>
      <c r="AF206" s="177">
        <f t="shared" si="66"/>
        <v>0.9118401326977108</v>
      </c>
      <c r="AG206" s="810">
        <f t="shared" si="74"/>
        <v>1</v>
      </c>
      <c r="AH206" s="176">
        <f t="shared" si="67"/>
        <v>7</v>
      </c>
      <c r="AI206" s="225">
        <f t="shared" si="68"/>
        <v>1.9118401326977108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51.383047014790435</v>
      </c>
      <c r="C207" s="840"/>
      <c r="D207" s="393">
        <f t="shared" ref="D207:D270" si="77">Wh/(1-Ppv)</f>
        <v>54.973038657136541</v>
      </c>
      <c r="E207" s="385">
        <f t="shared" si="75"/>
        <v>59.993584617826635</v>
      </c>
      <c r="F207" s="385">
        <f t="shared" ref="F207:F270" si="78">Wh_sa/(1-Pvg*MEDIAN((-Sdif+Wh/Env_an)/Csdif,0,1))</f>
        <v>59.995976735994184</v>
      </c>
      <c r="G207" s="110">
        <f t="shared" si="76"/>
        <v>0.96152873792736582</v>
      </c>
      <c r="H207" s="414" t="b">
        <f>Wh_hp&gt;='2025'!Maxi_hp</f>
        <v>0</v>
      </c>
      <c r="I207" s="390">
        <f>IF(H207,Wh_hp,'2025'!Maxi_hp)</f>
        <v>63.292549815565977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6.5304588031537825E-2</v>
      </c>
      <c r="M207" s="844"/>
      <c r="N207" s="844"/>
      <c r="O207" s="48">
        <f>IF(t&lt;Tnet,'2025'!Resal+('2025'!Salim-'2025'!Resal)*(1-EXP(('2025'!Tnet-t)/('2025'!Tau_j))),Resal+(Salim-Resal)*(1-EXP((Tnet-t)/(Tau_j))))*Salcycl</f>
        <v>8.368471383519023E-2</v>
      </c>
      <c r="P207" s="169">
        <f>(INDEX(Models!$BJ207:$BT207,,T207)*(1-R207)+INDEX(Models!$BJ207:$BT207,,T207+1)*R207-ERP_i)*Q207*Ramure*Pc/MaxiM</f>
        <v>4.2189887013831559E-5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9.4630074435901435E-2</v>
      </c>
      <c r="S207" s="810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-0.90536992556409857</v>
      </c>
      <c r="V207" s="383">
        <f t="shared" ref="V207:V270" si="85">MaxiM*(1-Ppv)*(1-Pvg)*(1-Psa)</f>
        <v>53.438785392135728</v>
      </c>
      <c r="W207" s="402">
        <f t="shared" ref="W207:W270" si="86">Wh*(A207&gt;Tmaj)</f>
        <v>51.383047014790435</v>
      </c>
      <c r="X207" s="157">
        <f t="shared" ref="X207:X270" si="87">t</f>
        <v>46215</v>
      </c>
      <c r="Y207" s="385">
        <f t="shared" ref="Y207:Y270" si="88">Wh_pvt_s*(1-Ppv)</f>
        <v>48.117950559152014</v>
      </c>
      <c r="Z207" s="385">
        <f t="shared" ref="Z207:Z270" si="89">Wh_sa_s*(1-Psa_s)</f>
        <v>51.479818926056282</v>
      </c>
      <c r="AA207" s="386">
        <f t="shared" ref="AA207:AA270" si="90">Wh_hp*(1-Pvg_s*MEDIAN((-Sdif+Wh/Env_an)/Csdif,0,1))</f>
        <v>59.975721830466867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0.14165570075881578</v>
      </c>
      <c r="AD207" s="231">
        <f>(INDEX(Models!$BJ207:$BT207,,AH207)*(1-AF207)+INDEX(Models!$BJ207:$BT207,,AH207+1)*AF207-ERP_i)*AE207*Ramure*Pc/MaxiM</f>
        <v>3.5723660614559138E-4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0.91462012753508537</v>
      </c>
      <c r="AG207" s="810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1.9146201275350854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50.920318733962851</v>
      </c>
      <c r="C208" s="840"/>
      <c r="D208" s="393">
        <f t="shared" si="77"/>
        <v>54.479248640481018</v>
      </c>
      <c r="E208" s="385">
        <f t="shared" si="75"/>
        <v>59.462721630374425</v>
      </c>
      <c r="F208" s="385">
        <f t="shared" si="78"/>
        <v>59.46505785102233</v>
      </c>
      <c r="G208" s="110">
        <f t="shared" si="76"/>
        <v>0.95466954565423789</v>
      </c>
      <c r="H208" s="414" t="b">
        <f>Wh_hp&gt;='2025'!Maxi_hp</f>
        <v>0</v>
      </c>
      <c r="I208" s="390">
        <f>IF(H208,Wh_hp,'2025'!Maxi_hp)</f>
        <v>59.465153485098078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6.5326339759276486E-2</v>
      </c>
      <c r="M208" s="844"/>
      <c r="N208" s="844"/>
      <c r="O208" s="48">
        <f>IF(t&lt;Tnet,'2025'!Resal+('2025'!Salim-'2025'!Resal)*(1-EXP(('2025'!Tnet-t)/('2025'!Tau_j))),Resal+(Salim-Resal)*(1-EXP((Tnet-t)/(Tau_j))))*Salcycl</f>
        <v>8.3808356786477314E-2</v>
      </c>
      <c r="P208" s="169">
        <f>(INDEX(Models!$BJ208:$BT208,,T208)*(1-R208)+INDEX(Models!$BJ208:$BT208,,T208+1)*R208-ERP_i)*Q208*Ramure*Pc/MaxiM</f>
        <v>4.2007437596804346E-5</v>
      </c>
      <c r="Q208" s="305">
        <f t="shared" si="80"/>
        <v>0.7</v>
      </c>
      <c r="R208" s="177">
        <f t="shared" si="81"/>
        <v>9.7344961809777919E-2</v>
      </c>
      <c r="S208" s="810">
        <f t="shared" si="82"/>
        <v>-1</v>
      </c>
      <c r="T208" s="176">
        <f t="shared" si="83"/>
        <v>5</v>
      </c>
      <c r="U208" s="251">
        <f t="shared" si="84"/>
        <v>-0.90265503819022208</v>
      </c>
      <c r="V208" s="383">
        <f t="shared" si="85"/>
        <v>53.338016750669929</v>
      </c>
      <c r="W208" s="402">
        <f t="shared" si="86"/>
        <v>50.920318733962851</v>
      </c>
      <c r="X208" s="157">
        <f t="shared" si="87"/>
        <v>46216</v>
      </c>
      <c r="Y208" s="385">
        <f t="shared" si="88"/>
        <v>47.687462607810673</v>
      </c>
      <c r="Z208" s="385">
        <f t="shared" si="89"/>
        <v>51.020441290202669</v>
      </c>
      <c r="AA208" s="386">
        <f t="shared" si="90"/>
        <v>59.445100961065663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0.14172168159628218</v>
      </c>
      <c r="AD208" s="231">
        <f>(INDEX(Models!$BJ208:$BT208,,AH208)*(1-AF208)+INDEX(Models!$BJ208:$BT208,,AH208+1)*AF208-ERP_i)*AE208*Ramure*Pc/MaxiM</f>
        <v>3.5884359220677317E-4</v>
      </c>
      <c r="AE208" s="305">
        <f t="shared" si="92"/>
        <v>0.7</v>
      </c>
      <c r="AF208" s="177">
        <f t="shared" si="93"/>
        <v>0.91733501490896185</v>
      </c>
      <c r="AG208" s="810">
        <f t="shared" ref="AG208:AG271" si="99">INDEX(Echel_vg,AH208)</f>
        <v>1</v>
      </c>
      <c r="AH208" s="176">
        <f t="shared" si="94"/>
        <v>7</v>
      </c>
      <c r="AI208" s="225">
        <f t="shared" si="95"/>
        <v>1.9173350149089619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50.064300299266733</v>
      </c>
      <c r="C209" s="840"/>
      <c r="D209" s="393">
        <f t="shared" si="77"/>
        <v>53.56464777545262</v>
      </c>
      <c r="E209" s="385">
        <f t="shared" si="75"/>
        <v>58.472289905401524</v>
      </c>
      <c r="F209" s="385">
        <f t="shared" si="78"/>
        <v>58.474527908146086</v>
      </c>
      <c r="G209" s="110">
        <f t="shared" si="76"/>
        <v>0.94044795464306974</v>
      </c>
      <c r="H209" s="414" t="b">
        <f>Wh_hp&gt;='2025'!Maxi_hp</f>
        <v>0</v>
      </c>
      <c r="I209" s="390">
        <f>IF(H209,Wh_hp,'2025'!Maxi_hp)</f>
        <v>63.373727610861152</v>
      </c>
      <c r="J209" s="85">
        <f>IF(H209,An,'2025'!An_max)</f>
        <v>2020</v>
      </c>
      <c r="K209" s="197">
        <f t="shared" si="79"/>
        <v>46217</v>
      </c>
      <c r="L209" s="147">
        <f>IF(t&lt;Tvie,1-EXP((T0-t)*PertePVj)+'2025'!Pspv,1-EXP((T0-t)*PertePVj)+Pspv)</f>
        <v>6.5348090980820617E-2</v>
      </c>
      <c r="M209" s="844"/>
      <c r="N209" s="844"/>
      <c r="O209" s="48">
        <f>IF(t&lt;Tnet,'2025'!Resal+('2025'!Salim-'2025'!Resal)*(1-EXP(('2025'!Tnet-t)/('2025'!Tau_j))),Resal+(Salim-Resal)*(1-EXP((Tnet-t)/(Tau_j))))*Salcycl</f>
        <v>8.3931074666113714E-2</v>
      </c>
      <c r="P209" s="169">
        <f>(INDEX(Models!$BJ209:$BT209,,T209)*(1-R209)+INDEX(Models!$BJ209:$BT209,,T209+1)*R209-ERP_i)*Q209*Ramure*Pc/MaxiM</f>
        <v>4.1831729261752074E-5</v>
      </c>
      <c r="Q209" s="305">
        <f t="shared" si="80"/>
        <v>0.7</v>
      </c>
      <c r="R209" s="177">
        <f t="shared" si="81"/>
        <v>9.9994790448284188E-2</v>
      </c>
      <c r="S209" s="810">
        <f t="shared" si="82"/>
        <v>-1</v>
      </c>
      <c r="T209" s="176">
        <f t="shared" si="83"/>
        <v>5</v>
      </c>
      <c r="U209" s="251">
        <f t="shared" si="84"/>
        <v>-0.90000520955171581</v>
      </c>
      <c r="V209" s="383">
        <f t="shared" si="85"/>
        <v>53.234335707890999</v>
      </c>
      <c r="W209" s="402">
        <f t="shared" si="86"/>
        <v>50.064300299266733</v>
      </c>
      <c r="X209" s="157">
        <f t="shared" si="87"/>
        <v>46217</v>
      </c>
      <c r="Y209" s="385">
        <f t="shared" si="88"/>
        <v>46.888768968564648</v>
      </c>
      <c r="Z209" s="385">
        <f t="shared" si="89"/>
        <v>50.16709270702669</v>
      </c>
      <c r="AA209" s="386">
        <f t="shared" si="90"/>
        <v>58.455240771213091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0.14178622745948877</v>
      </c>
      <c r="AD209" s="231">
        <f>(INDEX(Models!$BJ209:$BT209,,AH209)*(1-AF209)+INDEX(Models!$BJ209:$BT209,,AH209+1)*AF209-ERP_i)*AE209*Ramure*Pc/MaxiM</f>
        <v>3.6050639007342047E-4</v>
      </c>
      <c r="AE209" s="305">
        <f t="shared" si="92"/>
        <v>0.7</v>
      </c>
      <c r="AF209" s="177">
        <f t="shared" si="93"/>
        <v>0.91998484354746823</v>
      </c>
      <c r="AG209" s="810">
        <f t="shared" si="99"/>
        <v>1</v>
      </c>
      <c r="AH209" s="176">
        <f t="shared" si="94"/>
        <v>7</v>
      </c>
      <c r="AI209" s="225">
        <f t="shared" si="95"/>
        <v>1.9199848435474682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49.128464979087369</v>
      </c>
      <c r="C210" s="840"/>
      <c r="D210" s="393">
        <f t="shared" si="77"/>
        <v>52.564604878839468</v>
      </c>
      <c r="E210" s="385">
        <f t="shared" si="75"/>
        <v>57.388254502857855</v>
      </c>
      <c r="F210" s="385">
        <f t="shared" si="78"/>
        <v>57.390388461463886</v>
      </c>
      <c r="G210" s="110">
        <f t="shared" si="76"/>
        <v>0.92472087911930523</v>
      </c>
      <c r="H210" s="414" t="b">
        <f>Wh_hp&gt;='2025'!Maxi_hp</f>
        <v>0</v>
      </c>
      <c r="I210" s="390">
        <f>IF(H210,Wh_hp,'2025'!Maxi_hp)</f>
        <v>64.452290266215414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6.5369841696182096E-2</v>
      </c>
      <c r="M210" s="844"/>
      <c r="N210" s="844"/>
      <c r="O210" s="48">
        <f>IF(t&lt;Tnet,'2025'!Resal+('2025'!Salim-'2025'!Resal)*(1-EXP(('2025'!Tnet-t)/('2025'!Tau_j))),Resal+(Salim-Resal)*(1-EXP((Tnet-t)/(Tau_j))))*Salcycl</f>
        <v>8.4052907094049709E-2</v>
      </c>
      <c r="P210" s="169">
        <f>(INDEX(Models!$BJ210:$BT210,,T210)*(1-R210)+INDEX(Models!$BJ210:$BT210,,T210+1)*R210-ERP_i)*Q210*Ramure*Pc/MaxiM</f>
        <v>4.166352058408359E-5</v>
      </c>
      <c r="Q210" s="305">
        <f t="shared" si="80"/>
        <v>0.7</v>
      </c>
      <c r="R210" s="177">
        <f t="shared" si="81"/>
        <v>0.10257971397240606</v>
      </c>
      <c r="S210" s="810">
        <f t="shared" si="82"/>
        <v>-1</v>
      </c>
      <c r="T210" s="176">
        <f t="shared" si="83"/>
        <v>5</v>
      </c>
      <c r="U210" s="251">
        <f t="shared" si="84"/>
        <v>-0.89742028602759394</v>
      </c>
      <c r="V210" s="383">
        <f t="shared" si="85"/>
        <v>53.127647454751511</v>
      </c>
      <c r="W210" s="402">
        <f t="shared" si="86"/>
        <v>49.128464979087369</v>
      </c>
      <c r="X210" s="157">
        <f t="shared" si="87"/>
        <v>46218</v>
      </c>
      <c r="Y210" s="385">
        <f t="shared" si="88"/>
        <v>46.015277094035824</v>
      </c>
      <c r="Z210" s="385">
        <f t="shared" si="89"/>
        <v>49.233674609371796</v>
      </c>
      <c r="AA210" s="386">
        <f t="shared" si="90"/>
        <v>57.371835597822809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0.14184940927286363</v>
      </c>
      <c r="AD210" s="231">
        <f>(INDEX(Models!$BJ210:$BT210,,AH210)*(1-AF210)+INDEX(Models!$BJ210:$BT210,,AH210+1)*AF210-ERP_i)*AE210*Ramure*Pc/MaxiM</f>
        <v>3.6222709007533658E-4</v>
      </c>
      <c r="AE210" s="305">
        <f t="shared" si="92"/>
        <v>0.7</v>
      </c>
      <c r="AF210" s="177">
        <f t="shared" si="93"/>
        <v>0.92256976707159</v>
      </c>
      <c r="AG210" s="810">
        <f t="shared" si="99"/>
        <v>1</v>
      </c>
      <c r="AH210" s="176">
        <f t="shared" si="94"/>
        <v>7</v>
      </c>
      <c r="AI210" s="225">
        <f t="shared" si="95"/>
        <v>1.92256976707159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50.609817288926763</v>
      </c>
      <c r="C211" s="840"/>
      <c r="D211" s="393">
        <f t="shared" si="77"/>
        <v>54.150826004341496</v>
      </c>
      <c r="E211" s="385">
        <f t="shared" si="75"/>
        <v>59.127847109701335</v>
      </c>
      <c r="F211" s="385">
        <f t="shared" si="78"/>
        <v>59.130141986266942</v>
      </c>
      <c r="G211" s="110">
        <f t="shared" si="76"/>
        <v>0.9545780161323838</v>
      </c>
      <c r="H211" s="414" t="b">
        <f>Wh_hp&gt;='2025'!Maxi_hp</f>
        <v>0</v>
      </c>
      <c r="I211" s="390">
        <f>IF(H211,Wh_hp,'2025'!Maxi_hp)</f>
        <v>62.090421221534129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6.5391591905372581E-2</v>
      </c>
      <c r="M211" s="844"/>
      <c r="N211" s="844"/>
      <c r="O211" s="48">
        <f>IF(t&lt;Tnet,'2025'!Resal+('2025'!Salim-'2025'!Resal)*(1-EXP(('2025'!Tnet-t)/('2025'!Tau_j))),Resal+(Salim-Resal)*(1-EXP((Tnet-t)/(Tau_j))))*Salcycl</f>
        <v>8.4173893497692318E-2</v>
      </c>
      <c r="P211" s="169">
        <f>(INDEX(Models!$BJ211:$BT211,,T211)*(1-R211)+INDEX(Models!$BJ211:$BT211,,T211+1)*R211-ERP_i)*Q211*Ramure*Pc/MaxiM</f>
        <v>4.1503557887895174E-5</v>
      </c>
      <c r="Q211" s="305">
        <f t="shared" si="80"/>
        <v>0.7</v>
      </c>
      <c r="R211" s="177">
        <f t="shared" si="81"/>
        <v>0.10509998546147914</v>
      </c>
      <c r="S211" s="810">
        <f t="shared" si="82"/>
        <v>-1</v>
      </c>
      <c r="T211" s="176">
        <f t="shared" si="83"/>
        <v>5</v>
      </c>
      <c r="U211" s="251">
        <f t="shared" si="84"/>
        <v>-0.89490001453852086</v>
      </c>
      <c r="V211" s="383">
        <f t="shared" si="85"/>
        <v>53.017857250495069</v>
      </c>
      <c r="W211" s="402">
        <f t="shared" si="86"/>
        <v>50.609817288926763</v>
      </c>
      <c r="X211" s="157">
        <f t="shared" si="87"/>
        <v>46219</v>
      </c>
      <c r="Y211" s="385">
        <f t="shared" si="88"/>
        <v>47.404867335151053</v>
      </c>
      <c r="Z211" s="385">
        <f t="shared" si="89"/>
        <v>50.721635847247157</v>
      </c>
      <c r="AA211" s="386">
        <f t="shared" si="90"/>
        <v>59.11001472207252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0.14191129733711647</v>
      </c>
      <c r="AD211" s="231">
        <f>(INDEX(Models!$BJ211:$BT211,,AH211)*(1-AF211)+INDEX(Models!$BJ211:$BT211,,AH211+1)*AF211-ERP_i)*AE211*Ramure*Pc/MaxiM</f>
        <v>3.6400784562384917E-4</v>
      </c>
      <c r="AE211" s="305">
        <f t="shared" si="92"/>
        <v>0.7</v>
      </c>
      <c r="AF211" s="177">
        <f t="shared" si="93"/>
        <v>0.92509003856066307</v>
      </c>
      <c r="AG211" s="810">
        <f t="shared" si="99"/>
        <v>1</v>
      </c>
      <c r="AH211" s="176">
        <f t="shared" si="94"/>
        <v>7</v>
      </c>
      <c r="AI211" s="225">
        <f t="shared" si="95"/>
        <v>1.9250900385606631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49.731433000035565</v>
      </c>
      <c r="C212" s="840"/>
      <c r="D212" s="393">
        <f t="shared" si="77"/>
        <v>53.212222273344146</v>
      </c>
      <c r="E212" s="385">
        <f t="shared" si="75"/>
        <v>58.110601556685872</v>
      </c>
      <c r="F212" s="385">
        <f t="shared" si="78"/>
        <v>58.112800308819473</v>
      </c>
      <c r="G212" s="110">
        <f t="shared" si="76"/>
        <v>0.94001285120454359</v>
      </c>
      <c r="H212" s="414" t="b">
        <f>Wh_hp&gt;='2025'!Maxi_hp</f>
        <v>0</v>
      </c>
      <c r="I212" s="390">
        <f>IF(H212,Wh_hp,'2025'!Maxi_hp)</f>
        <v>61.577914063437071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6.5413341608403952E-2</v>
      </c>
      <c r="M212" s="844"/>
      <c r="N212" s="844"/>
      <c r="O212" s="48">
        <f>IF(t&lt;Tnet,'2025'!Resal+('2025'!Salim-'2025'!Resal)*(1-EXP(('2025'!Tnet-t)/('2025'!Tau_j))),Resal+(Salim-Resal)*(1-EXP((Tnet-t)/(Tau_j))))*Salcycl</f>
        <v>8.4294072890700303E-2</v>
      </c>
      <c r="P212" s="169">
        <f>(INDEX(Models!$BJ212:$BT212,,T212)*(1-R212)+INDEX(Models!$BJ212:$BT212,,T212+1)*R212-ERP_i)*Q212*Ramure*Pc/MaxiM</f>
        <v>4.1382007384582527E-5</v>
      </c>
      <c r="Q212" s="305">
        <f t="shared" si="80"/>
        <v>0.7</v>
      </c>
      <c r="R212" s="177">
        <f t="shared" si="81"/>
        <v>0.10755595191474021</v>
      </c>
      <c r="S212" s="810">
        <f t="shared" si="82"/>
        <v>-1</v>
      </c>
      <c r="T212" s="176">
        <f t="shared" si="83"/>
        <v>5</v>
      </c>
      <c r="U212" s="251">
        <f t="shared" si="84"/>
        <v>-0.89244404808525979</v>
      </c>
      <c r="V212" s="383">
        <f t="shared" si="85"/>
        <v>52.904868883839349</v>
      </c>
      <c r="W212" s="402">
        <f t="shared" si="86"/>
        <v>49.731433000035565</v>
      </c>
      <c r="X212" s="157">
        <f t="shared" si="87"/>
        <v>46220</v>
      </c>
      <c r="Y212" s="385">
        <f t="shared" si="88"/>
        <v>46.585138620400805</v>
      </c>
      <c r="Z212" s="385">
        <f t="shared" si="89"/>
        <v>49.845713291662911</v>
      </c>
      <c r="AA212" s="386">
        <f t="shared" si="90"/>
        <v>58.09333847352918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0.14197196096114159</v>
      </c>
      <c r="AD212" s="231">
        <f>(INDEX(Models!$BJ212:$BT212,,AH212)*(1-AF212)+INDEX(Models!$BJ212:$BT212,,AH212+1)*AF212-ERP_i)*AE212*Ramure*Pc/MaxiM</f>
        <v>3.6628494835402349E-4</v>
      </c>
      <c r="AE212" s="305">
        <f t="shared" si="92"/>
        <v>0.7</v>
      </c>
      <c r="AF212" s="177">
        <f t="shared" si="93"/>
        <v>0.92754600501392415</v>
      </c>
      <c r="AG212" s="810">
        <f t="shared" si="99"/>
        <v>1</v>
      </c>
      <c r="AH212" s="176">
        <f t="shared" si="94"/>
        <v>7</v>
      </c>
      <c r="AI212" s="225">
        <f t="shared" si="95"/>
        <v>1.9275460050139241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50.431076380540219</v>
      </c>
      <c r="C213" s="840"/>
      <c r="D213" s="393">
        <f t="shared" si="77"/>
        <v>53.962090684525315</v>
      </c>
      <c r="E213" s="385">
        <f t="shared" si="75"/>
        <v>58.937183675833438</v>
      </c>
      <c r="F213" s="385">
        <f t="shared" si="78"/>
        <v>58.939463379369229</v>
      </c>
      <c r="G213" s="110">
        <f t="shared" si="76"/>
        <v>0.9553380058495432</v>
      </c>
      <c r="H213" s="414" t="b">
        <f>Wh_hp&gt;='2025'!Maxi_hp</f>
        <v>0</v>
      </c>
      <c r="I213" s="390">
        <f>IF(H213,Wh_hp,'2025'!Maxi_hp)</f>
        <v>58.939554580216281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6.5435090805287977E-2</v>
      </c>
      <c r="M213" s="844"/>
      <c r="N213" s="844"/>
      <c r="O213" s="48">
        <f>IF(t&lt;Tnet,'2025'!Resal+('2025'!Salim-'2025'!Resal)*(1-EXP(('2025'!Tnet-t)/('2025'!Tau_j))),Resal+(Salim-Resal)*(1-EXP((Tnet-t)/(Tau_j))))*Salcycl</f>
        <v>8.441348366206558E-2</v>
      </c>
      <c r="P213" s="169">
        <f>(INDEX(Models!$BJ213:$BT213,,T213)*(1-R213)+INDEX(Models!$BJ213:$BT213,,T213+1)*R213-ERP_i)*Q213*Ramure*Pc/MaxiM</f>
        <v>4.1314567552432891E-5</v>
      </c>
      <c r="Q213" s="305">
        <f t="shared" si="80"/>
        <v>0.7</v>
      </c>
      <c r="R213" s="177">
        <f t="shared" si="81"/>
        <v>0.10994804864777263</v>
      </c>
      <c r="S213" s="810">
        <f t="shared" si="82"/>
        <v>-1</v>
      </c>
      <c r="T213" s="176">
        <f t="shared" si="83"/>
        <v>5</v>
      </c>
      <c r="U213" s="251">
        <f t="shared" si="84"/>
        <v>-0.89005195135222737</v>
      </c>
      <c r="V213" s="383">
        <f t="shared" si="85"/>
        <v>52.788587011547484</v>
      </c>
      <c r="W213" s="402">
        <f t="shared" si="86"/>
        <v>50.431076380540219</v>
      </c>
      <c r="X213" s="157">
        <f t="shared" si="87"/>
        <v>46221</v>
      </c>
      <c r="Y213" s="385">
        <f t="shared" si="88"/>
        <v>47.242942937210252</v>
      </c>
      <c r="Z213" s="385">
        <f t="shared" si="89"/>
        <v>50.550734863261823</v>
      </c>
      <c r="AA213" s="386">
        <f t="shared" si="90"/>
        <v>58.919101324270407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0.14203146811340495</v>
      </c>
      <c r="AD213" s="231">
        <f>(INDEX(Models!$BJ213:$BT213,,AH213)*(1-AF213)+INDEX(Models!$BJ213:$BT213,,AH213+1)*AF213-ERP_i)*AE213*Ramure*Pc/MaxiM</f>
        <v>3.6901706194570076E-4</v>
      </c>
      <c r="AE213" s="305">
        <f t="shared" si="92"/>
        <v>0.7</v>
      </c>
      <c r="AF213" s="177">
        <f t="shared" si="93"/>
        <v>0.92993810174695657</v>
      </c>
      <c r="AG213" s="810">
        <f t="shared" si="99"/>
        <v>1</v>
      </c>
      <c r="AH213" s="176">
        <f t="shared" si="94"/>
        <v>7</v>
      </c>
      <c r="AI213" s="225">
        <f t="shared" si="95"/>
        <v>1.9299381017469566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42.581676206326669</v>
      </c>
      <c r="C214" s="840"/>
      <c r="D214" s="393">
        <f t="shared" si="77"/>
        <v>45.564162262301501</v>
      </c>
      <c r="E214" s="385">
        <f t="shared" si="75"/>
        <v>49.771450661085375</v>
      </c>
      <c r="F214" s="385">
        <f t="shared" si="78"/>
        <v>49.772943973815252</v>
      </c>
      <c r="G214" s="110">
        <f t="shared" si="76"/>
        <v>0.80846915617028714</v>
      </c>
      <c r="H214" s="414" t="b">
        <f>Wh_hp&gt;='2025'!Maxi_hp</f>
        <v>0</v>
      </c>
      <c r="I214" s="390">
        <f>IF(H214,Wh_hp,'2025'!Maxi_hp)</f>
        <v>61.968501061499985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6.5456839496036423E-2</v>
      </c>
      <c r="M214" s="844"/>
      <c r="N214" s="844"/>
      <c r="O214" s="48">
        <f>IF(t&lt;Tnet,'2025'!Resal+('2025'!Salim-'2025'!Resal)*(1-EXP(('2025'!Tnet-t)/('2025'!Tau_j))),Resal+(Salim-Resal)*(1-EXP((Tnet-t)/(Tau_j))))*Salcycl</f>
        <v>8.453216337681331E-2</v>
      </c>
      <c r="P214" s="169">
        <f>(INDEX(Models!$BJ214:$BT214,,T214)*(1-R214)+INDEX(Models!$BJ214:$BT214,,T214+1)*R214-ERP_i)*Q214*Ramure*Pc/MaxiM</f>
        <v>4.13031391775101E-5</v>
      </c>
      <c r="Q214" s="305">
        <f t="shared" si="80"/>
        <v>0.7</v>
      </c>
      <c r="R214" s="177">
        <f t="shared" si="81"/>
        <v>0.11227679366022358</v>
      </c>
      <c r="S214" s="810">
        <f t="shared" si="82"/>
        <v>-1</v>
      </c>
      <c r="T214" s="176">
        <f t="shared" si="83"/>
        <v>5</v>
      </c>
      <c r="U214" s="251">
        <f t="shared" si="84"/>
        <v>-0.88772320633977642</v>
      </c>
      <c r="V214" s="383">
        <f t="shared" si="85"/>
        <v>52.668917133980621</v>
      </c>
      <c r="W214" s="402">
        <f t="shared" si="86"/>
        <v>42.581676206326669</v>
      </c>
      <c r="X214" s="157">
        <f t="shared" si="87"/>
        <v>46222</v>
      </c>
      <c r="Y214" s="385">
        <f t="shared" si="88"/>
        <v>39.894869042562448</v>
      </c>
      <c r="Z214" s="385">
        <f t="shared" si="89"/>
        <v>42.689166994757805</v>
      </c>
      <c r="AA214" s="386">
        <f t="shared" si="90"/>
        <v>49.75948674935514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0.1420898850949053</v>
      </c>
      <c r="AD214" s="231">
        <f>(INDEX(Models!$BJ214:$BT214,,AH214)*(1-AF214)+INDEX(Models!$BJ214:$BT214,,AH214+1)*AF214-ERP_i)*AE214*Ramure*Pc/MaxiM</f>
        <v>3.7220978814281672E-4</v>
      </c>
      <c r="AE214" s="305">
        <f t="shared" si="92"/>
        <v>0.7</v>
      </c>
      <c r="AF214" s="177">
        <f t="shared" si="93"/>
        <v>0.93226684675940752</v>
      </c>
      <c r="AG214" s="810">
        <f t="shared" si="99"/>
        <v>1</v>
      </c>
      <c r="AH214" s="176">
        <f t="shared" si="94"/>
        <v>7</v>
      </c>
      <c r="AI214" s="225">
        <f t="shared" si="95"/>
        <v>1.9322668467594075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41.445406679562211</v>
      </c>
      <c r="C215" s="840"/>
      <c r="D215" s="393">
        <f t="shared" si="77"/>
        <v>44.349338745166961</v>
      </c>
      <c r="E215" s="385">
        <f t="shared" si="75"/>
        <v>48.450697486680532</v>
      </c>
      <c r="F215" s="385">
        <f t="shared" si="78"/>
        <v>48.452096337207841</v>
      </c>
      <c r="G215" s="110">
        <f t="shared" si="76"/>
        <v>0.78873891314097011</v>
      </c>
      <c r="H215" s="414" t="b">
        <f>Wh_hp&gt;='2025'!Maxi_hp</f>
        <v>0</v>
      </c>
      <c r="I215" s="390">
        <f>IF(H215,Wh_hp,'2025'!Maxi_hp)</f>
        <v>60.24378453040314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6.5478587680660949E-2</v>
      </c>
      <c r="M215" s="844"/>
      <c r="N215" s="844"/>
      <c r="O215" s="48">
        <f>IF(t&lt;Tnet,'2025'!Resal+('2025'!Salim-'2025'!Resal)*(1-EXP(('2025'!Tnet-t)/('2025'!Tau_j))),Resal+(Salim-Resal)*(1-EXP((Tnet-t)/(Tau_j))))*Salcycl</f>
        <v>8.4650148589523647E-2</v>
      </c>
      <c r="P215" s="169">
        <f>(INDEX(Models!$BJ215:$BT215,,T215)*(1-R215)+INDEX(Models!$BJ215:$BT215,,T215+1)*R215-ERP_i)*Q215*Ramure*Pc/MaxiM</f>
        <v>4.1349581061204022E-5</v>
      </c>
      <c r="Q215" s="305">
        <f t="shared" si="80"/>
        <v>0.7</v>
      </c>
      <c r="R215" s="177">
        <f t="shared" si="81"/>
        <v>0.11454278200857171</v>
      </c>
      <c r="S215" s="810">
        <f t="shared" si="82"/>
        <v>-1</v>
      </c>
      <c r="T215" s="176">
        <f t="shared" si="83"/>
        <v>5</v>
      </c>
      <c r="U215" s="251">
        <f t="shared" si="84"/>
        <v>-0.88545721799142829</v>
      </c>
      <c r="V215" s="383">
        <f t="shared" si="85"/>
        <v>52.545764873208633</v>
      </c>
      <c r="W215" s="402">
        <f t="shared" si="86"/>
        <v>41.445406679562211</v>
      </c>
      <c r="X215" s="157">
        <f t="shared" si="87"/>
        <v>46223</v>
      </c>
      <c r="Y215" s="385">
        <f t="shared" si="88"/>
        <v>38.832966991222975</v>
      </c>
      <c r="Z215" s="385">
        <f t="shared" si="89"/>
        <v>41.553854710343657</v>
      </c>
      <c r="AA215" s="386">
        <f t="shared" si="90"/>
        <v>48.439380745912715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0.14214727623556703</v>
      </c>
      <c r="AD215" s="231">
        <f>(INDEX(Models!$BJ215:$BT215,,AH215)*(1-AF215)+INDEX(Models!$BJ215:$BT215,,AH215+1)*AF215-ERP_i)*AE215*Ramure*Pc/MaxiM</f>
        <v>3.7586887428938862E-4</v>
      </c>
      <c r="AE215" s="305">
        <f t="shared" si="92"/>
        <v>0.7</v>
      </c>
      <c r="AF215" s="177">
        <f t="shared" si="93"/>
        <v>0.93453283510775575</v>
      </c>
      <c r="AG215" s="810">
        <f t="shared" si="99"/>
        <v>1</v>
      </c>
      <c r="AH215" s="176">
        <f t="shared" si="94"/>
        <v>7</v>
      </c>
      <c r="AI215" s="225">
        <f t="shared" si="95"/>
        <v>1.9345328351077558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48.13579934197525</v>
      </c>
      <c r="C216" s="840"/>
      <c r="D216" s="393">
        <f t="shared" si="77"/>
        <v>51.509702104041068</v>
      </c>
      <c r="E216" s="385">
        <f t="shared" si="75"/>
        <v>56.280454068834949</v>
      </c>
      <c r="F216" s="385">
        <f t="shared" si="78"/>
        <v>56.282514940935791</v>
      </c>
      <c r="G216" s="110">
        <f t="shared" si="76"/>
        <v>0.91828408322911037</v>
      </c>
      <c r="H216" s="414" t="b">
        <f>Wh_hp&gt;='2025'!Maxi_hp</f>
        <v>0</v>
      </c>
      <c r="I216" s="390">
        <f>IF(H216,Wh_hp,'2025'!Maxi_hp)</f>
        <v>56.282674780576194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6.5500335359173545E-2</v>
      </c>
      <c r="M216" s="844"/>
      <c r="N216" s="844"/>
      <c r="O216" s="48">
        <f>IF(t&lt;Tnet,'2025'!Resal+('2025'!Salim-'2025'!Resal)*(1-EXP(('2025'!Tnet-t)/('2025'!Tau_j))),Resal+(Salim-Resal)*(1-EXP((Tnet-t)/(Tau_j))))*Salcycl</f>
        <v>8.4767474671737994E-2</v>
      </c>
      <c r="P216" s="169">
        <f>(INDEX(Models!$BJ216:$BT216,,T216)*(1-R216)+INDEX(Models!$BJ216:$BT216,,T216+1)*R216-ERP_i)*Q216*Ramure*Pc/MaxiM</f>
        <v>4.1455713746463003E-5</v>
      </c>
      <c r="Q216" s="305">
        <f t="shared" si="80"/>
        <v>0.7</v>
      </c>
      <c r="R216" s="177">
        <f t="shared" si="81"/>
        <v>0.11674668021501966</v>
      </c>
      <c r="S216" s="810">
        <f t="shared" si="82"/>
        <v>-1</v>
      </c>
      <c r="T216" s="176">
        <f t="shared" si="83"/>
        <v>5</v>
      </c>
      <c r="U216" s="251">
        <f t="shared" si="84"/>
        <v>-0.88325331978498034</v>
      </c>
      <c r="V216" s="383">
        <f t="shared" si="85"/>
        <v>52.419035978123823</v>
      </c>
      <c r="W216" s="402">
        <f t="shared" si="86"/>
        <v>48.13579934197525</v>
      </c>
      <c r="X216" s="157">
        <f t="shared" si="87"/>
        <v>46224</v>
      </c>
      <c r="Y216" s="385">
        <f t="shared" si="88"/>
        <v>45.101503507508937</v>
      </c>
      <c r="Z216" s="385">
        <f t="shared" si="89"/>
        <v>48.262728403271957</v>
      </c>
      <c r="AA216" s="386">
        <f t="shared" si="90"/>
        <v>56.263624133961429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0.14220370361567286</v>
      </c>
      <c r="AD216" s="231">
        <f>(INDEX(Models!$BJ216:$BT216,,AH216)*(1-AF216)+INDEX(Models!$BJ216:$BT216,,AH216+1)*AF216-ERP_i)*AE216*Ramure*Pc/MaxiM</f>
        <v>3.8000023681688811E-4</v>
      </c>
      <c r="AE216" s="305">
        <f t="shared" si="92"/>
        <v>0.7</v>
      </c>
      <c r="AF216" s="177">
        <f t="shared" si="93"/>
        <v>0.9367367333142036</v>
      </c>
      <c r="AG216" s="810">
        <f t="shared" si="99"/>
        <v>1</v>
      </c>
      <c r="AH216" s="176">
        <f t="shared" si="94"/>
        <v>7</v>
      </c>
      <c r="AI216" s="225">
        <f t="shared" si="95"/>
        <v>1.9367367333142036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36.777245503010974</v>
      </c>
      <c r="C217" s="840"/>
      <c r="D217" s="393">
        <f t="shared" si="77"/>
        <v>39.355927856105886</v>
      </c>
      <c r="E217" s="385">
        <f t="shared" si="75"/>
        <v>43.006499078124023</v>
      </c>
      <c r="F217" s="385">
        <f t="shared" si="78"/>
        <v>43.007530570364736</v>
      </c>
      <c r="G217" s="110">
        <f t="shared" si="76"/>
        <v>0.70333822668760559</v>
      </c>
      <c r="H217" s="414" t="b">
        <f>Wh_hp&gt;='2025'!Maxi_hp</f>
        <v>0</v>
      </c>
      <c r="I217" s="390">
        <f>IF(H217,Wh_hp,'2025'!Maxi_hp)</f>
        <v>55.15109317310074</v>
      </c>
      <c r="J217" s="85">
        <f>IF(H217,An,'2025'!An_max)</f>
        <v>2020</v>
      </c>
      <c r="K217" s="197">
        <f t="shared" si="79"/>
        <v>46225</v>
      </c>
      <c r="L217" s="147">
        <f>IF(t&lt;Tvie,1-EXP((T0-t)*PertePVj)+'2025'!Pspv,1-EXP((T0-t)*PertePVj)+Pspv)</f>
        <v>6.5522082531585868E-2</v>
      </c>
      <c r="M217" s="844"/>
      <c r="N217" s="844"/>
      <c r="O217" s="48">
        <f>IF(t&lt;Tnet,'2025'!Resal+('2025'!Salim-'2025'!Resal)*(1-EXP(('2025'!Tnet-t)/('2025'!Tau_j))),Resal+(Salim-Resal)*(1-EXP((Tnet-t)/(Tau_j))))*Salcycl</f>
        <v>8.4884175654164368E-2</v>
      </c>
      <c r="P217" s="169">
        <f>(INDEX(Models!$BJ217:$BT217,,T217)*(1-R217)+INDEX(Models!$BJ217:$BT217,,T217+1)*R217-ERP_i)*Q217*Ramure*Pc/MaxiM</f>
        <v>4.1623323574860399E-5</v>
      </c>
      <c r="Q217" s="305">
        <f t="shared" si="80"/>
        <v>0.7</v>
      </c>
      <c r="R217" s="177">
        <f t="shared" si="81"/>
        <v>0.11888922074084296</v>
      </c>
      <c r="S217" s="810">
        <f t="shared" si="82"/>
        <v>-1</v>
      </c>
      <c r="T217" s="176">
        <f t="shared" si="83"/>
        <v>5</v>
      </c>
      <c r="U217" s="251">
        <f t="shared" si="84"/>
        <v>-0.88111077925915704</v>
      </c>
      <c r="V217" s="383">
        <f t="shared" si="85"/>
        <v>52.288636343001009</v>
      </c>
      <c r="W217" s="402">
        <f t="shared" si="86"/>
        <v>36.777245503010974</v>
      </c>
      <c r="X217" s="157">
        <f t="shared" si="87"/>
        <v>46225</v>
      </c>
      <c r="Y217" s="385">
        <f t="shared" si="88"/>
        <v>34.464608269870425</v>
      </c>
      <c r="Z217" s="385">
        <f t="shared" si="89"/>
        <v>36.881137184320195</v>
      </c>
      <c r="AA217" s="386">
        <f t="shared" si="90"/>
        <v>42.997999322470228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0.14225922681368666</v>
      </c>
      <c r="AD217" s="231">
        <f>(INDEX(Models!$BJ217:$BT217,,AH217)*(1-AF217)+INDEX(Models!$BJ217:$BT217,,AH217+1)*AF217-ERP_i)*AE217*Ramure*Pc/MaxiM</f>
        <v>3.8460998495860687E-4</v>
      </c>
      <c r="AE217" s="305">
        <f t="shared" si="92"/>
        <v>0.7</v>
      </c>
      <c r="AF217" s="177">
        <f t="shared" si="93"/>
        <v>0.9388792738400269</v>
      </c>
      <c r="AG217" s="810">
        <f t="shared" si="99"/>
        <v>1</v>
      </c>
      <c r="AH217" s="176">
        <f t="shared" si="94"/>
        <v>7</v>
      </c>
      <c r="AI217" s="225">
        <f t="shared" si="95"/>
        <v>1.9388792738400269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47.912397165853548</v>
      </c>
      <c r="C218" s="840"/>
      <c r="D218" s="393">
        <f t="shared" si="77"/>
        <v>51.273027738398852</v>
      </c>
      <c r="E218" s="385">
        <f t="shared" si="75"/>
        <v>56.036113286761385</v>
      </c>
      <c r="F218" s="385">
        <f t="shared" si="78"/>
        <v>56.038186190131405</v>
      </c>
      <c r="G218" s="110">
        <f t="shared" si="76"/>
        <v>0.91865879000215422</v>
      </c>
      <c r="H218" s="414" t="b">
        <f>Wh_hp&gt;='2025'!Maxi_hp</f>
        <v>0</v>
      </c>
      <c r="I218" s="390">
        <f>IF(H218,Wh_hp,'2025'!Maxi_hp)</f>
        <v>57.142071976400118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6.5543829197909798E-2</v>
      </c>
      <c r="M218" s="844"/>
      <c r="N218" s="844"/>
      <c r="O218" s="48">
        <f>IF(t&lt;Tnet,'2025'!Resal+('2025'!Salim-'2025'!Resal)*(1-EXP(('2025'!Tnet-t)/('2025'!Tau_j))),Resal+(Salim-Resal)*(1-EXP((Tnet-t)/(Tau_j))))*Salcycl</f>
        <v>8.5000284084439146E-2</v>
      </c>
      <c r="P218" s="169">
        <f>(INDEX(Models!$BJ218:$BT218,,T218)*(1-R218)+INDEX(Models!$BJ218:$BT218,,T218+1)*R218-ERP_i)*Q218*Ramure*Pc/MaxiM</f>
        <v>4.1854167066071083E-5</v>
      </c>
      <c r="Q218" s="305">
        <f t="shared" si="80"/>
        <v>0.7</v>
      </c>
      <c r="R218" s="177">
        <f t="shared" si="81"/>
        <v>0.12097119654974864</v>
      </c>
      <c r="S218" s="810">
        <f t="shared" si="82"/>
        <v>-1</v>
      </c>
      <c r="T218" s="176">
        <f t="shared" si="83"/>
        <v>5</v>
      </c>
      <c r="U218" s="251">
        <f t="shared" si="84"/>
        <v>-0.87902880345025136</v>
      </c>
      <c r="V218" s="383">
        <f t="shared" si="85"/>
        <v>52.154472006635636</v>
      </c>
      <c r="W218" s="402">
        <f t="shared" si="86"/>
        <v>47.912397165853548</v>
      </c>
      <c r="X218" s="157">
        <f t="shared" si="87"/>
        <v>46226</v>
      </c>
      <c r="Y218" s="385">
        <f t="shared" si="88"/>
        <v>44.897459770550292</v>
      </c>
      <c r="Z218" s="385">
        <f t="shared" si="89"/>
        <v>48.046619171033534</v>
      </c>
      <c r="AA218" s="386">
        <f t="shared" si="90"/>
        <v>56.01888537222478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0.14231390268154187</v>
      </c>
      <c r="AD218" s="231">
        <f>(INDEX(Models!$BJ218:$BT218,,AH218)*(1-AF218)+INDEX(Models!$BJ218:$BT218,,AH218+1)*AF218-ERP_i)*AE218*Ramure*Pc/MaxiM</f>
        <v>3.8970444491513408E-4</v>
      </c>
      <c r="AE218" s="305">
        <f t="shared" si="92"/>
        <v>0.7</v>
      </c>
      <c r="AF218" s="177">
        <f t="shared" si="93"/>
        <v>0.94096124964893257</v>
      </c>
      <c r="AG218" s="810">
        <f t="shared" si="99"/>
        <v>1</v>
      </c>
      <c r="AH218" s="176">
        <f t="shared" si="94"/>
        <v>7</v>
      </c>
      <c r="AI218" s="225">
        <f t="shared" si="95"/>
        <v>1.9409612496489326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48.237303156623952</v>
      </c>
      <c r="C219" s="840"/>
      <c r="D219" s="393">
        <f t="shared" si="77"/>
        <v>51.621924326164148</v>
      </c>
      <c r="E219" s="385">
        <f t="shared" si="75"/>
        <v>56.42454648330515</v>
      </c>
      <c r="F219" s="385">
        <f t="shared" si="78"/>
        <v>56.426678007747832</v>
      </c>
      <c r="G219" s="110">
        <f t="shared" si="76"/>
        <v>0.92734248501481209</v>
      </c>
      <c r="H219" s="414" t="b">
        <f>Wh_hp&gt;='2025'!Maxi_hp</f>
        <v>0</v>
      </c>
      <c r="I219" s="390">
        <f>IF(H219,Wh_hp,'2025'!Maxi_hp)</f>
        <v>57.379495039905848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6.5565575358156991E-2</v>
      </c>
      <c r="M219" s="844"/>
      <c r="N219" s="844"/>
      <c r="O219" s="48">
        <f>IF(t&lt;Tnet,'2025'!Resal+('2025'!Salim-'2025'!Resal)*(1-EXP(('2025'!Tnet-t)/('2025'!Tau_j))),Resal+(Salim-Resal)*(1-EXP((Tnet-t)/(Tau_j))))*Salcycl</f>
        <v>8.5115830901042244E-2</v>
      </c>
      <c r="P219" s="169">
        <f>(INDEX(Models!$BJ219:$BT219,,T219)*(1-R219)+INDEX(Models!$BJ219:$BT219,,T219+1)*R219-ERP_i)*Q219*Ramure*Pc/MaxiM</f>
        <v>4.2149882251949332E-5</v>
      </c>
      <c r="Q219" s="305">
        <f t="shared" si="80"/>
        <v>0.7</v>
      </c>
      <c r="R219" s="177">
        <f t="shared" si="81"/>
        <v>0.12299345578405041</v>
      </c>
      <c r="S219" s="810">
        <f t="shared" si="82"/>
        <v>-1</v>
      </c>
      <c r="T219" s="176">
        <f t="shared" si="83"/>
        <v>5</v>
      </c>
      <c r="U219" s="251">
        <f t="shared" si="84"/>
        <v>-0.87700654421594959</v>
      </c>
      <c r="V219" s="383">
        <f t="shared" si="85"/>
        <v>52.016480320182318</v>
      </c>
      <c r="W219" s="402">
        <f t="shared" si="86"/>
        <v>48.237303156623952</v>
      </c>
      <c r="X219" s="157">
        <f t="shared" si="87"/>
        <v>46227</v>
      </c>
      <c r="Y219" s="385">
        <f t="shared" si="88"/>
        <v>45.204379995243436</v>
      </c>
      <c r="Z219" s="385">
        <f t="shared" si="89"/>
        <v>48.376192917517685</v>
      </c>
      <c r="AA219" s="386">
        <f t="shared" si="90"/>
        <v>56.40668818145663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0.14236778514819667</v>
      </c>
      <c r="AD219" s="231">
        <f>(INDEX(Models!$BJ219:$BT219,,AH219)*(1-AF219)+INDEX(Models!$BJ219:$BT219,,AH219+1)*AF219-ERP_i)*AE219*Ramure*Pc/MaxiM</f>
        <v>3.9528930916243968E-4</v>
      </c>
      <c r="AE219" s="305">
        <f t="shared" si="92"/>
        <v>0.7</v>
      </c>
      <c r="AF219" s="177">
        <f t="shared" si="93"/>
        <v>0.94298350888323434</v>
      </c>
      <c r="AG219" s="810">
        <f t="shared" si="99"/>
        <v>1</v>
      </c>
      <c r="AH219" s="176">
        <f t="shared" si="94"/>
        <v>7</v>
      </c>
      <c r="AI219" s="225">
        <f t="shared" si="95"/>
        <v>1.9429835088832343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25.937424296172907</v>
      </c>
      <c r="C220" s="840"/>
      <c r="D220" s="393">
        <f t="shared" si="77"/>
        <v>27.757996952988069</v>
      </c>
      <c r="E220" s="385">
        <f t="shared" si="75"/>
        <v>30.344264245347659</v>
      </c>
      <c r="F220" s="385">
        <f t="shared" si="78"/>
        <v>30.344632804930523</v>
      </c>
      <c r="G220" s="110">
        <f t="shared" si="76"/>
        <v>0.49998602354678851</v>
      </c>
      <c r="H220" s="414" t="b">
        <f>Wh_hp&gt;='2025'!Maxi_hp</f>
        <v>0</v>
      </c>
      <c r="I220" s="390">
        <f>IF(H220,Wh_hp,'2025'!Maxi_hp)</f>
        <v>60.574640900410465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6.5587321012339217E-2</v>
      </c>
      <c r="M220" s="844"/>
      <c r="N220" s="844"/>
      <c r="O220" s="48">
        <f>IF(t&lt;Tnet,'2025'!Resal+('2025'!Salim-'2025'!Resal)*(1-EXP(('2025'!Tnet-t)/('2025'!Tau_j))),Resal+(Salim-Resal)*(1-EXP((Tnet-t)/(Tau_j))))*Salcycl</f>
        <v>8.5230845323795004E-2</v>
      </c>
      <c r="P220" s="169">
        <f>(INDEX(Models!$BJ220:$BT220,,T220)*(1-R220)+INDEX(Models!$BJ220:$BT220,,T220+1)*R220-ERP_i)*Q220*Ramure*Pc/MaxiM</f>
        <v>4.2510013902175815E-5</v>
      </c>
      <c r="Q220" s="305">
        <f t="shared" si="80"/>
        <v>0.7</v>
      </c>
      <c r="R220" s="177">
        <f t="shared" si="81"/>
        <v>0.12495689657375841</v>
      </c>
      <c r="S220" s="810">
        <f t="shared" si="82"/>
        <v>-1</v>
      </c>
      <c r="T220" s="176">
        <f t="shared" si="83"/>
        <v>5</v>
      </c>
      <c r="U220" s="251">
        <f t="shared" si="84"/>
        <v>-0.87504310342624159</v>
      </c>
      <c r="V220" s="383">
        <f t="shared" si="85"/>
        <v>51.87472348306521</v>
      </c>
      <c r="W220" s="402">
        <f t="shared" si="86"/>
        <v>25.937424296172907</v>
      </c>
      <c r="X220" s="157">
        <f t="shared" si="87"/>
        <v>46228</v>
      </c>
      <c r="Y220" s="385">
        <f t="shared" si="88"/>
        <v>24.313356514104822</v>
      </c>
      <c r="Z220" s="385">
        <f t="shared" si="89"/>
        <v>26.019934297601591</v>
      </c>
      <c r="AA220" s="386">
        <f t="shared" si="90"/>
        <v>30.341148772990415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0.14242092505197285</v>
      </c>
      <c r="AD220" s="231">
        <f>(INDEX(Models!$BJ220:$BT220,,AH220)*(1-AF220)+INDEX(Models!$BJ220:$BT220,,AH220+1)*AF220-ERP_i)*AE220*Ramure*Pc/MaxiM</f>
        <v>4.0185156782383623E-4</v>
      </c>
      <c r="AE220" s="305">
        <f t="shared" si="92"/>
        <v>0.7</v>
      </c>
      <c r="AF220" s="177">
        <f t="shared" si="93"/>
        <v>0.94494694967294235</v>
      </c>
      <c r="AG220" s="810">
        <f t="shared" si="99"/>
        <v>1</v>
      </c>
      <c r="AH220" s="176">
        <f t="shared" si="94"/>
        <v>7</v>
      </c>
      <c r="AI220" s="225">
        <f t="shared" si="95"/>
        <v>1.9449469496729423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54.159290180111647</v>
      </c>
      <c r="C221" s="840"/>
      <c r="D221" s="393">
        <f t="shared" si="77"/>
        <v>57.962131500531804</v>
      </c>
      <c r="E221" s="385">
        <f t="shared" si="75"/>
        <v>63.370510172611766</v>
      </c>
      <c r="F221" s="385">
        <f t="shared" si="78"/>
        <v>63.373229232524722</v>
      </c>
      <c r="G221" s="110">
        <f t="shared" si="76"/>
        <v>1.0469751951243975</v>
      </c>
      <c r="H221" s="414" t="b">
        <f>Wh_hp&gt;='2025'!Maxi_hp</f>
        <v>1</v>
      </c>
      <c r="I221" s="390">
        <f>IF(H221,Wh_hp,'2025'!Maxi_hp)</f>
        <v>63.373229232524722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6.5609066160468354E-2</v>
      </c>
      <c r="M221" s="844"/>
      <c r="N221" s="844"/>
      <c r="O221" s="48">
        <f>IF(t&lt;Tnet,'2025'!Resal+('2025'!Salim-'2025'!Resal)*(1-EXP(('2025'!Tnet-t)/('2025'!Tau_j))),Resal+(Salim-Resal)*(1-EXP((Tnet-t)/(Tau_j))))*Salcycl</f>
        <v>8.5345354761202752E-2</v>
      </c>
      <c r="P221" s="169">
        <f>(INDEX(Models!$BJ221:$BT221,,T221)*(1-R221)+INDEX(Models!$BJ221:$BT221,,T221+1)*R221-ERP_i)*Q221*Ramure*Pc/MaxiM</f>
        <v>4.2905497256236252E-5</v>
      </c>
      <c r="Q221" s="305">
        <f t="shared" si="80"/>
        <v>0.7</v>
      </c>
      <c r="R221" s="177">
        <f t="shared" si="81"/>
        <v>0.12686246199604567</v>
      </c>
      <c r="S221" s="810">
        <f t="shared" si="82"/>
        <v>-1</v>
      </c>
      <c r="T221" s="176">
        <f t="shared" si="83"/>
        <v>5</v>
      </c>
      <c r="U221" s="251">
        <f t="shared" si="84"/>
        <v>-0.87313753800395433</v>
      </c>
      <c r="V221" s="383">
        <f t="shared" si="85"/>
        <v>51.729296388608951</v>
      </c>
      <c r="W221" s="402">
        <f t="shared" si="86"/>
        <v>54.159290180111647</v>
      </c>
      <c r="X221" s="157">
        <f t="shared" si="87"/>
        <v>46229</v>
      </c>
      <c r="Y221" s="385">
        <f t="shared" si="88"/>
        <v>50.757968651289531</v>
      </c>
      <c r="Z221" s="385">
        <f t="shared" si="89"/>
        <v>54.321983243906871</v>
      </c>
      <c r="AA221" s="386">
        <f t="shared" si="90"/>
        <v>63.347284321686871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0.14247337000191179</v>
      </c>
      <c r="AD221" s="231">
        <f>(INDEX(Models!$BJ221:$BT221,,AH221)*(1-AF221)+INDEX(Models!$BJ221:$BT221,,AH221+1)*AF221-ERP_i)*AE221*Ramure*Pc/MaxiM</f>
        <v>4.0939859230870436E-4</v>
      </c>
      <c r="AE221" s="305">
        <f t="shared" si="92"/>
        <v>0.7</v>
      </c>
      <c r="AF221" s="177">
        <f t="shared" si="93"/>
        <v>0.94685251509522961</v>
      </c>
      <c r="AG221" s="810">
        <f t="shared" si="99"/>
        <v>1</v>
      </c>
      <c r="AH221" s="176">
        <f t="shared" si="94"/>
        <v>7</v>
      </c>
      <c r="AI221" s="225">
        <f t="shared" si="95"/>
        <v>1.9468525150952296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52.565553476815204</v>
      </c>
      <c r="C222" s="840"/>
      <c r="D222" s="393">
        <f t="shared" si="77"/>
        <v>56.257798399758066</v>
      </c>
      <c r="E222" s="385">
        <f t="shared" si="75"/>
        <v>61.514816795140717</v>
      </c>
      <c r="F222" s="385">
        <f t="shared" si="78"/>
        <v>61.517482793724277</v>
      </c>
      <c r="G222" s="110">
        <f t="shared" si="76"/>
        <v>1.0191015019691729</v>
      </c>
      <c r="H222" s="414" t="b">
        <f>Wh_hp&gt;='2025'!Maxi_hp</f>
        <v>1</v>
      </c>
      <c r="I222" s="390">
        <f>IF(H222,Wh_hp,'2025'!Maxi_hp)</f>
        <v>61.517482793724277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6.5630810802556061E-2</v>
      </c>
      <c r="M222" s="844"/>
      <c r="N222" s="844"/>
      <c r="O222" s="48">
        <f>IF(t&lt;Tnet,'2025'!Resal+('2025'!Salim-'2025'!Resal)*(1-EXP(('2025'!Tnet-t)/('2025'!Tau_j))),Resal+(Salim-Resal)*(1-EXP((Tnet-t)/(Tau_j))))*Salcycl</f>
        <v>8.5459384734734661E-2</v>
      </c>
      <c r="P222" s="169">
        <f>(INDEX(Models!$BJ222:$BT222,,T222)*(1-R222)+INDEX(Models!$BJ222:$BT222,,T222+1)*R222-ERP_i)*Q222*Ramure*Pc/MaxiM</f>
        <v>4.3337250851086494E-5</v>
      </c>
      <c r="Q222" s="305">
        <f t="shared" si="80"/>
        <v>0.7</v>
      </c>
      <c r="R222" s="177">
        <f t="shared" si="81"/>
        <v>0.12871113520001831</v>
      </c>
      <c r="S222" s="810">
        <f t="shared" si="82"/>
        <v>-1</v>
      </c>
      <c r="T222" s="176">
        <f t="shared" si="83"/>
        <v>5</v>
      </c>
      <c r="U222" s="251">
        <f t="shared" si="84"/>
        <v>-0.87128886479998169</v>
      </c>
      <c r="V222" s="383">
        <f t="shared" si="85"/>
        <v>51.580292419591856</v>
      </c>
      <c r="W222" s="402">
        <f t="shared" si="86"/>
        <v>52.565553476815204</v>
      </c>
      <c r="X222" s="157">
        <f t="shared" si="87"/>
        <v>46230</v>
      </c>
      <c r="Y222" s="385">
        <f t="shared" si="88"/>
        <v>49.26708890229412</v>
      </c>
      <c r="Z222" s="385">
        <f t="shared" si="89"/>
        <v>52.727647135508626</v>
      </c>
      <c r="AA222" s="386">
        <f t="shared" si="90"/>
        <v>61.491772047750842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0.1425251642680995</v>
      </c>
      <c r="AD222" s="231">
        <f>(INDEX(Models!$BJ222:$BT222,,AH222)*(1-AF222)+INDEX(Models!$BJ222:$BT222,,AH222+1)*AF222-ERP_i)*AE222*Ramure*Pc/MaxiM</f>
        <v>4.1794210045376182E-4</v>
      </c>
      <c r="AE222" s="305">
        <f t="shared" si="92"/>
        <v>0.7</v>
      </c>
      <c r="AF222" s="177">
        <f t="shared" si="93"/>
        <v>0.94870118829920225</v>
      </c>
      <c r="AG222" s="810">
        <f t="shared" si="99"/>
        <v>1</v>
      </c>
      <c r="AH222" s="176">
        <f t="shared" si="94"/>
        <v>7</v>
      </c>
      <c r="AI222" s="225">
        <f t="shared" si="95"/>
        <v>1.9487011882992022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42.088296077497098</v>
      </c>
      <c r="C223" s="840"/>
      <c r="D223" s="393">
        <f t="shared" si="77"/>
        <v>45.045658657237439</v>
      </c>
      <c r="E223" s="385">
        <f t="shared" si="75"/>
        <v>49.26107456217359</v>
      </c>
      <c r="F223" s="385">
        <f t="shared" si="78"/>
        <v>49.262672708900176</v>
      </c>
      <c r="G223" s="110">
        <f t="shared" si="76"/>
        <v>0.81838642960257346</v>
      </c>
      <c r="H223" s="414" t="b">
        <f>Wh_hp&gt;='2025'!Maxi_hp</f>
        <v>0</v>
      </c>
      <c r="I223" s="390">
        <f>IF(H223,Wh_hp,'2025'!Maxi_hp)</f>
        <v>57.712856761591276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6.5652554938614216E-2</v>
      </c>
      <c r="M223" s="844"/>
      <c r="N223" s="844"/>
      <c r="O223" s="48">
        <f>IF(t&lt;Tnet,'2025'!Resal+('2025'!Salim-'2025'!Resal)*(1-EXP(('2025'!Tnet-t)/('2025'!Tau_j))),Resal+(Salim-Resal)*(1-EXP((Tnet-t)/(Tau_j))))*Salcycl</f>
        <v>8.5572958819965808E-2</v>
      </c>
      <c r="P223" s="169">
        <f>(INDEX(Models!$BJ223:$BT223,,T223)*(1-R223)+INDEX(Models!$BJ223:$BT223,,T223+1)*R223-ERP_i)*Q223*Ramure*Pc/MaxiM</f>
        <v>4.3806171877276091E-5</v>
      </c>
      <c r="Q223" s="305">
        <f t="shared" si="80"/>
        <v>0.7</v>
      </c>
      <c r="R223" s="177">
        <f t="shared" si="81"/>
        <v>0.13050393470928356</v>
      </c>
      <c r="S223" s="810">
        <f t="shared" si="82"/>
        <v>-1</v>
      </c>
      <c r="T223" s="176">
        <f t="shared" si="83"/>
        <v>5</v>
      </c>
      <c r="U223" s="251">
        <f t="shared" si="84"/>
        <v>-0.86949606529071644</v>
      </c>
      <c r="V223" s="383">
        <f t="shared" si="85"/>
        <v>51.42780502320565</v>
      </c>
      <c r="W223" s="402">
        <f t="shared" si="86"/>
        <v>42.088296077497098</v>
      </c>
      <c r="X223" s="157">
        <f t="shared" si="87"/>
        <v>46231</v>
      </c>
      <c r="Y223" s="385">
        <f t="shared" si="88"/>
        <v>39.453389309449783</v>
      </c>
      <c r="Z223" s="385">
        <f t="shared" si="89"/>
        <v>42.225608383675443</v>
      </c>
      <c r="AA223" s="386">
        <f t="shared" si="90"/>
        <v>49.247076774340748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0.14257634870063404</v>
      </c>
      <c r="AD223" s="231">
        <f>(INDEX(Models!$BJ223:$BT223,,AH223)*(1-AF223)+INDEX(Models!$BJ223:$BT223,,AH223+1)*AF223-ERP_i)*AE223*Ramure*Pc/MaxiM</f>
        <v>4.2749403326521886E-4</v>
      </c>
      <c r="AE223" s="305">
        <f t="shared" si="92"/>
        <v>0.7</v>
      </c>
      <c r="AF223" s="177">
        <f t="shared" si="93"/>
        <v>0.9504939878084675</v>
      </c>
      <c r="AG223" s="810">
        <f t="shared" si="99"/>
        <v>1</v>
      </c>
      <c r="AH223" s="176">
        <f t="shared" si="94"/>
        <v>7</v>
      </c>
      <c r="AI223" s="225">
        <f t="shared" si="95"/>
        <v>1.9504939878084675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30.918045434168533</v>
      </c>
      <c r="C224" s="840"/>
      <c r="D224" s="393">
        <f t="shared" si="77"/>
        <v>33.091292882988732</v>
      </c>
      <c r="E224" s="385">
        <f t="shared" si="75"/>
        <v>36.19248578904508</v>
      </c>
      <c r="F224" s="385">
        <f t="shared" si="78"/>
        <v>36.19318006771914</v>
      </c>
      <c r="G224" s="110">
        <f t="shared" si="76"/>
        <v>0.60300577361354935</v>
      </c>
      <c r="H224" s="414" t="b">
        <f>Wh_hp&gt;='2025'!Maxi_hp</f>
        <v>0</v>
      </c>
      <c r="I224" s="390">
        <f>IF(H224,Wh_hp,'2025'!Maxi_hp)</f>
        <v>59.638650832887429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6.5674298568654588E-2</v>
      </c>
      <c r="M224" s="844"/>
      <c r="N224" s="844"/>
      <c r="O224" s="48">
        <f>IF(t&lt;Tnet,'2025'!Resal+('2025'!Salim-'2025'!Resal)*(1-EXP(('2025'!Tnet-t)/('2025'!Tau_j))),Resal+(Salim-Resal)*(1-EXP((Tnet-t)/(Tau_j))))*Salcycl</f>
        <v>8.5686098604341662E-2</v>
      </c>
      <c r="P224" s="169">
        <f>(INDEX(Models!$BJ224:$BT224,,T224)*(1-R224)+INDEX(Models!$BJ224:$BT224,,T224+1)*R224-ERP_i)*Q224*Ramure*Pc/MaxiM</f>
        <v>4.4313137227052612E-5</v>
      </c>
      <c r="Q224" s="305">
        <f t="shared" si="80"/>
        <v>0.7</v>
      </c>
      <c r="R224" s="177">
        <f t="shared" si="81"/>
        <v>0.13224190991251028</v>
      </c>
      <c r="S224" s="810">
        <f t="shared" si="82"/>
        <v>-1</v>
      </c>
      <c r="T224" s="176">
        <f t="shared" si="83"/>
        <v>5</v>
      </c>
      <c r="U224" s="251">
        <f t="shared" si="84"/>
        <v>-0.86775809008748972</v>
      </c>
      <c r="V224" s="383">
        <f t="shared" si="85"/>
        <v>51.271927707038266</v>
      </c>
      <c r="W224" s="402">
        <f t="shared" si="86"/>
        <v>30.918045434168533</v>
      </c>
      <c r="X224" s="157">
        <f t="shared" si="87"/>
        <v>46232</v>
      </c>
      <c r="Y224" s="385">
        <f t="shared" si="88"/>
        <v>28.987615847477166</v>
      </c>
      <c r="Z224" s="385">
        <f t="shared" si="89"/>
        <v>31.025172274582008</v>
      </c>
      <c r="AA224" s="386">
        <f t="shared" si="90"/>
        <v>36.186316634200566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0.14262696067663971</v>
      </c>
      <c r="AD224" s="231">
        <f>(INDEX(Models!$BJ224:$BT224,,AH224)*(1-AF224)+INDEX(Models!$BJ224:$BT224,,AH224+1)*AF224-ERP_i)*AE224*Ramure*Pc/MaxiM</f>
        <v>4.3806656133772687E-4</v>
      </c>
      <c r="AE224" s="305">
        <f t="shared" si="92"/>
        <v>0.7</v>
      </c>
      <c r="AF224" s="177">
        <f t="shared" si="93"/>
        <v>0.95223196301169422</v>
      </c>
      <c r="AG224" s="810">
        <f t="shared" si="99"/>
        <v>1</v>
      </c>
      <c r="AH224" s="176">
        <f t="shared" si="94"/>
        <v>7</v>
      </c>
      <c r="AI224" s="225">
        <f t="shared" si="95"/>
        <v>1.9522319630116942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47.422365761646418</v>
      </c>
      <c r="C225" s="840"/>
      <c r="D225" s="393">
        <f t="shared" si="77"/>
        <v>50.756892700703148</v>
      </c>
      <c r="E225" s="385">
        <f t="shared" si="75"/>
        <v>55.520485003063328</v>
      </c>
      <c r="F225" s="385">
        <f t="shared" si="78"/>
        <v>55.522718796370327</v>
      </c>
      <c r="G225" s="110">
        <f t="shared" si="76"/>
        <v>0.92779477884274175</v>
      </c>
      <c r="H225" s="414" t="b">
        <f>Wh_hp&gt;='2025'!Maxi_hp</f>
        <v>0</v>
      </c>
      <c r="I225" s="390">
        <f>IF(H225,Wh_hp,'2025'!Maxi_hp)</f>
        <v>55.52287215107318</v>
      </c>
      <c r="J225" s="85">
        <f>IF(H225,An,'2025'!An_max)</f>
        <v>2025</v>
      </c>
      <c r="K225" s="197">
        <f t="shared" si="79"/>
        <v>46233</v>
      </c>
      <c r="L225" s="147">
        <f>IF(t&lt;Tvie,1-EXP((T0-t)*PertePVj)+'2025'!Pspv,1-EXP((T0-t)*PertePVj)+Pspv)</f>
        <v>6.5696041692688834E-2</v>
      </c>
      <c r="M225" s="844"/>
      <c r="N225" s="844"/>
      <c r="O225" s="48">
        <f>IF(t&lt;Tnet,'2025'!Resal+('2025'!Salim-'2025'!Resal)*(1-EXP(('2025'!Tnet-t)/('2025'!Tau_j))),Resal+(Salim-Resal)*(1-EXP((Tnet-t)/(Tau_j))))*Salcycl</f>
        <v>8.5798823661164925E-2</v>
      </c>
      <c r="P225" s="169">
        <f>(INDEX(Models!$BJ225:$BT225,,T225)*(1-R225)+INDEX(Models!$BJ225:$BT225,,T225+1)*R225-ERP_i)*Q225*Ramure*Pc/MaxiM</f>
        <v>4.4859004526412894E-5</v>
      </c>
      <c r="Q225" s="305">
        <f t="shared" si="80"/>
        <v>0.7</v>
      </c>
      <c r="R225" s="177">
        <f t="shared" si="81"/>
        <v>0.13392613675001619</v>
      </c>
      <c r="S225" s="810">
        <f t="shared" si="82"/>
        <v>-1</v>
      </c>
      <c r="T225" s="176">
        <f t="shared" si="83"/>
        <v>5</v>
      </c>
      <c r="U225" s="251">
        <f t="shared" si="84"/>
        <v>-0.86607386324998381</v>
      </c>
      <c r="V225" s="383">
        <f t="shared" si="85"/>
        <v>51.112754041656885</v>
      </c>
      <c r="W225" s="402">
        <f t="shared" si="86"/>
        <v>47.422365761646418</v>
      </c>
      <c r="X225" s="157">
        <f t="shared" si="87"/>
        <v>46233</v>
      </c>
      <c r="Y225" s="385">
        <f t="shared" si="88"/>
        <v>44.455775266590877</v>
      </c>
      <c r="Z225" s="385">
        <f t="shared" si="89"/>
        <v>47.581704938007434</v>
      </c>
      <c r="AA225" s="386">
        <f t="shared" si="90"/>
        <v>55.500326981956256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0.14267703407447044</v>
      </c>
      <c r="AD225" s="231">
        <f>(INDEX(Models!$BJ225:$BT225,,AH225)*(1-AF225)+INDEX(Models!$BJ225:$BT225,,AH225+1)*AF225-ERP_i)*AE225*Ramure*Pc/MaxiM</f>
        <v>4.4967208962912099E-4</v>
      </c>
      <c r="AE225" s="305">
        <f t="shared" si="92"/>
        <v>0.7</v>
      </c>
      <c r="AF225" s="177">
        <f t="shared" si="93"/>
        <v>0.95391618984920012</v>
      </c>
      <c r="AG225" s="810">
        <f t="shared" si="99"/>
        <v>1</v>
      </c>
      <c r="AH225" s="176">
        <f t="shared" si="94"/>
        <v>7</v>
      </c>
      <c r="AI225" s="225">
        <f t="shared" si="95"/>
        <v>1.9539161898492001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50.530357643794638</v>
      </c>
      <c r="C226" s="840"/>
      <c r="D226" s="393">
        <f t="shared" si="77"/>
        <v>54.084683188061788</v>
      </c>
      <c r="E226" s="385">
        <f t="shared" si="75"/>
        <v>59.167862379172419</v>
      </c>
      <c r="F226" s="385">
        <f t="shared" si="78"/>
        <v>59.1705241355982</v>
      </c>
      <c r="G226" s="110">
        <f t="shared" si="76"/>
        <v>0.99175583597525752</v>
      </c>
      <c r="H226" s="414" t="b">
        <f>Wh_hp&gt;='2025'!Maxi_hp</f>
        <v>0</v>
      </c>
      <c r="I226" s="390">
        <f>IF(H226,Wh_hp,'2025'!Maxi_hp)</f>
        <v>59.170543131038947</v>
      </c>
      <c r="J226" s="85">
        <f>IF(H226,An,'2025'!An_max)</f>
        <v>2025</v>
      </c>
      <c r="K226" s="197">
        <f t="shared" si="79"/>
        <v>46234</v>
      </c>
      <c r="L226" s="147">
        <f>IF(t&lt;Tvie,1-EXP((T0-t)*PertePVj)+'2025'!Pspv,1-EXP((T0-t)*PertePVj)+Pspv)</f>
        <v>6.5717784310728944E-2</v>
      </c>
      <c r="M226" s="844"/>
      <c r="N226" s="844"/>
      <c r="O226" s="48">
        <f>IF(t&lt;Tnet,'2025'!Resal+('2025'!Salim-'2025'!Resal)*(1-EXP(('2025'!Tnet-t)/('2025'!Tau_j))),Resal+(Salim-Resal)*(1-EXP((Tnet-t)/(Tau_j))))*Salcycl</f>
        <v>8.591115153925101E-2</v>
      </c>
      <c r="P226" s="169">
        <f>(INDEX(Models!$BJ226:$BT226,,T226)*(1-R226)+INDEX(Models!$BJ226:$BT226,,T226+1)*R226-ERP_i)*Q226*Ramure*Pc/MaxiM</f>
        <v>4.5520578152577169E-5</v>
      </c>
      <c r="Q226" s="305">
        <f t="shared" si="80"/>
        <v>0.7</v>
      </c>
      <c r="R226" s="177">
        <f t="shared" si="81"/>
        <v>0.13555771360239466</v>
      </c>
      <c r="S226" s="810">
        <f t="shared" si="82"/>
        <v>-1</v>
      </c>
      <c r="T226" s="176">
        <f t="shared" si="83"/>
        <v>5</v>
      </c>
      <c r="U226" s="251">
        <f t="shared" si="84"/>
        <v>-0.86444228639760534</v>
      </c>
      <c r="V226" s="383">
        <f t="shared" si="85"/>
        <v>50.950373793012105</v>
      </c>
      <c r="W226" s="402">
        <f t="shared" si="86"/>
        <v>50.530357643794638</v>
      </c>
      <c r="X226" s="157">
        <f t="shared" si="87"/>
        <v>46234</v>
      </c>
      <c r="Y226" s="385">
        <f t="shared" si="88"/>
        <v>47.370064942566827</v>
      </c>
      <c r="Z226" s="385">
        <f t="shared" si="89"/>
        <v>50.702094235647351</v>
      </c>
      <c r="AA226" s="386">
        <f t="shared" si="90"/>
        <v>59.143435679573351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0.14272659927399897</v>
      </c>
      <c r="AD226" s="231">
        <f>(INDEX(Models!$BJ226:$BT226,,AH226)*(1-AF226)+INDEX(Models!$BJ226:$BT226,,AH226+1)*AF226-ERP_i)*AE226*Ramure*Pc/MaxiM</f>
        <v>4.6325883449344622E-4</v>
      </c>
      <c r="AE226" s="305">
        <f t="shared" si="92"/>
        <v>0.7</v>
      </c>
      <c r="AF226" s="177">
        <f t="shared" si="93"/>
        <v>0.95554776670157859</v>
      </c>
      <c r="AG226" s="810">
        <f t="shared" si="99"/>
        <v>1</v>
      </c>
      <c r="AH226" s="176">
        <f t="shared" si="94"/>
        <v>7</v>
      </c>
      <c r="AI226" s="225">
        <f t="shared" si="95"/>
        <v>1.9555477667015786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50.229427785381041</v>
      </c>
      <c r="C227" s="840"/>
      <c r="D227" s="393">
        <f t="shared" si="77"/>
        <v>53.763836966211699</v>
      </c>
      <c r="E227" s="385">
        <f t="shared" si="75"/>
        <v>58.824065285337177</v>
      </c>
      <c r="F227" s="385">
        <f t="shared" si="78"/>
        <v>58.826744405255184</v>
      </c>
      <c r="G227" s="110">
        <f t="shared" si="76"/>
        <v>0.98906188443703624</v>
      </c>
      <c r="H227" s="414" t="b">
        <f>Wh_hp&gt;='2025'!Maxi_hp</f>
        <v>0</v>
      </c>
      <c r="I227" s="390">
        <f>IF(H227,Wh_hp,'2025'!Maxi_hp)</f>
        <v>58.826769949813105</v>
      </c>
      <c r="J227" s="85">
        <f>IF(H227,An,'2025'!An_max)</f>
        <v>2025</v>
      </c>
      <c r="K227" s="197">
        <f t="shared" si="79"/>
        <v>46235</v>
      </c>
      <c r="L227" s="147">
        <f>IF(t&lt;Tvie,1-EXP((T0-t)*PertePVj)+'2025'!Pspv,1-EXP((T0-t)*PertePVj)+Pspv)</f>
        <v>6.5739526422786465E-2</v>
      </c>
      <c r="M227" s="844"/>
      <c r="N227" s="844"/>
      <c r="O227" s="48">
        <f>IF(t&lt;Tnet,'2025'!Resal+('2025'!Salim-'2025'!Resal)*(1-EXP(('2025'!Tnet-t)/('2025'!Tau_j))),Resal+(Salim-Resal)*(1-EXP((Tnet-t)/(Tau_j))))*Salcycl</f>
        <v>8.6023097767553E-2</v>
      </c>
      <c r="P227" s="169">
        <f>(INDEX(Models!$BJ227:$BT227,,T227)*(1-R227)+INDEX(Models!$BJ227:$BT227,,T227+1)*R227-ERP_i)*Q227*Ramure*Pc/MaxiM</f>
        <v>4.626544041626851E-5</v>
      </c>
      <c r="Q227" s="305">
        <f t="shared" si="80"/>
        <v>0.7</v>
      </c>
      <c r="R227" s="177">
        <f t="shared" si="81"/>
        <v>0.13713775738533007</v>
      </c>
      <c r="S227" s="810">
        <f t="shared" si="82"/>
        <v>-1</v>
      </c>
      <c r="T227" s="176">
        <f t="shared" si="83"/>
        <v>5</v>
      </c>
      <c r="U227" s="251">
        <f t="shared" si="84"/>
        <v>-0.86286224261466993</v>
      </c>
      <c r="V227" s="383">
        <f t="shared" si="85"/>
        <v>50.784882385715846</v>
      </c>
      <c r="W227" s="402">
        <f t="shared" si="86"/>
        <v>50.229427785381041</v>
      </c>
      <c r="X227" s="157">
        <f t="shared" si="87"/>
        <v>46235</v>
      </c>
      <c r="Y227" s="385">
        <f t="shared" si="88"/>
        <v>47.090435347922735</v>
      </c>
      <c r="Z227" s="385">
        <f t="shared" si="89"/>
        <v>50.403968357579103</v>
      </c>
      <c r="AA227" s="386">
        <f t="shared" si="90"/>
        <v>58.799041707843038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0.14277568318165529</v>
      </c>
      <c r="AD227" s="231">
        <f>(INDEX(Models!$BJ227:$BT227,,AH227)*(1-AF227)+INDEX(Models!$BJ227:$BT227,,AH227+1)*AF227-ERP_i)*AE227*Ramure*Pc/MaxiM</f>
        <v>4.7839497137828558E-4</v>
      </c>
      <c r="AE227" s="305">
        <f t="shared" si="92"/>
        <v>0.7</v>
      </c>
      <c r="AF227" s="177">
        <f t="shared" si="93"/>
        <v>0.95712781048451401</v>
      </c>
      <c r="AG227" s="810">
        <f t="shared" si="99"/>
        <v>1</v>
      </c>
      <c r="AH227" s="176">
        <f t="shared" si="94"/>
        <v>7</v>
      </c>
      <c r="AI227" s="225">
        <f t="shared" si="95"/>
        <v>1.957127810484514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50.003465141068517</v>
      </c>
      <c r="C228" s="840"/>
      <c r="D228" s="393">
        <f t="shared" si="77"/>
        <v>53.523219954248169</v>
      </c>
      <c r="E228" s="385">
        <f t="shared" si="75"/>
        <v>58.567951470783591</v>
      </c>
      <c r="F228" s="385">
        <f t="shared" si="78"/>
        <v>58.570662119296664</v>
      </c>
      <c r="G228" s="110">
        <f t="shared" si="76"/>
        <v>0.98789029833048936</v>
      </c>
      <c r="H228" s="414" t="b">
        <f>Wh_hp&gt;='2025'!Maxi_hp</f>
        <v>0</v>
      </c>
      <c r="I228" s="390">
        <f>IF(H228,Wh_hp,'2025'!Maxi_hp)</f>
        <v>58.570690865844924</v>
      </c>
      <c r="J228" s="85">
        <f>IF(H228,An,'2025'!An_max)</f>
        <v>2025</v>
      </c>
      <c r="K228" s="197">
        <f t="shared" si="79"/>
        <v>46236</v>
      </c>
      <c r="L228" s="147">
        <f>IF(t&lt;Tvie,1-EXP((T0-t)*PertePVj)+'2025'!Pspv,1-EXP((T0-t)*PertePVj)+Pspv)</f>
        <v>6.5761268028873276E-2</v>
      </c>
      <c r="M228" s="844"/>
      <c r="N228" s="844"/>
      <c r="O228" s="48">
        <f>IF(t&lt;Tnet,'2025'!Resal+('2025'!Salim-'2025'!Resal)*(1-EXP(('2025'!Tnet-t)/('2025'!Tau_j))),Resal+(Salim-Resal)*(1-EXP((Tnet-t)/(Tau_j))))*Salcycl</f>
        <v>8.6134675873920027E-2</v>
      </c>
      <c r="P228" s="169">
        <f>(INDEX(Models!$BJ228:$BT228,,T228)*(1-R228)+INDEX(Models!$BJ228:$BT228,,T228+1)*R228-ERP_i)*Q228*Ramure*Pc/MaxiM</f>
        <v>4.7094633405264287E-5</v>
      </c>
      <c r="Q228" s="305">
        <f t="shared" si="80"/>
        <v>0.7</v>
      </c>
      <c r="R228" s="177">
        <f t="shared" si="81"/>
        <v>0.13866739985303944</v>
      </c>
      <c r="S228" s="810">
        <f t="shared" si="82"/>
        <v>-1</v>
      </c>
      <c r="T228" s="176">
        <f t="shared" si="83"/>
        <v>5</v>
      </c>
      <c r="U228" s="251">
        <f t="shared" si="84"/>
        <v>-0.86133260014696056</v>
      </c>
      <c r="V228" s="383">
        <f t="shared" si="85"/>
        <v>50.616373586943688</v>
      </c>
      <c r="W228" s="402">
        <f t="shared" si="86"/>
        <v>50.003465141068517</v>
      </c>
      <c r="X228" s="157">
        <f t="shared" si="87"/>
        <v>46236</v>
      </c>
      <c r="Y228" s="385">
        <f t="shared" si="88"/>
        <v>46.880960086610315</v>
      </c>
      <c r="Z228" s="385">
        <f t="shared" si="89"/>
        <v>50.180921088229084</v>
      </c>
      <c r="AA228" s="386">
        <f t="shared" si="90"/>
        <v>58.542165429353808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0.14282430927866374</v>
      </c>
      <c r="AD228" s="231">
        <f>(INDEX(Models!$BJ228:$BT228,,AH228)*(1-AF228)+INDEX(Models!$BJ228:$BT228,,AH228+1)*AF228-ERP_i)*AE228*Ramure*Pc/MaxiM</f>
        <v>4.9509966329189887E-4</v>
      </c>
      <c r="AE228" s="305">
        <f t="shared" si="92"/>
        <v>0.7</v>
      </c>
      <c r="AF228" s="177">
        <f t="shared" si="93"/>
        <v>0.95865745295222338</v>
      </c>
      <c r="AG228" s="810">
        <f t="shared" si="99"/>
        <v>1</v>
      </c>
      <c r="AH228" s="176">
        <f t="shared" si="94"/>
        <v>7</v>
      </c>
      <c r="AI228" s="225">
        <f t="shared" si="95"/>
        <v>1.9586574529522234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45.942261678500046</v>
      </c>
      <c r="C229" s="840"/>
      <c r="D229" s="393">
        <f t="shared" si="77"/>
        <v>49.177291921940629</v>
      </c>
      <c r="E229" s="385">
        <f t="shared" si="75"/>
        <v>53.818956087778766</v>
      </c>
      <c r="F229" s="385">
        <f t="shared" si="78"/>
        <v>53.821210518283102</v>
      </c>
      <c r="G229" s="110">
        <f t="shared" si="76"/>
        <v>0.91073513618701296</v>
      </c>
      <c r="H229" s="414" t="b">
        <f>Wh_hp&gt;='2025'!Maxi_hp</f>
        <v>0</v>
      </c>
      <c r="I229" s="390">
        <f>IF(H229,Wh_hp,'2025'!Maxi_hp)</f>
        <v>56.763758259198227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6.5783009129001258E-2</v>
      </c>
      <c r="M229" s="844"/>
      <c r="N229" s="844"/>
      <c r="O229" s="48">
        <f>IF(t&lt;Tnet,'2025'!Resal+('2025'!Salim-'2025'!Resal)*(1-EXP(('2025'!Tnet-t)/('2025'!Tau_j))),Resal+(Salim-Resal)*(1-EXP((Tnet-t)/(Tau_j))))*Salcycl</f>
        <v>8.6245897417028608E-2</v>
      </c>
      <c r="P229" s="169">
        <f>(INDEX(Models!$BJ229:$BT229,,T229)*(1-R229)+INDEX(Models!$BJ229:$BT229,,T229+1)*R229-ERP_i)*Q229*Ramure*Pc/MaxiM</f>
        <v>4.8009210020227318E-5</v>
      </c>
      <c r="Q229" s="305">
        <f t="shared" si="80"/>
        <v>0.7</v>
      </c>
      <c r="R229" s="177">
        <f t="shared" si="81"/>
        <v>0.14014778411121775</v>
      </c>
      <c r="S229" s="810">
        <f t="shared" si="82"/>
        <v>-1</v>
      </c>
      <c r="T229" s="176">
        <f t="shared" si="83"/>
        <v>5</v>
      </c>
      <c r="U229" s="251">
        <f t="shared" si="84"/>
        <v>-0.85985221588878225</v>
      </c>
      <c r="V229" s="383">
        <f t="shared" si="85"/>
        <v>50.444941225401422</v>
      </c>
      <c r="W229" s="402">
        <f t="shared" si="86"/>
        <v>45.942261678500046</v>
      </c>
      <c r="X229" s="157">
        <f t="shared" si="87"/>
        <v>46237</v>
      </c>
      <c r="Y229" s="385">
        <f t="shared" si="88"/>
        <v>43.077657324647973</v>
      </c>
      <c r="Z229" s="385">
        <f t="shared" si="89"/>
        <v>46.110976085422479</v>
      </c>
      <c r="AA229" s="386">
        <f t="shared" si="90"/>
        <v>53.797102486141974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0.14287249769073398</v>
      </c>
      <c r="AD229" s="231">
        <f>(INDEX(Models!$BJ229:$BT229,,AH229)*(1-AF229)+INDEX(Models!$BJ229:$BT229,,AH229+1)*AF229-ERP_i)*AE229*Ramure*Pc/MaxiM</f>
        <v>5.1339244035873363E-4</v>
      </c>
      <c r="AE229" s="305">
        <f t="shared" si="92"/>
        <v>0.7</v>
      </c>
      <c r="AF229" s="177">
        <f t="shared" si="93"/>
        <v>0.96013783721040169</v>
      </c>
      <c r="AG229" s="810">
        <f t="shared" si="99"/>
        <v>1</v>
      </c>
      <c r="AH229" s="176">
        <f t="shared" si="94"/>
        <v>7</v>
      </c>
      <c r="AI229" s="225">
        <f t="shared" si="95"/>
        <v>1.9601378372104017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45.717308024340113</v>
      </c>
      <c r="C230" s="840"/>
      <c r="D230" s="393">
        <f t="shared" si="77"/>
        <v>48.937636977701708</v>
      </c>
      <c r="E230" s="385">
        <f t="shared" si="75"/>
        <v>53.563180330748004</v>
      </c>
      <c r="F230" s="385">
        <f t="shared" si="78"/>
        <v>53.565465889618046</v>
      </c>
      <c r="G230" s="110">
        <f t="shared" si="76"/>
        <v>0.90941715587304262</v>
      </c>
      <c r="H230" s="414" t="b">
        <f>Wh_hp&gt;='2025'!Maxi_hp</f>
        <v>0</v>
      </c>
      <c r="I230" s="390">
        <f>IF(H230,Wh_hp,'2025'!Maxi_hp)</f>
        <v>53.565671650071039</v>
      </c>
      <c r="J230" s="85">
        <f>IF(H230,An,'2025'!An_max)</f>
        <v>2025</v>
      </c>
      <c r="K230" s="197">
        <f t="shared" si="79"/>
        <v>46238</v>
      </c>
      <c r="L230" s="147">
        <f>IF(t&lt;Tvie,1-EXP((T0-t)*PertePVj)+'2025'!Pspv,1-EXP((T0-t)*PertePVj)+Pspv)</f>
        <v>6.5804749723181954E-2</v>
      </c>
      <c r="M230" s="844"/>
      <c r="N230" s="844"/>
      <c r="O230" s="48">
        <f>IF(t&lt;Tnet,'2025'!Resal+('2025'!Salim-'2025'!Resal)*(1-EXP(('2025'!Tnet-t)/('2025'!Tau_j))),Resal+(Salim-Resal)*(1-EXP((Tnet-t)/(Tau_j))))*Salcycl</f>
        <v>8.6356772030412865E-2</v>
      </c>
      <c r="P230" s="169">
        <f>(INDEX(Models!$BJ230:$BT230,,T230)*(1-R230)+INDEX(Models!$BJ230:$BT230,,T230+1)*R230-ERP_i)*Q230*Ramure*Pc/MaxiM</f>
        <v>4.901023436962161E-5</v>
      </c>
      <c r="Q230" s="305">
        <f t="shared" si="80"/>
        <v>0.7</v>
      </c>
      <c r="R230" s="177">
        <f t="shared" si="81"/>
        <v>0.14158006133895928</v>
      </c>
      <c r="S230" s="810">
        <f t="shared" si="82"/>
        <v>-1</v>
      </c>
      <c r="T230" s="176">
        <f t="shared" si="83"/>
        <v>5</v>
      </c>
      <c r="U230" s="251">
        <f t="shared" si="84"/>
        <v>-0.85841993866104072</v>
      </c>
      <c r="V230" s="383">
        <f t="shared" si="85"/>
        <v>50.27067918212957</v>
      </c>
      <c r="W230" s="402">
        <f t="shared" si="86"/>
        <v>45.717308024340113</v>
      </c>
      <c r="X230" s="157">
        <f t="shared" si="87"/>
        <v>46238</v>
      </c>
      <c r="Y230" s="385">
        <f t="shared" si="88"/>
        <v>42.868874722665467</v>
      </c>
      <c r="Z230" s="385">
        <f t="shared" si="89"/>
        <v>45.888559923594862</v>
      </c>
      <c r="AA230" s="386">
        <f t="shared" si="90"/>
        <v>53.540596124864663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0.14292026527728804</v>
      </c>
      <c r="AD230" s="231">
        <f>(INDEX(Models!$BJ230:$BT230,,AH230)*(1-AF230)+INDEX(Models!$BJ230:$BT230,,AH230+1)*AF230-ERP_i)*AE230*Ramure*Pc/MaxiM</f>
        <v>5.3329319811287442E-4</v>
      </c>
      <c r="AE230" s="305">
        <f t="shared" si="92"/>
        <v>0.7</v>
      </c>
      <c r="AF230" s="177">
        <f t="shared" si="93"/>
        <v>0.96157011443814322</v>
      </c>
      <c r="AG230" s="810">
        <f t="shared" si="99"/>
        <v>1</v>
      </c>
      <c r="AH230" s="176">
        <f t="shared" si="94"/>
        <v>7</v>
      </c>
      <c r="AI230" s="225">
        <f t="shared" si="95"/>
        <v>1.9615701144381432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43.746067773678277</v>
      </c>
      <c r="C231" s="840"/>
      <c r="D231" s="393">
        <f t="shared" si="77"/>
        <v>46.828632257885026</v>
      </c>
      <c r="E231" s="385">
        <f t="shared" si="75"/>
        <v>51.261036021135673</v>
      </c>
      <c r="F231" s="385">
        <f t="shared" si="78"/>
        <v>51.263139339501485</v>
      </c>
      <c r="G231" s="110">
        <f t="shared" si="76"/>
        <v>0.87327722407187169</v>
      </c>
      <c r="H231" s="414" t="b">
        <f>Wh_hp&gt;='2025'!Maxi_hp</f>
        <v>0</v>
      </c>
      <c r="I231" s="390">
        <f>IF(H231,Wh_hp,'2025'!Maxi_hp)</f>
        <v>59.003544823424903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6.5826489811427358E-2</v>
      </c>
      <c r="M231" s="844"/>
      <c r="N231" s="844"/>
      <c r="O231" s="48">
        <f>IF(t&lt;Tnet,'2025'!Resal+('2025'!Salim-'2025'!Resal)*(1-EXP(('2025'!Tnet-t)/('2025'!Tau_j))),Resal+(Salim-Resal)*(1-EXP((Tnet-t)/(Tau_j))))*Salcycl</f>
        <v>8.6467307477420194E-2</v>
      </c>
      <c r="P231" s="169">
        <f>(INDEX(Models!$BJ231:$BT231,,T231)*(1-R231)+INDEX(Models!$BJ231:$BT231,,T231+1)*R231-ERP_i)*Q231*Ramure*Pc/MaxiM</f>
        <v>5.0098782005718068E-5</v>
      </c>
      <c r="Q231" s="305">
        <f t="shared" si="80"/>
        <v>0.7</v>
      </c>
      <c r="R231" s="177">
        <f t="shared" si="81"/>
        <v>0.14296538771787315</v>
      </c>
      <c r="S231" s="810">
        <f t="shared" si="82"/>
        <v>-1</v>
      </c>
      <c r="T231" s="176">
        <f t="shared" si="83"/>
        <v>5</v>
      </c>
      <c r="U231" s="251">
        <f t="shared" si="84"/>
        <v>-0.85703461228212685</v>
      </c>
      <c r="V231" s="383">
        <f t="shared" si="85"/>
        <v>50.093681388871815</v>
      </c>
      <c r="W231" s="402">
        <f t="shared" si="86"/>
        <v>43.746067773678277</v>
      </c>
      <c r="X231" s="157">
        <f t="shared" si="87"/>
        <v>46239</v>
      </c>
      <c r="Y231" s="385">
        <f t="shared" si="88"/>
        <v>41.023488786482339</v>
      </c>
      <c r="Z231" s="385">
        <f t="shared" si="89"/>
        <v>43.914206878121945</v>
      </c>
      <c r="AA231" s="386">
        <f t="shared" si="90"/>
        <v>51.239846004586447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0.14296762573815672</v>
      </c>
      <c r="AD231" s="231">
        <f>(INDEX(Models!$BJ231:$BT231,,AH231)*(1-AF231)+INDEX(Models!$BJ231:$BT231,,AH231+1)*AF231-ERP_i)*AE231*Ramure*Pc/MaxiM</f>
        <v>5.5482219290450873E-4</v>
      </c>
      <c r="AE231" s="305">
        <f t="shared" si="92"/>
        <v>0.7</v>
      </c>
      <c r="AF231" s="177">
        <f t="shared" si="93"/>
        <v>0.96295544081705708</v>
      </c>
      <c r="AG231" s="810">
        <f t="shared" si="99"/>
        <v>1</v>
      </c>
      <c r="AH231" s="176">
        <f t="shared" si="94"/>
        <v>7</v>
      </c>
      <c r="AI231" s="225">
        <f t="shared" si="95"/>
        <v>1.9629554408170571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45.828123365836284</v>
      </c>
      <c r="C232" s="840"/>
      <c r="D232" s="393">
        <f t="shared" si="77"/>
        <v>49.058541457449145</v>
      </c>
      <c r="E232" s="385">
        <f t="shared" si="75"/>
        <v>53.708488655876039</v>
      </c>
      <c r="F232" s="385">
        <f t="shared" si="78"/>
        <v>53.710920667626084</v>
      </c>
      <c r="G232" s="110">
        <f t="shared" si="76"/>
        <v>0.9181353960219496</v>
      </c>
      <c r="H232" s="414" t="b">
        <f>Wh_hp&gt;='2025'!Maxi_hp</f>
        <v>0</v>
      </c>
      <c r="I232" s="390">
        <f>IF(H232,Wh_hp,'2025'!Maxi_hp)</f>
        <v>58.033046610049119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6.5848229393749125E-2</v>
      </c>
      <c r="M232" s="844"/>
      <c r="N232" s="844"/>
      <c r="O232" s="48">
        <f>IF(t&lt;Tnet,'2025'!Resal+('2025'!Salim-'2025'!Resal)*(1-EXP(('2025'!Tnet-t)/('2025'!Tau_j))),Resal+(Salim-Resal)*(1-EXP((Tnet-t)/(Tau_j))))*Salcycl</f>
        <v>8.6577509715834486E-2</v>
      </c>
      <c r="P232" s="169">
        <f>(INDEX(Models!$BJ232:$BT232,,T232)*(1-R232)+INDEX(Models!$BJ232:$BT232,,T232+1)*R232-ERP_i)*Q232*Ramure*Pc/MaxiM</f>
        <v>5.1275940012815884E-5</v>
      </c>
      <c r="Q232" s="305">
        <f t="shared" si="80"/>
        <v>0.7</v>
      </c>
      <c r="R232" s="177">
        <f t="shared" si="81"/>
        <v>0.14430492156549835</v>
      </c>
      <c r="S232" s="810">
        <f t="shared" si="82"/>
        <v>-1</v>
      </c>
      <c r="T232" s="176">
        <f t="shared" si="83"/>
        <v>5</v>
      </c>
      <c r="U232" s="251">
        <f t="shared" si="84"/>
        <v>-0.85569507843450165</v>
      </c>
      <c r="V232" s="383">
        <f t="shared" si="85"/>
        <v>49.914041821377481</v>
      </c>
      <c r="W232" s="402">
        <f t="shared" si="86"/>
        <v>45.828123365836284</v>
      </c>
      <c r="X232" s="157">
        <f t="shared" si="87"/>
        <v>46240</v>
      </c>
      <c r="Y232" s="385">
        <f t="shared" si="88"/>
        <v>42.976569151988876</v>
      </c>
      <c r="Z232" s="385">
        <f t="shared" si="89"/>
        <v>46.005981580592319</v>
      </c>
      <c r="AA232" s="386">
        <f t="shared" si="90"/>
        <v>53.683506194575706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0.14301458973555536</v>
      </c>
      <c r="AD232" s="231">
        <f>(INDEX(Models!$BJ232:$BT232,,AH232)*(1-AF232)+INDEX(Models!$BJ232:$BT232,,AH232+1)*AF232-ERP_i)*AE232*Ramure*Pc/MaxiM</f>
        <v>5.7800003457493597E-4</v>
      </c>
      <c r="AE232" s="305">
        <f t="shared" si="92"/>
        <v>0.7</v>
      </c>
      <c r="AF232" s="177">
        <f t="shared" si="93"/>
        <v>0.96429497466468228</v>
      </c>
      <c r="AG232" s="810">
        <f t="shared" si="99"/>
        <v>1</v>
      </c>
      <c r="AH232" s="176">
        <f t="shared" si="94"/>
        <v>7</v>
      </c>
      <c r="AI232" s="225">
        <f t="shared" si="95"/>
        <v>1.9642949746646823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48.566262772024608</v>
      </c>
      <c r="C233" s="840"/>
      <c r="D233" s="393">
        <f t="shared" si="77"/>
        <v>51.990901836746211</v>
      </c>
      <c r="E233" s="385">
        <f t="shared" ref="E233:E296" si="100">Wh_pvt/(1-Psa)</f>
        <v>56.925636268841956</v>
      </c>
      <c r="F233" s="385">
        <f t="shared" si="78"/>
        <v>56.928527277781178</v>
      </c>
      <c r="G233" s="110">
        <f t="shared" ref="G233:G296" si="101">+Wh_hp/MaxiM</f>
        <v>0.97655739588619428</v>
      </c>
      <c r="H233" s="414" t="b">
        <f>Wh_hp&gt;='2025'!Maxi_hp</f>
        <v>0</v>
      </c>
      <c r="I233" s="390">
        <f>IF(H233,Wh_hp,'2025'!Maxi_hp)</f>
        <v>56.928588355876919</v>
      </c>
      <c r="J233" s="85">
        <f>IF(H233,An,'2025'!An_max)</f>
        <v>2025</v>
      </c>
      <c r="K233" s="197">
        <f t="shared" si="79"/>
        <v>46241</v>
      </c>
      <c r="L233" s="147">
        <f>IF(t&lt;Tvie,1-EXP((T0-t)*PertePVj)+'2025'!Pspv,1-EXP((T0-t)*PertePVj)+Pspv)</f>
        <v>6.5869968470159024E-2</v>
      </c>
      <c r="M233" s="844"/>
      <c r="N233" s="844"/>
      <c r="O233" s="48">
        <f>IF(t&lt;Tnet,'2025'!Resal+('2025'!Salim-'2025'!Resal)*(1-EXP(('2025'!Tnet-t)/('2025'!Tau_j))),Resal+(Salim-Resal)*(1-EXP((Tnet-t)/(Tau_j))))*Salcycl</f>
        <v>8.6687382970838348E-2</v>
      </c>
      <c r="P233" s="169">
        <f>(INDEX(Models!$BJ233:$BT233,,T233)*(1-R233)+INDEX(Models!$BJ233:$BT233,,T233+1)*R233-ERP_i)*Q233*Ramure*Pc/MaxiM</f>
        <v>5.2542626278565364E-5</v>
      </c>
      <c r="Q233" s="305">
        <f t="shared" si="80"/>
        <v>0.7</v>
      </c>
      <c r="R233" s="177">
        <f t="shared" si="81"/>
        <v>0.14559982066914923</v>
      </c>
      <c r="S233" s="810">
        <f t="shared" si="82"/>
        <v>-1</v>
      </c>
      <c r="T233" s="176">
        <f t="shared" si="83"/>
        <v>5</v>
      </c>
      <c r="U233" s="251">
        <f t="shared" si="84"/>
        <v>-0.85440017933085077</v>
      </c>
      <c r="V233" s="383">
        <f t="shared" si="85"/>
        <v>49.732025501247215</v>
      </c>
      <c r="W233" s="402">
        <f t="shared" si="86"/>
        <v>48.566262772024608</v>
      </c>
      <c r="X233" s="157">
        <f t="shared" si="87"/>
        <v>46241</v>
      </c>
      <c r="Y233" s="385">
        <f t="shared" si="88"/>
        <v>45.544295564448227</v>
      </c>
      <c r="Z233" s="385">
        <f t="shared" si="89"/>
        <v>48.755841293165091</v>
      </c>
      <c r="AA233" s="386">
        <f t="shared" si="90"/>
        <v>56.895357408814256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0.14306116502905014</v>
      </c>
      <c r="AD233" s="231">
        <f>(INDEX(Models!$BJ233:$BT233,,AH233)*(1-AF233)+INDEX(Models!$BJ233:$BT233,,AH233+1)*AF233-ERP_i)*AE233*Ramure*Pc/MaxiM</f>
        <v>6.0284560355137529E-4</v>
      </c>
      <c r="AE233" s="305">
        <f t="shared" si="92"/>
        <v>0.7</v>
      </c>
      <c r="AF233" s="177">
        <f t="shared" si="93"/>
        <v>0.96558987376833327</v>
      </c>
      <c r="AG233" s="810">
        <f t="shared" si="99"/>
        <v>1</v>
      </c>
      <c r="AH233" s="176">
        <f t="shared" si="94"/>
        <v>7</v>
      </c>
      <c r="AI233" s="225">
        <f t="shared" si="95"/>
        <v>1.9655898737683333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48.850467820458029</v>
      </c>
      <c r="C234" s="840"/>
      <c r="D234" s="393">
        <f t="shared" si="77"/>
        <v>52.296364552867601</v>
      </c>
      <c r="E234" s="385">
        <f t="shared" si="100"/>
        <v>57.266960942509087</v>
      </c>
      <c r="F234" s="385">
        <f t="shared" si="78"/>
        <v>57.269995019079154</v>
      </c>
      <c r="G234" s="110">
        <f t="shared" si="101"/>
        <v>0.98592693693546873</v>
      </c>
      <c r="H234" s="414" t="b">
        <f>Wh_hp&gt;='2025'!Maxi_hp</f>
        <v>0</v>
      </c>
      <c r="I234" s="390">
        <f>IF(H234,Wh_hp,'2025'!Maxi_hp)</f>
        <v>57.2700330333167</v>
      </c>
      <c r="J234" s="85">
        <f>IF(H234,An,'2025'!An_max)</f>
        <v>2025</v>
      </c>
      <c r="K234" s="197">
        <f t="shared" si="79"/>
        <v>46242</v>
      </c>
      <c r="L234" s="147">
        <f>IF(t&lt;Tvie,1-EXP((T0-t)*PertePVj)+'2025'!Pspv,1-EXP((T0-t)*PertePVj)+Pspv)</f>
        <v>6.5891707040668823E-2</v>
      </c>
      <c r="M234" s="844"/>
      <c r="N234" s="844"/>
      <c r="O234" s="48">
        <f>IF(t&lt;Tnet,'2025'!Resal+('2025'!Salim-'2025'!Resal)*(1-EXP(('2025'!Tnet-t)/('2025'!Tau_j))),Resal+(Salim-Resal)*(1-EXP((Tnet-t)/(Tau_j))))*Salcycl</f>
        <v>8.6796929814933269E-2</v>
      </c>
      <c r="P234" s="169">
        <f>(INDEX(Models!$BJ234:$BT234,,T234)*(1-R234)+INDEX(Models!$BJ234:$BT234,,T234+1)*R234-ERP_i)*Q234*Ramure*Pc/MaxiM</f>
        <v>5.4065334539020338E-5</v>
      </c>
      <c r="Q234" s="305">
        <f t="shared" si="80"/>
        <v>0.7</v>
      </c>
      <c r="R234" s="177">
        <f t="shared" si="81"/>
        <v>0.14685123981548642</v>
      </c>
      <c r="S234" s="810">
        <f t="shared" si="82"/>
        <v>-1</v>
      </c>
      <c r="T234" s="176">
        <f t="shared" si="83"/>
        <v>5</v>
      </c>
      <c r="U234" s="251">
        <f t="shared" si="84"/>
        <v>-0.85314876018451358</v>
      </c>
      <c r="V234" s="383">
        <f t="shared" si="85"/>
        <v>49.547702668031775</v>
      </c>
      <c r="W234" s="402">
        <f t="shared" si="86"/>
        <v>48.850467820458029</v>
      </c>
      <c r="X234" s="157">
        <f t="shared" si="87"/>
        <v>46242</v>
      </c>
      <c r="Y234" s="385">
        <f t="shared" si="88"/>
        <v>45.812324488603117</v>
      </c>
      <c r="Z234" s="385">
        <f t="shared" si="89"/>
        <v>49.043911539920003</v>
      </c>
      <c r="AA234" s="386">
        <f t="shared" si="90"/>
        <v>57.234604496700172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0.14310735662115734</v>
      </c>
      <c r="AD234" s="231">
        <f>(INDEX(Models!$BJ234:$BT234,,AH234)*(1-AF234)+INDEX(Models!$BJ234:$BT234,,AH234+1)*AF234-ERP_i)*AE234*Ramure*Pc/MaxiM</f>
        <v>6.3063683059508692E-4</v>
      </c>
      <c r="AE234" s="305">
        <f t="shared" si="92"/>
        <v>0.7</v>
      </c>
      <c r="AF234" s="177">
        <f t="shared" si="93"/>
        <v>0.96684129291467036</v>
      </c>
      <c r="AG234" s="810">
        <f t="shared" si="99"/>
        <v>1</v>
      </c>
      <c r="AH234" s="176">
        <f t="shared" si="94"/>
        <v>7</v>
      </c>
      <c r="AI234" s="225">
        <f t="shared" si="95"/>
        <v>1.9668412929146704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46.688529324046193</v>
      </c>
      <c r="C235" s="840"/>
      <c r="D235" s="393">
        <f t="shared" si="77"/>
        <v>49.983086770057334</v>
      </c>
      <c r="E235" s="385">
        <f t="shared" si="100"/>
        <v>54.740360849729591</v>
      </c>
      <c r="F235" s="385">
        <f t="shared" si="78"/>
        <v>54.743181794263805</v>
      </c>
      <c r="G235" s="110">
        <f t="shared" si="101"/>
        <v>0.94585673078626953</v>
      </c>
      <c r="H235" s="414" t="b">
        <f>Wh_hp&gt;='2025'!Maxi_hp</f>
        <v>0</v>
      </c>
      <c r="I235" s="390">
        <f>IF(H235,Wh_hp,'2025'!Maxi_hp)</f>
        <v>54.743326361399731</v>
      </c>
      <c r="J235" s="85">
        <f>IF(H235,An,'2025'!An_max)</f>
        <v>2025</v>
      </c>
      <c r="K235" s="197">
        <f t="shared" si="79"/>
        <v>46243</v>
      </c>
      <c r="L235" s="147">
        <f>IF(t&lt;Tvie,1-EXP((T0-t)*PertePVj)+'2025'!Pspv,1-EXP((T0-t)*PertePVj)+Pspv)</f>
        <v>6.5913445105290402E-2</v>
      </c>
      <c r="M235" s="844"/>
      <c r="N235" s="844"/>
      <c r="O235" s="48">
        <f>IF(t&lt;Tnet,'2025'!Resal+('2025'!Salim-'2025'!Resal)*(1-EXP(('2025'!Tnet-t)/('2025'!Tau_j))),Resal+(Salim-Resal)*(1-EXP((Tnet-t)/(Tau_j))))*Salcycl</f>
        <v>8.690615125339933E-2</v>
      </c>
      <c r="P235" s="169">
        <f>(INDEX(Models!$BJ235:$BT235,,T235)*(1-R235)+INDEX(Models!$BJ235:$BT235,,T235+1)*R235-ERP_i)*Q235*Ramure*Pc/MaxiM</f>
        <v>5.5850056105650659E-5</v>
      </c>
      <c r="Q235" s="305">
        <f t="shared" si="80"/>
        <v>0.7</v>
      </c>
      <c r="R235" s="177">
        <f t="shared" si="81"/>
        <v>0.14806032851038908</v>
      </c>
      <c r="S235" s="810">
        <f t="shared" si="82"/>
        <v>-1</v>
      </c>
      <c r="T235" s="176">
        <f t="shared" si="83"/>
        <v>5</v>
      </c>
      <c r="U235" s="251">
        <f t="shared" si="84"/>
        <v>-0.85193967148961092</v>
      </c>
      <c r="V235" s="383">
        <f t="shared" si="85"/>
        <v>49.360887459115943</v>
      </c>
      <c r="W235" s="402">
        <f t="shared" si="86"/>
        <v>46.688529324046193</v>
      </c>
      <c r="X235" s="157">
        <f t="shared" si="87"/>
        <v>46243</v>
      </c>
      <c r="Y235" s="385">
        <f t="shared" si="88"/>
        <v>43.788033945907827</v>
      </c>
      <c r="Z235" s="385">
        <f t="shared" si="89"/>
        <v>46.877919092672968</v>
      </c>
      <c r="AA235" s="386">
        <f t="shared" si="90"/>
        <v>54.709800261131768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0.14315316691117422</v>
      </c>
      <c r="AD235" s="231">
        <f>(INDEX(Models!$BJ235:$BT235,,AH235)*(1-AF235)+INDEX(Models!$BJ235:$BT235,,AH235+1)*AF235-ERP_i)*AE235*Ramure*Pc/MaxiM</f>
        <v>6.6089938164468238E-4</v>
      </c>
      <c r="AE235" s="305">
        <f t="shared" si="92"/>
        <v>0.7</v>
      </c>
      <c r="AF235" s="177">
        <f t="shared" si="93"/>
        <v>0.96805038160957313</v>
      </c>
      <c r="AG235" s="810">
        <f t="shared" si="99"/>
        <v>1</v>
      </c>
      <c r="AH235" s="176">
        <f t="shared" si="94"/>
        <v>7</v>
      </c>
      <c r="AI235" s="225">
        <f t="shared" si="95"/>
        <v>1.9680503816095731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43.701168545481821</v>
      </c>
      <c r="C236" s="840"/>
      <c r="D236" s="393">
        <f t="shared" si="77"/>
        <v>46.786012848788609</v>
      </c>
      <c r="E236" s="385">
        <f t="shared" si="100"/>
        <v>51.245108350925527</v>
      </c>
      <c r="F236" s="385">
        <f t="shared" si="78"/>
        <v>51.247604057066034</v>
      </c>
      <c r="G236" s="110">
        <f t="shared" si="101"/>
        <v>0.88874368965539596</v>
      </c>
      <c r="H236" s="414" t="b">
        <f>Wh_hp&gt;='2025'!Maxi_hp</f>
        <v>0</v>
      </c>
      <c r="I236" s="390">
        <f>IF(H236,Wh_hp,'2025'!Maxi_hp)</f>
        <v>51.247892530119145</v>
      </c>
      <c r="J236" s="85">
        <f>IF(H236,An,'2025'!An_max)</f>
        <v>2025</v>
      </c>
      <c r="K236" s="197">
        <f t="shared" si="79"/>
        <v>46244</v>
      </c>
      <c r="L236" s="147">
        <f>IF(t&lt;Tvie,1-EXP((T0-t)*PertePVj)+'2025'!Pspv,1-EXP((T0-t)*PertePVj)+Pspv)</f>
        <v>6.5935182664035419E-2</v>
      </c>
      <c r="M236" s="844"/>
      <c r="N236" s="844"/>
      <c r="O236" s="48">
        <f>IF(t&lt;Tnet,'2025'!Resal+('2025'!Salim-'2025'!Resal)*(1-EXP(('2025'!Tnet-t)/('2025'!Tau_j))),Resal+(Salim-Resal)*(1-EXP((Tnet-t)/(Tau_j))))*Salcycl</f>
        <v>8.7015046813856189E-2</v>
      </c>
      <c r="P236" s="169">
        <f>(INDEX(Models!$BJ236:$BT236,,T236)*(1-R236)+INDEX(Models!$BJ236:$BT236,,T236+1)*R236-ERP_i)*Q236*Ramure*Pc/MaxiM</f>
        <v>5.7900941192657981E-5</v>
      </c>
      <c r="Q236" s="305">
        <f t="shared" si="80"/>
        <v>0.7</v>
      </c>
      <c r="R236" s="177">
        <f t="shared" si="81"/>
        <v>0.14922822888310683</v>
      </c>
      <c r="S236" s="810">
        <f t="shared" si="82"/>
        <v>-1</v>
      </c>
      <c r="T236" s="176">
        <f t="shared" si="83"/>
        <v>5</v>
      </c>
      <c r="U236" s="251">
        <f t="shared" si="84"/>
        <v>-0.85077177111689317</v>
      </c>
      <c r="V236" s="383">
        <f t="shared" si="85"/>
        <v>49.171394293068111</v>
      </c>
      <c r="W236" s="402">
        <f t="shared" si="86"/>
        <v>43.701168545481821</v>
      </c>
      <c r="X236" s="157">
        <f t="shared" si="87"/>
        <v>46244</v>
      </c>
      <c r="Y236" s="385">
        <f t="shared" si="88"/>
        <v>40.989941372386369</v>
      </c>
      <c r="Z236" s="385">
        <f t="shared" si="89"/>
        <v>43.883401463822722</v>
      </c>
      <c r="AA236" s="386">
        <f t="shared" si="90"/>
        <v>51.217704886472482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0.14319859585482683</v>
      </c>
      <c r="AD236" s="231">
        <f>(INDEX(Models!$BJ236:$BT236,,AH236)*(1-AF236)+INDEX(Models!$BJ236:$BT236,,AH236+1)*AF236-ERP_i)*AE236*Ramure*Pc/MaxiM</f>
        <v>6.9366745152768809E-4</v>
      </c>
      <c r="AE236" s="305">
        <f t="shared" si="92"/>
        <v>0.7</v>
      </c>
      <c r="AF236" s="177">
        <f t="shared" si="93"/>
        <v>0.96921828198229076</v>
      </c>
      <c r="AG236" s="810">
        <f t="shared" si="99"/>
        <v>1</v>
      </c>
      <c r="AH236" s="176">
        <f t="shared" si="94"/>
        <v>7</v>
      </c>
      <c r="AI236" s="225">
        <f t="shared" si="95"/>
        <v>1.9692182819822908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42.345264480141225</v>
      </c>
      <c r="C237" s="840"/>
      <c r="D237" s="393">
        <f t="shared" si="77"/>
        <v>45.335451194935757</v>
      </c>
      <c r="E237" s="385">
        <f t="shared" si="100"/>
        <v>49.662201719657929</v>
      </c>
      <c r="F237" s="385">
        <f t="shared" si="78"/>
        <v>49.66461392971997</v>
      </c>
      <c r="G237" s="110">
        <f t="shared" si="101"/>
        <v>0.86454885537990767</v>
      </c>
      <c r="H237" s="414" t="b">
        <f>Wh_hp&gt;='2025'!Maxi_hp</f>
        <v>0</v>
      </c>
      <c r="I237" s="390">
        <f>IF(H237,Wh_hp,'2025'!Maxi_hp)</f>
        <v>49.664967973125641</v>
      </c>
      <c r="J237" s="85">
        <f>IF(H237,An,'2025'!An_max)</f>
        <v>2025</v>
      </c>
      <c r="K237" s="197">
        <f t="shared" si="79"/>
        <v>46245</v>
      </c>
      <c r="L237" s="147">
        <f>IF(t&lt;Tvie,1-EXP((T0-t)*PertePVj)+'2025'!Pspv,1-EXP((T0-t)*PertePVj)+Pspv)</f>
        <v>6.5956919716915752E-2</v>
      </c>
      <c r="M237" s="844"/>
      <c r="N237" s="844"/>
      <c r="O237" s="48">
        <f>IF(t&lt;Tnet,'2025'!Resal+('2025'!Salim-'2025'!Resal)*(1-EXP(('2025'!Tnet-t)/('2025'!Tau_j))),Resal+(Salim-Resal)*(1-EXP((Tnet-t)/(Tau_j))))*Salcycl</f>
        <v>8.7123614638484753E-2</v>
      </c>
      <c r="P237" s="169">
        <f>(INDEX(Models!$BJ237:$BT237,,T237)*(1-R237)+INDEX(Models!$BJ237:$BT237,,T237+1)*R237-ERP_i)*Q237*Ramure*Pc/MaxiM</f>
        <v>6.0222228123511103E-5</v>
      </c>
      <c r="Q237" s="305">
        <f t="shared" si="80"/>
        <v>0.7</v>
      </c>
      <c r="R237" s="177">
        <f t="shared" si="81"/>
        <v>0.15035607376818083</v>
      </c>
      <c r="S237" s="810">
        <f t="shared" si="82"/>
        <v>-1</v>
      </c>
      <c r="T237" s="176">
        <f t="shared" si="83"/>
        <v>5</v>
      </c>
      <c r="U237" s="251">
        <f t="shared" si="84"/>
        <v>-0.84964392623181917</v>
      </c>
      <c r="V237" s="383">
        <f t="shared" si="85"/>
        <v>48.979037767257189</v>
      </c>
      <c r="W237" s="402">
        <f t="shared" si="86"/>
        <v>42.345264480141225</v>
      </c>
      <c r="X237" s="157">
        <f t="shared" si="87"/>
        <v>46245</v>
      </c>
      <c r="Y237" s="385">
        <f t="shared" si="88"/>
        <v>39.720608974977573</v>
      </c>
      <c r="Z237" s="385">
        <f t="shared" si="89"/>
        <v>42.525457137308152</v>
      </c>
      <c r="AA237" s="386">
        <f t="shared" si="90"/>
        <v>49.635414662417944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0.14324364112733362</v>
      </c>
      <c r="AD237" s="231">
        <f>(INDEX(Models!$BJ237:$BT237,,AH237)*(1-AF237)+INDEX(Models!$BJ237:$BT237,,AH237+1)*AF237-ERP_i)*AE237*Ramure*Pc/MaxiM</f>
        <v>7.2897670239155583E-4</v>
      </c>
      <c r="AE237" s="305">
        <f t="shared" si="92"/>
        <v>0.7</v>
      </c>
      <c r="AF237" s="177">
        <f t="shared" si="93"/>
        <v>0.97034612686736477</v>
      </c>
      <c r="AG237" s="810">
        <f t="shared" si="99"/>
        <v>1</v>
      </c>
      <c r="AH237" s="176">
        <f t="shared" si="94"/>
        <v>7</v>
      </c>
      <c r="AI237" s="225">
        <f t="shared" si="95"/>
        <v>1.9703461268673648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43.443353841145253</v>
      </c>
      <c r="C238" s="840"/>
      <c r="D238" s="393">
        <f t="shared" si="77"/>
        <v>46.512163916268939</v>
      </c>
      <c r="E238" s="385">
        <f t="shared" si="100"/>
        <v>50.957260062868279</v>
      </c>
      <c r="F238" s="385">
        <f t="shared" si="78"/>
        <v>50.959960660604523</v>
      </c>
      <c r="G238" s="110">
        <f t="shared" si="101"/>
        <v>0.89052259294190439</v>
      </c>
      <c r="H238" s="414" t="b">
        <f>Wh_hp&gt;='2025'!Maxi_hp</f>
        <v>0</v>
      </c>
      <c r="I238" s="390">
        <f>IF(H238,Wh_hp,'2025'!Maxi_hp)</f>
        <v>50.960266835429124</v>
      </c>
      <c r="J238" s="85">
        <f>IF(H238,An,'2025'!An_max)</f>
        <v>2025</v>
      </c>
      <c r="K238" s="197">
        <f t="shared" si="79"/>
        <v>46246</v>
      </c>
      <c r="L238" s="147">
        <f>IF(t&lt;Tvie,1-EXP((T0-t)*PertePVj)+'2025'!Pspv,1-EXP((T0-t)*PertePVj)+Pspv)</f>
        <v>6.5978656263943058E-2</v>
      </c>
      <c r="M238" s="844"/>
      <c r="N238" s="844"/>
      <c r="O238" s="48">
        <f>IF(t&lt;Tnet,'2025'!Resal+('2025'!Salim-'2025'!Resal)*(1-EXP(('2025'!Tnet-t)/('2025'!Tau_j))),Resal+(Salim-Resal)*(1-EXP((Tnet-t)/(Tau_j))))*Salcycl</f>
        <v>8.7231851577483213E-2</v>
      </c>
      <c r="P238" s="169">
        <f>(INDEX(Models!$BJ238:$BT238,,T238)*(1-R238)+INDEX(Models!$BJ238:$BT238,,T238+1)*R238-ERP_i)*Q238*Ramure*Pc/MaxiM</f>
        <v>6.281826003740931E-5</v>
      </c>
      <c r="Q238" s="305">
        <f t="shared" si="80"/>
        <v>0.7</v>
      </c>
      <c r="R238" s="177">
        <f t="shared" si="81"/>
        <v>0.15144498495823366</v>
      </c>
      <c r="S238" s="810">
        <f t="shared" si="82"/>
        <v>-1</v>
      </c>
      <c r="T238" s="176">
        <f t="shared" si="83"/>
        <v>5</v>
      </c>
      <c r="U238" s="251">
        <f t="shared" si="84"/>
        <v>-0.84855501504176634</v>
      </c>
      <c r="V238" s="383">
        <f t="shared" si="85"/>
        <v>48.783632651040548</v>
      </c>
      <c r="W238" s="402">
        <f t="shared" si="86"/>
        <v>43.443353841145253</v>
      </c>
      <c r="X238" s="157">
        <f t="shared" si="87"/>
        <v>46246</v>
      </c>
      <c r="Y238" s="385">
        <f t="shared" si="88"/>
        <v>40.751118232981931</v>
      </c>
      <c r="Z238" s="385">
        <f t="shared" si="89"/>
        <v>43.629750547218435</v>
      </c>
      <c r="AA238" s="386">
        <f t="shared" si="90"/>
        <v>50.926992662767738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0.14328829828752576</v>
      </c>
      <c r="AD238" s="231">
        <f>(INDEX(Models!$BJ238:$BT238,,AH238)*(1-AF238)+INDEX(Models!$BJ238:$BT238,,AH238+1)*AF238-ERP_i)*AE238*Ramure*Pc/MaxiM</f>
        <v>7.6686439940001905E-4</v>
      </c>
      <c r="AE238" s="305">
        <f t="shared" si="92"/>
        <v>0.7</v>
      </c>
      <c r="AF238" s="177">
        <f t="shared" si="93"/>
        <v>0.97143503805741771</v>
      </c>
      <c r="AG238" s="810">
        <f t="shared" si="99"/>
        <v>1</v>
      </c>
      <c r="AH238" s="176">
        <f t="shared" si="94"/>
        <v>7</v>
      </c>
      <c r="AI238" s="225">
        <f t="shared" si="95"/>
        <v>1.9714350380574177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31.742056340720108</v>
      </c>
      <c r="C239" s="840"/>
      <c r="D239" s="393">
        <f t="shared" si="77"/>
        <v>33.985085303258444</v>
      </c>
      <c r="E239" s="385">
        <f t="shared" si="100"/>
        <v>37.237389735649238</v>
      </c>
      <c r="F239" s="385">
        <f t="shared" si="78"/>
        <v>37.238624542649333</v>
      </c>
      <c r="G239" s="110">
        <f t="shared" si="101"/>
        <v>0.65330920250688962</v>
      </c>
      <c r="H239" s="414" t="b">
        <f>Wh_hp&gt;='2025'!Maxi_hp</f>
        <v>0</v>
      </c>
      <c r="I239" s="390">
        <f>IF(H239,Wh_hp,'2025'!Maxi_hp)</f>
        <v>49.519418885775274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6.6000392305129107E-2</v>
      </c>
      <c r="M239" s="844"/>
      <c r="N239" s="844"/>
      <c r="O239" s="48">
        <f>IF(t&lt;Tnet,'2025'!Resal+('2025'!Salim-'2025'!Resal)*(1-EXP(('2025'!Tnet-t)/('2025'!Tau_j))),Resal+(Salim-Resal)*(1-EXP((Tnet-t)/(Tau_j))))*Salcycl</f>
        <v>8.7339753282362834E-2</v>
      </c>
      <c r="P239" s="169">
        <f>(INDEX(Models!$BJ239:$BT239,,T239)*(1-R239)+INDEX(Models!$BJ239:$BT239,,T239+1)*R239-ERP_i)*Q239*Ramure*Pc/MaxiM</f>
        <v>6.5693502031914761E-5</v>
      </c>
      <c r="Q239" s="305">
        <f t="shared" si="80"/>
        <v>0.7</v>
      </c>
      <c r="R239" s="177">
        <f t="shared" si="81"/>
        <v>0.15249607162042855</v>
      </c>
      <c r="S239" s="810">
        <f t="shared" si="82"/>
        <v>-1</v>
      </c>
      <c r="T239" s="176">
        <f t="shared" si="83"/>
        <v>5</v>
      </c>
      <c r="U239" s="251">
        <f t="shared" si="84"/>
        <v>-0.84750392837957145</v>
      </c>
      <c r="V239" s="383">
        <f t="shared" si="85"/>
        <v>48.584993877999167</v>
      </c>
      <c r="W239" s="402">
        <f t="shared" si="86"/>
        <v>31.742056340720108</v>
      </c>
      <c r="X239" s="157">
        <f t="shared" si="87"/>
        <v>46247</v>
      </c>
      <c r="Y239" s="385">
        <f t="shared" si="88"/>
        <v>29.783488379509954</v>
      </c>
      <c r="Z239" s="385">
        <f t="shared" si="89"/>
        <v>31.888116583920393</v>
      </c>
      <c r="AA239" s="386">
        <f t="shared" si="90"/>
        <v>37.223448832066957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0.1433325609407349</v>
      </c>
      <c r="AD239" s="231">
        <f>(INDEX(Models!$BJ239:$BT239,,AH239)*(1-AF239)+INDEX(Models!$BJ239:$BT239,,AH239+1)*AF239-ERP_i)*AE239*Ramure*Pc/MaxiM</f>
        <v>8.0736955159896404E-4</v>
      </c>
      <c r="AE239" s="305">
        <f t="shared" si="92"/>
        <v>0.7</v>
      </c>
      <c r="AF239" s="177">
        <f t="shared" si="93"/>
        <v>0.97248612471961238</v>
      </c>
      <c r="AG239" s="810">
        <f t="shared" si="99"/>
        <v>1</v>
      </c>
      <c r="AH239" s="176">
        <f t="shared" si="94"/>
        <v>7</v>
      </c>
      <c r="AI239" s="225">
        <f t="shared" si="95"/>
        <v>1.9724861247196124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31.115294055065441</v>
      </c>
      <c r="C240" s="840"/>
      <c r="D240" s="393">
        <f t="shared" si="77"/>
        <v>33.314808607961595</v>
      </c>
      <c r="E240" s="385">
        <f t="shared" si="100"/>
        <v>36.507271448468629</v>
      </c>
      <c r="F240" s="385">
        <f t="shared" si="78"/>
        <v>36.508507336899612</v>
      </c>
      <c r="G240" s="110">
        <f t="shared" si="101"/>
        <v>0.64308219368111286</v>
      </c>
      <c r="H240" s="414" t="b">
        <f>Wh_hp&gt;='2025'!Maxi_hp</f>
        <v>0</v>
      </c>
      <c r="I240" s="390">
        <f>IF(H240,Wh_hp,'2025'!Maxi_hp)</f>
        <v>56.438545472421865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6.6022127840485778E-2</v>
      </c>
      <c r="M240" s="844"/>
      <c r="N240" s="844"/>
      <c r="O240" s="48">
        <f>IF(t&lt;Tnet,'2025'!Resal+('2025'!Salim-'2025'!Resal)*(1-EXP(('2025'!Tnet-t)/('2025'!Tau_j))),Resal+(Salim-Resal)*(1-EXP((Tnet-t)/(Tau_j))))*Salcycl</f>
        <v>8.7447314297736889E-2</v>
      </c>
      <c r="P240" s="169">
        <f>(INDEX(Models!$BJ240:$BT240,,T240)*(1-R240)+INDEX(Models!$BJ240:$BT240,,T240+1)*R240-ERP_i)*Q240*Ramure*Pc/MaxiM</f>
        <v>6.9064740687173164E-5</v>
      </c>
      <c r="Q240" s="305">
        <f t="shared" si="80"/>
        <v>0.7</v>
      </c>
      <c r="R240" s="177">
        <f t="shared" si="81"/>
        <v>0.15351042886918775</v>
      </c>
      <c r="S240" s="810">
        <f t="shared" si="82"/>
        <v>-1</v>
      </c>
      <c r="T240" s="176">
        <f t="shared" si="83"/>
        <v>5</v>
      </c>
      <c r="U240" s="251">
        <f t="shared" si="84"/>
        <v>-0.84648957113081225</v>
      </c>
      <c r="V240" s="383">
        <f t="shared" si="85"/>
        <v>48.382926274431853</v>
      </c>
      <c r="W240" s="402">
        <f t="shared" si="86"/>
        <v>31.115294055065441</v>
      </c>
      <c r="X240" s="157">
        <f t="shared" si="87"/>
        <v>46248</v>
      </c>
      <c r="Y240" s="385">
        <f t="shared" si="88"/>
        <v>29.197069534895395</v>
      </c>
      <c r="Z240" s="385">
        <f t="shared" si="89"/>
        <v>31.260986373678051</v>
      </c>
      <c r="AA240" s="386">
        <f t="shared" si="90"/>
        <v>36.493259275513147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0.14337642089825434</v>
      </c>
      <c r="AD240" s="231">
        <f>(INDEX(Models!$BJ240:$BT240,,AH240)*(1-AF240)+INDEX(Models!$BJ240:$BT240,,AH240+1)*AF240-ERP_i)*AE240*Ramure*Pc/MaxiM</f>
        <v>8.5210232512608185E-4</v>
      </c>
      <c r="AE240" s="305">
        <f t="shared" si="92"/>
        <v>0.7</v>
      </c>
      <c r="AF240" s="177">
        <f t="shared" si="93"/>
        <v>0.97350048196837169</v>
      </c>
      <c r="AG240" s="810">
        <f t="shared" si="99"/>
        <v>1</v>
      </c>
      <c r="AH240" s="176">
        <f t="shared" si="94"/>
        <v>7</v>
      </c>
      <c r="AI240" s="225">
        <f t="shared" si="95"/>
        <v>1.9735004819683717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37.62471512945465</v>
      </c>
      <c r="C241" s="840"/>
      <c r="D241" s="393">
        <f t="shared" si="77"/>
        <v>40.285312803955115</v>
      </c>
      <c r="E241" s="385">
        <f t="shared" si="100"/>
        <v>44.150926325811064</v>
      </c>
      <c r="F241" s="385">
        <f t="shared" si="78"/>
        <v>44.153136651468571</v>
      </c>
      <c r="G241" s="110">
        <f t="shared" si="101"/>
        <v>0.78094656943260021</v>
      </c>
      <c r="H241" s="414" t="b">
        <f>Wh_hp&gt;='2025'!Maxi_hp</f>
        <v>0</v>
      </c>
      <c r="I241" s="390">
        <f>IF(H241,Wh_hp,'2025'!Maxi_hp)</f>
        <v>49.907980603306648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6.6043862870024839E-2</v>
      </c>
      <c r="M241" s="844"/>
      <c r="N241" s="844"/>
      <c r="O241" s="48">
        <f>IF(t&lt;Tnet,'2025'!Resal+('2025'!Salim-'2025'!Resal)*(1-EXP(('2025'!Tnet-t)/('2025'!Tau_j))),Resal+(Salim-Resal)*(1-EXP((Tnet-t)/(Tau_j))))*Salcycl</f>
        <v>8.7554528150320554E-2</v>
      </c>
      <c r="P241" s="169">
        <f>(INDEX(Models!$BJ241:$BT241,,T241)*(1-R241)+INDEX(Models!$BJ241:$BT241,,T241+1)*R241-ERP_i)*Q241*Ramure*Pc/MaxiM</f>
        <v>7.2858434344513087E-5</v>
      </c>
      <c r="Q241" s="305">
        <f t="shared" si="80"/>
        <v>0.7</v>
      </c>
      <c r="R241" s="177">
        <f t="shared" si="81"/>
        <v>0.15448913648761986</v>
      </c>
      <c r="S241" s="810">
        <f t="shared" si="82"/>
        <v>-1</v>
      </c>
      <c r="T241" s="176">
        <f t="shared" si="83"/>
        <v>5</v>
      </c>
      <c r="U241" s="251">
        <f t="shared" si="84"/>
        <v>-0.84551086351238014</v>
      </c>
      <c r="V241" s="383">
        <f t="shared" si="85"/>
        <v>48.17724898386286</v>
      </c>
      <c r="W241" s="402">
        <f t="shared" si="86"/>
        <v>37.62471512945465</v>
      </c>
      <c r="X241" s="157">
        <f t="shared" si="87"/>
        <v>46249</v>
      </c>
      <c r="Y241" s="385">
        <f t="shared" si="88"/>
        <v>35.301028257919427</v>
      </c>
      <c r="Z241" s="385">
        <f t="shared" si="89"/>
        <v>37.797308518576301</v>
      </c>
      <c r="AA241" s="386">
        <f t="shared" si="90"/>
        <v>44.125829121139653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0.14341986833130141</v>
      </c>
      <c r="AD241" s="231">
        <f>(INDEX(Models!$BJ241:$BT241,,AH241)*(1-AF241)+INDEX(Models!$BJ241:$BT241,,AH241+1)*AF241-ERP_i)*AE241*Ramure*Pc/MaxiM</f>
        <v>9.001315705757637E-4</v>
      </c>
      <c r="AE241" s="305">
        <f t="shared" si="92"/>
        <v>0.7</v>
      </c>
      <c r="AF241" s="177">
        <f t="shared" si="93"/>
        <v>0.97447918958680368</v>
      </c>
      <c r="AG241" s="810">
        <f t="shared" si="99"/>
        <v>1</v>
      </c>
      <c r="AH241" s="176">
        <f t="shared" si="94"/>
        <v>7</v>
      </c>
      <c r="AI241" s="225">
        <f t="shared" si="95"/>
        <v>1.9744791895868037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32.350898362370799</v>
      </c>
      <c r="C242" s="840"/>
      <c r="D242" s="393">
        <f t="shared" si="77"/>
        <v>34.63936896648439</v>
      </c>
      <c r="E242" s="385">
        <f t="shared" si="100"/>
        <v>37.967667365362331</v>
      </c>
      <c r="F242" s="385">
        <f t="shared" si="78"/>
        <v>37.969232877290807</v>
      </c>
      <c r="G242" s="110">
        <f t="shared" si="101"/>
        <v>0.67440561736283267</v>
      </c>
      <c r="H242" s="414" t="b">
        <f>Wh_hp&gt;='2025'!Maxi_hp</f>
        <v>0</v>
      </c>
      <c r="I242" s="390">
        <f>IF(H242,Wh_hp,'2025'!Maxi_hp)</f>
        <v>54.750781223498663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6.6065597393757947E-2</v>
      </c>
      <c r="M242" s="844"/>
      <c r="N242" s="844"/>
      <c r="O242" s="48">
        <f>IF(t&lt;Tnet,'2025'!Resal+('2025'!Salim-'2025'!Resal)*(1-EXP(('2025'!Tnet-t)/('2025'!Tau_j))),Resal+(Salim-Resal)*(1-EXP((Tnet-t)/(Tau_j))))*Salcycl</f>
        <v>8.7661387433938753E-2</v>
      </c>
      <c r="P242" s="169">
        <f>(INDEX(Models!$BJ242:$BT242,,T242)*(1-R242)+INDEX(Models!$BJ242:$BT242,,T242+1)*R242-ERP_i)*Q242*Ramure*Pc/MaxiM</f>
        <v>7.7081861750606057E-5</v>
      </c>
      <c r="Q242" s="305">
        <f t="shared" si="80"/>
        <v>0.7</v>
      </c>
      <c r="R242" s="177">
        <f t="shared" si="81"/>
        <v>0.15543325779003481</v>
      </c>
      <c r="S242" s="810">
        <f t="shared" si="82"/>
        <v>-1</v>
      </c>
      <c r="T242" s="176">
        <f t="shared" si="83"/>
        <v>5</v>
      </c>
      <c r="U242" s="251">
        <f t="shared" si="84"/>
        <v>-0.84456674220996519</v>
      </c>
      <c r="V242" s="383">
        <f t="shared" si="85"/>
        <v>47.967777367547406</v>
      </c>
      <c r="W242" s="402">
        <f t="shared" si="86"/>
        <v>32.350898362370799</v>
      </c>
      <c r="X242" s="157">
        <f t="shared" si="87"/>
        <v>46250</v>
      </c>
      <c r="Y242" s="385">
        <f t="shared" si="88"/>
        <v>30.358008854549155</v>
      </c>
      <c r="Z242" s="385">
        <f t="shared" si="89"/>
        <v>32.505504422828778</v>
      </c>
      <c r="AA242" s="386">
        <f t="shared" si="90"/>
        <v>37.949907967910171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0.1434628919175534</v>
      </c>
      <c r="AD242" s="231">
        <f>(INDEX(Models!$BJ242:$BT242,,AH242)*(1-AF242)+INDEX(Models!$BJ242:$BT242,,AH242+1)*AF242-ERP_i)*AE242*Ramure*Pc/MaxiM</f>
        <v>9.5150983274146629E-4</v>
      </c>
      <c r="AE242" s="305">
        <f t="shared" si="92"/>
        <v>0.7</v>
      </c>
      <c r="AF242" s="177">
        <f t="shared" si="93"/>
        <v>0.97542331088921874</v>
      </c>
      <c r="AG242" s="810">
        <f t="shared" si="99"/>
        <v>1</v>
      </c>
      <c r="AH242" s="176">
        <f t="shared" si="94"/>
        <v>7</v>
      </c>
      <c r="AI242" s="225">
        <f t="shared" si="95"/>
        <v>1.9754233108892187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26.937847566843207</v>
      </c>
      <c r="C243" s="840"/>
      <c r="D243" s="393">
        <f t="shared" si="77"/>
        <v>28.844075546766376</v>
      </c>
      <c r="E243" s="385">
        <f t="shared" si="100"/>
        <v>31.619228305343213</v>
      </c>
      <c r="F243" s="385">
        <f t="shared" si="78"/>
        <v>31.620203453294867</v>
      </c>
      <c r="G243" s="110">
        <f t="shared" si="101"/>
        <v>0.56406357363891102</v>
      </c>
      <c r="H243" s="414" t="b">
        <f>Wh_hp&gt;='2025'!Maxi_hp</f>
        <v>0</v>
      </c>
      <c r="I243" s="390">
        <f>IF(H243,Wh_hp,'2025'!Maxi_hp)</f>
        <v>54.337378968983657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6.608733141169687E-2</v>
      </c>
      <c r="M243" s="844"/>
      <c r="N243" s="844"/>
      <c r="O243" s="48">
        <f>IF(t&lt;Tnet,'2025'!Resal+('2025'!Salim-'2025'!Resal)*(1-EXP(('2025'!Tnet-t)/('2025'!Tau_j))),Resal+(Salim-Resal)*(1-EXP((Tnet-t)/(Tau_j))))*Salcycl</f>
        <v>8.7767883889433018E-2</v>
      </c>
      <c r="P243" s="169">
        <f>(INDEX(Models!$BJ243:$BT243,,T243)*(1-R243)+INDEX(Models!$BJ243:$BT243,,T243+1)*R243-ERP_i)*Q243*Ramure*Pc/MaxiM</f>
        <v>8.1742548325363634E-5</v>
      </c>
      <c r="Q243" s="305">
        <f t="shared" si="80"/>
        <v>0.7</v>
      </c>
      <c r="R243" s="177">
        <f t="shared" si="81"/>
        <v>0.15634383861791701</v>
      </c>
      <c r="S243" s="810">
        <f t="shared" si="82"/>
        <v>-1</v>
      </c>
      <c r="T243" s="176">
        <f t="shared" si="83"/>
        <v>5</v>
      </c>
      <c r="U243" s="251">
        <f t="shared" si="84"/>
        <v>-0.84365616138208299</v>
      </c>
      <c r="V243" s="383">
        <f t="shared" si="85"/>
        <v>47.754326927019683</v>
      </c>
      <c r="W243" s="402">
        <f t="shared" si="86"/>
        <v>26.937847566843207</v>
      </c>
      <c r="X243" s="157">
        <f t="shared" si="87"/>
        <v>46251</v>
      </c>
      <c r="Y243" s="385">
        <f t="shared" si="88"/>
        <v>25.283116461675284</v>
      </c>
      <c r="Z243" s="385">
        <f t="shared" si="89"/>
        <v>27.072249164253329</v>
      </c>
      <c r="AA243" s="386">
        <f t="shared" si="90"/>
        <v>31.608198884874895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0.14350547897849697</v>
      </c>
      <c r="AD243" s="231">
        <f>(INDEX(Models!$BJ243:$BT243,,AH243)*(1-AF243)+INDEX(Models!$BJ243:$BT243,,AH243+1)*AF243-ERP_i)*AE243*Ramure*Pc/MaxiM</f>
        <v>1.0062924426303709E-3</v>
      </c>
      <c r="AE243" s="305">
        <f t="shared" si="92"/>
        <v>0.7</v>
      </c>
      <c r="AF243" s="177">
        <f t="shared" si="93"/>
        <v>0.97633389171710094</v>
      </c>
      <c r="AG243" s="810">
        <f t="shared" si="99"/>
        <v>1</v>
      </c>
      <c r="AH243" s="176">
        <f t="shared" si="94"/>
        <v>7</v>
      </c>
      <c r="AI243" s="225">
        <f t="shared" si="95"/>
        <v>1.9763338917171009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33.536045009573463</v>
      </c>
      <c r="C244" s="840"/>
      <c r="D244" s="393">
        <f t="shared" si="77"/>
        <v>35.910023055142993</v>
      </c>
      <c r="E244" s="385">
        <f t="shared" si="100"/>
        <v>39.369586426586537</v>
      </c>
      <c r="F244" s="385">
        <f t="shared" si="78"/>
        <v>39.371567095568182</v>
      </c>
      <c r="G244" s="110">
        <f t="shared" si="101"/>
        <v>0.70545094884510162</v>
      </c>
      <c r="H244" s="414" t="b">
        <f>Wh_hp&gt;='2025'!Maxi_hp</f>
        <v>0</v>
      </c>
      <c r="I244" s="390">
        <f>IF(H244,Wh_hp,'2025'!Maxi_hp)</f>
        <v>54.641783425949193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6.61090649238536E-2</v>
      </c>
      <c r="M244" s="844"/>
      <c r="N244" s="844"/>
      <c r="O244" s="48">
        <f>IF(t&lt;Tnet,'2025'!Resal+('2025'!Salim-'2025'!Resal)*(1-EXP(('2025'!Tnet-t)/('2025'!Tau_j))),Resal+(Salim-Resal)*(1-EXP((Tnet-t)/(Tau_j))))*Salcycl</f>
        <v>8.7874008478465424E-2</v>
      </c>
      <c r="P244" s="169">
        <f>(INDEX(Models!$BJ244:$BT244,,T244)*(1-R244)+INDEX(Models!$BJ244:$BT244,,T244+1)*R244-ERP_i)*Q244*Ramure*Pc/MaxiM</f>
        <v>8.6848296562335852E-5</v>
      </c>
      <c r="Q244" s="305">
        <f t="shared" si="80"/>
        <v>0.7</v>
      </c>
      <c r="R244" s="177">
        <f t="shared" si="81"/>
        <v>0.15722190646176792</v>
      </c>
      <c r="S244" s="810">
        <f t="shared" si="82"/>
        <v>-1</v>
      </c>
      <c r="T244" s="176">
        <f t="shared" si="83"/>
        <v>5</v>
      </c>
      <c r="U244" s="251">
        <f t="shared" si="84"/>
        <v>-0.84277809353823208</v>
      </c>
      <c r="V244" s="383">
        <f t="shared" si="85"/>
        <v>47.536713297053829</v>
      </c>
      <c r="W244" s="402">
        <f t="shared" si="86"/>
        <v>33.536045009573463</v>
      </c>
      <c r="X244" s="157">
        <f t="shared" si="87"/>
        <v>46252</v>
      </c>
      <c r="Y244" s="385">
        <f t="shared" si="88"/>
        <v>31.471264982491139</v>
      </c>
      <c r="Z244" s="385">
        <f t="shared" si="89"/>
        <v>33.699079625315214</v>
      </c>
      <c r="AA244" s="386">
        <f t="shared" si="90"/>
        <v>39.347289165597232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0.1435476156060187</v>
      </c>
      <c r="AD244" s="231">
        <f>(INDEX(Models!$BJ244:$BT244,,AH244)*(1-AF244)+INDEX(Models!$BJ244:$BT244,,AH244+1)*AF244-ERP_i)*AE244*Ramure*Pc/MaxiM</f>
        <v>1.0645377302213508E-3</v>
      </c>
      <c r="AE244" s="305">
        <f t="shared" si="92"/>
        <v>0.7</v>
      </c>
      <c r="AF244" s="177">
        <f t="shared" si="93"/>
        <v>0.97721195956095186</v>
      </c>
      <c r="AG244" s="810">
        <f t="shared" si="99"/>
        <v>1</v>
      </c>
      <c r="AH244" s="176">
        <f t="shared" si="94"/>
        <v>7</v>
      </c>
      <c r="AI244" s="225">
        <f t="shared" si="95"/>
        <v>1.9772119595609519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40.047749370296778</v>
      </c>
      <c r="C245" s="840"/>
      <c r="D245" s="393">
        <f t="shared" si="77"/>
        <v>42.883681442259615</v>
      </c>
      <c r="E245" s="385">
        <f t="shared" si="100"/>
        <v>47.020536562050268</v>
      </c>
      <c r="F245" s="385">
        <f t="shared" si="78"/>
        <v>47.023928489668457</v>
      </c>
      <c r="G245" s="110">
        <f t="shared" si="101"/>
        <v>0.84639431538410603</v>
      </c>
      <c r="H245" s="414" t="b">
        <f>Wh_hp&gt;='2025'!Maxi_hp</f>
        <v>0</v>
      </c>
      <c r="I245" s="390">
        <f>IF(H245,Wh_hp,'2025'!Maxi_hp)</f>
        <v>47.024504451636645</v>
      </c>
      <c r="J245" s="85">
        <f>IF(H245,An,'2025'!An_max)</f>
        <v>2025</v>
      </c>
      <c r="K245" s="197">
        <f t="shared" si="79"/>
        <v>46253</v>
      </c>
      <c r="L245" s="147">
        <f>IF(t&lt;Tvie,1-EXP((T0-t)*PertePVj)+'2025'!Pspv,1-EXP((T0-t)*PertePVj)+Pspv)</f>
        <v>6.6130797930239571E-2</v>
      </c>
      <c r="M245" s="844"/>
      <c r="N245" s="844"/>
      <c r="O245" s="48">
        <f>IF(t&lt;Tnet,'2025'!Resal+('2025'!Salim-'2025'!Resal)*(1-EXP(('2025'!Tnet-t)/('2025'!Tau_j))),Resal+(Salim-Resal)*(1-EXP((Tnet-t)/(Tau_j))))*Salcycl</f>
        <v>8.7979751450336596E-2</v>
      </c>
      <c r="P245" s="169">
        <f>(INDEX(Models!$BJ245:$BT245,,T245)*(1-R245)+INDEX(Models!$BJ245:$BT245,,T245+1)*R245-ERP_i)*Q245*Ramure*Pc/MaxiM</f>
        <v>9.2407217720902828E-5</v>
      </c>
      <c r="Q245" s="305">
        <f t="shared" si="80"/>
        <v>0.7</v>
      </c>
      <c r="R245" s="177">
        <f t="shared" si="81"/>
        <v>0.15806846970131927</v>
      </c>
      <c r="S245" s="810">
        <f t="shared" si="82"/>
        <v>-1</v>
      </c>
      <c r="T245" s="176">
        <f t="shared" si="83"/>
        <v>5</v>
      </c>
      <c r="U245" s="251">
        <f t="shared" si="84"/>
        <v>-0.84193153029868073</v>
      </c>
      <c r="V245" s="383">
        <f t="shared" si="85"/>
        <v>47.314752243668515</v>
      </c>
      <c r="W245" s="402">
        <f t="shared" si="86"/>
        <v>40.047749370296778</v>
      </c>
      <c r="X245" s="157">
        <f t="shared" si="87"/>
        <v>46253</v>
      </c>
      <c r="Y245" s="385">
        <f t="shared" si="88"/>
        <v>37.575525338608408</v>
      </c>
      <c r="Z245" s="385">
        <f t="shared" si="89"/>
        <v>40.236389909131518</v>
      </c>
      <c r="AA245" s="386">
        <f t="shared" si="90"/>
        <v>46.982585911029169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0.14358928677686902</v>
      </c>
      <c r="AD245" s="231">
        <f>(INDEX(Models!$BJ245:$BT245,,AH245)*(1-AF245)+INDEX(Models!$BJ245:$BT245,,AH245+1)*AF245-ERP_i)*AE245*Ramure*Pc/MaxiM</f>
        <v>1.1263072492987045E-3</v>
      </c>
      <c r="AE245" s="305">
        <f t="shared" si="92"/>
        <v>0.7</v>
      </c>
      <c r="AF245" s="177">
        <f t="shared" si="93"/>
        <v>0.97805852280050321</v>
      </c>
      <c r="AG245" s="810">
        <f t="shared" si="99"/>
        <v>1</v>
      </c>
      <c r="AH245" s="176">
        <f t="shared" si="94"/>
        <v>7</v>
      </c>
      <c r="AI245" s="225">
        <f t="shared" si="95"/>
        <v>1.9780585228005032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44.955355434807771</v>
      </c>
      <c r="C246" s="840"/>
      <c r="D246" s="393">
        <f t="shared" si="77"/>
        <v>48.139933875442928</v>
      </c>
      <c r="E246" s="385">
        <f t="shared" si="100"/>
        <v>52.789941256793824</v>
      </c>
      <c r="F246" s="385">
        <f t="shared" si="78"/>
        <v>52.794801475557996</v>
      </c>
      <c r="G246" s="110">
        <f t="shared" si="101"/>
        <v>0.95469803753269433</v>
      </c>
      <c r="H246" s="414" t="b">
        <f>Wh_hp&gt;='2025'!Maxi_hp</f>
        <v>0</v>
      </c>
      <c r="I246" s="390">
        <f>IF(H246,Wh_hp,'2025'!Maxi_hp)</f>
        <v>52.79500410272982</v>
      </c>
      <c r="J246" s="85">
        <f>IF(H246,An,'2025'!An_max)</f>
        <v>2025</v>
      </c>
      <c r="K246" s="197">
        <f t="shared" si="79"/>
        <v>46254</v>
      </c>
      <c r="L246" s="147">
        <f>IF(t&lt;Tvie,1-EXP((T0-t)*PertePVj)+'2025'!Pspv,1-EXP((T0-t)*PertePVj)+Pspv)</f>
        <v>6.6152530430866885E-2</v>
      </c>
      <c r="M246" s="844"/>
      <c r="N246" s="844"/>
      <c r="O246" s="48">
        <f>IF(t&lt;Tnet,'2025'!Resal+('2025'!Salim-'2025'!Resal)*(1-EXP(('2025'!Tnet-t)/('2025'!Tau_j))),Resal+(Salim-Resal)*(1-EXP((Tnet-t)/(Tau_j))))*Salcycl</f>
        <v>8.8085102401065152E-2</v>
      </c>
      <c r="P246" s="169">
        <f>(INDEX(Models!$BJ246:$BT246,,T246)*(1-R246)+INDEX(Models!$BJ246:$BT246,,T246+1)*R246-ERP_i)*Q246*Ramure*Pc/MaxiM</f>
        <v>9.8427764987453034E-5</v>
      </c>
      <c r="Q246" s="305">
        <f t="shared" si="80"/>
        <v>0.7</v>
      </c>
      <c r="R246" s="177">
        <f t="shared" si="81"/>
        <v>0.15888451695674755</v>
      </c>
      <c r="S246" s="810">
        <f t="shared" si="82"/>
        <v>-1</v>
      </c>
      <c r="T246" s="176">
        <f t="shared" si="83"/>
        <v>5</v>
      </c>
      <c r="U246" s="251">
        <f t="shared" si="84"/>
        <v>-0.84111548304325245</v>
      </c>
      <c r="V246" s="383">
        <f t="shared" si="85"/>
        <v>47.088259654667276</v>
      </c>
      <c r="W246" s="402">
        <f t="shared" si="86"/>
        <v>44.955355434807771</v>
      </c>
      <c r="X246" s="157">
        <f t="shared" si="87"/>
        <v>46254</v>
      </c>
      <c r="Y246" s="385">
        <f t="shared" si="88"/>
        <v>42.173922494518337</v>
      </c>
      <c r="Z246" s="385">
        <f t="shared" si="89"/>
        <v>45.161467872239264</v>
      </c>
      <c r="AA246" s="386">
        <f t="shared" si="90"/>
        <v>52.735958754381933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0.14363047645385396</v>
      </c>
      <c r="AD246" s="231">
        <f>(INDEX(Models!$BJ246:$BT246,,AH246)*(1-AF246)+INDEX(Models!$BJ246:$BT246,,AH246+1)*AF246-ERP_i)*AE246*Ramure*Pc/MaxiM</f>
        <v>1.1916660159068618E-3</v>
      </c>
      <c r="AE246" s="305">
        <f t="shared" si="92"/>
        <v>0.7</v>
      </c>
      <c r="AF246" s="177">
        <f t="shared" si="93"/>
        <v>0.97887457005593159</v>
      </c>
      <c r="AG246" s="810">
        <f t="shared" si="99"/>
        <v>1</v>
      </c>
      <c r="AH246" s="176">
        <f t="shared" si="94"/>
        <v>7</v>
      </c>
      <c r="AI246" s="225">
        <f t="shared" si="95"/>
        <v>1.9788745700559316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28.867297479855587</v>
      </c>
      <c r="C247" s="840"/>
      <c r="D247" s="393">
        <f t="shared" si="77"/>
        <v>30.912938376321215</v>
      </c>
      <c r="E247" s="385">
        <f t="shared" si="100"/>
        <v>33.902830724000779</v>
      </c>
      <c r="F247" s="385">
        <f t="shared" si="78"/>
        <v>33.904436826909169</v>
      </c>
      <c r="G247" s="110">
        <f t="shared" si="101"/>
        <v>0.61602469729013754</v>
      </c>
      <c r="H247" s="414" t="b">
        <f>Wh_hp&gt;='2025'!Maxi_hp</f>
        <v>0</v>
      </c>
      <c r="I247" s="390">
        <f>IF(H247,Wh_hp,'2025'!Maxi_hp)</f>
        <v>52.989538136778435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6.6174262425747088E-2</v>
      </c>
      <c r="M247" s="844"/>
      <c r="N247" s="844"/>
      <c r="O247" s="48">
        <f>IF(t&lt;Tnet,'2025'!Resal+('2025'!Salim-'2025'!Resal)*(1-EXP(('2025'!Tnet-t)/('2025'!Tau_j))),Resal+(Salim-Resal)*(1-EXP((Tnet-t)/(Tau_j))))*Salcycl</f>
        <v>8.8190050324114408E-2</v>
      </c>
      <c r="P247" s="169">
        <f>(INDEX(Models!$BJ247:$BT247,,T247)*(1-R247)+INDEX(Models!$BJ247:$BT247,,T247+1)*R247-ERP_i)*Q247*Ramure*Pc/MaxiM</f>
        <v>1.0491682302159975E-4</v>
      </c>
      <c r="Q247" s="305">
        <f t="shared" si="80"/>
        <v>0.7</v>
      </c>
      <c r="R247" s="177">
        <f t="shared" si="81"/>
        <v>0.15967101654367899</v>
      </c>
      <c r="S247" s="810">
        <f t="shared" si="82"/>
        <v>-1</v>
      </c>
      <c r="T247" s="176">
        <f t="shared" si="83"/>
        <v>5</v>
      </c>
      <c r="U247" s="251">
        <f t="shared" si="84"/>
        <v>-0.84032898345632101</v>
      </c>
      <c r="V247" s="383">
        <f t="shared" si="85"/>
        <v>46.857920387324427</v>
      </c>
      <c r="W247" s="402">
        <f t="shared" si="86"/>
        <v>28.867297479855587</v>
      </c>
      <c r="X247" s="157">
        <f t="shared" si="87"/>
        <v>46255</v>
      </c>
      <c r="Y247" s="385">
        <f t="shared" si="88"/>
        <v>27.09665412640517</v>
      </c>
      <c r="Z247" s="385">
        <f t="shared" si="89"/>
        <v>29.016820843675436</v>
      </c>
      <c r="AA247" s="386">
        <f t="shared" si="90"/>
        <v>33.885138218246581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0.14367116767284241</v>
      </c>
      <c r="AD247" s="231">
        <f>(INDEX(Models!$BJ247:$BT247,,AH247)*(1-AF247)+INDEX(Models!$BJ247:$BT247,,AH247+1)*AF247-ERP_i)*AE247*Ramure*Pc/MaxiM</f>
        <v>1.260659388036946E-3</v>
      </c>
      <c r="AE247" s="305">
        <f t="shared" si="92"/>
        <v>0.7</v>
      </c>
      <c r="AF247" s="177">
        <f t="shared" si="93"/>
        <v>0.97966106964286293</v>
      </c>
      <c r="AG247" s="810">
        <f t="shared" si="99"/>
        <v>1</v>
      </c>
      <c r="AH247" s="176">
        <f t="shared" si="94"/>
        <v>7</v>
      </c>
      <c r="AI247" s="225">
        <f t="shared" si="95"/>
        <v>1.9796610696428629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24.727446239908097</v>
      </c>
      <c r="C248" s="840"/>
      <c r="D248" s="393">
        <f t="shared" si="77"/>
        <v>26.480338570805415</v>
      </c>
      <c r="E248" s="385">
        <f t="shared" si="100"/>
        <v>29.044840686464109</v>
      </c>
      <c r="F248" s="385">
        <f t="shared" si="78"/>
        <v>29.045913663782237</v>
      </c>
      <c r="G248" s="110">
        <f t="shared" si="101"/>
        <v>0.53031423558133883</v>
      </c>
      <c r="H248" s="414" t="b">
        <f>Wh_hp&gt;='2025'!Maxi_hp</f>
        <v>0</v>
      </c>
      <c r="I248" s="390">
        <f>IF(H248,Wh_hp,'2025'!Maxi_hp)</f>
        <v>55.477484592844142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6.619599391489206E-2</v>
      </c>
      <c r="M248" s="844"/>
      <c r="N248" s="844"/>
      <c r="O248" s="48">
        <f>IF(t&lt;Tnet,'2025'!Resal+('2025'!Salim-'2025'!Resal)*(1-EXP(('2025'!Tnet-t)/('2025'!Tau_j))),Resal+(Salim-Resal)*(1-EXP((Tnet-t)/(Tau_j))))*Salcycl</f>
        <v>8.8294583652298725E-2</v>
      </c>
      <c r="P248" s="169">
        <f>(INDEX(Models!$BJ248:$BT248,,T248)*(1-R248)+INDEX(Models!$BJ248:$BT248,,T248+1)*R248-ERP_i)*Q248*Ramure*Pc/MaxiM</f>
        <v>1.1225545149388819E-4</v>
      </c>
      <c r="Q248" s="305">
        <f t="shared" si="80"/>
        <v>0.7</v>
      </c>
      <c r="R248" s="177">
        <f t="shared" si="81"/>
        <v>0.16042891602497367</v>
      </c>
      <c r="S248" s="810">
        <f t="shared" si="82"/>
        <v>-1</v>
      </c>
      <c r="T248" s="176">
        <f t="shared" si="83"/>
        <v>5</v>
      </c>
      <c r="U248" s="251">
        <f t="shared" si="84"/>
        <v>-0.83957108397502633</v>
      </c>
      <c r="V248" s="383">
        <f t="shared" si="85"/>
        <v>46.624401480251251</v>
      </c>
      <c r="W248" s="402">
        <f t="shared" si="86"/>
        <v>24.727446239908097</v>
      </c>
      <c r="X248" s="157">
        <f t="shared" si="87"/>
        <v>46256</v>
      </c>
      <c r="Y248" s="385">
        <f t="shared" si="88"/>
        <v>23.215074103713793</v>
      </c>
      <c r="Z248" s="385">
        <f t="shared" si="89"/>
        <v>24.860756596066633</v>
      </c>
      <c r="AA248" s="386">
        <f t="shared" si="90"/>
        <v>29.033149489549519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0.14371134261492158</v>
      </c>
      <c r="AD248" s="231">
        <f>(INDEX(Models!$BJ248:$BT248,,AH248)*(1-AF248)+INDEX(Models!$BJ248:$BT248,,AH248+1)*AF248-ERP_i)*AE248*Ramure*Pc/MaxiM</f>
        <v>1.3353946231979335E-3</v>
      </c>
      <c r="AE248" s="305">
        <f t="shared" si="92"/>
        <v>0.7</v>
      </c>
      <c r="AF248" s="177">
        <f t="shared" si="93"/>
        <v>0.9804189691241576</v>
      </c>
      <c r="AG248" s="810">
        <f t="shared" si="99"/>
        <v>1</v>
      </c>
      <c r="AH248" s="176">
        <f t="shared" si="94"/>
        <v>7</v>
      </c>
      <c r="AI248" s="225">
        <f t="shared" si="95"/>
        <v>1.9804189691241576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45.187798949907247</v>
      </c>
      <c r="C249" s="840"/>
      <c r="D249" s="393">
        <f t="shared" si="77"/>
        <v>48.392221778879254</v>
      </c>
      <c r="E249" s="385">
        <f t="shared" si="100"/>
        <v>53.084853283397891</v>
      </c>
      <c r="F249" s="385">
        <f t="shared" si="78"/>
        <v>53.09100311145184</v>
      </c>
      <c r="G249" s="110">
        <f t="shared" si="101"/>
        <v>0.9741325156110987</v>
      </c>
      <c r="H249" s="414" t="b">
        <f>Wh_hp&gt;='2025'!Maxi_hp</f>
        <v>0</v>
      </c>
      <c r="I249" s="390">
        <f>IF(H249,Wh_hp,'2025'!Maxi_hp)</f>
        <v>53.091144196835963</v>
      </c>
      <c r="J249" s="85">
        <f>IF(H249,An,'2025'!An_max)</f>
        <v>2025</v>
      </c>
      <c r="K249" s="197">
        <f t="shared" si="79"/>
        <v>46257</v>
      </c>
      <c r="L249" s="147">
        <f>IF(t&lt;Tvie,1-EXP((T0-t)*PertePVj)+'2025'!Pspv,1-EXP((T0-t)*PertePVj)+Pspv)</f>
        <v>6.6217724898313568E-2</v>
      </c>
      <c r="M249" s="844"/>
      <c r="N249" s="844"/>
      <c r="O249" s="48">
        <f>IF(t&lt;Tnet,'2025'!Resal+('2025'!Salim-'2025'!Resal)*(1-EXP(('2025'!Tnet-t)/('2025'!Tau_j))),Resal+(Salim-Resal)*(1-EXP((Tnet-t)/(Tau_j))))*Salcycl</f>
        <v>8.8398690290554888E-2</v>
      </c>
      <c r="P249" s="169">
        <f>(INDEX(Models!$BJ249:$BT249,,T249)*(1-R249)+INDEX(Models!$BJ249:$BT249,,T249+1)*R249-ERP_i)*Q249*Ramure*Pc/MaxiM</f>
        <v>1.2027961185112266E-4</v>
      </c>
      <c r="Q249" s="305">
        <f t="shared" si="80"/>
        <v>0.7</v>
      </c>
      <c r="R249" s="177">
        <f t="shared" si="81"/>
        <v>0.1611591418524827</v>
      </c>
      <c r="S249" s="810">
        <f t="shared" si="82"/>
        <v>-1</v>
      </c>
      <c r="T249" s="176">
        <f t="shared" si="83"/>
        <v>5</v>
      </c>
      <c r="U249" s="251">
        <f t="shared" si="84"/>
        <v>-0.8388408581475173</v>
      </c>
      <c r="V249" s="383">
        <f t="shared" si="85"/>
        <v>46.387526735063616</v>
      </c>
      <c r="W249" s="402">
        <f t="shared" si="86"/>
        <v>45.187798949907247</v>
      </c>
      <c r="X249" s="157">
        <f t="shared" si="87"/>
        <v>46257</v>
      </c>
      <c r="Y249" s="385">
        <f t="shared" si="88"/>
        <v>42.39108904774956</v>
      </c>
      <c r="Z249" s="385">
        <f t="shared" si="89"/>
        <v>45.397187522255422</v>
      </c>
      <c r="AA249" s="386">
        <f t="shared" si="90"/>
        <v>53.018674010814379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0.14375098266328545</v>
      </c>
      <c r="AD249" s="231">
        <f>(INDEX(Models!$BJ249:$BT249,,AH249)*(1-AF249)+INDEX(Models!$BJ249:$BT249,,AH249+1)*AF249-ERP_i)*AE249*Ramure*Pc/MaxiM</f>
        <v>1.4146275430623829E-3</v>
      </c>
      <c r="AE249" s="305">
        <f t="shared" si="92"/>
        <v>0.7</v>
      </c>
      <c r="AF249" s="177">
        <f t="shared" si="93"/>
        <v>0.98114919495166664</v>
      </c>
      <c r="AG249" s="810">
        <f t="shared" si="99"/>
        <v>1</v>
      </c>
      <c r="AH249" s="176">
        <f t="shared" si="94"/>
        <v>7</v>
      </c>
      <c r="AI249" s="225">
        <f t="shared" si="95"/>
        <v>1.9811491949516666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40.25865996830121</v>
      </c>
      <c r="C250" s="840"/>
      <c r="D250" s="393">
        <f t="shared" si="77"/>
        <v>43.114543873251016</v>
      </c>
      <c r="E250" s="385">
        <f t="shared" si="100"/>
        <v>47.300773879780671</v>
      </c>
      <c r="F250" s="385">
        <f t="shared" si="78"/>
        <v>47.305764009394274</v>
      </c>
      <c r="G250" s="110">
        <f t="shared" si="101"/>
        <v>0.87237774227102938</v>
      </c>
      <c r="H250" s="414" t="b">
        <f>Wh_hp&gt;='2025'!Maxi_hp</f>
        <v>0</v>
      </c>
      <c r="I250" s="390">
        <f>IF(H250,Wh_hp,'2025'!Maxi_hp)</f>
        <v>52.284492274475099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6.6239455376023271E-2</v>
      </c>
      <c r="M250" s="844"/>
      <c r="N250" s="844"/>
      <c r="O250" s="48">
        <f>IF(t&lt;Tnet,'2025'!Resal+('2025'!Salim-'2025'!Resal)*(1-EXP(('2025'!Tnet-t)/('2025'!Tau_j))),Resal+(Salim-Resal)*(1-EXP((Tnet-t)/(Tau_j))))*Salcycl</f>
        <v>8.8502357639419368E-2</v>
      </c>
      <c r="P250" s="169">
        <f>(INDEX(Models!$BJ250:$BT250,,T250)*(1-R250)+INDEX(Models!$BJ250:$BT250,,T250+1)*R250-ERP_i)*Q250*Ramure*Pc/MaxiM</f>
        <v>1.2900231405106989E-4</v>
      </c>
      <c r="Q250" s="305">
        <f t="shared" si="80"/>
        <v>0.7</v>
      </c>
      <c r="R250" s="177">
        <f t="shared" si="81"/>
        <v>0.16186259909221401</v>
      </c>
      <c r="S250" s="810">
        <f t="shared" si="82"/>
        <v>-1</v>
      </c>
      <c r="T250" s="176">
        <f t="shared" si="83"/>
        <v>5</v>
      </c>
      <c r="U250" s="251">
        <f t="shared" si="84"/>
        <v>-0.83813740090778599</v>
      </c>
      <c r="V250" s="383">
        <f t="shared" si="85"/>
        <v>46.147111751258819</v>
      </c>
      <c r="W250" s="402">
        <f t="shared" si="86"/>
        <v>40.25865996830121</v>
      </c>
      <c r="X250" s="157">
        <f t="shared" si="87"/>
        <v>46258</v>
      </c>
      <c r="Y250" s="385">
        <f t="shared" si="88"/>
        <v>37.774382801395213</v>
      </c>
      <c r="Z250" s="385">
        <f t="shared" si="89"/>
        <v>40.454036121869841</v>
      </c>
      <c r="AA250" s="386">
        <f t="shared" si="90"/>
        <v>47.247800604677842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0.14379006844469655</v>
      </c>
      <c r="AD250" s="231">
        <f>(INDEX(Models!$BJ250:$BT250,,AH250)*(1-AF250)+INDEX(Models!$BJ250:$BT250,,AH250+1)*AF250-ERP_i)*AE250*Ramure*Pc/MaxiM</f>
        <v>1.498440705490598E-3</v>
      </c>
      <c r="AE250" s="305">
        <f t="shared" si="92"/>
        <v>0.7</v>
      </c>
      <c r="AF250" s="177">
        <f t="shared" si="93"/>
        <v>0.98185265219139795</v>
      </c>
      <c r="AG250" s="810">
        <f t="shared" si="99"/>
        <v>1</v>
      </c>
      <c r="AH250" s="176">
        <f t="shared" si="94"/>
        <v>7</v>
      </c>
      <c r="AI250" s="225">
        <f t="shared" si="95"/>
        <v>1.9818526521913979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32.06809365534918</v>
      </c>
      <c r="C251" s="840"/>
      <c r="D251" s="393">
        <f t="shared" si="77"/>
        <v>34.343751327615038</v>
      </c>
      <c r="E251" s="385">
        <f t="shared" si="100"/>
        <v>37.682643535507516</v>
      </c>
      <c r="F251" s="385">
        <f t="shared" si="78"/>
        <v>37.685614339600335</v>
      </c>
      <c r="G251" s="110">
        <f t="shared" si="101"/>
        <v>0.69856439552790206</v>
      </c>
      <c r="H251" s="414" t="b">
        <f>Wh_hp&gt;='2025'!Maxi_hp</f>
        <v>0</v>
      </c>
      <c r="I251" s="390">
        <f>IF(H251,Wh_hp,'2025'!Maxi_hp)</f>
        <v>49.886993974579291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6.6261185348033047E-2</v>
      </c>
      <c r="M251" s="844"/>
      <c r="N251" s="844"/>
      <c r="O251" s="48">
        <f>IF(t&lt;Tnet,'2025'!Resal+('2025'!Salim-'2025'!Resal)*(1-EXP(('2025'!Tnet-t)/('2025'!Tau_j))),Resal+(Salim-Resal)*(1-EXP((Tnet-t)/(Tau_j))))*Salcycl</f>
        <v>8.8605572609212285E-2</v>
      </c>
      <c r="P251" s="169">
        <f>(INDEX(Models!$BJ251:$BT251,,T251)*(1-R251)+INDEX(Models!$BJ251:$BT251,,T251+1)*R251-ERP_i)*Q251*Ramure*Pc/MaxiM</f>
        <v>1.3843712744591847E-4</v>
      </c>
      <c r="Q251" s="305">
        <f t="shared" si="80"/>
        <v>0.7</v>
      </c>
      <c r="R251" s="177">
        <f t="shared" si="81"/>
        <v>0.16254017122658571</v>
      </c>
      <c r="S251" s="810">
        <f t="shared" si="82"/>
        <v>-1</v>
      </c>
      <c r="T251" s="176">
        <f t="shared" si="83"/>
        <v>5</v>
      </c>
      <c r="U251" s="251">
        <f t="shared" si="84"/>
        <v>-0.83745982877341429</v>
      </c>
      <c r="V251" s="383">
        <f t="shared" si="85"/>
        <v>45.902972242908618</v>
      </c>
      <c r="W251" s="402">
        <f t="shared" si="86"/>
        <v>32.06809365534918</v>
      </c>
      <c r="X251" s="157">
        <f t="shared" si="87"/>
        <v>46259</v>
      </c>
      <c r="Y251" s="385">
        <f t="shared" si="88"/>
        <v>30.100181180764348</v>
      </c>
      <c r="Z251" s="385">
        <f t="shared" si="89"/>
        <v>32.236189294523015</v>
      </c>
      <c r="AA251" s="386">
        <f t="shared" si="90"/>
        <v>37.651559648051482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0.14382857985562145</v>
      </c>
      <c r="AD251" s="231">
        <f>(INDEX(Models!$BJ251:$BT251,,AH251)*(1-AF251)+INDEX(Models!$BJ251:$BT251,,AH251+1)*AF251-ERP_i)*AE251*Ramure*Pc/MaxiM</f>
        <v>1.5869217648787331E-3</v>
      </c>
      <c r="AE251" s="305">
        <f t="shared" si="92"/>
        <v>0.7</v>
      </c>
      <c r="AF251" s="177">
        <f t="shared" si="93"/>
        <v>0.98253022432576964</v>
      </c>
      <c r="AG251" s="810">
        <f t="shared" si="99"/>
        <v>1</v>
      </c>
      <c r="AH251" s="176">
        <f t="shared" si="94"/>
        <v>7</v>
      </c>
      <c r="AI251" s="225">
        <f t="shared" si="95"/>
        <v>1.9825302243257696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40.225119088712511</v>
      </c>
      <c r="C252" s="840"/>
      <c r="D252" s="393">
        <f t="shared" si="77"/>
        <v>43.080628733182905</v>
      </c>
      <c r="E252" s="385">
        <f t="shared" si="100"/>
        <v>47.274247922473798</v>
      </c>
      <c r="F252" s="385">
        <f t="shared" si="78"/>
        <v>47.280079967160653</v>
      </c>
      <c r="G252" s="110">
        <f t="shared" si="101"/>
        <v>0.88104633277150046</v>
      </c>
      <c r="H252" s="414" t="b">
        <f>Wh_hp&gt;='2025'!Maxi_hp</f>
        <v>0</v>
      </c>
      <c r="I252" s="390">
        <f>IF(H252,Wh_hp,'2025'!Maxi_hp)</f>
        <v>51.84257425367344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6.6282914814354554E-2</v>
      </c>
      <c r="M252" s="844"/>
      <c r="N252" s="844"/>
      <c r="O252" s="48">
        <f>IF(t&lt;Tnet,'2025'!Resal+('2025'!Salim-'2025'!Resal)*(1-EXP(('2025'!Tnet-t)/('2025'!Tau_j))),Resal+(Salim-Resal)*(1-EXP((Tnet-t)/(Tau_j))))*Salcycl</f>
        <v>8.8708321625086725E-2</v>
      </c>
      <c r="P252" s="169">
        <f>(INDEX(Models!$BJ252:$BT252,,T252)*(1-R252)+INDEX(Models!$BJ252:$BT252,,T252+1)*R252-ERP_i)*Q252*Ramure*Pc/MaxiM</f>
        <v>1.4859811080683154E-4</v>
      </c>
      <c r="Q252" s="305">
        <f t="shared" si="80"/>
        <v>0.7</v>
      </c>
      <c r="R252" s="177">
        <f t="shared" si="81"/>
        <v>0.16319272002770868</v>
      </c>
      <c r="S252" s="810">
        <f t="shared" si="82"/>
        <v>-1</v>
      </c>
      <c r="T252" s="176">
        <f t="shared" si="83"/>
        <v>5</v>
      </c>
      <c r="U252" s="251">
        <f t="shared" si="84"/>
        <v>-0.83680727997229132</v>
      </c>
      <c r="V252" s="383">
        <f t="shared" si="85"/>
        <v>45.654924036134659</v>
      </c>
      <c r="W252" s="402">
        <f t="shared" si="86"/>
        <v>40.225119088712511</v>
      </c>
      <c r="X252" s="157">
        <f t="shared" si="87"/>
        <v>46260</v>
      </c>
      <c r="Y252" s="385">
        <f t="shared" si="88"/>
        <v>37.742343949091897</v>
      </c>
      <c r="Z252" s="385">
        <f t="shared" si="89"/>
        <v>40.421605803205168</v>
      </c>
      <c r="AA252" s="386">
        <f t="shared" si="90"/>
        <v>47.214138470009495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0.1438664960733945</v>
      </c>
      <c r="AD252" s="231">
        <f>(INDEX(Models!$BJ252:$BT252,,AH252)*(1-AF252)+INDEX(Models!$BJ252:$BT252,,AH252+1)*AF252-ERP_i)*AE252*Ramure*Pc/MaxiM</f>
        <v>1.6801623489833069E-3</v>
      </c>
      <c r="AE252" s="305">
        <f t="shared" si="92"/>
        <v>0.7</v>
      </c>
      <c r="AF252" s="177">
        <f t="shared" si="93"/>
        <v>0.98318277312689251</v>
      </c>
      <c r="AG252" s="810">
        <f t="shared" si="99"/>
        <v>1</v>
      </c>
      <c r="AH252" s="176">
        <f t="shared" si="94"/>
        <v>7</v>
      </c>
      <c r="AI252" s="225">
        <f t="shared" si="95"/>
        <v>1.9831827731268925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44.568099667122532</v>
      </c>
      <c r="C253" s="840"/>
      <c r="D253" s="393">
        <f t="shared" si="77"/>
        <v>47.733020593906204</v>
      </c>
      <c r="E253" s="385">
        <f t="shared" si="100"/>
        <v>52.385398801502738</v>
      </c>
      <c r="F253" s="385">
        <f t="shared" si="78"/>
        <v>52.393536095321927</v>
      </c>
      <c r="G253" s="110">
        <f t="shared" si="101"/>
        <v>0.98161191748360854</v>
      </c>
      <c r="H253" s="414" t="b">
        <f>Wh_hp&gt;='2025'!Maxi_hp</f>
        <v>0</v>
      </c>
      <c r="I253" s="390">
        <f>IF(H253,Wh_hp,'2025'!Maxi_hp)</f>
        <v>52.393666156290735</v>
      </c>
      <c r="J253" s="85">
        <f>IF(H253,An,'2025'!An_max)</f>
        <v>2025</v>
      </c>
      <c r="K253" s="197">
        <f t="shared" si="79"/>
        <v>46261</v>
      </c>
      <c r="L253" s="147">
        <f>IF(t&lt;Tvie,1-EXP((T0-t)*PertePVj)+'2025'!Pspv,1-EXP((T0-t)*PertePVj)+Pspv)</f>
        <v>6.6304643774999672E-2</v>
      </c>
      <c r="M253" s="844"/>
      <c r="N253" s="844"/>
      <c r="O253" s="48">
        <f>IF(t&lt;Tnet,'2025'!Resal+('2025'!Salim-'2025'!Resal)*(1-EXP(('2025'!Tnet-t)/('2025'!Tau_j))),Resal+(Salim-Resal)*(1-EXP((Tnet-t)/(Tau_j))))*Salcycl</f>
        <v>8.8810590623261104E-2</v>
      </c>
      <c r="P253" s="169">
        <f>(INDEX(Models!$BJ253:$BT253,,T253)*(1-R253)+INDEX(Models!$BJ253:$BT253,,T253+1)*R253-ERP_i)*Q253*Ramure*Pc/MaxiM</f>
        <v>1.594999428448097E-4</v>
      </c>
      <c r="Q253" s="305">
        <f t="shared" si="80"/>
        <v>0.7</v>
      </c>
      <c r="R253" s="177">
        <f t="shared" si="81"/>
        <v>0.16382108549590646</v>
      </c>
      <c r="S253" s="810">
        <f t="shared" si="82"/>
        <v>-1</v>
      </c>
      <c r="T253" s="176">
        <f t="shared" si="83"/>
        <v>5</v>
      </c>
      <c r="U253" s="251">
        <f t="shared" si="84"/>
        <v>-0.83617891450409354</v>
      </c>
      <c r="V253" s="383">
        <f t="shared" si="85"/>
        <v>45.402783067555859</v>
      </c>
      <c r="W253" s="402">
        <f t="shared" si="86"/>
        <v>44.568099667122532</v>
      </c>
      <c r="X253" s="157">
        <f t="shared" si="87"/>
        <v>46261</v>
      </c>
      <c r="Y253" s="385">
        <f t="shared" si="88"/>
        <v>41.807367621507467</v>
      </c>
      <c r="Z253" s="385">
        <f t="shared" si="89"/>
        <v>44.776240283059522</v>
      </c>
      <c r="AA253" s="386">
        <f t="shared" si="90"/>
        <v>52.302813691346728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0.14390379555301899</v>
      </c>
      <c r="AD253" s="231">
        <f>(INDEX(Models!$BJ253:$BT253,,AH253)*(1-AF253)+INDEX(Models!$BJ253:$BT253,,AH253+1)*AF253-ERP_i)*AE253*Ramure*Pc/MaxiM</f>
        <v>1.7782592800894303E-3</v>
      </c>
      <c r="AE253" s="305">
        <f t="shared" si="92"/>
        <v>0.7</v>
      </c>
      <c r="AF253" s="177">
        <f t="shared" si="93"/>
        <v>0.98381113859509028</v>
      </c>
      <c r="AG253" s="810">
        <f t="shared" si="99"/>
        <v>1</v>
      </c>
      <c r="AH253" s="176">
        <f t="shared" si="94"/>
        <v>7</v>
      </c>
      <c r="AI253" s="225">
        <f t="shared" si="95"/>
        <v>1.9838111385950903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42.378563333551291</v>
      </c>
      <c r="C254" s="840"/>
      <c r="D254" s="393">
        <f t="shared" si="77"/>
        <v>45.389054668672586</v>
      </c>
      <c r="E254" s="385">
        <f t="shared" si="100"/>
        <v>49.818538773836806</v>
      </c>
      <c r="F254" s="385">
        <f t="shared" si="78"/>
        <v>49.826331581242833</v>
      </c>
      <c r="G254" s="110">
        <f t="shared" si="101"/>
        <v>0.93867883782978356</v>
      </c>
      <c r="H254" s="414" t="b">
        <f>Wh_hp&gt;='2025'!Maxi_hp</f>
        <v>0</v>
      </c>
      <c r="I254" s="390">
        <f>IF(H254,Wh_hp,'2025'!Maxi_hp)</f>
        <v>52.208096554658312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6.6326372229980168E-2</v>
      </c>
      <c r="M254" s="844"/>
      <c r="N254" s="844"/>
      <c r="O254" s="48">
        <f>IF(t&lt;Tnet,'2025'!Resal+('2025'!Salim-'2025'!Resal)*(1-EXP(('2025'!Tnet-t)/('2025'!Tau_j))),Resal+(Salim-Resal)*(1-EXP((Tnet-t)/(Tau_j))))*Salcycl</f>
        <v>8.8912365038904997E-2</v>
      </c>
      <c r="P254" s="169">
        <f>(INDEX(Models!$BJ254:$BT254,,T254)*(1-R254)+INDEX(Models!$BJ254:$BT254,,T254+1)*R254-ERP_i)*Q254*Ramure*Pc/MaxiM</f>
        <v>1.7141189612910205E-4</v>
      </c>
      <c r="Q254" s="305">
        <f t="shared" si="80"/>
        <v>0.7</v>
      </c>
      <c r="R254" s="177">
        <f t="shared" si="81"/>
        <v>0.16442608585795426</v>
      </c>
      <c r="S254" s="810">
        <f t="shared" si="82"/>
        <v>-1</v>
      </c>
      <c r="T254" s="176">
        <f t="shared" si="83"/>
        <v>5</v>
      </c>
      <c r="U254" s="251">
        <f t="shared" si="84"/>
        <v>-0.83557391414204574</v>
      </c>
      <c r="V254" s="383">
        <f t="shared" si="85"/>
        <v>45.146353915017471</v>
      </c>
      <c r="W254" s="402">
        <f t="shared" si="86"/>
        <v>42.378563333551291</v>
      </c>
      <c r="X254" s="157">
        <f t="shared" si="87"/>
        <v>46262</v>
      </c>
      <c r="Y254" s="385">
        <f t="shared" si="88"/>
        <v>39.756839527699462</v>
      </c>
      <c r="Z254" s="385">
        <f t="shared" si="89"/>
        <v>42.581088664413116</v>
      </c>
      <c r="AA254" s="386">
        <f t="shared" si="90"/>
        <v>49.740802451626323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0.14394045601045816</v>
      </c>
      <c r="AD254" s="231">
        <f>(INDEX(Models!$BJ254:$BT254,,AH254)*(1-AF254)+INDEX(Models!$BJ254:$BT254,,AH254+1)*AF254-ERP_i)*AE254*Ramure*Pc/MaxiM</f>
        <v>1.8813130516348838E-3</v>
      </c>
      <c r="AE254" s="305">
        <f t="shared" si="92"/>
        <v>0.7</v>
      </c>
      <c r="AF254" s="177">
        <f t="shared" si="93"/>
        <v>0.9844161389571382</v>
      </c>
      <c r="AG254" s="810">
        <f t="shared" si="99"/>
        <v>1</v>
      </c>
      <c r="AH254" s="176">
        <f t="shared" si="94"/>
        <v>7</v>
      </c>
      <c r="AI254" s="225">
        <f t="shared" si="95"/>
        <v>1.9844161389571382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29.811201676338563</v>
      </c>
      <c r="C255" s="840"/>
      <c r="D255" s="393">
        <f t="shared" si="77"/>
        <v>31.929674948515398</v>
      </c>
      <c r="E255" s="385">
        <f t="shared" si="100"/>
        <v>35.049563849155383</v>
      </c>
      <c r="F255" s="385">
        <f t="shared" si="78"/>
        <v>35.052921453166427</v>
      </c>
      <c r="G255" s="110">
        <f t="shared" si="101"/>
        <v>0.66410293982749546</v>
      </c>
      <c r="H255" s="414" t="b">
        <f>Wh_hp&gt;='2025'!Maxi_hp</f>
        <v>0</v>
      </c>
      <c r="I255" s="390">
        <f>IF(H255,Wh_hp,'2025'!Maxi_hp)</f>
        <v>51.532555468070449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6.6348100179307812E-2</v>
      </c>
      <c r="M255" s="844"/>
      <c r="N255" s="844"/>
      <c r="O255" s="48">
        <f>IF(t&lt;Tnet,'2025'!Resal+('2025'!Salim-'2025'!Resal)*(1-EXP(('2025'!Tnet-t)/('2025'!Tau_j))),Resal+(Salim-Resal)*(1-EXP((Tnet-t)/(Tau_j))))*Salcycl</f>
        <v>8.901362978629962E-2</v>
      </c>
      <c r="P255" s="169">
        <f>(INDEX(Models!$BJ255:$BT255,,T255)*(1-R255)+INDEX(Models!$BJ255:$BT255,,T255+1)*R255-ERP_i)*Q255*Ramure*Pc/MaxiM</f>
        <v>1.8412346046739952E-4</v>
      </c>
      <c r="Q255" s="305">
        <f t="shared" si="80"/>
        <v>0.7</v>
      </c>
      <c r="R255" s="177">
        <f t="shared" si="81"/>
        <v>0.16500851761978996</v>
      </c>
      <c r="S255" s="810">
        <f t="shared" si="82"/>
        <v>-1</v>
      </c>
      <c r="T255" s="176">
        <f t="shared" si="83"/>
        <v>5</v>
      </c>
      <c r="U255" s="251">
        <f t="shared" si="84"/>
        <v>-0.83499148238021004</v>
      </c>
      <c r="V255" s="383">
        <f t="shared" si="85"/>
        <v>44.885463098713913</v>
      </c>
      <c r="W255" s="402">
        <f t="shared" si="86"/>
        <v>29.811201676338563</v>
      </c>
      <c r="X255" s="157">
        <f t="shared" si="87"/>
        <v>46263</v>
      </c>
      <c r="Y255" s="385">
        <f t="shared" si="88"/>
        <v>27.986306425812582</v>
      </c>
      <c r="Z255" s="385">
        <f t="shared" si="89"/>
        <v>29.975097176139577</v>
      </c>
      <c r="AA255" s="386">
        <f t="shared" si="90"/>
        <v>35.016673700139968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0.1439764543935034</v>
      </c>
      <c r="AD255" s="231">
        <f>(INDEX(Models!$BJ255:$BT255,,AH255)*(1-AF255)+INDEX(Models!$BJ255:$BT255,,AH255+1)*AF255-ERP_i)*AE255*Ramure*Pc/MaxiM</f>
        <v>1.9877453384775645E-3</v>
      </c>
      <c r="AE255" s="305">
        <f t="shared" si="92"/>
        <v>0.7</v>
      </c>
      <c r="AF255" s="177">
        <f t="shared" si="93"/>
        <v>0.9849985707189739</v>
      </c>
      <c r="AG255" s="810">
        <f t="shared" si="99"/>
        <v>1</v>
      </c>
      <c r="AH255" s="176">
        <f t="shared" si="94"/>
        <v>7</v>
      </c>
      <c r="AI255" s="225">
        <f t="shared" si="95"/>
        <v>1.9849985707189739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42.239599071494183</v>
      </c>
      <c r="C256" s="840"/>
      <c r="D256" s="393">
        <f t="shared" si="77"/>
        <v>45.242324339146968</v>
      </c>
      <c r="E256" s="385">
        <f t="shared" si="100"/>
        <v>49.668501523076252</v>
      </c>
      <c r="F256" s="385">
        <f t="shared" si="78"/>
        <v>49.67757211251692</v>
      </c>
      <c r="G256" s="110">
        <f t="shared" si="101"/>
        <v>0.94663899436787824</v>
      </c>
      <c r="H256" s="414" t="b">
        <f>Wh_hp&gt;='2025'!Maxi_hp</f>
        <v>0</v>
      </c>
      <c r="I256" s="390">
        <f>IF(H256,Wh_hp,'2025'!Maxi_hp)</f>
        <v>50.059646058487751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6.636982762299426E-2</v>
      </c>
      <c r="M256" s="844"/>
      <c r="N256" s="844"/>
      <c r="O256" s="48">
        <f>IF(t&lt;Tnet,'2025'!Resal+('2025'!Salim-'2025'!Resal)*(1-EXP(('2025'!Tnet-t)/('2025'!Tau_j))),Resal+(Salim-Resal)*(1-EXP((Tnet-t)/(Tau_j))))*Salcycl</f>
        <v>8.9114369232034488E-2</v>
      </c>
      <c r="P256" s="169">
        <f>(INDEX(Models!$BJ256:$BT256,,T256)*(1-R256)+INDEX(Models!$BJ256:$BT256,,T256+1)*R256-ERP_i)*Q256*Ramure*Pc/MaxiM</f>
        <v>1.9765223003119685E-4</v>
      </c>
      <c r="Q256" s="305">
        <f t="shared" si="80"/>
        <v>0.7</v>
      </c>
      <c r="R256" s="177">
        <f t="shared" si="81"/>
        <v>0.16556915566872976</v>
      </c>
      <c r="S256" s="810">
        <f t="shared" si="82"/>
        <v>-1</v>
      </c>
      <c r="T256" s="176">
        <f t="shared" si="83"/>
        <v>5</v>
      </c>
      <c r="U256" s="251">
        <f t="shared" si="84"/>
        <v>-0.83443084433127024</v>
      </c>
      <c r="V256" s="383">
        <f t="shared" si="85"/>
        <v>44.619926869009838</v>
      </c>
      <c r="W256" s="402">
        <f t="shared" si="86"/>
        <v>42.239599071494183</v>
      </c>
      <c r="X256" s="157">
        <f t="shared" si="87"/>
        <v>46264</v>
      </c>
      <c r="Y256" s="385">
        <f t="shared" si="88"/>
        <v>39.624213170660987</v>
      </c>
      <c r="Z256" s="385">
        <f t="shared" si="89"/>
        <v>42.441016092890877</v>
      </c>
      <c r="AA256" s="386">
        <f t="shared" si="90"/>
        <v>49.581307836779125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0.14401176684152778</v>
      </c>
      <c r="AD256" s="231">
        <f>(INDEX(Models!$BJ256:$BT256,,AH256)*(1-AF256)+INDEX(Models!$BJ256:$BT256,,AH256+1)*AF256-ERP_i)*AE256*Ramure*Pc/MaxiM</f>
        <v>2.0976419334561023E-3</v>
      </c>
      <c r="AE256" s="305">
        <f t="shared" si="92"/>
        <v>0.7</v>
      </c>
      <c r="AF256" s="177">
        <f t="shared" si="93"/>
        <v>0.9855592087679137</v>
      </c>
      <c r="AG256" s="810">
        <f t="shared" si="99"/>
        <v>1</v>
      </c>
      <c r="AH256" s="176">
        <f t="shared" si="94"/>
        <v>7</v>
      </c>
      <c r="AI256" s="225">
        <f t="shared" si="95"/>
        <v>1.9855592087679137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22.412957429435579</v>
      </c>
      <c r="C257" s="840"/>
      <c r="D257" s="393">
        <f t="shared" si="77"/>
        <v>24.006806642476146</v>
      </c>
      <c r="E257" s="385">
        <f t="shared" si="100"/>
        <v>26.358355960607252</v>
      </c>
      <c r="F257" s="385">
        <f t="shared" si="78"/>
        <v>26.359995626292491</v>
      </c>
      <c r="G257" s="110">
        <f t="shared" si="101"/>
        <v>0.50529472334126757</v>
      </c>
      <c r="H257" s="414" t="b">
        <f>Wh_hp&gt;='2025'!Maxi_hp</f>
        <v>0</v>
      </c>
      <c r="I257" s="390">
        <f>IF(H257,Wh_hp,'2025'!Maxi_hp)</f>
        <v>49.645877215409939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6.6391554561051391E-2</v>
      </c>
      <c r="M257" s="844"/>
      <c r="N257" s="844"/>
      <c r="O257" s="48">
        <f>IF(t&lt;Tnet,'2025'!Resal+('2025'!Salim-'2025'!Resal)*(1-EXP(('2025'!Tnet-t)/('2025'!Tau_j))),Resal+(Salim-Resal)*(1-EXP((Tnet-t)/(Tau_j))))*Salcycl</f>
        <v>8.9214567162136785E-2</v>
      </c>
      <c r="P257" s="169">
        <f>(INDEX(Models!$BJ257:$BT257,,T257)*(1-R257)+INDEX(Models!$BJ257:$BT257,,T257+1)*R257-ERP_i)*Q257*Ramure*Pc/MaxiM</f>
        <v>2.1201670530752493E-4</v>
      </c>
      <c r="Q257" s="305">
        <f t="shared" si="80"/>
        <v>0.7</v>
      </c>
      <c r="R257" s="177">
        <f t="shared" si="81"/>
        <v>0.16610875342048992</v>
      </c>
      <c r="S257" s="810">
        <f t="shared" si="82"/>
        <v>-1</v>
      </c>
      <c r="T257" s="176">
        <f t="shared" si="83"/>
        <v>5</v>
      </c>
      <c r="U257" s="251">
        <f t="shared" si="84"/>
        <v>-0.83389124657951008</v>
      </c>
      <c r="V257" s="383">
        <f t="shared" si="85"/>
        <v>44.349561578282284</v>
      </c>
      <c r="W257" s="402">
        <f t="shared" si="86"/>
        <v>22.412957429435579</v>
      </c>
      <c r="X257" s="157">
        <f t="shared" si="87"/>
        <v>46265</v>
      </c>
      <c r="Y257" s="385">
        <f t="shared" si="88"/>
        <v>21.051280785166011</v>
      </c>
      <c r="Z257" s="385">
        <f t="shared" si="89"/>
        <v>22.548297295306135</v>
      </c>
      <c r="AA257" s="386">
        <f t="shared" si="90"/>
        <v>26.342895770375943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0.1440463686356398</v>
      </c>
      <c r="AD257" s="231">
        <f>(INDEX(Models!$BJ257:$BT257,,AH257)*(1-AF257)+INDEX(Models!$BJ257:$BT257,,AH257+1)*AF257-ERP_i)*AE257*Ramure*Pc/MaxiM</f>
        <v>2.2110940939341632E-3</v>
      </c>
      <c r="AE257" s="305">
        <f t="shared" si="92"/>
        <v>0.7</v>
      </c>
      <c r="AF257" s="177">
        <f t="shared" si="93"/>
        <v>0.98609880651967385</v>
      </c>
      <c r="AG257" s="810">
        <f t="shared" si="99"/>
        <v>1</v>
      </c>
      <c r="AH257" s="176">
        <f t="shared" si="94"/>
        <v>7</v>
      </c>
      <c r="AI257" s="225">
        <f t="shared" si="95"/>
        <v>1.9860988065196739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36.870196189670779</v>
      </c>
      <c r="C258" s="840"/>
      <c r="D258" s="393">
        <f t="shared" si="77"/>
        <v>39.493059872259934</v>
      </c>
      <c r="E258" s="385">
        <f t="shared" si="100"/>
        <v>43.366285237706251</v>
      </c>
      <c r="F258" s="385">
        <f t="shared" si="78"/>
        <v>43.373839929277281</v>
      </c>
      <c r="G258" s="110">
        <f t="shared" si="101"/>
        <v>0.8365041943252346</v>
      </c>
      <c r="H258" s="414" t="b">
        <f>Wh_hp&gt;='2025'!Maxi_hp</f>
        <v>0</v>
      </c>
      <c r="I258" s="390">
        <f>IF(H258,Wh_hp,'2025'!Maxi_hp)</f>
        <v>49.265411804235086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6.6413280993490864E-2</v>
      </c>
      <c r="M258" s="844"/>
      <c r="N258" s="844"/>
      <c r="O258" s="48">
        <f>IF(t&lt;Tnet,'2025'!Resal+('2025'!Salim-'2025'!Resal)*(1-EXP(('2025'!Tnet-t)/('2025'!Tau_j))),Resal+(Salim-Resal)*(1-EXP((Tnet-t)/(Tau_j))))*Salcycl</f>
        <v>8.9314206744150929E-2</v>
      </c>
      <c r="P258" s="169">
        <f>(INDEX(Models!$BJ258:$BT258,,T258)*(1-R258)+INDEX(Models!$BJ258:$BT258,,T258+1)*R258-ERP_i)*Q258*Ramure*Pc/MaxiM</f>
        <v>2.2723637294537916E-4</v>
      </c>
      <c r="Q258" s="305">
        <f t="shared" si="80"/>
        <v>0.7</v>
      </c>
      <c r="R258" s="177">
        <f t="shared" si="81"/>
        <v>0.16662804300658718</v>
      </c>
      <c r="S258" s="810">
        <f t="shared" si="82"/>
        <v>-1</v>
      </c>
      <c r="T258" s="176">
        <f t="shared" si="83"/>
        <v>5</v>
      </c>
      <c r="U258" s="251">
        <f t="shared" si="84"/>
        <v>-0.83337195699341282</v>
      </c>
      <c r="V258" s="383">
        <f t="shared" si="85"/>
        <v>44.074183681083738</v>
      </c>
      <c r="W258" s="402">
        <f t="shared" si="86"/>
        <v>36.870196189670779</v>
      </c>
      <c r="X258" s="157">
        <f t="shared" si="87"/>
        <v>46266</v>
      </c>
      <c r="Y258" s="385">
        <f t="shared" si="88"/>
        <v>34.597114283925634</v>
      </c>
      <c r="Z258" s="385">
        <f t="shared" si="89"/>
        <v>37.058275979699765</v>
      </c>
      <c r="AA258" s="386">
        <f t="shared" si="90"/>
        <v>43.296436719749565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0.14408023414093749</v>
      </c>
      <c r="AD258" s="231">
        <f>(INDEX(Models!$BJ258:$BT258,,AH258)*(1-AF258)+INDEX(Models!$BJ258:$BT258,,AH258+1)*AF258-ERP_i)*AE258*Ramure*Pc/MaxiM</f>
        <v>2.3281988976030401E-3</v>
      </c>
      <c r="AE258" s="305">
        <f t="shared" si="92"/>
        <v>0.7</v>
      </c>
      <c r="AF258" s="177">
        <f t="shared" si="93"/>
        <v>0.98661809610577111</v>
      </c>
      <c r="AG258" s="810">
        <f t="shared" si="99"/>
        <v>1</v>
      </c>
      <c r="AH258" s="176">
        <f t="shared" si="94"/>
        <v>7</v>
      </c>
      <c r="AI258" s="225">
        <f t="shared" si="95"/>
        <v>1.9866180961057711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36.08461833984282</v>
      </c>
      <c r="C259" s="840"/>
      <c r="D259" s="393">
        <f t="shared" si="77"/>
        <v>38.652497262997912</v>
      </c>
      <c r="E259" s="385">
        <f t="shared" si="100"/>
        <v>42.447903104845196</v>
      </c>
      <c r="F259" s="385">
        <f t="shared" si="78"/>
        <v>42.455636007482617</v>
      </c>
      <c r="G259" s="110">
        <f t="shared" si="101"/>
        <v>0.82391951922077045</v>
      </c>
      <c r="H259" s="414" t="b">
        <f>Wh_hp&gt;='2025'!Maxi_hp</f>
        <v>0</v>
      </c>
      <c r="I259" s="390">
        <f>IF(H259,Wh_hp,'2025'!Maxi_hp)</f>
        <v>50.515118630968004</v>
      </c>
      <c r="J259" s="85">
        <f>IF(H259,An,'2025'!An_max)</f>
        <v>2019</v>
      </c>
      <c r="K259" s="197">
        <f t="shared" si="79"/>
        <v>46267</v>
      </c>
      <c r="L259" s="147">
        <f>IF(t&lt;Tvie,1-EXP((T0-t)*PertePVj)+'2025'!Pspv,1-EXP((T0-t)*PertePVj)+Pspv)</f>
        <v>6.6435006920324557E-2</v>
      </c>
      <c r="M259" s="844"/>
      <c r="N259" s="844"/>
      <c r="O259" s="48">
        <f>IF(t&lt;Tnet,'2025'!Resal+('2025'!Salim-'2025'!Resal)*(1-EXP(('2025'!Tnet-t)/('2025'!Tau_j))),Resal+(Salim-Resal)*(1-EXP((Tnet-t)/(Tau_j))))*Salcycl</f>
        <v>8.9413270485298887E-2</v>
      </c>
      <c r="P259" s="169">
        <f>(INDEX(Models!$BJ259:$BT259,,T259)*(1-R259)+INDEX(Models!$BJ259:$BT259,,T259+1)*R259-ERP_i)*Q259*Ramure*Pc/MaxiM</f>
        <v>2.4333179061201136E-4</v>
      </c>
      <c r="Q259" s="305">
        <f t="shared" si="80"/>
        <v>0.7</v>
      </c>
      <c r="R259" s="177">
        <f t="shared" si="81"/>
        <v>0.16712773549795235</v>
      </c>
      <c r="S259" s="810">
        <f t="shared" si="82"/>
        <v>-1</v>
      </c>
      <c r="T259" s="176">
        <f t="shared" si="83"/>
        <v>5</v>
      </c>
      <c r="U259" s="251">
        <f t="shared" si="84"/>
        <v>-0.83287226450204765</v>
      </c>
      <c r="V259" s="383">
        <f t="shared" si="85"/>
        <v>43.793609741685714</v>
      </c>
      <c r="W259" s="402">
        <f t="shared" si="86"/>
        <v>36.08461833984282</v>
      </c>
      <c r="X259" s="157">
        <f t="shared" si="87"/>
        <v>46267</v>
      </c>
      <c r="Y259" s="385">
        <f t="shared" si="88"/>
        <v>33.860962055822064</v>
      </c>
      <c r="Z259" s="385">
        <f t="shared" si="89"/>
        <v>36.270599590629878</v>
      </c>
      <c r="AA259" s="386">
        <f t="shared" si="90"/>
        <v>42.377806721037039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0.14411333674273066</v>
      </c>
      <c r="AD259" s="231">
        <f>(INDEX(Models!$BJ259:$BT259,,AH259)*(1-AF259)+INDEX(Models!$BJ259:$BT259,,AH259+1)*AF259-ERP_i)*AE259*Ramure*Pc/MaxiM</f>
        <v>2.4490596249345602E-3</v>
      </c>
      <c r="AE259" s="305">
        <f t="shared" si="92"/>
        <v>0.7</v>
      </c>
      <c r="AF259" s="177">
        <f t="shared" si="93"/>
        <v>0.98711778859713628</v>
      </c>
      <c r="AG259" s="810">
        <f t="shared" si="99"/>
        <v>1</v>
      </c>
      <c r="AH259" s="176">
        <f t="shared" si="94"/>
        <v>7</v>
      </c>
      <c r="AI259" s="225">
        <f t="shared" si="95"/>
        <v>1.9871177885971363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34.021474928212946</v>
      </c>
      <c r="C260" s="840"/>
      <c r="D260" s="393">
        <f t="shared" si="77"/>
        <v>36.443383083408087</v>
      </c>
      <c r="E260" s="385">
        <f t="shared" si="100"/>
        <v>40.026197691918512</v>
      </c>
      <c r="F260" s="385">
        <f t="shared" si="78"/>
        <v>40.033373242015529</v>
      </c>
      <c r="G260" s="110">
        <f t="shared" si="101"/>
        <v>0.78190182113311579</v>
      </c>
      <c r="H260" s="414" t="b">
        <f>Wh_hp&gt;='2025'!Maxi_hp</f>
        <v>0</v>
      </c>
      <c r="I260" s="390">
        <f>IF(H260,Wh_hp,'2025'!Maxi_hp)</f>
        <v>52.304535343399913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6.645673234156424E-2</v>
      </c>
      <c r="M260" s="844"/>
      <c r="N260" s="844"/>
      <c r="O260" s="48">
        <f>IF(t&lt;Tnet,'2025'!Resal+('2025'!Salim-'2025'!Resal)*(1-EXP(('2025'!Tnet-t)/('2025'!Tau_j))),Resal+(Salim-Resal)*(1-EXP((Tnet-t)/(Tau_j))))*Salcycl</f>
        <v>8.9511740187947331E-2</v>
      </c>
      <c r="P260" s="169">
        <f>(INDEX(Models!$BJ260:$BT260,,T260)*(1-R260)+INDEX(Models!$BJ260:$BT260,,T260+1)*R260-ERP_i)*Q260*Ramure*Pc/MaxiM</f>
        <v>2.603246775594785E-4</v>
      </c>
      <c r="Q260" s="305">
        <f t="shared" si="80"/>
        <v>0.7</v>
      </c>
      <c r="R260" s="177">
        <f t="shared" si="81"/>
        <v>0.16760852116085279</v>
      </c>
      <c r="S260" s="810">
        <f t="shared" si="82"/>
        <v>-1</v>
      </c>
      <c r="T260" s="176">
        <f t="shared" si="83"/>
        <v>5</v>
      </c>
      <c r="U260" s="251">
        <f t="shared" si="84"/>
        <v>-0.83239147883914721</v>
      </c>
      <c r="V260" s="383">
        <f t="shared" si="85"/>
        <v>43.507656417891063</v>
      </c>
      <c r="W260" s="402">
        <f t="shared" si="86"/>
        <v>34.021474928212946</v>
      </c>
      <c r="X260" s="157">
        <f t="shared" si="87"/>
        <v>46268</v>
      </c>
      <c r="Y260" s="385">
        <f t="shared" si="88"/>
        <v>31.929064969855986</v>
      </c>
      <c r="Z260" s="385">
        <f t="shared" si="89"/>
        <v>34.202019419991331</v>
      </c>
      <c r="AA260" s="386">
        <f t="shared" si="90"/>
        <v>39.962429788651434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0.1441456487787425</v>
      </c>
      <c r="AD260" s="231">
        <f>(INDEX(Models!$BJ260:$BT260,,AH260)*(1-AF260)+INDEX(Models!$BJ260:$BT260,,AH260+1)*AF260-ERP_i)*AE260*Ramure*Pc/MaxiM</f>
        <v>2.5737861728049776E-3</v>
      </c>
      <c r="AE260" s="305">
        <f t="shared" si="92"/>
        <v>0.7</v>
      </c>
      <c r="AF260" s="177">
        <f t="shared" si="93"/>
        <v>0.98759857426003661</v>
      </c>
      <c r="AG260" s="810">
        <f t="shared" si="99"/>
        <v>1</v>
      </c>
      <c r="AH260" s="176">
        <f t="shared" si="94"/>
        <v>7</v>
      </c>
      <c r="AI260" s="225">
        <f t="shared" si="95"/>
        <v>1.9875985742600366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39.967778806232509</v>
      </c>
      <c r="C261" s="840"/>
      <c r="D261" s="393">
        <f t="shared" si="77"/>
        <v>42.813986583323221</v>
      </c>
      <c r="E261" s="385">
        <f t="shared" si="100"/>
        <v>47.028161146810803</v>
      </c>
      <c r="F261" s="385">
        <f t="shared" si="78"/>
        <v>47.039844239039155</v>
      </c>
      <c r="G261" s="110">
        <f t="shared" si="101"/>
        <v>0.92481418140916472</v>
      </c>
      <c r="H261" s="414" t="b">
        <f>Wh_hp&gt;='2025'!Maxi_hp</f>
        <v>0</v>
      </c>
      <c r="I261" s="390">
        <f>IF(H261,Wh_hp,'2025'!Maxi_hp)</f>
        <v>50.854678643962053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6.6478457257221568E-2</v>
      </c>
      <c r="M261" s="844"/>
      <c r="N261" s="844"/>
      <c r="O261" s="48">
        <f>IF(t&lt;Tnet,'2025'!Resal+('2025'!Salim-'2025'!Resal)*(1-EXP(('2025'!Tnet-t)/('2025'!Tau_j))),Resal+(Salim-Resal)*(1-EXP((Tnet-t)/(Tau_j))))*Salcycl</f>
        <v>8.9609596903691927E-2</v>
      </c>
      <c r="P261" s="169">
        <f>(INDEX(Models!$BJ261:$BT261,,T261)*(1-R261)+INDEX(Models!$BJ261:$BT261,,T261+1)*R261-ERP_i)*Q261*Ramure*Pc/MaxiM</f>
        <v>2.7824020412746772E-4</v>
      </c>
      <c r="Q261" s="305">
        <f t="shared" si="80"/>
        <v>0.7</v>
      </c>
      <c r="R261" s="177">
        <f t="shared" si="81"/>
        <v>0.16807106974146424</v>
      </c>
      <c r="S261" s="810">
        <f t="shared" si="82"/>
        <v>-1</v>
      </c>
      <c r="T261" s="176">
        <f t="shared" si="83"/>
        <v>5</v>
      </c>
      <c r="U261" s="251">
        <f t="shared" si="84"/>
        <v>-0.83192893025853576</v>
      </c>
      <c r="V261" s="383">
        <f t="shared" si="85"/>
        <v>43.215799781812983</v>
      </c>
      <c r="W261" s="402">
        <f t="shared" si="86"/>
        <v>39.967778806232509</v>
      </c>
      <c r="X261" s="157">
        <f t="shared" si="87"/>
        <v>46269</v>
      </c>
      <c r="Y261" s="385">
        <f t="shared" si="88"/>
        <v>37.49083949891525</v>
      </c>
      <c r="Z261" s="385">
        <f t="shared" si="89"/>
        <v>40.160658091256749</v>
      </c>
      <c r="AA261" s="386">
        <f t="shared" si="90"/>
        <v>46.926367636652401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0.14417714146942015</v>
      </c>
      <c r="AD261" s="231">
        <f>(INDEX(Models!$BJ261:$BT261,,AH261)*(1-AF261)+INDEX(Models!$BJ261:$BT261,,AH261+1)*AF261-ERP_i)*AE261*Ramure*Pc/MaxiM</f>
        <v>2.7025167990332231E-3</v>
      </c>
      <c r="AE261" s="305">
        <f t="shared" si="92"/>
        <v>0.7</v>
      </c>
      <c r="AF261" s="177">
        <f t="shared" si="93"/>
        <v>0.98806112284064818</v>
      </c>
      <c r="AG261" s="810">
        <f t="shared" si="99"/>
        <v>1</v>
      </c>
      <c r="AH261" s="176">
        <f t="shared" si="94"/>
        <v>7</v>
      </c>
      <c r="AI261" s="225">
        <f t="shared" si="95"/>
        <v>1.9880611228406482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34.842015214168057</v>
      </c>
      <c r="C262" s="840"/>
      <c r="D262" s="393">
        <f t="shared" si="77"/>
        <v>37.324072838491603</v>
      </c>
      <c r="E262" s="385">
        <f t="shared" si="100"/>
        <v>41.002254762447471</v>
      </c>
      <c r="F262" s="385">
        <f t="shared" si="78"/>
        <v>41.011154195279865</v>
      </c>
      <c r="G262" s="110">
        <f t="shared" si="101"/>
        <v>0.81176463837089619</v>
      </c>
      <c r="H262" s="414" t="b">
        <f>Wh_hp&gt;='2025'!Maxi_hp</f>
        <v>0</v>
      </c>
      <c r="I262" s="390">
        <f>IF(H262,Wh_hp,'2025'!Maxi_hp)</f>
        <v>50.429886494595955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6.6500181667308422E-2</v>
      </c>
      <c r="M262" s="844"/>
      <c r="N262" s="844"/>
      <c r="O262" s="48">
        <f>IF(t&lt;Tnet,'2025'!Resal+('2025'!Salim-'2025'!Resal)*(1-EXP(('2025'!Tnet-t)/('2025'!Tau_j))),Resal+(Salim-Resal)*(1-EXP((Tnet-t)/(Tau_j))))*Salcycl</f>
        <v>8.9706820887435354E-2</v>
      </c>
      <c r="P262" s="169">
        <f>(INDEX(Models!$BJ262:$BT262,,T262)*(1-R262)+INDEX(Models!$BJ262:$BT262,,T262+1)*R262-ERP_i)*Q262*Ramure*Pc/MaxiM</f>
        <v>2.9677897655460322E-4</v>
      </c>
      <c r="Q262" s="305">
        <f t="shared" si="80"/>
        <v>0.7</v>
      </c>
      <c r="R262" s="177">
        <f t="shared" si="81"/>
        <v>0.16851603077568167</v>
      </c>
      <c r="S262" s="810">
        <f t="shared" si="82"/>
        <v>-1</v>
      </c>
      <c r="T262" s="176">
        <f t="shared" si="83"/>
        <v>5</v>
      </c>
      <c r="U262" s="251">
        <f t="shared" si="84"/>
        <v>-0.83148396922431833</v>
      </c>
      <c r="V262" s="383">
        <f t="shared" si="85"/>
        <v>42.917901709744434</v>
      </c>
      <c r="W262" s="402">
        <f t="shared" si="86"/>
        <v>34.842015214168057</v>
      </c>
      <c r="X262" s="157">
        <f t="shared" si="87"/>
        <v>46270</v>
      </c>
      <c r="Y262" s="385">
        <f t="shared" si="88"/>
        <v>32.695205805137334</v>
      </c>
      <c r="Z262" s="385">
        <f t="shared" si="89"/>
        <v>35.024330120956741</v>
      </c>
      <c r="AA262" s="386">
        <f t="shared" si="90"/>
        <v>40.926207905221013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0.14420778484857769</v>
      </c>
      <c r="AD262" s="231">
        <f>(INDEX(Models!$BJ262:$BT262,,AH262)*(1-AF262)+INDEX(Models!$BJ262:$BT262,,AH262+1)*AF262-ERP_i)*AE262*Ramure*Pc/MaxiM</f>
        <v>2.8327954714163642E-3</v>
      </c>
      <c r="AE262" s="305">
        <f t="shared" si="92"/>
        <v>0.7</v>
      </c>
      <c r="AF262" s="177">
        <f t="shared" si="93"/>
        <v>0.9885060838748656</v>
      </c>
      <c r="AG262" s="810">
        <f t="shared" si="99"/>
        <v>1</v>
      </c>
      <c r="AH262" s="176">
        <f t="shared" si="94"/>
        <v>7</v>
      </c>
      <c r="AI262" s="225">
        <f t="shared" si="95"/>
        <v>1.9885060838748656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40.366176100069694</v>
      </c>
      <c r="C263" s="840"/>
      <c r="D263" s="393">
        <f t="shared" si="77"/>
        <v>43.242767388984618</v>
      </c>
      <c r="E263" s="385">
        <f t="shared" si="100"/>
        <v>47.509260073778016</v>
      </c>
      <c r="F263" s="385">
        <f t="shared" si="78"/>
        <v>47.523125538443956</v>
      </c>
      <c r="G263" s="110">
        <f t="shared" si="101"/>
        <v>0.94722110909989321</v>
      </c>
      <c r="H263" s="414" t="b">
        <f>Wh_hp&gt;='2025'!Maxi_hp</f>
        <v>0</v>
      </c>
      <c r="I263" s="390">
        <f>IF(H263,Wh_hp,'2025'!Maxi_hp)</f>
        <v>52.380979169463878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6.6521905571836459E-2</v>
      </c>
      <c r="M263" s="844"/>
      <c r="N263" s="844"/>
      <c r="O263" s="48">
        <f>IF(t&lt;Tnet,'2025'!Resal+('2025'!Salim-'2025'!Resal)*(1-EXP(('2025'!Tnet-t)/('2025'!Tau_j))),Resal+(Salim-Resal)*(1-EXP((Tnet-t)/(Tau_j))))*Salcycl</f>
        <v>8.9803391552886441E-2</v>
      </c>
      <c r="P263" s="169">
        <f>(INDEX(Models!$BJ263:$BT263,,T263)*(1-R263)+INDEX(Models!$BJ263:$BT263,,T263+1)*R263-ERP_i)*Q263*Ramure*Pc/MaxiM</f>
        <v>3.1554382032178462E-4</v>
      </c>
      <c r="Q263" s="305">
        <f t="shared" si="80"/>
        <v>0.7</v>
      </c>
      <c r="R263" s="177">
        <f t="shared" si="81"/>
        <v>0.168944033920987</v>
      </c>
      <c r="S263" s="810">
        <f t="shared" si="82"/>
        <v>-1</v>
      </c>
      <c r="T263" s="176">
        <f t="shared" si="83"/>
        <v>5</v>
      </c>
      <c r="U263" s="251">
        <f t="shared" si="84"/>
        <v>-0.831055966079013</v>
      </c>
      <c r="V263" s="383">
        <f t="shared" si="85"/>
        <v>42.614354209482983</v>
      </c>
      <c r="W263" s="402">
        <f t="shared" si="86"/>
        <v>40.366176100069694</v>
      </c>
      <c r="X263" s="157">
        <f t="shared" si="87"/>
        <v>46271</v>
      </c>
      <c r="Y263" s="385">
        <f t="shared" si="88"/>
        <v>37.859172587965062</v>
      </c>
      <c r="Z263" s="385">
        <f t="shared" si="89"/>
        <v>40.557108746249796</v>
      </c>
      <c r="AA263" s="386">
        <f t="shared" si="90"/>
        <v>47.39295190749214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0.1442375476966585</v>
      </c>
      <c r="AD263" s="231">
        <f>(INDEX(Models!$BJ263:$BT263,,AH263)*(1-AF263)+INDEX(Models!$BJ263:$BT263,,AH263+1)*AF263-ERP_i)*AE263*Ramure*Pc/MaxiM</f>
        <v>2.962431177413247E-3</v>
      </c>
      <c r="AE263" s="305">
        <f t="shared" si="92"/>
        <v>0.7</v>
      </c>
      <c r="AF263" s="177">
        <f t="shared" si="93"/>
        <v>0.98893408702017105</v>
      </c>
      <c r="AG263" s="810">
        <f t="shared" si="99"/>
        <v>1</v>
      </c>
      <c r="AH263" s="176">
        <f t="shared" si="94"/>
        <v>7</v>
      </c>
      <c r="AI263" s="225">
        <f t="shared" si="95"/>
        <v>1.988934087020171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32.995183113015756</v>
      </c>
      <c r="C264" s="840"/>
      <c r="D264" s="393">
        <f t="shared" si="77"/>
        <v>35.347322207075315</v>
      </c>
      <c r="E264" s="385">
        <f t="shared" si="100"/>
        <v>38.838912791635764</v>
      </c>
      <c r="F264" s="385">
        <f t="shared" si="78"/>
        <v>38.847823089464072</v>
      </c>
      <c r="G264" s="110">
        <f t="shared" si="101"/>
        <v>0.779843930579461</v>
      </c>
      <c r="H264" s="414" t="b">
        <f>Wh_hp&gt;='2025'!Maxi_hp</f>
        <v>0</v>
      </c>
      <c r="I264" s="390">
        <f>IF(H264,Wh_hp,'2025'!Maxi_hp)</f>
        <v>46.142327737727975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6.6543628970817559E-2</v>
      </c>
      <c r="M264" s="844"/>
      <c r="N264" s="844"/>
      <c r="O264" s="48">
        <f>IF(t&lt;Tnet,'2025'!Resal+('2025'!Salim-'2025'!Resal)*(1-EXP(('2025'!Tnet-t)/('2025'!Tau_j))),Resal+(Salim-Resal)*(1-EXP((Tnet-t)/(Tau_j))))*Salcycl</f>
        <v>8.9899287430939348E-2</v>
      </c>
      <c r="P264" s="169">
        <f>(INDEX(Models!$BJ264:$BT264,,T264)*(1-R264)+INDEX(Models!$BJ264:$BT264,,T264+1)*R264-ERP_i)*Q264*Ramure*Pc/MaxiM</f>
        <v>3.3454097121866087E-4</v>
      </c>
      <c r="Q264" s="305">
        <f t="shared" si="80"/>
        <v>0.7</v>
      </c>
      <c r="R264" s="177">
        <f t="shared" si="81"/>
        <v>0.16935568930741707</v>
      </c>
      <c r="S264" s="810">
        <f t="shared" si="82"/>
        <v>-1</v>
      </c>
      <c r="T264" s="176">
        <f t="shared" si="83"/>
        <v>5</v>
      </c>
      <c r="U264" s="251">
        <f t="shared" si="84"/>
        <v>-0.83064431069258293</v>
      </c>
      <c r="V264" s="383">
        <f t="shared" si="85"/>
        <v>42.305531523204436</v>
      </c>
      <c r="W264" s="402">
        <f t="shared" si="86"/>
        <v>32.995183113015756</v>
      </c>
      <c r="X264" s="157">
        <f t="shared" si="87"/>
        <v>46272</v>
      </c>
      <c r="Y264" s="385">
        <f t="shared" si="88"/>
        <v>30.965480978753337</v>
      </c>
      <c r="Z264" s="385">
        <f t="shared" si="89"/>
        <v>33.172927990852259</v>
      </c>
      <c r="AA264" s="386">
        <f t="shared" si="90"/>
        <v>38.765484834441736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0.14426639747894227</v>
      </c>
      <c r="AD264" s="231">
        <f>(INDEX(Models!$BJ264:$BT264,,AH264)*(1-AF264)+INDEX(Models!$BJ264:$BT264,,AH264+1)*AF264-ERP_i)*AE264*Ramure*Pc/MaxiM</f>
        <v>3.0914252625893718E-3</v>
      </c>
      <c r="AE264" s="305">
        <f t="shared" si="92"/>
        <v>0.7</v>
      </c>
      <c r="AF264" s="177">
        <f t="shared" si="93"/>
        <v>0.989345742406601</v>
      </c>
      <c r="AG264" s="810">
        <f t="shared" si="99"/>
        <v>1</v>
      </c>
      <c r="AH264" s="176">
        <f t="shared" si="94"/>
        <v>7</v>
      </c>
      <c r="AI264" s="225">
        <f t="shared" si="95"/>
        <v>1.989345742406601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30.975489222423157</v>
      </c>
      <c r="C265" s="840"/>
      <c r="D265" s="393">
        <f t="shared" si="77"/>
        <v>33.184421945647358</v>
      </c>
      <c r="E265" s="385">
        <f t="shared" si="100"/>
        <v>36.466176786787869</v>
      </c>
      <c r="F265" s="385">
        <f t="shared" si="78"/>
        <v>36.474244481867494</v>
      </c>
      <c r="G265" s="110">
        <f t="shared" si="101"/>
        <v>0.73755770601182746</v>
      </c>
      <c r="H265" s="414" t="b">
        <f>Wh_hp&gt;='2025'!Maxi_hp</f>
        <v>0</v>
      </c>
      <c r="I265" s="390">
        <f>IF(H265,Wh_hp,'2025'!Maxi_hp)</f>
        <v>44.813483820108679</v>
      </c>
      <c r="J265" s="85">
        <f>IF(H265,An,'2025'!An_max)</f>
        <v>2019</v>
      </c>
      <c r="K265" s="197">
        <f t="shared" si="79"/>
        <v>46273</v>
      </c>
      <c r="L265" s="147">
        <f>IF(t&lt;Tvie,1-EXP((T0-t)*PertePVj)+'2025'!Pspv,1-EXP((T0-t)*PertePVj)+Pspv)</f>
        <v>6.6565351864263378E-2</v>
      </c>
      <c r="M265" s="844"/>
      <c r="N265" s="844"/>
      <c r="O265" s="48">
        <f>IF(t&lt;Tnet,'2025'!Resal+('2025'!Salim-'2025'!Resal)*(1-EXP(('2025'!Tnet-t)/('2025'!Tau_j))),Resal+(Salim-Resal)*(1-EXP((Tnet-t)/(Tau_j))))*Salcycl</f>
        <v>8.9994486132407805E-2</v>
      </c>
      <c r="P265" s="169">
        <f>(INDEX(Models!$BJ265:$BT265,,T265)*(1-R265)+INDEX(Models!$BJ265:$BT265,,T265+1)*R265-ERP_i)*Q265*Ramure*Pc/MaxiM</f>
        <v>3.5377634347390045E-4</v>
      </c>
      <c r="Q265" s="305">
        <f t="shared" si="80"/>
        <v>0.7</v>
      </c>
      <c r="R265" s="177">
        <f t="shared" si="81"/>
        <v>0.16975158790489375</v>
      </c>
      <c r="S265" s="810">
        <f t="shared" si="82"/>
        <v>-1</v>
      </c>
      <c r="T265" s="176">
        <f t="shared" si="83"/>
        <v>5</v>
      </c>
      <c r="U265" s="251">
        <f t="shared" si="84"/>
        <v>-0.83024841209510625</v>
      </c>
      <c r="V265" s="383">
        <f t="shared" si="85"/>
        <v>41.991807688999593</v>
      </c>
      <c r="W265" s="402">
        <f t="shared" si="86"/>
        <v>30.975489222423157</v>
      </c>
      <c r="X265" s="157">
        <f t="shared" si="87"/>
        <v>46273</v>
      </c>
      <c r="Y265" s="385">
        <f t="shared" si="88"/>
        <v>29.074984965083946</v>
      </c>
      <c r="Z265" s="385">
        <f t="shared" si="89"/>
        <v>31.148388398858714</v>
      </c>
      <c r="AA265" s="386">
        <f t="shared" si="90"/>
        <v>36.400819124440048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0.14429430029102763</v>
      </c>
      <c r="AD265" s="231">
        <f>(INDEX(Models!$BJ265:$BT265,,AH265)*(1-AF265)+INDEX(Models!$BJ265:$BT265,,AH265+1)*AF265-ERP_i)*AE265*Ramure*Pc/MaxiM</f>
        <v>3.2197739518638937E-3</v>
      </c>
      <c r="AE265" s="305">
        <f t="shared" si="92"/>
        <v>0.7</v>
      </c>
      <c r="AF265" s="177">
        <f t="shared" si="93"/>
        <v>0.9897416410040778</v>
      </c>
      <c r="AG265" s="810">
        <f t="shared" si="99"/>
        <v>1</v>
      </c>
      <c r="AH265" s="176">
        <f t="shared" si="94"/>
        <v>7</v>
      </c>
      <c r="AI265" s="225">
        <f t="shared" si="95"/>
        <v>1.9897416410040778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22.971473012070607</v>
      </c>
      <c r="C266" s="840"/>
      <c r="D266" s="393">
        <f t="shared" si="77"/>
        <v>24.61019381499003</v>
      </c>
      <c r="E266" s="385">
        <f t="shared" si="100"/>
        <v>27.04681320466214</v>
      </c>
      <c r="F266" s="385">
        <f t="shared" si="78"/>
        <v>27.050436835364675</v>
      </c>
      <c r="G266" s="110">
        <f t="shared" si="101"/>
        <v>0.55109227941392125</v>
      </c>
      <c r="H266" s="414" t="b">
        <f>Wh_hp&gt;='2025'!Maxi_hp</f>
        <v>0</v>
      </c>
      <c r="I266" s="390">
        <f>IF(H266,Wh_hp,'2025'!Maxi_hp)</f>
        <v>47.032768626922746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6.6587074252185685E-2</v>
      </c>
      <c r="M266" s="844"/>
      <c r="N266" s="844"/>
      <c r="O266" s="48">
        <f>IF(t&lt;Tnet,'2025'!Resal+('2025'!Salim-'2025'!Resal)*(1-EXP(('2025'!Tnet-t)/('2025'!Tau_j))),Resal+(Salim-Resal)*(1-EXP((Tnet-t)/(Tau_j))))*Salcycl</f>
        <v>9.008896431658367E-2</v>
      </c>
      <c r="P266" s="169">
        <f>(INDEX(Models!$BJ266:$BT266,,T266)*(1-R266)+INDEX(Models!$BJ266:$BT266,,T266+1)*R266-ERP_i)*Q266*Ramure*Pc/MaxiM</f>
        <v>3.7325549486176795E-4</v>
      </c>
      <c r="Q266" s="305">
        <f t="shared" si="80"/>
        <v>0.7</v>
      </c>
      <c r="R266" s="177">
        <f t="shared" si="81"/>
        <v>0.17013230190437789</v>
      </c>
      <c r="S266" s="810">
        <f t="shared" si="82"/>
        <v>-1</v>
      </c>
      <c r="T266" s="176">
        <f t="shared" si="83"/>
        <v>5</v>
      </c>
      <c r="U266" s="251">
        <f t="shared" si="84"/>
        <v>-0.82986769809562211</v>
      </c>
      <c r="V266" s="383">
        <f t="shared" si="85"/>
        <v>41.673556543228138</v>
      </c>
      <c r="W266" s="402">
        <f t="shared" si="86"/>
        <v>22.971473012070607</v>
      </c>
      <c r="X266" s="157">
        <f t="shared" si="87"/>
        <v>46274</v>
      </c>
      <c r="Y266" s="385">
        <f t="shared" si="88"/>
        <v>21.57927200881895</v>
      </c>
      <c r="Z266" s="385">
        <f t="shared" si="89"/>
        <v>23.118677075883081</v>
      </c>
      <c r="AA266" s="386">
        <f t="shared" si="90"/>
        <v>27.017939018977401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0.14432122081389984</v>
      </c>
      <c r="AD266" s="231">
        <f>(INDEX(Models!$BJ266:$BT266,,AH266)*(1-AF266)+INDEX(Models!$BJ266:$BT266,,AH266+1)*AF266-ERP_i)*AE266*Ramure*Pc/MaxiM</f>
        <v>3.347468197869363E-3</v>
      </c>
      <c r="AE266" s="305">
        <f t="shared" si="92"/>
        <v>0.7</v>
      </c>
      <c r="AF266" s="177">
        <f t="shared" si="93"/>
        <v>0.99012235500356183</v>
      </c>
      <c r="AG266" s="810">
        <f t="shared" si="99"/>
        <v>1</v>
      </c>
      <c r="AH266" s="176">
        <f t="shared" si="94"/>
        <v>7</v>
      </c>
      <c r="AI266" s="225">
        <f t="shared" si="95"/>
        <v>1.9901223550035618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40.186273602985032</v>
      </c>
      <c r="C267" s="840"/>
      <c r="D267" s="393">
        <f t="shared" si="77"/>
        <v>43.054052187939789</v>
      </c>
      <c r="E267" s="385">
        <f t="shared" si="100"/>
        <v>47.321645870595738</v>
      </c>
      <c r="F267" s="385">
        <f t="shared" si="78"/>
        <v>47.339500843218921</v>
      </c>
      <c r="G267" s="110">
        <f t="shared" si="101"/>
        <v>0.97181423339233242</v>
      </c>
      <c r="H267" s="414" t="b">
        <f>Wh_hp&gt;='2025'!Maxi_hp</f>
        <v>0</v>
      </c>
      <c r="I267" s="390">
        <f>IF(H267,Wh_hp,'2025'!Maxi_hp)</f>
        <v>47.3399372151653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6.660879613459636E-2</v>
      </c>
      <c r="M267" s="844"/>
      <c r="N267" s="844"/>
      <c r="O267" s="48">
        <f>IF(t&lt;Tnet,'2025'!Resal+('2025'!Salim-'2025'!Resal)*(1-EXP(('2025'!Tnet-t)/('2025'!Tau_j))),Resal+(Salim-Resal)*(1-EXP((Tnet-t)/(Tau_j))))*Salcycl</f>
        <v>9.018269766706706E-2</v>
      </c>
      <c r="P267" s="169">
        <f>(INDEX(Models!$BJ267:$BT267,,T267)*(1-R267)+INDEX(Models!$BJ267:$BT267,,T267+1)*R267-ERP_i)*Q267*Ramure*Pc/MaxiM</f>
        <v>3.9298358870531151E-4</v>
      </c>
      <c r="Q267" s="305">
        <f t="shared" si="80"/>
        <v>0.7</v>
      </c>
      <c r="R267" s="177">
        <f t="shared" si="81"/>
        <v>0.17049838511050974</v>
      </c>
      <c r="S267" s="810">
        <f t="shared" si="82"/>
        <v>-1</v>
      </c>
      <c r="T267" s="176">
        <f t="shared" si="83"/>
        <v>5</v>
      </c>
      <c r="U267" s="251">
        <f t="shared" si="84"/>
        <v>-0.82950161488949026</v>
      </c>
      <c r="V267" s="383">
        <f t="shared" si="85"/>
        <v>41.351151728770155</v>
      </c>
      <c r="W267" s="402">
        <f t="shared" si="86"/>
        <v>40.186273602985032</v>
      </c>
      <c r="X267" s="157">
        <f t="shared" si="87"/>
        <v>46275</v>
      </c>
      <c r="Y267" s="385">
        <f t="shared" si="88"/>
        <v>37.682034728989329</v>
      </c>
      <c r="Z267" s="385">
        <f t="shared" si="89"/>
        <v>40.371105462467092</v>
      </c>
      <c r="AA267" s="386">
        <f t="shared" si="90"/>
        <v>47.181639323274247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0.14434712228084004</v>
      </c>
      <c r="AD267" s="231">
        <f>(INDEX(Models!$BJ267:$BT267,,AH267)*(1-AF267)+INDEX(Models!$BJ267:$BT267,,AH267+1)*AF267-ERP_i)*AE267*Ramure*Pc/MaxiM</f>
        <v>3.4744935170480185E-3</v>
      </c>
      <c r="AE267" s="305">
        <f t="shared" si="92"/>
        <v>0.7</v>
      </c>
      <c r="AF267" s="177">
        <f t="shared" si="93"/>
        <v>0.99048843820969368</v>
      </c>
      <c r="AG267" s="810">
        <f t="shared" si="99"/>
        <v>1</v>
      </c>
      <c r="AH267" s="176">
        <f t="shared" si="94"/>
        <v>7</v>
      </c>
      <c r="AI267" s="225">
        <f t="shared" si="95"/>
        <v>1.9904884382096937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38.999380006537095</v>
      </c>
      <c r="C268" s="840"/>
      <c r="D268" s="393">
        <f t="shared" si="77"/>
        <v>41.783431682980812</v>
      </c>
      <c r="E268" s="385">
        <f t="shared" si="100"/>
        <v>45.9297722244387</v>
      </c>
      <c r="F268" s="385">
        <f t="shared" si="78"/>
        <v>45.947384248278311</v>
      </c>
      <c r="G268" s="110">
        <f t="shared" si="101"/>
        <v>0.95059730968065526</v>
      </c>
      <c r="H268" s="414" t="b">
        <f>Wh_hp&gt;='2025'!Maxi_hp</f>
        <v>0</v>
      </c>
      <c r="I268" s="390">
        <f>IF(H268,Wh_hp,'2025'!Maxi_hp)</f>
        <v>47.199084138700862</v>
      </c>
      <c r="J268" s="85">
        <f>IF(H268,An,'2025'!An_max)</f>
        <v>2019</v>
      </c>
      <c r="K268" s="197">
        <f t="shared" si="79"/>
        <v>46276</v>
      </c>
      <c r="L268" s="147">
        <f>IF(t&lt;Tvie,1-EXP((T0-t)*PertePVj)+'2025'!Pspv,1-EXP((T0-t)*PertePVj)+Pspv)</f>
        <v>6.663051751150717E-2</v>
      </c>
      <c r="M268" s="844"/>
      <c r="N268" s="844"/>
      <c r="O268" s="48">
        <f>IF(t&lt;Tnet,'2025'!Resal+('2025'!Salim-'2025'!Resal)*(1-EXP(('2025'!Tnet-t)/('2025'!Tau_j))),Resal+(Salim-Resal)*(1-EXP((Tnet-t)/(Tau_j))))*Salcycl</f>
        <v>9.0275660876272909E-2</v>
      </c>
      <c r="P268" s="169">
        <f>(INDEX(Models!$BJ268:$BT268,,T268)*(1-R268)+INDEX(Models!$BJ268:$BT268,,T268+1)*R268-ERP_i)*Q268*Ramure*Pc/MaxiM</f>
        <v>4.1239727186273534E-4</v>
      </c>
      <c r="Q268" s="305">
        <f t="shared" si="80"/>
        <v>0.7</v>
      </c>
      <c r="R268" s="177">
        <f t="shared" si="81"/>
        <v>0.17085037334357911</v>
      </c>
      <c r="S268" s="810">
        <f t="shared" si="82"/>
        <v>-1</v>
      </c>
      <c r="T268" s="176">
        <f t="shared" si="83"/>
        <v>5</v>
      </c>
      <c r="U268" s="251">
        <f t="shared" si="84"/>
        <v>-0.82914962665642089</v>
      </c>
      <c r="V268" s="383">
        <f t="shared" si="85"/>
        <v>41.024990004789302</v>
      </c>
      <c r="W268" s="402">
        <f t="shared" si="86"/>
        <v>38.999380006537095</v>
      </c>
      <c r="X268" s="157">
        <f t="shared" si="87"/>
        <v>46276</v>
      </c>
      <c r="Y268" s="385">
        <f t="shared" si="88"/>
        <v>36.57174760121503</v>
      </c>
      <c r="Z268" s="385">
        <f t="shared" si="89"/>
        <v>39.182497700385134</v>
      </c>
      <c r="AA268" s="386">
        <f t="shared" si="90"/>
        <v>45.793845180830957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0.14437196645835051</v>
      </c>
      <c r="AD268" s="231">
        <f>(INDEX(Models!$BJ268:$BT268,,AH268)*(1-AF268)+INDEX(Models!$BJ268:$BT268,,AH268+1)*AF268-ERP_i)*AE268*Ramure*Pc/MaxiM</f>
        <v>3.5952195566092845E-3</v>
      </c>
      <c r="AE268" s="305">
        <f t="shared" si="92"/>
        <v>0.7</v>
      </c>
      <c r="AF268" s="177">
        <f t="shared" si="93"/>
        <v>0.99084042644276304</v>
      </c>
      <c r="AG268" s="810">
        <f t="shared" si="99"/>
        <v>1</v>
      </c>
      <c r="AH268" s="176">
        <f t="shared" si="94"/>
        <v>7</v>
      </c>
      <c r="AI268" s="225">
        <f t="shared" si="95"/>
        <v>1.990840426442763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27.69830912876856</v>
      </c>
      <c r="C269" s="840"/>
      <c r="D269" s="393">
        <f t="shared" si="77"/>
        <v>29.676301018582713</v>
      </c>
      <c r="E269" s="385">
        <f t="shared" si="100"/>
        <v>32.624506828499193</v>
      </c>
      <c r="F269" s="385">
        <f t="shared" si="78"/>
        <v>32.63215799865457</v>
      </c>
      <c r="G269" s="110">
        <f t="shared" si="101"/>
        <v>0.68049018736444999</v>
      </c>
      <c r="H269" s="414" t="b">
        <f>Wh_hp&gt;='2025'!Maxi_hp</f>
        <v>0</v>
      </c>
      <c r="I269" s="390">
        <f>IF(H269,Wh_hp,'2025'!Maxi_hp)</f>
        <v>47.524500971153024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6.6652238382929663E-2</v>
      </c>
      <c r="M269" s="844"/>
      <c r="N269" s="844"/>
      <c r="O269" s="48">
        <f>IF(t&lt;Tnet,'2025'!Resal+('2025'!Salim-'2025'!Resal)*(1-EXP(('2025'!Tnet-t)/('2025'!Tau_j))),Resal+(Salim-Resal)*(1-EXP((Tnet-t)/(Tau_j))))*Salcycl</f>
        <v>9.0367827639958945E-2</v>
      </c>
      <c r="P269" s="169">
        <f>(INDEX(Models!$BJ269:$BT269,,T269)*(1-R269)+INDEX(Models!$BJ269:$BT269,,T269+1)*R269-ERP_i)*Q269*Ramure*Pc/MaxiM</f>
        <v>4.3120500761432935E-4</v>
      </c>
      <c r="Q269" s="305">
        <f t="shared" si="80"/>
        <v>0.7</v>
      </c>
      <c r="R269" s="177">
        <f t="shared" si="81"/>
        <v>0.1711887848488487</v>
      </c>
      <c r="S269" s="810">
        <f t="shared" si="82"/>
        <v>-1</v>
      </c>
      <c r="T269" s="176">
        <f t="shared" si="83"/>
        <v>5</v>
      </c>
      <c r="U269" s="251">
        <f t="shared" si="84"/>
        <v>-0.8288112151511513</v>
      </c>
      <c r="V269" s="383">
        <f t="shared" si="85"/>
        <v>40.695456099010357</v>
      </c>
      <c r="W269" s="402">
        <f t="shared" si="86"/>
        <v>27.69830912876856</v>
      </c>
      <c r="X269" s="157">
        <f t="shared" si="87"/>
        <v>46277</v>
      </c>
      <c r="Y269" s="385">
        <f t="shared" si="88"/>
        <v>26.006706897252222</v>
      </c>
      <c r="Z269" s="385">
        <f t="shared" si="89"/>
        <v>27.863898073955134</v>
      </c>
      <c r="AA269" s="386">
        <f t="shared" si="90"/>
        <v>32.566337637927845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0.14439571364316048</v>
      </c>
      <c r="AD269" s="231">
        <f>(INDEX(Models!$BJ269:$BT269,,AH269)*(1-AF269)+INDEX(Models!$BJ269:$BT269,,AH269+1)*AF269-ERP_i)*AE269*Ramure*Pc/MaxiM</f>
        <v>3.7095069867702037E-3</v>
      </c>
      <c r="AE269" s="305">
        <f t="shared" si="92"/>
        <v>0.7</v>
      </c>
      <c r="AF269" s="177">
        <f t="shared" si="93"/>
        <v>0.99117883794803263</v>
      </c>
      <c r="AG269" s="810">
        <f t="shared" si="99"/>
        <v>1</v>
      </c>
      <c r="AH269" s="176">
        <f t="shared" si="94"/>
        <v>7</v>
      </c>
      <c r="AI269" s="225">
        <f t="shared" si="95"/>
        <v>1.9911788379480326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13.014278353163149</v>
      </c>
      <c r="C270" s="840"/>
      <c r="D270" s="393">
        <f t="shared" si="77"/>
        <v>13.943978607644443</v>
      </c>
      <c r="E270" s="385">
        <f t="shared" si="100"/>
        <v>15.330789072777941</v>
      </c>
      <c r="F270" s="385">
        <f t="shared" si="78"/>
        <v>15.331009850095102</v>
      </c>
      <c r="G270" s="110">
        <f t="shared" si="101"/>
        <v>0.32229125701626926</v>
      </c>
      <c r="H270" s="414" t="b">
        <f>Wh_hp&gt;='2025'!Maxi_hp</f>
        <v>0</v>
      </c>
      <c r="I270" s="390">
        <f>IF(H270,Wh_hp,'2025'!Maxi_hp)</f>
        <v>45.574582062693615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6.6673958748875828E-2</v>
      </c>
      <c r="M270" s="844"/>
      <c r="N270" s="844"/>
      <c r="O270" s="48">
        <f>IF(t&lt;Tnet,'2025'!Resal+('2025'!Salim-'2025'!Resal)*(1-EXP(('2025'!Tnet-t)/('2025'!Tau_j))),Resal+(Salim-Resal)*(1-EXP((Tnet-t)/(Tau_j))))*Salcycl</f>
        <v>9.04591706630406E-2</v>
      </c>
      <c r="P270" s="169">
        <f>(INDEX(Models!$BJ270:$BT270,,T270)*(1-R270)+INDEX(Models!$BJ270:$BT270,,T270+1)*R270-ERP_i)*Q270*Ramure*Pc/MaxiM</f>
        <v>4.4938974452896535E-4</v>
      </c>
      <c r="Q270" s="305">
        <f t="shared" si="80"/>
        <v>0.7</v>
      </c>
      <c r="R270" s="177">
        <f t="shared" si="81"/>
        <v>0.17151412071141681</v>
      </c>
      <c r="S270" s="810">
        <f t="shared" si="82"/>
        <v>-1</v>
      </c>
      <c r="T270" s="176">
        <f t="shared" si="83"/>
        <v>5</v>
      </c>
      <c r="U270" s="251">
        <f t="shared" si="84"/>
        <v>-0.82848587928858319</v>
      </c>
      <c r="V270" s="383">
        <f t="shared" si="85"/>
        <v>40.362923039246084</v>
      </c>
      <c r="W270" s="402">
        <f t="shared" si="86"/>
        <v>13.014278353163149</v>
      </c>
      <c r="X270" s="157">
        <f t="shared" si="87"/>
        <v>46278</v>
      </c>
      <c r="Y270" s="385">
        <f t="shared" si="88"/>
        <v>12.240875883825202</v>
      </c>
      <c r="Z270" s="385">
        <f t="shared" si="89"/>
        <v>13.115326630569848</v>
      </c>
      <c r="AA270" s="386">
        <f t="shared" si="90"/>
        <v>15.329134527061818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0.14441832267723576</v>
      </c>
      <c r="AD270" s="231">
        <f>(INDEX(Models!$BJ270:$BT270,,AH270)*(1-AF270)+INDEX(Models!$BJ270:$BT270,,AH270+1)*AF270-ERP_i)*AE270*Ramure*Pc/MaxiM</f>
        <v>3.8171989300180851E-3</v>
      </c>
      <c r="AE270" s="305">
        <f t="shared" si="92"/>
        <v>0.7</v>
      </c>
      <c r="AF270" s="177">
        <f t="shared" si="93"/>
        <v>0.99150417381060074</v>
      </c>
      <c r="AG270" s="810">
        <f t="shared" si="99"/>
        <v>1</v>
      </c>
      <c r="AH270" s="176">
        <f t="shared" si="94"/>
        <v>7</v>
      </c>
      <c r="AI270" s="225">
        <f t="shared" si="95"/>
        <v>1.9915041738106007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30.982861393059686</v>
      </c>
      <c r="C271" s="840"/>
      <c r="D271" s="393">
        <f t="shared" ref="D271:D334" si="102">Wh/(1-Ppv)</f>
        <v>33.196954822725544</v>
      </c>
      <c r="E271" s="385">
        <f t="shared" si="100"/>
        <v>36.50221834429275</v>
      </c>
      <c r="F271" s="385">
        <f t="shared" ref="F271:F334" si="103">Wh_sa/(1-Pvg*MEDIAN((-Sdif+Wh/Env_an)/Csdif,0,1))</f>
        <v>36.513764119235049</v>
      </c>
      <c r="G271" s="110">
        <f t="shared" si="101"/>
        <v>0.77391757762453817</v>
      </c>
      <c r="H271" s="414" t="b">
        <f>Wh_hp&gt;='2025'!Maxi_hp</f>
        <v>0</v>
      </c>
      <c r="I271" s="390">
        <f>IF(H271,Wh_hp,'2025'!Maxi_hp)</f>
        <v>44.733439415558536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6.6695678609357323E-2</v>
      </c>
      <c r="M271" s="844"/>
      <c r="N271" s="844"/>
      <c r="O271" s="48">
        <f>IF(t&lt;Tnet,'2025'!Resal+('2025'!Salim-'2025'!Resal)*(1-EXP(('2025'!Tnet-t)/('2025'!Tau_j))),Resal+(Salim-Resal)*(1-EXP((Tnet-t)/(Tau_j))))*Salcycl</f>
        <v>9.0549661677863255E-2</v>
      </c>
      <c r="P271" s="169">
        <f>(INDEX(Models!$BJ271:$BT271,,T271)*(1-R271)+INDEX(Models!$BJ271:$BT271,,T271+1)*R271-ERP_i)*Q271*Ramure*Pc/MaxiM</f>
        <v>4.6693321556282139E-4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0.17182686527496527</v>
      </c>
      <c r="S271" s="810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-0.82817313472503473</v>
      </c>
      <c r="V271" s="383">
        <f t="shared" ref="V271:V334" si="110">MaxiM*(1-Ppv)*(1-Pvg)*(1-Psa)</f>
        <v>40.027763639645649</v>
      </c>
      <c r="W271" s="402">
        <f t="shared" ref="W271:W334" si="111">Wh*(A271&gt;Tmaj)</f>
        <v>30.982861393059686</v>
      </c>
      <c r="X271" s="157">
        <f t="shared" ref="X271:X334" si="112">t</f>
        <v>46279</v>
      </c>
      <c r="Y271" s="385">
        <f t="shared" ref="Y271:Y334" si="113">Wh_pvt_s*(1-Ppv)</f>
        <v>29.078809689843037</v>
      </c>
      <c r="Z271" s="385">
        <f t="shared" ref="Z271:Z334" si="114">Wh_sa_s*(1-Psa_s)</f>
        <v>31.156836010911224</v>
      </c>
      <c r="AA271" s="386">
        <f t="shared" ref="AA271:AA334" si="115">Wh_hp*(1-Pvg_s*MEDIAN((-Sdif+Wh/Env_an)/Csdif,0,1))</f>
        <v>36.41688127363647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0.14443975098255288</v>
      </c>
      <c r="AD271" s="231">
        <f>(INDEX(Models!$BJ271:$BT271,,AH271)*(1-AF271)+INDEX(Models!$BJ271:$BT271,,AH271+1)*AF271-ERP_i)*AE271*Ramure*Pc/MaxiM</f>
        <v>3.9181275275411067E-3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0.9918169183741492</v>
      </c>
      <c r="AG271" s="810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1.9918169183741492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35.318754444104727</v>
      </c>
      <c r="C272" s="840"/>
      <c r="D272" s="393">
        <f t="shared" si="102"/>
        <v>37.84357960500904</v>
      </c>
      <c r="E272" s="385">
        <f t="shared" si="100"/>
        <v>41.615586002304219</v>
      </c>
      <c r="F272" s="385">
        <f t="shared" si="103"/>
        <v>41.632559146810436</v>
      </c>
      <c r="G272" s="110">
        <f t="shared" si="101"/>
        <v>0.88978968934822289</v>
      </c>
      <c r="H272" s="414" t="b">
        <f>Wh_hp&gt;='2025'!Maxi_hp</f>
        <v>0</v>
      </c>
      <c r="I272" s="390">
        <f>IF(H272,Wh_hp,'2025'!Maxi_hp)</f>
        <v>45.524121434792207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6.6717397964386027E-2</v>
      </c>
      <c r="M272" s="844"/>
      <c r="N272" s="844"/>
      <c r="O272" s="48">
        <f>IF(t&lt;Tnet,'2025'!Resal+('2025'!Salim-'2025'!Resal)*(1-EXP(('2025'!Tnet-t)/('2025'!Tau_j))),Resal+(Salim-Resal)*(1-EXP((Tnet-t)/(Tau_j))))*Salcycl</f>
        <v>9.0639271475988048E-2</v>
      </c>
      <c r="P272" s="169">
        <f>(INDEX(Models!$BJ272:$BT272,,T272)*(1-R272)+INDEX(Models!$BJ272:$BT272,,T272+1)*R272-ERP_i)*Q272*Ramure*Pc/MaxiM</f>
        <v>4.8381593193123684E-4</v>
      </c>
      <c r="Q272" s="305">
        <f t="shared" si="105"/>
        <v>0.7</v>
      </c>
      <c r="R272" s="177">
        <f t="shared" si="106"/>
        <v>0.17212748656288368</v>
      </c>
      <c r="S272" s="810">
        <f t="shared" si="107"/>
        <v>-1</v>
      </c>
      <c r="T272" s="176">
        <f t="shared" si="108"/>
        <v>5</v>
      </c>
      <c r="U272" s="251">
        <f t="shared" si="109"/>
        <v>-0.82787251343711632</v>
      </c>
      <c r="V272" s="383">
        <f t="shared" si="110"/>
        <v>39.690350504992544</v>
      </c>
      <c r="W272" s="402">
        <f t="shared" si="111"/>
        <v>35.318754444104727</v>
      </c>
      <c r="X272" s="157">
        <f t="shared" si="112"/>
        <v>46280</v>
      </c>
      <c r="Y272" s="385">
        <f t="shared" si="113"/>
        <v>33.129574658296121</v>
      </c>
      <c r="Z272" s="385">
        <f t="shared" si="114"/>
        <v>35.497902335301326</v>
      </c>
      <c r="AA272" s="386">
        <f t="shared" si="115"/>
        <v>41.491806873187798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0.14445995461720332</v>
      </c>
      <c r="AD272" s="231">
        <f>(INDEX(Models!$BJ272:$BT272,,AH272)*(1-AF272)+INDEX(Models!$BJ272:$BT272,,AH272+1)*AF272-ERP_i)*AE272*Ramure*Pc/MaxiM</f>
        <v>4.0121141023242556E-3</v>
      </c>
      <c r="AE272" s="305">
        <f t="shared" si="117"/>
        <v>0.7</v>
      </c>
      <c r="AF272" s="177">
        <f t="shared" si="118"/>
        <v>0.99211753966206762</v>
      </c>
      <c r="AG272" s="810">
        <f t="shared" ref="AG272:AG335" si="124">INDEX(Echel_vg,AH272)</f>
        <v>1</v>
      </c>
      <c r="AH272" s="176">
        <f t="shared" si="119"/>
        <v>7</v>
      </c>
      <c r="AI272" s="225">
        <f t="shared" si="120"/>
        <v>1.9921175396620676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30.302457117155299</v>
      </c>
      <c r="C273" s="840"/>
      <c r="D273" s="393">
        <f t="shared" si="102"/>
        <v>32.469438785119557</v>
      </c>
      <c r="E273" s="385">
        <f t="shared" si="100"/>
        <v>35.70926819721037</v>
      </c>
      <c r="F273" s="385">
        <f t="shared" si="103"/>
        <v>35.721262137495401</v>
      </c>
      <c r="G273" s="110">
        <f t="shared" si="101"/>
        <v>0.76992795750041176</v>
      </c>
      <c r="H273" s="414" t="b">
        <f>Wh_hp&gt;='2025'!Maxi_hp</f>
        <v>0</v>
      </c>
      <c r="I273" s="390">
        <f>IF(H273,Wh_hp,'2025'!Maxi_hp)</f>
        <v>41.220294819613947</v>
      </c>
      <c r="J273" s="85">
        <f>IF(H273,An,'2025'!An_max)</f>
        <v>2020</v>
      </c>
      <c r="K273" s="197">
        <f t="shared" si="104"/>
        <v>46281</v>
      </c>
      <c r="L273" s="147">
        <f>IF(t&lt;Tvie,1-EXP((T0-t)*PertePVj)+'2025'!Pspv,1-EXP((T0-t)*PertePVj)+Pspv)</f>
        <v>6.6739116813973487E-2</v>
      </c>
      <c r="M273" s="844"/>
      <c r="N273" s="844"/>
      <c r="O273" s="48">
        <f>IF(t&lt;Tnet,'2025'!Resal+('2025'!Salim-'2025'!Resal)*(1-EXP(('2025'!Tnet-t)/('2025'!Tau_j))),Resal+(Salim-Resal)*(1-EXP((Tnet-t)/(Tau_j))))*Salcycl</f>
        <v>9.0727969954419549E-2</v>
      </c>
      <c r="P273" s="169">
        <f>(INDEX(Models!$BJ273:$BT273,,T273)*(1-R273)+INDEX(Models!$BJ273:$BT273,,T273+1)*R273-ERP_i)*Q273*Ramure*Pc/MaxiM</f>
        <v>5.0001718134187734E-4</v>
      </c>
      <c r="Q273" s="305">
        <f t="shared" si="105"/>
        <v>0.7</v>
      </c>
      <c r="R273" s="177">
        <f t="shared" si="106"/>
        <v>0.17241643670040019</v>
      </c>
      <c r="S273" s="810">
        <f t="shared" si="107"/>
        <v>-1</v>
      </c>
      <c r="T273" s="176">
        <f t="shared" si="108"/>
        <v>5</v>
      </c>
      <c r="U273" s="251">
        <f t="shared" si="109"/>
        <v>-0.82758356329959981</v>
      </c>
      <c r="V273" s="383">
        <f t="shared" si="110"/>
        <v>39.351056027633675</v>
      </c>
      <c r="W273" s="402">
        <f t="shared" si="111"/>
        <v>30.302457117155299</v>
      </c>
      <c r="X273" s="157">
        <f t="shared" si="112"/>
        <v>46281</v>
      </c>
      <c r="Y273" s="385">
        <f t="shared" si="113"/>
        <v>28.442224019672985</v>
      </c>
      <c r="Z273" s="385">
        <f t="shared" si="114"/>
        <v>30.476177167712287</v>
      </c>
      <c r="AA273" s="386">
        <f t="shared" si="115"/>
        <v>35.622939928488037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0.14447888835418191</v>
      </c>
      <c r="AD273" s="231">
        <f>(INDEX(Models!$BJ273:$BT273,,AH273)*(1-AF273)+INDEX(Models!$BJ273:$BT273,,AH273+1)*AF273-ERP_i)*AE273*Ramure*Pc/MaxiM</f>
        <v>4.0989693664322813E-3</v>
      </c>
      <c r="AE273" s="305">
        <f t="shared" si="117"/>
        <v>0.7</v>
      </c>
      <c r="AF273" s="177">
        <f t="shared" si="118"/>
        <v>0.99240648979958412</v>
      </c>
      <c r="AG273" s="810">
        <f t="shared" si="124"/>
        <v>1</v>
      </c>
      <c r="AH273" s="176">
        <f t="shared" si="119"/>
        <v>7</v>
      </c>
      <c r="AI273" s="225">
        <f t="shared" si="120"/>
        <v>1.9924064897995841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39.593234957273708</v>
      </c>
      <c r="C274" s="840"/>
      <c r="D274" s="393">
        <f t="shared" si="102"/>
        <v>42.425603691828059</v>
      </c>
      <c r="E274" s="385">
        <f t="shared" si="100"/>
        <v>46.663371676499402</v>
      </c>
      <c r="F274" s="385">
        <f t="shared" si="103"/>
        <v>46.687439753460566</v>
      </c>
      <c r="G274" s="110">
        <f t="shared" si="101"/>
        <v>1.0149443424747535</v>
      </c>
      <c r="H274" s="414" t="b">
        <f>Wh_hp&gt;='2025'!Maxi_hp</f>
        <v>1</v>
      </c>
      <c r="I274" s="390">
        <f>IF(H274,Wh_hp,'2025'!Maxi_hp)</f>
        <v>46.687439753460566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6.6760835158131582E-2</v>
      </c>
      <c r="M274" s="844"/>
      <c r="N274" s="844"/>
      <c r="O274" s="48">
        <f>IF(t&lt;Tnet,'2025'!Resal+('2025'!Salim-'2025'!Resal)*(1-EXP(('2025'!Tnet-t)/('2025'!Tau_j))),Resal+(Salim-Resal)*(1-EXP((Tnet-t)/(Tau_j))))*Salcycl</f>
        <v>9.0815726177059949E-2</v>
      </c>
      <c r="P274" s="169">
        <f>(INDEX(Models!$BJ274:$BT274,,T274)*(1-R274)+INDEX(Models!$BJ274:$BT274,,T274+1)*R274-ERP_i)*Q274*Ramure*Pc/MaxiM</f>
        <v>5.1551503120023784E-4</v>
      </c>
      <c r="Q274" s="305">
        <f t="shared" si="105"/>
        <v>0.7</v>
      </c>
      <c r="R274" s="177">
        <f t="shared" si="106"/>
        <v>0.17269415233647889</v>
      </c>
      <c r="S274" s="810">
        <f t="shared" si="107"/>
        <v>-1</v>
      </c>
      <c r="T274" s="176">
        <f t="shared" si="108"/>
        <v>5</v>
      </c>
      <c r="U274" s="251">
        <f t="shared" si="109"/>
        <v>-0.82730584766352111</v>
      </c>
      <c r="V274" s="383">
        <f t="shared" si="110"/>
        <v>39.010252385596772</v>
      </c>
      <c r="W274" s="402">
        <f t="shared" si="111"/>
        <v>39.593234957273708</v>
      </c>
      <c r="X274" s="157">
        <f t="shared" si="112"/>
        <v>46282</v>
      </c>
      <c r="Y274" s="385">
        <f t="shared" si="113"/>
        <v>37.119003116480911</v>
      </c>
      <c r="Z274" s="385">
        <f t="shared" si="114"/>
        <v>39.774373509892818</v>
      </c>
      <c r="AA274" s="386">
        <f t="shared" si="115"/>
        <v>46.492356581596027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0.14449650578397474</v>
      </c>
      <c r="AD274" s="231">
        <f>(INDEX(Models!$BJ274:$BT274,,AH274)*(1-AF274)+INDEX(Models!$BJ274:$BT274,,AH274+1)*AF274-ERP_i)*AE274*Ramure*Pc/MaxiM</f>
        <v>4.1784936782720506E-3</v>
      </c>
      <c r="AE274" s="305">
        <f t="shared" si="117"/>
        <v>0.7</v>
      </c>
      <c r="AF274" s="177">
        <f t="shared" si="118"/>
        <v>0.99268420543566283</v>
      </c>
      <c r="AG274" s="810">
        <f t="shared" si="124"/>
        <v>1</v>
      </c>
      <c r="AH274" s="176">
        <f t="shared" si="119"/>
        <v>7</v>
      </c>
      <c r="AI274" s="225">
        <f t="shared" si="120"/>
        <v>1.9926842054356628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39.138000160655288</v>
      </c>
      <c r="C275" s="840"/>
      <c r="D275" s="393">
        <f t="shared" si="102"/>
        <v>41.938778884107286</v>
      </c>
      <c r="E275" s="385">
        <f t="shared" si="100"/>
        <v>46.132322742080468</v>
      </c>
      <c r="F275" s="385">
        <f t="shared" si="103"/>
        <v>46.156800921335289</v>
      </c>
      <c r="G275" s="110">
        <f t="shared" si="101"/>
        <v>1.0122234899029148</v>
      </c>
      <c r="H275" s="414" t="b">
        <f>Wh_hp&gt;='2025'!Maxi_hp</f>
        <v>1</v>
      </c>
      <c r="I275" s="390">
        <f>IF(H275,Wh_hp,'2025'!Maxi_hp)</f>
        <v>46.156800921335289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6.6782552996872191E-2</v>
      </c>
      <c r="M275" s="844"/>
      <c r="N275" s="844"/>
      <c r="O275" s="48">
        <f>IF(t&lt;Tnet,'2025'!Resal+('2025'!Salim-'2025'!Resal)*(1-EXP(('2025'!Tnet-t)/('2025'!Tau_j))),Resal+(Salim-Resal)*(1-EXP((Tnet-t)/(Tau_j))))*Salcycl</f>
        <v>9.0902508452017722E-2</v>
      </c>
      <c r="P275" s="169">
        <f>(INDEX(Models!$BJ275:$BT275,,T275)*(1-R275)+INDEX(Models!$BJ275:$BT275,,T275+1)*R275-ERP_i)*Q275*Ramure*Pc/MaxiM</f>
        <v>5.303265990323229E-4</v>
      </c>
      <c r="Q275" s="305">
        <f t="shared" si="105"/>
        <v>0.7</v>
      </c>
      <c r="R275" s="177">
        <f t="shared" si="106"/>
        <v>0.17296105506436521</v>
      </c>
      <c r="S275" s="810">
        <f t="shared" si="107"/>
        <v>-1</v>
      </c>
      <c r="T275" s="176">
        <f t="shared" si="108"/>
        <v>5</v>
      </c>
      <c r="U275" s="251">
        <f t="shared" si="109"/>
        <v>-0.82703894493563479</v>
      </c>
      <c r="V275" s="383">
        <f t="shared" si="110"/>
        <v>38.665374347723471</v>
      </c>
      <c r="W275" s="402">
        <f t="shared" si="111"/>
        <v>39.138000160655288</v>
      </c>
      <c r="X275" s="157">
        <f t="shared" si="112"/>
        <v>46283</v>
      </c>
      <c r="Y275" s="385">
        <f t="shared" si="113"/>
        <v>36.692901318145687</v>
      </c>
      <c r="Z275" s="385">
        <f t="shared" si="114"/>
        <v>39.318704805593619</v>
      </c>
      <c r="AA275" s="386">
        <f t="shared" si="115"/>
        <v>45.960597588736412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0.14451275944180772</v>
      </c>
      <c r="AD275" s="231">
        <f>(INDEX(Models!$BJ275:$BT275,,AH275)*(1-AF275)+INDEX(Models!$BJ275:$BT275,,AH275+1)*AF275-ERP_i)*AE275*Ramure*Pc/MaxiM</f>
        <v>4.2508000702489151E-3</v>
      </c>
      <c r="AE275" s="305">
        <f t="shared" si="117"/>
        <v>0.7</v>
      </c>
      <c r="AF275" s="177">
        <f t="shared" si="118"/>
        <v>0.99295110816354915</v>
      </c>
      <c r="AG275" s="810">
        <f t="shared" si="124"/>
        <v>1</v>
      </c>
      <c r="AH275" s="176">
        <f t="shared" si="119"/>
        <v>7</v>
      </c>
      <c r="AI275" s="225">
        <f t="shared" si="120"/>
        <v>1.9929511081635491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37.620639870729732</v>
      </c>
      <c r="C276" s="840"/>
      <c r="D276" s="393">
        <f t="shared" si="102"/>
        <v>40.313771992979028</v>
      </c>
      <c r="E276" s="385">
        <f t="shared" si="100"/>
        <v>44.349012561943248</v>
      </c>
      <c r="F276" s="385">
        <f t="shared" si="103"/>
        <v>44.37252093863524</v>
      </c>
      <c r="G276" s="110">
        <f t="shared" si="101"/>
        <v>0.98188293885970146</v>
      </c>
      <c r="H276" s="414" t="b">
        <f>Wh_hp&gt;='2025'!Maxi_hp</f>
        <v>0</v>
      </c>
      <c r="I276" s="390">
        <f>IF(H276,Wh_hp,'2025'!Maxi_hp)</f>
        <v>44.372878316776635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6.6804270330206861E-2</v>
      </c>
      <c r="M276" s="844"/>
      <c r="N276" s="844"/>
      <c r="O276" s="48">
        <f>IF(t&lt;Tnet,'2025'!Resal+('2025'!Salim-'2025'!Resal)*(1-EXP(('2025'!Tnet-t)/('2025'!Tau_j))),Resal+(Salim-Resal)*(1-EXP((Tnet-t)/(Tau_j))))*Salcycl</f>
        <v>9.0988284425230645E-2</v>
      </c>
      <c r="P276" s="169">
        <f>(INDEX(Models!$BJ276:$BT276,,T276)*(1-R276)+INDEX(Models!$BJ276:$BT276,,T276+1)*R276-ERP_i)*Q276*Ramure*Pc/MaxiM</f>
        <v>5.438610455378919E-4</v>
      </c>
      <c r="Q276" s="305">
        <f t="shared" si="105"/>
        <v>0.7</v>
      </c>
      <c r="R276" s="177">
        <f t="shared" si="106"/>
        <v>0.1732175518397745</v>
      </c>
      <c r="S276" s="810">
        <f t="shared" si="107"/>
        <v>-1</v>
      </c>
      <c r="T276" s="176">
        <f t="shared" si="108"/>
        <v>5</v>
      </c>
      <c r="U276" s="251">
        <f t="shared" si="109"/>
        <v>-0.8267824481602255</v>
      </c>
      <c r="V276" s="383">
        <f t="shared" si="110"/>
        <v>38.314252095710103</v>
      </c>
      <c r="W276" s="402">
        <f t="shared" si="111"/>
        <v>37.620639870729732</v>
      </c>
      <c r="X276" s="157">
        <f t="shared" si="112"/>
        <v>46284</v>
      </c>
      <c r="Y276" s="385">
        <f t="shared" si="113"/>
        <v>35.274862274288012</v>
      </c>
      <c r="Z276" s="385">
        <f t="shared" si="114"/>
        <v>37.800068252316002</v>
      </c>
      <c r="AA276" s="386">
        <f t="shared" si="115"/>
        <v>44.186192675229677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0.14452760096014491</v>
      </c>
      <c r="AD276" s="231">
        <f>(INDEX(Models!$BJ276:$BT276,,AH276)*(1-AF276)+INDEX(Models!$BJ276:$BT276,,AH276+1)*AF276-ERP_i)*AE276*Ramure*Pc/MaxiM</f>
        <v>4.3106627682860362E-3</v>
      </c>
      <c r="AE276" s="305">
        <f t="shared" si="117"/>
        <v>0.7</v>
      </c>
      <c r="AF276" s="177">
        <f t="shared" si="118"/>
        <v>0.99320760493895843</v>
      </c>
      <c r="AG276" s="810">
        <f t="shared" si="124"/>
        <v>1</v>
      </c>
      <c r="AH276" s="176">
        <f t="shared" si="119"/>
        <v>7</v>
      </c>
      <c r="AI276" s="225">
        <f t="shared" si="120"/>
        <v>1.9932076049389584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39.201249712266154</v>
      </c>
      <c r="C277" s="840"/>
      <c r="D277" s="393">
        <f t="shared" si="102"/>
        <v>42.008509852180907</v>
      </c>
      <c r="E277" s="385">
        <f t="shared" si="100"/>
        <v>46.217694965124302</v>
      </c>
      <c r="F277" s="385">
        <f t="shared" si="103"/>
        <v>46.243426743251504</v>
      </c>
      <c r="G277" s="110">
        <f t="shared" si="101"/>
        <v>1.0327586983116737</v>
      </c>
      <c r="H277" s="414" t="b">
        <f>Wh_hp&gt;='2025'!Maxi_hp</f>
        <v>1</v>
      </c>
      <c r="I277" s="390">
        <f>IF(H277,Wh_hp,'2025'!Maxi_hp)</f>
        <v>46.243426743251504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6.6825987158147471E-2</v>
      </c>
      <c r="M277" s="844"/>
      <c r="N277" s="844"/>
      <c r="O277" s="48">
        <f>IF(t&lt;Tnet,'2025'!Resal+('2025'!Salim-'2025'!Resal)*(1-EXP(('2025'!Tnet-t)/('2025'!Tau_j))),Resal+(Salim-Resal)*(1-EXP((Tnet-t)/(Tau_j))))*Salcycl</f>
        <v>9.1073021190685277E-2</v>
      </c>
      <c r="P277" s="169">
        <f>(INDEX(Models!$BJ277:$BT277,,T277)*(1-R277)+INDEX(Models!$BJ277:$BT277,,T277+1)*R277-ERP_i)*Q277*Ramure*Pc/MaxiM</f>
        <v>5.5644185432164985E-4</v>
      </c>
      <c r="Q277" s="305">
        <f t="shared" si="105"/>
        <v>0.7</v>
      </c>
      <c r="R277" s="177">
        <f t="shared" si="106"/>
        <v>0.17346403539582145</v>
      </c>
      <c r="S277" s="810">
        <f t="shared" si="107"/>
        <v>-1</v>
      </c>
      <c r="T277" s="176">
        <f t="shared" si="108"/>
        <v>5</v>
      </c>
      <c r="U277" s="251">
        <f t="shared" si="109"/>
        <v>-0.82653596460417855</v>
      </c>
      <c r="V277" s="383">
        <f t="shared" si="110"/>
        <v>37.957801542946385</v>
      </c>
      <c r="W277" s="402">
        <f t="shared" si="111"/>
        <v>39.201249712266154</v>
      </c>
      <c r="X277" s="157">
        <f t="shared" si="112"/>
        <v>46285</v>
      </c>
      <c r="Y277" s="385">
        <f t="shared" si="113"/>
        <v>36.754789345723282</v>
      </c>
      <c r="Z277" s="385">
        <f t="shared" si="114"/>
        <v>39.386854798701101</v>
      </c>
      <c r="AA277" s="386">
        <f t="shared" si="115"/>
        <v>46.041778665333602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0.14454098124673917</v>
      </c>
      <c r="AD277" s="231">
        <f>(INDEX(Models!$BJ277:$BT277,,AH277)*(1-AF277)+INDEX(Models!$BJ277:$BT277,,AH277+1)*AF277-ERP_i)*AE277*Ramure*Pc/MaxiM</f>
        <v>4.3605781863328965E-3</v>
      </c>
      <c r="AE277" s="305">
        <f t="shared" si="117"/>
        <v>0.7</v>
      </c>
      <c r="AF277" s="177">
        <f t="shared" si="118"/>
        <v>0.99345408849500538</v>
      </c>
      <c r="AG277" s="810">
        <f t="shared" si="124"/>
        <v>1</v>
      </c>
      <c r="AH277" s="176">
        <f t="shared" si="119"/>
        <v>7</v>
      </c>
      <c r="AI277" s="225">
        <f t="shared" si="120"/>
        <v>1.9934540884950054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37.901809867947726</v>
      </c>
      <c r="C278" s="840"/>
      <c r="D278" s="393">
        <f t="shared" si="102"/>
        <v>40.616960392556948</v>
      </c>
      <c r="E278" s="385">
        <f t="shared" si="100"/>
        <v>44.690828155794534</v>
      </c>
      <c r="F278" s="385">
        <f t="shared" si="103"/>
        <v>44.716228492902509</v>
      </c>
      <c r="G278" s="110">
        <f t="shared" si="101"/>
        <v>1.0081085802943179</v>
      </c>
      <c r="H278" s="414" t="b">
        <f>Wh_hp&gt;='2025'!Maxi_hp</f>
        <v>1</v>
      </c>
      <c r="I278" s="390">
        <f>IF(H278,Wh_hp,'2025'!Maxi_hp)</f>
        <v>44.716228492902509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6.6847703480705789E-2</v>
      </c>
      <c r="M278" s="844"/>
      <c r="N278" s="844"/>
      <c r="O278" s="48">
        <f>IF(t&lt;Tnet,'2025'!Resal+('2025'!Salim-'2025'!Resal)*(1-EXP(('2025'!Tnet-t)/('2025'!Tau_j))),Resal+(Salim-Resal)*(1-EXP((Tnet-t)/(Tau_j))))*Salcycl</f>
        <v>9.1156685417327188E-2</v>
      </c>
      <c r="P278" s="169">
        <f>(INDEX(Models!$BJ278:$BT278,,T278)*(1-R278)+INDEX(Models!$BJ278:$BT278,,T278+1)*R278-ERP_i)*Q278*Ramure*Pc/MaxiM</f>
        <v>5.6803397701587555E-4</v>
      </c>
      <c r="Q278" s="305">
        <f t="shared" si="105"/>
        <v>0.7</v>
      </c>
      <c r="R278" s="177">
        <f t="shared" si="106"/>
        <v>0.17370088465389166</v>
      </c>
      <c r="S278" s="810">
        <f t="shared" si="107"/>
        <v>-1</v>
      </c>
      <c r="T278" s="176">
        <f t="shared" si="108"/>
        <v>5</v>
      </c>
      <c r="U278" s="251">
        <f t="shared" si="109"/>
        <v>-0.82629911534610834</v>
      </c>
      <c r="V278" s="383">
        <f t="shared" si="110"/>
        <v>37.596951964125005</v>
      </c>
      <c r="W278" s="402">
        <f t="shared" si="111"/>
        <v>37.901809867947726</v>
      </c>
      <c r="X278" s="157">
        <f t="shared" si="112"/>
        <v>46286</v>
      </c>
      <c r="Y278" s="385">
        <f t="shared" si="113"/>
        <v>35.538220328831791</v>
      </c>
      <c r="Z278" s="385">
        <f t="shared" si="114"/>
        <v>38.084051725952101</v>
      </c>
      <c r="AA278" s="386">
        <f t="shared" si="115"/>
        <v>44.519467691945927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0.14455285068824086</v>
      </c>
      <c r="AD278" s="231">
        <f>(INDEX(Models!$BJ278:$BT278,,AH278)*(1-AF278)+INDEX(Models!$BJ278:$BT278,,AH278+1)*AF278-ERP_i)*AE278*Ramure*Pc/MaxiM</f>
        <v>4.4002101158377655E-3</v>
      </c>
      <c r="AE278" s="305">
        <f t="shared" si="117"/>
        <v>0.7</v>
      </c>
      <c r="AF278" s="177">
        <f t="shared" si="118"/>
        <v>0.9936909377530756</v>
      </c>
      <c r="AG278" s="810">
        <f t="shared" si="124"/>
        <v>1</v>
      </c>
      <c r="AH278" s="176">
        <f t="shared" si="119"/>
        <v>7</v>
      </c>
      <c r="AI278" s="225">
        <f t="shared" si="120"/>
        <v>1.9936909377530756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36.234913228266691</v>
      </c>
      <c r="C279" s="840"/>
      <c r="D279" s="393">
        <f t="shared" si="102"/>
        <v>38.831556887786064</v>
      </c>
      <c r="E279" s="385">
        <f t="shared" si="100"/>
        <v>42.730230822272944</v>
      </c>
      <c r="F279" s="385">
        <f t="shared" si="103"/>
        <v>42.754021301846052</v>
      </c>
      <c r="G279" s="110">
        <f t="shared" si="101"/>
        <v>0.97318153838921817</v>
      </c>
      <c r="H279" s="414" t="b">
        <f>Wh_hp&gt;='2025'!Maxi_hp</f>
        <v>0</v>
      </c>
      <c r="I279" s="390">
        <f>IF(H279,Wh_hp,'2025'!Maxi_hp)</f>
        <v>42.754558489031218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6.6869419297893584E-2</v>
      </c>
      <c r="M279" s="844"/>
      <c r="N279" s="844"/>
      <c r="O279" s="48">
        <f>IF(t&lt;Tnet,'2025'!Resal+('2025'!Salim-'2025'!Resal)*(1-EXP(('2025'!Tnet-t)/('2025'!Tau_j))),Resal+(Salim-Resal)*(1-EXP((Tnet-t)/(Tau_j))))*Salcycl</f>
        <v>9.1239243492565306E-2</v>
      </c>
      <c r="P279" s="169">
        <f>(INDEX(Models!$BJ279:$BT279,,T279)*(1-R279)+INDEX(Models!$BJ279:$BT279,,T279+1)*R279-ERP_i)*Q279*Ramure*Pc/MaxiM</f>
        <v>5.785996360805017E-4</v>
      </c>
      <c r="Q279" s="305">
        <f t="shared" si="105"/>
        <v>0.7</v>
      </c>
      <c r="R279" s="177">
        <f t="shared" si="106"/>
        <v>0.1739284651297397</v>
      </c>
      <c r="S279" s="810">
        <f t="shared" si="107"/>
        <v>-1</v>
      </c>
      <c r="T279" s="176">
        <f t="shared" si="108"/>
        <v>5</v>
      </c>
      <c r="U279" s="251">
        <f t="shared" si="109"/>
        <v>-0.8260715348702603</v>
      </c>
      <c r="V279" s="383">
        <f t="shared" si="110"/>
        <v>37.232632109931693</v>
      </c>
      <c r="W279" s="402">
        <f t="shared" si="111"/>
        <v>36.234913228266691</v>
      </c>
      <c r="X279" s="157">
        <f t="shared" si="112"/>
        <v>46287</v>
      </c>
      <c r="Y279" s="385">
        <f t="shared" si="113"/>
        <v>33.982353203274251</v>
      </c>
      <c r="Z279" s="385">
        <f t="shared" si="114"/>
        <v>36.41757531695643</v>
      </c>
      <c r="AA279" s="386">
        <f t="shared" si="115"/>
        <v>42.57190430391352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0.14456315937906816</v>
      </c>
      <c r="AD279" s="231">
        <f>(INDEX(Models!$BJ279:$BT279,,AH279)*(1-AF279)+INDEX(Models!$BJ279:$BT279,,AH279+1)*AF279-ERP_i)*AE279*Ramure*Pc/MaxiM</f>
        <v>4.4292015385408766E-3</v>
      </c>
      <c r="AE279" s="305">
        <f t="shared" si="117"/>
        <v>0.7</v>
      </c>
      <c r="AF279" s="177">
        <f t="shared" si="118"/>
        <v>0.99391851822892363</v>
      </c>
      <c r="AG279" s="810">
        <f t="shared" si="124"/>
        <v>1</v>
      </c>
      <c r="AH279" s="176">
        <f t="shared" si="119"/>
        <v>7</v>
      </c>
      <c r="AI279" s="225">
        <f t="shared" si="120"/>
        <v>1.9939185182289236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22.745173643637756</v>
      </c>
      <c r="C280" s="840"/>
      <c r="D280" s="393">
        <f t="shared" si="102"/>
        <v>24.375691290988296</v>
      </c>
      <c r="E280" s="385">
        <f t="shared" si="100"/>
        <v>26.825405028038425</v>
      </c>
      <c r="F280" s="385">
        <f t="shared" si="103"/>
        <v>26.832550618113572</v>
      </c>
      <c r="G280" s="110">
        <f t="shared" si="101"/>
        <v>0.61677410432559887</v>
      </c>
      <c r="H280" s="414" t="b">
        <f>Wh_hp&gt;='2025'!Maxi_hp</f>
        <v>0</v>
      </c>
      <c r="I280" s="390">
        <f>IF(H280,Wh_hp,'2025'!Maxi_hp)</f>
        <v>39.201858465251448</v>
      </c>
      <c r="J280" s="85">
        <f>IF(H280,An,'2025'!An_max)</f>
        <v>2019</v>
      </c>
      <c r="K280" s="197">
        <f t="shared" si="104"/>
        <v>46288</v>
      </c>
      <c r="L280" s="147">
        <f>IF(t&lt;Tvie,1-EXP((T0-t)*PertePVj)+'2025'!Pspv,1-EXP((T0-t)*PertePVj)+Pspv)</f>
        <v>6.6891134609722513E-2</v>
      </c>
      <c r="M280" s="844"/>
      <c r="N280" s="844"/>
      <c r="O280" s="48">
        <f>IF(t&lt;Tnet,'2025'!Resal+('2025'!Salim-'2025'!Resal)*(1-EXP(('2025'!Tnet-t)/('2025'!Tau_j))),Resal+(Salim-Resal)*(1-EXP((Tnet-t)/(Tau_j))))*Salcycl</f>
        <v>9.1320661682074852E-2</v>
      </c>
      <c r="P280" s="169">
        <f>(INDEX(Models!$BJ280:$BT280,,T280)*(1-R280)+INDEX(Models!$BJ280:$BT280,,T280+1)*R280-ERP_i)*Q280*Ramure*Pc/MaxiM</f>
        <v>5.8810155032418016E-4</v>
      </c>
      <c r="Q280" s="305">
        <f t="shared" si="105"/>
        <v>0.7</v>
      </c>
      <c r="R280" s="177">
        <f t="shared" si="106"/>
        <v>0.17414712933419185</v>
      </c>
      <c r="S280" s="810">
        <f t="shared" si="107"/>
        <v>-1</v>
      </c>
      <c r="T280" s="176">
        <f t="shared" si="108"/>
        <v>5</v>
      </c>
      <c r="U280" s="251">
        <f t="shared" si="109"/>
        <v>-0.82585287066580815</v>
      </c>
      <c r="V280" s="383">
        <f t="shared" si="110"/>
        <v>36.865770095924198</v>
      </c>
      <c r="W280" s="402">
        <f t="shared" si="111"/>
        <v>22.745173643637756</v>
      </c>
      <c r="X280" s="157">
        <f t="shared" si="112"/>
        <v>46288</v>
      </c>
      <c r="Y280" s="385">
        <f t="shared" si="113"/>
        <v>21.374814516242193</v>
      </c>
      <c r="Z280" s="385">
        <f t="shared" si="114"/>
        <v>22.907096169643687</v>
      </c>
      <c r="AA280" s="386">
        <f t="shared" si="115"/>
        <v>26.778515959678614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0.14457185737492942</v>
      </c>
      <c r="AD280" s="231">
        <f>(INDEX(Models!$BJ280:$BT280,,AH280)*(1-AF280)+INDEX(Models!$BJ280:$BT280,,AH280+1)*AF280-ERP_i)*AE280*Ramure*Pc/MaxiM</f>
        <v>4.4471997501462444E-3</v>
      </c>
      <c r="AE280" s="305">
        <f t="shared" si="117"/>
        <v>0.7</v>
      </c>
      <c r="AF280" s="177">
        <f t="shared" si="118"/>
        <v>0.99413718243337579</v>
      </c>
      <c r="AG280" s="810">
        <f t="shared" si="124"/>
        <v>1</v>
      </c>
      <c r="AH280" s="176">
        <f t="shared" si="119"/>
        <v>7</v>
      </c>
      <c r="AI280" s="225">
        <f t="shared" si="120"/>
        <v>1.9941371824333758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14.80482678679768</v>
      </c>
      <c r="C281" s="840"/>
      <c r="D281" s="393">
        <f t="shared" si="102"/>
        <v>15.866499477069091</v>
      </c>
      <c r="E281" s="385">
        <f t="shared" si="100"/>
        <v>17.462596636049771</v>
      </c>
      <c r="F281" s="385">
        <f t="shared" si="103"/>
        <v>17.464168789452994</v>
      </c>
      <c r="G281" s="110">
        <f t="shared" si="101"/>
        <v>0.40543630387849733</v>
      </c>
      <c r="H281" s="414" t="b">
        <f>Wh_hp&gt;='2025'!Maxi_hp</f>
        <v>0</v>
      </c>
      <c r="I281" s="390">
        <f>IF(H281,Wh_hp,'2025'!Maxi_hp)</f>
        <v>36.19529357264706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6.6912849416204456E-2</v>
      </c>
      <c r="M281" s="844"/>
      <c r="N281" s="844"/>
      <c r="O281" s="48">
        <f>IF(t&lt;Tnet,'2025'!Resal+('2025'!Salim-'2025'!Resal)*(1-EXP(('2025'!Tnet-t)/('2025'!Tau_j))),Resal+(Salim-Resal)*(1-EXP((Tnet-t)/(Tau_j))))*Salcycl</f>
        <v>9.1400906305405843E-2</v>
      </c>
      <c r="P281" s="169">
        <f>(INDEX(Models!$BJ281:$BT281,,T281)*(1-R281)+INDEX(Models!$BJ281:$BT281,,T281+1)*R281-ERP_i)*Q281*Ramure*Pc/MaxiM</f>
        <v>5.9649851759005675E-4</v>
      </c>
      <c r="Q281" s="305">
        <f t="shared" si="105"/>
        <v>0.7</v>
      </c>
      <c r="R281" s="177">
        <f t="shared" si="106"/>
        <v>0.17435721716790076</v>
      </c>
      <c r="S281" s="810">
        <f t="shared" si="107"/>
        <v>-1</v>
      </c>
      <c r="T281" s="176">
        <f t="shared" si="108"/>
        <v>5</v>
      </c>
      <c r="U281" s="251">
        <f t="shared" si="109"/>
        <v>-0.82564278283209924</v>
      </c>
      <c r="V281" s="383">
        <f t="shared" si="110"/>
        <v>36.497293577245557</v>
      </c>
      <c r="W281" s="402">
        <f t="shared" si="111"/>
        <v>14.80482678679768</v>
      </c>
      <c r="X281" s="157">
        <f t="shared" si="112"/>
        <v>46289</v>
      </c>
      <c r="Y281" s="385">
        <f t="shared" si="113"/>
        <v>13.930223290840834</v>
      </c>
      <c r="Z281" s="385">
        <f t="shared" si="114"/>
        <v>14.929177067892583</v>
      </c>
      <c r="AA281" s="386">
        <f t="shared" si="115"/>
        <v>17.452430130737127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0.14457889497008236</v>
      </c>
      <c r="AD281" s="231">
        <f>(INDEX(Models!$BJ281:$BT281,,AH281)*(1-AF281)+INDEX(Models!$BJ281:$BT281,,AH281+1)*AF281-ERP_i)*AE281*Ramure*Pc/MaxiM</f>
        <v>4.4538227046721519E-3</v>
      </c>
      <c r="AE281" s="305">
        <f t="shared" si="117"/>
        <v>0.7</v>
      </c>
      <c r="AF281" s="177">
        <f t="shared" si="118"/>
        <v>0.99434727026708458</v>
      </c>
      <c r="AG281" s="810">
        <f t="shared" si="124"/>
        <v>1</v>
      </c>
      <c r="AH281" s="176">
        <f t="shared" si="119"/>
        <v>7</v>
      </c>
      <c r="AI281" s="225">
        <f t="shared" si="120"/>
        <v>1.9943472702670846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30.212414287991759</v>
      </c>
      <c r="C282" s="840"/>
      <c r="D282" s="393">
        <f t="shared" si="102"/>
        <v>32.379737918873744</v>
      </c>
      <c r="E282" s="385">
        <f t="shared" si="100"/>
        <v>35.640091489913594</v>
      </c>
      <c r="F282" s="385">
        <f t="shared" si="103"/>
        <v>35.656573368770118</v>
      </c>
      <c r="G282" s="110">
        <f t="shared" si="101"/>
        <v>0.83613896667047827</v>
      </c>
      <c r="H282" s="414" t="b">
        <f>Wh_hp&gt;='2025'!Maxi_hp</f>
        <v>0</v>
      </c>
      <c r="I282" s="390">
        <f>IF(H282,Wh_hp,'2025'!Maxi_hp)</f>
        <v>35.659396613851193</v>
      </c>
      <c r="J282" s="85">
        <f>IF(H282,An,'2025'!An_max)</f>
        <v>2025</v>
      </c>
      <c r="K282" s="197">
        <f t="shared" si="104"/>
        <v>46290</v>
      </c>
      <c r="L282" s="147">
        <f>IF(t&lt;Tvie,1-EXP((T0-t)*PertePVj)+'2025'!Pspv,1-EXP((T0-t)*PertePVj)+Pspv)</f>
        <v>6.6934563717351181E-2</v>
      </c>
      <c r="M282" s="844"/>
      <c r="N282" s="844"/>
      <c r="O282" s="48">
        <f>IF(t&lt;Tnet,'2025'!Resal+('2025'!Salim-'2025'!Resal)*(1-EXP(('2025'!Tnet-t)/('2025'!Tau_j))),Resal+(Salim-Resal)*(1-EXP((Tnet-t)/(Tau_j))))*Salcycl</f>
        <v>9.1479943926702778E-2</v>
      </c>
      <c r="P282" s="169">
        <f>(INDEX(Models!$BJ282:$BT282,,T282)*(1-R282)+INDEX(Models!$BJ282:$BT282,,T282+1)*R282-ERP_i)*Q282*Ramure*Pc/MaxiM</f>
        <v>6.033817028148205E-4</v>
      </c>
      <c r="Q282" s="305">
        <f t="shared" si="105"/>
        <v>0.7</v>
      </c>
      <c r="R282" s="177">
        <f t="shared" si="106"/>
        <v>0.17455905630967539</v>
      </c>
      <c r="S282" s="810">
        <f t="shared" si="107"/>
        <v>-1</v>
      </c>
      <c r="T282" s="176">
        <f t="shared" si="108"/>
        <v>5</v>
      </c>
      <c r="U282" s="251">
        <f t="shared" si="109"/>
        <v>-0.82544094369032461</v>
      </c>
      <c r="V282" s="383">
        <f t="shared" si="110"/>
        <v>36.128142898823739</v>
      </c>
      <c r="W282" s="402">
        <f t="shared" si="111"/>
        <v>30.212414287991759</v>
      </c>
      <c r="X282" s="157">
        <f t="shared" si="112"/>
        <v>46290</v>
      </c>
      <c r="Y282" s="385">
        <f t="shared" si="113"/>
        <v>28.362513624160936</v>
      </c>
      <c r="Z282" s="385">
        <f t="shared" si="114"/>
        <v>30.397132421020494</v>
      </c>
      <c r="AA282" s="386">
        <f t="shared" si="115"/>
        <v>35.534921424435616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0.14458422299710275</v>
      </c>
      <c r="AD282" s="231">
        <f>(INDEX(Models!$BJ282:$BT282,,AH282)*(1-AF282)+INDEX(Models!$BJ282:$BT282,,AH282+1)*AF282-ERP_i)*AE282*Ramure*Pc/MaxiM</f>
        <v>4.4535309331085581E-3</v>
      </c>
      <c r="AE282" s="305">
        <f t="shared" si="117"/>
        <v>0.7</v>
      </c>
      <c r="AF282" s="177">
        <f t="shared" si="118"/>
        <v>0.99454910940885943</v>
      </c>
      <c r="AG282" s="810">
        <f t="shared" si="124"/>
        <v>1</v>
      </c>
      <c r="AH282" s="176">
        <f t="shared" si="119"/>
        <v>7</v>
      </c>
      <c r="AI282" s="225">
        <f t="shared" si="120"/>
        <v>1.9945491094088594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26.88309333739182</v>
      </c>
      <c r="C283" s="840"/>
      <c r="D283" s="393">
        <f t="shared" si="102"/>
        <v>28.812254655913407</v>
      </c>
      <c r="E283" s="385">
        <f t="shared" si="100"/>
        <v>31.716110064473753</v>
      </c>
      <c r="F283" s="385">
        <f t="shared" si="103"/>
        <v>31.728587913188246</v>
      </c>
      <c r="G283" s="110">
        <f t="shared" si="101"/>
        <v>0.7516182173394701</v>
      </c>
      <c r="H283" s="414" t="b">
        <f>Wh_hp&gt;='2025'!Maxi_hp</f>
        <v>0</v>
      </c>
      <c r="I283" s="390">
        <f>IF(H283,Wh_hp,'2025'!Maxi_hp)</f>
        <v>36.254189031669213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6.6956277513174345E-2</v>
      </c>
      <c r="M283" s="844"/>
      <c r="N283" s="844"/>
      <c r="O283" s="48">
        <f>IF(t&lt;Tnet,'2025'!Resal+('2025'!Salim-'2025'!Resal)*(1-EXP(('2025'!Tnet-t)/('2025'!Tau_j))),Resal+(Salim-Resal)*(1-EXP((Tnet-t)/(Tau_j))))*Salcycl</f>
        <v>9.1557741559645148E-2</v>
      </c>
      <c r="P283" s="169">
        <f>(INDEX(Models!$BJ283:$BT283,,T283)*(1-R283)+INDEX(Models!$BJ283:$BT283,,T283+1)*R283-ERP_i)*Q283*Ramure*Pc/MaxiM</f>
        <v>6.093394819830975E-4</v>
      </c>
      <c r="Q283" s="305">
        <f t="shared" si="105"/>
        <v>0.7</v>
      </c>
      <c r="R283" s="177">
        <f t="shared" si="106"/>
        <v>0.17475296259797779</v>
      </c>
      <c r="S283" s="810">
        <f t="shared" si="107"/>
        <v>-1</v>
      </c>
      <c r="T283" s="176">
        <f t="shared" si="108"/>
        <v>5</v>
      </c>
      <c r="U283" s="251">
        <f t="shared" si="109"/>
        <v>-0.82524703740202221</v>
      </c>
      <c r="V283" s="383">
        <f t="shared" si="110"/>
        <v>35.759221598254769</v>
      </c>
      <c r="W283" s="402">
        <f t="shared" si="111"/>
        <v>26.88309333739182</v>
      </c>
      <c r="X283" s="157">
        <f t="shared" si="112"/>
        <v>46291</v>
      </c>
      <c r="Y283" s="385">
        <f t="shared" si="113"/>
        <v>25.250990699921655</v>
      </c>
      <c r="Z283" s="385">
        <f t="shared" si="114"/>
        <v>27.063030479022586</v>
      </c>
      <c r="AA283" s="386">
        <f t="shared" si="115"/>
        <v>31.637414409370681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0.14458779314763506</v>
      </c>
      <c r="AD283" s="231">
        <f>(INDEX(Models!$BJ283:$BT283,,AH283)*(1-AF283)+INDEX(Models!$BJ283:$BT283,,AH283+1)*AF283-ERP_i)*AE283*Ramure*Pc/MaxiM</f>
        <v>4.4523392499746907E-3</v>
      </c>
      <c r="AE283" s="305">
        <f t="shared" si="117"/>
        <v>0.7</v>
      </c>
      <c r="AF283" s="177">
        <f t="shared" si="118"/>
        <v>0.99474301569716173</v>
      </c>
      <c r="AG283" s="810">
        <f t="shared" si="124"/>
        <v>1</v>
      </c>
      <c r="AH283" s="176">
        <f t="shared" si="119"/>
        <v>7</v>
      </c>
      <c r="AI283" s="225">
        <f t="shared" si="120"/>
        <v>1.9947430156971617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16.130224740564863</v>
      </c>
      <c r="C284" s="840"/>
      <c r="D284" s="393">
        <f t="shared" si="102"/>
        <v>17.288150313259067</v>
      </c>
      <c r="E284" s="385">
        <f t="shared" si="100"/>
        <v>19.032147166080261</v>
      </c>
      <c r="F284" s="385">
        <f t="shared" si="103"/>
        <v>19.034749263458028</v>
      </c>
      <c r="G284" s="110">
        <f t="shared" si="101"/>
        <v>0.45554835315689313</v>
      </c>
      <c r="H284" s="414" t="b">
        <f>Wh_hp&gt;='2025'!Maxi_hp</f>
        <v>0</v>
      </c>
      <c r="I284" s="390">
        <f>IF(H284,Wh_hp,'2025'!Maxi_hp)</f>
        <v>33.919915372274694</v>
      </c>
      <c r="J284" s="85">
        <f>IF(H284,An,'2025'!An_max)</f>
        <v>2019</v>
      </c>
      <c r="K284" s="197">
        <f t="shared" si="104"/>
        <v>46292</v>
      </c>
      <c r="L284" s="147">
        <f>IF(t&lt;Tvie,1-EXP((T0-t)*PertePVj)+'2025'!Pspv,1-EXP((T0-t)*PertePVj)+Pspv)</f>
        <v>6.6977990803685827E-2</v>
      </c>
      <c r="M284" s="844"/>
      <c r="N284" s="844"/>
      <c r="O284" s="48">
        <f>IF(t&lt;Tnet,'2025'!Resal+('2025'!Salim-'2025'!Resal)*(1-EXP(('2025'!Tnet-t)/('2025'!Tau_j))),Resal+(Salim-Resal)*(1-EXP((Tnet-t)/(Tau_j))))*Salcycl</f>
        <v>9.1634266885525367E-2</v>
      </c>
      <c r="P284" s="169">
        <f>(INDEX(Models!$BJ284:$BT284,,T284)*(1-R284)+INDEX(Models!$BJ284:$BT284,,T284+1)*R284-ERP_i)*Q284*Ramure*Pc/MaxiM</f>
        <v>6.1432977368701121E-4</v>
      </c>
      <c r="Q284" s="305">
        <f t="shared" si="105"/>
        <v>0.7</v>
      </c>
      <c r="R284" s="177">
        <f t="shared" si="106"/>
        <v>0.17493924040523312</v>
      </c>
      <c r="S284" s="810">
        <f t="shared" si="107"/>
        <v>-1</v>
      </c>
      <c r="T284" s="176">
        <f t="shared" si="108"/>
        <v>5</v>
      </c>
      <c r="U284" s="251">
        <f t="shared" si="109"/>
        <v>-0.82506075959476688</v>
      </c>
      <c r="V284" s="383">
        <f t="shared" si="110"/>
        <v>35.391455901160981</v>
      </c>
      <c r="W284" s="402">
        <f t="shared" si="111"/>
        <v>16.130224740564863</v>
      </c>
      <c r="X284" s="157">
        <f t="shared" si="112"/>
        <v>46292</v>
      </c>
      <c r="Y284" s="385">
        <f t="shared" si="113"/>
        <v>15.176908753650967</v>
      </c>
      <c r="Z284" s="385">
        <f t="shared" si="114"/>
        <v>16.266399510472471</v>
      </c>
      <c r="AA284" s="386">
        <f t="shared" si="115"/>
        <v>19.01590010799892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0.1445895583123035</v>
      </c>
      <c r="AD284" s="231">
        <f>(INDEX(Models!$BJ284:$BT284,,AH284)*(1-AF284)+INDEX(Models!$BJ284:$BT284,,AH284+1)*AF284-ERP_i)*AE284*Ramure*Pc/MaxiM</f>
        <v>4.4501014859467097E-3</v>
      </c>
      <c r="AE284" s="305">
        <f t="shared" si="117"/>
        <v>0.7</v>
      </c>
      <c r="AF284" s="177">
        <f t="shared" si="118"/>
        <v>0.99492929350441717</v>
      </c>
      <c r="AG284" s="810">
        <f t="shared" si="124"/>
        <v>1</v>
      </c>
      <c r="AH284" s="176">
        <f t="shared" si="119"/>
        <v>7</v>
      </c>
      <c r="AI284" s="225">
        <f t="shared" si="120"/>
        <v>1.9949292935044172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18.206020154814912</v>
      </c>
      <c r="C285" s="840"/>
      <c r="D285" s="393">
        <f t="shared" si="102"/>
        <v>19.51341304482597</v>
      </c>
      <c r="E285" s="385">
        <f t="shared" si="100"/>
        <v>21.483669373843142</v>
      </c>
      <c r="F285" s="385">
        <f t="shared" si="103"/>
        <v>21.487841012154185</v>
      </c>
      <c r="G285" s="110">
        <f t="shared" si="101"/>
        <v>0.51956874670767106</v>
      </c>
      <c r="H285" s="414" t="b">
        <f>Wh_hp&gt;='2025'!Maxi_hp</f>
        <v>0</v>
      </c>
      <c r="I285" s="390">
        <f>IF(H285,Wh_hp,'2025'!Maxi_hp)</f>
        <v>35.820962356484351</v>
      </c>
      <c r="J285" s="85">
        <f>IF(H285,An,'2025'!An_max)</f>
        <v>2019</v>
      </c>
      <c r="K285" s="197">
        <f t="shared" si="104"/>
        <v>46293</v>
      </c>
      <c r="L285" s="147">
        <f>IF(t&lt;Tvie,1-EXP((T0-t)*PertePVj)+'2025'!Pspv,1-EXP((T0-t)*PertePVj)+Pspv)</f>
        <v>6.6999703588897175E-2</v>
      </c>
      <c r="M285" s="844"/>
      <c r="N285" s="844"/>
      <c r="O285" s="48">
        <f>IF(t&lt;Tnet,'2025'!Resal+('2025'!Salim-'2025'!Resal)*(1-EXP(('2025'!Tnet-t)/('2025'!Tau_j))),Resal+(Salim-Resal)*(1-EXP((Tnet-t)/(Tau_j))))*Salcycl</f>
        <v>9.1709488483191881E-2</v>
      </c>
      <c r="P285" s="169">
        <f>(INDEX(Models!$BJ285:$BT285,,T285)*(1-R285)+INDEX(Models!$BJ285:$BT285,,T285+1)*R285-ERP_i)*Q285*Ramure*Pc/MaxiM</f>
        <v>6.1830879244337354E-4</v>
      </c>
      <c r="Q285" s="305">
        <f t="shared" si="105"/>
        <v>0.7</v>
      </c>
      <c r="R285" s="177">
        <f t="shared" si="106"/>
        <v>0.17511818300466242</v>
      </c>
      <c r="S285" s="810">
        <f t="shared" si="107"/>
        <v>-1</v>
      </c>
      <c r="T285" s="176">
        <f t="shared" si="108"/>
        <v>5</v>
      </c>
      <c r="U285" s="251">
        <f t="shared" si="109"/>
        <v>-0.82488181699533758</v>
      </c>
      <c r="V285" s="383">
        <f t="shared" si="110"/>
        <v>35.025771537616862</v>
      </c>
      <c r="W285" s="402">
        <f t="shared" si="111"/>
        <v>18.206020154814912</v>
      </c>
      <c r="X285" s="157">
        <f t="shared" si="112"/>
        <v>46293</v>
      </c>
      <c r="Y285" s="385">
        <f t="shared" si="113"/>
        <v>17.125465101271399</v>
      </c>
      <c r="Z285" s="385">
        <f t="shared" si="114"/>
        <v>18.35526222997629</v>
      </c>
      <c r="AA285" s="386">
        <f t="shared" si="115"/>
        <v>21.457840006964254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0.14458947293767704</v>
      </c>
      <c r="AD285" s="231">
        <f>(INDEX(Models!$BJ285:$BT285,,AH285)*(1-AF285)+INDEX(Models!$BJ285:$BT285,,AH285+1)*AF285-ERP_i)*AE285*Ramure*Pc/MaxiM</f>
        <v>4.4466667309029225E-3</v>
      </c>
      <c r="AE285" s="305">
        <f t="shared" si="117"/>
        <v>0.7</v>
      </c>
      <c r="AF285" s="177">
        <f t="shared" si="118"/>
        <v>0.99510823610384636</v>
      </c>
      <c r="AG285" s="810">
        <f t="shared" si="124"/>
        <v>1</v>
      </c>
      <c r="AH285" s="176">
        <f t="shared" si="119"/>
        <v>7</v>
      </c>
      <c r="AI285" s="225">
        <f t="shared" si="120"/>
        <v>1.9951082361038464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21.472178596433665</v>
      </c>
      <c r="C286" s="840"/>
      <c r="D286" s="393">
        <f t="shared" si="102"/>
        <v>23.014653242474225</v>
      </c>
      <c r="E286" s="385">
        <f t="shared" si="100"/>
        <v>25.340488861425083</v>
      </c>
      <c r="F286" s="385">
        <f t="shared" si="103"/>
        <v>25.347675093065732</v>
      </c>
      <c r="G286" s="110">
        <f t="shared" si="101"/>
        <v>0.61924434705030384</v>
      </c>
      <c r="H286" s="414" t="b">
        <f>Wh_hp&gt;='2025'!Maxi_hp</f>
        <v>0</v>
      </c>
      <c r="I286" s="390">
        <f>IF(H286,Wh_hp,'2025'!Maxi_hp)</f>
        <v>39.441971628235159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6.7021415868820378E-2</v>
      </c>
      <c r="M286" s="844"/>
      <c r="N286" s="844"/>
      <c r="O286" s="48">
        <f>IF(t&lt;Tnet,'2025'!Resal+('2025'!Salim-'2025'!Resal)*(1-EXP(('2025'!Tnet-t)/('2025'!Tau_j))),Resal+(Salim-Resal)*(1-EXP((Tnet-t)/(Tau_j))))*Salcycl</f>
        <v>9.1783376069409436E-2</v>
      </c>
      <c r="P286" s="169">
        <f>(INDEX(Models!$BJ286:$BT286,,T286)*(1-R286)+INDEX(Models!$BJ286:$BT286,,T286+1)*R286-ERP_i)*Q286*Ramure*Pc/MaxiM</f>
        <v>6.2123128504148247E-4</v>
      </c>
      <c r="Q286" s="305">
        <f t="shared" si="105"/>
        <v>0.7</v>
      </c>
      <c r="R286" s="177">
        <f t="shared" si="106"/>
        <v>0.17529007292939069</v>
      </c>
      <c r="S286" s="810">
        <f t="shared" si="107"/>
        <v>-1</v>
      </c>
      <c r="T286" s="176">
        <f t="shared" si="108"/>
        <v>5</v>
      </c>
      <c r="U286" s="251">
        <f t="shared" si="109"/>
        <v>-0.82470992707060931</v>
      </c>
      <c r="V286" s="383">
        <f t="shared" si="110"/>
        <v>34.663093746652976</v>
      </c>
      <c r="W286" s="402">
        <f t="shared" si="111"/>
        <v>21.472178596433665</v>
      </c>
      <c r="X286" s="157">
        <f t="shared" si="112"/>
        <v>46294</v>
      </c>
      <c r="Y286" s="385">
        <f t="shared" si="113"/>
        <v>20.188504436042972</v>
      </c>
      <c r="Z286" s="385">
        <f t="shared" si="114"/>
        <v>21.638765111466274</v>
      </c>
      <c r="AA286" s="386">
        <f t="shared" si="115"/>
        <v>25.296292659340541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0.14458749339792051</v>
      </c>
      <c r="AD286" s="231">
        <f>(INDEX(Models!$BJ286:$BT286,,AH286)*(1-AF286)+INDEX(Models!$BJ286:$BT286,,AH286+1)*AF286-ERP_i)*AE286*Ramure*Pc/MaxiM</f>
        <v>4.4418795451981732E-3</v>
      </c>
      <c r="AE286" s="305">
        <f t="shared" si="117"/>
        <v>0.7</v>
      </c>
      <c r="AF286" s="177">
        <f t="shared" si="118"/>
        <v>0.99528012602857463</v>
      </c>
      <c r="AG286" s="810">
        <f t="shared" si="124"/>
        <v>1</v>
      </c>
      <c r="AH286" s="176">
        <f t="shared" si="119"/>
        <v>7</v>
      </c>
      <c r="AI286" s="225">
        <f t="shared" si="120"/>
        <v>1.9952801260285746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24.557956114888931</v>
      </c>
      <c r="C287" s="840"/>
      <c r="D287" s="393">
        <f t="shared" si="102"/>
        <v>26.322713131271108</v>
      </c>
      <c r="E287" s="385">
        <f t="shared" si="100"/>
        <v>28.985172235279119</v>
      </c>
      <c r="F287" s="385">
        <f t="shared" si="103"/>
        <v>28.99590557818782</v>
      </c>
      <c r="G287" s="110">
        <f t="shared" si="101"/>
        <v>0.71570356127669998</v>
      </c>
      <c r="H287" s="414" t="b">
        <f>Wh_hp&gt;='2025'!Maxi_hp</f>
        <v>0</v>
      </c>
      <c r="I287" s="390">
        <f>IF(H287,Wh_hp,'2025'!Maxi_hp)</f>
        <v>33.387052918801814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6.7043127643467093E-2</v>
      </c>
      <c r="M287" s="844"/>
      <c r="N287" s="844"/>
      <c r="O287" s="48">
        <f>IF(t&lt;Tnet,'2025'!Resal+('2025'!Salim-'2025'!Resal)*(1-EXP(('2025'!Tnet-t)/('2025'!Tau_j))),Resal+(Salim-Resal)*(1-EXP((Tnet-t)/(Tau_j))))*Salcycl</f>
        <v>9.1855900748018221E-2</v>
      </c>
      <c r="P287" s="169">
        <f>(INDEX(Models!$BJ287:$BT287,,T287)*(1-R287)+INDEX(Models!$BJ287:$BT287,,T287+1)*R287-ERP_i)*Q287*Ramure*Pc/MaxiM</f>
        <v>6.2305080609482684E-4</v>
      </c>
      <c r="Q287" s="305">
        <f t="shared" si="105"/>
        <v>0.7</v>
      </c>
      <c r="R287" s="177">
        <f t="shared" si="106"/>
        <v>0.17545518232363788</v>
      </c>
      <c r="S287" s="810">
        <f t="shared" si="107"/>
        <v>-1</v>
      </c>
      <c r="T287" s="176">
        <f t="shared" si="108"/>
        <v>5</v>
      </c>
      <c r="U287" s="251">
        <f t="shared" si="109"/>
        <v>-0.82454481767636212</v>
      </c>
      <c r="V287" s="383">
        <f t="shared" si="110"/>
        <v>34.304347284692597</v>
      </c>
      <c r="W287" s="402">
        <f t="shared" si="111"/>
        <v>24.557956114888931</v>
      </c>
      <c r="X287" s="157">
        <f t="shared" si="112"/>
        <v>46295</v>
      </c>
      <c r="Y287" s="385">
        <f t="shared" si="113"/>
        <v>23.079682701701628</v>
      </c>
      <c r="Z287" s="385">
        <f t="shared" si="114"/>
        <v>24.738209648861069</v>
      </c>
      <c r="AA287" s="386">
        <f t="shared" si="115"/>
        <v>28.919493504658696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0.14458357837850991</v>
      </c>
      <c r="AD287" s="231">
        <f>(INDEX(Models!$BJ287:$BT287,,AH287)*(1-AF287)+INDEX(Models!$BJ287:$BT287,,AH287+1)*AF287-ERP_i)*AE287*Ramure*Pc/MaxiM</f>
        <v>4.4355802672723516E-3</v>
      </c>
      <c r="AE287" s="305">
        <f t="shared" si="117"/>
        <v>0.7</v>
      </c>
      <c r="AF287" s="177">
        <f t="shared" si="118"/>
        <v>0.99544523542282182</v>
      </c>
      <c r="AG287" s="810">
        <f t="shared" si="124"/>
        <v>1</v>
      </c>
      <c r="AH287" s="176">
        <f t="shared" si="119"/>
        <v>7</v>
      </c>
      <c r="AI287" s="225">
        <f t="shared" si="120"/>
        <v>1.9954452354228218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30.856320324268044</v>
      </c>
      <c r="C288" s="840"/>
      <c r="D288" s="393">
        <f t="shared" si="102"/>
        <v>33.074453200275059</v>
      </c>
      <c r="E288" s="385">
        <f t="shared" si="100"/>
        <v>36.422682410733195</v>
      </c>
      <c r="F288" s="385">
        <f t="shared" si="103"/>
        <v>36.442452971158211</v>
      </c>
      <c r="G288" s="110">
        <f t="shared" si="101"/>
        <v>0.90878935091014368</v>
      </c>
      <c r="H288" s="414" t="b">
        <f>Wh_hp&gt;='2025'!Maxi_hp</f>
        <v>0</v>
      </c>
      <c r="I288" s="390">
        <f>IF(H288,Wh_hp,'2025'!Maxi_hp)</f>
        <v>39.381811318036526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6.706483891284909E-2</v>
      </c>
      <c r="M288" s="844"/>
      <c r="N288" s="844"/>
      <c r="O288" s="48">
        <f>IF(t&lt;Tnet,'2025'!Resal+('2025'!Salim-'2025'!Resal)*(1-EXP(('2025'!Tnet-t)/('2025'!Tau_j))),Resal+(Salim-Resal)*(1-EXP((Tnet-t)/(Tau_j))))*Salcycl</f>
        <v>9.1927035266119339E-2</v>
      </c>
      <c r="P288" s="169">
        <f>(INDEX(Models!$BJ288:$BT288,,T288)*(1-R288)+INDEX(Models!$BJ288:$BT288,,T288+1)*R288-ERP_i)*Q288*Ramure*Pc/MaxiM</f>
        <v>6.2372003620716219E-4</v>
      </c>
      <c r="Q288" s="305">
        <f t="shared" si="105"/>
        <v>0.7</v>
      </c>
      <c r="R288" s="177">
        <f t="shared" si="106"/>
        <v>0.17561377328583649</v>
      </c>
      <c r="S288" s="810">
        <f t="shared" si="107"/>
        <v>-1</v>
      </c>
      <c r="T288" s="176">
        <f t="shared" si="108"/>
        <v>5</v>
      </c>
      <c r="U288" s="251">
        <f t="shared" si="109"/>
        <v>-0.82438622671416351</v>
      </c>
      <c r="V288" s="383">
        <f t="shared" si="110"/>
        <v>33.950456428973673</v>
      </c>
      <c r="W288" s="402">
        <f t="shared" si="111"/>
        <v>30.856320324268044</v>
      </c>
      <c r="X288" s="157">
        <f t="shared" si="112"/>
        <v>46296</v>
      </c>
      <c r="Y288" s="385">
        <f t="shared" si="113"/>
        <v>28.9710258619127</v>
      </c>
      <c r="Z288" s="385">
        <f t="shared" si="114"/>
        <v>31.05363273922779</v>
      </c>
      <c r="AA288" s="386">
        <f t="shared" si="115"/>
        <v>36.302107566842658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0.14457768926916739</v>
      </c>
      <c r="AD288" s="231">
        <f>(INDEX(Models!$BJ288:$BT288,,AH288)*(1-AF288)+INDEX(Models!$BJ288:$BT288,,AH288+1)*AF288-ERP_i)*AE288*Ramure*Pc/MaxiM</f>
        <v>4.4276054284460723E-3</v>
      </c>
      <c r="AE288" s="305">
        <f t="shared" si="117"/>
        <v>0.7</v>
      </c>
      <c r="AF288" s="177">
        <f t="shared" si="118"/>
        <v>0.99560382638502043</v>
      </c>
      <c r="AG288" s="810">
        <f t="shared" si="124"/>
        <v>1</v>
      </c>
      <c r="AH288" s="176">
        <f t="shared" si="119"/>
        <v>7</v>
      </c>
      <c r="AI288" s="225">
        <f t="shared" si="120"/>
        <v>1.9956038263850204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32.509688333250232</v>
      </c>
      <c r="C289" s="840"/>
      <c r="D289" s="393">
        <f t="shared" si="102"/>
        <v>34.847485929154232</v>
      </c>
      <c r="E289" s="385">
        <f t="shared" si="100"/>
        <v>38.378151282206431</v>
      </c>
      <c r="F289" s="385">
        <f t="shared" si="103"/>
        <v>38.40097526874515</v>
      </c>
      <c r="G289" s="110">
        <f t="shared" si="101"/>
        <v>0.96753298777000729</v>
      </c>
      <c r="H289" s="414" t="b">
        <f>Wh_hp&gt;='2025'!Maxi_hp</f>
        <v>0</v>
      </c>
      <c r="I289" s="390">
        <f>IF(H289,Wh_hp,'2025'!Maxi_hp)</f>
        <v>38.401584312241624</v>
      </c>
      <c r="J289" s="85">
        <f>IF(H289,An,'2025'!An_max)</f>
        <v>2025</v>
      </c>
      <c r="K289" s="197">
        <f t="shared" si="104"/>
        <v>46297</v>
      </c>
      <c r="L289" s="147">
        <f>IF(t&lt;Tvie,1-EXP((T0-t)*PertePVj)+'2025'!Pspv,1-EXP((T0-t)*PertePVj)+Pspv)</f>
        <v>6.7086549676978136E-2</v>
      </c>
      <c r="M289" s="844"/>
      <c r="N289" s="844"/>
      <c r="O289" s="48">
        <f>IF(t&lt;Tnet,'2025'!Resal+('2025'!Salim-'2025'!Resal)*(1-EXP(('2025'!Tnet-t)/('2025'!Tau_j))),Resal+(Salim-Resal)*(1-EXP((Tnet-t)/(Tau_j))))*Salcycl</f>
        <v>9.1996754275372003E-2</v>
      </c>
      <c r="P289" s="169">
        <f>(INDEX(Models!$BJ289:$BT289,,T289)*(1-R289)+INDEX(Models!$BJ289:$BT289,,T289+1)*R289-ERP_i)*Q289*Ramure*Pc/MaxiM</f>
        <v>6.2324150063209618E-4</v>
      </c>
      <c r="Q289" s="305">
        <f t="shared" si="105"/>
        <v>0.7</v>
      </c>
      <c r="R289" s="177">
        <f t="shared" si="106"/>
        <v>0.17576609820356159</v>
      </c>
      <c r="S289" s="810">
        <f t="shared" si="107"/>
        <v>-1</v>
      </c>
      <c r="T289" s="176">
        <f t="shared" si="108"/>
        <v>5</v>
      </c>
      <c r="U289" s="251">
        <f t="shared" si="109"/>
        <v>-0.82423390179643841</v>
      </c>
      <c r="V289" s="383">
        <f t="shared" si="110"/>
        <v>33.599628377215431</v>
      </c>
      <c r="W289" s="402">
        <f t="shared" si="111"/>
        <v>32.509688333250232</v>
      </c>
      <c r="X289" s="157">
        <f t="shared" si="112"/>
        <v>46297</v>
      </c>
      <c r="Y289" s="385">
        <f t="shared" si="113"/>
        <v>30.516482232422749</v>
      </c>
      <c r="Z289" s="385">
        <f t="shared" si="114"/>
        <v>32.710946789175779</v>
      </c>
      <c r="AA289" s="386">
        <f t="shared" si="115"/>
        <v>38.239176531657812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0.14456979056296551</v>
      </c>
      <c r="AD289" s="231">
        <f>(INDEX(Models!$BJ289:$BT289,,AH289)*(1-AF289)+INDEX(Models!$BJ289:$BT289,,AH289+1)*AF289-ERP_i)*AE289*Ramure*Pc/MaxiM</f>
        <v>4.4181452495873179E-3</v>
      </c>
      <c r="AE289" s="305">
        <f t="shared" si="117"/>
        <v>0.7</v>
      </c>
      <c r="AF289" s="177">
        <f t="shared" si="118"/>
        <v>0.99575615130274553</v>
      </c>
      <c r="AG289" s="810">
        <f t="shared" si="124"/>
        <v>1</v>
      </c>
      <c r="AH289" s="176">
        <f t="shared" si="119"/>
        <v>7</v>
      </c>
      <c r="AI289" s="225">
        <f t="shared" si="120"/>
        <v>1.9957561513027455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31.901194761946019</v>
      </c>
      <c r="C290" s="840"/>
      <c r="D290" s="393">
        <f t="shared" si="102"/>
        <v>34.196030891808398</v>
      </c>
      <c r="E290" s="385">
        <f t="shared" si="100"/>
        <v>37.663524585823176</v>
      </c>
      <c r="F290" s="385">
        <f t="shared" si="103"/>
        <v>37.685669049959394</v>
      </c>
      <c r="G290" s="110">
        <f t="shared" si="101"/>
        <v>0.95941397493036895</v>
      </c>
      <c r="H290" s="414" t="b">
        <f>Wh_hp&gt;='2025'!Maxi_hp</f>
        <v>0</v>
      </c>
      <c r="I290" s="390">
        <f>IF(H290,Wh_hp,'2025'!Maxi_hp)</f>
        <v>37.686415036391168</v>
      </c>
      <c r="J290" s="85">
        <f>IF(H290,An,'2025'!An_max)</f>
        <v>2025</v>
      </c>
      <c r="K290" s="197">
        <f t="shared" si="104"/>
        <v>46298</v>
      </c>
      <c r="L290" s="147">
        <f>IF(t&lt;Tvie,1-EXP((T0-t)*PertePVj)+'2025'!Pspv,1-EXP((T0-t)*PertePVj)+Pspv)</f>
        <v>6.7108259935865999E-2</v>
      </c>
      <c r="M290" s="844"/>
      <c r="N290" s="844"/>
      <c r="O290" s="48">
        <f>IF(t&lt;Tnet,'2025'!Resal+('2025'!Salim-'2025'!Resal)*(1-EXP(('2025'!Tnet-t)/('2025'!Tau_j))),Resal+(Salim-Resal)*(1-EXP((Tnet-t)/(Tau_j))))*Salcycl</f>
        <v>9.2065034596363005E-2</v>
      </c>
      <c r="P290" s="169">
        <f>(INDEX(Models!$BJ290:$BT290,,T290)*(1-R290)+INDEX(Models!$BJ290:$BT290,,T290+1)*R290-ERP_i)*Q290*Ramure*Pc/MaxiM</f>
        <v>6.2374344265360719E-4</v>
      </c>
      <c r="Q290" s="305">
        <f t="shared" si="105"/>
        <v>0.7</v>
      </c>
      <c r="R290" s="177">
        <f t="shared" si="106"/>
        <v>0.17591240008019193</v>
      </c>
      <c r="S290" s="810">
        <f t="shared" si="107"/>
        <v>-1</v>
      </c>
      <c r="T290" s="176">
        <f t="shared" si="108"/>
        <v>5</v>
      </c>
      <c r="U290" s="251">
        <f t="shared" si="109"/>
        <v>-0.82408759991980807</v>
      </c>
      <c r="V290" s="383">
        <f t="shared" si="110"/>
        <v>33.249506686092609</v>
      </c>
      <c r="W290" s="402">
        <f t="shared" si="111"/>
        <v>31.901194761946019</v>
      </c>
      <c r="X290" s="157">
        <f t="shared" si="112"/>
        <v>46298</v>
      </c>
      <c r="Y290" s="385">
        <f t="shared" si="113"/>
        <v>29.949168769740073</v>
      </c>
      <c r="Z290" s="385">
        <f t="shared" si="114"/>
        <v>32.103584460594689</v>
      </c>
      <c r="AA290" s="386">
        <f t="shared" si="115"/>
        <v>37.528732396171925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0.14455985025837478</v>
      </c>
      <c r="AD290" s="231">
        <f>(INDEX(Models!$BJ290:$BT290,,AH290)*(1-AF290)+INDEX(Models!$BJ290:$BT290,,AH290+1)*AF290-ERP_i)*AE290*Ramure*Pc/MaxiM</f>
        <v>4.4204370044713887E-3</v>
      </c>
      <c r="AE290" s="305">
        <f t="shared" si="117"/>
        <v>0.7</v>
      </c>
      <c r="AF290" s="177">
        <f t="shared" si="118"/>
        <v>0.99590245317937587</v>
      </c>
      <c r="AG290" s="810">
        <f t="shared" si="124"/>
        <v>1</v>
      </c>
      <c r="AH290" s="176">
        <f t="shared" si="119"/>
        <v>7</v>
      </c>
      <c r="AI290" s="225">
        <f t="shared" si="120"/>
        <v>1.9959024531793759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32.919630012704609</v>
      </c>
      <c r="C291" s="840"/>
      <c r="D291" s="393">
        <f t="shared" si="102"/>
        <v>35.288549254549828</v>
      </c>
      <c r="E291" s="385">
        <f t="shared" si="100"/>
        <v>38.869685501917111</v>
      </c>
      <c r="F291" s="385">
        <f t="shared" si="103"/>
        <v>38.894030832928976</v>
      </c>
      <c r="G291" s="110">
        <f t="shared" si="101"/>
        <v>1.0005889667390384</v>
      </c>
      <c r="H291" s="414" t="b">
        <f>Wh_hp&gt;='2025'!Maxi_hp</f>
        <v>1</v>
      </c>
      <c r="I291" s="390">
        <f>IF(H291,Wh_hp,'2025'!Maxi_hp)</f>
        <v>38.894030832928976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6.7129969689524449E-2</v>
      </c>
      <c r="M291" s="844"/>
      <c r="N291" s="844"/>
      <c r="O291" s="48">
        <f>IF(t&lt;Tnet,'2025'!Resal+('2025'!Salim-'2025'!Resal)*(1-EXP(('2025'!Tnet-t)/('2025'!Tau_j))),Resal+(Salim-Resal)*(1-EXP((Tnet-t)/(Tau_j))))*Salcycl</f>
        <v>9.2131855483900377E-2</v>
      </c>
      <c r="P291" s="169">
        <f>(INDEX(Models!$BJ291:$BT291,,T291)*(1-R291)+INDEX(Models!$BJ291:$BT291,,T291+1)*R291-ERP_i)*Q291*Ramure*Pc/MaxiM</f>
        <v>6.2594003476889107E-4</v>
      </c>
      <c r="Q291" s="305">
        <f t="shared" si="105"/>
        <v>0.7</v>
      </c>
      <c r="R291" s="177">
        <f t="shared" si="106"/>
        <v>0.17605291285325642</v>
      </c>
      <c r="S291" s="810">
        <f t="shared" si="107"/>
        <v>-1</v>
      </c>
      <c r="T291" s="176">
        <f t="shared" si="108"/>
        <v>5</v>
      </c>
      <c r="U291" s="251">
        <f t="shared" si="109"/>
        <v>-0.82394708714674358</v>
      </c>
      <c r="V291" s="383">
        <f t="shared" si="110"/>
        <v>32.900252858065251</v>
      </c>
      <c r="W291" s="402">
        <f t="shared" si="111"/>
        <v>32.919630012704609</v>
      </c>
      <c r="X291" s="157">
        <f t="shared" si="112"/>
        <v>46299</v>
      </c>
      <c r="Y291" s="385">
        <f t="shared" si="113"/>
        <v>30.90060051268166</v>
      </c>
      <c r="Z291" s="385">
        <f t="shared" si="114"/>
        <v>33.124229001544187</v>
      </c>
      <c r="AA291" s="386">
        <f t="shared" si="115"/>
        <v>38.721310858161566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0.14454784026087913</v>
      </c>
      <c r="AD291" s="231">
        <f>(INDEX(Models!$BJ291:$BT291,,AH291)*(1-AF291)+INDEX(Models!$BJ291:$BT291,,AH291+1)*AF291-ERP_i)*AE291*Ramure*Pc/MaxiM</f>
        <v>4.4407836130263218E-3</v>
      </c>
      <c r="AE291" s="305">
        <f t="shared" si="117"/>
        <v>0.7</v>
      </c>
      <c r="AF291" s="177">
        <f t="shared" si="118"/>
        <v>0.99604296595244035</v>
      </c>
      <c r="AG291" s="810">
        <f t="shared" si="124"/>
        <v>1</v>
      </c>
      <c r="AH291" s="176">
        <f t="shared" si="119"/>
        <v>7</v>
      </c>
      <c r="AI291" s="225">
        <f t="shared" si="120"/>
        <v>1.9960429659524404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33.884639730971628</v>
      </c>
      <c r="C292" s="840"/>
      <c r="D292" s="393">
        <f t="shared" si="102"/>
        <v>36.323847045567319</v>
      </c>
      <c r="E292" s="385">
        <f t="shared" si="100"/>
        <v>40.012926817578453</v>
      </c>
      <c r="F292" s="385">
        <f t="shared" si="103"/>
        <v>40.03814569684679</v>
      </c>
      <c r="G292" s="110">
        <f t="shared" si="101"/>
        <v>1.0409371616866427</v>
      </c>
      <c r="H292" s="414" t="b">
        <f>Wh_hp&gt;='2025'!Maxi_hp</f>
        <v>1</v>
      </c>
      <c r="I292" s="390">
        <f>IF(H292,Wh_hp,'2025'!Maxi_hp)</f>
        <v>40.03814569684679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6.7151678937965142E-2</v>
      </c>
      <c r="M292" s="844"/>
      <c r="N292" s="844"/>
      <c r="O292" s="48">
        <f>IF(t&lt;Tnet,'2025'!Resal+('2025'!Salim-'2025'!Resal)*(1-EXP(('2025'!Tnet-t)/('2025'!Tau_j))),Resal+(Salim-Resal)*(1-EXP((Tnet-t)/(Tau_j))))*Salcycl</f>
        <v>9.2197198890995605E-2</v>
      </c>
      <c r="P292" s="169">
        <f>(INDEX(Models!$BJ292:$BT292,,T292)*(1-R292)+INDEX(Models!$BJ292:$BT292,,T292+1)*R292-ERP_i)*Q292*Ramure*Pc/MaxiM</f>
        <v>6.2987130970760879E-4</v>
      </c>
      <c r="Q292" s="305">
        <f t="shared" si="105"/>
        <v>0.7</v>
      </c>
      <c r="R292" s="177">
        <f t="shared" si="106"/>
        <v>0.17618786170444167</v>
      </c>
      <c r="S292" s="810">
        <f t="shared" si="107"/>
        <v>-1</v>
      </c>
      <c r="T292" s="176">
        <f t="shared" si="108"/>
        <v>5</v>
      </c>
      <c r="U292" s="251">
        <f t="shared" si="109"/>
        <v>-0.82381213829555833</v>
      </c>
      <c r="V292" s="383">
        <f t="shared" si="110"/>
        <v>32.552051149819604</v>
      </c>
      <c r="W292" s="402">
        <f t="shared" si="111"/>
        <v>33.884639730971628</v>
      </c>
      <c r="X292" s="157">
        <f t="shared" si="112"/>
        <v>46300</v>
      </c>
      <c r="Y292" s="385">
        <f t="shared" si="113"/>
        <v>31.808122645814834</v>
      </c>
      <c r="Z292" s="385">
        <f t="shared" si="114"/>
        <v>34.097850559029496</v>
      </c>
      <c r="AA292" s="386">
        <f t="shared" si="115"/>
        <v>39.858790492462965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0.14453373678066897</v>
      </c>
      <c r="AD292" s="231">
        <f>(INDEX(Models!$BJ292:$BT292,,AH292)*(1-AF292)+INDEX(Models!$BJ292:$BT292,,AH292+1)*AF292-ERP_i)*AE292*Ramure*Pc/MaxiM</f>
        <v>4.4796081652189778E-3</v>
      </c>
      <c r="AE292" s="305">
        <f t="shared" si="117"/>
        <v>0.7</v>
      </c>
      <c r="AF292" s="177">
        <f t="shared" si="118"/>
        <v>0.99617791480362561</v>
      </c>
      <c r="AG292" s="810">
        <f t="shared" si="124"/>
        <v>1</v>
      </c>
      <c r="AH292" s="176">
        <f t="shared" si="119"/>
        <v>7</v>
      </c>
      <c r="AI292" s="225">
        <f t="shared" si="120"/>
        <v>1.9961779148036256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10.615572469543441</v>
      </c>
      <c r="C293" s="840"/>
      <c r="D293" s="393">
        <f t="shared" si="102"/>
        <v>11.38000602615258</v>
      </c>
      <c r="E293" s="385">
        <f t="shared" si="100"/>
        <v>12.536650567608682</v>
      </c>
      <c r="F293" s="385">
        <f t="shared" si="103"/>
        <v>12.536987784270487</v>
      </c>
      <c r="G293" s="110">
        <f t="shared" si="101"/>
        <v>0.32942346197699662</v>
      </c>
      <c r="H293" s="414" t="b">
        <f>Wh_hp&gt;='2025'!Maxi_hp</f>
        <v>0</v>
      </c>
      <c r="I293" s="390">
        <f>IF(H293,Wh_hp,'2025'!Maxi_hp)</f>
        <v>33.540700247739295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6.7173387681199959E-2</v>
      </c>
      <c r="M293" s="844"/>
      <c r="N293" s="844"/>
      <c r="O293" s="48">
        <f>IF(t&lt;Tnet,'2025'!Resal+('2025'!Salim-'2025'!Resal)*(1-EXP(('2025'!Tnet-t)/('2025'!Tau_j))),Resal+(Salim-Resal)*(1-EXP((Tnet-t)/(Tau_j))))*Salcycl</f>
        <v>9.2261049729228273E-2</v>
      </c>
      <c r="P293" s="169">
        <f>(INDEX(Models!$BJ293:$BT293,,T293)*(1-R293)+INDEX(Models!$BJ293:$BT293,,T293+1)*R293-ERP_i)*Q293*Ramure*Pc/MaxiM</f>
        <v>6.355777039162969E-4</v>
      </c>
      <c r="Q293" s="305">
        <f t="shared" si="105"/>
        <v>0.7</v>
      </c>
      <c r="R293" s="177">
        <f t="shared" si="106"/>
        <v>0.17631746336127296</v>
      </c>
      <c r="S293" s="810">
        <f t="shared" si="107"/>
        <v>-1</v>
      </c>
      <c r="T293" s="176">
        <f t="shared" si="108"/>
        <v>5</v>
      </c>
      <c r="U293" s="251">
        <f t="shared" si="109"/>
        <v>-0.82368253663872704</v>
      </c>
      <c r="V293" s="383">
        <f t="shared" si="110"/>
        <v>32.205085654259847</v>
      </c>
      <c r="W293" s="402">
        <f t="shared" si="111"/>
        <v>10.615572469543441</v>
      </c>
      <c r="X293" s="157">
        <f t="shared" si="112"/>
        <v>46301</v>
      </c>
      <c r="Y293" s="385">
        <f t="shared" si="113"/>
        <v>10.002806045925571</v>
      </c>
      <c r="Z293" s="385">
        <f t="shared" si="114"/>
        <v>10.72311393546204</v>
      </c>
      <c r="AA293" s="386">
        <f t="shared" si="115"/>
        <v>12.534580421240703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0.14451752072283239</v>
      </c>
      <c r="AD293" s="231">
        <f>(INDEX(Models!$BJ293:$BT293,,AH293)*(1-AF293)+INDEX(Models!$BJ293:$BT293,,AH293+1)*AF293-ERP_i)*AE293*Ramure*Pc/MaxiM</f>
        <v>4.5373388692414671E-3</v>
      </c>
      <c r="AE293" s="305">
        <f t="shared" si="117"/>
        <v>0.7</v>
      </c>
      <c r="AF293" s="177">
        <f t="shared" si="118"/>
        <v>0.9963075164604569</v>
      </c>
      <c r="AG293" s="810">
        <f t="shared" si="124"/>
        <v>1</v>
      </c>
      <c r="AH293" s="176">
        <f t="shared" si="119"/>
        <v>7</v>
      </c>
      <c r="AI293" s="225">
        <f t="shared" si="120"/>
        <v>1.9963075164604569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23.66152069871254</v>
      </c>
      <c r="C294" s="840"/>
      <c r="D294" s="393">
        <f t="shared" si="102"/>
        <v>25.365990889627653</v>
      </c>
      <c r="E294" s="385">
        <f t="shared" si="100"/>
        <v>27.946066673179317</v>
      </c>
      <c r="F294" s="385">
        <f t="shared" si="103"/>
        <v>27.957436924620691</v>
      </c>
      <c r="G294" s="110">
        <f t="shared" si="101"/>
        <v>0.74250678403568038</v>
      </c>
      <c r="H294" s="414" t="b">
        <f>Wh_hp&gt;='2025'!Maxi_hp</f>
        <v>0</v>
      </c>
      <c r="I294" s="390">
        <f>IF(H294,Wh_hp,'2025'!Maxi_hp)</f>
        <v>37.78874890553454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6.7195095919240555E-2</v>
      </c>
      <c r="M294" s="844"/>
      <c r="N294" s="844"/>
      <c r="O294" s="48">
        <f>IF(t&lt;Tnet,'2025'!Resal+('2025'!Salim-'2025'!Resal)*(1-EXP(('2025'!Tnet-t)/('2025'!Tau_j))),Resal+(Salim-Resal)*(1-EXP((Tnet-t)/(Tau_j))))*Salcycl</f>
        <v>9.2323396123141666E-2</v>
      </c>
      <c r="P294" s="169">
        <f>(INDEX(Models!$BJ294:$BT294,,T294)*(1-R294)+INDEX(Models!$BJ294:$BT294,,T294+1)*R294-ERP_i)*Q294*Ramure*Pc/MaxiM</f>
        <v>6.4309994606696918E-4</v>
      </c>
      <c r="Q294" s="305">
        <f t="shared" si="105"/>
        <v>0.7</v>
      </c>
      <c r="R294" s="177">
        <f t="shared" si="106"/>
        <v>0.17644192639049128</v>
      </c>
      <c r="S294" s="810">
        <f t="shared" si="107"/>
        <v>-1</v>
      </c>
      <c r="T294" s="176">
        <f t="shared" si="108"/>
        <v>5</v>
      </c>
      <c r="U294" s="251">
        <f t="shared" si="109"/>
        <v>-0.82355807360950872</v>
      </c>
      <c r="V294" s="383">
        <f t="shared" si="110"/>
        <v>31.859540299129314</v>
      </c>
      <c r="W294" s="402">
        <f t="shared" si="111"/>
        <v>23.66152069871254</v>
      </c>
      <c r="X294" s="157">
        <f t="shared" si="112"/>
        <v>46302</v>
      </c>
      <c r="Y294" s="385">
        <f t="shared" si="113"/>
        <v>22.245358480788333</v>
      </c>
      <c r="Z294" s="385">
        <f t="shared" si="114"/>
        <v>23.847814675363669</v>
      </c>
      <c r="AA294" s="386">
        <f t="shared" si="115"/>
        <v>27.87585244098706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0.14449917806641835</v>
      </c>
      <c r="AD294" s="231">
        <f>(INDEX(Models!$BJ294:$BT294,,AH294)*(1-AF294)+INDEX(Models!$BJ294:$BT294,,AH294+1)*AF294-ERP_i)*AE294*Ramure*Pc/MaxiM</f>
        <v>4.6144078075341915E-3</v>
      </c>
      <c r="AE294" s="305">
        <f t="shared" si="117"/>
        <v>0.7</v>
      </c>
      <c r="AF294" s="177">
        <f t="shared" si="118"/>
        <v>0.99643197948967521</v>
      </c>
      <c r="AG294" s="810">
        <f t="shared" si="124"/>
        <v>1</v>
      </c>
      <c r="AH294" s="176">
        <f t="shared" si="119"/>
        <v>7</v>
      </c>
      <c r="AI294" s="225">
        <f t="shared" si="120"/>
        <v>1.9964319794896752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15.668283838403809</v>
      </c>
      <c r="C295" s="840"/>
      <c r="D295" s="393">
        <f t="shared" si="102"/>
        <v>16.797347872205872</v>
      </c>
      <c r="E295" s="385">
        <f t="shared" si="100"/>
        <v>18.507113275306804</v>
      </c>
      <c r="F295" s="385">
        <f t="shared" si="103"/>
        <v>18.510515045577925</v>
      </c>
      <c r="G295" s="110">
        <f t="shared" si="101"/>
        <v>0.49692657840601889</v>
      </c>
      <c r="H295" s="414" t="b">
        <f>Wh_hp&gt;='2025'!Maxi_hp</f>
        <v>0</v>
      </c>
      <c r="I295" s="390">
        <f>IF(H295,Wh_hp,'2025'!Maxi_hp)</f>
        <v>35.15889638578107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6.7216803652098811E-2</v>
      </c>
      <c r="M295" s="844"/>
      <c r="N295" s="844"/>
      <c r="O295" s="48">
        <f>IF(t&lt;Tnet,'2025'!Resal+('2025'!Salim-'2025'!Resal)*(1-EXP(('2025'!Tnet-t)/('2025'!Tau_j))),Resal+(Salim-Resal)*(1-EXP((Tnet-t)/(Tau_j))))*Salcycl</f>
        <v>9.2384229656290784E-2</v>
      </c>
      <c r="P295" s="169">
        <f>(INDEX(Models!$BJ295:$BT295,,T295)*(1-R295)+INDEX(Models!$BJ295:$BT295,,T295+1)*R295-ERP_i)*Q295*Ramure*Pc/MaxiM</f>
        <v>6.5247893886285796E-4</v>
      </c>
      <c r="Q295" s="305">
        <f t="shared" si="105"/>
        <v>0.7</v>
      </c>
      <c r="R295" s="177">
        <f t="shared" si="106"/>
        <v>0.17656145148318025</v>
      </c>
      <c r="S295" s="810">
        <f t="shared" si="107"/>
        <v>-1</v>
      </c>
      <c r="T295" s="176">
        <f t="shared" si="108"/>
        <v>5</v>
      </c>
      <c r="U295" s="251">
        <f t="shared" si="109"/>
        <v>-0.82343854851681975</v>
      </c>
      <c r="V295" s="383">
        <f t="shared" si="110"/>
        <v>31.515598849126405</v>
      </c>
      <c r="W295" s="402">
        <f t="shared" si="111"/>
        <v>15.668283838403809</v>
      </c>
      <c r="X295" s="157">
        <f t="shared" si="112"/>
        <v>46303</v>
      </c>
      <c r="Y295" s="385">
        <f t="shared" si="113"/>
        <v>14.7520838284901</v>
      </c>
      <c r="Z295" s="385">
        <f t="shared" si="114"/>
        <v>15.815126050992882</v>
      </c>
      <c r="AA295" s="386">
        <f t="shared" si="115"/>
        <v>18.485952430665449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0.14447870022872408</v>
      </c>
      <c r="AD295" s="231">
        <f>(INDEX(Models!$BJ295:$BT295,,AH295)*(1-AF295)+INDEX(Models!$BJ295:$BT295,,AH295+1)*AF295-ERP_i)*AE295*Ramure*Pc/MaxiM</f>
        <v>4.7112496248924596E-3</v>
      </c>
      <c r="AE295" s="305">
        <f t="shared" si="117"/>
        <v>0.7</v>
      </c>
      <c r="AF295" s="177">
        <f t="shared" si="118"/>
        <v>0.99655150458236408</v>
      </c>
      <c r="AG295" s="810">
        <f t="shared" si="124"/>
        <v>1</v>
      </c>
      <c r="AH295" s="176">
        <f t="shared" si="119"/>
        <v>7</v>
      </c>
      <c r="AI295" s="225">
        <f t="shared" si="120"/>
        <v>1.9965515045823641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30.71458385169208</v>
      </c>
      <c r="C296" s="840"/>
      <c r="D296" s="393">
        <f t="shared" si="102"/>
        <v>32.928657765086619</v>
      </c>
      <c r="E296" s="385">
        <f t="shared" si="100"/>
        <v>36.282765227089264</v>
      </c>
      <c r="F296" s="385">
        <f t="shared" si="103"/>
        <v>36.306410121419049</v>
      </c>
      <c r="G296" s="110">
        <f t="shared" si="101"/>
        <v>0.98526806640400488</v>
      </c>
      <c r="H296" s="414" t="b">
        <f>Wh_hp&gt;='2025'!Maxi_hp</f>
        <v>0</v>
      </c>
      <c r="I296" s="390">
        <f>IF(H296,Wh_hp,'2025'!Maxi_hp)</f>
        <v>36.306686276620354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6.7238510879786384E-2</v>
      </c>
      <c r="M296" s="844"/>
      <c r="N296" s="844"/>
      <c r="O296" s="48">
        <f>IF(t&lt;Tnet,'2025'!Resal+('2025'!Salim-'2025'!Resal)*(1-EXP(('2025'!Tnet-t)/('2025'!Tau_j))),Resal+(Salim-Resal)*(1-EXP((Tnet-t)/(Tau_j))))*Salcycl</f>
        <v>9.2443545606562955E-2</v>
      </c>
      <c r="P296" s="169">
        <f>(INDEX(Models!$BJ296:$BT296,,T296)*(1-R296)+INDEX(Models!$BJ296:$BT296,,T296+1)*R296-ERP_i)*Q296*Ramure*Pc/MaxiM</f>
        <v>6.6524692292837086E-4</v>
      </c>
      <c r="Q296" s="305">
        <f t="shared" si="105"/>
        <v>0.7</v>
      </c>
      <c r="R296" s="177">
        <f t="shared" si="106"/>
        <v>0.17667623173171032</v>
      </c>
      <c r="S296" s="810">
        <f t="shared" si="107"/>
        <v>-1</v>
      </c>
      <c r="T296" s="176">
        <f t="shared" si="108"/>
        <v>5</v>
      </c>
      <c r="U296" s="251">
        <f t="shared" si="109"/>
        <v>-0.82332376826828968</v>
      </c>
      <c r="V296" s="383">
        <f t="shared" si="110"/>
        <v>31.173398388720571</v>
      </c>
      <c r="W296" s="402">
        <f t="shared" si="111"/>
        <v>30.71458385169208</v>
      </c>
      <c r="X296" s="157">
        <f t="shared" si="112"/>
        <v>46304</v>
      </c>
      <c r="Y296" s="385">
        <f t="shared" si="113"/>
        <v>28.836253706558328</v>
      </c>
      <c r="Z296" s="385">
        <f t="shared" si="114"/>
        <v>30.914927388090238</v>
      </c>
      <c r="AA296" s="386">
        <f t="shared" si="115"/>
        <v>36.134822333244486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0.14445608441118249</v>
      </c>
      <c r="AD296" s="231">
        <f>(INDEX(Models!$BJ296:$BT296,,AH296)*(1-AF296)+INDEX(Models!$BJ296:$BT296,,AH296+1)*AF296-ERP_i)*AE296*Ramure*Pc/MaxiM</f>
        <v>4.8276066072925616E-3</v>
      </c>
      <c r="AE296" s="305">
        <f t="shared" si="117"/>
        <v>0.7</v>
      </c>
      <c r="AF296" s="177">
        <f t="shared" si="118"/>
        <v>0.99666628483089426</v>
      </c>
      <c r="AG296" s="810">
        <f t="shared" si="124"/>
        <v>1</v>
      </c>
      <c r="AH296" s="176">
        <f t="shared" si="119"/>
        <v>7</v>
      </c>
      <c r="AI296" s="225">
        <f t="shared" si="120"/>
        <v>1.9966662848308943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24.659112399116246</v>
      </c>
      <c r="C297" s="840"/>
      <c r="D297" s="393">
        <f t="shared" si="102"/>
        <v>26.43729029733025</v>
      </c>
      <c r="E297" s="385">
        <f t="shared" ref="E297:E360" si="125">Wh_pvt/(1-Psa)</f>
        <v>29.132043445257029</v>
      </c>
      <c r="F297" s="385">
        <f t="shared" si="103"/>
        <v>29.146232789914745</v>
      </c>
      <c r="G297" s="110">
        <f t="shared" ref="G297:G360" si="126">+Wh_hp/MaxiM</f>
        <v>0.79960471077000839</v>
      </c>
      <c r="H297" s="414" t="b">
        <f>Wh_hp&gt;='2025'!Maxi_hp</f>
        <v>0</v>
      </c>
      <c r="I297" s="390">
        <f>IF(H297,Wh_hp,'2025'!Maxi_hp)</f>
        <v>30.260941693493162</v>
      </c>
      <c r="J297" s="85">
        <f>IF(H297,An,'2025'!An_max)</f>
        <v>2021</v>
      </c>
      <c r="K297" s="197">
        <f t="shared" si="104"/>
        <v>46305</v>
      </c>
      <c r="L297" s="147">
        <f>IF(t&lt;Tvie,1-EXP((T0-t)*PertePVj)+'2025'!Pspv,1-EXP((T0-t)*PertePVj)+Pspv)</f>
        <v>6.7260217602315042E-2</v>
      </c>
      <c r="M297" s="844"/>
      <c r="N297" s="844"/>
      <c r="O297" s="48">
        <f>IF(t&lt;Tnet,'2025'!Resal+('2025'!Salim-'2025'!Resal)*(1-EXP(('2025'!Tnet-t)/('2025'!Tau_j))),Resal+(Salim-Resal)*(1-EXP((Tnet-t)/(Tau_j))))*Salcycl</f>
        <v>9.250134316841091E-2</v>
      </c>
      <c r="P297" s="169">
        <f>(INDEX(Models!$BJ297:$BT297,,T297)*(1-R297)+INDEX(Models!$BJ297:$BT297,,T297+1)*R297-ERP_i)*Q297*Ramure*Pc/MaxiM</f>
        <v>6.8189227613504606E-4</v>
      </c>
      <c r="Q297" s="305">
        <f t="shared" si="105"/>
        <v>0.7</v>
      </c>
      <c r="R297" s="177">
        <f t="shared" si="106"/>
        <v>0.17678645289858319</v>
      </c>
      <c r="S297" s="810">
        <f t="shared" si="107"/>
        <v>-1</v>
      </c>
      <c r="T297" s="176">
        <f t="shared" si="108"/>
        <v>5</v>
      </c>
      <c r="U297" s="251">
        <f t="shared" si="109"/>
        <v>-0.82321354710141681</v>
      </c>
      <c r="V297" s="383">
        <f t="shared" si="110"/>
        <v>30.833110076569781</v>
      </c>
      <c r="W297" s="402">
        <f t="shared" si="111"/>
        <v>24.659112399116246</v>
      </c>
      <c r="X297" s="157">
        <f t="shared" si="112"/>
        <v>46305</v>
      </c>
      <c r="Y297" s="385">
        <f t="shared" si="113"/>
        <v>23.177024189782237</v>
      </c>
      <c r="Z297" s="385">
        <f t="shared" si="114"/>
        <v>24.848328148075527</v>
      </c>
      <c r="AA297" s="386">
        <f t="shared" si="115"/>
        <v>29.043055377447882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0.14443133392327542</v>
      </c>
      <c r="AD297" s="231">
        <f>(INDEX(Models!$BJ297:$BT297,,AH297)*(1-AF297)+INDEX(Models!$BJ297:$BT297,,AH297+1)*AF297-ERP_i)*AE297*Ramure*Pc/MaxiM</f>
        <v>4.958360116688057E-3</v>
      </c>
      <c r="AE297" s="305">
        <f t="shared" si="117"/>
        <v>0.7</v>
      </c>
      <c r="AF297" s="177">
        <f t="shared" si="118"/>
        <v>0.99677650599776713</v>
      </c>
      <c r="AG297" s="810">
        <f t="shared" si="124"/>
        <v>1</v>
      </c>
      <c r="AH297" s="176">
        <f t="shared" si="119"/>
        <v>7</v>
      </c>
      <c r="AI297" s="225">
        <f t="shared" si="120"/>
        <v>1.9967765059977671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19.1675485988664</v>
      </c>
      <c r="C298" s="840"/>
      <c r="D298" s="393">
        <f t="shared" si="102"/>
        <v>20.550205992964081</v>
      </c>
      <c r="E298" s="385">
        <f t="shared" si="125"/>
        <v>22.646293113547234</v>
      </c>
      <c r="F298" s="385">
        <f t="shared" si="103"/>
        <v>22.653762591219859</v>
      </c>
      <c r="G298" s="110">
        <f t="shared" si="126"/>
        <v>0.62831456551327591</v>
      </c>
      <c r="H298" s="414" t="b">
        <f>Wh_hp&gt;='2025'!Maxi_hp</f>
        <v>0</v>
      </c>
      <c r="I298" s="390">
        <f>IF(H298,Wh_hp,'2025'!Maxi_hp)</f>
        <v>36.235632696328913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6.7281923819696554E-2</v>
      </c>
      <c r="M298" s="844"/>
      <c r="N298" s="844"/>
      <c r="O298" s="48">
        <f>IF(t&lt;Tnet,'2025'!Resal+('2025'!Salim-'2025'!Resal)*(1-EXP(('2025'!Tnet-t)/('2025'!Tau_j))),Resal+(Salim-Resal)*(1-EXP((Tnet-t)/(Tau_j))))*Salcycl</f>
        <v>9.2557625659682619E-2</v>
      </c>
      <c r="P298" s="169">
        <f>(INDEX(Models!$BJ298:$BT298,,T298)*(1-R298)+INDEX(Models!$BJ298:$BT298,,T298+1)*R298-ERP_i)*Q298*Ramure*Pc/MaxiM</f>
        <v>7.0250244735541013E-4</v>
      </c>
      <c r="Q298" s="305">
        <f t="shared" si="105"/>
        <v>0.7</v>
      </c>
      <c r="R298" s="177">
        <f t="shared" si="106"/>
        <v>0.17689229367727621</v>
      </c>
      <c r="S298" s="810">
        <f t="shared" si="107"/>
        <v>-1</v>
      </c>
      <c r="T298" s="176">
        <f t="shared" si="108"/>
        <v>5</v>
      </c>
      <c r="U298" s="251">
        <f t="shared" si="109"/>
        <v>-0.82310770632272379</v>
      </c>
      <c r="V298" s="383">
        <f t="shared" si="110"/>
        <v>30.494917729153041</v>
      </c>
      <c r="W298" s="402">
        <f t="shared" si="111"/>
        <v>19.1675485988664</v>
      </c>
      <c r="X298" s="157">
        <f t="shared" si="112"/>
        <v>46306</v>
      </c>
      <c r="Y298" s="385">
        <f t="shared" si="113"/>
        <v>18.035062590314435</v>
      </c>
      <c r="Z298" s="385">
        <f t="shared" si="114"/>
        <v>19.336027735381943</v>
      </c>
      <c r="AA298" s="386">
        <f t="shared" si="115"/>
        <v>22.599495669476205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0.14440445848099312</v>
      </c>
      <c r="AD298" s="231">
        <f>(INDEX(Models!$BJ298:$BT298,,AH298)*(1-AF298)+INDEX(Models!$BJ298:$BT298,,AH298+1)*AF298-ERP_i)*AE298*Ramure*Pc/MaxiM</f>
        <v>5.1037899845487143E-3</v>
      </c>
      <c r="AE298" s="305">
        <f t="shared" si="117"/>
        <v>0.7</v>
      </c>
      <c r="AF298" s="177">
        <f t="shared" si="118"/>
        <v>0.99688234677646026</v>
      </c>
      <c r="AG298" s="810">
        <f t="shared" si="124"/>
        <v>1</v>
      </c>
      <c r="AH298" s="176">
        <f t="shared" si="119"/>
        <v>7</v>
      </c>
      <c r="AI298" s="225">
        <f t="shared" si="120"/>
        <v>1.9968823467764603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23.118640320477034</v>
      </c>
      <c r="C299" s="840"/>
      <c r="D299" s="393">
        <f t="shared" si="102"/>
        <v>24.786887836687249</v>
      </c>
      <c r="E299" s="385">
        <f t="shared" si="125"/>
        <v>27.316758412947202</v>
      </c>
      <c r="F299" s="385">
        <f t="shared" si="103"/>
        <v>27.330004279770744</v>
      </c>
      <c r="G299" s="110">
        <f t="shared" si="126"/>
        <v>0.76637247426143684</v>
      </c>
      <c r="H299" s="414" t="b">
        <f>Wh_hp&gt;='2025'!Maxi_hp</f>
        <v>0</v>
      </c>
      <c r="I299" s="390">
        <f>IF(H299,Wh_hp,'2025'!Maxi_hp)</f>
        <v>34.453612542643434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6.7303629531942688E-2</v>
      </c>
      <c r="M299" s="844"/>
      <c r="N299" s="844"/>
      <c r="O299" s="48">
        <f>IF(t&lt;Tnet,'2025'!Resal+('2025'!Salim-'2025'!Resal)*(1-EXP(('2025'!Tnet-t)/('2025'!Tau_j))),Resal+(Salim-Resal)*(1-EXP((Tnet-t)/(Tau_j))))*Salcycl</f>
        <v>9.2612400710798959E-2</v>
      </c>
      <c r="P299" s="169">
        <f>(INDEX(Models!$BJ299:$BT299,,T299)*(1-R299)+INDEX(Models!$BJ299:$BT299,,T299+1)*R299-ERP_i)*Q299*Ramure*Pc/MaxiM</f>
        <v>7.2716448593191459E-4</v>
      </c>
      <c r="Q299" s="305">
        <f t="shared" si="105"/>
        <v>0.7</v>
      </c>
      <c r="R299" s="177">
        <f t="shared" si="106"/>
        <v>0.17699392594519736</v>
      </c>
      <c r="S299" s="810">
        <f t="shared" si="107"/>
        <v>-1</v>
      </c>
      <c r="T299" s="176">
        <f t="shared" si="108"/>
        <v>5</v>
      </c>
      <c r="U299" s="251">
        <f t="shared" si="109"/>
        <v>-0.82300607405480264</v>
      </c>
      <c r="V299" s="383">
        <f t="shared" si="110"/>
        <v>30.159005046147183</v>
      </c>
      <c r="W299" s="402">
        <f t="shared" si="111"/>
        <v>23.118640320477034</v>
      </c>
      <c r="X299" s="157">
        <f t="shared" si="112"/>
        <v>46307</v>
      </c>
      <c r="Y299" s="385">
        <f t="shared" si="113"/>
        <v>21.733854280396173</v>
      </c>
      <c r="Z299" s="385">
        <f t="shared" si="114"/>
        <v>23.302175250761852</v>
      </c>
      <c r="AA299" s="386">
        <f t="shared" si="115"/>
        <v>27.234113277087658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0.14437547447648261</v>
      </c>
      <c r="AD299" s="231">
        <f>(INDEX(Models!$BJ299:$BT299,,AH299)*(1-AF299)+INDEX(Models!$BJ299:$BT299,,AH299+1)*AF299-ERP_i)*AE299*Ramure*Pc/MaxiM</f>
        <v>5.2641727869115473E-3</v>
      </c>
      <c r="AE299" s="305">
        <f t="shared" si="117"/>
        <v>0.7</v>
      </c>
      <c r="AF299" s="177">
        <f t="shared" si="118"/>
        <v>0.9969839790443813</v>
      </c>
      <c r="AG299" s="810">
        <f t="shared" si="124"/>
        <v>1</v>
      </c>
      <c r="AH299" s="176">
        <f t="shared" si="119"/>
        <v>7</v>
      </c>
      <c r="AI299" s="225">
        <f t="shared" si="120"/>
        <v>1.9969839790443813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19.886198350399738</v>
      </c>
      <c r="C300" s="840"/>
      <c r="D300" s="393">
        <f t="shared" si="102"/>
        <v>21.321688141744655</v>
      </c>
      <c r="E300" s="385">
        <f t="shared" si="125"/>
        <v>23.499263371792409</v>
      </c>
      <c r="F300" s="385">
        <f t="shared" si="103"/>
        <v>23.508574456489661</v>
      </c>
      <c r="G300" s="110">
        <f t="shared" si="126"/>
        <v>0.66651025281051335</v>
      </c>
      <c r="H300" s="414" t="b">
        <f>Wh_hp&gt;='2025'!Maxi_hp</f>
        <v>0</v>
      </c>
      <c r="I300" s="390">
        <f>IF(H300,Wh_hp,'2025'!Maxi_hp)</f>
        <v>34.605373713118908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6.7325334739065212E-2</v>
      </c>
      <c r="M300" s="844"/>
      <c r="N300" s="844"/>
      <c r="O300" s="48">
        <f>IF(t&lt;Tnet,'2025'!Resal+('2025'!Salim-'2025'!Resal)*(1-EXP(('2025'!Tnet-t)/('2025'!Tau_j))),Resal+(Salim-Resal)*(1-EXP((Tnet-t)/(Tau_j))))*Salcycl</f>
        <v>9.266568043412074E-2</v>
      </c>
      <c r="P300" s="169">
        <f>(INDEX(Models!$BJ300:$BT300,,T300)*(1-R300)+INDEX(Models!$BJ300:$BT300,,T300+1)*R300-ERP_i)*Q300*Ramure*Pc/MaxiM</f>
        <v>7.559647357960321E-4</v>
      </c>
      <c r="Q300" s="305">
        <f t="shared" si="105"/>
        <v>0.7</v>
      </c>
      <c r="R300" s="177">
        <f t="shared" si="106"/>
        <v>0.17709151500887277</v>
      </c>
      <c r="S300" s="810">
        <f t="shared" si="107"/>
        <v>-1</v>
      </c>
      <c r="T300" s="176">
        <f t="shared" si="108"/>
        <v>5</v>
      </c>
      <c r="U300" s="251">
        <f t="shared" si="109"/>
        <v>-0.82290848499112723</v>
      </c>
      <c r="V300" s="383">
        <f t="shared" si="110"/>
        <v>29.82555561537901</v>
      </c>
      <c r="W300" s="402">
        <f t="shared" si="111"/>
        <v>19.886198350399738</v>
      </c>
      <c r="X300" s="157">
        <f t="shared" si="112"/>
        <v>46308</v>
      </c>
      <c r="Y300" s="385">
        <f t="shared" si="113"/>
        <v>18.707507881140629</v>
      </c>
      <c r="Z300" s="385">
        <f t="shared" si="114"/>
        <v>20.057913630479948</v>
      </c>
      <c r="AA300" s="386">
        <f t="shared" si="115"/>
        <v>23.441573633999401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0.14434440521569034</v>
      </c>
      <c r="AD300" s="231">
        <f>(INDEX(Models!$BJ300:$BT300,,AH300)*(1-AF300)+INDEX(Models!$BJ300:$BT300,,AH300+1)*AF300-ERP_i)*AE300*Ramure*Pc/MaxiM</f>
        <v>5.4397807257543767E-3</v>
      </c>
      <c r="AE300" s="305">
        <f t="shared" si="117"/>
        <v>0.7</v>
      </c>
      <c r="AF300" s="177">
        <f t="shared" si="118"/>
        <v>0.9970815681080567</v>
      </c>
      <c r="AG300" s="810">
        <f t="shared" si="124"/>
        <v>1</v>
      </c>
      <c r="AH300" s="176">
        <f t="shared" si="119"/>
        <v>7</v>
      </c>
      <c r="AI300" s="225">
        <f t="shared" si="120"/>
        <v>1.9970815681080567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16.646774977775085</v>
      </c>
      <c r="C301" s="840"/>
      <c r="D301" s="393">
        <f t="shared" si="102"/>
        <v>17.84884161821449</v>
      </c>
      <c r="E301" s="385">
        <f t="shared" si="125"/>
        <v>19.6728596172332</v>
      </c>
      <c r="F301" s="385">
        <f t="shared" si="103"/>
        <v>19.678724069962819</v>
      </c>
      <c r="G301" s="110">
        <f t="shared" si="126"/>
        <v>0.56412065482122242</v>
      </c>
      <c r="H301" s="414" t="b">
        <f>Wh_hp&gt;='2025'!Maxi_hp</f>
        <v>0</v>
      </c>
      <c r="I301" s="390">
        <f>IF(H301,Wh_hp,'2025'!Maxi_hp)</f>
        <v>35.94304448551074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6.7347039441075784E-2</v>
      </c>
      <c r="M301" s="844"/>
      <c r="N301" s="844"/>
      <c r="O301" s="48">
        <f>IF(t&lt;Tnet,'2025'!Resal+('2025'!Salim-'2025'!Resal)*(1-EXP(('2025'!Tnet-t)/('2025'!Tau_j))),Resal+(Salim-Resal)*(1-EXP((Tnet-t)/(Tau_j))))*Salcycl</f>
        <v>9.2717481571458607E-2</v>
      </c>
      <c r="P301" s="169">
        <f>(INDEX(Models!$BJ301:$BT301,,T301)*(1-R301)+INDEX(Models!$BJ301:$BT301,,T301+1)*R301-ERP_i)*Q301*Ramure*Pc/MaxiM</f>
        <v>7.8898851818887659E-4</v>
      </c>
      <c r="Q301" s="305">
        <f t="shared" si="105"/>
        <v>0.7</v>
      </c>
      <c r="R301" s="177">
        <f t="shared" si="106"/>
        <v>0.17718521984149738</v>
      </c>
      <c r="S301" s="810">
        <f t="shared" si="107"/>
        <v>-1</v>
      </c>
      <c r="T301" s="176">
        <f t="shared" si="108"/>
        <v>5</v>
      </c>
      <c r="U301" s="251">
        <f t="shared" si="109"/>
        <v>-0.82281478015850262</v>
      </c>
      <c r="V301" s="383">
        <f t="shared" si="110"/>
        <v>29.494752916772971</v>
      </c>
      <c r="W301" s="402">
        <f t="shared" si="111"/>
        <v>16.646774977775085</v>
      </c>
      <c r="X301" s="157">
        <f t="shared" si="112"/>
        <v>46309</v>
      </c>
      <c r="Y301" s="385">
        <f t="shared" si="113"/>
        <v>15.67141294002171</v>
      </c>
      <c r="Z301" s="385">
        <f t="shared" si="114"/>
        <v>16.803048510809507</v>
      </c>
      <c r="AA301" s="386">
        <f t="shared" si="115"/>
        <v>19.636870441417525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0.14431128112099786</v>
      </c>
      <c r="AD301" s="231">
        <f>(INDEX(Models!$BJ301:$BT301,,AH301)*(1-AF301)+INDEX(Models!$BJ301:$BT301,,AH301+1)*AF301-ERP_i)*AE301*Ramure*Pc/MaxiM</f>
        <v>5.6308804741501883E-3</v>
      </c>
      <c r="AE301" s="305">
        <f t="shared" si="117"/>
        <v>0.7</v>
      </c>
      <c r="AF301" s="177">
        <f t="shared" si="118"/>
        <v>0.99717527294068131</v>
      </c>
      <c r="AG301" s="810">
        <f t="shared" si="124"/>
        <v>1</v>
      </c>
      <c r="AH301" s="176">
        <f t="shared" si="119"/>
        <v>7</v>
      </c>
      <c r="AI301" s="225">
        <f t="shared" si="120"/>
        <v>1.9971752729406813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29.308571571852209</v>
      </c>
      <c r="C302" s="840"/>
      <c r="D302" s="393">
        <f t="shared" si="102"/>
        <v>31.425680162359562</v>
      </c>
      <c r="E302" s="385">
        <f t="shared" si="125"/>
        <v>34.639071507533416</v>
      </c>
      <c r="F302" s="385">
        <f t="shared" si="103"/>
        <v>34.66771812955794</v>
      </c>
      <c r="G302" s="110">
        <f t="shared" si="126"/>
        <v>1.004861395070501</v>
      </c>
      <c r="H302" s="414" t="b">
        <f>Wh_hp&gt;='2025'!Maxi_hp</f>
        <v>1</v>
      </c>
      <c r="I302" s="390">
        <f>IF(H302,Wh_hp,'2025'!Maxi_hp)</f>
        <v>34.66771812955794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6.7368743637986284E-2</v>
      </c>
      <c r="M302" s="844"/>
      <c r="N302" s="844"/>
      <c r="O302" s="48">
        <f>IF(t&lt;Tnet,'2025'!Resal+('2025'!Salim-'2025'!Resal)*(1-EXP(('2025'!Tnet-t)/('2025'!Tau_j))),Resal+(Salim-Resal)*(1-EXP((Tnet-t)/(Tau_j))))*Salcycl</f>
        <v>9.276782561781402E-2</v>
      </c>
      <c r="P302" s="169">
        <f>(INDEX(Models!$BJ302:$BT302,,T302)*(1-R302)+INDEX(Models!$BJ302:$BT302,,T302+1)*R302-ERP_i)*Q302*Ramure*Pc/MaxiM</f>
        <v>8.2631980326686335E-4</v>
      </c>
      <c r="Q302" s="305">
        <f t="shared" si="105"/>
        <v>0.7</v>
      </c>
      <c r="R302" s="177">
        <f t="shared" si="106"/>
        <v>0.17727519331299013</v>
      </c>
      <c r="S302" s="810">
        <f t="shared" si="107"/>
        <v>-1</v>
      </c>
      <c r="T302" s="176">
        <f t="shared" si="108"/>
        <v>5</v>
      </c>
      <c r="U302" s="251">
        <f t="shared" si="109"/>
        <v>-0.82272480668700987</v>
      </c>
      <c r="V302" s="383">
        <f t="shared" si="110"/>
        <v>29.166780329734852</v>
      </c>
      <c r="W302" s="402">
        <f t="shared" si="111"/>
        <v>29.308571571852209</v>
      </c>
      <c r="X302" s="157">
        <f t="shared" si="112"/>
        <v>46310</v>
      </c>
      <c r="Y302" s="385">
        <f t="shared" si="113"/>
        <v>27.505917804870037</v>
      </c>
      <c r="Z302" s="385">
        <f t="shared" si="114"/>
        <v>29.492811459230396</v>
      </c>
      <c r="AA302" s="386">
        <f t="shared" si="115"/>
        <v>34.465337282576897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0.14427613989607579</v>
      </c>
      <c r="AD302" s="231">
        <f>(INDEX(Models!$BJ302:$BT302,,AH302)*(1-AF302)+INDEX(Models!$BJ302:$BT302,,AH302+1)*AF302-ERP_i)*AE302*Ramure*Pc/MaxiM</f>
        <v>5.8377319852641928E-3</v>
      </c>
      <c r="AE302" s="305">
        <f t="shared" si="117"/>
        <v>0.7</v>
      </c>
      <c r="AF302" s="177">
        <f t="shared" si="118"/>
        <v>0.99726524641217407</v>
      </c>
      <c r="AG302" s="810">
        <f t="shared" si="124"/>
        <v>1</v>
      </c>
      <c r="AH302" s="176">
        <f t="shared" si="119"/>
        <v>7</v>
      </c>
      <c r="AI302" s="225">
        <f t="shared" si="120"/>
        <v>1.9972652464121741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26.785920341225292</v>
      </c>
      <c r="C303" s="840"/>
      <c r="D303" s="393">
        <f t="shared" si="102"/>
        <v>28.721473273068515</v>
      </c>
      <c r="E303" s="385">
        <f t="shared" si="125"/>
        <v>31.660056468483347</v>
      </c>
      <c r="F303" s="385">
        <f t="shared" si="103"/>
        <v>31.684760381311584</v>
      </c>
      <c r="G303" s="110">
        <f t="shared" si="126"/>
        <v>0.92865081606016864</v>
      </c>
      <c r="H303" s="414" t="b">
        <f>Wh_hp&gt;='2025'!Maxi_hp</f>
        <v>0</v>
      </c>
      <c r="I303" s="390">
        <f>IF(H303,Wh_hp,'2025'!Maxi_hp)</f>
        <v>32.78605431375631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6.7390447329808367E-2</v>
      </c>
      <c r="M303" s="844"/>
      <c r="N303" s="844"/>
      <c r="O303" s="48">
        <f>IF(t&lt;Tnet,'2025'!Resal+('2025'!Salim-'2025'!Resal)*(1-EXP(('2025'!Tnet-t)/('2025'!Tau_j))),Resal+(Salim-Resal)*(1-EXP((Tnet-t)/(Tau_j))))*Salcycl</f>
        <v>9.2816738919594285E-2</v>
      </c>
      <c r="P303" s="169">
        <f>(INDEX(Models!$BJ303:$BT303,,T303)*(1-R303)+INDEX(Models!$BJ303:$BT303,,T303+1)*R303-ERP_i)*Q303*Ramure*Pc/MaxiM</f>
        <v>8.6805477870501274E-4</v>
      </c>
      <c r="Q303" s="305">
        <f t="shared" si="105"/>
        <v>0.7</v>
      </c>
      <c r="R303" s="177">
        <f t="shared" si="106"/>
        <v>0.17736158241269662</v>
      </c>
      <c r="S303" s="810">
        <f t="shared" si="107"/>
        <v>-1</v>
      </c>
      <c r="T303" s="176">
        <f t="shared" si="108"/>
        <v>5</v>
      </c>
      <c r="U303" s="251">
        <f t="shared" si="109"/>
        <v>-0.82263841758730338</v>
      </c>
      <c r="V303" s="383">
        <f t="shared" si="110"/>
        <v>28.841358645703451</v>
      </c>
      <c r="W303" s="402">
        <f t="shared" si="111"/>
        <v>26.785920341225292</v>
      </c>
      <c r="X303" s="157">
        <f t="shared" si="112"/>
        <v>46311</v>
      </c>
      <c r="Y303" s="385">
        <f t="shared" si="113"/>
        <v>25.149662416962968</v>
      </c>
      <c r="Z303" s="385">
        <f t="shared" si="114"/>
        <v>26.96697920899048</v>
      </c>
      <c r="AA303" s="386">
        <f t="shared" si="115"/>
        <v>31.512279770644504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0.14423902665043711</v>
      </c>
      <c r="AD303" s="231">
        <f>(INDEX(Models!$BJ303:$BT303,,AH303)*(1-AF303)+INDEX(Models!$BJ303:$BT303,,AH303+1)*AF303-ERP_i)*AE303*Ramure*Pc/MaxiM</f>
        <v>6.0606843686878851E-3</v>
      </c>
      <c r="AE303" s="305">
        <f t="shared" si="117"/>
        <v>0.7</v>
      </c>
      <c r="AF303" s="177">
        <f t="shared" si="118"/>
        <v>0.99735163551188055</v>
      </c>
      <c r="AG303" s="810">
        <f t="shared" si="124"/>
        <v>1</v>
      </c>
      <c r="AH303" s="176">
        <f t="shared" si="119"/>
        <v>7</v>
      </c>
      <c r="AI303" s="225">
        <f t="shared" si="120"/>
        <v>1.9973516355118806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17.312859233994644</v>
      </c>
      <c r="C304" s="840"/>
      <c r="D304" s="393">
        <f t="shared" si="102"/>
        <v>18.564319965764206</v>
      </c>
      <c r="E304" s="385">
        <f t="shared" si="125"/>
        <v>20.464765082794599</v>
      </c>
      <c r="F304" s="385">
        <f t="shared" si="103"/>
        <v>20.472948707983999</v>
      </c>
      <c r="G304" s="110">
        <f t="shared" si="126"/>
        <v>0.6067709954013748</v>
      </c>
      <c r="H304" s="414" t="b">
        <f>Wh_hp&gt;='2025'!Maxi_hp</f>
        <v>0</v>
      </c>
      <c r="I304" s="390">
        <f>IF(H304,Wh_hp,'2025'!Maxi_hp)</f>
        <v>30.316240270106746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6.7412150516553915E-2</v>
      </c>
      <c r="M304" s="844"/>
      <c r="N304" s="844"/>
      <c r="O304" s="48">
        <f>IF(t&lt;Tnet,'2025'!Resal+('2025'!Salim-'2025'!Resal)*(1-EXP(('2025'!Tnet-t)/('2025'!Tau_j))),Resal+(Salim-Resal)*(1-EXP((Tnet-t)/(Tau_j))))*Salcycl</f>
        <v>9.2864252745718551E-2</v>
      </c>
      <c r="P304" s="169">
        <f>(INDEX(Models!$BJ304:$BT304,,T304)*(1-R304)+INDEX(Models!$BJ304:$BT304,,T304+1)*R304-ERP_i)*Q304*Ramure*Pc/MaxiM</f>
        <v>9.1119127030667223E-4</v>
      </c>
      <c r="Q304" s="305">
        <f t="shared" si="105"/>
        <v>0.7</v>
      </c>
      <c r="R304" s="177">
        <f t="shared" si="106"/>
        <v>0.17744452846489245</v>
      </c>
      <c r="S304" s="810">
        <f t="shared" si="107"/>
        <v>-1</v>
      </c>
      <c r="T304" s="176">
        <f t="shared" si="108"/>
        <v>5</v>
      </c>
      <c r="U304" s="251">
        <f t="shared" si="109"/>
        <v>-0.82255547153510755</v>
      </c>
      <c r="V304" s="383">
        <f t="shared" si="110"/>
        <v>28.518173981132101</v>
      </c>
      <c r="W304" s="402">
        <f t="shared" si="111"/>
        <v>17.312859233994644</v>
      </c>
      <c r="X304" s="157">
        <f t="shared" si="112"/>
        <v>46312</v>
      </c>
      <c r="Y304" s="385">
        <f t="shared" si="113"/>
        <v>16.294616856098862</v>
      </c>
      <c r="Z304" s="385">
        <f t="shared" si="114"/>
        <v>17.472473896292275</v>
      </c>
      <c r="AA304" s="386">
        <f t="shared" si="115"/>
        <v>20.416538646195928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0.14419999398145777</v>
      </c>
      <c r="AD304" s="231">
        <f>(INDEX(Models!$BJ304:$BT304,,AH304)*(1-AF304)+INDEX(Models!$BJ304:$BT304,,AH304+1)*AF304-ERP_i)*AE304*Ramure*Pc/MaxiM</f>
        <v>6.2808785433314598E-3</v>
      </c>
      <c r="AE304" s="305">
        <f t="shared" si="117"/>
        <v>0.7</v>
      </c>
      <c r="AF304" s="177">
        <f t="shared" si="118"/>
        <v>0.99743458156407638</v>
      </c>
      <c r="AG304" s="810">
        <f t="shared" si="124"/>
        <v>1</v>
      </c>
      <c r="AH304" s="176">
        <f t="shared" si="119"/>
        <v>7</v>
      </c>
      <c r="AI304" s="225">
        <f t="shared" si="120"/>
        <v>1.9974345815640764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27.329608146151656</v>
      </c>
      <c r="C305" s="840"/>
      <c r="D305" s="393">
        <f t="shared" si="102"/>
        <v>29.305811968275407</v>
      </c>
      <c r="E305" s="385">
        <f t="shared" si="125"/>
        <v>32.307516342229803</v>
      </c>
      <c r="F305" s="385">
        <f t="shared" si="103"/>
        <v>32.336989858342214</v>
      </c>
      <c r="G305" s="110">
        <f t="shared" si="126"/>
        <v>0.96918748418674239</v>
      </c>
      <c r="H305" s="414" t="b">
        <f>Wh_hp&gt;='2025'!Maxi_hp</f>
        <v>0</v>
      </c>
      <c r="I305" s="390">
        <f>IF(H305,Wh_hp,'2025'!Maxi_hp)</f>
        <v>34.363592336640075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6.7433853198234583E-2</v>
      </c>
      <c r="M305" s="844"/>
      <c r="N305" s="844"/>
      <c r="O305" s="48">
        <f>IF(t&lt;Tnet,'2025'!Resal+('2025'!Salim-'2025'!Resal)*(1-EXP(('2025'!Tnet-t)/('2025'!Tau_j))),Resal+(Salim-Resal)*(1-EXP((Tnet-t)/(Tau_j))))*Salcycl</f>
        <v>9.2910403330224725E-2</v>
      </c>
      <c r="P305" s="169">
        <f>(INDEX(Models!$BJ305:$BT305,,T305)*(1-R305)+INDEX(Models!$BJ305:$BT305,,T305+1)*R305-ERP_i)*Q305*Ramure*Pc/MaxiM</f>
        <v>9.5335841418387835E-4</v>
      </c>
      <c r="Q305" s="305">
        <f t="shared" si="105"/>
        <v>0.7</v>
      </c>
      <c r="R305" s="177">
        <f t="shared" si="106"/>
        <v>0.17752416733724474</v>
      </c>
      <c r="S305" s="810">
        <f t="shared" si="107"/>
        <v>-1</v>
      </c>
      <c r="T305" s="176">
        <f t="shared" si="108"/>
        <v>5</v>
      </c>
      <c r="U305" s="251">
        <f t="shared" si="109"/>
        <v>-0.82247583266275526</v>
      </c>
      <c r="V305" s="383">
        <f t="shared" si="110"/>
        <v>28.197291214000529</v>
      </c>
      <c r="W305" s="402">
        <f t="shared" si="111"/>
        <v>27.329608146151656</v>
      </c>
      <c r="X305" s="157">
        <f t="shared" si="112"/>
        <v>46313</v>
      </c>
      <c r="Y305" s="385">
        <f t="shared" si="113"/>
        <v>25.649086409421063</v>
      </c>
      <c r="Z305" s="385">
        <f t="shared" si="114"/>
        <v>27.503771713550375</v>
      </c>
      <c r="AA305" s="386">
        <f t="shared" si="115"/>
        <v>32.136547550143064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0.14415910201194174</v>
      </c>
      <c r="AD305" s="231">
        <f>(INDEX(Models!$BJ305:$BT305,,AH305)*(1-AF305)+INDEX(Models!$BJ305:$BT305,,AH305+1)*AF305-ERP_i)*AE305*Ramure*Pc/MaxiM</f>
        <v>6.4835617288172926E-3</v>
      </c>
      <c r="AE305" s="305">
        <f t="shared" si="117"/>
        <v>0.7</v>
      </c>
      <c r="AF305" s="177">
        <f t="shared" si="118"/>
        <v>0.99751422043642868</v>
      </c>
      <c r="AG305" s="810">
        <f t="shared" si="124"/>
        <v>1</v>
      </c>
      <c r="AH305" s="176">
        <f t="shared" si="119"/>
        <v>7</v>
      </c>
      <c r="AI305" s="225">
        <f t="shared" si="120"/>
        <v>1.9975142204364287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13.73634624432124</v>
      </c>
      <c r="C306" s="840"/>
      <c r="D306" s="393">
        <f t="shared" si="102"/>
        <v>14.729964157196759</v>
      </c>
      <c r="E306" s="385">
        <f t="shared" si="125"/>
        <v>16.239511736351695</v>
      </c>
      <c r="F306" s="385">
        <f t="shared" si="103"/>
        <v>16.243959386401738</v>
      </c>
      <c r="G306" s="110">
        <f t="shared" si="126"/>
        <v>0.49236299018367796</v>
      </c>
      <c r="H306" s="414" t="b">
        <f>Wh_hp&gt;='2025'!Maxi_hp</f>
        <v>0</v>
      </c>
      <c r="I306" s="390">
        <f>IF(H306,Wh_hp,'2025'!Maxi_hp)</f>
        <v>32.663950512475992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6.7455555374862031E-2</v>
      </c>
      <c r="M306" s="844"/>
      <c r="N306" s="844"/>
      <c r="O306" s="48">
        <f>IF(t&lt;Tnet,'2025'!Resal+('2025'!Salim-'2025'!Resal)*(1-EXP(('2025'!Tnet-t)/('2025'!Tau_j))),Resal+(Salim-Resal)*(1-EXP((Tnet-t)/(Tau_j))))*Salcycl</f>
        <v>9.2955231885196166E-2</v>
      </c>
      <c r="P306" s="169">
        <f>(INDEX(Models!$BJ306:$BT306,,T306)*(1-R306)+INDEX(Models!$BJ306:$BT306,,T306+1)*R306-ERP_i)*Q306*Ramure*Pc/MaxiM</f>
        <v>9.9452115827180164E-4</v>
      </c>
      <c r="Q306" s="305">
        <f t="shared" si="105"/>
        <v>0.7</v>
      </c>
      <c r="R306" s="177">
        <f t="shared" si="106"/>
        <v>0.17760062964238887</v>
      </c>
      <c r="S306" s="810">
        <f t="shared" si="107"/>
        <v>-1</v>
      </c>
      <c r="T306" s="176">
        <f t="shared" si="108"/>
        <v>5</v>
      </c>
      <c r="U306" s="251">
        <f t="shared" si="109"/>
        <v>-0.82239937035761113</v>
      </c>
      <c r="V306" s="383">
        <f t="shared" si="110"/>
        <v>27.878706923239822</v>
      </c>
      <c r="W306" s="402">
        <f t="shared" si="111"/>
        <v>13.73634624432124</v>
      </c>
      <c r="X306" s="157">
        <f t="shared" si="112"/>
        <v>46314</v>
      </c>
      <c r="Y306" s="385">
        <f t="shared" si="113"/>
        <v>12.941305661394393</v>
      </c>
      <c r="Z306" s="385">
        <f t="shared" si="114"/>
        <v>13.877414353796841</v>
      </c>
      <c r="AA306" s="386">
        <f t="shared" si="115"/>
        <v>16.214137824161295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0.14411641838164313</v>
      </c>
      <c r="AD306" s="231">
        <f>(INDEX(Models!$BJ306:$BT306,,AH306)*(1-AF306)+INDEX(Models!$BJ306:$BT306,,AH306+1)*AF306-ERP_i)*AE306*Ramure*Pc/MaxiM</f>
        <v>6.6682797178604482E-3</v>
      </c>
      <c r="AE306" s="305">
        <f t="shared" si="117"/>
        <v>0.7</v>
      </c>
      <c r="AF306" s="177">
        <f t="shared" si="118"/>
        <v>0.99759068274157281</v>
      </c>
      <c r="AG306" s="810">
        <f t="shared" si="124"/>
        <v>1</v>
      </c>
      <c r="AH306" s="176">
        <f t="shared" si="119"/>
        <v>7</v>
      </c>
      <c r="AI306" s="225">
        <f t="shared" si="120"/>
        <v>1.9975906827415728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6.0547278661900243</v>
      </c>
      <c r="C307" s="840"/>
      <c r="D307" s="393">
        <f t="shared" si="102"/>
        <v>6.4928473991026356</v>
      </c>
      <c r="E307" s="385">
        <f t="shared" si="125"/>
        <v>7.1585873191116534</v>
      </c>
      <c r="F307" s="385">
        <f t="shared" si="103"/>
        <v>7.1585873191116534</v>
      </c>
      <c r="G307" s="110">
        <f t="shared" si="126"/>
        <v>0.21944603942110086</v>
      </c>
      <c r="H307" s="414" t="b">
        <f>Wh_hp&gt;='2025'!Maxi_hp</f>
        <v>0</v>
      </c>
      <c r="I307" s="390">
        <f>IF(H307,Wh_hp,'2025'!Maxi_hp)</f>
        <v>26.876972034227109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6.7477257046448247E-2</v>
      </c>
      <c r="M307" s="844"/>
      <c r="N307" s="844"/>
      <c r="O307" s="48">
        <f>IF(t&lt;Tnet,'2025'!Resal+('2025'!Salim-'2025'!Resal)*(1-EXP(('2025'!Tnet-t)/('2025'!Tau_j))),Resal+(Salim-Resal)*(1-EXP((Tnet-t)/(Tau_j))))*Salcycl</f>
        <v>9.299878458304997E-2</v>
      </c>
      <c r="P307" s="169">
        <f>(INDEX(Models!$BJ307:$BT307,,T307)*(1-R307)+INDEX(Models!$BJ307:$BT307,,T307+1)*R307-ERP_i)*Q307*Ramure*Pc/MaxiM</f>
        <v>1.034644980353416E-3</v>
      </c>
      <c r="Q307" s="305">
        <f t="shared" si="105"/>
        <v>0.7</v>
      </c>
      <c r="R307" s="177">
        <f t="shared" si="106"/>
        <v>0.17767404093278361</v>
      </c>
      <c r="S307" s="810">
        <f t="shared" si="107"/>
        <v>-1</v>
      </c>
      <c r="T307" s="176">
        <f t="shared" si="108"/>
        <v>5</v>
      </c>
      <c r="U307" s="251">
        <f t="shared" si="109"/>
        <v>-0.82232595906721639</v>
      </c>
      <c r="V307" s="383">
        <f t="shared" si="110"/>
        <v>27.562417569037585</v>
      </c>
      <c r="W307" s="402">
        <f t="shared" si="111"/>
        <v>6.0547278661900243</v>
      </c>
      <c r="X307" s="157">
        <f t="shared" si="112"/>
        <v>46315</v>
      </c>
      <c r="Y307" s="385">
        <f t="shared" si="113"/>
        <v>5.7137861722988745</v>
      </c>
      <c r="Z307" s="385">
        <f t="shared" si="114"/>
        <v>6.1272351966470744</v>
      </c>
      <c r="AA307" s="386">
        <f t="shared" si="115"/>
        <v>7.1585873191116534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0.14407201819151169</v>
      </c>
      <c r="AD307" s="231">
        <f>(INDEX(Models!$BJ307:$BT307,,AH307)*(1-AF307)+INDEX(Models!$BJ307:$BT307,,AH307+1)*AF307-ERP_i)*AE307*Ramure*Pc/MaxiM</f>
        <v>6.8345814539921669E-3</v>
      </c>
      <c r="AE307" s="305">
        <f t="shared" si="117"/>
        <v>0.7</v>
      </c>
      <c r="AF307" s="177">
        <f t="shared" si="118"/>
        <v>0.99766409403196743</v>
      </c>
      <c r="AG307" s="810">
        <f t="shared" si="124"/>
        <v>1</v>
      </c>
      <c r="AH307" s="176">
        <f t="shared" si="119"/>
        <v>7</v>
      </c>
      <c r="AI307" s="225">
        <f t="shared" si="120"/>
        <v>1.9976640940319674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13.901702036715248</v>
      </c>
      <c r="C308" s="840"/>
      <c r="D308" s="393">
        <f t="shared" si="102"/>
        <v>14.907974805127047</v>
      </c>
      <c r="E308" s="385">
        <f t="shared" si="125"/>
        <v>16.437321482501901</v>
      </c>
      <c r="F308" s="385">
        <f t="shared" si="103"/>
        <v>16.442622431074227</v>
      </c>
      <c r="G308" s="110">
        <f t="shared" si="126"/>
        <v>0.50980036644847593</v>
      </c>
      <c r="H308" s="414" t="b">
        <f>Wh_hp&gt;='2025'!Maxi_hp</f>
        <v>0</v>
      </c>
      <c r="I308" s="390">
        <f>IF(H308,Wh_hp,'2025'!Maxi_hp)</f>
        <v>23.519569000870998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6.7498958213004778E-2</v>
      </c>
      <c r="M308" s="844"/>
      <c r="N308" s="844"/>
      <c r="O308" s="48">
        <f>IF(t&lt;Tnet,'2025'!Resal+('2025'!Salim-'2025'!Resal)*(1-EXP(('2025'!Tnet-t)/('2025'!Tau_j))),Resal+(Salim-Resal)*(1-EXP((Tnet-t)/(Tau_j))))*Salcycl</f>
        <v>9.3041112507466397E-2</v>
      </c>
      <c r="P308" s="169">
        <f>(INDEX(Models!$BJ308:$BT308,,T308)*(1-R308)+INDEX(Models!$BJ308:$BT308,,T308+1)*R308-ERP_i)*Q308*Ramure*Pc/MaxiM</f>
        <v>1.0736959620366571E-3</v>
      </c>
      <c r="Q308" s="305">
        <f t="shared" si="105"/>
        <v>0.7</v>
      </c>
      <c r="R308" s="177">
        <f t="shared" si="106"/>
        <v>0.17774452188901191</v>
      </c>
      <c r="S308" s="810">
        <f t="shared" si="107"/>
        <v>-1</v>
      </c>
      <c r="T308" s="176">
        <f t="shared" si="108"/>
        <v>5</v>
      </c>
      <c r="U308" s="251">
        <f t="shared" si="109"/>
        <v>-0.82225547811098809</v>
      </c>
      <c r="V308" s="383">
        <f t="shared" si="110"/>
        <v>27.248419500639329</v>
      </c>
      <c r="W308" s="402">
        <f t="shared" si="111"/>
        <v>13.901702036715248</v>
      </c>
      <c r="X308" s="157">
        <f t="shared" si="112"/>
        <v>46316</v>
      </c>
      <c r="Y308" s="385">
        <f t="shared" si="113"/>
        <v>13.096931733915591</v>
      </c>
      <c r="Z308" s="385">
        <f t="shared" si="114"/>
        <v>14.044951315890575</v>
      </c>
      <c r="AA308" s="386">
        <f t="shared" si="115"/>
        <v>16.408151476231851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0.14402598389980165</v>
      </c>
      <c r="AD308" s="231">
        <f>(INDEX(Models!$BJ308:$BT308,,AH308)*(1-AF308)+INDEX(Models!$BJ308:$BT308,,AH308+1)*AF308-ERP_i)*AE308*Ramure*Pc/MaxiM</f>
        <v>6.9820192587817234E-3</v>
      </c>
      <c r="AE308" s="305">
        <f t="shared" si="117"/>
        <v>0.7</v>
      </c>
      <c r="AF308" s="177">
        <f t="shared" si="118"/>
        <v>0.99773457498819584</v>
      </c>
      <c r="AG308" s="810">
        <f t="shared" si="124"/>
        <v>1</v>
      </c>
      <c r="AH308" s="176">
        <f t="shared" si="119"/>
        <v>7</v>
      </c>
      <c r="AI308" s="225">
        <f t="shared" si="120"/>
        <v>1.9977345749881958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26.338761431455421</v>
      </c>
      <c r="C309" s="840"/>
      <c r="D309" s="393">
        <f t="shared" si="102"/>
        <v>28.245946338785195</v>
      </c>
      <c r="E309" s="385">
        <f t="shared" si="125"/>
        <v>31.144993038960891</v>
      </c>
      <c r="F309" s="385">
        <f t="shared" si="103"/>
        <v>31.178553283071157</v>
      </c>
      <c r="G309" s="110">
        <f t="shared" si="126"/>
        <v>0.97776725310084767</v>
      </c>
      <c r="H309" s="414" t="b">
        <f>Wh_hp&gt;='2025'!Maxi_hp</f>
        <v>0</v>
      </c>
      <c r="I309" s="390">
        <f>IF(H309,Wh_hp,'2025'!Maxi_hp)</f>
        <v>31.179144018223443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6.7520658874543504E-2</v>
      </c>
      <c r="M309" s="844"/>
      <c r="N309" s="844"/>
      <c r="O309" s="48">
        <f>IF(t&lt;Tnet,'2025'!Resal+('2025'!Salim-'2025'!Resal)*(1-EXP(('2025'!Tnet-t)/('2025'!Tau_j))),Resal+(Salim-Resal)*(1-EXP((Tnet-t)/(Tau_j))))*Salcycl</f>
        <v>9.3082271572484457E-2</v>
      </c>
      <c r="P309" s="169">
        <f>(INDEX(Models!$BJ309:$BT309,,T309)*(1-R309)+INDEX(Models!$BJ309:$BT309,,T309+1)*R309-ERP_i)*Q309*Ramure*Pc/MaxiM</f>
        <v>1.1116408546878957E-3</v>
      </c>
      <c r="Q309" s="305">
        <f t="shared" si="105"/>
        <v>0.7</v>
      </c>
      <c r="R309" s="177">
        <f t="shared" si="106"/>
        <v>0.17781218850168856</v>
      </c>
      <c r="S309" s="810">
        <f t="shared" si="107"/>
        <v>-1</v>
      </c>
      <c r="T309" s="176">
        <f t="shared" si="108"/>
        <v>5</v>
      </c>
      <c r="U309" s="251">
        <f t="shared" si="109"/>
        <v>-0.82218781149831144</v>
      </c>
      <c r="V309" s="383">
        <f t="shared" si="110"/>
        <v>26.936708967037269</v>
      </c>
      <c r="W309" s="402">
        <f t="shared" si="111"/>
        <v>26.338761431455421</v>
      </c>
      <c r="X309" s="157">
        <f t="shared" si="112"/>
        <v>46317</v>
      </c>
      <c r="Y309" s="385">
        <f t="shared" si="113"/>
        <v>24.716079504388965</v>
      </c>
      <c r="Z309" s="385">
        <f t="shared" si="114"/>
        <v>26.505766309586953</v>
      </c>
      <c r="AA309" s="386">
        <f t="shared" si="115"/>
        <v>30.96389912317272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0.14397840516956714</v>
      </c>
      <c r="AD309" s="231">
        <f>(INDEX(Models!$BJ309:$BT309,,AH309)*(1-AF309)+INDEX(Models!$BJ309:$BT309,,AH309+1)*AF309-ERP_i)*AE309*Ramure*Pc/MaxiM</f>
        <v>7.1101489306155605E-3</v>
      </c>
      <c r="AE309" s="305">
        <f t="shared" si="117"/>
        <v>0.7</v>
      </c>
      <c r="AF309" s="177">
        <f t="shared" si="118"/>
        <v>0.9978022416008725</v>
      </c>
      <c r="AG309" s="810">
        <f t="shared" si="124"/>
        <v>1</v>
      </c>
      <c r="AH309" s="176">
        <f t="shared" si="119"/>
        <v>7</v>
      </c>
      <c r="AI309" s="225">
        <f t="shared" si="120"/>
        <v>1.9978022416008725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15.122517507362847</v>
      </c>
      <c r="C310" s="840"/>
      <c r="D310" s="393">
        <f t="shared" si="102"/>
        <v>16.217913654124732</v>
      </c>
      <c r="E310" s="385">
        <f t="shared" si="125"/>
        <v>17.883242751343527</v>
      </c>
      <c r="F310" s="385">
        <f t="shared" si="103"/>
        <v>17.891087065730527</v>
      </c>
      <c r="G310" s="110">
        <f t="shared" si="126"/>
        <v>0.56752978974938173</v>
      </c>
      <c r="H310" s="414" t="b">
        <f>Wh_hp&gt;='2025'!Maxi_hp</f>
        <v>0</v>
      </c>
      <c r="I310" s="390">
        <f>IF(H310,Wh_hp,'2025'!Maxi_hp)</f>
        <v>32.867779364445255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6.7542359031076193E-2</v>
      </c>
      <c r="M310" s="844"/>
      <c r="N310" s="844"/>
      <c r="O310" s="48">
        <f>IF(t&lt;Tnet,'2025'!Resal+('2025'!Salim-'2025'!Resal)*(1-EXP(('2025'!Tnet-t)/('2025'!Tau_j))),Resal+(Salim-Resal)*(1-EXP((Tnet-t)/(Tau_j))))*Salcycl</f>
        <v>9.3122322409546321E-2</v>
      </c>
      <c r="P310" s="169">
        <f>(INDEX(Models!$BJ310:$BT310,,T310)*(1-R310)+INDEX(Models!$BJ310:$BT310,,T310+1)*R310-ERP_i)*Q310*Ramure*Pc/MaxiM</f>
        <v>1.1454931479274115E-3</v>
      </c>
      <c r="Q310" s="305">
        <f t="shared" si="105"/>
        <v>0.7</v>
      </c>
      <c r="R310" s="177">
        <f t="shared" si="106"/>
        <v>0.17787715224714606</v>
      </c>
      <c r="S310" s="810">
        <f t="shared" si="107"/>
        <v>-1</v>
      </c>
      <c r="T310" s="176">
        <f t="shared" si="108"/>
        <v>5</v>
      </c>
      <c r="U310" s="251">
        <f t="shared" si="109"/>
        <v>-0.82212284775285394</v>
      </c>
      <c r="V310" s="383">
        <f t="shared" si="110"/>
        <v>26.627360871940038</v>
      </c>
      <c r="W310" s="402">
        <f t="shared" si="111"/>
        <v>15.122517507362847</v>
      </c>
      <c r="X310" s="157">
        <f t="shared" si="112"/>
        <v>46318</v>
      </c>
      <c r="Y310" s="385">
        <f t="shared" si="113"/>
        <v>14.242154841450931</v>
      </c>
      <c r="Z310" s="385">
        <f t="shared" si="114"/>
        <v>15.273782116956863</v>
      </c>
      <c r="AA310" s="386">
        <f t="shared" si="115"/>
        <v>17.841731437042142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0.14392937866746644</v>
      </c>
      <c r="AD310" s="231">
        <f>(INDEX(Models!$BJ310:$BT310,,AH310)*(1-AF310)+INDEX(Models!$BJ310:$BT310,,AH310+1)*AF310-ERP_i)*AE310*Ramure*Pc/MaxiM</f>
        <v>7.2073264386105645E-3</v>
      </c>
      <c r="AE310" s="305">
        <f t="shared" si="117"/>
        <v>0.7</v>
      </c>
      <c r="AF310" s="177">
        <f t="shared" si="118"/>
        <v>0.99786720534633</v>
      </c>
      <c r="AG310" s="810">
        <f t="shared" si="124"/>
        <v>1</v>
      </c>
      <c r="AH310" s="176">
        <f t="shared" si="119"/>
        <v>7</v>
      </c>
      <c r="AI310" s="225">
        <f t="shared" si="120"/>
        <v>1.99786720534633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18.754317815295675</v>
      </c>
      <c r="C311" s="840"/>
      <c r="D311" s="393">
        <f t="shared" si="102"/>
        <v>20.11325066341691</v>
      </c>
      <c r="E311" s="385">
        <f t="shared" si="125"/>
        <v>22.179524686957365</v>
      </c>
      <c r="F311" s="385">
        <f t="shared" si="103"/>
        <v>22.194874424556009</v>
      </c>
      <c r="G311" s="110">
        <f t="shared" si="126"/>
        <v>0.71219524524212952</v>
      </c>
      <c r="H311" s="414" t="b">
        <f>Wh_hp&gt;='2025'!Maxi_hp</f>
        <v>0</v>
      </c>
      <c r="I311" s="390">
        <f>IF(H311,Wh_hp,'2025'!Maxi_hp)</f>
        <v>32.024891553571138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6.7564058682614503E-2</v>
      </c>
      <c r="M311" s="844"/>
      <c r="N311" s="844"/>
      <c r="O311" s="48">
        <f>IF(t&lt;Tnet,'2025'!Resal+('2025'!Salim-'2025'!Resal)*(1-EXP(('2025'!Tnet-t)/('2025'!Tau_j))),Resal+(Salim-Resal)*(1-EXP((Tnet-t)/(Tau_j))))*Salcycl</f>
        <v>9.3161330222532909E-2</v>
      </c>
      <c r="P311" s="169">
        <f>(INDEX(Models!$BJ311:$BT311,,T311)*(1-R311)+INDEX(Models!$BJ311:$BT311,,T311+1)*R311-ERP_i)*Q311*Ramure*Pc/MaxiM</f>
        <v>1.1734955298103524E-3</v>
      </c>
      <c r="Q311" s="305">
        <f t="shared" si="105"/>
        <v>0.7</v>
      </c>
      <c r="R311" s="177">
        <f t="shared" si="106"/>
        <v>0.17793952025706017</v>
      </c>
      <c r="S311" s="810">
        <f t="shared" si="107"/>
        <v>-1</v>
      </c>
      <c r="T311" s="176">
        <f t="shared" si="108"/>
        <v>5</v>
      </c>
      <c r="U311" s="251">
        <f t="shared" si="109"/>
        <v>-0.82206047974293983</v>
      </c>
      <c r="V311" s="383">
        <f t="shared" si="110"/>
        <v>26.320414048098407</v>
      </c>
      <c r="W311" s="402">
        <f t="shared" si="111"/>
        <v>18.754317815295675</v>
      </c>
      <c r="X311" s="157">
        <f t="shared" si="112"/>
        <v>46319</v>
      </c>
      <c r="Y311" s="385">
        <f t="shared" si="113"/>
        <v>17.641728919475124</v>
      </c>
      <c r="Z311" s="385">
        <f t="shared" si="114"/>
        <v>18.920043874059736</v>
      </c>
      <c r="AA311" s="386">
        <f t="shared" si="115"/>
        <v>22.099731284189279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0.14387900781419796</v>
      </c>
      <c r="AD311" s="231">
        <f>(INDEX(Models!$BJ311:$BT311,,AH311)*(1-AF311)+INDEX(Models!$BJ311:$BT311,,AH311+1)*AF311-ERP_i)*AE311*Ramure*Pc/MaxiM</f>
        <v>7.2737432281800175E-3</v>
      </c>
      <c r="AE311" s="305">
        <f t="shared" si="117"/>
        <v>0.7</v>
      </c>
      <c r="AF311" s="177">
        <f t="shared" si="118"/>
        <v>0.9979295733562441</v>
      </c>
      <c r="AG311" s="810">
        <f t="shared" si="124"/>
        <v>1</v>
      </c>
      <c r="AH311" s="176">
        <f t="shared" si="119"/>
        <v>7</v>
      </c>
      <c r="AI311" s="225">
        <f t="shared" si="120"/>
        <v>1.9979295733562441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18.615242724395017</v>
      </c>
      <c r="C312" s="840"/>
      <c r="D312" s="393">
        <f t="shared" si="102"/>
        <v>19.964562833205282</v>
      </c>
      <c r="E312" s="385">
        <f t="shared" si="125"/>
        <v>22.016485271476544</v>
      </c>
      <c r="F312" s="385">
        <f t="shared" si="103"/>
        <v>22.032121218468571</v>
      </c>
      <c r="G312" s="110">
        <f t="shared" si="126"/>
        <v>0.71518644565230449</v>
      </c>
      <c r="H312" s="414" t="b">
        <f>Wh_hp&gt;='2025'!Maxi_hp</f>
        <v>0</v>
      </c>
      <c r="I312" s="390">
        <f>IF(H312,Wh_hp,'2025'!Maxi_hp)</f>
        <v>30.314275892312452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6.7585757829170201E-2</v>
      </c>
      <c r="M312" s="844"/>
      <c r="N312" s="844"/>
      <c r="O312" s="48">
        <f>IF(t&lt;Tnet,'2025'!Resal+('2025'!Salim-'2025'!Resal)*(1-EXP(('2025'!Tnet-t)/('2025'!Tau_j))),Resal+(Salim-Resal)*(1-EXP((Tnet-t)/(Tau_j))))*Salcycl</f>
        <v>9.3199364611100316E-2</v>
      </c>
      <c r="P312" s="169">
        <f>(INDEX(Models!$BJ312:$BT312,,T312)*(1-R312)+INDEX(Models!$BJ312:$BT312,,T312+1)*R312-ERP_i)*Q312*Ramure*Pc/MaxiM</f>
        <v>1.1955259628685115E-3</v>
      </c>
      <c r="Q312" s="305">
        <f t="shared" si="105"/>
        <v>0.7</v>
      </c>
      <c r="R312" s="177">
        <f t="shared" si="106"/>
        <v>0.1779993954821868</v>
      </c>
      <c r="S312" s="810">
        <f t="shared" si="107"/>
        <v>-1</v>
      </c>
      <c r="T312" s="176">
        <f t="shared" si="108"/>
        <v>5</v>
      </c>
      <c r="U312" s="251">
        <f t="shared" si="109"/>
        <v>-0.8220006045178132</v>
      </c>
      <c r="V312" s="383">
        <f t="shared" si="110"/>
        <v>26.01586262654045</v>
      </c>
      <c r="W312" s="402">
        <f t="shared" si="111"/>
        <v>18.615242724395017</v>
      </c>
      <c r="X312" s="157">
        <f t="shared" si="112"/>
        <v>46320</v>
      </c>
      <c r="Y312" s="385">
        <f t="shared" si="113"/>
        <v>17.512098123135047</v>
      </c>
      <c r="Z312" s="385">
        <f t="shared" si="114"/>
        <v>18.78145713686623</v>
      </c>
      <c r="AA312" s="386">
        <f t="shared" si="115"/>
        <v>21.936531479083701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0.14382740248729869</v>
      </c>
      <c r="AD312" s="231">
        <f>(INDEX(Models!$BJ312:$BT312,,AH312)*(1-AF312)+INDEX(Models!$BJ312:$BT312,,AH312+1)*AF312-ERP_i)*AE312*Ramure*Pc/MaxiM</f>
        <v>7.3088003736972726E-3</v>
      </c>
      <c r="AE312" s="305">
        <f t="shared" si="117"/>
        <v>0.7</v>
      </c>
      <c r="AF312" s="177">
        <f t="shared" si="118"/>
        <v>0.99798944858137073</v>
      </c>
      <c r="AG312" s="810">
        <f t="shared" si="124"/>
        <v>1</v>
      </c>
      <c r="AH312" s="176">
        <f t="shared" si="119"/>
        <v>7</v>
      </c>
      <c r="AI312" s="225">
        <f t="shared" si="120"/>
        <v>1.9979894485813707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11.062940733277529</v>
      </c>
      <c r="C313" s="840"/>
      <c r="D313" s="393">
        <f t="shared" si="102"/>
        <v>11.865110687610871</v>
      </c>
      <c r="E313" s="385">
        <f t="shared" si="125"/>
        <v>13.085121621320488</v>
      </c>
      <c r="F313" s="385">
        <f t="shared" si="103"/>
        <v>13.088071558222481</v>
      </c>
      <c r="G313" s="110">
        <f t="shared" si="126"/>
        <v>0.42981092353054984</v>
      </c>
      <c r="H313" s="414" t="b">
        <f>Wh_hp&gt;='2025'!Maxi_hp</f>
        <v>0</v>
      </c>
      <c r="I313" s="390">
        <f>IF(H313,Wh_hp,'2025'!Maxi_hp)</f>
        <v>30.638103345226707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6.7607456470755056E-2</v>
      </c>
      <c r="M313" s="844"/>
      <c r="N313" s="844"/>
      <c r="O313" s="48">
        <f>IF(t&lt;Tnet,'2025'!Resal+('2025'!Salim-'2025'!Resal)*(1-EXP(('2025'!Tnet-t)/('2025'!Tau_j))),Resal+(Salim-Resal)*(1-EXP((Tnet-t)/(Tau_j))))*Salcycl</f>
        <v>9.3236499362892342E-2</v>
      </c>
      <c r="P313" s="169">
        <f>(INDEX(Models!$BJ313:$BT313,,T313)*(1-R313)+INDEX(Models!$BJ313:$BT313,,T313+1)*R313-ERP_i)*Q313*Ramure*Pc/MaxiM</f>
        <v>1.2114528956001622E-3</v>
      </c>
      <c r="Q313" s="305">
        <f t="shared" si="105"/>
        <v>0.7</v>
      </c>
      <c r="R313" s="177">
        <f t="shared" si="106"/>
        <v>0.1780568768503703</v>
      </c>
      <c r="S313" s="810">
        <f t="shared" si="107"/>
        <v>-1</v>
      </c>
      <c r="T313" s="176">
        <f t="shared" si="108"/>
        <v>5</v>
      </c>
      <c r="U313" s="251">
        <f t="shared" si="109"/>
        <v>-0.8219431231496297</v>
      </c>
      <c r="V313" s="383">
        <f t="shared" si="110"/>
        <v>25.713700903036813</v>
      </c>
      <c r="W313" s="402">
        <f t="shared" si="111"/>
        <v>11.062940733277529</v>
      </c>
      <c r="X313" s="157">
        <f t="shared" si="112"/>
        <v>46321</v>
      </c>
      <c r="Y313" s="385">
        <f t="shared" si="113"/>
        <v>10.434492141259682</v>
      </c>
      <c r="Z313" s="385">
        <f t="shared" si="114"/>
        <v>11.191093508495436</v>
      </c>
      <c r="AA313" s="386">
        <f t="shared" si="115"/>
        <v>13.070266937690212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0.14377467867743987</v>
      </c>
      <c r="AD313" s="231">
        <f>(INDEX(Models!$BJ313:$BT313,,AH313)*(1-AF313)+INDEX(Models!$BJ313:$BT313,,AH313+1)*AF313-ERP_i)*AE313*Ramure*Pc/MaxiM</f>
        <v>7.3118374444899352E-3</v>
      </c>
      <c r="AE313" s="305">
        <f t="shared" si="117"/>
        <v>0.7</v>
      </c>
      <c r="AF313" s="177">
        <f t="shared" si="118"/>
        <v>0.99804692994955424</v>
      </c>
      <c r="AG313" s="810">
        <f t="shared" si="124"/>
        <v>1</v>
      </c>
      <c r="AH313" s="176">
        <f t="shared" si="119"/>
        <v>7</v>
      </c>
      <c r="AI313" s="225">
        <f t="shared" si="120"/>
        <v>1.9980469299495542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11.237357155637117</v>
      </c>
      <c r="C314" s="840"/>
      <c r="D314" s="393">
        <f t="shared" si="102"/>
        <v>12.052454461834969</v>
      </c>
      <c r="E314" s="385">
        <f t="shared" si="125"/>
        <v>13.292261028682274</v>
      </c>
      <c r="F314" s="385">
        <f t="shared" si="103"/>
        <v>13.295558594152286</v>
      </c>
      <c r="G314" s="110">
        <f t="shared" si="126"/>
        <v>0.44174286081061864</v>
      </c>
      <c r="H314" s="414" t="b">
        <f>Wh_hp&gt;='2025'!Maxi_hp</f>
        <v>0</v>
      </c>
      <c r="I314" s="390">
        <f>IF(H314,Wh_hp,'2025'!Maxi_hp)</f>
        <v>28.51542722480329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6.7629154607380726E-2</v>
      </c>
      <c r="M314" s="844"/>
      <c r="N314" s="844"/>
      <c r="O314" s="48">
        <f>IF(t&lt;Tnet,'2025'!Resal+('2025'!Salim-'2025'!Resal)*(1-EXP(('2025'!Tnet-t)/('2025'!Tau_j))),Resal+(Salim-Resal)*(1-EXP((Tnet-t)/(Tau_j))))*Salcycl</f>
        <v>9.3272812215471054E-2</v>
      </c>
      <c r="P314" s="169">
        <f>(INDEX(Models!$BJ314:$BT314,,T314)*(1-R314)+INDEX(Models!$BJ314:$BT314,,T314+1)*R314-ERP_i)*Q314*Ramure*Pc/MaxiM</f>
        <v>1.2211442412785279E-3</v>
      </c>
      <c r="Q314" s="305">
        <f t="shared" si="105"/>
        <v>0.7</v>
      </c>
      <c r="R314" s="177">
        <f t="shared" si="106"/>
        <v>0.17811205941899222</v>
      </c>
      <c r="S314" s="810">
        <f t="shared" si="107"/>
        <v>-1</v>
      </c>
      <c r="T314" s="176">
        <f t="shared" si="108"/>
        <v>5</v>
      </c>
      <c r="U314" s="251">
        <f t="shared" si="109"/>
        <v>-0.82188794058100778</v>
      </c>
      <c r="V314" s="383">
        <f t="shared" si="110"/>
        <v>25.413923109907966</v>
      </c>
      <c r="W314" s="402">
        <f t="shared" si="111"/>
        <v>11.237357155637117</v>
      </c>
      <c r="X314" s="157">
        <f t="shared" si="112"/>
        <v>46322</v>
      </c>
      <c r="Y314" s="385">
        <f t="shared" si="113"/>
        <v>10.59907024489206</v>
      </c>
      <c r="Z314" s="385">
        <f t="shared" si="114"/>
        <v>11.367869659661887</v>
      </c>
      <c r="AA314" s="386">
        <f t="shared" si="115"/>
        <v>13.275893842309223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0.14372095809975624</v>
      </c>
      <c r="AD314" s="231">
        <f>(INDEX(Models!$BJ314:$BT314,,AH314)*(1-AF314)+INDEX(Models!$BJ314:$BT314,,AH314+1)*AF314-ERP_i)*AE314*Ramure*Pc/MaxiM</f>
        <v>7.2821900543605768E-3</v>
      </c>
      <c r="AE314" s="305">
        <f t="shared" si="117"/>
        <v>0.7</v>
      </c>
      <c r="AF314" s="177">
        <f t="shared" si="118"/>
        <v>0.99810211251817615</v>
      </c>
      <c r="AG314" s="810">
        <f t="shared" si="124"/>
        <v>1</v>
      </c>
      <c r="AH314" s="176">
        <f t="shared" si="119"/>
        <v>7</v>
      </c>
      <c r="AI314" s="225">
        <f t="shared" si="120"/>
        <v>1.9981021125181762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15.20964568321835</v>
      </c>
      <c r="C315" s="840"/>
      <c r="D315" s="393">
        <f t="shared" si="102"/>
        <v>16.313251017330455</v>
      </c>
      <c r="E315" s="385">
        <f t="shared" si="125"/>
        <v>17.992061181614606</v>
      </c>
      <c r="F315" s="385">
        <f t="shared" si="103"/>
        <v>18.001683139192572</v>
      </c>
      <c r="G315" s="110">
        <f t="shared" si="126"/>
        <v>0.60514529424608443</v>
      </c>
      <c r="H315" s="414" t="b">
        <f>Wh_hp&gt;='2025'!Maxi_hp</f>
        <v>0</v>
      </c>
      <c r="I315" s="390">
        <f>IF(H315,Wh_hp,'2025'!Maxi_hp)</f>
        <v>29.596972349647235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6.76508522390592E-2</v>
      </c>
      <c r="M315" s="844"/>
      <c r="N315" s="844"/>
      <c r="O315" s="48">
        <f>IF(t&lt;Tnet,'2025'!Resal+('2025'!Salim-'2025'!Resal)*(1-EXP(('2025'!Tnet-t)/('2025'!Tau_j))),Resal+(Salim-Resal)*(1-EXP((Tnet-t)/(Tau_j))))*Salcycl</f>
        <v>9.3308384589068857E-2</v>
      </c>
      <c r="P315" s="169">
        <f>(INDEX(Models!$BJ315:$BT315,,T315)*(1-R315)+INDEX(Models!$BJ315:$BT315,,T315+1)*R315-ERP_i)*Q315*Ramure*Pc/MaxiM</f>
        <v>1.2244671095646014E-3</v>
      </c>
      <c r="Q315" s="305">
        <f t="shared" si="105"/>
        <v>0.7</v>
      </c>
      <c r="R315" s="177">
        <f t="shared" si="106"/>
        <v>0.17816503452201782</v>
      </c>
      <c r="S315" s="810">
        <f t="shared" si="107"/>
        <v>-1</v>
      </c>
      <c r="T315" s="176">
        <f t="shared" si="108"/>
        <v>5</v>
      </c>
      <c r="U315" s="251">
        <f t="shared" si="109"/>
        <v>-0.82183496547798218</v>
      </c>
      <c r="V315" s="383">
        <f t="shared" si="110"/>
        <v>25.116523435425322</v>
      </c>
      <c r="W315" s="402">
        <f t="shared" si="111"/>
        <v>15.20964568321835</v>
      </c>
      <c r="X315" s="157">
        <f t="shared" si="112"/>
        <v>46323</v>
      </c>
      <c r="Y315" s="385">
        <f t="shared" si="113"/>
        <v>14.327286104462106</v>
      </c>
      <c r="Z315" s="385">
        <f t="shared" si="114"/>
        <v>15.366867807912339</v>
      </c>
      <c r="AA315" s="386">
        <f t="shared" si="115"/>
        <v>17.944954197062192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0.1436663677621377</v>
      </c>
      <c r="AD315" s="231">
        <f>(INDEX(Models!$BJ315:$BT315,,AH315)*(1-AF315)+INDEX(Models!$BJ315:$BT315,,AH315+1)*AF315-ERP_i)*AE315*Ramure*Pc/MaxiM</f>
        <v>7.2191883238110332E-3</v>
      </c>
      <c r="AE315" s="305">
        <f t="shared" si="117"/>
        <v>0.7</v>
      </c>
      <c r="AF315" s="177">
        <f t="shared" si="118"/>
        <v>0.99815508762120175</v>
      </c>
      <c r="AG315" s="810">
        <f t="shared" si="124"/>
        <v>1</v>
      </c>
      <c r="AH315" s="176">
        <f t="shared" si="119"/>
        <v>7</v>
      </c>
      <c r="AI315" s="225">
        <f t="shared" si="120"/>
        <v>1.9981550876212018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21.411897144464923</v>
      </c>
      <c r="C316" s="840"/>
      <c r="D316" s="393">
        <f t="shared" si="102"/>
        <v>22.966069624894011</v>
      </c>
      <c r="E316" s="385">
        <f t="shared" si="125"/>
        <v>25.33050233634064</v>
      </c>
      <c r="F316" s="385">
        <f t="shared" si="103"/>
        <v>25.355391890886978</v>
      </c>
      <c r="G316" s="110">
        <f t="shared" si="126"/>
        <v>0.86242829563025636</v>
      </c>
      <c r="H316" s="414" t="b">
        <f>Wh_hp&gt;='2025'!Maxi_hp</f>
        <v>0</v>
      </c>
      <c r="I316" s="390">
        <f>IF(H316,Wh_hp,'2025'!Maxi_hp)</f>
        <v>26.808132600527212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6.7672549365802026E-2</v>
      </c>
      <c r="M316" s="844"/>
      <c r="N316" s="844"/>
      <c r="O316" s="48">
        <f>IF(t&lt;Tnet,'2025'!Resal+('2025'!Salim-'2025'!Resal)*(1-EXP(('2025'!Tnet-t)/('2025'!Tau_j))),Resal+(Salim-Resal)*(1-EXP((Tnet-t)/(Tau_j))))*Salcycl</f>
        <v>9.3343301291521311E-2</v>
      </c>
      <c r="P316" s="169">
        <f>(INDEX(Models!$BJ316:$BT316,,T316)*(1-R316)+INDEX(Models!$BJ316:$BT316,,T316+1)*R316-ERP_i)*Q316*Ramure*Pc/MaxiM</f>
        <v>1.2212874890828694E-3</v>
      </c>
      <c r="Q316" s="305">
        <f t="shared" si="105"/>
        <v>0.7</v>
      </c>
      <c r="R316" s="177">
        <f t="shared" si="106"/>
        <v>0.1782158899118067</v>
      </c>
      <c r="S316" s="810">
        <f t="shared" si="107"/>
        <v>-1</v>
      </c>
      <c r="T316" s="176">
        <f t="shared" si="108"/>
        <v>5</v>
      </c>
      <c r="U316" s="251">
        <f t="shared" si="109"/>
        <v>-0.8217841100881933</v>
      </c>
      <c r="V316" s="383">
        <f t="shared" si="110"/>
        <v>24.821496047299629</v>
      </c>
      <c r="W316" s="402">
        <f t="shared" si="111"/>
        <v>21.411897144464923</v>
      </c>
      <c r="X316" s="157">
        <f t="shared" si="112"/>
        <v>46324</v>
      </c>
      <c r="Y316" s="385">
        <f t="shared" si="113"/>
        <v>20.128739585553859</v>
      </c>
      <c r="Z316" s="385">
        <f t="shared" si="114"/>
        <v>21.589774678265311</v>
      </c>
      <c r="AA316" s="386">
        <f t="shared" si="115"/>
        <v>25.210244029159913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0.14361103949279175</v>
      </c>
      <c r="AD316" s="231">
        <f>(INDEX(Models!$BJ316:$BT316,,AH316)*(1-AF316)+INDEX(Models!$BJ316:$BT316,,AH316+1)*AF316-ERP_i)*AE316*Ramure*Pc/MaxiM</f>
        <v>7.122155089773239E-3</v>
      </c>
      <c r="AE316" s="305">
        <f t="shared" si="117"/>
        <v>0.7</v>
      </c>
      <c r="AF316" s="177">
        <f t="shared" si="118"/>
        <v>0.99820594301099064</v>
      </c>
      <c r="AG316" s="810">
        <f t="shared" si="124"/>
        <v>1</v>
      </c>
      <c r="AH316" s="176">
        <f t="shared" si="119"/>
        <v>7</v>
      </c>
      <c r="AI316" s="225">
        <f t="shared" si="120"/>
        <v>1.9982059430109906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17.696015860516955</v>
      </c>
      <c r="C317" s="840"/>
      <c r="D317" s="393">
        <f t="shared" si="102"/>
        <v>18.980914559797935</v>
      </c>
      <c r="E317" s="385">
        <f t="shared" si="125"/>
        <v>20.935855556530285</v>
      </c>
      <c r="F317" s="385">
        <f t="shared" si="103"/>
        <v>20.951138365844979</v>
      </c>
      <c r="G317" s="110">
        <f t="shared" si="126"/>
        <v>0.72111866584540507</v>
      </c>
      <c r="H317" s="414" t="b">
        <f>Wh_hp&gt;='2025'!Maxi_hp</f>
        <v>0</v>
      </c>
      <c r="I317" s="390">
        <f>IF(H317,Wh_hp,'2025'!Maxi_hp)</f>
        <v>25.646872317786048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6.7694245987621082E-2</v>
      </c>
      <c r="M317" s="844"/>
      <c r="N317" s="844"/>
      <c r="O317" s="48">
        <f>IF(t&lt;Tnet,'2025'!Resal+('2025'!Salim-'2025'!Resal)*(1-EXP(('2025'!Tnet-t)/('2025'!Tau_j))),Resal+(Salim-Resal)*(1-EXP((Tnet-t)/(Tau_j))))*Salcycl</f>
        <v>9.3377650196987808E-2</v>
      </c>
      <c r="P317" s="169">
        <f>(INDEX(Models!$BJ317:$BT317,,T317)*(1-R317)+INDEX(Models!$BJ317:$BT317,,T317+1)*R317-ERP_i)*Q317*Ramure*Pc/MaxiM</f>
        <v>1.2115192677732093E-3</v>
      </c>
      <c r="Q317" s="305">
        <f t="shared" si="105"/>
        <v>0.7</v>
      </c>
      <c r="R317" s="177">
        <f t="shared" si="106"/>
        <v>0.17826470989584098</v>
      </c>
      <c r="S317" s="810">
        <f t="shared" si="107"/>
        <v>-1</v>
      </c>
      <c r="T317" s="176">
        <f t="shared" si="108"/>
        <v>5</v>
      </c>
      <c r="U317" s="251">
        <f t="shared" si="109"/>
        <v>-0.82173529010415902</v>
      </c>
      <c r="V317" s="383">
        <f t="shared" si="110"/>
        <v>24.527833998470076</v>
      </c>
      <c r="W317" s="402">
        <f t="shared" si="111"/>
        <v>17.696015860516955</v>
      </c>
      <c r="X317" s="157">
        <f t="shared" si="112"/>
        <v>46325</v>
      </c>
      <c r="Y317" s="385">
        <f t="shared" si="113"/>
        <v>16.658411373207134</v>
      </c>
      <c r="Z317" s="385">
        <f t="shared" si="114"/>
        <v>17.867970139103043</v>
      </c>
      <c r="AA317" s="386">
        <f t="shared" si="115"/>
        <v>20.862953747328639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0.14355510942975103</v>
      </c>
      <c r="AD317" s="231">
        <f>(INDEX(Models!$BJ317:$BT317,,AH317)*(1-AF317)+INDEX(Models!$BJ317:$BT317,,AH317+1)*AF317-ERP_i)*AE317*Ramure*Pc/MaxiM</f>
        <v>6.9906888356621706E-3</v>
      </c>
      <c r="AE317" s="305">
        <f t="shared" si="117"/>
        <v>0.7</v>
      </c>
      <c r="AF317" s="177">
        <f t="shared" si="118"/>
        <v>0.99825476299502491</v>
      </c>
      <c r="AG317" s="810">
        <f t="shared" si="124"/>
        <v>1</v>
      </c>
      <c r="AH317" s="176">
        <f t="shared" si="119"/>
        <v>7</v>
      </c>
      <c r="AI317" s="225">
        <f t="shared" si="120"/>
        <v>1.9982547629950249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16.726088684130779</v>
      </c>
      <c r="C318" s="840"/>
      <c r="D318" s="393">
        <f t="shared" si="102"/>
        <v>17.940978977896577</v>
      </c>
      <c r="E318" s="385">
        <f t="shared" si="125"/>
        <v>19.789551060148831</v>
      </c>
      <c r="F318" s="385">
        <f t="shared" si="103"/>
        <v>19.80273704158558</v>
      </c>
      <c r="G318" s="110">
        <f t="shared" si="126"/>
        <v>0.68980164168522606</v>
      </c>
      <c r="H318" s="414" t="b">
        <f>Wh_hp&gt;='2025'!Maxi_hp</f>
        <v>0</v>
      </c>
      <c r="I318" s="390">
        <f>IF(H318,Wh_hp,'2025'!Maxi_hp)</f>
        <v>29.156794138449072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6.7715942104527915E-2</v>
      </c>
      <c r="M318" s="844"/>
      <c r="N318" s="844"/>
      <c r="O318" s="48">
        <f>IF(t&lt;Tnet,'2025'!Resal+('2025'!Salim-'2025'!Resal)*(1-EXP(('2025'!Tnet-t)/('2025'!Tau_j))),Resal+(Salim-Resal)*(1-EXP((Tnet-t)/(Tau_j))))*Salcycl</f>
        <v>9.3411521900302885E-2</v>
      </c>
      <c r="P318" s="169">
        <f>(INDEX(Models!$BJ318:$BT318,,T318)*(1-R318)+INDEX(Models!$BJ318:$BT318,,T318+1)*R318-ERP_i)*Q318*Ramure*Pc/MaxiM</f>
        <v>1.1946341969819591E-3</v>
      </c>
      <c r="Q318" s="305">
        <f t="shared" si="105"/>
        <v>0.7</v>
      </c>
      <c r="R318" s="177">
        <f t="shared" si="106"/>
        <v>0.1783115754685296</v>
      </c>
      <c r="S318" s="810">
        <f t="shared" si="107"/>
        <v>-1</v>
      </c>
      <c r="T318" s="176">
        <f t="shared" si="108"/>
        <v>5</v>
      </c>
      <c r="U318" s="251">
        <f t="shared" si="109"/>
        <v>-0.8216884245314704</v>
      </c>
      <c r="V318" s="383">
        <f t="shared" si="110"/>
        <v>24.234848929602027</v>
      </c>
      <c r="W318" s="402">
        <f t="shared" si="111"/>
        <v>16.726088684130779</v>
      </c>
      <c r="X318" s="157">
        <f t="shared" si="112"/>
        <v>46326</v>
      </c>
      <c r="Y318" s="385">
        <f t="shared" si="113"/>
        <v>15.752338570786362</v>
      </c>
      <c r="Z318" s="385">
        <f t="shared" si="114"/>
        <v>16.896501058213438</v>
      </c>
      <c r="AA318" s="386">
        <f t="shared" si="115"/>
        <v>19.727350563222362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0.14349871747534459</v>
      </c>
      <c r="AD318" s="231">
        <f>(INDEX(Models!$BJ318:$BT318,,AH318)*(1-AF318)+INDEX(Models!$BJ318:$BT318,,AH318+1)*AF318-ERP_i)*AE318*Ramure*Pc/MaxiM</f>
        <v>6.829925059028661E-3</v>
      </c>
      <c r="AE318" s="305">
        <f t="shared" si="117"/>
        <v>0.7</v>
      </c>
      <c r="AF318" s="177">
        <f t="shared" si="118"/>
        <v>0.99830162856771354</v>
      </c>
      <c r="AG318" s="810">
        <f t="shared" si="124"/>
        <v>1</v>
      </c>
      <c r="AH318" s="176">
        <f t="shared" si="119"/>
        <v>7</v>
      </c>
      <c r="AI318" s="225">
        <f t="shared" si="120"/>
        <v>1.9983016285677135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16.803956527700727</v>
      </c>
      <c r="C319" s="840"/>
      <c r="D319" s="393">
        <f t="shared" si="102"/>
        <v>18.024922175922065</v>
      </c>
      <c r="E319" s="385">
        <f t="shared" si="125"/>
        <v>19.88287788585092</v>
      </c>
      <c r="F319" s="385">
        <f t="shared" si="103"/>
        <v>19.89628582296535</v>
      </c>
      <c r="G319" s="110">
        <f t="shared" si="126"/>
        <v>0.70148304573834586</v>
      </c>
      <c r="H319" s="414" t="b">
        <f>Wh_hp&gt;='2025'!Maxi_hp</f>
        <v>0</v>
      </c>
      <c r="I319" s="390">
        <f>IF(H319,Wh_hp,'2025'!Maxi_hp)</f>
        <v>28.781907422136918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6.7737637716534516E-2</v>
      </c>
      <c r="M319" s="844"/>
      <c r="N319" s="844"/>
      <c r="O319" s="48">
        <f>IF(t&lt;Tnet,'2025'!Resal+('2025'!Salim-'2025'!Resal)*(1-EXP(('2025'!Tnet-t)/('2025'!Tau_j))),Resal+(Salim-Resal)*(1-EXP((Tnet-t)/(Tau_j))))*Salcycl</f>
        <v>9.3445009349024777E-2</v>
      </c>
      <c r="P319" s="169">
        <f>(INDEX(Models!$BJ319:$BT319,,T319)*(1-R319)+INDEX(Models!$BJ319:$BT319,,T319+1)*R319-ERP_i)*Q319*Ramure*Pc/MaxiM</f>
        <v>1.1739269424781002E-3</v>
      </c>
      <c r="Q319" s="305">
        <f t="shared" si="105"/>
        <v>0.7</v>
      </c>
      <c r="R319" s="177">
        <f t="shared" si="106"/>
        <v>0.17835656443824299</v>
      </c>
      <c r="S319" s="810">
        <f t="shared" si="107"/>
        <v>-1</v>
      </c>
      <c r="T319" s="176">
        <f t="shared" si="108"/>
        <v>5</v>
      </c>
      <c r="U319" s="251">
        <f t="shared" si="109"/>
        <v>-0.82164343556175701</v>
      </c>
      <c r="V319" s="383">
        <f t="shared" si="110"/>
        <v>23.94291407183152</v>
      </c>
      <c r="W319" s="402">
        <f t="shared" si="111"/>
        <v>16.803956527700727</v>
      </c>
      <c r="X319" s="157">
        <f t="shared" si="112"/>
        <v>46327</v>
      </c>
      <c r="Y319" s="385">
        <f t="shared" si="113"/>
        <v>15.827168339567974</v>
      </c>
      <c r="Z319" s="385">
        <f t="shared" si="114"/>
        <v>16.977161129621507</v>
      </c>
      <c r="AA319" s="386">
        <f t="shared" si="115"/>
        <v>19.820212131336152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0.14344200671897578</v>
      </c>
      <c r="AD319" s="231">
        <f>(INDEX(Models!$BJ319:$BT319,,AH319)*(1-AF319)+INDEX(Models!$BJ319:$BT319,,AH319+1)*AF319-ERP_i)*AE319*Ramure*Pc/MaxiM</f>
        <v>6.6606037494895106E-3</v>
      </c>
      <c r="AE319" s="305">
        <f t="shared" si="117"/>
        <v>0.7</v>
      </c>
      <c r="AF319" s="177">
        <f t="shared" si="118"/>
        <v>0.99834661753742693</v>
      </c>
      <c r="AG319" s="810">
        <f t="shared" si="124"/>
        <v>1</v>
      </c>
      <c r="AH319" s="176">
        <f t="shared" si="119"/>
        <v>7</v>
      </c>
      <c r="AI319" s="225">
        <f t="shared" si="120"/>
        <v>1.9983466175374269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22.769195268023889</v>
      </c>
      <c r="C320" s="840"/>
      <c r="D320" s="393">
        <f t="shared" si="102"/>
        <v>24.424160058356208</v>
      </c>
      <c r="E320" s="385">
        <f t="shared" si="125"/>
        <v>26.942716942081706</v>
      </c>
      <c r="F320" s="385">
        <f t="shared" si="103"/>
        <v>26.972062064795367</v>
      </c>
      <c r="G320" s="110">
        <f t="shared" si="126"/>
        <v>0.96259635294590762</v>
      </c>
      <c r="H320" s="414" t="b">
        <f>Wh_hp&gt;='2025'!Maxi_hp</f>
        <v>0</v>
      </c>
      <c r="I320" s="390">
        <f>IF(H320,Wh_hp,'2025'!Maxi_hp)</f>
        <v>26.972938710100351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6.7759332823652541E-2</v>
      </c>
      <c r="M320" s="844"/>
      <c r="N320" s="844"/>
      <c r="O320" s="48">
        <f>IF(t&lt;Tnet,'2025'!Resal+('2025'!Salim-'2025'!Resal)*(1-EXP(('2025'!Tnet-t)/('2025'!Tau_j))),Resal+(Salim-Resal)*(1-EXP((Tnet-t)/(Tau_j))))*Salcycl</f>
        <v>9.3478207455454362E-2</v>
      </c>
      <c r="P320" s="169">
        <f>(INDEX(Models!$BJ320:$BT320,,T320)*(1-R320)+INDEX(Models!$BJ320:$BT320,,T320+1)*R320-ERP_i)*Q320*Ramure*Pc/MaxiM</f>
        <v>1.1492964120160018E-3</v>
      </c>
      <c r="Q320" s="305">
        <f t="shared" si="105"/>
        <v>0.7</v>
      </c>
      <c r="R320" s="177">
        <f t="shared" si="106"/>
        <v>0.1783997515497262</v>
      </c>
      <c r="S320" s="810">
        <f t="shared" si="107"/>
        <v>-1</v>
      </c>
      <c r="T320" s="176">
        <f t="shared" si="108"/>
        <v>5</v>
      </c>
      <c r="U320" s="251">
        <f t="shared" si="109"/>
        <v>-0.8216002484502738</v>
      </c>
      <c r="V320" s="383">
        <f t="shared" si="110"/>
        <v>23.652486945249976</v>
      </c>
      <c r="W320" s="402">
        <f t="shared" si="111"/>
        <v>22.769195268023889</v>
      </c>
      <c r="X320" s="157">
        <f t="shared" si="112"/>
        <v>46328</v>
      </c>
      <c r="Y320" s="385">
        <f t="shared" si="113"/>
        <v>21.406935477850002</v>
      </c>
      <c r="Z320" s="385">
        <f t="shared" si="114"/>
        <v>22.962885262975291</v>
      </c>
      <c r="AA320" s="386">
        <f t="shared" si="115"/>
        <v>26.806545012254819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0.14338512283184451</v>
      </c>
      <c r="AD320" s="231">
        <f>(INDEX(Models!$BJ320:$BT320,,AH320)*(1-AF320)+INDEX(Models!$BJ320:$BT320,,AH320+1)*AF320-ERP_i)*AE320*Ramure*Pc/MaxiM</f>
        <v>6.4824453613123618E-3</v>
      </c>
      <c r="AE320" s="305">
        <f t="shared" si="117"/>
        <v>0.7</v>
      </c>
      <c r="AF320" s="177">
        <f t="shared" si="118"/>
        <v>0.99838980464891014</v>
      </c>
      <c r="AG320" s="810">
        <f t="shared" si="124"/>
        <v>1</v>
      </c>
      <c r="AH320" s="176">
        <f t="shared" si="119"/>
        <v>7</v>
      </c>
      <c r="AI320" s="225">
        <f t="shared" si="120"/>
        <v>1.9983898046489101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9.2705282243846003</v>
      </c>
      <c r="C321" s="840"/>
      <c r="D321" s="393">
        <f t="shared" si="102"/>
        <v>9.9445822249103006</v>
      </c>
      <c r="E321" s="385">
        <f t="shared" si="125"/>
        <v>10.970441514707241</v>
      </c>
      <c r="F321" s="385">
        <f t="shared" si="103"/>
        <v>10.972141611582275</v>
      </c>
      <c r="G321" s="110">
        <f t="shared" si="126"/>
        <v>0.39640320259434902</v>
      </c>
      <c r="H321" s="414" t="b">
        <f>Wh_hp&gt;='2025'!Maxi_hp</f>
        <v>0</v>
      </c>
      <c r="I321" s="390">
        <f>IF(H321,Wh_hp,'2025'!Maxi_hp)</f>
        <v>25.62517790632015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6.7781027425893647E-2</v>
      </c>
      <c r="M321" s="844"/>
      <c r="N321" s="844"/>
      <c r="O321" s="48">
        <f>IF(t&lt;Tnet,'2025'!Resal+('2025'!Salim-'2025'!Resal)*(1-EXP(('2025'!Tnet-t)/('2025'!Tau_j))),Resal+(Salim-Resal)*(1-EXP((Tnet-t)/(Tau_j))))*Salcycl</f>
        <v>9.3511212691088988E-2</v>
      </c>
      <c r="P321" s="169">
        <f>(INDEX(Models!$BJ321:$BT321,,T321)*(1-R321)+INDEX(Models!$BJ321:$BT321,,T321+1)*R321-ERP_i)*Q321*Ramure*Pc/MaxiM</f>
        <v>1.1206391958628597E-3</v>
      </c>
      <c r="Q321" s="305">
        <f t="shared" si="105"/>
        <v>0.7</v>
      </c>
      <c r="R321" s="177">
        <f t="shared" si="106"/>
        <v>0.17844120860204082</v>
      </c>
      <c r="S321" s="810">
        <f t="shared" si="107"/>
        <v>-1</v>
      </c>
      <c r="T321" s="176">
        <f t="shared" si="108"/>
        <v>5</v>
      </c>
      <c r="U321" s="251">
        <f t="shared" si="109"/>
        <v>-0.82155879139795918</v>
      </c>
      <c r="V321" s="383">
        <f t="shared" si="110"/>
        <v>23.364025054893322</v>
      </c>
      <c r="W321" s="402">
        <f t="shared" si="111"/>
        <v>9.2705282243846003</v>
      </c>
      <c r="X321" s="157">
        <f t="shared" si="112"/>
        <v>46329</v>
      </c>
      <c r="Y321" s="385">
        <f t="shared" si="113"/>
        <v>8.7547878597892428</v>
      </c>
      <c r="Z321" s="385">
        <f t="shared" si="114"/>
        <v>9.3913427181329805</v>
      </c>
      <c r="AA321" s="386">
        <f t="shared" si="115"/>
        <v>10.962591351137112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0.14332821343752375</v>
      </c>
      <c r="AD321" s="231">
        <f>(INDEX(Models!$BJ321:$BT321,,AH321)*(1-AF321)+INDEX(Models!$BJ321:$BT321,,AH321+1)*AF321-ERP_i)*AE321*Ramure*Pc/MaxiM</f>
        <v>6.2951684358194876E-3</v>
      </c>
      <c r="AE321" s="305">
        <f t="shared" si="117"/>
        <v>0.7</v>
      </c>
      <c r="AF321" s="177">
        <f t="shared" si="118"/>
        <v>0.99843126170122476</v>
      </c>
      <c r="AG321" s="810">
        <f t="shared" si="124"/>
        <v>1</v>
      </c>
      <c r="AH321" s="176">
        <f t="shared" si="119"/>
        <v>7</v>
      </c>
      <c r="AI321" s="225">
        <f t="shared" si="120"/>
        <v>1.9984312617012248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15.353194404739337</v>
      </c>
      <c r="C322" s="840"/>
      <c r="D322" s="393">
        <f t="shared" si="102"/>
        <v>16.469898335068553</v>
      </c>
      <c r="E322" s="385">
        <f t="shared" si="125"/>
        <v>18.169553253393012</v>
      </c>
      <c r="F322" s="385">
        <f t="shared" si="103"/>
        <v>18.179873287138399</v>
      </c>
      <c r="G322" s="110">
        <f t="shared" si="126"/>
        <v>0.66492818699489065</v>
      </c>
      <c r="H322" s="414" t="b">
        <f>Wh_hp&gt;='2025'!Maxi_hp</f>
        <v>0</v>
      </c>
      <c r="I322" s="390">
        <f>IF(H322,Wh_hp,'2025'!Maxi_hp)</f>
        <v>21.931273937161258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6.7802721523269716E-2</v>
      </c>
      <c r="M322" s="844"/>
      <c r="N322" s="844"/>
      <c r="O322" s="48">
        <f>IF(t&lt;Tnet,'2025'!Resal+('2025'!Salim-'2025'!Resal)*(1-EXP(('2025'!Tnet-t)/('2025'!Tau_j))),Resal+(Salim-Resal)*(1-EXP((Tnet-t)/(Tau_j))))*Salcycl</f>
        <v>9.3544122666145535E-2</v>
      </c>
      <c r="P322" s="169">
        <f>(INDEX(Models!$BJ322:$BT322,,T322)*(1-R322)+INDEX(Models!$BJ322:$BT322,,T322+1)*R322-ERP_i)*Q322*Ramure*Pc/MaxiM</f>
        <v>1.08784998200772E-3</v>
      </c>
      <c r="Q322" s="305">
        <f t="shared" si="105"/>
        <v>0.7</v>
      </c>
      <c r="R322" s="177">
        <f t="shared" si="106"/>
        <v>0.17848100456217875</v>
      </c>
      <c r="S322" s="810">
        <f t="shared" si="107"/>
        <v>-1</v>
      </c>
      <c r="T322" s="176">
        <f t="shared" si="108"/>
        <v>5</v>
      </c>
      <c r="U322" s="251">
        <f t="shared" si="109"/>
        <v>-0.82151899543782125</v>
      </c>
      <c r="V322" s="383">
        <f t="shared" si="110"/>
        <v>23.07798590930987</v>
      </c>
      <c r="W322" s="402">
        <f t="shared" si="111"/>
        <v>15.353194404739337</v>
      </c>
      <c r="X322" s="157">
        <f t="shared" si="112"/>
        <v>46330</v>
      </c>
      <c r="Y322" s="385">
        <f t="shared" si="113"/>
        <v>14.472970160437068</v>
      </c>
      <c r="Z322" s="385">
        <f t="shared" si="114"/>
        <v>15.525651591781971</v>
      </c>
      <c r="AA322" s="386">
        <f t="shared" si="115"/>
        <v>18.122019142886703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0.14327142746253335</v>
      </c>
      <c r="AD322" s="231">
        <f>(INDEX(Models!$BJ322:$BT322,,AH322)*(1-AF322)+INDEX(Models!$BJ322:$BT322,,AH322+1)*AF322-ERP_i)*AE322*Ramure*Pc/MaxiM</f>
        <v>6.098490696447815E-3</v>
      </c>
      <c r="AE322" s="305">
        <f t="shared" si="117"/>
        <v>0.7</v>
      </c>
      <c r="AF322" s="177">
        <f t="shared" si="118"/>
        <v>0.99847105766136268</v>
      </c>
      <c r="AG322" s="810">
        <f t="shared" si="124"/>
        <v>1</v>
      </c>
      <c r="AH322" s="176">
        <f t="shared" si="119"/>
        <v>7</v>
      </c>
      <c r="AI322" s="225">
        <f t="shared" si="120"/>
        <v>1.9984710576613627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23.243194646327346</v>
      </c>
      <c r="C323" s="840"/>
      <c r="D323" s="393">
        <f t="shared" si="102"/>
        <v>24.934352522453757</v>
      </c>
      <c r="E323" s="385">
        <f t="shared" si="125"/>
        <v>27.508518102942652</v>
      </c>
      <c r="F323" s="385">
        <f t="shared" si="103"/>
        <v>27.537455067889486</v>
      </c>
      <c r="G323" s="110">
        <f t="shared" si="126"/>
        <v>1.0196697086355613</v>
      </c>
      <c r="H323" s="414" t="b">
        <f>Wh_hp&gt;='2025'!Maxi_hp</f>
        <v>1</v>
      </c>
      <c r="I323" s="390">
        <f>IF(H323,Wh_hp,'2025'!Maxi_hp)</f>
        <v>27.537455067889486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6.7824415115792513E-2</v>
      </c>
      <c r="M323" s="844"/>
      <c r="N323" s="844"/>
      <c r="O323" s="48">
        <f>IF(t&lt;Tnet,'2025'!Resal+('2025'!Salim-'2025'!Resal)*(1-EXP(('2025'!Tnet-t)/('2025'!Tau_j))),Resal+(Salim-Resal)*(1-EXP((Tnet-t)/(Tau_j))))*Salcycl</f>
        <v>9.3577035696936789E-2</v>
      </c>
      <c r="P323" s="169">
        <f>(INDEX(Models!$BJ323:$BT323,,T323)*(1-R323)+INDEX(Models!$BJ323:$BT323,,T323+1)*R323-ERP_i)*Q323*Ramure*Pc/MaxiM</f>
        <v>1.0508220485696653E-3</v>
      </c>
      <c r="Q323" s="305">
        <f t="shared" si="105"/>
        <v>0.7</v>
      </c>
      <c r="R323" s="177">
        <f t="shared" si="106"/>
        <v>0.1785192056744902</v>
      </c>
      <c r="S323" s="810">
        <f t="shared" si="107"/>
        <v>-1</v>
      </c>
      <c r="T323" s="176">
        <f t="shared" si="108"/>
        <v>5</v>
      </c>
      <c r="U323" s="251">
        <f t="shared" si="109"/>
        <v>-0.8214807943255098</v>
      </c>
      <c r="V323" s="383">
        <f t="shared" si="110"/>
        <v>22.794827040051516</v>
      </c>
      <c r="W323" s="402">
        <f t="shared" si="111"/>
        <v>23.243194646327346</v>
      </c>
      <c r="X323" s="157">
        <f t="shared" si="112"/>
        <v>46331</v>
      </c>
      <c r="Y323" s="385">
        <f t="shared" si="113"/>
        <v>21.86386490159169</v>
      </c>
      <c r="Z323" s="385">
        <f t="shared" si="114"/>
        <v>23.454663752331129</v>
      </c>
      <c r="AA323" s="386">
        <f t="shared" si="115"/>
        <v>27.375200792456344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0.14321491447126036</v>
      </c>
      <c r="AD323" s="231">
        <f>(INDEX(Models!$BJ323:$BT323,,AH323)*(1-AF323)+INDEX(Models!$BJ323:$BT323,,AH323+1)*AF323-ERP_i)*AE323*Ramure*Pc/MaxiM</f>
        <v>5.8921303741804477E-3</v>
      </c>
      <c r="AE323" s="305">
        <f t="shared" si="117"/>
        <v>0.7</v>
      </c>
      <c r="AF323" s="177">
        <f t="shared" si="118"/>
        <v>0.99850925877367414</v>
      </c>
      <c r="AG323" s="810">
        <f t="shared" si="124"/>
        <v>1</v>
      </c>
      <c r="AH323" s="176">
        <f t="shared" si="119"/>
        <v>7</v>
      </c>
      <c r="AI323" s="225">
        <f t="shared" si="120"/>
        <v>1.9985092587736741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22.658575605293873</v>
      </c>
      <c r="C324" s="840"/>
      <c r="D324" s="393">
        <f t="shared" si="102"/>
        <v>24.307762703886088</v>
      </c>
      <c r="E324" s="385">
        <f t="shared" si="125"/>
        <v>26.818217383862486</v>
      </c>
      <c r="F324" s="385">
        <f t="shared" si="103"/>
        <v>26.845351396055356</v>
      </c>
      <c r="G324" s="110">
        <f t="shared" si="126"/>
        <v>1.0063779322927229</v>
      </c>
      <c r="H324" s="414" t="b">
        <f>Wh_hp&gt;='2025'!Maxi_hp</f>
        <v>1</v>
      </c>
      <c r="I324" s="390">
        <f>IF(H324,Wh_hp,'2025'!Maxi_hp)</f>
        <v>26.845351396055356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6.7846108203473587E-2</v>
      </c>
      <c r="M324" s="844"/>
      <c r="N324" s="844"/>
      <c r="O324" s="48">
        <f>IF(t&lt;Tnet,'2025'!Resal+('2025'!Salim-'2025'!Resal)*(1-EXP(('2025'!Tnet-t)/('2025'!Tau_j))),Resal+(Salim-Resal)*(1-EXP((Tnet-t)/(Tau_j))))*Salcycl</f>
        <v>9.361005036401239E-2</v>
      </c>
      <c r="P324" s="169">
        <f>(INDEX(Models!$BJ324:$BT324,,T324)*(1-R324)+INDEX(Models!$BJ324:$BT324,,T324+1)*R324-ERP_i)*Q324*Ramure*Pc/MaxiM</f>
        <v>1.0107527293108552E-3</v>
      </c>
      <c r="Q324" s="305">
        <f t="shared" si="105"/>
        <v>0.7</v>
      </c>
      <c r="R324" s="177">
        <f t="shared" si="106"/>
        <v>0.17855587556606567</v>
      </c>
      <c r="S324" s="810">
        <f t="shared" si="107"/>
        <v>-1</v>
      </c>
      <c r="T324" s="176">
        <f t="shared" si="108"/>
        <v>5</v>
      </c>
      <c r="U324" s="251">
        <f t="shared" si="109"/>
        <v>-0.82144412443393433</v>
      </c>
      <c r="V324" s="383">
        <f t="shared" si="110"/>
        <v>22.514976608910004</v>
      </c>
      <c r="W324" s="402">
        <f t="shared" si="111"/>
        <v>22.658575605293873</v>
      </c>
      <c r="X324" s="157">
        <f t="shared" si="112"/>
        <v>46332</v>
      </c>
      <c r="Y324" s="385">
        <f t="shared" si="113"/>
        <v>21.319732869242912</v>
      </c>
      <c r="Z324" s="385">
        <f t="shared" si="114"/>
        <v>22.871473323094438</v>
      </c>
      <c r="AA324" s="386">
        <f t="shared" si="115"/>
        <v>26.692780369860085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0.1431588239897422</v>
      </c>
      <c r="AD324" s="231">
        <f>(INDEX(Models!$BJ324:$BT324,,AH324)*(1-AF324)+INDEX(Models!$BJ324:$BT324,,AH324+1)*AF324-ERP_i)*AE324*Ramure*Pc/MaxiM</f>
        <v>5.6833313129099113E-3</v>
      </c>
      <c r="AE324" s="305">
        <f t="shared" si="117"/>
        <v>0.7</v>
      </c>
      <c r="AF324" s="177">
        <f t="shared" si="118"/>
        <v>0.9985459286652496</v>
      </c>
      <c r="AG324" s="810">
        <f t="shared" si="124"/>
        <v>1</v>
      </c>
      <c r="AH324" s="176">
        <f t="shared" si="119"/>
        <v>7</v>
      </c>
      <c r="AI324" s="225">
        <f t="shared" si="120"/>
        <v>1.9985459286652496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20.759945574402696</v>
      </c>
      <c r="C325" s="840"/>
      <c r="D325" s="393">
        <f t="shared" si="102"/>
        <v>22.271460627489642</v>
      </c>
      <c r="E325" s="385">
        <f t="shared" si="125"/>
        <v>24.572510766485571</v>
      </c>
      <c r="F325" s="385">
        <f t="shared" si="103"/>
        <v>24.594120005985413</v>
      </c>
      <c r="G325" s="110">
        <f t="shared" si="126"/>
        <v>0.9334141806813252</v>
      </c>
      <c r="H325" s="414" t="b">
        <f>Wh_hp&gt;='2025'!Maxi_hp</f>
        <v>0</v>
      </c>
      <c r="I325" s="390">
        <f>IF(H325,Wh_hp,'2025'!Maxi_hp)</f>
        <v>24.595322347800277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6.7867800786324928E-2</v>
      </c>
      <c r="M325" s="844"/>
      <c r="N325" s="844"/>
      <c r="O325" s="48">
        <f>IF(t&lt;Tnet,'2025'!Resal+('2025'!Salim-'2025'!Resal)*(1-EXP(('2025'!Tnet-t)/('2025'!Tau_j))),Resal+(Salim-Resal)*(1-EXP((Tnet-t)/(Tau_j))))*Salcycl</f>
        <v>9.3643265064078454E-2</v>
      </c>
      <c r="P325" s="169">
        <f>(INDEX(Models!$BJ325:$BT325,,T325)*(1-R325)+INDEX(Models!$BJ325:$BT325,,T325+1)*R325-ERP_i)*Q325*Ramure*Pc/MaxiM</f>
        <v>9.7086617971489783E-4</v>
      </c>
      <c r="Q325" s="305">
        <f t="shared" si="105"/>
        <v>0.7</v>
      </c>
      <c r="R325" s="177">
        <f t="shared" si="106"/>
        <v>0.17859107534820251</v>
      </c>
      <c r="S325" s="810">
        <f t="shared" si="107"/>
        <v>-1</v>
      </c>
      <c r="T325" s="176">
        <f t="shared" si="108"/>
        <v>5</v>
      </c>
      <c r="U325" s="251">
        <f t="shared" si="109"/>
        <v>-0.82140892465179749</v>
      </c>
      <c r="V325" s="383">
        <f t="shared" si="110"/>
        <v>22.238819157838986</v>
      </c>
      <c r="W325" s="402">
        <f t="shared" si="111"/>
        <v>20.759945574402696</v>
      </c>
      <c r="X325" s="157">
        <f t="shared" si="112"/>
        <v>46333</v>
      </c>
      <c r="Y325" s="385">
        <f t="shared" si="113"/>
        <v>19.54682784767493</v>
      </c>
      <c r="Z325" s="385">
        <f t="shared" si="114"/>
        <v>20.970016768183932</v>
      </c>
      <c r="AA325" s="386">
        <f t="shared" si="115"/>
        <v>24.472047664802044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0.14310330482295758</v>
      </c>
      <c r="AD325" s="231">
        <f>(INDEX(Models!$BJ325:$BT325,,AH325)*(1-AF325)+INDEX(Models!$BJ325:$BT325,,AH325+1)*AF325-ERP_i)*AE325*Ramure*Pc/MaxiM</f>
        <v>5.4845015501084589E-3</v>
      </c>
      <c r="AE325" s="305">
        <f t="shared" si="117"/>
        <v>0.7</v>
      </c>
      <c r="AF325" s="177">
        <f t="shared" si="118"/>
        <v>0.99858112844738645</v>
      </c>
      <c r="AG325" s="810">
        <f t="shared" si="124"/>
        <v>1</v>
      </c>
      <c r="AH325" s="176">
        <f t="shared" si="119"/>
        <v>7</v>
      </c>
      <c r="AI325" s="225">
        <f t="shared" si="120"/>
        <v>1.9985811284473864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15.34028321546362</v>
      </c>
      <c r="C326" s="840"/>
      <c r="D326" s="393">
        <f t="shared" si="102"/>
        <v>16.457579973649285</v>
      </c>
      <c r="E326" s="385">
        <f t="shared" si="125"/>
        <v>18.158621081472717</v>
      </c>
      <c r="F326" s="385">
        <f t="shared" si="103"/>
        <v>18.168248115164292</v>
      </c>
      <c r="G326" s="110">
        <f t="shared" si="126"/>
        <v>0.69805864142848373</v>
      </c>
      <c r="H326" s="414" t="b">
        <f>Wh_hp&gt;='2025'!Maxi_hp</f>
        <v>0</v>
      </c>
      <c r="I326" s="390">
        <f>IF(H326,Wh_hp,'2025'!Maxi_hp)</f>
        <v>19.495056583324676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6.7889492864358081E-2</v>
      </c>
      <c r="M326" s="844"/>
      <c r="N326" s="844"/>
      <c r="O326" s="48">
        <f>IF(t&lt;Tnet,'2025'!Resal+('2025'!Salim-'2025'!Resal)*(1-EXP(('2025'!Tnet-t)/('2025'!Tau_j))),Resal+(Salim-Resal)*(1-EXP((Tnet-t)/(Tau_j))))*Salcycl</f>
        <v>9.3676777558787727E-2</v>
      </c>
      <c r="P326" s="169">
        <f>(INDEX(Models!$BJ326:$BT326,,T326)*(1-R326)+INDEX(Models!$BJ326:$BT326,,T326+1)*R326-ERP_i)*Q326*Ramure*Pc/MaxiM</f>
        <v>9.3116068423363492E-4</v>
      </c>
      <c r="Q326" s="305">
        <f t="shared" si="105"/>
        <v>0.7</v>
      </c>
      <c r="R326" s="177">
        <f t="shared" si="106"/>
        <v>0.17862486371409525</v>
      </c>
      <c r="S326" s="810">
        <f t="shared" si="107"/>
        <v>-1</v>
      </c>
      <c r="T326" s="176">
        <f t="shared" si="108"/>
        <v>5</v>
      </c>
      <c r="U326" s="251">
        <f t="shared" si="109"/>
        <v>-0.82137513628590475</v>
      </c>
      <c r="V326" s="383">
        <f t="shared" si="110"/>
        <v>21.966813843869236</v>
      </c>
      <c r="W326" s="402">
        <f t="shared" si="111"/>
        <v>15.34028321546362</v>
      </c>
      <c r="X326" s="157">
        <f t="shared" si="112"/>
        <v>46334</v>
      </c>
      <c r="Y326" s="385">
        <f t="shared" si="113"/>
        <v>14.468580391574784</v>
      </c>
      <c r="Z326" s="385">
        <f t="shared" si="114"/>
        <v>15.522387400219809</v>
      </c>
      <c r="AA326" s="386">
        <f t="shared" si="115"/>
        <v>18.113495897238494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0.14304850437036362</v>
      </c>
      <c r="AD326" s="231">
        <f>(INDEX(Models!$BJ326:$BT326,,AH326)*(1-AF326)+INDEX(Models!$BJ326:$BT326,,AH326+1)*AF326-ERP_i)*AE326*Ramure*Pc/MaxiM</f>
        <v>5.2958278053703654E-3</v>
      </c>
      <c r="AE326" s="305">
        <f t="shared" si="117"/>
        <v>0.7</v>
      </c>
      <c r="AF326" s="177">
        <f t="shared" si="118"/>
        <v>0.99861491681327919</v>
      </c>
      <c r="AG326" s="810">
        <f t="shared" si="124"/>
        <v>1</v>
      </c>
      <c r="AH326" s="176">
        <f t="shared" si="119"/>
        <v>7</v>
      </c>
      <c r="AI326" s="225">
        <f t="shared" si="120"/>
        <v>1.9986149168132792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8.2101412203415727</v>
      </c>
      <c r="C327" s="840"/>
      <c r="D327" s="393">
        <f t="shared" si="102"/>
        <v>8.8083250042944012</v>
      </c>
      <c r="E327" s="385">
        <f t="shared" si="125"/>
        <v>9.7191093990374071</v>
      </c>
      <c r="F327" s="385">
        <f t="shared" si="103"/>
        <v>9.7200795534469773</v>
      </c>
      <c r="G327" s="110">
        <f t="shared" si="126"/>
        <v>0.37805801290596769</v>
      </c>
      <c r="H327" s="414" t="b">
        <f>Wh_hp&gt;='2025'!Maxi_hp</f>
        <v>0</v>
      </c>
      <c r="I327" s="390">
        <f>IF(H327,Wh_hp,'2025'!Maxi_hp)</f>
        <v>19.997041581744018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6.7911184437584926E-2</v>
      </c>
      <c r="M327" s="844"/>
      <c r="N327" s="844"/>
      <c r="O327" s="48">
        <f>IF(t&lt;Tnet,'2025'!Resal+('2025'!Salim-'2025'!Resal)*(1-EXP(('2025'!Tnet-t)/('2025'!Tau_j))),Resal+(Salim-Resal)*(1-EXP((Tnet-t)/(Tau_j))))*Salcycl</f>
        <v>9.3710684523544044E-2</v>
      </c>
      <c r="P327" s="169">
        <f>(INDEX(Models!$BJ327:$BT327,,T327)*(1-R327)+INDEX(Models!$BJ327:$BT327,,T327+1)*R327-ERP_i)*Q327*Ramure*Pc/MaxiM</f>
        <v>8.9163632681636587E-4</v>
      </c>
      <c r="Q327" s="305">
        <f t="shared" si="105"/>
        <v>0.7</v>
      </c>
      <c r="R327" s="177">
        <f t="shared" si="106"/>
        <v>0.17865729703287092</v>
      </c>
      <c r="S327" s="810">
        <f t="shared" si="107"/>
        <v>-1</v>
      </c>
      <c r="T327" s="176">
        <f t="shared" si="108"/>
        <v>5</v>
      </c>
      <c r="U327" s="251">
        <f t="shared" si="109"/>
        <v>-0.82134270296712908</v>
      </c>
      <c r="V327" s="383">
        <f t="shared" si="110"/>
        <v>21.699419876614357</v>
      </c>
      <c r="W327" s="402">
        <f t="shared" si="111"/>
        <v>8.2101412203415727</v>
      </c>
      <c r="X327" s="157">
        <f t="shared" si="112"/>
        <v>46335</v>
      </c>
      <c r="Y327" s="385">
        <f t="shared" si="113"/>
        <v>7.760002005713126</v>
      </c>
      <c r="Z327" s="385">
        <f t="shared" si="114"/>
        <v>8.3253890360553271</v>
      </c>
      <c r="AA327" s="386">
        <f t="shared" si="115"/>
        <v>9.7145113959042479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0.14299456794446622</v>
      </c>
      <c r="AD327" s="231">
        <f>(INDEX(Models!$BJ327:$BT327,,AH327)*(1-AF327)+INDEX(Models!$BJ327:$BT327,,AH327+1)*AF327-ERP_i)*AE327*Ramure*Pc/MaxiM</f>
        <v>5.1175065428344241E-3</v>
      </c>
      <c r="AE327" s="305">
        <f t="shared" si="117"/>
        <v>0.7</v>
      </c>
      <c r="AF327" s="177">
        <f t="shared" si="118"/>
        <v>0.99864735013205497</v>
      </c>
      <c r="AG327" s="810">
        <f t="shared" si="124"/>
        <v>1</v>
      </c>
      <c r="AH327" s="176">
        <f t="shared" si="119"/>
        <v>7</v>
      </c>
      <c r="AI327" s="225">
        <f t="shared" si="120"/>
        <v>1.998647350132055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17.396932651508759</v>
      </c>
      <c r="C328" s="840"/>
      <c r="D328" s="393">
        <f t="shared" si="102"/>
        <v>18.664892467861172</v>
      </c>
      <c r="E328" s="385">
        <f t="shared" si="125"/>
        <v>20.595631624825682</v>
      </c>
      <c r="F328" s="385">
        <f t="shared" si="103"/>
        <v>20.608467106015269</v>
      </c>
      <c r="G328" s="110">
        <f t="shared" si="126"/>
        <v>0.81134765993352964</v>
      </c>
      <c r="H328" s="414" t="b">
        <f>Wh_hp&gt;='2025'!Maxi_hp</f>
        <v>0</v>
      </c>
      <c r="I328" s="390">
        <f>IF(H328,Wh_hp,'2025'!Maxi_hp)</f>
        <v>20.610981620956125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6.7932875506017232E-2</v>
      </c>
      <c r="M328" s="844"/>
      <c r="N328" s="844"/>
      <c r="O328" s="48">
        <f>IF(t&lt;Tnet,'2025'!Resal+('2025'!Salim-'2025'!Resal)*(1-EXP(('2025'!Tnet-t)/('2025'!Tau_j))),Resal+(Salim-Resal)*(1-EXP((Tnet-t)/(Tau_j))))*Salcycl</f>
        <v>9.3745081099490216E-2</v>
      </c>
      <c r="P328" s="169">
        <f>(INDEX(Models!$BJ328:$BT328,,T328)*(1-R328)+INDEX(Models!$BJ328:$BT328,,T328+1)*R328-ERP_i)*Q328*Ramure*Pc/MaxiM</f>
        <v>8.5229511941803805E-4</v>
      </c>
      <c r="Q328" s="305">
        <f t="shared" si="105"/>
        <v>0.7</v>
      </c>
      <c r="R328" s="177">
        <f t="shared" si="106"/>
        <v>0.17868842944009899</v>
      </c>
      <c r="S328" s="810">
        <f t="shared" si="107"/>
        <v>-1</v>
      </c>
      <c r="T328" s="176">
        <f t="shared" si="108"/>
        <v>5</v>
      </c>
      <c r="U328" s="251">
        <f t="shared" si="109"/>
        <v>-0.82131157055990101</v>
      </c>
      <c r="V328" s="383">
        <f t="shared" si="110"/>
        <v>21.437096520992228</v>
      </c>
      <c r="W328" s="402">
        <f t="shared" si="111"/>
        <v>17.396932651508759</v>
      </c>
      <c r="X328" s="157">
        <f t="shared" si="112"/>
        <v>46336</v>
      </c>
      <c r="Y328" s="385">
        <f t="shared" si="113"/>
        <v>16.403236498648159</v>
      </c>
      <c r="Z328" s="385">
        <f t="shared" si="114"/>
        <v>17.598771663096088</v>
      </c>
      <c r="AA328" s="386">
        <f t="shared" si="115"/>
        <v>20.533924462302206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0.14294163809722299</v>
      </c>
      <c r="AD328" s="231">
        <f>(INDEX(Models!$BJ328:$BT328,,AH328)*(1-AF328)+INDEX(Models!$BJ328:$BT328,,AH328+1)*AF328-ERP_i)*AE328*Ramure*Pc/MaxiM</f>
        <v>4.9497428640776081E-3</v>
      </c>
      <c r="AE328" s="305">
        <f t="shared" si="117"/>
        <v>0.7</v>
      </c>
      <c r="AF328" s="177">
        <f t="shared" si="118"/>
        <v>0.99867848253928293</v>
      </c>
      <c r="AG328" s="810">
        <f t="shared" si="124"/>
        <v>1</v>
      </c>
      <c r="AH328" s="176">
        <f t="shared" si="119"/>
        <v>7</v>
      </c>
      <c r="AI328" s="225">
        <f t="shared" si="120"/>
        <v>1.9986784825392829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20.496591249755841</v>
      </c>
      <c r="C329" s="840"/>
      <c r="D329" s="393">
        <f t="shared" si="102"/>
        <v>21.990978662192425</v>
      </c>
      <c r="E329" s="385">
        <f t="shared" si="125"/>
        <v>24.266712419898045</v>
      </c>
      <c r="F329" s="385">
        <f t="shared" si="103"/>
        <v>24.285549338197569</v>
      </c>
      <c r="G329" s="110">
        <f t="shared" si="126"/>
        <v>0.96768313372161763</v>
      </c>
      <c r="H329" s="414" t="b">
        <f>Wh_hp&gt;='2025'!Maxi_hp</f>
        <v>0</v>
      </c>
      <c r="I329" s="390">
        <f>IF(H329,Wh_hp,'2025'!Maxi_hp)</f>
        <v>24.286034457287091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6.7954566069666655E-2</v>
      </c>
      <c r="M329" s="844"/>
      <c r="N329" s="844"/>
      <c r="O329" s="48">
        <f>IF(t&lt;Tnet,'2025'!Resal+('2025'!Salim-'2025'!Resal)*(1-EXP(('2025'!Tnet-t)/('2025'!Tau_j))),Resal+(Salim-Resal)*(1-EXP((Tnet-t)/(Tau_j))))*Salcycl</f>
        <v>9.3780060451846864E-2</v>
      </c>
      <c r="P329" s="169">
        <f>(INDEX(Models!$BJ329:$BT329,,T329)*(1-R329)+INDEX(Models!$BJ329:$BT329,,T329+1)*R329-ERP_i)*Q329*Ramure*Pc/MaxiM</f>
        <v>8.131411429435683E-4</v>
      </c>
      <c r="Q329" s="305">
        <f t="shared" si="105"/>
        <v>0.7</v>
      </c>
      <c r="R329" s="177">
        <f t="shared" si="106"/>
        <v>0.17871831292489682</v>
      </c>
      <c r="S329" s="810">
        <f t="shared" si="107"/>
        <v>-1</v>
      </c>
      <c r="T329" s="176">
        <f t="shared" si="108"/>
        <v>5</v>
      </c>
      <c r="U329" s="251">
        <f t="shared" si="109"/>
        <v>-0.82128168707510318</v>
      </c>
      <c r="V329" s="383">
        <f t="shared" si="110"/>
        <v>21.180303093496313</v>
      </c>
      <c r="W329" s="402">
        <f t="shared" si="111"/>
        <v>20.496591249755841</v>
      </c>
      <c r="X329" s="157">
        <f t="shared" si="112"/>
        <v>46337</v>
      </c>
      <c r="Y329" s="385">
        <f t="shared" si="113"/>
        <v>19.312194239989829</v>
      </c>
      <c r="Z329" s="385">
        <f t="shared" si="114"/>
        <v>20.720228367572624</v>
      </c>
      <c r="AA329" s="386">
        <f t="shared" si="115"/>
        <v>24.174522333308815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0.14288985395904599</v>
      </c>
      <c r="AD329" s="231">
        <f>(INDEX(Models!$BJ329:$BT329,,AH329)*(1-AF329)+INDEX(Models!$BJ329:$BT329,,AH329+1)*AF329-ERP_i)*AE329*Ramure*Pc/MaxiM</f>
        <v>4.792749228790724E-3</v>
      </c>
      <c r="AE329" s="305">
        <f t="shared" si="117"/>
        <v>0.7</v>
      </c>
      <c r="AF329" s="177">
        <f t="shared" si="118"/>
        <v>0.99870836602408075</v>
      </c>
      <c r="AG329" s="810">
        <f t="shared" si="124"/>
        <v>1</v>
      </c>
      <c r="AH329" s="176">
        <f t="shared" si="119"/>
        <v>7</v>
      </c>
      <c r="AI329" s="225">
        <f t="shared" si="120"/>
        <v>1.9987083660240808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20.306297940333348</v>
      </c>
      <c r="C330" s="840"/>
      <c r="D330" s="393">
        <f t="shared" si="102"/>
        <v>21.787318267220023</v>
      </c>
      <c r="E330" s="385">
        <f t="shared" si="125"/>
        <v>24.042922160423966</v>
      </c>
      <c r="F330" s="385">
        <f t="shared" si="103"/>
        <v>24.060757173536935</v>
      </c>
      <c r="G330" s="110">
        <f t="shared" si="126"/>
        <v>0.97019182157188044</v>
      </c>
      <c r="H330" s="414" t="b">
        <f>Wh_hp&gt;='2025'!Maxi_hp</f>
        <v>0</v>
      </c>
      <c r="I330" s="390">
        <f>IF(H330,Wh_hp,'2025'!Maxi_hp)</f>
        <v>24.061180208278799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6.7976256128544965E-2</v>
      </c>
      <c r="M330" s="844"/>
      <c r="N330" s="844"/>
      <c r="O330" s="48">
        <f>IF(t&lt;Tnet,'2025'!Resal+('2025'!Salim-'2025'!Resal)*(1-EXP(('2025'!Tnet-t)/('2025'!Tau_j))),Resal+(Salim-Resal)*(1-EXP((Tnet-t)/(Tau_j))))*Salcycl</f>
        <v>9.3815713337740497E-2</v>
      </c>
      <c r="P330" s="169">
        <f>(INDEX(Models!$BJ330:$BT330,,T330)*(1-R330)+INDEX(Models!$BJ330:$BT330,,T330+1)*R330-ERP_i)*Q330*Ramure*Pc/MaxiM</f>
        <v>7.7418069838006761E-4</v>
      </c>
      <c r="Q330" s="305">
        <f t="shared" si="105"/>
        <v>0.7</v>
      </c>
      <c r="R330" s="177">
        <f t="shared" si="106"/>
        <v>0.17874699741374733</v>
      </c>
      <c r="S330" s="810">
        <f t="shared" si="107"/>
        <v>-1</v>
      </c>
      <c r="T330" s="176">
        <f t="shared" si="108"/>
        <v>5</v>
      </c>
      <c r="U330" s="251">
        <f t="shared" si="109"/>
        <v>-0.82125300258625267</v>
      </c>
      <c r="V330" s="383">
        <f t="shared" si="110"/>
        <v>20.929498963694954</v>
      </c>
      <c r="W330" s="402">
        <f t="shared" si="111"/>
        <v>20.306297940333348</v>
      </c>
      <c r="X330" s="157">
        <f t="shared" si="112"/>
        <v>46338</v>
      </c>
      <c r="Y330" s="385">
        <f t="shared" si="113"/>
        <v>19.136476142153761</v>
      </c>
      <c r="Z330" s="385">
        <f t="shared" si="114"/>
        <v>20.532176640333606</v>
      </c>
      <c r="AA330" s="386">
        <f t="shared" si="115"/>
        <v>23.953708857946864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0.14283935059510136</v>
      </c>
      <c r="AD330" s="231">
        <f>(INDEX(Models!$BJ330:$BT330,,AH330)*(1-AF330)+INDEX(Models!$BJ330:$BT330,,AH330+1)*AF330-ERP_i)*AE330*Ramure*Pc/MaxiM</f>
        <v>4.6467439748424039E-3</v>
      </c>
      <c r="AE330" s="305">
        <f t="shared" si="117"/>
        <v>0.7</v>
      </c>
      <c r="AF330" s="177">
        <f t="shared" si="118"/>
        <v>0.99873705051293138</v>
      </c>
      <c r="AG330" s="810">
        <f t="shared" si="124"/>
        <v>1</v>
      </c>
      <c r="AH330" s="176">
        <f t="shared" si="119"/>
        <v>7</v>
      </c>
      <c r="AI330" s="225">
        <f t="shared" si="120"/>
        <v>1.9987370505129314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19.389672515766339</v>
      </c>
      <c r="C331" s="840"/>
      <c r="D331" s="393">
        <f t="shared" si="102"/>
        <v>20.804323795153756</v>
      </c>
      <c r="E331" s="385">
        <f t="shared" si="125"/>
        <v>22.959082541396139</v>
      </c>
      <c r="F331" s="385">
        <f t="shared" si="103"/>
        <v>22.97447115156902</v>
      </c>
      <c r="G331" s="110">
        <f t="shared" si="126"/>
        <v>0.93741699110574517</v>
      </c>
      <c r="H331" s="414" t="b">
        <f>Wh_hp&gt;='2025'!Maxi_hp</f>
        <v>0</v>
      </c>
      <c r="I331" s="390">
        <f>IF(H331,Wh_hp,'2025'!Maxi_hp)</f>
        <v>24.534938344101679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6.7997945682663929E-2</v>
      </c>
      <c r="M331" s="844"/>
      <c r="N331" s="844"/>
      <c r="O331" s="48">
        <f>IF(t&lt;Tnet,'2025'!Resal+('2025'!Salim-'2025'!Resal)*(1-EXP(('2025'!Tnet-t)/('2025'!Tau_j))),Resal+(Salim-Resal)*(1-EXP((Tnet-t)/(Tau_j))))*Salcycl</f>
        <v>9.3852127686603629E-2</v>
      </c>
      <c r="P331" s="169">
        <f>(INDEX(Models!$BJ331:$BT331,,T331)*(1-R331)+INDEX(Models!$BJ331:$BT331,,T331+1)*R331-ERP_i)*Q331*Ramure*Pc/MaxiM</f>
        <v>7.3550612322510972E-4</v>
      </c>
      <c r="Q331" s="305">
        <f t="shared" si="105"/>
        <v>0.7</v>
      </c>
      <c r="R331" s="177">
        <f t="shared" si="106"/>
        <v>0.17877453085114792</v>
      </c>
      <c r="S331" s="810">
        <f t="shared" si="107"/>
        <v>-1</v>
      </c>
      <c r="T331" s="176">
        <f t="shared" si="108"/>
        <v>5</v>
      </c>
      <c r="U331" s="251">
        <f t="shared" si="109"/>
        <v>-0.82122546914885208</v>
      </c>
      <c r="V331" s="383">
        <f t="shared" si="110"/>
        <v>20.682789075597306</v>
      </c>
      <c r="W331" s="402">
        <f t="shared" si="111"/>
        <v>19.389672515766339</v>
      </c>
      <c r="X331" s="157">
        <f t="shared" si="112"/>
        <v>46339</v>
      </c>
      <c r="Y331" s="385">
        <f t="shared" si="113"/>
        <v>18.279365310846138</v>
      </c>
      <c r="Z331" s="385">
        <f t="shared" si="114"/>
        <v>19.613009677575477</v>
      </c>
      <c r="AA331" s="386">
        <f t="shared" si="115"/>
        <v>22.880059249664647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0.14279025838348977</v>
      </c>
      <c r="AD331" s="231">
        <f>(INDEX(Models!$BJ331:$BT331,,AH331)*(1-AF331)+INDEX(Models!$BJ331:$BT331,,AH331+1)*AF331-ERP_i)*AE331*Ramure*Pc/MaxiM</f>
        <v>4.5124628654490155E-3</v>
      </c>
      <c r="AE331" s="305">
        <f t="shared" si="117"/>
        <v>0.7</v>
      </c>
      <c r="AF331" s="177">
        <f t="shared" si="118"/>
        <v>0.99876458395033185</v>
      </c>
      <c r="AG331" s="810">
        <f t="shared" si="124"/>
        <v>1</v>
      </c>
      <c r="AH331" s="176">
        <f t="shared" si="119"/>
        <v>7</v>
      </c>
      <c r="AI331" s="225">
        <f t="shared" si="120"/>
        <v>1.9987645839503319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7.7887217186939877</v>
      </c>
      <c r="C332" s="840"/>
      <c r="D332" s="393">
        <f t="shared" si="102"/>
        <v>8.3571736154061131</v>
      </c>
      <c r="E332" s="385">
        <f t="shared" si="125"/>
        <v>9.2231274046873306</v>
      </c>
      <c r="F332" s="385">
        <f t="shared" si="103"/>
        <v>9.2238738970088683</v>
      </c>
      <c r="G332" s="110">
        <f t="shared" si="126"/>
        <v>0.38084899205700107</v>
      </c>
      <c r="H332" s="414" t="b">
        <f>Wh_hp&gt;='2025'!Maxi_hp</f>
        <v>0</v>
      </c>
      <c r="I332" s="390">
        <f>IF(H332,Wh_hp,'2025'!Maxi_hp)</f>
        <v>18.564263652887913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6.8019634732035206E-2</v>
      </c>
      <c r="M332" s="844"/>
      <c r="N332" s="844"/>
      <c r="O332" s="48">
        <f>IF(t&lt;Tnet,'2025'!Resal+('2025'!Salim-'2025'!Resal)*(1-EXP(('2025'!Tnet-t)/('2025'!Tau_j))),Resal+(Salim-Resal)*(1-EXP((Tnet-t)/(Tau_j))))*Salcycl</f>
        <v>9.3889388196147644E-2</v>
      </c>
      <c r="P332" s="169">
        <f>(INDEX(Models!$BJ332:$BT332,,T332)*(1-R332)+INDEX(Models!$BJ332:$BT332,,T332+1)*R332-ERP_i)*Q332*Ramure*Pc/MaxiM</f>
        <v>6.98670812964162E-4</v>
      </c>
      <c r="Q332" s="305">
        <f t="shared" si="105"/>
        <v>0.7</v>
      </c>
      <c r="R332" s="177">
        <f t="shared" si="106"/>
        <v>0.1788009592771973</v>
      </c>
      <c r="S332" s="810">
        <f t="shared" si="107"/>
        <v>-1</v>
      </c>
      <c r="T332" s="176">
        <f t="shared" si="108"/>
        <v>5</v>
      </c>
      <c r="U332" s="251">
        <f t="shared" si="109"/>
        <v>-0.8211990407228027</v>
      </c>
      <c r="V332" s="383">
        <f t="shared" si="110"/>
        <v>20.438310416675751</v>
      </c>
      <c r="W332" s="402">
        <f t="shared" si="111"/>
        <v>7.7887217186939877</v>
      </c>
      <c r="X332" s="157">
        <f t="shared" si="112"/>
        <v>46340</v>
      </c>
      <c r="Y332" s="385">
        <f t="shared" si="113"/>
        <v>7.3656349480827172</v>
      </c>
      <c r="Z332" s="385">
        <f t="shared" si="114"/>
        <v>7.9032082891198421</v>
      </c>
      <c r="AA332" s="386">
        <f t="shared" si="115"/>
        <v>9.2191787826453879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0.14274270241974149</v>
      </c>
      <c r="AD332" s="231">
        <f>(INDEX(Models!$BJ332:$BT332,,AH332)*(1-AF332)+INDEX(Models!$BJ332:$BT332,,AH332+1)*AF332-ERP_i)*AE332*Ramure*Pc/MaxiM</f>
        <v>4.3943377241146284E-3</v>
      </c>
      <c r="AE332" s="305">
        <f t="shared" si="117"/>
        <v>0.7</v>
      </c>
      <c r="AF332" s="177">
        <f t="shared" si="118"/>
        <v>0.99879101237638124</v>
      </c>
      <c r="AG332" s="810">
        <f t="shared" si="124"/>
        <v>1</v>
      </c>
      <c r="AH332" s="176">
        <f t="shared" si="119"/>
        <v>7</v>
      </c>
      <c r="AI332" s="225">
        <f t="shared" si="120"/>
        <v>1.9987910123763812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10.497994057015919</v>
      </c>
      <c r="C333" s="840"/>
      <c r="D333" s="393">
        <f t="shared" si="102"/>
        <v>11.26444156722247</v>
      </c>
      <c r="E333" s="385">
        <f t="shared" si="125"/>
        <v>12.432164657249372</v>
      </c>
      <c r="F333" s="385">
        <f t="shared" si="103"/>
        <v>12.434757808933492</v>
      </c>
      <c r="G333" s="110">
        <f t="shared" si="126"/>
        <v>0.51955311530958825</v>
      </c>
      <c r="H333" s="414" t="b">
        <f>Wh_hp&gt;='2025'!Maxi_hp</f>
        <v>0</v>
      </c>
      <c r="I333" s="390">
        <f>IF(H333,Wh_hp,'2025'!Maxi_hp)</f>
        <v>23.679818202153843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6.8041323276670673E-2</v>
      </c>
      <c r="M333" s="844"/>
      <c r="N333" s="844"/>
      <c r="O333" s="48">
        <f>IF(t&lt;Tnet,'2025'!Resal+('2025'!Salim-'2025'!Resal)*(1-EXP(('2025'!Tnet-t)/('2025'!Tau_j))),Resal+(Salim-Resal)*(1-EXP((Tnet-t)/(Tau_j))))*Salcycl</f>
        <v>9.3927575946799138E-2</v>
      </c>
      <c r="P333" s="169">
        <f>(INDEX(Models!$BJ333:$BT333,,T333)*(1-R333)+INDEX(Models!$BJ333:$BT333,,T333+1)*R333-ERP_i)*Q333*Ramure*Pc/MaxiM</f>
        <v>6.641722193713892E-4</v>
      </c>
      <c r="Q333" s="305">
        <f t="shared" si="105"/>
        <v>0.7</v>
      </c>
      <c r="R333" s="177">
        <f t="shared" si="106"/>
        <v>0.17882632690223332</v>
      </c>
      <c r="S333" s="810">
        <f t="shared" si="107"/>
        <v>-1</v>
      </c>
      <c r="T333" s="176">
        <f t="shared" si="108"/>
        <v>5</v>
      </c>
      <c r="U333" s="251">
        <f t="shared" si="109"/>
        <v>-0.82117367309776668</v>
      </c>
      <c r="V333" s="383">
        <f t="shared" si="110"/>
        <v>20.196606529601986</v>
      </c>
      <c r="W333" s="402">
        <f t="shared" si="111"/>
        <v>10.497994057015919</v>
      </c>
      <c r="X333" s="157">
        <f t="shared" si="112"/>
        <v>46341</v>
      </c>
      <c r="Y333" s="385">
        <f t="shared" si="113"/>
        <v>9.9216418826760666</v>
      </c>
      <c r="Z333" s="385">
        <f t="shared" si="114"/>
        <v>10.646010526517696</v>
      </c>
      <c r="AA333" s="386">
        <f t="shared" si="115"/>
        <v>12.418022644446028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0.14269680195186837</v>
      </c>
      <c r="AD333" s="231">
        <f>(INDEX(Models!$BJ333:$BT333,,AH333)*(1-AF333)+INDEX(Models!$BJ333:$BT333,,AH333+1)*AF333-ERP_i)*AE333*Ramure*Pc/MaxiM</f>
        <v>4.2863020344113285E-3</v>
      </c>
      <c r="AE333" s="305">
        <f t="shared" si="117"/>
        <v>0.7</v>
      </c>
      <c r="AF333" s="177">
        <f t="shared" si="118"/>
        <v>0.99881638000141715</v>
      </c>
      <c r="AG333" s="810">
        <f t="shared" si="124"/>
        <v>1</v>
      </c>
      <c r="AH333" s="176">
        <f t="shared" si="119"/>
        <v>7</v>
      </c>
      <c r="AI333" s="225">
        <f t="shared" si="120"/>
        <v>1.9988163800014171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19.918118018108569</v>
      </c>
      <c r="C334" s="840"/>
      <c r="D334" s="393">
        <f t="shared" si="102"/>
        <v>21.372816252574793</v>
      </c>
      <c r="E334" s="385">
        <f t="shared" si="125"/>
        <v>23.589439656950777</v>
      </c>
      <c r="F334" s="385">
        <f t="shared" si="103"/>
        <v>23.604315862895241</v>
      </c>
      <c r="G334" s="110">
        <f t="shared" si="126"/>
        <v>0.99798835652400597</v>
      </c>
      <c r="H334" s="414" t="b">
        <f>Wh_hp&gt;='2025'!Maxi_hp</f>
        <v>0</v>
      </c>
      <c r="I334" s="390">
        <f>IF(H334,Wh_hp,'2025'!Maxi_hp)</f>
        <v>23.604339023131274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6.8063011316581989E-2</v>
      </c>
      <c r="M334" s="844"/>
      <c r="N334" s="844"/>
      <c r="O334" s="48">
        <f>IF(t&lt;Tnet,'2025'!Resal+('2025'!Salim-'2025'!Resal)*(1-EXP(('2025'!Tnet-t)/('2025'!Tau_j))),Resal+(Salim-Resal)*(1-EXP((Tnet-t)/(Tau_j))))*Salcycl</f>
        <v>9.3966768037359497E-2</v>
      </c>
      <c r="P334" s="169">
        <f>(INDEX(Models!$BJ334:$BT334,,T334)*(1-R334)+INDEX(Models!$BJ334:$BT334,,T334+1)*R334-ERP_i)*Q334*Ramure*Pc/MaxiM</f>
        <v>6.3204718137781603E-4</v>
      </c>
      <c r="Q334" s="305">
        <f t="shared" si="105"/>
        <v>0.7</v>
      </c>
      <c r="R334" s="177">
        <f t="shared" si="106"/>
        <v>0.17885067617862505</v>
      </c>
      <c r="S334" s="810">
        <f t="shared" si="107"/>
        <v>-1</v>
      </c>
      <c r="T334" s="176">
        <f t="shared" si="108"/>
        <v>5</v>
      </c>
      <c r="U334" s="251">
        <f t="shared" si="109"/>
        <v>-0.82114932382137495</v>
      </c>
      <c r="V334" s="383">
        <f t="shared" si="110"/>
        <v>19.958230693955681</v>
      </c>
      <c r="W334" s="402">
        <f t="shared" si="111"/>
        <v>19.918118018108569</v>
      </c>
      <c r="X334" s="157">
        <f t="shared" si="112"/>
        <v>46342</v>
      </c>
      <c r="Y334" s="385">
        <f t="shared" si="113"/>
        <v>18.780932757771716</v>
      </c>
      <c r="Z334" s="385">
        <f t="shared" si="114"/>
        <v>20.152577895104514</v>
      </c>
      <c r="AA334" s="386">
        <f t="shared" si="115"/>
        <v>23.505733541595625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0.14265266984999136</v>
      </c>
      <c r="AD334" s="231">
        <f>(INDEX(Models!$BJ334:$BT334,,AH334)*(1-AF334)+INDEX(Models!$BJ334:$BT334,,AH334+1)*AF334-ERP_i)*AE334*Ramure*Pc/MaxiM</f>
        <v>4.1884791420417882E-3</v>
      </c>
      <c r="AE334" s="305">
        <f t="shared" si="117"/>
        <v>0.7</v>
      </c>
      <c r="AF334" s="177">
        <f t="shared" si="118"/>
        <v>0.99884072927780898</v>
      </c>
      <c r="AG334" s="810">
        <f t="shared" si="124"/>
        <v>1</v>
      </c>
      <c r="AH334" s="176">
        <f t="shared" si="119"/>
        <v>7</v>
      </c>
      <c r="AI334" s="225">
        <f t="shared" si="120"/>
        <v>1.998840729277809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11.626312117437706</v>
      </c>
      <c r="C335" s="840"/>
      <c r="D335" s="393">
        <f t="shared" ref="D335:D379" si="127">Wh/(1-Ppv)</f>
        <v>12.4757175926963</v>
      </c>
      <c r="E335" s="385">
        <f t="shared" si="125"/>
        <v>13.770214676670657</v>
      </c>
      <c r="F335" s="385">
        <f t="shared" ref="F335:F379" si="128">Wh_sa/(1-Pvg*MEDIAN((-Sdif+Wh/Env_an)/Csdif,0,1))</f>
        <v>13.773645316224833</v>
      </c>
      <c r="G335" s="110">
        <f t="shared" si="126"/>
        <v>0.58924961450260738</v>
      </c>
      <c r="H335" s="414" t="b">
        <f>Wh_hp&gt;='2025'!Maxi_hp</f>
        <v>0</v>
      </c>
      <c r="I335" s="390">
        <f>IF(H335,Wh_hp,'2025'!Maxi_hp)</f>
        <v>21.890995839338444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6.8084698851781034E-2</v>
      </c>
      <c r="M335" s="844"/>
      <c r="N335" s="844"/>
      <c r="O335" s="48">
        <f>IF(t&lt;Tnet,'2025'!Resal+('2025'!Salim-'2025'!Resal)*(1-EXP(('2025'!Tnet-t)/('2025'!Tau_j))),Resal+(Salim-Resal)*(1-EXP((Tnet-t)/(Tau_j))))*Salcycl</f>
        <v>9.4007037244486738E-2</v>
      </c>
      <c r="P335" s="169">
        <f>(INDEX(Models!$BJ335:$BT335,,T335)*(1-R335)+INDEX(Models!$BJ335:$BT335,,T335+1)*R335-ERP_i)*Q335*Ramure*Pc/MaxiM</f>
        <v>6.0233601027543673E-4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0.17887404786982031</v>
      </c>
      <c r="S335" s="810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-0.82112595213017969</v>
      </c>
      <c r="V335" s="383">
        <f t="shared" ref="V335:V379" si="135">MaxiM*(1-Ppv)*(1-Pvg)*(1-Psa)</f>
        <v>19.723736187683166</v>
      </c>
      <c r="W335" s="402">
        <f t="shared" ref="W335:W379" si="136">Wh*(A335&gt;Tmaj)</f>
        <v>11.626312117437706</v>
      </c>
      <c r="X335" s="157">
        <f t="shared" ref="X335:X379" si="137">t</f>
        <v>46343</v>
      </c>
      <c r="Y335" s="385">
        <f t="shared" ref="Y335:Y379" si="138">Wh_pvt_s*(1-Ppv)</f>
        <v>10.986679023496725</v>
      </c>
      <c r="Z335" s="385">
        <f t="shared" ref="Z335:Z379" si="139">Wh_sa_s*(1-Psa_s)</f>
        <v>11.789353613960374</v>
      </c>
      <c r="AA335" s="386">
        <f t="shared" ref="AA335:AA379" si="140">Wh_hp*(1-Pvg_s*MEDIAN((-Sdif+Wh/Env_an)/Csdif,0,1))</f>
        <v>13.750287827768675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0.14261041211429759</v>
      </c>
      <c r="AD335" s="231">
        <f>(INDEX(Models!$BJ335:$BT335,,AH335)*(1-AF335)+INDEX(Models!$BJ335:$BT335,,AH335+1)*AF335-ERP_i)*AE335*Ramure*Pc/MaxiM</f>
        <v>4.1010010479263868E-3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0.99886410096900424</v>
      </c>
      <c r="AG335" s="810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1.9988641009690042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12.289758770400455</v>
      </c>
      <c r="C336" s="840"/>
      <c r="D336" s="393">
        <f t="shared" si="127"/>
        <v>13.187941825350853</v>
      </c>
      <c r="E336" s="385">
        <f t="shared" si="125"/>
        <v>14.557005670138052</v>
      </c>
      <c r="F336" s="385">
        <f t="shared" si="128"/>
        <v>14.560958659003381</v>
      </c>
      <c r="G336" s="110">
        <f t="shared" si="126"/>
        <v>0.63025703144725076</v>
      </c>
      <c r="H336" s="414" t="b">
        <f>Wh_hp&gt;='2025'!Maxi_hp</f>
        <v>0</v>
      </c>
      <c r="I336" s="390">
        <f>IF(H336,Wh_hp,'2025'!Maxi_hp)</f>
        <v>21.900036147132251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6.8106385882279352E-2</v>
      </c>
      <c r="M336" s="844"/>
      <c r="N336" s="844"/>
      <c r="O336" s="48">
        <f>IF(t&lt;Tnet,'2025'!Resal+('2025'!Salim-'2025'!Resal)*(1-EXP(('2025'!Tnet-t)/('2025'!Tau_j))),Resal+(Salim-Resal)*(1-EXP((Tnet-t)/(Tau_j))))*Salcycl</f>
        <v>9.404845170842166E-2</v>
      </c>
      <c r="P336" s="169">
        <f>(INDEX(Models!$BJ336:$BT336,,T336)*(1-R336)+INDEX(Models!$BJ336:$BT336,,T336+1)*R336-ERP_i)*Q336*Ramure*Pc/MaxiM</f>
        <v>5.7508215403686354E-4</v>
      </c>
      <c r="Q336" s="305">
        <f t="shared" si="130"/>
        <v>0.7</v>
      </c>
      <c r="R336" s="177">
        <f t="shared" si="131"/>
        <v>0.17889648111675105</v>
      </c>
      <c r="S336" s="810">
        <f t="shared" si="132"/>
        <v>-1</v>
      </c>
      <c r="T336" s="176">
        <f t="shared" si="133"/>
        <v>5</v>
      </c>
      <c r="U336" s="251">
        <f t="shared" si="134"/>
        <v>-0.82110351888324895</v>
      </c>
      <c r="V336" s="383">
        <f t="shared" si="135"/>
        <v>19.493676277900462</v>
      </c>
      <c r="W336" s="402">
        <f t="shared" si="136"/>
        <v>12.289758770400455</v>
      </c>
      <c r="X336" s="157">
        <f t="shared" si="137"/>
        <v>46344</v>
      </c>
      <c r="Y336" s="385">
        <f t="shared" si="138"/>
        <v>11.612591260167315</v>
      </c>
      <c r="Z336" s="385">
        <f t="shared" si="139"/>
        <v>12.461284297093986</v>
      </c>
      <c r="AA336" s="386">
        <f t="shared" si="140"/>
        <v>14.53329851882545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0.14257012742479061</v>
      </c>
      <c r="AD336" s="231">
        <f>(INDEX(Models!$BJ336:$BT336,,AH336)*(1-AF336)+INDEX(Models!$BJ336:$BT336,,AH336+1)*AF336-ERP_i)*AE336*Ramure*Pc/MaxiM</f>
        <v>4.0240065268091346E-3</v>
      </c>
      <c r="AE336" s="305">
        <f t="shared" si="142"/>
        <v>0.7</v>
      </c>
      <c r="AF336" s="177">
        <f t="shared" si="143"/>
        <v>0.99888653421593498</v>
      </c>
      <c r="AG336" s="810">
        <f t="shared" ref="AG336:AG379" si="149">INDEX(Echel_vg,AH336)</f>
        <v>1</v>
      </c>
      <c r="AH336" s="176">
        <f t="shared" si="144"/>
        <v>7</v>
      </c>
      <c r="AI336" s="225">
        <f t="shared" si="145"/>
        <v>1.998886534215935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6.8182932544161678</v>
      </c>
      <c r="C337" s="840"/>
      <c r="D337" s="393">
        <f t="shared" si="127"/>
        <v>7.3167707412708545</v>
      </c>
      <c r="E337" s="385">
        <f t="shared" si="125"/>
        <v>8.0767177985592706</v>
      </c>
      <c r="F337" s="385">
        <f t="shared" si="128"/>
        <v>8.0770597830734978</v>
      </c>
      <c r="G337" s="110">
        <f t="shared" si="126"/>
        <v>0.35367530521335472</v>
      </c>
      <c r="H337" s="414" t="b">
        <f>Wh_hp&gt;='2025'!Maxi_hp</f>
        <v>0</v>
      </c>
      <c r="I337" s="390">
        <f>IF(H337,Wh_hp,'2025'!Maxi_hp)</f>
        <v>22.404148660513918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6.8128072408088824E-2</v>
      </c>
      <c r="M337" s="844"/>
      <c r="N337" s="844"/>
      <c r="O337" s="48">
        <f>IF(t&lt;Tnet,'2025'!Resal+('2025'!Salim-'2025'!Resal)*(1-EXP(('2025'!Tnet-t)/('2025'!Tau_j))),Resal+(Salim-Resal)*(1-EXP((Tnet-t)/(Tau_j))))*Salcycl</f>
        <v>9.4091074647176087E-2</v>
      </c>
      <c r="P337" s="169">
        <f>(INDEX(Models!$BJ337:$BT337,,T337)*(1-R337)+INDEX(Models!$BJ337:$BT337,,T337+1)*R337-ERP_i)*Q337*Ramure*Pc/MaxiM</f>
        <v>5.5033179309150169E-4</v>
      </c>
      <c r="Q337" s="305">
        <f t="shared" si="130"/>
        <v>0.7</v>
      </c>
      <c r="R337" s="177">
        <f t="shared" si="131"/>
        <v>0.17891801350168746</v>
      </c>
      <c r="S337" s="810">
        <f t="shared" si="132"/>
        <v>-1</v>
      </c>
      <c r="T337" s="176">
        <f t="shared" si="133"/>
        <v>5</v>
      </c>
      <c r="U337" s="251">
        <f t="shared" si="134"/>
        <v>-0.82108198649831254</v>
      </c>
      <c r="V337" s="383">
        <f t="shared" si="135"/>
        <v>19.268604202246177</v>
      </c>
      <c r="W337" s="402">
        <f t="shared" si="136"/>
        <v>6.8182932544161678</v>
      </c>
      <c r="X337" s="157">
        <f t="shared" si="137"/>
        <v>46345</v>
      </c>
      <c r="Y337" s="385">
        <f t="shared" si="138"/>
        <v>6.452013079120432</v>
      </c>
      <c r="Z337" s="385">
        <f t="shared" si="139"/>
        <v>6.9237122485204017</v>
      </c>
      <c r="AA337" s="386">
        <f t="shared" si="140"/>
        <v>8.0746004462564613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0.14253190673597149</v>
      </c>
      <c r="AD337" s="231">
        <f>(INDEX(Models!$BJ337:$BT337,,AH337)*(1-AF337)+INDEX(Models!$BJ337:$BT337,,AH337+1)*AF337-ERP_i)*AE337*Ramure*Pc/MaxiM</f>
        <v>3.9576389690941091E-3</v>
      </c>
      <c r="AE337" s="305">
        <f t="shared" si="142"/>
        <v>0.7</v>
      </c>
      <c r="AF337" s="177">
        <f t="shared" si="143"/>
        <v>0.99890806660087139</v>
      </c>
      <c r="AG337" s="810">
        <f t="shared" si="149"/>
        <v>1</v>
      </c>
      <c r="AH337" s="176">
        <f t="shared" si="144"/>
        <v>7</v>
      </c>
      <c r="AI337" s="225">
        <f t="shared" si="145"/>
        <v>1.9989080666008714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12.617886403576199</v>
      </c>
      <c r="C338" s="840"/>
      <c r="D338" s="393">
        <f t="shared" si="127"/>
        <v>13.540680509248766</v>
      </c>
      <c r="E338" s="385">
        <f t="shared" si="125"/>
        <v>14.947790203441766</v>
      </c>
      <c r="F338" s="385">
        <f t="shared" si="128"/>
        <v>14.951880552464104</v>
      </c>
      <c r="G338" s="110">
        <f t="shared" si="126"/>
        <v>0.66221980135015024</v>
      </c>
      <c r="H338" s="414" t="b">
        <f>Wh_hp&gt;='2025'!Maxi_hp</f>
        <v>0</v>
      </c>
      <c r="I338" s="390">
        <f>IF(H338,Wh_hp,'2025'!Maxi_hp)</f>
        <v>23.081621560560357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6.8149758429221219E-2</v>
      </c>
      <c r="M338" s="844"/>
      <c r="N338" s="844"/>
      <c r="O338" s="48">
        <f>IF(t&lt;Tnet,'2025'!Resal+('2025'!Salim-'2025'!Resal)*(1-EXP(('2025'!Tnet-t)/('2025'!Tau_j))),Resal+(Salim-Resal)*(1-EXP((Tnet-t)/(Tau_j))))*Salcycl</f>
        <v>9.4134964101182661E-2</v>
      </c>
      <c r="P338" s="169">
        <f>(INDEX(Models!$BJ338:$BT338,,T338)*(1-R338)+INDEX(Models!$BJ338:$BT338,,T338+1)*R338-ERP_i)*Q338*Ramure*Pc/MaxiM</f>
        <v>5.2843062862301625E-4</v>
      </c>
      <c r="Q338" s="305">
        <f t="shared" si="130"/>
        <v>0.7</v>
      </c>
      <c r="R338" s="177">
        <f t="shared" si="131"/>
        <v>0.17893868110963873</v>
      </c>
      <c r="S338" s="810">
        <f t="shared" si="132"/>
        <v>-1</v>
      </c>
      <c r="T338" s="176">
        <f t="shared" si="133"/>
        <v>5</v>
      </c>
      <c r="U338" s="251">
        <f t="shared" si="134"/>
        <v>-0.82106131889036127</v>
      </c>
      <c r="V338" s="383">
        <f t="shared" si="135"/>
        <v>19.049067491237796</v>
      </c>
      <c r="W338" s="402">
        <f t="shared" si="136"/>
        <v>12.617886403576199</v>
      </c>
      <c r="X338" s="157">
        <f t="shared" si="137"/>
        <v>46346</v>
      </c>
      <c r="Y338" s="385">
        <f t="shared" si="138"/>
        <v>11.923385530840278</v>
      </c>
      <c r="Z338" s="385">
        <f t="shared" si="139"/>
        <v>12.795388141705638</v>
      </c>
      <c r="AA338" s="386">
        <f t="shared" si="140"/>
        <v>14.92166292936575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0.14249583291923953</v>
      </c>
      <c r="AD338" s="231">
        <f>(INDEX(Models!$BJ338:$BT338,,AH338)*(1-AF338)+INDEX(Models!$BJ338:$BT338,,AH338+1)*AF338-ERP_i)*AE338*Ramure*Pc/MaxiM</f>
        <v>3.9038031918934325E-3</v>
      </c>
      <c r="AE338" s="305">
        <f t="shared" si="142"/>
        <v>0.7</v>
      </c>
      <c r="AF338" s="177">
        <f t="shared" si="143"/>
        <v>0.99892873420882267</v>
      </c>
      <c r="AG338" s="810">
        <f t="shared" si="149"/>
        <v>1</v>
      </c>
      <c r="AH338" s="176">
        <f t="shared" si="144"/>
        <v>7</v>
      </c>
      <c r="AI338" s="225">
        <f t="shared" si="145"/>
        <v>1.9989287342088227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2.9543301280074248</v>
      </c>
      <c r="C339" s="840"/>
      <c r="D339" s="393">
        <f t="shared" si="127"/>
        <v>3.1704653273528041</v>
      </c>
      <c r="E339" s="385">
        <f t="shared" si="125"/>
        <v>3.5001059060924633</v>
      </c>
      <c r="F339" s="385">
        <f t="shared" si="128"/>
        <v>3.5001059060924633</v>
      </c>
      <c r="G339" s="110">
        <f t="shared" si="126"/>
        <v>0.15676814402872699</v>
      </c>
      <c r="H339" s="414" t="b">
        <f>Wh_hp&gt;='2025'!Maxi_hp</f>
        <v>0</v>
      </c>
      <c r="I339" s="390">
        <f>IF(H339,Wh_hp,'2025'!Maxi_hp)</f>
        <v>22.83442232679824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6.8171443945688082E-2</v>
      </c>
      <c r="M339" s="844"/>
      <c r="N339" s="844"/>
      <c r="O339" s="48">
        <f>IF(t&lt;Tnet,'2025'!Resal+('2025'!Salim-'2025'!Resal)*(1-EXP(('2025'!Tnet-t)/('2025'!Tau_j))),Resal+(Salim-Resal)*(1-EXP((Tnet-t)/(Tau_j))))*Salcycl</f>
        <v>9.4180172710165808E-2</v>
      </c>
      <c r="P339" s="169">
        <f>(INDEX(Models!$BJ339:$BT339,,T339)*(1-R339)+INDEX(Models!$BJ339:$BT339,,T339+1)*R339-ERP_i)*Q339*Ramure*Pc/MaxiM</f>
        <v>5.0797696423752494E-4</v>
      </c>
      <c r="Q339" s="305">
        <f t="shared" si="130"/>
        <v>0.7</v>
      </c>
      <c r="R339" s="177">
        <f t="shared" si="131"/>
        <v>0.17895851858738676</v>
      </c>
      <c r="S339" s="810">
        <f t="shared" si="132"/>
        <v>-1</v>
      </c>
      <c r="T339" s="176">
        <f t="shared" si="133"/>
        <v>5</v>
      </c>
      <c r="U339" s="251">
        <f t="shared" si="134"/>
        <v>-0.82104148141261324</v>
      </c>
      <c r="V339" s="383">
        <f t="shared" si="135"/>
        <v>18.835646837896814</v>
      </c>
      <c r="W339" s="402">
        <f t="shared" si="136"/>
        <v>2.9543301280074248</v>
      </c>
      <c r="X339" s="157">
        <f t="shared" si="137"/>
        <v>46347</v>
      </c>
      <c r="Y339" s="385">
        <f t="shared" si="138"/>
        <v>2.7968590780710874</v>
      </c>
      <c r="Z339" s="385">
        <f t="shared" si="139"/>
        <v>3.0014738869068007</v>
      </c>
      <c r="AA339" s="386">
        <f t="shared" si="140"/>
        <v>3.5001059060924633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0.1424619804554251</v>
      </c>
      <c r="AD339" s="231">
        <f>(INDEX(Models!$BJ339:$BT339,,AH339)*(1-AF339)+INDEX(Models!$BJ339:$BT339,,AH339+1)*AF339-ERP_i)*AE339*Ramure*Pc/MaxiM</f>
        <v>3.8542779997748668E-3</v>
      </c>
      <c r="AE339" s="305">
        <f t="shared" si="142"/>
        <v>0.7</v>
      </c>
      <c r="AF339" s="177">
        <f t="shared" si="143"/>
        <v>0.9989485716865707</v>
      </c>
      <c r="AG339" s="810">
        <f t="shared" si="149"/>
        <v>1</v>
      </c>
      <c r="AH339" s="176">
        <f t="shared" si="144"/>
        <v>7</v>
      </c>
      <c r="AI339" s="225">
        <f t="shared" si="145"/>
        <v>1.9989485716865707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6.998671823889417</v>
      </c>
      <c r="C340" s="840"/>
      <c r="D340" s="393">
        <f t="shared" si="127"/>
        <v>7.5108609320076756</v>
      </c>
      <c r="E340" s="385">
        <f t="shared" si="125"/>
        <v>8.2922087967093585</v>
      </c>
      <c r="F340" s="385">
        <f t="shared" si="128"/>
        <v>8.2926472612421556</v>
      </c>
      <c r="G340" s="110">
        <f t="shared" si="126"/>
        <v>0.37552519151239838</v>
      </c>
      <c r="H340" s="414" t="b">
        <f>Wh_hp&gt;='2025'!Maxi_hp</f>
        <v>0</v>
      </c>
      <c r="I340" s="390">
        <f>IF(H340,Wh_hp,'2025'!Maxi_hp)</f>
        <v>22.832707218785405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6.8193128957501403E-2</v>
      </c>
      <c r="M340" s="844"/>
      <c r="N340" s="844"/>
      <c r="O340" s="48">
        <f>IF(t&lt;Tnet,'2025'!Resal+('2025'!Salim-'2025'!Resal)*(1-EXP(('2025'!Tnet-t)/('2025'!Tau_j))),Resal+(Salim-Resal)*(1-EXP((Tnet-t)/(Tau_j))))*Salcycl</f>
        <v>9.4226747523741772E-2</v>
      </c>
      <c r="P340" s="169">
        <f>(INDEX(Models!$BJ340:$BT340,,T340)*(1-R340)+INDEX(Models!$BJ340:$BT340,,T340+1)*R340-ERP_i)*Q340*Ramure*Pc/MaxiM</f>
        <v>4.8899709638883888E-4</v>
      </c>
      <c r="Q340" s="305">
        <f t="shared" si="130"/>
        <v>0.7</v>
      </c>
      <c r="R340" s="177">
        <f t="shared" si="131"/>
        <v>0.17897755920024161</v>
      </c>
      <c r="S340" s="810">
        <f t="shared" si="132"/>
        <v>-1</v>
      </c>
      <c r="T340" s="176">
        <f t="shared" si="133"/>
        <v>5</v>
      </c>
      <c r="U340" s="251">
        <f t="shared" si="134"/>
        <v>-0.82102244079975839</v>
      </c>
      <c r="V340" s="383">
        <f t="shared" si="135"/>
        <v>18.628895044659306</v>
      </c>
      <c r="W340" s="402">
        <f t="shared" si="136"/>
        <v>6.998671823889417</v>
      </c>
      <c r="X340" s="157">
        <f t="shared" si="137"/>
        <v>46348</v>
      </c>
      <c r="Y340" s="385">
        <f t="shared" si="138"/>
        <v>6.6238358881940034</v>
      </c>
      <c r="Z340" s="385">
        <f t="shared" si="139"/>
        <v>7.1085930937419519</v>
      </c>
      <c r="AA340" s="386">
        <f t="shared" si="140"/>
        <v>8.2892318239454106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0.14243041517947469</v>
      </c>
      <c r="AD340" s="231">
        <f>(INDEX(Models!$BJ340:$BT340,,AH340)*(1-AF340)+INDEX(Models!$BJ340:$BT340,,AH340+1)*AF340-ERP_i)*AE340*Ramure*Pc/MaxiM</f>
        <v>3.8090627544028967E-3</v>
      </c>
      <c r="AE340" s="305">
        <f t="shared" si="142"/>
        <v>0.7</v>
      </c>
      <c r="AF340" s="177">
        <f t="shared" si="143"/>
        <v>0.99896761229942554</v>
      </c>
      <c r="AG340" s="810">
        <f t="shared" si="149"/>
        <v>1</v>
      </c>
      <c r="AH340" s="176">
        <f t="shared" si="144"/>
        <v>7</v>
      </c>
      <c r="AI340" s="225">
        <f t="shared" si="145"/>
        <v>1.9989676122994255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11.191701932492176</v>
      </c>
      <c r="C341" s="840"/>
      <c r="D341" s="393">
        <f t="shared" si="127"/>
        <v>12.011032257452463</v>
      </c>
      <c r="E341" s="385">
        <f t="shared" si="125"/>
        <v>13.261231251087134</v>
      </c>
      <c r="F341" s="385">
        <f t="shared" si="128"/>
        <v>13.263976612967344</v>
      </c>
      <c r="G341" s="110">
        <f t="shared" si="126"/>
        <v>0.6071148283879948</v>
      </c>
      <c r="H341" s="414" t="b">
        <f>Wh_hp&gt;='2025'!Maxi_hp</f>
        <v>0</v>
      </c>
      <c r="I341" s="390">
        <f>IF(H341,Wh_hp,'2025'!Maxi_hp)</f>
        <v>22.481417216990419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6.821481346467273E-2</v>
      </c>
      <c r="M341" s="844"/>
      <c r="N341" s="844"/>
      <c r="O341" s="48">
        <f>IF(t&lt;Tnet,'2025'!Resal+('2025'!Salim-'2025'!Resal)*(1-EXP(('2025'!Tnet-t)/('2025'!Tau_j))),Resal+(Salim-Resal)*(1-EXP((Tnet-t)/(Tau_j))))*Salcycl</f>
        <v>9.4274729846987676E-2</v>
      </c>
      <c r="P341" s="169">
        <f>(INDEX(Models!$BJ341:$BT341,,T341)*(1-R341)+INDEX(Models!$BJ341:$BT341,,T341+1)*R341-ERP_i)*Q341*Ramure*Pc/MaxiM</f>
        <v>4.7151546981192996E-4</v>
      </c>
      <c r="Q341" s="305">
        <f t="shared" si="130"/>
        <v>0.7</v>
      </c>
      <c r="R341" s="177">
        <f t="shared" si="131"/>
        <v>0.17899583488660142</v>
      </c>
      <c r="S341" s="810">
        <f t="shared" si="132"/>
        <v>-1</v>
      </c>
      <c r="T341" s="176">
        <f t="shared" si="133"/>
        <v>5</v>
      </c>
      <c r="U341" s="251">
        <f t="shared" si="134"/>
        <v>-0.82100416511339858</v>
      </c>
      <c r="V341" s="383">
        <f t="shared" si="135"/>
        <v>18.42936489240536</v>
      </c>
      <c r="W341" s="402">
        <f t="shared" si="136"/>
        <v>11.191701932492176</v>
      </c>
      <c r="X341" s="157">
        <f t="shared" si="137"/>
        <v>46349</v>
      </c>
      <c r="Y341" s="385">
        <f t="shared" si="138"/>
        <v>10.58168344654035</v>
      </c>
      <c r="Z341" s="385">
        <f t="shared" si="139"/>
        <v>11.35635509069038</v>
      </c>
      <c r="AA341" s="386">
        <f t="shared" si="140"/>
        <v>13.242036966799466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0.14240119407889293</v>
      </c>
      <c r="AD341" s="231">
        <f>(INDEX(Models!$BJ341:$BT341,,AH341)*(1-AF341)+INDEX(Models!$BJ341:$BT341,,AH341+1)*AF341-ERP_i)*AE341*Ramure*Pc/MaxiM</f>
        <v>3.7681307680885079E-3</v>
      </c>
      <c r="AE341" s="305">
        <f t="shared" si="142"/>
        <v>0.7</v>
      </c>
      <c r="AF341" s="177">
        <f t="shared" si="143"/>
        <v>0.99898588798578536</v>
      </c>
      <c r="AG341" s="810">
        <f t="shared" si="149"/>
        <v>1</v>
      </c>
      <c r="AH341" s="176">
        <f t="shared" si="144"/>
        <v>7</v>
      </c>
      <c r="AI341" s="225">
        <f t="shared" si="145"/>
        <v>1.9989858879857854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11.269253597339546</v>
      </c>
      <c r="C342" s="840"/>
      <c r="D342" s="393">
        <f t="shared" si="127"/>
        <v>12.094542839150339</v>
      </c>
      <c r="E342" s="385">
        <f t="shared" si="125"/>
        <v>13.354162979557879</v>
      </c>
      <c r="F342" s="385">
        <f t="shared" si="128"/>
        <v>13.356926493979604</v>
      </c>
      <c r="G342" s="110">
        <f t="shared" si="126"/>
        <v>0.61775920114005001</v>
      </c>
      <c r="H342" s="414" t="b">
        <f>Wh_hp&gt;='2025'!Maxi_hp</f>
        <v>0</v>
      </c>
      <c r="I342" s="390">
        <f>IF(H342,Wh_hp,'2025'!Maxi_hp)</f>
        <v>21.083338860152271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6.8236497467214052E-2</v>
      </c>
      <c r="M342" s="844"/>
      <c r="N342" s="844"/>
      <c r="O342" s="48">
        <f>IF(t&lt;Tnet,'2025'!Resal+('2025'!Salim-'2025'!Resal)*(1-EXP(('2025'!Tnet-t)/('2025'!Tau_j))),Resal+(Salim-Resal)*(1-EXP((Tnet-t)/(Tau_j))))*Salcycl</f>
        <v>9.4324155121944073E-2</v>
      </c>
      <c r="P342" s="169">
        <f>(INDEX(Models!$BJ342:$BT342,,T342)*(1-R342)+INDEX(Models!$BJ342:$BT342,,T342+1)*R342-ERP_i)*Q342*Ramure*Pc/MaxiM</f>
        <v>4.5555950248717916E-4</v>
      </c>
      <c r="Q342" s="305">
        <f t="shared" si="130"/>
        <v>0.7</v>
      </c>
      <c r="R342" s="177">
        <f t="shared" si="131"/>
        <v>0.17901337631039982</v>
      </c>
      <c r="S342" s="810">
        <f t="shared" si="132"/>
        <v>-1</v>
      </c>
      <c r="T342" s="176">
        <f t="shared" si="133"/>
        <v>5</v>
      </c>
      <c r="U342" s="251">
        <f t="shared" si="134"/>
        <v>-0.82098662368960018</v>
      </c>
      <c r="V342" s="383">
        <f t="shared" si="135"/>
        <v>18.237609025089561</v>
      </c>
      <c r="W342" s="402">
        <f t="shared" si="136"/>
        <v>11.269253597339546</v>
      </c>
      <c r="X342" s="157">
        <f t="shared" si="137"/>
        <v>46350</v>
      </c>
      <c r="Y342" s="385">
        <f t="shared" si="138"/>
        <v>10.655488548853462</v>
      </c>
      <c r="Z342" s="385">
        <f t="shared" si="139"/>
        <v>11.435829499533899</v>
      </c>
      <c r="AA342" s="386">
        <f t="shared" si="140"/>
        <v>13.334290668090501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0.14237436514712376</v>
      </c>
      <c r="AD342" s="231">
        <f>(INDEX(Models!$BJ342:$BT342,,AH342)*(1-AF342)+INDEX(Models!$BJ342:$BT342,,AH342+1)*AF342-ERP_i)*AE342*Ramure*Pc/MaxiM</f>
        <v>3.731467981262674E-3</v>
      </c>
      <c r="AE342" s="305">
        <f t="shared" si="142"/>
        <v>0.7</v>
      </c>
      <c r="AF342" s="177">
        <f t="shared" si="143"/>
        <v>0.99900342940958375</v>
      </c>
      <c r="AG342" s="810">
        <f t="shared" si="149"/>
        <v>1</v>
      </c>
      <c r="AH342" s="176">
        <f t="shared" si="144"/>
        <v>7</v>
      </c>
      <c r="AI342" s="225">
        <f t="shared" si="145"/>
        <v>1.9990034294095838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4.5852516642018069</v>
      </c>
      <c r="C343" s="840"/>
      <c r="D343" s="393">
        <f t="shared" si="127"/>
        <v>4.9211611741881462</v>
      </c>
      <c r="E343" s="385">
        <f t="shared" si="125"/>
        <v>5.433994712327463</v>
      </c>
      <c r="F343" s="385">
        <f t="shared" si="128"/>
        <v>5.433994712327463</v>
      </c>
      <c r="G343" s="110">
        <f t="shared" si="126"/>
        <v>0.25385970767677341</v>
      </c>
      <c r="H343" s="414" t="b">
        <f>Wh_hp&gt;='2025'!Maxi_hp</f>
        <v>0</v>
      </c>
      <c r="I343" s="390">
        <f>IF(H343,Wh_hp,'2025'!Maxi_hp)</f>
        <v>19.914924416032331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6.8258180965136805E-2</v>
      </c>
      <c r="M343" s="844"/>
      <c r="N343" s="844"/>
      <c r="O343" s="48">
        <f>IF(t&lt;Tnet,'2025'!Resal+('2025'!Salim-'2025'!Resal)*(1-EXP(('2025'!Tnet-t)/('2025'!Tau_j))),Resal+(Salim-Resal)*(1-EXP((Tnet-t)/(Tau_j))))*Salcycl</f>
        <v>9.4375052845729113E-2</v>
      </c>
      <c r="P343" s="169">
        <f>(INDEX(Models!$BJ343:$BT343,,T343)*(1-R343)+INDEX(Models!$BJ343:$BT343,,T343+1)*R343-ERP_i)*Q343*Ramure*Pc/MaxiM</f>
        <v>4.4115916807099901E-4</v>
      </c>
      <c r="Q343" s="305">
        <f t="shared" si="130"/>
        <v>0.7</v>
      </c>
      <c r="R343" s="177">
        <f t="shared" si="131"/>
        <v>0.17903021291151777</v>
      </c>
      <c r="S343" s="810">
        <f t="shared" si="132"/>
        <v>-1</v>
      </c>
      <c r="T343" s="176">
        <f t="shared" si="133"/>
        <v>5</v>
      </c>
      <c r="U343" s="251">
        <f t="shared" si="134"/>
        <v>-0.82096978708848223</v>
      </c>
      <c r="V343" s="383">
        <f t="shared" si="135"/>
        <v>18.054179926133937</v>
      </c>
      <c r="W343" s="402">
        <f t="shared" si="136"/>
        <v>4.5852516642018069</v>
      </c>
      <c r="X343" s="157">
        <f t="shared" si="137"/>
        <v>46351</v>
      </c>
      <c r="Y343" s="385">
        <f t="shared" si="138"/>
        <v>4.342350828708307</v>
      </c>
      <c r="Z343" s="385">
        <f t="shared" si="139"/>
        <v>4.6604657427593992</v>
      </c>
      <c r="AA343" s="386">
        <f t="shared" si="140"/>
        <v>5.433994712327463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0.1423499672926162</v>
      </c>
      <c r="AD343" s="231">
        <f>(INDEX(Models!$BJ343:$BT343,,AH343)*(1-AF343)+INDEX(Models!$BJ343:$BT343,,AH343+1)*AF343-ERP_i)*AE343*Ramure*Pc/MaxiM</f>
        <v>3.6990744150399574E-3</v>
      </c>
      <c r="AE343" s="305">
        <f t="shared" si="142"/>
        <v>0.7</v>
      </c>
      <c r="AF343" s="177">
        <f t="shared" si="143"/>
        <v>0.99902026601070171</v>
      </c>
      <c r="AG343" s="810">
        <f t="shared" si="149"/>
        <v>1</v>
      </c>
      <c r="AH343" s="176">
        <f t="shared" si="144"/>
        <v>7</v>
      </c>
      <c r="AI343" s="225">
        <f t="shared" si="145"/>
        <v>1.9990202660107017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10.292470002893374</v>
      </c>
      <c r="C344" s="840"/>
      <c r="D344" s="393">
        <f t="shared" si="127"/>
        <v>11.04673990048275</v>
      </c>
      <c r="E344" s="385">
        <f t="shared" si="125"/>
        <v>12.198624901009302</v>
      </c>
      <c r="F344" s="385">
        <f t="shared" si="128"/>
        <v>12.200682885414029</v>
      </c>
      <c r="G344" s="110">
        <f t="shared" si="126"/>
        <v>0.57550390964888964</v>
      </c>
      <c r="H344" s="414" t="b">
        <f>Wh_hp&gt;='2025'!Maxi_hp</f>
        <v>0</v>
      </c>
      <c r="I344" s="390">
        <f>IF(H344,Wh_hp,'2025'!Maxi_hp)</f>
        <v>21.504267084607424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6.827986395845298E-2</v>
      </c>
      <c r="M344" s="844"/>
      <c r="N344" s="844"/>
      <c r="O344" s="48">
        <f>IF(t&lt;Tnet,'2025'!Resal+('2025'!Salim-'2025'!Resal)*(1-EXP(('2025'!Tnet-t)/('2025'!Tau_j))),Resal+(Salim-Resal)*(1-EXP((Tnet-t)/(Tau_j))))*Salcycl</f>
        <v>9.4427446525652659E-2</v>
      </c>
      <c r="P344" s="169">
        <f>(INDEX(Models!$BJ344:$BT344,,T344)*(1-R344)+INDEX(Models!$BJ344:$BT344,,T344+1)*R344-ERP_i)*Q344*Ramure*Pc/MaxiM</f>
        <v>4.2834391993880257E-4</v>
      </c>
      <c r="Q344" s="305">
        <f t="shared" si="130"/>
        <v>0.7</v>
      </c>
      <c r="R344" s="177">
        <f t="shared" si="131"/>
        <v>0.17904637295423642</v>
      </c>
      <c r="S344" s="810">
        <f t="shared" si="132"/>
        <v>-1</v>
      </c>
      <c r="T344" s="176">
        <f t="shared" si="133"/>
        <v>5</v>
      </c>
      <c r="U344" s="251">
        <f t="shared" si="134"/>
        <v>-0.82095362704576358</v>
      </c>
      <c r="V344" s="383">
        <f t="shared" si="135"/>
        <v>17.87962996217302</v>
      </c>
      <c r="W344" s="402">
        <f t="shared" si="136"/>
        <v>10.292470002893374</v>
      </c>
      <c r="X344" s="157">
        <f t="shared" si="137"/>
        <v>46352</v>
      </c>
      <c r="Y344" s="385">
        <f t="shared" si="138"/>
        <v>9.7355966949067483</v>
      </c>
      <c r="Z344" s="385">
        <f t="shared" si="139"/>
        <v>10.449056876959693</v>
      </c>
      <c r="AA344" s="386">
        <f t="shared" si="140"/>
        <v>12.183045786913018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0.14232803030388091</v>
      </c>
      <c r="AD344" s="231">
        <f>(INDEX(Models!$BJ344:$BT344,,AH344)*(1-AF344)+INDEX(Models!$BJ344:$BT344,,AH344+1)*AF344-ERP_i)*AE344*Ramure*Pc/MaxiM</f>
        <v>3.6709432252823551E-3</v>
      </c>
      <c r="AE344" s="305">
        <f t="shared" si="142"/>
        <v>0.7</v>
      </c>
      <c r="AF344" s="177">
        <f t="shared" si="143"/>
        <v>0.99903642605342036</v>
      </c>
      <c r="AG344" s="810">
        <f t="shared" si="149"/>
        <v>1</v>
      </c>
      <c r="AH344" s="176">
        <f t="shared" si="144"/>
        <v>7</v>
      </c>
      <c r="AI344" s="225">
        <f t="shared" si="145"/>
        <v>1.9990364260534204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11.599320115331256</v>
      </c>
      <c r="C345" s="840"/>
      <c r="D345" s="393">
        <f t="shared" si="127"/>
        <v>12.44965049700342</v>
      </c>
      <c r="E345" s="385">
        <f t="shared" si="125"/>
        <v>13.748640679549247</v>
      </c>
      <c r="F345" s="385">
        <f t="shared" si="128"/>
        <v>13.751549237318979</v>
      </c>
      <c r="G345" s="110">
        <f t="shared" si="126"/>
        <v>0.65474534708038801</v>
      </c>
      <c r="H345" s="414" t="b">
        <f>Wh_hp&gt;='2025'!Maxi_hp</f>
        <v>0</v>
      </c>
      <c r="I345" s="390">
        <f>IF(H345,Wh_hp,'2025'!Maxi_hp)</f>
        <v>18.227231813309963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6.8301546447174122E-2</v>
      </c>
      <c r="M345" s="844"/>
      <c r="N345" s="844"/>
      <c r="O345" s="48">
        <f>IF(t&lt;Tnet,'2025'!Resal+('2025'!Salim-'2025'!Resal)*(1-EXP(('2025'!Tnet-t)/('2025'!Tau_j))),Resal+(Salim-Resal)*(1-EXP((Tnet-t)/(Tau_j))))*Salcycl</f>
        <v>9.4481353671424503E-2</v>
      </c>
      <c r="P345" s="169">
        <f>(INDEX(Models!$BJ345:$BT345,,T345)*(1-R345)+INDEX(Models!$BJ345:$BT345,,T345+1)*R345-ERP_i)*Q345*Ramure*Pc/MaxiM</f>
        <v>4.1719825743646833E-4</v>
      </c>
      <c r="Q345" s="305">
        <f t="shared" si="130"/>
        <v>0.7</v>
      </c>
      <c r="R345" s="177">
        <f t="shared" si="131"/>
        <v>0.17906188357380493</v>
      </c>
      <c r="S345" s="810">
        <f t="shared" si="132"/>
        <v>-1</v>
      </c>
      <c r="T345" s="176">
        <f t="shared" si="133"/>
        <v>5</v>
      </c>
      <c r="U345" s="251">
        <f t="shared" si="134"/>
        <v>-0.82093811642619507</v>
      </c>
      <c r="V345" s="383">
        <f t="shared" si="135"/>
        <v>17.71212852604139</v>
      </c>
      <c r="W345" s="402">
        <f t="shared" si="136"/>
        <v>11.599320115331256</v>
      </c>
      <c r="X345" s="157">
        <f t="shared" si="137"/>
        <v>46353</v>
      </c>
      <c r="Y345" s="385">
        <f t="shared" si="138"/>
        <v>10.968676511003249</v>
      </c>
      <c r="Z345" s="385">
        <f t="shared" si="139"/>
        <v>11.772775267766763</v>
      </c>
      <c r="AA345" s="386">
        <f t="shared" si="140"/>
        <v>13.726119817494805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0.14230857487040005</v>
      </c>
      <c r="AD345" s="231">
        <f>(INDEX(Models!$BJ345:$BT345,,AH345)*(1-AF345)+INDEX(Models!$BJ345:$BT345,,AH345+1)*AF345-ERP_i)*AE345*Ramure*Pc/MaxiM</f>
        <v>3.647549912423856E-3</v>
      </c>
      <c r="AE345" s="305">
        <f t="shared" si="142"/>
        <v>0.7</v>
      </c>
      <c r="AF345" s="177">
        <f t="shared" si="143"/>
        <v>0.99905193667298886</v>
      </c>
      <c r="AG345" s="810">
        <f t="shared" si="149"/>
        <v>1</v>
      </c>
      <c r="AH345" s="176">
        <f t="shared" si="144"/>
        <v>7</v>
      </c>
      <c r="AI345" s="225">
        <f t="shared" si="145"/>
        <v>1.9990519366729889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9.8482175559092102</v>
      </c>
      <c r="C346" s="840"/>
      <c r="D346" s="393">
        <f t="shared" si="127"/>
        <v>10.570422979771745</v>
      </c>
      <c r="E346" s="385">
        <f t="shared" si="125"/>
        <v>11.6740501593918</v>
      </c>
      <c r="F346" s="385">
        <f t="shared" si="128"/>
        <v>11.67582755679336</v>
      </c>
      <c r="G346" s="110">
        <f t="shared" si="126"/>
        <v>0.56101545868278702</v>
      </c>
      <c r="H346" s="414" t="b">
        <f>Wh_hp&gt;='2025'!Maxi_hp</f>
        <v>0</v>
      </c>
      <c r="I346" s="390">
        <f>IF(H346,Wh_hp,'2025'!Maxi_hp)</f>
        <v>13.863925920515646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6.8323228431312111E-2</v>
      </c>
      <c r="M346" s="844"/>
      <c r="N346" s="844"/>
      <c r="O346" s="48">
        <f>IF(t&lt;Tnet,'2025'!Resal+('2025'!Salim-'2025'!Resal)*(1-EXP(('2025'!Tnet-t)/('2025'!Tau_j))),Resal+(Salim-Resal)*(1-EXP((Tnet-t)/(Tau_j))))*Salcycl</f>
        <v>9.4536785824256953E-2</v>
      </c>
      <c r="P346" s="169">
        <f>(INDEX(Models!$BJ346:$BT346,,T346)*(1-R346)+INDEX(Models!$BJ346:$BT346,,T346+1)*R346-ERP_i)*Q346*Ramure*Pc/MaxiM</f>
        <v>4.0802791022481093E-4</v>
      </c>
      <c r="Q346" s="305">
        <f t="shared" si="130"/>
        <v>0.7</v>
      </c>
      <c r="R346" s="177">
        <f t="shared" si="131"/>
        <v>0.17907677082119267</v>
      </c>
      <c r="S346" s="810">
        <f t="shared" si="132"/>
        <v>-1</v>
      </c>
      <c r="T346" s="176">
        <f t="shared" si="133"/>
        <v>5</v>
      </c>
      <c r="U346" s="251">
        <f t="shared" si="134"/>
        <v>-0.82092322917880733</v>
      </c>
      <c r="V346" s="383">
        <f t="shared" si="135"/>
        <v>17.549780233052473</v>
      </c>
      <c r="W346" s="402">
        <f t="shared" si="136"/>
        <v>9.8482175559092102</v>
      </c>
      <c r="X346" s="157">
        <f t="shared" si="137"/>
        <v>46354</v>
      </c>
      <c r="Y346" s="385">
        <f t="shared" si="138"/>
        <v>9.3175986701449318</v>
      </c>
      <c r="Z346" s="385">
        <f t="shared" si="139"/>
        <v>10.000891891354824</v>
      </c>
      <c r="AA346" s="386">
        <f t="shared" si="140"/>
        <v>11.66001410147876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0.14229161265881496</v>
      </c>
      <c r="AD346" s="231">
        <f>(INDEX(Models!$BJ346:$BT346,,AH346)*(1-AF346)+INDEX(Models!$BJ346:$BT346,,AH346+1)*AF346-ERP_i)*AE346*Ramure*Pc/MaxiM</f>
        <v>3.6302129843242708E-3</v>
      </c>
      <c r="AE346" s="305">
        <f t="shared" si="142"/>
        <v>0.7</v>
      </c>
      <c r="AF346" s="177">
        <f t="shared" si="143"/>
        <v>0.9990668239203766</v>
      </c>
      <c r="AG346" s="810">
        <f t="shared" si="149"/>
        <v>1</v>
      </c>
      <c r="AH346" s="176">
        <f t="shared" si="144"/>
        <v>7</v>
      </c>
      <c r="AI346" s="225">
        <f t="shared" si="145"/>
        <v>1.9990668239203766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13.234822937258278</v>
      </c>
      <c r="C347" s="840"/>
      <c r="D347" s="393">
        <f t="shared" si="127"/>
        <v>14.205710973996016</v>
      </c>
      <c r="E347" s="385">
        <f t="shared" si="125"/>
        <v>15.689875072522618</v>
      </c>
      <c r="F347" s="385">
        <f t="shared" si="128"/>
        <v>15.694000658624644</v>
      </c>
      <c r="G347" s="110">
        <f t="shared" si="126"/>
        <v>0.76082109181124025</v>
      </c>
      <c r="H347" s="414" t="b">
        <f>Wh_hp&gt;='2025'!Maxi_hp</f>
        <v>0</v>
      </c>
      <c r="I347" s="390">
        <f>IF(H347,Wh_hp,'2025'!Maxi_hp)</f>
        <v>20.020068183984399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6.8344909910878715E-2</v>
      </c>
      <c r="M347" s="844"/>
      <c r="N347" s="844"/>
      <c r="O347" s="48">
        <f>IF(t&lt;Tnet,'2025'!Resal+('2025'!Salim-'2025'!Resal)*(1-EXP(('2025'!Tnet-t)/('2025'!Tau_j))),Resal+(Salim-Resal)*(1-EXP((Tnet-t)/(Tau_j))))*Salcycl</f>
        <v>9.4593748622370452E-2</v>
      </c>
      <c r="P347" s="169">
        <f>(INDEX(Models!$BJ347:$BT347,,T347)*(1-R347)+INDEX(Models!$BJ347:$BT347,,T347+1)*R347-ERP_i)*Q347*Ramure*Pc/MaxiM</f>
        <v>3.9922698198657347E-4</v>
      </c>
      <c r="Q347" s="305">
        <f t="shared" si="130"/>
        <v>0.7</v>
      </c>
      <c r="R347" s="177">
        <f t="shared" si="131"/>
        <v>0.17909105970609596</v>
      </c>
      <c r="S347" s="810">
        <f t="shared" si="132"/>
        <v>-1</v>
      </c>
      <c r="T347" s="176">
        <f t="shared" si="133"/>
        <v>5</v>
      </c>
      <c r="U347" s="251">
        <f t="shared" si="134"/>
        <v>-0.82090894029390404</v>
      </c>
      <c r="V347" s="383">
        <f t="shared" si="135"/>
        <v>17.393074446144624</v>
      </c>
      <c r="W347" s="402">
        <f t="shared" si="136"/>
        <v>13.234822937258278</v>
      </c>
      <c r="X347" s="157">
        <f t="shared" si="137"/>
        <v>46355</v>
      </c>
      <c r="Y347" s="385">
        <f t="shared" si="138"/>
        <v>12.51125457721877</v>
      </c>
      <c r="Z347" s="385">
        <f t="shared" si="139"/>
        <v>13.429062654530181</v>
      </c>
      <c r="AA347" s="386">
        <f t="shared" si="140"/>
        <v>15.656645499004091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0.14227714644338113</v>
      </c>
      <c r="AD347" s="231">
        <f>(INDEX(Models!$BJ347:$BT347,,AH347)*(1-AF347)+INDEX(Models!$BJ347:$BT347,,AH347+1)*AF347-ERP_i)*AE347*Ramure*Pc/MaxiM</f>
        <v>3.614804604277543E-3</v>
      </c>
      <c r="AE347" s="305">
        <f t="shared" si="142"/>
        <v>0.7</v>
      </c>
      <c r="AF347" s="177">
        <f t="shared" si="143"/>
        <v>0.99908111280527989</v>
      </c>
      <c r="AG347" s="810">
        <f t="shared" si="149"/>
        <v>1</v>
      </c>
      <c r="AH347" s="176">
        <f t="shared" si="144"/>
        <v>7</v>
      </c>
      <c r="AI347" s="225">
        <f t="shared" si="145"/>
        <v>1.9990811128052799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3.7322255813774965</v>
      </c>
      <c r="C348" s="840"/>
      <c r="D348" s="393">
        <f t="shared" si="127"/>
        <v>4.006109640192542</v>
      </c>
      <c r="E348" s="385">
        <f t="shared" si="125"/>
        <v>4.4249401452203614</v>
      </c>
      <c r="F348" s="385">
        <f t="shared" si="128"/>
        <v>4.4249401452203614</v>
      </c>
      <c r="G348" s="110">
        <f t="shared" si="126"/>
        <v>0.21637077949593359</v>
      </c>
      <c r="H348" s="414" t="b">
        <f>Wh_hp&gt;='2025'!Maxi_hp</f>
        <v>0</v>
      </c>
      <c r="I348" s="390">
        <f>IF(H348,Wh_hp,'2025'!Maxi_hp)</f>
        <v>19.556605009076051</v>
      </c>
      <c r="J348" s="85">
        <f>IF(H348,An,'2025'!An_max)</f>
        <v>2021</v>
      </c>
      <c r="K348" s="197">
        <f t="shared" si="129"/>
        <v>46356</v>
      </c>
      <c r="L348" s="147">
        <f>IF(t&lt;Tvie,1-EXP((T0-t)*PertePVj)+'2025'!Pspv,1-EXP((T0-t)*PertePVj)+Pspv)</f>
        <v>6.8366590885885592E-2</v>
      </c>
      <c r="M348" s="844"/>
      <c r="N348" s="844"/>
      <c r="O348" s="48">
        <f>IF(t&lt;Tnet,'2025'!Resal+('2025'!Salim-'2025'!Resal)*(1-EXP(('2025'!Tnet-t)/('2025'!Tau_j))),Resal+(Salim-Resal)*(1-EXP((Tnet-t)/(Tau_j))))*Salcycl</f>
        <v>9.4652241902124568E-2</v>
      </c>
      <c r="P348" s="169">
        <f>(INDEX(Models!$BJ348:$BT348,,T348)*(1-R348)+INDEX(Models!$BJ348:$BT348,,T348+1)*R348-ERP_i)*Q348*Ramure*Pc/MaxiM</f>
        <v>3.9079490192439647E-4</v>
      </c>
      <c r="Q348" s="305">
        <f t="shared" si="130"/>
        <v>0.7</v>
      </c>
      <c r="R348" s="177">
        <f t="shared" si="131"/>
        <v>0.17910477423826321</v>
      </c>
      <c r="S348" s="810">
        <f t="shared" si="132"/>
        <v>-1</v>
      </c>
      <c r="T348" s="176">
        <f t="shared" si="133"/>
        <v>5</v>
      </c>
      <c r="U348" s="251">
        <f t="shared" si="134"/>
        <v>-0.82089522576173679</v>
      </c>
      <c r="V348" s="383">
        <f t="shared" si="135"/>
        <v>17.242471720713919</v>
      </c>
      <c r="W348" s="402">
        <f t="shared" si="136"/>
        <v>3.7322255813774965</v>
      </c>
      <c r="X348" s="157">
        <f t="shared" si="137"/>
        <v>46356</v>
      </c>
      <c r="Y348" s="385">
        <f t="shared" si="138"/>
        <v>3.5359449944524197</v>
      </c>
      <c r="Z348" s="385">
        <f t="shared" si="139"/>
        <v>3.7954252819408145</v>
      </c>
      <c r="AA348" s="386">
        <f t="shared" si="140"/>
        <v>4.4249401452203614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0.14226517028925753</v>
      </c>
      <c r="AD348" s="231">
        <f>(INDEX(Models!$BJ348:$BT348,,AH348)*(1-AF348)+INDEX(Models!$BJ348:$BT348,,AH348+1)*AF348-ERP_i)*AE348*Ramure*Pc/MaxiM</f>
        <v>3.6012622891961289E-3</v>
      </c>
      <c r="AE348" s="305">
        <f t="shared" si="142"/>
        <v>0.7</v>
      </c>
      <c r="AF348" s="177">
        <f t="shared" si="143"/>
        <v>0.99909482733744714</v>
      </c>
      <c r="AG348" s="810">
        <f t="shared" si="149"/>
        <v>1</v>
      </c>
      <c r="AH348" s="176">
        <f t="shared" si="144"/>
        <v>7</v>
      </c>
      <c r="AI348" s="225">
        <f t="shared" si="145"/>
        <v>1.9990948273374471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3.5365436270717123</v>
      </c>
      <c r="C349" s="840"/>
      <c r="D349" s="393">
        <f t="shared" si="127"/>
        <v>3.7961561864625812</v>
      </c>
      <c r="E349" s="385">
        <f t="shared" si="125"/>
        <v>4.1933144767489079</v>
      </c>
      <c r="F349" s="385">
        <f t="shared" si="128"/>
        <v>4.1933144767489079</v>
      </c>
      <c r="G349" s="110">
        <f t="shared" si="126"/>
        <v>0.20675521471957917</v>
      </c>
      <c r="H349" s="414" t="b">
        <f>Wh_hp&gt;='2025'!Maxi_hp</f>
        <v>0</v>
      </c>
      <c r="I349" s="390">
        <f>IF(H349,Wh_hp,'2025'!Maxi_hp)</f>
        <v>20.229052187489842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6.838827135634451E-2</v>
      </c>
      <c r="M349" s="844"/>
      <c r="N349" s="844"/>
      <c r="O349" s="48">
        <f>IF(t&lt;Tnet,'2025'!Resal+('2025'!Salim-'2025'!Resal)*(1-EXP(('2025'!Tnet-t)/('2025'!Tau_j))),Resal+(Salim-Resal)*(1-EXP((Tnet-t)/(Tau_j))))*Salcycl</f>
        <v>9.471225983371627E-2</v>
      </c>
      <c r="P349" s="169">
        <f>(INDEX(Models!$BJ349:$BT349,,T349)*(1-R349)+INDEX(Models!$BJ349:$BT349,,T349+1)*R349-ERP_i)*Q349*Ramure*Pc/MaxiM</f>
        <v>3.8273135814503439E-4</v>
      </c>
      <c r="Q349" s="305">
        <f t="shared" si="130"/>
        <v>0.7</v>
      </c>
      <c r="R349" s="177">
        <f t="shared" si="131"/>
        <v>0.17911793746720361</v>
      </c>
      <c r="S349" s="810">
        <f t="shared" si="132"/>
        <v>-1</v>
      </c>
      <c r="T349" s="176">
        <f t="shared" si="133"/>
        <v>5</v>
      </c>
      <c r="U349" s="251">
        <f t="shared" si="134"/>
        <v>-0.82088206253279639</v>
      </c>
      <c r="V349" s="383">
        <f t="shared" si="135"/>
        <v>17.098432490425651</v>
      </c>
      <c r="W349" s="402">
        <f t="shared" si="136"/>
        <v>3.5365436270717123</v>
      </c>
      <c r="X349" s="157">
        <f t="shared" si="137"/>
        <v>46357</v>
      </c>
      <c r="Y349" s="385">
        <f t="shared" si="138"/>
        <v>3.3508133492620256</v>
      </c>
      <c r="Z349" s="385">
        <f t="shared" si="139"/>
        <v>3.5967917172323647</v>
      </c>
      <c r="AA349" s="386">
        <f t="shared" si="140"/>
        <v>4.1933144767489079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0.14225566978678633</v>
      </c>
      <c r="AD349" s="231">
        <f>(INDEX(Models!$BJ349:$BT349,,AH349)*(1-AF349)+INDEX(Models!$BJ349:$BT349,,AH349+1)*AF349-ERP_i)*AE349*Ramure*Pc/MaxiM</f>
        <v>3.5895188725853684E-3</v>
      </c>
      <c r="AE349" s="305">
        <f t="shared" si="142"/>
        <v>0.7</v>
      </c>
      <c r="AF349" s="177">
        <f t="shared" si="143"/>
        <v>0.99910799056638755</v>
      </c>
      <c r="AG349" s="810">
        <f t="shared" si="149"/>
        <v>1</v>
      </c>
      <c r="AH349" s="176">
        <f t="shared" si="144"/>
        <v>7</v>
      </c>
      <c r="AI349" s="225">
        <f t="shared" si="145"/>
        <v>1.9991079905663875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5.3426686305972533</v>
      </c>
      <c r="C350" s="840"/>
      <c r="D350" s="393">
        <f t="shared" si="127"/>
        <v>5.7349996795054379</v>
      </c>
      <c r="E350" s="385">
        <f t="shared" si="125"/>
        <v>6.3354326499359983</v>
      </c>
      <c r="F350" s="385">
        <f t="shared" si="128"/>
        <v>6.3354835294233043</v>
      </c>
      <c r="G350" s="110">
        <f t="shared" si="126"/>
        <v>0.3148739170001108</v>
      </c>
      <c r="H350" s="414" t="b">
        <f>Wh_hp&gt;='2025'!Maxi_hp</f>
        <v>0</v>
      </c>
      <c r="I350" s="390">
        <f>IF(H350,Wh_hp,'2025'!Maxi_hp)</f>
        <v>9.3592865081560959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6.8409951322267126E-2</v>
      </c>
      <c r="M350" s="844"/>
      <c r="N350" s="844"/>
      <c r="O350" s="48">
        <f>IF(t&lt;Tnet,'2025'!Resal+('2025'!Salim-'2025'!Resal)*(1-EXP(('2025'!Tnet-t)/('2025'!Tau_j))),Resal+(Salim-Resal)*(1-EXP((Tnet-t)/(Tau_j))))*Salcycl</f>
        <v>9.4773791090120074E-2</v>
      </c>
      <c r="P350" s="169">
        <f>(INDEX(Models!$BJ350:$BT350,,T350)*(1-R350)+INDEX(Models!$BJ350:$BT350,,T350+1)*R350-ERP_i)*Q350*Ramure*Pc/MaxiM</f>
        <v>3.7503625373099729E-4</v>
      </c>
      <c r="Q350" s="305">
        <f t="shared" si="130"/>
        <v>0.7</v>
      </c>
      <c r="R350" s="177">
        <f t="shared" si="131"/>
        <v>0.17913057152034118</v>
      </c>
      <c r="S350" s="810">
        <f t="shared" si="132"/>
        <v>-1</v>
      </c>
      <c r="T350" s="176">
        <f t="shared" si="133"/>
        <v>5</v>
      </c>
      <c r="U350" s="251">
        <f t="shared" si="134"/>
        <v>-0.82086942847965882</v>
      </c>
      <c r="V350" s="383">
        <f t="shared" si="135"/>
        <v>16.961417057397878</v>
      </c>
      <c r="W350" s="402">
        <f t="shared" si="136"/>
        <v>5.3426686305972533</v>
      </c>
      <c r="X350" s="157">
        <f t="shared" si="137"/>
        <v>46358</v>
      </c>
      <c r="Y350" s="385">
        <f t="shared" si="138"/>
        <v>5.0621235564605858</v>
      </c>
      <c r="Z350" s="385">
        <f t="shared" si="139"/>
        <v>5.4338531885839609</v>
      </c>
      <c r="AA350" s="386">
        <f t="shared" si="140"/>
        <v>6.334997914399394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0.14224862233452973</v>
      </c>
      <c r="AD350" s="231">
        <f>(INDEX(Models!$BJ350:$BT350,,AH350)*(1-AF350)+INDEX(Models!$BJ350:$BT350,,AH350+1)*AF350-ERP_i)*AE350*Ramure*Pc/MaxiM</f>
        <v>3.5795022506544005E-3</v>
      </c>
      <c r="AE350" s="305">
        <f t="shared" si="142"/>
        <v>0.7</v>
      </c>
      <c r="AF350" s="177">
        <f t="shared" si="143"/>
        <v>0.999120624619525</v>
      </c>
      <c r="AG350" s="810">
        <f t="shared" si="149"/>
        <v>1</v>
      </c>
      <c r="AH350" s="176">
        <f t="shared" si="144"/>
        <v>7</v>
      </c>
      <c r="AI350" s="225">
        <f t="shared" si="145"/>
        <v>1.999120624619525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7.2596674778027772</v>
      </c>
      <c r="C351" s="840"/>
      <c r="D351" s="393">
        <f t="shared" si="127"/>
        <v>7.7929518838320408</v>
      </c>
      <c r="E351" s="385">
        <f t="shared" si="125"/>
        <v>8.6094441840123768</v>
      </c>
      <c r="F351" s="385">
        <f t="shared" si="128"/>
        <v>8.6100380542676973</v>
      </c>
      <c r="G351" s="110">
        <f t="shared" si="126"/>
        <v>0.43117561465947796</v>
      </c>
      <c r="H351" s="414" t="b">
        <f>Wh_hp&gt;='2025'!Maxi_hp</f>
        <v>0</v>
      </c>
      <c r="I351" s="390">
        <f>IF(H351,Wh_hp,'2025'!Maxi_hp)</f>
        <v>13.44927584857693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6.843163078366532E-2</v>
      </c>
      <c r="M351" s="844"/>
      <c r="N351" s="844"/>
      <c r="O351" s="48">
        <f>IF(t&lt;Tnet,'2025'!Resal+('2025'!Salim-'2025'!Resal)*(1-EXP(('2025'!Tnet-t)/('2025'!Tau_j))),Resal+(Salim-Resal)*(1-EXP((Tnet-t)/(Tau_j))))*Salcycl</f>
        <v>9.4836819047686288E-2</v>
      </c>
      <c r="P351" s="169">
        <f>(INDEX(Models!$BJ351:$BT351,,T351)*(1-R351)+INDEX(Models!$BJ351:$BT351,,T351+1)*R351-ERP_i)*Q351*Ramure*Pc/MaxiM</f>
        <v>3.6770965504138921E-4</v>
      </c>
      <c r="Q351" s="305">
        <f t="shared" si="130"/>
        <v>0.7</v>
      </c>
      <c r="R351" s="177">
        <f t="shared" si="131"/>
        <v>0.17914269763967128</v>
      </c>
      <c r="S351" s="810">
        <f t="shared" si="132"/>
        <v>-1</v>
      </c>
      <c r="T351" s="176">
        <f t="shared" si="133"/>
        <v>5</v>
      </c>
      <c r="U351" s="251">
        <f t="shared" si="134"/>
        <v>-0.82085730236032872</v>
      </c>
      <c r="V351" s="383">
        <f t="shared" si="135"/>
        <v>16.831885573296685</v>
      </c>
      <c r="W351" s="402">
        <f t="shared" si="136"/>
        <v>7.2596674778027772</v>
      </c>
      <c r="X351" s="157">
        <f t="shared" si="137"/>
        <v>46359</v>
      </c>
      <c r="Y351" s="385">
        <f t="shared" si="138"/>
        <v>6.8753142666259093</v>
      </c>
      <c r="Z351" s="385">
        <f t="shared" si="139"/>
        <v>7.3803646558004594</v>
      </c>
      <c r="AA351" s="386">
        <f t="shared" si="140"/>
        <v>8.6042704848679339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0.14224399746845701</v>
      </c>
      <c r="AD351" s="231">
        <f>(INDEX(Models!$BJ351:$BT351,,AH351)*(1-AF351)+INDEX(Models!$BJ351:$BT351,,AH351+1)*AF351-ERP_i)*AE351*Ramure*Pc/MaxiM</f>
        <v>3.5711351686897037E-3</v>
      </c>
      <c r="AE351" s="305">
        <f t="shared" si="142"/>
        <v>0.7</v>
      </c>
      <c r="AF351" s="177">
        <f t="shared" si="143"/>
        <v>0.99913275073885521</v>
      </c>
      <c r="AG351" s="810">
        <f t="shared" si="149"/>
        <v>1</v>
      </c>
      <c r="AH351" s="176">
        <f t="shared" si="144"/>
        <v>7</v>
      </c>
      <c r="AI351" s="225">
        <f t="shared" si="145"/>
        <v>1.9991327507388552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13.508004877646348</v>
      </c>
      <c r="C352" s="840"/>
      <c r="D352" s="393">
        <f t="shared" si="127"/>
        <v>14.500620332711584</v>
      </c>
      <c r="E352" s="385">
        <f t="shared" si="125"/>
        <v>16.021038020980399</v>
      </c>
      <c r="F352" s="385">
        <f t="shared" si="128"/>
        <v>16.025240359848461</v>
      </c>
      <c r="G352" s="110">
        <f t="shared" si="126"/>
        <v>0.80828443085580637</v>
      </c>
      <c r="H352" s="414" t="b">
        <f>Wh_hp&gt;='2025'!Maxi_hp</f>
        <v>0</v>
      </c>
      <c r="I352" s="390">
        <f>IF(H352,Wh_hp,'2025'!Maxi_hp)</f>
        <v>16.02614043256126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6.8453309740550861E-2</v>
      </c>
      <c r="M352" s="844"/>
      <c r="N352" s="844"/>
      <c r="O352" s="48">
        <f>IF(t&lt;Tnet,'2025'!Resal+('2025'!Salim-'2025'!Resal)*(1-EXP(('2025'!Tnet-t)/('2025'!Tau_j))),Resal+(Salim-Resal)*(1-EXP((Tnet-t)/(Tau_j))))*Salcycl</f>
        <v>9.4901322016572587E-2</v>
      </c>
      <c r="P352" s="169">
        <f>(INDEX(Models!$BJ352:$BT352,,T352)*(1-R352)+INDEX(Models!$BJ352:$BT352,,T352+1)*R352-ERP_i)*Q352*Ramure*Pc/MaxiM</f>
        <v>3.61085011684201E-4</v>
      </c>
      <c r="Q352" s="305">
        <f t="shared" si="130"/>
        <v>0.7</v>
      </c>
      <c r="R352" s="177">
        <f t="shared" si="131"/>
        <v>0.17915433621697918</v>
      </c>
      <c r="S352" s="810">
        <f t="shared" si="132"/>
        <v>-1</v>
      </c>
      <c r="T352" s="176">
        <f t="shared" si="133"/>
        <v>5</v>
      </c>
      <c r="U352" s="251">
        <f t="shared" si="134"/>
        <v>-0.82084566378302082</v>
      </c>
      <c r="V352" s="383">
        <f t="shared" si="135"/>
        <v>16.710292455968787</v>
      </c>
      <c r="W352" s="402">
        <f t="shared" si="136"/>
        <v>13.508004877646348</v>
      </c>
      <c r="X352" s="157">
        <f t="shared" si="137"/>
        <v>46360</v>
      </c>
      <c r="Y352" s="385">
        <f t="shared" si="138"/>
        <v>12.771678666985993</v>
      </c>
      <c r="Z352" s="385">
        <f t="shared" si="139"/>
        <v>13.71018629611458</v>
      </c>
      <c r="AA352" s="386">
        <f t="shared" si="140"/>
        <v>15.983741819733279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0.14224175723432936</v>
      </c>
      <c r="AD352" s="231">
        <f>(INDEX(Models!$BJ352:$BT352,,AH352)*(1-AF352)+INDEX(Models!$BJ352:$BT352,,AH352+1)*AF352-ERP_i)*AE352*Ramure*Pc/MaxiM</f>
        <v>3.5657526231981018E-3</v>
      </c>
      <c r="AE352" s="305">
        <f t="shared" si="142"/>
        <v>0.7</v>
      </c>
      <c r="AF352" s="177">
        <f t="shared" si="143"/>
        <v>0.99914438931616312</v>
      </c>
      <c r="AG352" s="810">
        <f t="shared" si="149"/>
        <v>1</v>
      </c>
      <c r="AH352" s="176">
        <f t="shared" si="144"/>
        <v>7</v>
      </c>
      <c r="AI352" s="225">
        <f t="shared" si="145"/>
        <v>1.9991443893161631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16.862106068418246</v>
      </c>
      <c r="C353" s="840"/>
      <c r="D353" s="393">
        <f t="shared" si="127"/>
        <v>18.101613864030831</v>
      </c>
      <c r="E353" s="385">
        <f t="shared" si="125"/>
        <v>20.001059999248547</v>
      </c>
      <c r="F353" s="385">
        <f t="shared" si="128"/>
        <v>20.008159739519446</v>
      </c>
      <c r="G353" s="110">
        <f t="shared" si="126"/>
        <v>1.0159668303817042</v>
      </c>
      <c r="H353" s="414" t="b">
        <f>Wh_hp&gt;='2025'!Maxi_hp</f>
        <v>0</v>
      </c>
      <c r="I353" s="390">
        <f>IF(H353,Wh_hp,'2025'!Maxi_hp)</f>
        <v>20.008159739519453</v>
      </c>
      <c r="J353" s="85">
        <f>IF(H353,An,'2025'!An_max)</f>
        <v>2025</v>
      </c>
      <c r="K353" s="197">
        <f t="shared" si="129"/>
        <v>46361</v>
      </c>
      <c r="L353" s="147">
        <f>IF(t&lt;Tvie,1-EXP((T0-t)*PertePVj)+'2025'!Pspv,1-EXP((T0-t)*PertePVj)+Pspv)</f>
        <v>6.8474988192935293E-2</v>
      </c>
      <c r="M353" s="844"/>
      <c r="N353" s="844"/>
      <c r="O353" s="48">
        <f>IF(t&lt;Tnet,'2025'!Resal+('2025'!Salim-'2025'!Resal)*(1-EXP(('2025'!Tnet-t)/('2025'!Tau_j))),Resal+(Salim-Resal)*(1-EXP((Tnet-t)/(Tau_j))))*Salcycl</f>
        <v>9.4967273498958463E-2</v>
      </c>
      <c r="P353" s="169">
        <f>(INDEX(Models!$BJ353:$BT353,,T353)*(1-R353)+INDEX(Models!$BJ353:$BT353,,T353+1)*R353-ERP_i)*Q353*Ramure*Pc/MaxiM</f>
        <v>3.548422425314086E-4</v>
      </c>
      <c r="Q353" s="305">
        <f t="shared" si="130"/>
        <v>0.7</v>
      </c>
      <c r="R353" s="177">
        <f t="shared" si="131"/>
        <v>0.1791655068276744</v>
      </c>
      <c r="S353" s="810">
        <f t="shared" si="132"/>
        <v>-1</v>
      </c>
      <c r="T353" s="176">
        <f t="shared" si="133"/>
        <v>5</v>
      </c>
      <c r="U353" s="251">
        <f t="shared" si="134"/>
        <v>-0.8208344931723256</v>
      </c>
      <c r="V353" s="383">
        <f t="shared" si="135"/>
        <v>16.597102940932686</v>
      </c>
      <c r="W353" s="402">
        <f t="shared" si="136"/>
        <v>16.862106068418246</v>
      </c>
      <c r="X353" s="157">
        <f t="shared" si="137"/>
        <v>46361</v>
      </c>
      <c r="Y353" s="385">
        <f t="shared" si="138"/>
        <v>15.93004764582486</v>
      </c>
      <c r="Z353" s="385">
        <f t="shared" si="139"/>
        <v>17.10104124302811</v>
      </c>
      <c r="AA353" s="386">
        <f t="shared" si="140"/>
        <v>19.936903397084482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0.1422418566000114</v>
      </c>
      <c r="AD353" s="231">
        <f>(INDEX(Models!$BJ353:$BT353,,AH353)*(1-AF353)+INDEX(Models!$BJ353:$BT353,,AH353+1)*AF353-ERP_i)*AE353*Ramure*Pc/MaxiM</f>
        <v>3.5613641315657713E-3</v>
      </c>
      <c r="AE353" s="305">
        <f t="shared" si="142"/>
        <v>0.7</v>
      </c>
      <c r="AF353" s="177">
        <f t="shared" si="143"/>
        <v>0.99915555992685823</v>
      </c>
      <c r="AG353" s="810">
        <f t="shared" si="149"/>
        <v>1</v>
      </c>
      <c r="AH353" s="176">
        <f t="shared" si="144"/>
        <v>7</v>
      </c>
      <c r="AI353" s="225">
        <f t="shared" si="145"/>
        <v>1.9991555599268582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9.1169569215089545</v>
      </c>
      <c r="C354" s="840"/>
      <c r="D354" s="393">
        <f t="shared" si="127"/>
        <v>9.7873583379867028</v>
      </c>
      <c r="E354" s="385">
        <f t="shared" si="125"/>
        <v>10.815174588263044</v>
      </c>
      <c r="F354" s="385">
        <f t="shared" si="128"/>
        <v>10.816537737470854</v>
      </c>
      <c r="G354" s="110">
        <f t="shared" si="126"/>
        <v>0.55266157873123012</v>
      </c>
      <c r="H354" s="414" t="b">
        <f>Wh_hp&gt;='2025'!Maxi_hp</f>
        <v>0</v>
      </c>
      <c r="I354" s="390">
        <f>IF(H354,Wh_hp,'2025'!Maxi_hp)</f>
        <v>14.0527233412349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6.8496666140830498E-2</v>
      </c>
      <c r="M354" s="844"/>
      <c r="N354" s="844"/>
      <c r="O354" s="48">
        <f>IF(t&lt;Tnet,'2025'!Resal+('2025'!Salim-'2025'!Resal)*(1-EXP(('2025'!Tnet-t)/('2025'!Tau_j))),Resal+(Salim-Resal)*(1-EXP((Tnet-t)/(Tau_j))))*Salcycl</f>
        <v>9.5034642472786285E-2</v>
      </c>
      <c r="P354" s="169">
        <f>(INDEX(Models!$BJ354:$BT354,,T354)*(1-R354)+INDEX(Models!$BJ354:$BT354,,T354+1)*R354-ERP_i)*Q354*Ramure*Pc/MaxiM</f>
        <v>3.4898128580280135E-4</v>
      </c>
      <c r="Q354" s="305">
        <f t="shared" si="130"/>
        <v>0.7</v>
      </c>
      <c r="R354" s="177">
        <f t="shared" si="131"/>
        <v>0.17917622826329271</v>
      </c>
      <c r="S354" s="810">
        <f t="shared" si="132"/>
        <v>-1</v>
      </c>
      <c r="T354" s="176">
        <f t="shared" si="133"/>
        <v>5</v>
      </c>
      <c r="U354" s="251">
        <f t="shared" si="134"/>
        <v>-0.82082377173670729</v>
      </c>
      <c r="V354" s="383">
        <f t="shared" si="135"/>
        <v>16.492776644976111</v>
      </c>
      <c r="W354" s="402">
        <f t="shared" si="136"/>
        <v>9.1169569215089545</v>
      </c>
      <c r="X354" s="157">
        <f t="shared" si="137"/>
        <v>46362</v>
      </c>
      <c r="Y354" s="385">
        <f t="shared" si="138"/>
        <v>8.6313350378805325</v>
      </c>
      <c r="Z354" s="385">
        <f t="shared" si="139"/>
        <v>9.2660269954390433</v>
      </c>
      <c r="AA354" s="386">
        <f t="shared" si="140"/>
        <v>10.80264041318026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0.14224424390414783</v>
      </c>
      <c r="AD354" s="231">
        <f>(INDEX(Models!$BJ354:$BT354,,AH354)*(1-AF354)+INDEX(Models!$BJ354:$BT354,,AH354+1)*AF354-ERP_i)*AE354*Ramure*Pc/MaxiM</f>
        <v>3.5578688469050409E-3</v>
      </c>
      <c r="AE354" s="305">
        <f t="shared" si="142"/>
        <v>0.7</v>
      </c>
      <c r="AF354" s="177">
        <f t="shared" si="143"/>
        <v>0.99916628136247665</v>
      </c>
      <c r="AG354" s="810">
        <f t="shared" si="149"/>
        <v>1</v>
      </c>
      <c r="AH354" s="176">
        <f t="shared" si="144"/>
        <v>7</v>
      </c>
      <c r="AI354" s="225">
        <f t="shared" si="145"/>
        <v>1.9991662813624766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15.047770092369689</v>
      </c>
      <c r="C355" s="840"/>
      <c r="D355" s="393">
        <f t="shared" si="127"/>
        <v>16.154660683573741</v>
      </c>
      <c r="E355" s="385">
        <f t="shared" si="125"/>
        <v>17.85249339104357</v>
      </c>
      <c r="F355" s="385">
        <f t="shared" si="128"/>
        <v>17.857906156642752</v>
      </c>
      <c r="G355" s="110">
        <f t="shared" si="126"/>
        <v>0.91763448614281617</v>
      </c>
      <c r="H355" s="414" t="b">
        <f>Wh_hp&gt;='2025'!Maxi_hp</f>
        <v>0</v>
      </c>
      <c r="I355" s="390">
        <f>IF(H355,Wh_hp,'2025'!Maxi_hp)</f>
        <v>17.858318351772528</v>
      </c>
      <c r="J355" s="85">
        <f>IF(H355,An,'2025'!An_max)</f>
        <v>2025</v>
      </c>
      <c r="K355" s="197">
        <f t="shared" si="129"/>
        <v>46363</v>
      </c>
      <c r="L355" s="147">
        <f>IF(t&lt;Tvie,1-EXP((T0-t)*PertePVj)+'2025'!Pspv,1-EXP((T0-t)*PertePVj)+Pspv)</f>
        <v>6.8518343584248242E-2</v>
      </c>
      <c r="M355" s="844"/>
      <c r="N355" s="844"/>
      <c r="O355" s="48">
        <f>IF(t&lt;Tnet,'2025'!Resal+('2025'!Salim-'2025'!Resal)*(1-EXP(('2025'!Tnet-t)/('2025'!Tau_j))),Resal+(Salim-Resal)*(1-EXP((Tnet-t)/(Tau_j))))*Salcycl</f>
        <v>9.5103393698586322E-2</v>
      </c>
      <c r="P355" s="169">
        <f>(INDEX(Models!$BJ355:$BT355,,T355)*(1-R355)+INDEX(Models!$BJ355:$BT355,,T355+1)*R355-ERP_i)*Q355*Ramure*Pc/MaxiM</f>
        <v>3.4350187403688347E-4</v>
      </c>
      <c r="Q355" s="305">
        <f t="shared" si="130"/>
        <v>0.7</v>
      </c>
      <c r="R355" s="177">
        <f t="shared" si="131"/>
        <v>0.17918651856272083</v>
      </c>
      <c r="S355" s="810">
        <f t="shared" si="132"/>
        <v>-1</v>
      </c>
      <c r="T355" s="176">
        <f t="shared" si="133"/>
        <v>5</v>
      </c>
      <c r="U355" s="251">
        <f t="shared" si="134"/>
        <v>-0.82081348143727917</v>
      </c>
      <c r="V355" s="383">
        <f t="shared" si="135"/>
        <v>16.397772976080372</v>
      </c>
      <c r="W355" s="402">
        <f t="shared" si="136"/>
        <v>15.047770092369689</v>
      </c>
      <c r="X355" s="157">
        <f t="shared" si="137"/>
        <v>46363</v>
      </c>
      <c r="Y355" s="385">
        <f t="shared" si="138"/>
        <v>14.223340583740356</v>
      </c>
      <c r="Z355" s="385">
        <f t="shared" si="139"/>
        <v>15.26958742104525</v>
      </c>
      <c r="AA355" s="386">
        <f t="shared" si="140"/>
        <v>17.801885340371868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0.14224886133738693</v>
      </c>
      <c r="AD355" s="231">
        <f>(INDEX(Models!$BJ355:$BT355,,AH355)*(1-AF355)+INDEX(Models!$BJ355:$BT355,,AH355+1)*AF355-ERP_i)*AE355*Ramure*Pc/MaxiM</f>
        <v>3.5551614089911259E-3</v>
      </c>
      <c r="AE355" s="305">
        <f t="shared" si="142"/>
        <v>0.7</v>
      </c>
      <c r="AF355" s="177">
        <f t="shared" si="143"/>
        <v>0.99917657166190477</v>
      </c>
      <c r="AG355" s="810">
        <f t="shared" si="149"/>
        <v>1</v>
      </c>
      <c r="AH355" s="176">
        <f t="shared" si="144"/>
        <v>7</v>
      </c>
      <c r="AI355" s="225">
        <f t="shared" si="145"/>
        <v>1.9991765716619048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3.8115170665405533</v>
      </c>
      <c r="C356" s="840"/>
      <c r="D356" s="393">
        <f t="shared" si="127"/>
        <v>4.0919815671323621</v>
      </c>
      <c r="E356" s="385">
        <f t="shared" si="125"/>
        <v>4.5223935340921164</v>
      </c>
      <c r="F356" s="385">
        <f t="shared" si="128"/>
        <v>4.5223935340921164</v>
      </c>
      <c r="G356" s="110">
        <f t="shared" si="126"/>
        <v>0.23357641656811953</v>
      </c>
      <c r="H356" s="414" t="b">
        <f>Wh_hp&gt;='2025'!Maxi_hp</f>
        <v>0</v>
      </c>
      <c r="I356" s="390">
        <f>IF(H356,Wh_hp,'2025'!Maxi_hp)</f>
        <v>14.230610193408706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6.8540020523200074E-2</v>
      </c>
      <c r="M356" s="844"/>
      <c r="N356" s="844"/>
      <c r="O356" s="48">
        <f>IF(t&lt;Tnet,'2025'!Resal+('2025'!Salim-'2025'!Resal)*(1-EXP(('2025'!Tnet-t)/('2025'!Tau_j))),Resal+(Salim-Resal)*(1-EXP((Tnet-t)/(Tau_j))))*Salcycl</f>
        <v>9.5173488046780663E-2</v>
      </c>
      <c r="P356" s="169">
        <f>(INDEX(Models!$BJ356:$BT356,,T356)*(1-R356)+INDEX(Models!$BJ356:$BT356,,T356+1)*R356-ERP_i)*Q356*Ramure*Pc/MaxiM</f>
        <v>3.3840343886299687E-4</v>
      </c>
      <c r="Q356" s="305">
        <f t="shared" si="130"/>
        <v>0.7</v>
      </c>
      <c r="R356" s="177">
        <f t="shared" si="131"/>
        <v>0.17919639504218798</v>
      </c>
      <c r="S356" s="810">
        <f t="shared" si="132"/>
        <v>-1</v>
      </c>
      <c r="T356" s="176">
        <f t="shared" si="133"/>
        <v>5</v>
      </c>
      <c r="U356" s="251">
        <f t="shared" si="134"/>
        <v>-0.82080360495781202</v>
      </c>
      <c r="V356" s="383">
        <f t="shared" si="135"/>
        <v>16.312551121558748</v>
      </c>
      <c r="W356" s="402">
        <f t="shared" si="136"/>
        <v>3.8115170665405533</v>
      </c>
      <c r="X356" s="157">
        <f t="shared" si="137"/>
        <v>46364</v>
      </c>
      <c r="Y356" s="385">
        <f t="shared" si="138"/>
        <v>3.6131868406803647</v>
      </c>
      <c r="Z356" s="385">
        <f t="shared" si="139"/>
        <v>3.8790575229113844</v>
      </c>
      <c r="AA356" s="386">
        <f t="shared" si="140"/>
        <v>4.5223935340921164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0.14225564545211197</v>
      </c>
      <c r="AD356" s="231">
        <f>(INDEX(Models!$BJ356:$BT356,,AH356)*(1-AF356)+INDEX(Models!$BJ356:$BT356,,AH356+1)*AF356-ERP_i)*AE356*Ramure*Pc/MaxiM</f>
        <v>3.5531322731078398E-3</v>
      </c>
      <c r="AE356" s="305">
        <f t="shared" si="142"/>
        <v>0.7</v>
      </c>
      <c r="AF356" s="177">
        <f t="shared" si="143"/>
        <v>0.99918644814137192</v>
      </c>
      <c r="AG356" s="810">
        <f t="shared" si="149"/>
        <v>1</v>
      </c>
      <c r="AH356" s="176">
        <f t="shared" si="144"/>
        <v>7</v>
      </c>
      <c r="AI356" s="225">
        <f t="shared" si="145"/>
        <v>1.9991864481413719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4.630781964294699</v>
      </c>
      <c r="C357" s="840"/>
      <c r="D357" s="393">
        <f t="shared" si="127"/>
        <v>4.9716464839049985</v>
      </c>
      <c r="E357" s="385">
        <f t="shared" si="125"/>
        <v>5.495018916859844</v>
      </c>
      <c r="F357" s="385">
        <f t="shared" si="128"/>
        <v>5.495018916859844</v>
      </c>
      <c r="G357" s="110">
        <f t="shared" si="126"/>
        <v>0.2850941814778124</v>
      </c>
      <c r="H357" s="414" t="b">
        <f>Wh_hp&gt;='2025'!Maxi_hp</f>
        <v>0</v>
      </c>
      <c r="I357" s="390">
        <f>IF(H357,Wh_hp,'2025'!Maxi_hp)</f>
        <v>10.283678349894517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6.8561696957697982E-2</v>
      </c>
      <c r="M357" s="844"/>
      <c r="N357" s="844"/>
      <c r="O357" s="48">
        <f>IF(t&lt;Tnet,'2025'!Resal+('2025'!Salim-'2025'!Resal)*(1-EXP(('2025'!Tnet-t)/('2025'!Tau_j))),Resal+(Salim-Resal)*(1-EXP((Tnet-t)/(Tau_j))))*Salcycl</f>
        <v>9.5244882842719925E-2</v>
      </c>
      <c r="P357" s="169">
        <f>(INDEX(Models!$BJ357:$BT357,,T357)*(1-R357)+INDEX(Models!$BJ357:$BT357,,T357+1)*R357-ERP_i)*Q357*Ramure*Pc/MaxiM</f>
        <v>3.3368501094404283E-4</v>
      </c>
      <c r="Q357" s="305">
        <f t="shared" si="130"/>
        <v>0.7</v>
      </c>
      <c r="R357" s="177">
        <f t="shared" si="131"/>
        <v>0.17920587432407609</v>
      </c>
      <c r="S357" s="810">
        <f t="shared" si="132"/>
        <v>-1</v>
      </c>
      <c r="T357" s="176">
        <f t="shared" si="133"/>
        <v>5</v>
      </c>
      <c r="U357" s="251">
        <f t="shared" si="134"/>
        <v>-0.82079412567592391</v>
      </c>
      <c r="V357" s="383">
        <f t="shared" si="135"/>
        <v>16.237570047091747</v>
      </c>
      <c r="W357" s="402">
        <f t="shared" si="136"/>
        <v>4.630781964294699</v>
      </c>
      <c r="X357" s="157">
        <f t="shared" si="137"/>
        <v>46365</v>
      </c>
      <c r="Y357" s="385">
        <f t="shared" si="138"/>
        <v>4.390122675137718</v>
      </c>
      <c r="Z357" s="385">
        <f t="shared" si="139"/>
        <v>4.7132726459696999</v>
      </c>
      <c r="AA357" s="386">
        <f t="shared" si="140"/>
        <v>5.495018916859844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0.14226452769645373</v>
      </c>
      <c r="AD357" s="231">
        <f>(INDEX(Models!$BJ357:$BT357,,AH357)*(1-AF357)+INDEX(Models!$BJ357:$BT357,,AH357+1)*AF357-ERP_i)*AE357*Ramure*Pc/MaxiM</f>
        <v>3.5516681345618912E-3</v>
      </c>
      <c r="AE357" s="305">
        <f t="shared" si="142"/>
        <v>0.7</v>
      </c>
      <c r="AF357" s="177">
        <f t="shared" si="143"/>
        <v>0.99919592742326002</v>
      </c>
      <c r="AG357" s="810">
        <f t="shared" si="149"/>
        <v>1</v>
      </c>
      <c r="AH357" s="176">
        <f t="shared" si="144"/>
        <v>7</v>
      </c>
      <c r="AI357" s="225">
        <f t="shared" si="145"/>
        <v>1.99919592742326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10.50889484054847</v>
      </c>
      <c r="C358" s="840"/>
      <c r="D358" s="393">
        <f t="shared" si="127"/>
        <v>11.282700495835176</v>
      </c>
      <c r="E358" s="385">
        <f t="shared" si="125"/>
        <v>12.47144815749996</v>
      </c>
      <c r="F358" s="385">
        <f t="shared" si="128"/>
        <v>12.473500842723801</v>
      </c>
      <c r="G358" s="110">
        <f t="shared" si="126"/>
        <v>0.64966150227561836</v>
      </c>
      <c r="H358" s="414" t="b">
        <f>Wh_hp&gt;='2025'!Maxi_hp</f>
        <v>0</v>
      </c>
      <c r="I358" s="390">
        <f>IF(H358,Wh_hp,'2025'!Maxi_hp)</f>
        <v>16.477677553533571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6.8583372887753513E-2</v>
      </c>
      <c r="M358" s="844"/>
      <c r="N358" s="844"/>
      <c r="O358" s="48">
        <f>IF(t&lt;Tnet,'2025'!Resal+('2025'!Salim-'2025'!Resal)*(1-EXP(('2025'!Tnet-t)/('2025'!Tau_j))),Resal+(Salim-Resal)*(1-EXP((Tnet-t)/(Tau_j))))*Salcycl</f>
        <v>9.5317532226592866E-2</v>
      </c>
      <c r="P358" s="169">
        <f>(INDEX(Models!$BJ358:$BT358,,T358)*(1-R358)+INDEX(Models!$BJ358:$BT358,,T358+1)*R358-ERP_i)*Q358*Ramure*Pc/MaxiM</f>
        <v>3.2934511750107927E-4</v>
      </c>
      <c r="Q358" s="305">
        <f t="shared" si="130"/>
        <v>0.7</v>
      </c>
      <c r="R358" s="177">
        <f t="shared" si="131"/>
        <v>0.17921497236459172</v>
      </c>
      <c r="S358" s="810">
        <f t="shared" si="132"/>
        <v>-1</v>
      </c>
      <c r="T358" s="176">
        <f t="shared" si="133"/>
        <v>5</v>
      </c>
      <c r="U358" s="251">
        <f t="shared" si="134"/>
        <v>-0.82078502763540828</v>
      </c>
      <c r="V358" s="383">
        <f t="shared" si="135"/>
        <v>16.173288470915931</v>
      </c>
      <c r="W358" s="402">
        <f t="shared" si="136"/>
        <v>10.50889484054847</v>
      </c>
      <c r="X358" s="157">
        <f t="shared" si="137"/>
        <v>46366</v>
      </c>
      <c r="Y358" s="385">
        <f t="shared" si="138"/>
        <v>9.9473868220037733</v>
      </c>
      <c r="Z358" s="385">
        <f t="shared" si="139"/>
        <v>10.679846732868125</v>
      </c>
      <c r="AA358" s="386">
        <f t="shared" si="140"/>
        <v>12.451370950851004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0.14227543496821149</v>
      </c>
      <c r="AD358" s="231">
        <f>(INDEX(Models!$BJ358:$BT358,,AH358)*(1-AF358)+INDEX(Models!$BJ358:$BT358,,AH358+1)*AF358-ERP_i)*AE358*Ramure*Pc/MaxiM</f>
        <v>3.5506524597544668E-3</v>
      </c>
      <c r="AE358" s="305">
        <f t="shared" si="142"/>
        <v>0.7</v>
      </c>
      <c r="AF358" s="177">
        <f t="shared" si="143"/>
        <v>0.99920502546377565</v>
      </c>
      <c r="AG358" s="810">
        <f t="shared" si="149"/>
        <v>1</v>
      </c>
      <c r="AH358" s="176">
        <f t="shared" si="144"/>
        <v>7</v>
      </c>
      <c r="AI358" s="225">
        <f t="shared" si="145"/>
        <v>1.9992050254637757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12.839190772469225</v>
      </c>
      <c r="C359" s="840"/>
      <c r="D359" s="393">
        <f t="shared" si="127"/>
        <v>13.784904834645397</v>
      </c>
      <c r="E359" s="385">
        <f t="shared" si="125"/>
        <v>15.23852928719524</v>
      </c>
      <c r="F359" s="385">
        <f t="shared" si="128"/>
        <v>15.242046342617098</v>
      </c>
      <c r="G359" s="110">
        <f t="shared" si="126"/>
        <v>0.79635702964259569</v>
      </c>
      <c r="H359" s="414" t="b">
        <f>Wh_hp&gt;='2025'!Maxi_hp</f>
        <v>0</v>
      </c>
      <c r="I359" s="390">
        <f>IF(H359,Wh_hp,'2025'!Maxi_hp)</f>
        <v>16.479573454056037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6.8605048313378547E-2</v>
      </c>
      <c r="M359" s="844"/>
      <c r="N359" s="844"/>
      <c r="O359" s="48">
        <f>IF(t&lt;Tnet,'2025'!Resal+('2025'!Salim-'2025'!Resal)*(1-EXP(('2025'!Tnet-t)/('2025'!Tau_j))),Resal+(Salim-Resal)*(1-EXP((Tnet-t)/(Tau_j))))*Salcycl</f>
        <v>9.5391387525258525E-2</v>
      </c>
      <c r="P359" s="169">
        <f>(INDEX(Models!$BJ359:$BT359,,T359)*(1-R359)+INDEX(Models!$BJ359:$BT359,,T359+1)*R359-ERP_i)*Q359*Ramure*Pc/MaxiM</f>
        <v>3.253672607126095E-4</v>
      </c>
      <c r="Q359" s="305">
        <f t="shared" si="130"/>
        <v>0.7</v>
      </c>
      <c r="R359" s="177">
        <f t="shared" si="131"/>
        <v>0.17922370448034486</v>
      </c>
      <c r="S359" s="810">
        <f t="shared" si="132"/>
        <v>-1</v>
      </c>
      <c r="T359" s="176">
        <f t="shared" si="133"/>
        <v>5</v>
      </c>
      <c r="U359" s="251">
        <f t="shared" si="134"/>
        <v>-0.82077629551965514</v>
      </c>
      <c r="V359" s="383">
        <f t="shared" si="135"/>
        <v>16.120879411819445</v>
      </c>
      <c r="W359" s="402">
        <f t="shared" si="136"/>
        <v>12.839190772469225</v>
      </c>
      <c r="X359" s="157">
        <f t="shared" si="137"/>
        <v>46367</v>
      </c>
      <c r="Y359" s="385">
        <f t="shared" si="138"/>
        <v>12.145734625414043</v>
      </c>
      <c r="Z359" s="385">
        <f t="shared" si="139"/>
        <v>13.040369827450617</v>
      </c>
      <c r="AA359" s="386">
        <f t="shared" si="140"/>
        <v>15.203674705864911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0.14228829018420042</v>
      </c>
      <c r="AD359" s="231">
        <f>(INDEX(Models!$BJ359:$BT359,,AH359)*(1-AF359)+INDEX(Models!$BJ359:$BT359,,AH359+1)*AF359-ERP_i)*AE359*Ramure*Pc/MaxiM</f>
        <v>3.5498088149326246E-3</v>
      </c>
      <c r="AE359" s="305">
        <f t="shared" si="142"/>
        <v>0.7</v>
      </c>
      <c r="AF359" s="177">
        <f t="shared" si="143"/>
        <v>0.99921375757952879</v>
      </c>
      <c r="AG359" s="810">
        <f t="shared" si="149"/>
        <v>1</v>
      </c>
      <c r="AH359" s="176">
        <f t="shared" si="144"/>
        <v>7</v>
      </c>
      <c r="AI359" s="225">
        <f t="shared" si="145"/>
        <v>1.9992137575795288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4.0331841956708816</v>
      </c>
      <c r="C360" s="840"/>
      <c r="D360" s="393">
        <f t="shared" si="127"/>
        <v>4.3303628054240582</v>
      </c>
      <c r="E360" s="385">
        <f t="shared" si="125"/>
        <v>4.787398493646041</v>
      </c>
      <c r="F360" s="385">
        <f t="shared" si="128"/>
        <v>4.787398493646041</v>
      </c>
      <c r="G360" s="110">
        <f t="shared" si="126"/>
        <v>0.25072932162337813</v>
      </c>
      <c r="H360" s="414" t="b">
        <f>Wh_hp&gt;='2025'!Maxi_hp</f>
        <v>0</v>
      </c>
      <c r="I360" s="390">
        <f>IF(H360,Wh_hp,'2025'!Maxi_hp)</f>
        <v>18.530251867552792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6.8626723234584741E-2</v>
      </c>
      <c r="M360" s="844"/>
      <c r="N360" s="844"/>
      <c r="O360" s="48">
        <f>IF(t&lt;Tnet,'2025'!Resal+('2025'!Salim-'2025'!Resal)*(1-EXP(('2025'!Tnet-t)/('2025'!Tau_j))),Resal+(Salim-Resal)*(1-EXP((Tnet-t)/(Tau_j))))*Salcycl</f>
        <v>9.5466397632988476E-2</v>
      </c>
      <c r="P360" s="169">
        <f>(INDEX(Models!$BJ360:$BT360,,T360)*(1-R360)+INDEX(Models!$BJ360:$BT360,,T360+1)*R360-ERP_i)*Q360*Ramure*Pc/MaxiM</f>
        <v>3.2175235863068284E-4</v>
      </c>
      <c r="Q360" s="305">
        <f t="shared" si="130"/>
        <v>0.7</v>
      </c>
      <c r="R360" s="177">
        <f t="shared" si="131"/>
        <v>0.17923208537387658</v>
      </c>
      <c r="S360" s="810">
        <f t="shared" si="132"/>
        <v>-1</v>
      </c>
      <c r="T360" s="176">
        <f t="shared" si="133"/>
        <v>5</v>
      </c>
      <c r="U360" s="251">
        <f t="shared" si="134"/>
        <v>-0.82076791462612342</v>
      </c>
      <c r="V360" s="383">
        <f t="shared" si="135"/>
        <v>16.0806342195567</v>
      </c>
      <c r="W360" s="402">
        <f t="shared" si="136"/>
        <v>4.0331841956708816</v>
      </c>
      <c r="X360" s="157">
        <f t="shared" si="137"/>
        <v>46368</v>
      </c>
      <c r="Y360" s="385">
        <f t="shared" si="138"/>
        <v>3.8243465186405396</v>
      </c>
      <c r="Z360" s="385">
        <f t="shared" si="139"/>
        <v>4.1061372642365139</v>
      </c>
      <c r="AA360" s="386">
        <f t="shared" si="140"/>
        <v>4.787398493646041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0.14230301286047414</v>
      </c>
      <c r="AD360" s="231">
        <f>(INDEX(Models!$BJ360:$BT360,,AH360)*(1-AF360)+INDEX(Models!$BJ360:$BT360,,AH360+1)*AF360-ERP_i)*AE360*Ramure*Pc/MaxiM</f>
        <v>3.5490518949645401E-3</v>
      </c>
      <c r="AE360" s="305">
        <f t="shared" si="142"/>
        <v>0.7</v>
      </c>
      <c r="AF360" s="177">
        <f t="shared" si="143"/>
        <v>0.99922213847306063</v>
      </c>
      <c r="AG360" s="810">
        <f t="shared" si="149"/>
        <v>1</v>
      </c>
      <c r="AH360" s="176">
        <f t="shared" si="144"/>
        <v>7</v>
      </c>
      <c r="AI360" s="225">
        <f t="shared" si="145"/>
        <v>1.9992221384730606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4.9789110049948526</v>
      </c>
      <c r="C361" s="840"/>
      <c r="D361" s="393">
        <f t="shared" si="127"/>
        <v>5.3458983615203852</v>
      </c>
      <c r="E361" s="385">
        <f t="shared" ref="E361:E379" si="150">Wh_pvt/(1-Psa)</f>
        <v>5.9106131764828538</v>
      </c>
      <c r="F361" s="385">
        <f t="shared" si="128"/>
        <v>5.9106405457960731</v>
      </c>
      <c r="G361" s="110">
        <f t="shared" ref="G361:G379" si="151">+Wh_hp/MaxiM</f>
        <v>0.31008251570615553</v>
      </c>
      <c r="H361" s="414" t="b">
        <f>Wh_hp&gt;='2025'!Maxi_hp</f>
        <v>0</v>
      </c>
      <c r="I361" s="390">
        <f>IF(H361,Wh_hp,'2025'!Maxi_hp)</f>
        <v>19.130983394548689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6.8648397651383863E-2</v>
      </c>
      <c r="M361" s="844"/>
      <c r="N361" s="844"/>
      <c r="O361" s="48">
        <f>IF(t&lt;Tnet,'2025'!Resal+('2025'!Salim-'2025'!Resal)*(1-EXP(('2025'!Tnet-t)/('2025'!Tau_j))),Resal+(Salim-Resal)*(1-EXP((Tnet-t)/(Tau_j))))*Salcycl</f>
        <v>9.5542509398069894E-2</v>
      </c>
      <c r="P361" s="169">
        <f>(INDEX(Models!$BJ361:$BT361,,T361)*(1-R361)+INDEX(Models!$BJ361:$BT361,,T361+1)*R361-ERP_i)*Q361*Ramure*Pc/MaxiM</f>
        <v>3.1840968041849219E-4</v>
      </c>
      <c r="Q361" s="305">
        <f t="shared" si="130"/>
        <v>0.7</v>
      </c>
      <c r="R361" s="177">
        <f t="shared" si="131"/>
        <v>0.17924012915817733</v>
      </c>
      <c r="S361" s="810">
        <f t="shared" si="132"/>
        <v>-1</v>
      </c>
      <c r="T361" s="176">
        <f t="shared" si="133"/>
        <v>5</v>
      </c>
      <c r="U361" s="251">
        <f t="shared" si="134"/>
        <v>-0.82075987084182267</v>
      </c>
      <c r="V361" s="383">
        <f t="shared" si="135"/>
        <v>16.0516909761545</v>
      </c>
      <c r="W361" s="402">
        <f t="shared" si="136"/>
        <v>4.9789110049948526</v>
      </c>
      <c r="X361" s="157">
        <f t="shared" si="137"/>
        <v>46369</v>
      </c>
      <c r="Y361" s="385">
        <f t="shared" si="138"/>
        <v>4.7211884510912103</v>
      </c>
      <c r="Z361" s="385">
        <f t="shared" si="139"/>
        <v>5.0691795012599465</v>
      </c>
      <c r="AA361" s="386">
        <f t="shared" si="140"/>
        <v>5.9103356292777143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0.14231951969884377</v>
      </c>
      <c r="AD361" s="231">
        <f>(INDEX(Models!$BJ361:$BT361,,AH361)*(1-AF361)+INDEX(Models!$BJ361:$BT361,,AH361+1)*AF361-ERP_i)*AE361*Ramure*Pc/MaxiM</f>
        <v>3.5473440779777562E-3</v>
      </c>
      <c r="AE361" s="305">
        <f t="shared" si="142"/>
        <v>0.7</v>
      </c>
      <c r="AF361" s="177">
        <f t="shared" si="143"/>
        <v>0.99923018225736127</v>
      </c>
      <c r="AG361" s="810">
        <f t="shared" si="149"/>
        <v>1</v>
      </c>
      <c r="AH361" s="176">
        <f t="shared" si="144"/>
        <v>7</v>
      </c>
      <c r="AI361" s="225">
        <f t="shared" si="145"/>
        <v>1.9992301822573613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14.415051785470963</v>
      </c>
      <c r="C362" s="840"/>
      <c r="D362" s="393">
        <f t="shared" si="127"/>
        <v>15.47792178189221</v>
      </c>
      <c r="E362" s="385">
        <f t="shared" si="150"/>
        <v>17.114394502446128</v>
      </c>
      <c r="F362" s="385">
        <f t="shared" si="128"/>
        <v>17.119014798342452</v>
      </c>
      <c r="G362" s="110">
        <f t="shared" si="151"/>
        <v>0.89903503815904495</v>
      </c>
      <c r="H362" s="414" t="b">
        <f>Wh_hp&gt;='2025'!Maxi_hp</f>
        <v>0</v>
      </c>
      <c r="I362" s="390">
        <f>IF(H362,Wh_hp,'2025'!Maxi_hp)</f>
        <v>19.357739032195155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6.8670071563787682E-2</v>
      </c>
      <c r="M362" s="844"/>
      <c r="N362" s="844"/>
      <c r="O362" s="48">
        <f>IF(t&lt;Tnet,'2025'!Resal+('2025'!Salim-'2025'!Resal)*(1-EXP(('2025'!Tnet-t)/('2025'!Tau_j))),Resal+(Salim-Resal)*(1-EXP((Tnet-t)/(Tau_j))))*Salcycl</f>
        <v>9.5619668012211695E-2</v>
      </c>
      <c r="P362" s="169">
        <f>(INDEX(Models!$BJ362:$BT362,,T362)*(1-R362)+INDEX(Models!$BJ362:$BT362,,T362+1)*R362-ERP_i)*Q362*Ramure*Pc/MaxiM</f>
        <v>3.1536042570908283E-4</v>
      </c>
      <c r="Q362" s="305">
        <f t="shared" si="130"/>
        <v>0.7</v>
      </c>
      <c r="R362" s="177">
        <f t="shared" si="131"/>
        <v>0.17924784938023275</v>
      </c>
      <c r="S362" s="810">
        <f t="shared" si="132"/>
        <v>-1</v>
      </c>
      <c r="T362" s="176">
        <f t="shared" si="133"/>
        <v>5</v>
      </c>
      <c r="U362" s="251">
        <f t="shared" si="134"/>
        <v>-0.82075215061976725</v>
      </c>
      <c r="V362" s="383">
        <f t="shared" si="135"/>
        <v>16.033186223076342</v>
      </c>
      <c r="W362" s="402">
        <f t="shared" si="136"/>
        <v>14.415051785470963</v>
      </c>
      <c r="X362" s="157">
        <f t="shared" si="137"/>
        <v>46370</v>
      </c>
      <c r="Y362" s="385">
        <f t="shared" si="138"/>
        <v>13.632612244873544</v>
      </c>
      <c r="Z362" s="385">
        <f t="shared" si="139"/>
        <v>14.637790356167271</v>
      </c>
      <c r="AA362" s="386">
        <f t="shared" si="140"/>
        <v>17.067079648753509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0.14233772517512461</v>
      </c>
      <c r="AD362" s="231">
        <f>(INDEX(Models!$BJ362:$BT362,,AH362)*(1-AF362)+INDEX(Models!$BJ362:$BT362,,AH362+1)*AF362-ERP_i)*AE362*Ramure*Pc/MaxiM</f>
        <v>3.5448575699810426E-3</v>
      </c>
      <c r="AE362" s="305">
        <f t="shared" si="142"/>
        <v>0.7</v>
      </c>
      <c r="AF362" s="177">
        <f t="shared" si="143"/>
        <v>0.99923790247941668</v>
      </c>
      <c r="AG362" s="810">
        <f t="shared" si="149"/>
        <v>1</v>
      </c>
      <c r="AH362" s="176">
        <f t="shared" si="144"/>
        <v>7</v>
      </c>
      <c r="AI362" s="225">
        <f t="shared" si="145"/>
        <v>1.9992379024794167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5.4468228176762779</v>
      </c>
      <c r="C363" s="840"/>
      <c r="D363" s="393">
        <f t="shared" si="127"/>
        <v>5.8485713921985951</v>
      </c>
      <c r="E363" s="385">
        <f t="shared" si="150"/>
        <v>6.4674967115320294</v>
      </c>
      <c r="F363" s="385">
        <f t="shared" si="128"/>
        <v>6.467611993807016</v>
      </c>
      <c r="G363" s="110">
        <f t="shared" si="151"/>
        <v>0.33981089594680342</v>
      </c>
      <c r="H363" s="414" t="b">
        <f>Wh_hp&gt;='2025'!Maxi_hp</f>
        <v>0</v>
      </c>
      <c r="I363" s="390">
        <f>IF(H363,Wh_hp,'2025'!Maxi_hp)</f>
        <v>18.722199127908961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6.8691744971807855E-2</v>
      </c>
      <c r="M363" s="844"/>
      <c r="N363" s="844"/>
      <c r="O363" s="48">
        <f>IF(t&lt;Tnet,'2025'!Resal+('2025'!Salim-'2025'!Resal)*(1-EXP(('2025'!Tnet-t)/('2025'!Tau_j))),Resal+(Salim-Resal)*(1-EXP((Tnet-t)/(Tau_j))))*Salcycl</f>
        <v>9.5697817399712656E-2</v>
      </c>
      <c r="P363" s="169">
        <f>(INDEX(Models!$BJ363:$BT363,,T363)*(1-R363)+INDEX(Models!$BJ363:$BT363,,T363+1)*R363-ERP_i)*Q363*Ramure*Pc/MaxiM</f>
        <v>3.1262440995493145E-4</v>
      </c>
      <c r="Q363" s="305">
        <f t="shared" si="130"/>
        <v>0.7</v>
      </c>
      <c r="R363" s="177">
        <f t="shared" si="131"/>
        <v>0.17925525904363804</v>
      </c>
      <c r="S363" s="810">
        <f t="shared" si="132"/>
        <v>-1</v>
      </c>
      <c r="T363" s="176">
        <f t="shared" si="133"/>
        <v>5</v>
      </c>
      <c r="U363" s="251">
        <f t="shared" si="134"/>
        <v>-0.82074474095636196</v>
      </c>
      <c r="V363" s="383">
        <f t="shared" si="135"/>
        <v>16.024256818723192</v>
      </c>
      <c r="W363" s="402">
        <f t="shared" si="136"/>
        <v>5.4468228176762779</v>
      </c>
      <c r="X363" s="157">
        <f t="shared" si="137"/>
        <v>46371</v>
      </c>
      <c r="Y363" s="385">
        <f t="shared" si="138"/>
        <v>5.1648293189662988</v>
      </c>
      <c r="Z363" s="385">
        <f t="shared" si="139"/>
        <v>5.5457785229337961</v>
      </c>
      <c r="AA363" s="386">
        <f t="shared" si="140"/>
        <v>6.4663059437053452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0.14235754212459445</v>
      </c>
      <c r="AD363" s="231">
        <f>(INDEX(Models!$BJ363:$BT363,,AH363)*(1-AF363)+INDEX(Models!$BJ363:$BT363,,AH363+1)*AF363-ERP_i)*AE363*Ramure*Pc/MaxiM</f>
        <v>3.5417686062540711E-3</v>
      </c>
      <c r="AE363" s="305">
        <f t="shared" si="142"/>
        <v>0.7</v>
      </c>
      <c r="AF363" s="177">
        <f t="shared" si="143"/>
        <v>0.99924531214282197</v>
      </c>
      <c r="AG363" s="810">
        <f t="shared" si="149"/>
        <v>1</v>
      </c>
      <c r="AH363" s="176">
        <f t="shared" si="144"/>
        <v>7</v>
      </c>
      <c r="AI363" s="225">
        <f t="shared" si="145"/>
        <v>1.999245312142822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4.8727114433300311</v>
      </c>
      <c r="C364" s="840"/>
      <c r="D364" s="393">
        <f t="shared" si="127"/>
        <v>5.2322362813538188</v>
      </c>
      <c r="E364" s="385">
        <f t="shared" si="150"/>
        <v>5.786443948230624</v>
      </c>
      <c r="F364" s="385">
        <f t="shared" si="128"/>
        <v>5.7864544303748628</v>
      </c>
      <c r="G364" s="110">
        <f t="shared" si="151"/>
        <v>0.30399379137543775</v>
      </c>
      <c r="H364" s="414" t="b">
        <f>Wh_hp&gt;='2025'!Maxi_hp</f>
        <v>0</v>
      </c>
      <c r="I364" s="390">
        <f>IF(H364,Wh_hp,'2025'!Maxi_hp)</f>
        <v>18.52551005734108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6.8713417875456151E-2</v>
      </c>
      <c r="M364" s="844"/>
      <c r="N364" s="844"/>
      <c r="O364" s="48">
        <f>IF(t&lt;Tnet,'2025'!Resal+('2025'!Salim-'2025'!Resal)*(1-EXP(('2025'!Tnet-t)/('2025'!Tau_j))),Resal+(Salim-Resal)*(1-EXP((Tnet-t)/(Tau_j))))*Salcycl</f>
        <v>9.5776900603395679E-2</v>
      </c>
      <c r="P364" s="169">
        <f>(INDEX(Models!$BJ364:$BT364,,T364)*(1-R364)+INDEX(Models!$BJ364:$BT364,,T364+1)*R364-ERP_i)*Q364*Ramure*Pc/MaxiM</f>
        <v>3.1022009364448241E-4</v>
      </c>
      <c r="Q364" s="305">
        <f t="shared" si="130"/>
        <v>0.7</v>
      </c>
      <c r="R364" s="177">
        <f t="shared" si="131"/>
        <v>0.17926237063031414</v>
      </c>
      <c r="S364" s="810">
        <f t="shared" si="132"/>
        <v>-1</v>
      </c>
      <c r="T364" s="176">
        <f t="shared" si="133"/>
        <v>5</v>
      </c>
      <c r="U364" s="251">
        <f t="shared" si="134"/>
        <v>-0.82073762936968586</v>
      </c>
      <c r="V364" s="383">
        <f t="shared" si="135"/>
        <v>16.024039939990438</v>
      </c>
      <c r="W364" s="402">
        <f t="shared" si="136"/>
        <v>4.8727114433300311</v>
      </c>
      <c r="X364" s="157">
        <f t="shared" si="137"/>
        <v>46372</v>
      </c>
      <c r="Y364" s="385">
        <f t="shared" si="138"/>
        <v>4.6214938157920233</v>
      </c>
      <c r="Z364" s="385">
        <f t="shared" si="139"/>
        <v>4.9624829826808101</v>
      </c>
      <c r="AA364" s="386">
        <f t="shared" si="140"/>
        <v>5.7863348748996186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0.14237888232023563</v>
      </c>
      <c r="AD364" s="231">
        <f>(INDEX(Models!$BJ364:$BT364,,AH364)*(1-AF364)+INDEX(Models!$BJ364:$BT364,,AH364+1)*AF364-ERP_i)*AE364*Ramure*Pc/MaxiM</f>
        <v>3.5382560933697026E-3</v>
      </c>
      <c r="AE364" s="305">
        <f t="shared" si="142"/>
        <v>0.7</v>
      </c>
      <c r="AF364" s="177">
        <f t="shared" si="143"/>
        <v>0.99925242372949796</v>
      </c>
      <c r="AG364" s="810">
        <f t="shared" si="149"/>
        <v>1</v>
      </c>
      <c r="AH364" s="176">
        <f t="shared" si="144"/>
        <v>7</v>
      </c>
      <c r="AI364" s="225">
        <f t="shared" si="145"/>
        <v>1.999252423729498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3.2477976219303613</v>
      </c>
      <c r="C365" s="840"/>
      <c r="D365" s="393">
        <f t="shared" si="127"/>
        <v>3.4875120795526757</v>
      </c>
      <c r="E365" s="385">
        <f t="shared" si="150"/>
        <v>3.8572565846009059</v>
      </c>
      <c r="F365" s="385">
        <f t="shared" si="128"/>
        <v>3.8572565846009059</v>
      </c>
      <c r="G365" s="110">
        <f t="shared" si="151"/>
        <v>0.20252388795498583</v>
      </c>
      <c r="H365" s="414" t="b">
        <f>Wh_hp&gt;='2025'!Maxi_hp</f>
        <v>0</v>
      </c>
      <c r="I365" s="390">
        <f>IF(H365,Wh_hp,'2025'!Maxi_hp)</f>
        <v>18.608834058846831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6.8735090274744337E-2</v>
      </c>
      <c r="M365" s="844"/>
      <c r="N365" s="844"/>
      <c r="O365" s="48">
        <f>IF(t&lt;Tnet,'2025'!Resal+('2025'!Salim-'2025'!Resal)*(1-EXP(('2025'!Tnet-t)/('2025'!Tau_j))),Resal+(Salim-Resal)*(1-EXP((Tnet-t)/(Tau_j))))*Salcycl</f>
        <v>9.5856860164381913E-2</v>
      </c>
      <c r="P365" s="169">
        <f>(INDEX(Models!$BJ365:$BT365,,T365)*(1-R365)+INDEX(Models!$BJ365:$BT365,,T365+1)*R365-ERP_i)*Q365*Ramure*Pc/MaxiM</f>
        <v>3.0816464282961038E-4</v>
      </c>
      <c r="Q365" s="305">
        <f t="shared" si="130"/>
        <v>0.7</v>
      </c>
      <c r="R365" s="177">
        <f t="shared" si="131"/>
        <v>0.17926919612136416</v>
      </c>
      <c r="S365" s="810">
        <f t="shared" si="132"/>
        <v>-1</v>
      </c>
      <c r="T365" s="176">
        <f t="shared" si="133"/>
        <v>5</v>
      </c>
      <c r="U365" s="251">
        <f t="shared" si="134"/>
        <v>-0.82073080387863584</v>
      </c>
      <c r="V365" s="383">
        <f t="shared" si="135"/>
        <v>16.031673094572767</v>
      </c>
      <c r="W365" s="402">
        <f t="shared" si="136"/>
        <v>3.2477976219303613</v>
      </c>
      <c r="X365" s="157">
        <f t="shared" si="137"/>
        <v>46373</v>
      </c>
      <c r="Y365" s="385">
        <f t="shared" si="138"/>
        <v>3.080602767549665</v>
      </c>
      <c r="Z365" s="385">
        <f t="shared" si="139"/>
        <v>3.3079768553273556</v>
      </c>
      <c r="AA365" s="386">
        <f t="shared" si="140"/>
        <v>3.8572565846009059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0.14240165703946336</v>
      </c>
      <c r="AD365" s="231">
        <f>(INDEX(Models!$BJ365:$BT365,,AH365)*(1-AF365)+INDEX(Models!$BJ365:$BT365,,AH365+1)*AF365-ERP_i)*AE365*Ramure*Pc/MaxiM</f>
        <v>3.5345004040747562E-3</v>
      </c>
      <c r="AE365" s="305">
        <f t="shared" si="142"/>
        <v>0.7</v>
      </c>
      <c r="AF365" s="177">
        <f t="shared" si="143"/>
        <v>0.9992592492205481</v>
      </c>
      <c r="AG365" s="810">
        <f t="shared" si="149"/>
        <v>1</v>
      </c>
      <c r="AH365" s="176">
        <f t="shared" si="144"/>
        <v>7</v>
      </c>
      <c r="AI365" s="225">
        <f t="shared" si="145"/>
        <v>1.9992592492205481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14.918537917618835</v>
      </c>
      <c r="C366" s="840"/>
      <c r="D366" s="393">
        <f t="shared" si="127"/>
        <v>16.020022816355933</v>
      </c>
      <c r="E366" s="385">
        <f t="shared" si="150"/>
        <v>17.720041778588808</v>
      </c>
      <c r="F366" s="385">
        <f t="shared" si="128"/>
        <v>17.724930558211938</v>
      </c>
      <c r="G366" s="110">
        <f t="shared" si="151"/>
        <v>0.92969007500324063</v>
      </c>
      <c r="H366" s="414" t="b">
        <f>Wh_hp&gt;='2025'!Maxi_hp</f>
        <v>0</v>
      </c>
      <c r="I366" s="390">
        <f>IF(H366,Wh_hp,'2025'!Maxi_hp)</f>
        <v>18.946814090960533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6.8756762169684071E-2</v>
      </c>
      <c r="M366" s="844"/>
      <c r="N366" s="844"/>
      <c r="O366" s="48">
        <f>IF(t&lt;Tnet,'2025'!Resal+('2025'!Salim-'2025'!Resal)*(1-EXP(('2025'!Tnet-t)/('2025'!Tau_j))),Resal+(Salim-Resal)*(1-EXP((Tnet-t)/(Tau_j))))*Salcycl</f>
        <v>9.5937638492873845E-2</v>
      </c>
      <c r="P366" s="169">
        <f>(INDEX(Models!$BJ366:$BT366,,T366)*(1-R366)+INDEX(Models!$BJ366:$BT366,,T366+1)*R366-ERP_i)*Q366*Ramure*Pc/MaxiM</f>
        <v>3.0659662252110884E-4</v>
      </c>
      <c r="Q366" s="305">
        <f t="shared" si="130"/>
        <v>0.7</v>
      </c>
      <c r="R366" s="177">
        <f t="shared" si="131"/>
        <v>0.17927574701709958</v>
      </c>
      <c r="S366" s="810">
        <f t="shared" si="132"/>
        <v>-1</v>
      </c>
      <c r="T366" s="176">
        <f t="shared" si="133"/>
        <v>5</v>
      </c>
      <c r="U366" s="251">
        <f t="shared" si="134"/>
        <v>-0.82072425298290042</v>
      </c>
      <c r="V366" s="383">
        <f t="shared" si="135"/>
        <v>16.046292153291866</v>
      </c>
      <c r="W366" s="402">
        <f t="shared" si="136"/>
        <v>14.918537917618835</v>
      </c>
      <c r="X366" s="157">
        <f t="shared" si="137"/>
        <v>46374</v>
      </c>
      <c r="Y366" s="385">
        <f t="shared" si="138"/>
        <v>14.110354400908557</v>
      </c>
      <c r="Z366" s="385">
        <f t="shared" si="139"/>
        <v>15.152168442891435</v>
      </c>
      <c r="AA366" s="386">
        <f t="shared" si="140"/>
        <v>17.668637941046494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0.14242577761520492</v>
      </c>
      <c r="AD366" s="231">
        <f>(INDEX(Models!$BJ366:$BT366,,AH366)*(1-AF366)+INDEX(Models!$BJ366:$BT366,,AH366+1)*AF366-ERP_i)*AE366*Ramure*Pc/MaxiM</f>
        <v>3.5303547360036398E-3</v>
      </c>
      <c r="AE366" s="305">
        <f t="shared" si="142"/>
        <v>0.7</v>
      </c>
      <c r="AF366" s="177">
        <f t="shared" si="143"/>
        <v>0.99926580011628352</v>
      </c>
      <c r="AG366" s="810">
        <f t="shared" si="149"/>
        <v>1</v>
      </c>
      <c r="AH366" s="176">
        <f t="shared" si="144"/>
        <v>7</v>
      </c>
      <c r="AI366" s="225">
        <f t="shared" si="145"/>
        <v>1.9992658001162835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12.359526634668768</v>
      </c>
      <c r="C367" s="840"/>
      <c r="D367" s="393">
        <f t="shared" si="127"/>
        <v>13.272380151076455</v>
      </c>
      <c r="E367" s="385">
        <f t="shared" si="150"/>
        <v>14.682147929917884</v>
      </c>
      <c r="F367" s="385">
        <f t="shared" si="128"/>
        <v>14.685152313177666</v>
      </c>
      <c r="G367" s="110">
        <f t="shared" si="151"/>
        <v>0.7691698267977134</v>
      </c>
      <c r="H367" s="414" t="b">
        <f>Wh_hp&gt;='2025'!Maxi_hp</f>
        <v>0</v>
      </c>
      <c r="I367" s="390">
        <f>IF(H367,Wh_hp,'2025'!Maxi_hp)</f>
        <v>18.60656481230383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6.8778433560287233E-2</v>
      </c>
      <c r="M367" s="844"/>
      <c r="N367" s="844"/>
      <c r="O367" s="48">
        <f>IF(t&lt;Tnet,'2025'!Resal+('2025'!Salim-'2025'!Resal)*(1-EXP(('2025'!Tnet-t)/('2025'!Tau_j))),Resal+(Salim-Resal)*(1-EXP((Tnet-t)/(Tau_j))))*Salcycl</f>
        <v>9.6019178227235977E-2</v>
      </c>
      <c r="P367" s="169">
        <f>(INDEX(Models!$BJ367:$BT367,,T367)*(1-R367)+INDEX(Models!$BJ367:$BT367,,T367+1)*R367-ERP_i)*Q367*Ramure*Pc/MaxiM</f>
        <v>3.0519203672705849E-4</v>
      </c>
      <c r="Q367" s="305">
        <f t="shared" si="130"/>
        <v>0.7</v>
      </c>
      <c r="R367" s="177">
        <f t="shared" si="131"/>
        <v>0.17928203435627244</v>
      </c>
      <c r="S367" s="810">
        <f t="shared" si="132"/>
        <v>-1</v>
      </c>
      <c r="T367" s="176">
        <f t="shared" si="133"/>
        <v>5</v>
      </c>
      <c r="U367" s="251">
        <f t="shared" si="134"/>
        <v>-0.82071796564372756</v>
      </c>
      <c r="V367" s="383">
        <f t="shared" si="135"/>
        <v>16.067040739645744</v>
      </c>
      <c r="W367" s="402">
        <f t="shared" si="136"/>
        <v>12.359526634668768</v>
      </c>
      <c r="X367" s="157">
        <f t="shared" si="137"/>
        <v>46375</v>
      </c>
      <c r="Y367" s="385">
        <f t="shared" si="138"/>
        <v>11.699384753281874</v>
      </c>
      <c r="Z367" s="385">
        <f t="shared" si="139"/>
        <v>12.563481318427232</v>
      </c>
      <c r="AA367" s="386">
        <f t="shared" si="140"/>
        <v>14.650455663082374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0.14245115596739424</v>
      </c>
      <c r="AD367" s="231">
        <f>(INDEX(Models!$BJ367:$BT367,,AH367)*(1-AF367)+INDEX(Models!$BJ367:$BT367,,AH367+1)*AF367-ERP_i)*AE367*Ramure*Pc/MaxiM</f>
        <v>3.524564076742078E-3</v>
      </c>
      <c r="AE367" s="305">
        <f t="shared" si="142"/>
        <v>0.7</v>
      </c>
      <c r="AF367" s="177">
        <f t="shared" si="143"/>
        <v>0.99927208745545637</v>
      </c>
      <c r="AG367" s="810">
        <f t="shared" si="149"/>
        <v>1</v>
      </c>
      <c r="AH367" s="176">
        <f t="shared" si="144"/>
        <v>7</v>
      </c>
      <c r="AI367" s="225">
        <f t="shared" si="145"/>
        <v>1.9992720874554564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4.3413165138061522</v>
      </c>
      <c r="C368" s="840"/>
      <c r="D368" s="393">
        <f t="shared" si="127"/>
        <v>4.662067225883872</v>
      </c>
      <c r="E368" s="385">
        <f t="shared" si="150"/>
        <v>5.1577326730446353</v>
      </c>
      <c r="F368" s="385">
        <f t="shared" si="128"/>
        <v>5.1577326730446353</v>
      </c>
      <c r="G368" s="110">
        <f t="shared" si="151"/>
        <v>0.26968131652268046</v>
      </c>
      <c r="H368" s="414" t="b">
        <f>Wh_hp&gt;='2025'!Maxi_hp</f>
        <v>0</v>
      </c>
      <c r="I368" s="390">
        <f>IF(H368,Wh_hp,'2025'!Maxi_hp)</f>
        <v>19.171871090766793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6.8800104446565369E-2</v>
      </c>
      <c r="M368" s="844"/>
      <c r="N368" s="844"/>
      <c r="O368" s="48">
        <f>IF(t&lt;Tnet,'2025'!Resal+('2025'!Salim-'2025'!Resal)*(1-EXP(('2025'!Tnet-t)/('2025'!Tau_j))),Resal+(Salim-Resal)*(1-EXP((Tnet-t)/(Tau_j))))*Salcycl</f>
        <v>9.6101422578803358E-2</v>
      </c>
      <c r="P368" s="169">
        <f>(INDEX(Models!$BJ368:$BT368,,T368)*(1-R368)+INDEX(Models!$BJ368:$BT368,,T368+1)*R368-ERP_i)*Q368*Ramure*Pc/MaxiM</f>
        <v>3.0396628435704092E-4</v>
      </c>
      <c r="Q368" s="305">
        <f t="shared" si="130"/>
        <v>0.7</v>
      </c>
      <c r="R368" s="177">
        <f t="shared" si="131"/>
        <v>0.17928806873454317</v>
      </c>
      <c r="S368" s="810">
        <f t="shared" si="132"/>
        <v>-1</v>
      </c>
      <c r="T368" s="176">
        <f t="shared" si="133"/>
        <v>5</v>
      </c>
      <c r="U368" s="251">
        <f t="shared" si="134"/>
        <v>-0.82071193126545683</v>
      </c>
      <c r="V368" s="383">
        <f t="shared" si="135"/>
        <v>16.093057375708987</v>
      </c>
      <c r="W368" s="402">
        <f t="shared" si="136"/>
        <v>4.3413165138061522</v>
      </c>
      <c r="X368" s="157">
        <f t="shared" si="137"/>
        <v>46376</v>
      </c>
      <c r="Y368" s="385">
        <f t="shared" si="138"/>
        <v>4.1185767880936304</v>
      </c>
      <c r="Z368" s="385">
        <f t="shared" si="139"/>
        <v>4.4228707582122961</v>
      </c>
      <c r="AA368" s="386">
        <f t="shared" si="140"/>
        <v>5.1577326730446353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0.14247770511117755</v>
      </c>
      <c r="AD368" s="231">
        <f>(INDEX(Models!$BJ368:$BT368,,AH368)*(1-AF368)+INDEX(Models!$BJ368:$BT368,,AH368+1)*AF368-ERP_i)*AE368*Ramure*Pc/MaxiM</f>
        <v>3.517320847439926E-3</v>
      </c>
      <c r="AE368" s="305">
        <f t="shared" si="142"/>
        <v>0.7</v>
      </c>
      <c r="AF368" s="177">
        <f t="shared" si="143"/>
        <v>0.999278121833727</v>
      </c>
      <c r="AG368" s="810">
        <f t="shared" si="149"/>
        <v>1</v>
      </c>
      <c r="AH368" s="176">
        <f t="shared" si="144"/>
        <v>7</v>
      </c>
      <c r="AI368" s="225">
        <f t="shared" si="145"/>
        <v>1.999278121833727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15.476632144230356</v>
      </c>
      <c r="C369" s="840"/>
      <c r="D369" s="393">
        <f t="shared" si="127"/>
        <v>16.620483303698869</v>
      </c>
      <c r="E369" s="385">
        <f t="shared" si="150"/>
        <v>18.389239743981648</v>
      </c>
      <c r="F369" s="385">
        <f t="shared" si="128"/>
        <v>18.394492704091704</v>
      </c>
      <c r="G369" s="110">
        <f t="shared" si="151"/>
        <v>0.95986489675083275</v>
      </c>
      <c r="H369" s="414" t="b">
        <f>Wh_hp&gt;='2025'!Maxi_hp</f>
        <v>0</v>
      </c>
      <c r="I369" s="390">
        <f>IF(H369,Wh_hp,'2025'!Maxi_hp)</f>
        <v>18.394678456739303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6.8821774828530469E-2</v>
      </c>
      <c r="M369" s="844"/>
      <c r="N369" s="844"/>
      <c r="O369" s="48">
        <f>IF(t&lt;Tnet,'2025'!Resal+('2025'!Salim-'2025'!Resal)*(1-EXP(('2025'!Tnet-t)/('2025'!Tau_j))),Resal+(Salim-Resal)*(1-EXP((Tnet-t)/(Tau_j))))*Salcycl</f>
        <v>9.6184315660012565E-2</v>
      </c>
      <c r="P369" s="169">
        <f>(INDEX(Models!$BJ369:$BT369,,T369)*(1-R369)+INDEX(Models!$BJ369:$BT369,,T369+1)*R369-ERP_i)*Q369*Ramure*Pc/MaxiM</f>
        <v>3.0293421730915774E-4</v>
      </c>
      <c r="Q369" s="305">
        <f t="shared" si="130"/>
        <v>0.7</v>
      </c>
      <c r="R369" s="177">
        <f t="shared" si="131"/>
        <v>0.17929386032221273</v>
      </c>
      <c r="S369" s="810">
        <f t="shared" si="132"/>
        <v>-1</v>
      </c>
      <c r="T369" s="176">
        <f t="shared" si="133"/>
        <v>5</v>
      </c>
      <c r="U369" s="251">
        <f t="shared" si="134"/>
        <v>-0.82070613967778727</v>
      </c>
      <c r="V369" s="383">
        <f t="shared" si="135"/>
        <v>16.123480937761382</v>
      </c>
      <c r="W369" s="402">
        <f t="shared" si="136"/>
        <v>15.476632144230356</v>
      </c>
      <c r="X369" s="157">
        <f t="shared" si="137"/>
        <v>46377</v>
      </c>
      <c r="Y369" s="385">
        <f t="shared" si="138"/>
        <v>14.639058474750358</v>
      </c>
      <c r="Z369" s="385">
        <f t="shared" si="139"/>
        <v>15.721006010481704</v>
      </c>
      <c r="AA369" s="386">
        <f t="shared" si="140"/>
        <v>18.333648869430867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0.1425053396383863</v>
      </c>
      <c r="AD369" s="231">
        <f>(INDEX(Models!$BJ369:$BT369,,AH369)*(1-AF369)+INDEX(Models!$BJ369:$BT369,,AH369+1)*AF369-ERP_i)*AE369*Ramure*Pc/MaxiM</f>
        <v>3.5088177037154284E-3</v>
      </c>
      <c r="AE369" s="305">
        <f t="shared" si="142"/>
        <v>0.7</v>
      </c>
      <c r="AF369" s="177">
        <f t="shared" si="143"/>
        <v>0.99928391342139666</v>
      </c>
      <c r="AG369" s="810">
        <f t="shared" si="149"/>
        <v>1</v>
      </c>
      <c r="AH369" s="176">
        <f t="shared" si="144"/>
        <v>7</v>
      </c>
      <c r="AI369" s="225">
        <f t="shared" si="145"/>
        <v>1.9992839134213967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11.872742635781009</v>
      </c>
      <c r="C370" s="840"/>
      <c r="D370" s="393">
        <f t="shared" si="127"/>
        <v>12.750533267775605</v>
      </c>
      <c r="E370" s="385">
        <f t="shared" si="150"/>
        <v>14.108751804118803</v>
      </c>
      <c r="F370" s="385">
        <f t="shared" si="128"/>
        <v>14.111399952455249</v>
      </c>
      <c r="G370" s="110">
        <f t="shared" si="151"/>
        <v>0.73473122664780255</v>
      </c>
      <c r="H370" s="414" t="b">
        <f>Wh_hp&gt;='2025'!Maxi_hp</f>
        <v>0</v>
      </c>
      <c r="I370" s="390">
        <f>IF(H370,Wh_hp,'2025'!Maxi_hp)</f>
        <v>18.146352200038717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6.8843444706193968E-2</v>
      </c>
      <c r="M370" s="844"/>
      <c r="N370" s="844"/>
      <c r="O370" s="48">
        <f>IF(t&lt;Tnet,'2025'!Resal+('2025'!Salim-'2025'!Resal)*(1-EXP(('2025'!Tnet-t)/('2025'!Tau_j))),Resal+(Salim-Resal)*(1-EXP((Tnet-t)/(Tau_j))))*Salcycl</f>
        <v>9.6267802793631216E-2</v>
      </c>
      <c r="P370" s="169">
        <f>(INDEX(Models!$BJ370:$BT370,,T370)*(1-R370)+INDEX(Models!$BJ370:$BT370,,T370+1)*R370-ERP_i)*Q370*Ramure*Pc/MaxiM</f>
        <v>3.0211019983797399E-4</v>
      </c>
      <c r="Q370" s="305">
        <f t="shared" si="130"/>
        <v>0.7</v>
      </c>
      <c r="R370" s="177">
        <f t="shared" si="131"/>
        <v>0.17929941888125045</v>
      </c>
      <c r="S370" s="810">
        <f t="shared" si="132"/>
        <v>-1</v>
      </c>
      <c r="T370" s="176">
        <f t="shared" si="133"/>
        <v>5</v>
      </c>
      <c r="U370" s="251">
        <f t="shared" si="134"/>
        <v>-0.82070058111874955</v>
      </c>
      <c r="V370" s="383">
        <f t="shared" si="135"/>
        <v>16.157450663518912</v>
      </c>
      <c r="W370" s="402">
        <f t="shared" si="136"/>
        <v>11.872742635781009</v>
      </c>
      <c r="X370" s="157">
        <f t="shared" si="137"/>
        <v>46378</v>
      </c>
      <c r="Y370" s="385">
        <f t="shared" si="138"/>
        <v>11.242547031130155</v>
      </c>
      <c r="Z370" s="385">
        <f t="shared" si="139"/>
        <v>12.073745244249304</v>
      </c>
      <c r="AA370" s="386">
        <f t="shared" si="140"/>
        <v>14.080727292619445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0.142533976169123</v>
      </c>
      <c r="AD370" s="231">
        <f>(INDEX(Models!$BJ370:$BT370,,AH370)*(1-AF370)+INDEX(Models!$BJ370:$BT370,,AH370+1)*AF370-ERP_i)*AE370*Ramure*Pc/MaxiM</f>
        <v>3.4992463469757074E-3</v>
      </c>
      <c r="AE370" s="305">
        <f t="shared" si="142"/>
        <v>0.7</v>
      </c>
      <c r="AF370" s="177">
        <f t="shared" si="143"/>
        <v>0.99928947198043439</v>
      </c>
      <c r="AG370" s="810">
        <f t="shared" si="149"/>
        <v>1</v>
      </c>
      <c r="AH370" s="176">
        <f t="shared" si="144"/>
        <v>7</v>
      </c>
      <c r="AI370" s="225">
        <f t="shared" si="145"/>
        <v>1.9992894719804344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12.490449364633413</v>
      </c>
      <c r="C371" s="840"/>
      <c r="D371" s="393">
        <f t="shared" si="127"/>
        <v>13.414221240660028</v>
      </c>
      <c r="E371" s="385">
        <f t="shared" si="150"/>
        <v>14.844517698244706</v>
      </c>
      <c r="F371" s="385">
        <f t="shared" si="128"/>
        <v>14.847531710506605</v>
      </c>
      <c r="G371" s="110">
        <f t="shared" si="151"/>
        <v>0.77122000802039492</v>
      </c>
      <c r="H371" s="414" t="b">
        <f>Wh_hp&gt;='2025'!Maxi_hp</f>
        <v>0</v>
      </c>
      <c r="I371" s="390">
        <f>IF(H371,Wh_hp,'2025'!Maxi_hp)</f>
        <v>16.298095724245826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6.8865114079567857E-2</v>
      </c>
      <c r="M371" s="844"/>
      <c r="N371" s="844"/>
      <c r="O371" s="48">
        <f>IF(t&lt;Tnet,'2025'!Resal+('2025'!Salim-'2025'!Resal)*(1-EXP(('2025'!Tnet-t)/('2025'!Tau_j))),Resal+(Salim-Resal)*(1-EXP((Tnet-t)/(Tau_j))))*Salcycl</f>
        <v>9.6351830801064256E-2</v>
      </c>
      <c r="P371" s="169">
        <f>(INDEX(Models!$BJ371:$BT371,,T371)*(1-R371)+INDEX(Models!$BJ371:$BT371,,T371+1)*R371-ERP_i)*Q371*Ramure*Pc/MaxiM</f>
        <v>3.0150536024684357E-4</v>
      </c>
      <c r="Q371" s="305">
        <f t="shared" si="130"/>
        <v>0.7</v>
      </c>
      <c r="R371" s="177">
        <f t="shared" si="131"/>
        <v>0.17929941888125045</v>
      </c>
      <c r="S371" s="810">
        <f t="shared" si="132"/>
        <v>-1</v>
      </c>
      <c r="T371" s="176">
        <f t="shared" si="133"/>
        <v>5</v>
      </c>
      <c r="U371" s="251">
        <f t="shared" si="134"/>
        <v>-0.82070058111874955</v>
      </c>
      <c r="V371" s="383">
        <f t="shared" si="135"/>
        <v>16.194106192607343</v>
      </c>
      <c r="W371" s="402">
        <f t="shared" si="136"/>
        <v>12.490449364633413</v>
      </c>
      <c r="X371" s="157">
        <f t="shared" si="137"/>
        <v>46379</v>
      </c>
      <c r="Y371" s="385">
        <f t="shared" si="138"/>
        <v>11.826261593726965</v>
      </c>
      <c r="Z371" s="385">
        <f t="shared" si="139"/>
        <v>12.700911299265345</v>
      </c>
      <c r="AA371" s="386">
        <f t="shared" si="140"/>
        <v>14.81265586372621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0.14256353377061737</v>
      </c>
      <c r="AD371" s="231">
        <f>(INDEX(Models!$BJ371:$BT371,,AH371)*(1-AF371)+INDEX(Models!$BJ371:$BT371,,AH371+1)*AF371-ERP_i)*AE371*Ramure*Pc/MaxiM</f>
        <v>3.4887896377746746E-3</v>
      </c>
      <c r="AE371" s="305">
        <f t="shared" si="142"/>
        <v>0.7</v>
      </c>
      <c r="AF371" s="177">
        <f t="shared" si="143"/>
        <v>0.99928947198043439</v>
      </c>
      <c r="AG371" s="810">
        <f t="shared" si="149"/>
        <v>1</v>
      </c>
      <c r="AH371" s="176">
        <f t="shared" si="144"/>
        <v>7</v>
      </c>
      <c r="AI371" s="225">
        <f t="shared" si="145"/>
        <v>1.9992894719804344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16.049281443237319</v>
      </c>
      <c r="C372" s="840"/>
      <c r="D372" s="393">
        <f t="shared" si="127"/>
        <v>17.236659462382494</v>
      </c>
      <c r="E372" s="385">
        <f t="shared" si="150"/>
        <v>19.07630904512483</v>
      </c>
      <c r="F372" s="385">
        <f t="shared" si="128"/>
        <v>19.081962608462966</v>
      </c>
      <c r="G372" s="110">
        <f t="shared" si="151"/>
        <v>0.98870272582709662</v>
      </c>
      <c r="H372" s="414" t="b">
        <f>Wh_hp&gt;='2025'!Maxi_hp</f>
        <v>0</v>
      </c>
      <c r="I372" s="390">
        <f>IF(H372,Wh_hp,'2025'!Maxi_hp)</f>
        <v>19.082016491633386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6.8886782948663794E-2</v>
      </c>
      <c r="M372" s="844"/>
      <c r="N372" s="844"/>
      <c r="O372" s="48">
        <f>IF(t&lt;Tnet,'2025'!Resal+('2025'!Salim-'2025'!Resal)*(1-EXP(('2025'!Tnet-t)/('2025'!Tau_j))),Resal+(Salim-Resal)*(1-EXP((Tnet-t)/(Tau_j))))*Salcycl</f>
        <v>9.6436348267930641E-2</v>
      </c>
      <c r="P372" s="169">
        <f>(INDEX(Models!$BJ372:$BT372,,T372)*(1-R372)+INDEX(Models!$BJ372:$BT372,,T372+1)*R372-ERP_i)*Q372*Ramure*Pc/MaxiM</f>
        <v>3.0113582844666263E-4</v>
      </c>
      <c r="Q372" s="305">
        <f t="shared" si="130"/>
        <v>0.7</v>
      </c>
      <c r="R372" s="177">
        <f t="shared" si="131"/>
        <v>0.17929941888125045</v>
      </c>
      <c r="S372" s="810">
        <f t="shared" si="132"/>
        <v>-1</v>
      </c>
      <c r="T372" s="176">
        <f t="shared" si="133"/>
        <v>5</v>
      </c>
      <c r="U372" s="251">
        <f t="shared" si="134"/>
        <v>-0.82070058111874955</v>
      </c>
      <c r="V372" s="383">
        <f t="shared" si="135"/>
        <v>16.232587444367997</v>
      </c>
      <c r="W372" s="402">
        <f t="shared" si="136"/>
        <v>16.049281443237319</v>
      </c>
      <c r="X372" s="157">
        <f t="shared" si="137"/>
        <v>46380</v>
      </c>
      <c r="Y372" s="385">
        <f t="shared" si="138"/>
        <v>15.18181104374974</v>
      </c>
      <c r="Z372" s="385">
        <f t="shared" si="139"/>
        <v>16.305010782499398</v>
      </c>
      <c r="AA372" s="386">
        <f t="shared" si="140"/>
        <v>19.016673004248524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0.14259393434084452</v>
      </c>
      <c r="AD372" s="231">
        <f>(INDEX(Models!$BJ372:$BT372,,AH372)*(1-AF372)+INDEX(Models!$BJ372:$BT372,,AH372+1)*AF372-ERP_i)*AE372*Ramure*Pc/MaxiM</f>
        <v>3.4776366475720811E-3</v>
      </c>
      <c r="AE372" s="305">
        <f t="shared" si="142"/>
        <v>0.7</v>
      </c>
      <c r="AF372" s="177">
        <f t="shared" si="143"/>
        <v>0.99928947198043439</v>
      </c>
      <c r="AG372" s="810">
        <f t="shared" si="149"/>
        <v>1</v>
      </c>
      <c r="AH372" s="176">
        <f t="shared" si="144"/>
        <v>7</v>
      </c>
      <c r="AI372" s="225">
        <f t="shared" si="145"/>
        <v>1.9992894719804344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9.1910919410801437</v>
      </c>
      <c r="C373" s="840"/>
      <c r="D373" s="393">
        <f t="shared" si="127"/>
        <v>9.8713085238997635</v>
      </c>
      <c r="E373" s="385">
        <f t="shared" si="150"/>
        <v>10.92588966082951</v>
      </c>
      <c r="F373" s="385">
        <f t="shared" si="128"/>
        <v>10.927133867883448</v>
      </c>
      <c r="G373" s="110">
        <f t="shared" si="151"/>
        <v>0.56469880287850593</v>
      </c>
      <c r="H373" s="414" t="b">
        <f>Wh_hp&gt;='2025'!Maxi_hp</f>
        <v>0</v>
      </c>
      <c r="I373" s="390">
        <f>IF(H373,Wh_hp,'2025'!Maxi_hp)</f>
        <v>15.376095224212161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6.8908451313493435E-2</v>
      </c>
      <c r="M373" s="844"/>
      <c r="N373" s="844"/>
      <c r="O373" s="48">
        <f>IF(t&lt;Tnet,'2025'!Resal+('2025'!Salim-'2025'!Resal)*(1-EXP(('2025'!Tnet-t)/('2025'!Tau_j))),Resal+(Salim-Resal)*(1-EXP((Tnet-t)/(Tau_j))))*Salcycl</f>
        <v>9.6521305785334119E-2</v>
      </c>
      <c r="P373" s="169">
        <f>(INDEX(Models!$BJ373:$BT373,,T373)*(1-R373)+INDEX(Models!$BJ373:$BT373,,T373+1)*R373-ERP_i)*Q373*Ramure*Pc/MaxiM</f>
        <v>3.0099484839056224E-4</v>
      </c>
      <c r="Q373" s="305">
        <f t="shared" si="130"/>
        <v>0.7</v>
      </c>
      <c r="R373" s="177">
        <f t="shared" si="131"/>
        <v>0.17929941888125045</v>
      </c>
      <c r="S373" s="810">
        <f t="shared" si="132"/>
        <v>-1</v>
      </c>
      <c r="T373" s="176">
        <f t="shared" si="133"/>
        <v>5</v>
      </c>
      <c r="U373" s="251">
        <f t="shared" si="134"/>
        <v>-0.82070058111874955</v>
      </c>
      <c r="V373" s="383">
        <f t="shared" si="135"/>
        <v>16.273049918728507</v>
      </c>
      <c r="W373" s="402">
        <f t="shared" si="136"/>
        <v>9.1910919410801437</v>
      </c>
      <c r="X373" s="157">
        <f t="shared" si="137"/>
        <v>46381</v>
      </c>
      <c r="Y373" s="385">
        <f t="shared" si="138"/>
        <v>8.7116346076170412</v>
      </c>
      <c r="Z373" s="385">
        <f t="shared" si="139"/>
        <v>9.3563673947063197</v>
      </c>
      <c r="AA373" s="386">
        <f t="shared" si="140"/>
        <v>10.91280771917971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0.14262510295474948</v>
      </c>
      <c r="AD373" s="231">
        <f>(INDEX(Models!$BJ373:$BT373,,AH373)*(1-AF373)+INDEX(Models!$BJ373:$BT373,,AH373+1)*AF373-ERP_i)*AE373*Ramure*Pc/MaxiM</f>
        <v>3.4657390371297752E-3</v>
      </c>
      <c r="AE373" s="305">
        <f t="shared" si="142"/>
        <v>0.7</v>
      </c>
      <c r="AF373" s="177">
        <f t="shared" si="143"/>
        <v>0.99928947198043439</v>
      </c>
      <c r="AG373" s="810">
        <f t="shared" si="149"/>
        <v>1</v>
      </c>
      <c r="AH373" s="176">
        <f t="shared" si="144"/>
        <v>7</v>
      </c>
      <c r="AI373" s="225">
        <f t="shared" si="145"/>
        <v>1.9992894719804344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15.633573709903361</v>
      </c>
      <c r="C374" s="840"/>
      <c r="D374" s="393">
        <f t="shared" si="127"/>
        <v>16.790977811499136</v>
      </c>
      <c r="E374" s="385">
        <f t="shared" si="150"/>
        <v>18.586563567348005</v>
      </c>
      <c r="F374" s="385">
        <f t="shared" si="128"/>
        <v>18.59182611103579</v>
      </c>
      <c r="G374" s="110">
        <f t="shared" si="151"/>
        <v>0.95812507800729374</v>
      </c>
      <c r="H374" s="414" t="b">
        <f>Wh_hp&gt;='2025'!Maxi_hp</f>
        <v>0</v>
      </c>
      <c r="I374" s="390">
        <f>IF(H374,Wh_hp,'2025'!Maxi_hp)</f>
        <v>18.592020372042303</v>
      </c>
      <c r="J374" s="85">
        <f>IF(H374,An,'2025'!An_max)</f>
        <v>2025</v>
      </c>
      <c r="K374" s="197">
        <f t="shared" si="129"/>
        <v>46382</v>
      </c>
      <c r="L374" s="147">
        <f>IF(t&lt;Tvie,1-EXP((T0-t)*PertePVj)+'2025'!Pspv,1-EXP((T0-t)*PertePVj)+Pspv)</f>
        <v>6.8930119174068549E-2</v>
      </c>
      <c r="M374" s="844"/>
      <c r="N374" s="844"/>
      <c r="O374" s="48">
        <f>IF(t&lt;Tnet,'2025'!Resal+('2025'!Salim-'2025'!Resal)*(1-EXP(('2025'!Tnet-t)/('2025'!Tau_j))),Resal+(Salim-Resal)*(1-EXP((Tnet-t)/(Tau_j))))*Salcycl</f>
        <v>9.6606656165493174E-2</v>
      </c>
      <c r="P374" s="169">
        <f>(INDEX(Models!$BJ374:$BT374,,T374)*(1-R374)+INDEX(Models!$BJ374:$BT374,,T374+1)*R374-ERP_i)*Q374*Ramure*Pc/MaxiM</f>
        <v>3.0105918384385573E-4</v>
      </c>
      <c r="Q374" s="305">
        <f t="shared" si="130"/>
        <v>0.7</v>
      </c>
      <c r="R374" s="177">
        <f t="shared" si="131"/>
        <v>0.17929941888125045</v>
      </c>
      <c r="S374" s="810">
        <f t="shared" si="132"/>
        <v>-1</v>
      </c>
      <c r="T374" s="176">
        <f t="shared" si="133"/>
        <v>5</v>
      </c>
      <c r="U374" s="251">
        <f t="shared" si="134"/>
        <v>-0.82070058111874955</v>
      </c>
      <c r="V374" s="383">
        <f t="shared" si="135"/>
        <v>16.316546292555611</v>
      </c>
      <c r="W374" s="402">
        <f t="shared" si="136"/>
        <v>15.633573709903361</v>
      </c>
      <c r="X374" s="157">
        <f t="shared" si="137"/>
        <v>46382</v>
      </c>
      <c r="Y374" s="385">
        <f t="shared" si="138"/>
        <v>14.792676706735026</v>
      </c>
      <c r="Z374" s="385">
        <f t="shared" si="139"/>
        <v>15.887826479375287</v>
      </c>
      <c r="AA374" s="386">
        <f t="shared" si="140"/>
        <v>18.531469772940891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0.14265696817128745</v>
      </c>
      <c r="AD374" s="231">
        <f>(INDEX(Models!$BJ374:$BT374,,AH374)*(1-AF374)+INDEX(Models!$BJ374:$BT374,,AH374+1)*AF374-ERP_i)*AE374*Ramure*Pc/MaxiM</f>
        <v>3.4528606249545676E-3</v>
      </c>
      <c r="AE374" s="305">
        <f t="shared" si="142"/>
        <v>0.7</v>
      </c>
      <c r="AF374" s="177">
        <f t="shared" si="143"/>
        <v>0.99928947198043439</v>
      </c>
      <c r="AG374" s="810">
        <f t="shared" si="149"/>
        <v>1</v>
      </c>
      <c r="AH374" s="176">
        <f t="shared" si="144"/>
        <v>7</v>
      </c>
      <c r="AI374" s="225">
        <f t="shared" si="145"/>
        <v>1.9992894719804344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6.3530037729641773</v>
      </c>
      <c r="C375" s="840"/>
      <c r="D375" s="393">
        <f t="shared" si="127"/>
        <v>6.8234960134764471</v>
      </c>
      <c r="E375" s="385">
        <f t="shared" si="150"/>
        <v>7.5539004329874553</v>
      </c>
      <c r="F375" s="385">
        <f t="shared" si="128"/>
        <v>7.554187682218358</v>
      </c>
      <c r="G375" s="110">
        <f t="shared" si="151"/>
        <v>0.38813865054347219</v>
      </c>
      <c r="H375" s="414" t="b">
        <f>Wh_hp&gt;='2025'!Maxi_hp</f>
        <v>0</v>
      </c>
      <c r="I375" s="390">
        <f>IF(H375,Wh_hp,'2025'!Maxi_hp)</f>
        <v>18.041116002865003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6.8951786530400905E-2</v>
      </c>
      <c r="M375" s="844"/>
      <c r="N375" s="844"/>
      <c r="O375" s="48">
        <f>IF(t&lt;Tnet,'2025'!Resal+('2025'!Salim-'2025'!Resal)*(1-EXP(('2025'!Tnet-t)/('2025'!Tau_j))),Resal+(Salim-Resal)*(1-EXP((Tnet-t)/(Tau_j))))*Salcycl</f>
        <v>9.6692354630645336E-2</v>
      </c>
      <c r="P375" s="169">
        <f>(INDEX(Models!$BJ375:$BT375,,T375)*(1-R375)+INDEX(Models!$BJ375:$BT375,,T375+1)*R375-ERP_i)*Q375*Ramure*Pc/MaxiM</f>
        <v>3.0164678944351721E-4</v>
      </c>
      <c r="Q375" s="305">
        <f t="shared" si="130"/>
        <v>0.7</v>
      </c>
      <c r="R375" s="177">
        <f t="shared" si="131"/>
        <v>0.17929941888125045</v>
      </c>
      <c r="S375" s="810">
        <f t="shared" si="132"/>
        <v>-1</v>
      </c>
      <c r="T375" s="176">
        <f t="shared" si="133"/>
        <v>5</v>
      </c>
      <c r="U375" s="251">
        <f t="shared" si="134"/>
        <v>-0.82070058111874955</v>
      </c>
      <c r="V375" s="383">
        <f t="shared" si="135"/>
        <v>16.363556969160239</v>
      </c>
      <c r="W375" s="402">
        <f t="shared" si="136"/>
        <v>6.3530037729641773</v>
      </c>
      <c r="X375" s="157">
        <f t="shared" si="137"/>
        <v>46383</v>
      </c>
      <c r="Y375" s="385">
        <f t="shared" si="138"/>
        <v>6.0271183346769561</v>
      </c>
      <c r="Z375" s="385">
        <f t="shared" si="139"/>
        <v>6.4734760751181613</v>
      </c>
      <c r="AA375" s="386">
        <f t="shared" si="140"/>
        <v>7.5509115897306689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0.14268946229986756</v>
      </c>
      <c r="AD375" s="231">
        <f>(INDEX(Models!$BJ375:$BT375,,AH375)*(1-AF375)+INDEX(Models!$BJ375:$BT375,,AH375+1)*AF375-ERP_i)*AE375*Ramure*Pc/MaxiM</f>
        <v>3.4402973951448974E-3</v>
      </c>
      <c r="AE375" s="305">
        <f t="shared" si="142"/>
        <v>0.7</v>
      </c>
      <c r="AF375" s="177">
        <f t="shared" si="143"/>
        <v>0.99928947198043439</v>
      </c>
      <c r="AG375" s="810">
        <f t="shared" si="149"/>
        <v>1</v>
      </c>
      <c r="AH375" s="176">
        <f t="shared" si="144"/>
        <v>7</v>
      </c>
      <c r="AI375" s="225">
        <f t="shared" si="145"/>
        <v>1.9992894719804344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15.118675631123716</v>
      </c>
      <c r="C376" s="840"/>
      <c r="D376" s="393">
        <f t="shared" si="127"/>
        <v>16.238715948595893</v>
      </c>
      <c r="E376" s="385">
        <f t="shared" si="150"/>
        <v>17.978661284241287</v>
      </c>
      <c r="F376" s="385">
        <f t="shared" si="128"/>
        <v>17.983489707483105</v>
      </c>
      <c r="G376" s="110">
        <f t="shared" si="151"/>
        <v>0.92102077555722206</v>
      </c>
      <c r="H376" s="414" t="b">
        <f>Wh_hp&gt;='2025'!Maxi_hp</f>
        <v>0</v>
      </c>
      <c r="I376" s="390">
        <f>IF(H376,Wh_hp,'2025'!Maxi_hp)</f>
        <v>17.983845121418753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6.897345338250227E-2</v>
      </c>
      <c r="M376" s="844"/>
      <c r="N376" s="844"/>
      <c r="O376" s="48">
        <f>IF(t&lt;Tnet,'2025'!Resal+('2025'!Salim-'2025'!Resal)*(1-EXP(('2025'!Tnet-t)/('2025'!Tau_j))),Resal+(Salim-Resal)*(1-EXP((Tnet-t)/(Tau_j))))*Salcycl</f>
        <v>9.6778358974396878E-2</v>
      </c>
      <c r="P376" s="169">
        <f>(INDEX(Models!$BJ376:$BT376,,T376)*(1-R376)+INDEX(Models!$BJ376:$BT376,,T376+1)*R376-ERP_i)*Q376*Ramure*Pc/MaxiM</f>
        <v>3.0262254725635281E-4</v>
      </c>
      <c r="Q376" s="305">
        <f t="shared" si="130"/>
        <v>0.7</v>
      </c>
      <c r="R376" s="177">
        <f t="shared" si="131"/>
        <v>0.17929941888125045</v>
      </c>
      <c r="S376" s="810">
        <f t="shared" si="132"/>
        <v>-1</v>
      </c>
      <c r="T376" s="176">
        <f t="shared" si="133"/>
        <v>5</v>
      </c>
      <c r="U376" s="251">
        <f t="shared" si="134"/>
        <v>-0.82070058111874955</v>
      </c>
      <c r="V376" s="383">
        <f t="shared" si="135"/>
        <v>16.414569448584185</v>
      </c>
      <c r="W376" s="402">
        <f t="shared" si="136"/>
        <v>15.118675631123716</v>
      </c>
      <c r="X376" s="157">
        <f t="shared" si="137"/>
        <v>46384</v>
      </c>
      <c r="Y376" s="385">
        <f t="shared" si="138"/>
        <v>14.309830358961447</v>
      </c>
      <c r="Z376" s="385">
        <f t="shared" si="139"/>
        <v>15.369948806454911</v>
      </c>
      <c r="AA376" s="386">
        <f t="shared" si="140"/>
        <v>17.928791078930793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0.14272252162517152</v>
      </c>
      <c r="AD376" s="231">
        <f>(INDEX(Models!$BJ376:$BT376,,AH376)*(1-AF376)+INDEX(Models!$BJ376:$BT376,,AH376+1)*AF376-ERP_i)*AE376*Ramure*Pc/MaxiM</f>
        <v>3.4282492389148896E-3</v>
      </c>
      <c r="AE376" s="305">
        <f t="shared" si="142"/>
        <v>0.7</v>
      </c>
      <c r="AF376" s="177">
        <f t="shared" si="143"/>
        <v>0.99928947198043439</v>
      </c>
      <c r="AG376" s="810">
        <f t="shared" si="149"/>
        <v>1</v>
      </c>
      <c r="AH376" s="176">
        <f t="shared" si="144"/>
        <v>7</v>
      </c>
      <c r="AI376" s="225">
        <f t="shared" si="145"/>
        <v>1.9992894719804344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8.5564900790463536</v>
      </c>
      <c r="C377" s="840"/>
      <c r="D377" s="393">
        <f t="shared" si="127"/>
        <v>9.190596376431909</v>
      </c>
      <c r="E377" s="385">
        <f t="shared" si="150"/>
        <v>10.176322042760461</v>
      </c>
      <c r="F377" s="385">
        <f t="shared" si="128"/>
        <v>10.177292186779482</v>
      </c>
      <c r="G377" s="110">
        <f t="shared" si="151"/>
        <v>0.51940915534640886</v>
      </c>
      <c r="H377" s="414" t="b">
        <f>Wh_hp&gt;='2025'!Maxi_hp</f>
        <v>0</v>
      </c>
      <c r="I377" s="390">
        <f>IF(H377,Wh_hp,'2025'!Maxi_hp)</f>
        <v>20.470863800267029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6.8995119730384302E-2</v>
      </c>
      <c r="M377" s="844"/>
      <c r="N377" s="844"/>
      <c r="O377" s="48">
        <f>IF(t&lt;Tnet,'2025'!Resal+('2025'!Salim-'2025'!Resal)*(1-EXP(('2025'!Tnet-t)/('2025'!Tau_j))),Resal+(Salim-Resal)*(1-EXP((Tnet-t)/(Tau_j))))*Salcycl</f>
        <v>9.686462969495023E-2</v>
      </c>
      <c r="P377" s="169">
        <f>(INDEX(Models!$BJ377:$BT377,,T377)*(1-R377)+INDEX(Models!$BJ377:$BT377,,T377+1)*R377-ERP_i)*Q377*Ramure*Pc/MaxiM</f>
        <v>3.0397140983429367E-4</v>
      </c>
      <c r="Q377" s="305">
        <f t="shared" si="130"/>
        <v>0.7</v>
      </c>
      <c r="R377" s="177">
        <f t="shared" si="131"/>
        <v>0.17929941888125045</v>
      </c>
      <c r="S377" s="810">
        <f t="shared" si="132"/>
        <v>-1</v>
      </c>
      <c r="T377" s="176">
        <f t="shared" si="133"/>
        <v>5</v>
      </c>
      <c r="U377" s="251">
        <f t="shared" si="134"/>
        <v>-0.82070058111874955</v>
      </c>
      <c r="V377" s="383">
        <f t="shared" si="135"/>
        <v>16.470068989950043</v>
      </c>
      <c r="W377" s="402">
        <f t="shared" si="136"/>
        <v>8.5564900790463536</v>
      </c>
      <c r="X377" s="157">
        <f t="shared" si="137"/>
        <v>46385</v>
      </c>
      <c r="Y377" s="385">
        <f t="shared" si="138"/>
        <v>8.1137765626942375</v>
      </c>
      <c r="Z377" s="385">
        <f t="shared" si="139"/>
        <v>8.7150741469201716</v>
      </c>
      <c r="AA377" s="386">
        <f t="shared" si="140"/>
        <v>10.166387897990214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0.14275608658970729</v>
      </c>
      <c r="AD377" s="231">
        <f>(INDEX(Models!$BJ377:$BT377,,AH377)*(1-AF377)+INDEX(Models!$BJ377:$BT377,,AH377+1)*AF377-ERP_i)*AE377*Ramure*Pc/MaxiM</f>
        <v>3.4165979189955771E-3</v>
      </c>
      <c r="AE377" s="305">
        <f t="shared" si="142"/>
        <v>0.7</v>
      </c>
      <c r="AF377" s="177">
        <f t="shared" si="143"/>
        <v>0.99928947198043439</v>
      </c>
      <c r="AG377" s="810">
        <f t="shared" si="149"/>
        <v>1</v>
      </c>
      <c r="AH377" s="176">
        <f t="shared" si="144"/>
        <v>7</v>
      </c>
      <c r="AI377" s="225">
        <f t="shared" si="145"/>
        <v>1.9992894719804344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11.342751959930954</v>
      </c>
      <c r="C378" s="840"/>
      <c r="D378" s="393">
        <f t="shared" si="127"/>
        <v>12.183626712244292</v>
      </c>
      <c r="E378" s="385">
        <f t="shared" si="150"/>
        <v>13.491658223980894</v>
      </c>
      <c r="F378" s="385">
        <f t="shared" si="128"/>
        <v>13.493933753953998</v>
      </c>
      <c r="G378" s="110">
        <f t="shared" si="151"/>
        <v>0.68607540032029379</v>
      </c>
      <c r="H378" s="414" t="b">
        <f>Wh_hp&gt;='2025'!Maxi_hp</f>
        <v>0</v>
      </c>
      <c r="I378" s="390">
        <f>IF(H378,Wh_hp,'2025'!Maxi_hp)</f>
        <v>18.88344038484756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6.901678557405877E-2</v>
      </c>
      <c r="M378" s="844"/>
      <c r="N378" s="844"/>
      <c r="O378" s="48">
        <f>IF(t&lt;Tnet,'2025'!Resal+('2025'!Salim-'2025'!Resal)*(1-EXP(('2025'!Tnet-t)/('2025'!Tau_j))),Resal+(Salim-Resal)*(1-EXP((Tnet-t)/(Tau_j))))*Salcycl</f>
        <v>9.6951130099903277E-2</v>
      </c>
      <c r="P378" s="169">
        <f>(INDEX(Models!$BJ378:$BT378,,T378)*(1-R378)+INDEX(Models!$BJ378:$BT378,,T378+1)*R378-ERP_i)*Q378*Ramure*Pc/MaxiM</f>
        <v>3.0567794916437537E-4</v>
      </c>
      <c r="Q378" s="305">
        <f t="shared" si="130"/>
        <v>0.7</v>
      </c>
      <c r="R378" s="177">
        <f t="shared" si="131"/>
        <v>0.17929941888125045</v>
      </c>
      <c r="S378" s="810">
        <f t="shared" si="132"/>
        <v>-1</v>
      </c>
      <c r="T378" s="176">
        <f t="shared" si="133"/>
        <v>5</v>
      </c>
      <c r="U378" s="251">
        <f t="shared" si="134"/>
        <v>-0.82070058111874955</v>
      </c>
      <c r="V378" s="383">
        <f t="shared" si="135"/>
        <v>16.5305405671856</v>
      </c>
      <c r="W378" s="402">
        <f t="shared" si="136"/>
        <v>11.342751959930954</v>
      </c>
      <c r="X378" s="157">
        <f t="shared" si="137"/>
        <v>46386</v>
      </c>
      <c r="Y378" s="385">
        <f t="shared" si="138"/>
        <v>10.748577298301022</v>
      </c>
      <c r="Z378" s="385">
        <f t="shared" si="139"/>
        <v>11.545403968350559</v>
      </c>
      <c r="AA378" s="386">
        <f t="shared" si="140"/>
        <v>13.468584525676521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0.14279010193384528</v>
      </c>
      <c r="AD378" s="231">
        <f>(INDEX(Models!$BJ378:$BT378,,AH378)*(1-AF378)+INDEX(Models!$BJ378:$BT378,,AH378+1)*AF378-ERP_i)*AE378*Ramure*Pc/MaxiM</f>
        <v>3.4052287618007212E-3</v>
      </c>
      <c r="AE378" s="305">
        <f t="shared" si="142"/>
        <v>0.7</v>
      </c>
      <c r="AF378" s="177">
        <f t="shared" si="143"/>
        <v>0.99928947198043439</v>
      </c>
      <c r="AG378" s="810">
        <f t="shared" si="149"/>
        <v>1</v>
      </c>
      <c r="AH378" s="176">
        <f t="shared" si="144"/>
        <v>7</v>
      </c>
      <c r="AI378" s="225">
        <f t="shared" si="145"/>
        <v>1.9992894719804344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8.4425636012883718</v>
      </c>
      <c r="C379" s="840"/>
      <c r="D379" s="393">
        <f t="shared" si="127"/>
        <v>9.0686490860690441</v>
      </c>
      <c r="E379" s="385">
        <f t="shared" si="150"/>
        <v>10.043221467116883</v>
      </c>
      <c r="F379" s="385">
        <f t="shared" si="128"/>
        <v>10.04414296500109</v>
      </c>
      <c r="G379" s="110">
        <f t="shared" si="151"/>
        <v>0.50858649873211981</v>
      </c>
      <c r="H379" s="414" t="b">
        <f>Wh_hp&gt;='2025'!Maxi_hp</f>
        <v>0</v>
      </c>
      <c r="I379" s="390">
        <f>IF(H379,Wh_hp,'2025'!Maxi_hp)</f>
        <v>18.889316634056641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6.903845091353733E-2</v>
      </c>
      <c r="M379" s="844"/>
      <c r="N379" s="844"/>
      <c r="O379" s="48">
        <f>IF(t&lt;Tnet,'2025'!Resal+('2025'!Salim-'2025'!Resal)*(1-EXP(('2025'!Tnet-t)/('2025'!Tau_j))),Resal+(Salim-Resal)*(1-EXP((Tnet-t)/(Tau_j))))*Salcycl</f>
        <v>9.7037826382575132E-2</v>
      </c>
      <c r="P379" s="169">
        <f>(INDEX(Models!$BJ379:$BT379,,T379)*(1-R379)+INDEX(Models!$BJ379:$BT379,,T379+1)*R379-ERP_i)*Q379*Ramure*Pc/MaxiM</f>
        <v>3.0772627893687487E-4</v>
      </c>
      <c r="Q379" s="306">
        <f t="shared" si="130"/>
        <v>0.7</v>
      </c>
      <c r="R379" s="177">
        <f t="shared" si="131"/>
        <v>0.17929941888125045</v>
      </c>
      <c r="S379" s="810">
        <f t="shared" si="132"/>
        <v>-1</v>
      </c>
      <c r="T379" s="176">
        <f t="shared" si="133"/>
        <v>5</v>
      </c>
      <c r="U379" s="307">
        <f t="shared" si="134"/>
        <v>-0.82070058111874955</v>
      </c>
      <c r="V379" s="383">
        <f t="shared" si="135"/>
        <v>16.59646887530257</v>
      </c>
      <c r="W379" s="402">
        <f t="shared" si="136"/>
        <v>8.4425636012883718</v>
      </c>
      <c r="X379" s="157">
        <f t="shared" si="137"/>
        <v>46387</v>
      </c>
      <c r="Y379" s="385">
        <f t="shared" si="138"/>
        <v>8.0070896402438585</v>
      </c>
      <c r="Z379" s="385">
        <f t="shared" si="139"/>
        <v>8.6008811514300287</v>
      </c>
      <c r="AA379" s="386">
        <f t="shared" si="140"/>
        <v>10.033979412541949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0.14282451679346905</v>
      </c>
      <c r="AD379" s="231">
        <f>(INDEX(Models!$BJ379:$BT379,,AH379)*(1-AF379)+INDEX(Models!$BJ379:$BT379,,AH379+1)*AF379-ERP_i)*AE379*Ramure*Pc/MaxiM</f>
        <v>3.3940307760154877E-3</v>
      </c>
      <c r="AE379" s="306">
        <f t="shared" si="142"/>
        <v>0.7</v>
      </c>
      <c r="AF379" s="177">
        <f t="shared" si="143"/>
        <v>0.99928947198043439</v>
      </c>
      <c r="AG379" s="810">
        <f t="shared" si="149"/>
        <v>1</v>
      </c>
      <c r="AH379" s="176">
        <f t="shared" si="144"/>
        <v>7</v>
      </c>
      <c r="AI379" s="222">
        <f t="shared" si="145"/>
        <v>1.9992894719804344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8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13.770822168887381</v>
      </c>
      <c r="J380" s="85">
        <f>IF(H380,An,'2025'!An_max)</f>
        <v>2024</v>
      </c>
      <c r="K380" s="234"/>
      <c r="L380" s="214"/>
      <c r="M380" s="849"/>
      <c r="N380" s="849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1.666231275347186</v>
      </c>
      <c r="C381" s="375"/>
      <c r="D381" s="373">
        <f>MIN(D15:D380)</f>
        <v>1.775070593838868</v>
      </c>
      <c r="E381" s="373">
        <f>MIN(E15:E380)</f>
        <v>1.8833877424570116</v>
      </c>
      <c r="F381" s="374">
        <f>MIN(F15:F380)</f>
        <v>1.8833877424570116</v>
      </c>
      <c r="G381" s="125">
        <f>+MIN(G15:G380)</f>
        <v>8.9511983327048503E-2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6.1118863404340695E-2</v>
      </c>
      <c r="M381" s="846"/>
      <c r="N381" s="846"/>
      <c r="O381" s="47">
        <f t="shared" si="152"/>
        <v>5.6313898525004645E-2</v>
      </c>
      <c r="P381" s="168">
        <f t="shared" si="152"/>
        <v>2.0630543076699937E-5</v>
      </c>
      <c r="Q381" s="310">
        <f t="shared" si="152"/>
        <v>0.7</v>
      </c>
      <c r="R381" s="311">
        <f t="shared" si="152"/>
        <v>3.6628871850612477E-3</v>
      </c>
      <c r="S381" s="810">
        <f t="shared" si="152"/>
        <v>-2</v>
      </c>
      <c r="T381" s="176">
        <f t="shared" si="152"/>
        <v>4</v>
      </c>
      <c r="U381" s="252">
        <f>MIN(U15:U380)</f>
        <v>-1.2206995626898127</v>
      </c>
      <c r="V381" s="57">
        <f>MIN(V15:V380)</f>
        <v>16.024039939990438</v>
      </c>
      <c r="W381" s="58"/>
      <c r="X381" s="112" t="s">
        <v>7</v>
      </c>
      <c r="Y381" s="373">
        <f>MIN(Y15:Y380)</f>
        <v>1.5468295725254029</v>
      </c>
      <c r="Z381" s="373">
        <f>MIN(Z15:Z380)</f>
        <v>1.647869493565995</v>
      </c>
      <c r="AA381" s="373">
        <f>MIN(AA15:AA380)</f>
        <v>1.8833877424570116</v>
      </c>
      <c r="AB381" s="200" t="s">
        <v>7</v>
      </c>
      <c r="AC381" s="47">
        <f t="shared" ref="AC381:AH381" si="153">MIN(AC15:AC380)</f>
        <v>0.1245418999940914</v>
      </c>
      <c r="AD381" s="168">
        <f t="shared" si="153"/>
        <v>2.9276777731081542E-4</v>
      </c>
      <c r="AE381" s="310">
        <f t="shared" si="153"/>
        <v>0.7</v>
      </c>
      <c r="AF381" s="311">
        <f t="shared" si="153"/>
        <v>0.59929049040937121</v>
      </c>
      <c r="AG381" s="810">
        <f t="shared" si="153"/>
        <v>1</v>
      </c>
      <c r="AH381" s="176">
        <f t="shared" si="153"/>
        <v>7</v>
      </c>
      <c r="AI381" s="226">
        <f>MIN(AI15:AI380)</f>
        <v>1.5992904904093712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27.737243447082438</v>
      </c>
      <c r="C382" s="375"/>
      <c r="D382" s="375">
        <f>AVERAGE(D15:D380)</f>
        <v>29.664184233167997</v>
      </c>
      <c r="E382" s="375">
        <f>AVERAGE(E15:E380)</f>
        <v>32.243860898356715</v>
      </c>
      <c r="F382" s="376">
        <f>AVERAGE(F15:F380)</f>
        <v>32.248650308820366</v>
      </c>
      <c r="G382" s="126">
        <f>AVERAGE(G15:G380)</f>
        <v>0.71328476708569177</v>
      </c>
      <c r="H382" s="94"/>
      <c r="I382" s="376">
        <f>AVERAGE(I15:I380)</f>
        <v>41.22314315710048</v>
      </c>
      <c r="J382" s="59">
        <f>AVERAGE(J15:J380)</f>
        <v>2021.2540983606557</v>
      </c>
      <c r="K382" s="200" t="s">
        <v>8</v>
      </c>
      <c r="L382" s="147">
        <f t="shared" ref="L382:V382" si="154">AVERAGE(L15:L380)</f>
        <v>6.5084232303368711E-2</v>
      </c>
      <c r="M382" s="844"/>
      <c r="N382" s="844"/>
      <c r="O382" s="48">
        <f t="shared" si="154"/>
        <v>7.9788892613289752E-2</v>
      </c>
      <c r="P382" s="169">
        <f t="shared" si="154"/>
        <v>2.8626220120726267E-4</v>
      </c>
      <c r="Q382" s="312">
        <f t="shared" si="154"/>
        <v>0.69999999999999529</v>
      </c>
      <c r="R382" s="177">
        <f t="shared" si="154"/>
        <v>0.45800183545744716</v>
      </c>
      <c r="S382" s="810">
        <f t="shared" si="154"/>
        <v>-1.4547945205479451</v>
      </c>
      <c r="T382" s="176">
        <f t="shared" si="154"/>
        <v>4.5452054794520551</v>
      </c>
      <c r="U382" s="251">
        <f>AVERAGE(U15:U380)</f>
        <v>-0.99679268509049734</v>
      </c>
      <c r="V382" s="59">
        <f t="shared" si="154"/>
        <v>37.676602390098502</v>
      </c>
      <c r="X382" s="112" t="s">
        <v>8</v>
      </c>
      <c r="Y382" s="375">
        <f>AVERAGE(Y15:Y380)</f>
        <v>25.958681844695441</v>
      </c>
      <c r="Z382" s="375">
        <f>AVERAGE(Z15:Z380)</f>
        <v>27.762292862520432</v>
      </c>
      <c r="AA382" s="375">
        <f>AVERAGE(AA15:AA380)</f>
        <v>32.2047479518125</v>
      </c>
      <c r="AB382" s="200" t="s">
        <v>8</v>
      </c>
      <c r="AC382" s="48">
        <f t="shared" ref="AC382:AH382" si="155">AVERAGE(AC15:AC380)</f>
        <v>0.13719992201627101</v>
      </c>
      <c r="AD382" s="169">
        <f t="shared" si="155"/>
        <v>2.5900604029326659E-3</v>
      </c>
      <c r="AE382" s="312">
        <f t="shared" si="155"/>
        <v>0.69999999999999529</v>
      </c>
      <c r="AF382" s="177">
        <f t="shared" si="155"/>
        <v>0.82319736800868604</v>
      </c>
      <c r="AG382" s="810">
        <f t="shared" si="155"/>
        <v>1</v>
      </c>
      <c r="AH382" s="176">
        <f t="shared" si="155"/>
        <v>7</v>
      </c>
      <c r="AI382" s="225">
        <f>AVERAGE(AI15:AI380)</f>
        <v>1.8231973680086879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56.46992684236973</v>
      </c>
      <c r="C383" s="377"/>
      <c r="D383" s="377">
        <f>MAX(D15:D380)</f>
        <v>60.353493750493008</v>
      </c>
      <c r="E383" s="377">
        <f>MAX(E15:E380)</f>
        <v>65.392165198235659</v>
      </c>
      <c r="F383" s="378">
        <f>MAX(F15:F380)</f>
        <v>65.393863123176274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2026</v>
      </c>
      <c r="K383" s="200" t="s">
        <v>9</v>
      </c>
      <c r="L383" s="148">
        <f t="shared" ref="L383:T383" si="156">MAX(L15:L380)</f>
        <v>6.903845091353733E-2</v>
      </c>
      <c r="M383" s="847"/>
      <c r="N383" s="847"/>
      <c r="O383" s="49">
        <f t="shared" si="156"/>
        <v>9.7037826382575132E-2</v>
      </c>
      <c r="P383" s="170">
        <f t="shared" si="156"/>
        <v>1.2244671095646014E-3</v>
      </c>
      <c r="Q383" s="313">
        <f t="shared" si="156"/>
        <v>0.7</v>
      </c>
      <c r="R383" s="314">
        <f t="shared" si="156"/>
        <v>0.99959848648884386</v>
      </c>
      <c r="S383" s="811">
        <f t="shared" si="156"/>
        <v>-1</v>
      </c>
      <c r="T383" s="233">
        <f t="shared" si="156"/>
        <v>5</v>
      </c>
      <c r="U383" s="253">
        <f>MAX(U15:U380)</f>
        <v>-0.82070058111874955</v>
      </c>
      <c r="V383" s="60">
        <f>MAX(V15:V380)</f>
        <v>55.415610373928089</v>
      </c>
      <c r="X383" s="112" t="s">
        <v>9</v>
      </c>
      <c r="Y383" s="377">
        <f>MAX(Y15:Y380)</f>
        <v>52.801709650831249</v>
      </c>
      <c r="Z383" s="377">
        <f>MAX(Z15:Z380)</f>
        <v>56.433004815507203</v>
      </c>
      <c r="AA383" s="377">
        <f>MAX(AA15:AA380)</f>
        <v>65.374632537645681</v>
      </c>
      <c r="AB383" s="200" t="s">
        <v>9</v>
      </c>
      <c r="AC383" s="49">
        <f t="shared" ref="AC383:AH383" si="157">MAX(AC15:AC380)</f>
        <v>0.1445895583123035</v>
      </c>
      <c r="AD383" s="170">
        <f t="shared" si="157"/>
        <v>7.3118374444899352E-3</v>
      </c>
      <c r="AE383" s="313">
        <f t="shared" si="157"/>
        <v>0.7</v>
      </c>
      <c r="AF383" s="314">
        <f t="shared" si="157"/>
        <v>0.99928947198043439</v>
      </c>
      <c r="AG383" s="811">
        <f t="shared" si="157"/>
        <v>1</v>
      </c>
      <c r="AH383" s="233">
        <f t="shared" si="157"/>
        <v>7</v>
      </c>
      <c r="AI383" s="227">
        <f>MAX(AI15:AI380)</f>
        <v>1.9992894719804344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'2026'!An+1</f>
        <v>2027</v>
      </c>
      <c r="K1" s="1274"/>
      <c r="L1" s="113" t="str">
        <f>"Calcul pertes et enveloppes en "&amp;TEXT(An,0)</f>
        <v>Calcul pertes et enveloppes en 2027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116.80054881059982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679.66392593404657</v>
      </c>
      <c r="AK4" s="833">
        <f>AM12-AK12</f>
        <v>12.809612659976167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796.74549205173673</v>
      </c>
      <c r="AA5" s="237">
        <f>Wh_Pvg_s-Wh_Pvg</f>
        <v>12.809612659976167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2483.0153073078509</v>
      </c>
      <c r="AK5" s="515">
        <f>SUMIF(AK15:AK380,"VRAI",Wh)</f>
        <v>0</v>
      </c>
      <c r="AL5" s="515">
        <f>SUMIF(AJ15:AJ380,"VRAI",Wh_s)</f>
        <v>2361.2593499654809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7856.5463879907402</v>
      </c>
      <c r="AK6" s="515">
        <f>SUMIF(AK15:AK380,"FAUX",Wh)</f>
        <v>10339.561695298582</v>
      </c>
      <c r="AL6" s="515">
        <f>SUMIF(AJ15:AJ380,"FAUX",Wh_s)</f>
        <v>7166.8906692714445</v>
      </c>
      <c r="AM6" s="515">
        <f>SUMIF(AK15:AK380,"FAUX",Wh_s)</f>
        <v>9528.150019236924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2671.5758347603214</v>
      </c>
      <c r="AK7" s="515">
        <f>SUMIF(AK15:AK380,"VRAI",Wh_sa)</f>
        <v>0</v>
      </c>
      <c r="AL7" s="515">
        <f>SUMIF(AJ15:AJ380,"VRAI",Wh_pvt_s)</f>
        <v>2540.5778138165665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8481.2354369488185</v>
      </c>
      <c r="AK8" s="515">
        <f>SUMIF(AK15:AK380,"FAUX",Wh_sa)</f>
        <v>11767.01438080984</v>
      </c>
      <c r="AL8" s="515">
        <f>SUMIF(AJ15:AJ380,"FAUX",Wh_pvt_s)</f>
        <v>7736.7897771233584</v>
      </c>
      <c r="AM8" s="515">
        <f>SUMIF(AK15:AK380,"FAUX",Wh_sa_s)</f>
        <v>11750.953274734407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11152.811271709143</v>
      </c>
      <c r="E9" s="184">
        <f>SUM(E$15:E$380)</f>
        <v>11767.01438080984</v>
      </c>
      <c r="F9" s="184">
        <f>SUM(F$15:F$380)</f>
        <v>11770.15933461414</v>
      </c>
      <c r="H9" s="1275">
        <f>+SUM(Wh)</f>
        <v>10339.561695298582</v>
      </c>
      <c r="I9" s="1276"/>
      <c r="J9" s="1277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9528.150019236924</v>
      </c>
      <c r="Y9" s="1270"/>
      <c r="Z9" s="515">
        <f>SUM(Z$15:Z$380)</f>
        <v>10277.367590939932</v>
      </c>
      <c r="AA9" s="515">
        <f>SUM(AA$15:AA$380)</f>
        <v>11750.953274734407</v>
      </c>
      <c r="AB9" s="515">
        <f>F9</f>
        <v>11770.15933461414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2979.7042439876909</v>
      </c>
      <c r="AK9" s="515">
        <f>SUMIF(AK15:AK380,"VRAI",Wh_hp)</f>
        <v>0</v>
      </c>
      <c r="AL9" s="515">
        <f>SUMIF(AJ15:AJ380,"VRAI",Wh_sa_s)</f>
        <v>2974.3773219514337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1.7999999999999999E-2</v>
      </c>
      <c r="P10" s="420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IF(OR(Inflex,GainD),'2026'!Resal_s+('2026'!Salim-'2026'!Resal_s)*(1-EXP(('2026'!Tnet_s-Tnet)/('2026'!Tau_j))),IF(Acti_net,'2026'!Resal+('2026'!Salim-'2026'!Resal)*(1-EXP(('2026'!Tnet-Tnet)/'2026'!Tau_j)),'2026'!Resal_s))</f>
        <v>0.10720870781301012</v>
      </c>
      <c r="AD10" s="427"/>
      <c r="AE10" s="427"/>
      <c r="AF10" s="260"/>
      <c r="AG10" s="261"/>
      <c r="AH10" s="262"/>
      <c r="AI10" s="472"/>
      <c r="AJ10" s="515">
        <f>SUMIF(AJ15:AJ380,"FAUX",Wh_sa)</f>
        <v>8787.3101368221523</v>
      </c>
      <c r="AK10" s="515">
        <f>SUMIF(AK15:AK380,"FAUX",Wh_hp)</f>
        <v>11770.15933461414</v>
      </c>
      <c r="AL10" s="515">
        <f>SUMIF(AJ15:AJ380,"FAUX",Wh_sa_s)</f>
        <v>8776.5759527829705</v>
      </c>
      <c r="AM10" s="515">
        <f>SUMIF(AK15:AK380,"FAUX",Wh_hp)</f>
        <v>11770.15933461414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813.24957641056062</v>
      </c>
      <c r="E11" s="51">
        <f>(E$9-D$9)*Prod_an/D$9</f>
        <v>569.41615752972882</v>
      </c>
      <c r="F11" s="186">
        <f>(F$9-E$9)*Prod_an/E$9</f>
        <v>2.7634404816783995</v>
      </c>
      <c r="G11" s="185" t="s">
        <v>6</v>
      </c>
      <c r="K11" s="194"/>
      <c r="L11" s="211">
        <f>Tvie_2027</f>
        <v>43313</v>
      </c>
      <c r="M11" s="843"/>
      <c r="N11" s="843"/>
      <c r="O11" s="202">
        <f>IF(An_Tnet,Salim_2027,'2026'!Salim)</f>
        <v>0.18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-0.42070058111874953</v>
      </c>
      <c r="V11" s="427"/>
      <c r="W11" s="518"/>
      <c r="X11" s="525" t="s">
        <v>43</v>
      </c>
      <c r="Y11" s="50">
        <f>Z$9-Prod_an_s</f>
        <v>749.21757170300771</v>
      </c>
      <c r="Z11" s="51">
        <f>(AA$9-Z$9)*Prod_an_s/Z$9</f>
        <v>1366.1616495814656</v>
      </c>
      <c r="AA11" s="186">
        <f>(AB$9-AA$9)*Prod_an_s/AA$9</f>
        <v>15.573053141654567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286.38062478829664</v>
      </c>
      <c r="AK11" s="833">
        <f>IF($AK7=0,0,($AK9-$AK7)*$AK5/$AK7)</f>
        <v>0</v>
      </c>
      <c r="AL11" s="832">
        <f>IF($AL7=0,0,($AL9-$AL7)*$AL5/$AL7)</f>
        <v>403.18117359889646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4.6975195124397517E-2</v>
      </c>
      <c r="K12" s="191"/>
      <c r="L12" s="212">
        <f>Pspv_2027</f>
        <v>0</v>
      </c>
      <c r="M12" s="212"/>
      <c r="N12" s="212"/>
      <c r="O12" s="205">
        <f>IF(An_Tnet,Tau_2027*365,'2026'!Tau_j)</f>
        <v>912.5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-0.82070058111874955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0.7</v>
      </c>
      <c r="AF12" s="203"/>
      <c r="AG12" s="203"/>
      <c r="AH12" s="203"/>
      <c r="AI12" s="297">
        <f>'2026'!Hdf_s</f>
        <v>1.9992894719804344</v>
      </c>
      <c r="AJ12" s="832">
        <f>IF($AJ8=0,0,($AJ10-$AJ8)*$AJ6/$AJ8)</f>
        <v>283.53063602845754</v>
      </c>
      <c r="AK12" s="833">
        <f>IF($AK8=0,0,($AK10-$AK8)*$AK6/$AK8)</f>
        <v>2.7634404816783995</v>
      </c>
      <c r="AL12" s="832">
        <f>IF($AL8=0,0,($AL10-$AL8)*$AL6/$AL8)</f>
        <v>963.19456196250417</v>
      </c>
      <c r="AM12" s="833">
        <f>IF($AM8=0,0,($AM10-$AM8)*$AM6/$AM8)</f>
        <v>15.573053141654567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569.91126081675418</v>
      </c>
      <c r="AK13" s="73">
        <f>+AK11+AK12</f>
        <v>2.7634404816783995</v>
      </c>
      <c r="AL13" s="73">
        <f>+AL11+AL12</f>
        <v>1366.3757355614007</v>
      </c>
      <c r="AM13" s="73">
        <f>+AM11+AM12</f>
        <v>15.573053141654567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2027</v>
      </c>
      <c r="W14" s="837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16.320795396151649</v>
      </c>
      <c r="C15" s="840"/>
      <c r="D15" s="393">
        <f t="shared" ref="D15:D78" si="0">Wh/(1-Ppv)</f>
        <v>17.531524507922242</v>
      </c>
      <c r="E15" s="400">
        <f t="shared" ref="E15:E79" si="1">Wh_pvt/(1-Psa)</f>
        <v>19.417437013180709</v>
      </c>
      <c r="F15" s="400">
        <f t="shared" ref="F15:F78" si="2">Wh_sa/(1-Pvg*MEDIAN((-Sdif+Wh/Env_an)/Csdif,0,1))</f>
        <v>19.423280774358286</v>
      </c>
      <c r="G15" s="123">
        <f>+Wh_hp/MaxiM</f>
        <v>0.97914046961007861</v>
      </c>
      <c r="H15" s="414" t="b">
        <f>Wh_hp&gt;='2026'!Maxi_hp</f>
        <v>0</v>
      </c>
      <c r="I15" s="396">
        <f>IF(H15,Wh_hp,'2026'!Maxi_hp)</f>
        <v>19.423384016462514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6.9060115748831863E-2</v>
      </c>
      <c r="M15" s="844"/>
      <c r="N15" s="844"/>
      <c r="O15" s="48">
        <f>IF(t&lt;Tnet,'2026'!Resal+('2026'!Salim-'2026'!Resal)*(1-EXP(('2026'!Tnet-t)/('2026'!Tau_j))),Resal+(Salim-Resal)*(1-EXP((Tnet-t)/(Tau_j))))*Salcycl</f>
        <v>9.7124687670071735E-2</v>
      </c>
      <c r="P15" s="302">
        <f>(INDEX(Models!$BJ15:$BT15,,T15)*(1-R15)+INDEX(Models!$BJ15:$BT15,,T15+1)*R15-ERP_i)*Q15*Ramure*Pc/MaxiM</f>
        <v>3.101005345572747E-4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0.179300375279834</v>
      </c>
      <c r="S15" s="809">
        <f t="shared" ref="S15:S78" si="6">INDEX(Echel_vg,T15)</f>
        <v>-1</v>
      </c>
      <c r="T15" s="249">
        <f t="shared" ref="T15:T78" si="7">MIN(MATCH(Hp_vg,Echel_vg),10)</f>
        <v>5</v>
      </c>
      <c r="U15" s="251">
        <f t="shared" ref="U15:U78" si="8">IF(OR(t&lt;Ttai,Notai),Hdd+PousH*Croivg,Hdtf+PousH*(Croivg-Croi_tai))</f>
        <v>-0.820699624720166</v>
      </c>
      <c r="V15" s="382">
        <f t="shared" ref="V15:V78" si="9">MaxiM*(1-Ppv)*(1-Pvg)*(1-Psa)</f>
        <v>16.668338308683587</v>
      </c>
      <c r="W15" s="402">
        <f t="shared" ref="W15:W78" si="10">Wh*(A15&gt;Tmaj)</f>
        <v>16.320795396151649</v>
      </c>
      <c r="X15" s="156">
        <f t="shared" ref="X15:X78" si="11">t</f>
        <v>46388</v>
      </c>
      <c r="Y15" s="385">
        <f t="shared" ref="Y15:Y78" si="12">Wh_pvt_s*(1-Ppv)</f>
        <v>15.447869552772453</v>
      </c>
      <c r="Z15" s="385">
        <f>Wh_sa_s*(1-Psa_s)</f>
        <v>16.593842216996052</v>
      </c>
      <c r="AA15" s="386">
        <f t="shared" ref="AA15:AA78" si="13">Wh_hp*(1-Pvg_s*MEDIAN((-Sdif+Wh/Env_an)/Csdif,0,1))</f>
        <v>19.35953096367319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0.14285928475574963</v>
      </c>
      <c r="AD15" s="231">
        <f>(INDEX(Models!$BJ15:$BT15,,AH15)*(1-AF15)+INDEX(Models!$BJ15:$BT15,,AH15+1)*AF15-ERP_i)*AE15*Ramure*Pc/MaxiM</f>
        <v>3.3828984057785072E-3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0.99929042837901783</v>
      </c>
      <c r="AG15" s="809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1.9992904283790178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12.924106307254023</v>
      </c>
      <c r="C16" s="840"/>
      <c r="D16" s="393">
        <f t="shared" si="0"/>
        <v>13.883181176069408</v>
      </c>
      <c r="E16" s="385">
        <f t="shared" si="1"/>
        <v>15.378113519465876</v>
      </c>
      <c r="F16" s="385">
        <f t="shared" si="2"/>
        <v>15.381357014972718</v>
      </c>
      <c r="G16" s="110">
        <f t="shared" ref="G16:G79" si="21">+Wh_hp/MaxiM</f>
        <v>0.7716649023067379</v>
      </c>
      <c r="H16" s="414" t="b">
        <f>Wh_hp&gt;='2026'!Maxi_hp</f>
        <v>0</v>
      </c>
      <c r="I16" s="390">
        <f>IF(H16,Wh_hp,'2026'!Maxi_hp)</f>
        <v>17.983399088358674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6.9081780079954025E-2</v>
      </c>
      <c r="M16" s="844"/>
      <c r="N16" s="844"/>
      <c r="O16" s="48">
        <f>IF(t&lt;Tnet,'2026'!Resal+('2026'!Salim-'2026'!Resal)*(1-EXP(('2026'!Tnet-t)/('2026'!Tau_j))),Resal+(Salim-Resal)*(1-EXP((Tnet-t)/(Tau_j))))*Salcycl</f>
        <v>9.7211686043555109E-2</v>
      </c>
      <c r="P16" s="169">
        <f>(INDEX(Models!$BJ16:$BT16,,T16)*(1-R16)+INDEX(Models!$BJ16:$BT16,,T16+1)*R16-ERP_i)*Q16*Ramure*Pc/MaxiM</f>
        <v>3.1290363953247121E-4</v>
      </c>
      <c r="Q16" s="305">
        <f t="shared" si="4"/>
        <v>0.7</v>
      </c>
      <c r="R16" s="177">
        <f t="shared" si="5"/>
        <v>0.17932374697102937</v>
      </c>
      <c r="S16" s="810">
        <f t="shared" si="6"/>
        <v>-1</v>
      </c>
      <c r="T16" s="176">
        <f t="shared" si="7"/>
        <v>5</v>
      </c>
      <c r="U16" s="251">
        <f t="shared" si="8"/>
        <v>-0.82067625302897063</v>
      </c>
      <c r="V16" s="383">
        <f t="shared" si="9"/>
        <v>16.746630980689158</v>
      </c>
      <c r="W16" s="402">
        <f t="shared" si="10"/>
        <v>12.924106307254023</v>
      </c>
      <c r="X16" s="157">
        <f t="shared" si="11"/>
        <v>46389</v>
      </c>
      <c r="Y16" s="385">
        <f t="shared" si="12"/>
        <v>12.244815034525594</v>
      </c>
      <c r="Z16" s="385">
        <f t="shared" ref="Z16:Z78" si="22">Wh_sa_s*(1-Psa_s)</f>
        <v>13.153480910038766</v>
      </c>
      <c r="AA16" s="386">
        <f t="shared" si="13"/>
        <v>15.34639413817116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0.1428943638739181</v>
      </c>
      <c r="AD16" s="231">
        <f>(INDEX(Models!$BJ16:$BT16,,AH16)*(1-AF16)+INDEX(Models!$BJ16:$BT16,,AH16+1)*AF16-ERP_i)*AE16*Ramure*Pc/MaxiM</f>
        <v>3.3729078325077876E-3</v>
      </c>
      <c r="AE16" s="305">
        <f t="shared" si="15"/>
        <v>0.7</v>
      </c>
      <c r="AF16" s="177">
        <f t="shared" ref="AF16:AF78" si="23">(Hp_vg_s-AG16)/(INDEX(Echel_vg,AH16+1)-AG16)</f>
        <v>0.99931380007021331</v>
      </c>
      <c r="AG16" s="810">
        <f t="shared" ref="AG16:AG79" si="24">INDEX(Echel_vg,AH16)</f>
        <v>1</v>
      </c>
      <c r="AH16" s="176">
        <f t="shared" si="16"/>
        <v>7</v>
      </c>
      <c r="AI16" s="225">
        <f t="shared" si="17"/>
        <v>1.9993138000702133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12.77438494983514</v>
      </c>
      <c r="C17" s="840"/>
      <c r="D17" s="393">
        <f t="shared" si="0"/>
        <v>13.722668610407634</v>
      </c>
      <c r="E17" s="385">
        <f t="shared" si="1"/>
        <v>15.201783887823687</v>
      </c>
      <c r="F17" s="385">
        <f t="shared" si="2"/>
        <v>15.204935079439597</v>
      </c>
      <c r="G17" s="110">
        <f t="shared" si="21"/>
        <v>0.75885945756554507</v>
      </c>
      <c r="H17" s="414" t="b">
        <f>Wh_hp&gt;='2026'!Maxi_hp</f>
        <v>0</v>
      </c>
      <c r="I17" s="390">
        <f>IF(H17,Wh_hp,'2026'!Maxi_hp)</f>
        <v>19.915594108485788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6.9103443906915585E-2</v>
      </c>
      <c r="M17" s="844"/>
      <c r="N17" s="844"/>
      <c r="O17" s="48">
        <f>IF(t&lt;Tnet,'2026'!Resal+('2026'!Salim-'2026'!Resal)*(1-EXP(('2026'!Tnet-t)/('2026'!Tau_j))),Resal+(Salim-Resal)*(1-EXP((Tnet-t)/(Tau_j))))*Salcycl</f>
        <v>9.7298796531424994E-2</v>
      </c>
      <c r="P17" s="169">
        <f>(INDEX(Models!$BJ17:$BT17,,T17)*(1-R17)+INDEX(Models!$BJ17:$BT17,,T17+1)*R17-ERP_i)*Q17*Ramure*Pc/MaxiM</f>
        <v>3.1610429208177678E-4</v>
      </c>
      <c r="Q17" s="305">
        <f t="shared" si="4"/>
        <v>0.7</v>
      </c>
      <c r="R17" s="177">
        <f t="shared" si="5"/>
        <v>0.17934809624742098</v>
      </c>
      <c r="S17" s="810">
        <f t="shared" si="6"/>
        <v>-1</v>
      </c>
      <c r="T17" s="176">
        <f t="shared" si="7"/>
        <v>5</v>
      </c>
      <c r="U17" s="251">
        <f t="shared" si="8"/>
        <v>-0.82065190375257902</v>
      </c>
      <c r="V17" s="383">
        <f t="shared" si="9"/>
        <v>16.831830929185053</v>
      </c>
      <c r="W17" s="402">
        <f t="shared" si="10"/>
        <v>12.77438494983514</v>
      </c>
      <c r="X17" s="157">
        <f t="shared" si="11"/>
        <v>46390</v>
      </c>
      <c r="Y17" s="385">
        <f t="shared" si="12"/>
        <v>12.104407723366572</v>
      </c>
      <c r="Z17" s="385">
        <f t="shared" si="22"/>
        <v>13.002956820646137</v>
      </c>
      <c r="AA17" s="386">
        <f t="shared" si="13"/>
        <v>15.171400844402841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0.142929716642264</v>
      </c>
      <c r="AD17" s="231">
        <f>(INDEX(Models!$BJ17:$BT17,,AH17)*(1-AF17)+INDEX(Models!$BJ17:$BT17,,AH17+1)*AF17-ERP_i)*AE17*Ramure*Pc/MaxiM</f>
        <v>3.3639070290998026E-3</v>
      </c>
      <c r="AE17" s="305">
        <f t="shared" si="15"/>
        <v>0.7</v>
      </c>
      <c r="AF17" s="177">
        <f>(Hp_vg_s-AG17)/(INDEX(Echel_vg,AH17+1)-AG17)</f>
        <v>0.99933814934660492</v>
      </c>
      <c r="AG17" s="810">
        <f>INDEX(Echel_vg,AH17)</f>
        <v>1</v>
      </c>
      <c r="AH17" s="176">
        <f t="shared" si="16"/>
        <v>7</v>
      </c>
      <c r="AI17" s="225">
        <f t="shared" si="17"/>
        <v>1.9993381493466049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13.231496438935855</v>
      </c>
      <c r="C18" s="840"/>
      <c r="D18" s="393">
        <f t="shared" si="0"/>
        <v>14.214043736381255</v>
      </c>
      <c r="E18" s="385">
        <f t="shared" si="1"/>
        <v>15.747643721835372</v>
      </c>
      <c r="F18" s="385">
        <f t="shared" si="2"/>
        <v>15.751109477124711</v>
      </c>
      <c r="G18" s="110">
        <f t="shared" si="21"/>
        <v>0.78172110460609123</v>
      </c>
      <c r="H18" s="414" t="b">
        <f>Wh_hp&gt;='2026'!Maxi_hp</f>
        <v>0</v>
      </c>
      <c r="I18" s="390">
        <f>IF(H18,Wh_hp,'2026'!Maxi_hp)</f>
        <v>20.019430838359703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6.91251072297282E-2</v>
      </c>
      <c r="M18" s="844"/>
      <c r="N18" s="844"/>
      <c r="O18" s="48">
        <f>IF(t&lt;Tnet,'2026'!Resal+('2026'!Salim-'2026'!Resal)*(1-EXP(('2026'!Tnet-t)/('2026'!Tau_j))),Resal+(Salim-Resal)*(1-EXP((Tnet-t)/(Tau_j))))*Salcycl</f>
        <v>9.7385997076353564E-2</v>
      </c>
      <c r="P18" s="169">
        <f>(INDEX(Models!$BJ18:$BT18,,T18)*(1-R18)+INDEX(Models!$BJ18:$BT18,,T18+1)*R18-ERP_i)*Q18*Ramure*Pc/MaxiM</f>
        <v>3.1968250167228727E-4</v>
      </c>
      <c r="Q18" s="305">
        <f t="shared" si="4"/>
        <v>0.7</v>
      </c>
      <c r="R18" s="177">
        <f t="shared" si="5"/>
        <v>0.17937346387245712</v>
      </c>
      <c r="S18" s="810">
        <f t="shared" si="6"/>
        <v>-1</v>
      </c>
      <c r="T18" s="176">
        <f t="shared" si="7"/>
        <v>5</v>
      </c>
      <c r="U18" s="251">
        <f t="shared" si="8"/>
        <v>-0.82062653612754288</v>
      </c>
      <c r="V18" s="383">
        <f t="shared" si="9"/>
        <v>16.924421704318387</v>
      </c>
      <c r="W18" s="402">
        <f t="shared" si="10"/>
        <v>13.231496438935855</v>
      </c>
      <c r="X18" s="157">
        <f t="shared" si="11"/>
        <v>46391</v>
      </c>
      <c r="Y18" s="385">
        <f t="shared" si="12"/>
        <v>12.537085968145552</v>
      </c>
      <c r="Z18" s="385">
        <f>Wh_sa_s*(1-Psa_s)</f>
        <v>13.468067584071738</v>
      </c>
      <c r="AA18" s="386">
        <f t="shared" si="13"/>
        <v>15.714728633700476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0.14296530993292111</v>
      </c>
      <c r="AD18" s="231">
        <f>(INDEX(Models!$BJ18:$BT18,,AH18)*(1-AF18)+INDEX(Models!$BJ18:$BT18,,AH18+1)*AF18-ERP_i)*AE18*Ramure*Pc/MaxiM</f>
        <v>3.355781948767133E-3</v>
      </c>
      <c r="AE18" s="305">
        <f t="shared" si="15"/>
        <v>0.7</v>
      </c>
      <c r="AF18" s="177">
        <f t="shared" si="23"/>
        <v>0.99936351697164105</v>
      </c>
      <c r="AG18" s="810">
        <f t="shared" si="24"/>
        <v>1</v>
      </c>
      <c r="AH18" s="176">
        <f t="shared" si="16"/>
        <v>7</v>
      </c>
      <c r="AI18" s="225">
        <f t="shared" si="17"/>
        <v>1.9993635169716411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11.323936784694713</v>
      </c>
      <c r="C19" s="840"/>
      <c r="D19" s="393">
        <f t="shared" si="0"/>
        <v>12.165115208638797</v>
      </c>
      <c r="E19" s="385">
        <f t="shared" si="1"/>
        <v>13.478952793026842</v>
      </c>
      <c r="F19" s="385">
        <f t="shared" si="2"/>
        <v>13.481228534714251</v>
      </c>
      <c r="G19" s="110">
        <f t="shared" si="21"/>
        <v>0.66503723187967556</v>
      </c>
      <c r="H19" s="414" t="b">
        <f>Wh_hp&gt;='2026'!Maxi_hp</f>
        <v>0</v>
      </c>
      <c r="I19" s="390">
        <f>IF(H19,Wh_hp,'2026'!Maxi_hp)</f>
        <v>19.724952113879578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6.9146770048403638E-2</v>
      </c>
      <c r="M19" s="844"/>
      <c r="N19" s="844"/>
      <c r="O19" s="48">
        <f>IF(t&lt;Tnet,'2026'!Resal+('2026'!Salim-'2026'!Resal)*(1-EXP(('2026'!Tnet-t)/('2026'!Tau_j))),Resal+(Salim-Resal)*(1-EXP((Tnet-t)/(Tau_j))))*Salcycl</f>
        <v>9.74732684773362E-2</v>
      </c>
      <c r="P19" s="169">
        <f>(INDEX(Models!$BJ19:$BT19,,T19)*(1-R19)+INDEX(Models!$BJ19:$BT19,,T19+1)*R19-ERP_i)*Q19*Ramure*Pc/MaxiM</f>
        <v>3.2361739846699009E-4</v>
      </c>
      <c r="Q19" s="305">
        <f t="shared" si="4"/>
        <v>0.7</v>
      </c>
      <c r="R19" s="177">
        <f t="shared" si="5"/>
        <v>0.17939989229850639</v>
      </c>
      <c r="S19" s="810">
        <f t="shared" si="6"/>
        <v>-1</v>
      </c>
      <c r="T19" s="176">
        <f t="shared" si="7"/>
        <v>5</v>
      </c>
      <c r="U19" s="251">
        <f t="shared" si="8"/>
        <v>-0.82060010770149361</v>
      </c>
      <c r="V19" s="383">
        <f t="shared" si="9"/>
        <v>17.024886572048821</v>
      </c>
      <c r="W19" s="402">
        <f t="shared" si="10"/>
        <v>11.323936784694713</v>
      </c>
      <c r="X19" s="157">
        <f t="shared" si="11"/>
        <v>46392</v>
      </c>
      <c r="Y19" s="385">
        <f t="shared" si="12"/>
        <v>10.735733486791139</v>
      </c>
      <c r="Z19" s="385">
        <f t="shared" si="22"/>
        <v>11.533218279050702</v>
      </c>
      <c r="AA19" s="386">
        <f t="shared" si="13"/>
        <v>13.457681777095166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0.14300111489631756</v>
      </c>
      <c r="AD19" s="231">
        <f>(INDEX(Models!$BJ19:$BT19,,AH19)*(1-AF19)+INDEX(Models!$BJ19:$BT19,,AH19+1)*AF19-ERP_i)*AE19*Ramure*Pc/MaxiM</f>
        <v>3.3484206424574622E-3</v>
      </c>
      <c r="AE19" s="305">
        <f t="shared" si="15"/>
        <v>0.7</v>
      </c>
      <c r="AF19" s="177">
        <f t="shared" si="23"/>
        <v>0.99938994539769044</v>
      </c>
      <c r="AG19" s="810">
        <f t="shared" si="24"/>
        <v>1</v>
      </c>
      <c r="AH19" s="176">
        <f t="shared" si="16"/>
        <v>7</v>
      </c>
      <c r="AI19" s="225">
        <f t="shared" si="17"/>
        <v>1.9993899453976904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14.547755325230909</v>
      </c>
      <c r="C20" s="840"/>
      <c r="D20" s="393">
        <f t="shared" si="0"/>
        <v>15.628773057365228</v>
      </c>
      <c r="E20" s="385">
        <f t="shared" si="1"/>
        <v>17.318362827233926</v>
      </c>
      <c r="F20" s="385">
        <f t="shared" si="2"/>
        <v>17.32281810155466</v>
      </c>
      <c r="G20" s="110">
        <f t="shared" si="21"/>
        <v>0.84901214320263552</v>
      </c>
      <c r="H20" s="414" t="b">
        <f>Wh_hp&gt;='2026'!Maxi_hp</f>
        <v>0</v>
      </c>
      <c r="I20" s="390">
        <f>IF(H20,Wh_hp,'2026'!Maxi_hp)</f>
        <v>19.527156693189088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6.9168432362953669E-2</v>
      </c>
      <c r="M20" s="844"/>
      <c r="N20" s="844"/>
      <c r="O20" s="48">
        <f>IF(t&lt;Tnet,'2026'!Resal+('2026'!Salim-'2026'!Resal)*(1-EXP(('2026'!Tnet-t)/('2026'!Tau_j))),Resal+(Salim-Resal)*(1-EXP((Tnet-t)/(Tau_j))))*Salcycl</f>
        <v>9.7560594308125942E-2</v>
      </c>
      <c r="P20" s="169">
        <f>(INDEX(Models!$BJ20:$BT20,,T20)*(1-R20)+INDEX(Models!$BJ20:$BT20,,T20+1)*R20-ERP_i)*Q20*Ramure*Pc/MaxiM</f>
        <v>3.2788722864416134E-4</v>
      </c>
      <c r="Q20" s="305">
        <f t="shared" si="4"/>
        <v>0.7</v>
      </c>
      <c r="R20" s="177">
        <f t="shared" si="5"/>
        <v>0.17942742573590698</v>
      </c>
      <c r="S20" s="810">
        <f t="shared" si="6"/>
        <v>-1</v>
      </c>
      <c r="T20" s="176">
        <f t="shared" si="7"/>
        <v>5</v>
      </c>
      <c r="U20" s="251">
        <f t="shared" si="8"/>
        <v>-0.82057257426409302</v>
      </c>
      <c r="V20" s="383">
        <f t="shared" si="9"/>
        <v>17.133708518613368</v>
      </c>
      <c r="W20" s="402">
        <f t="shared" si="10"/>
        <v>14.547755325230909</v>
      </c>
      <c r="X20" s="157">
        <f t="shared" si="11"/>
        <v>46393</v>
      </c>
      <c r="Y20" s="385">
        <f t="shared" si="12"/>
        <v>13.781985769305699</v>
      </c>
      <c r="Z20" s="385">
        <f t="shared" si="22"/>
        <v>14.806100532550511</v>
      </c>
      <c r="AA20" s="386">
        <f t="shared" si="13"/>
        <v>17.277411484804439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0.14303710682745824</v>
      </c>
      <c r="AD20" s="231">
        <f>(INDEX(Models!$BJ20:$BT20,,AH20)*(1-AF20)+INDEX(Models!$BJ20:$BT20,,AH20+1)*AF20-ERP_i)*AE20*Ramure*Pc/MaxiM</f>
        <v>3.3417133618573324E-3</v>
      </c>
      <c r="AE20" s="305">
        <f t="shared" si="15"/>
        <v>0.7</v>
      </c>
      <c r="AF20" s="177">
        <f t="shared" si="23"/>
        <v>0.99941747883509091</v>
      </c>
      <c r="AG20" s="810">
        <f t="shared" si="24"/>
        <v>1</v>
      </c>
      <c r="AH20" s="176">
        <f t="shared" si="16"/>
        <v>7</v>
      </c>
      <c r="AI20" s="225">
        <f t="shared" si="17"/>
        <v>1.9994174788350909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9.0361234449509311</v>
      </c>
      <c r="C21" s="840"/>
      <c r="D21" s="393">
        <f t="shared" si="0"/>
        <v>9.7078075645599853</v>
      </c>
      <c r="E21" s="385">
        <f t="shared" si="1"/>
        <v>10.758337259716383</v>
      </c>
      <c r="F21" s="385">
        <f t="shared" si="2"/>
        <v>10.759480898221499</v>
      </c>
      <c r="G21" s="110">
        <f t="shared" si="21"/>
        <v>0.52367315308368001</v>
      </c>
      <c r="H21" s="414" t="b">
        <f>Wh_hp&gt;='2026'!Maxi_hp</f>
        <v>0</v>
      </c>
      <c r="I21" s="390">
        <f>IF(H21,Wh_hp,'2026'!Maxi_hp)</f>
        <v>12.454416389518343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6.919009417339006E-2</v>
      </c>
      <c r="M21" s="844"/>
      <c r="N21" s="844"/>
      <c r="O21" s="48">
        <f>IF(t&lt;Tnet,'2026'!Resal+('2026'!Salim-'2026'!Resal)*(1-EXP(('2026'!Tnet-t)/('2026'!Tau_j))),Resal+(Salim-Resal)*(1-EXP((Tnet-t)/(Tau_j))))*Salcycl</f>
        <v>9.7647960813611157E-2</v>
      </c>
      <c r="P21" s="169">
        <f>(INDEX(Models!$BJ21:$BT21,,T21)*(1-R21)+INDEX(Models!$BJ21:$BT21,,T21+1)*R21-ERP_i)*Q21*Ramure*Pc/MaxiM</f>
        <v>3.3246936917156756E-4</v>
      </c>
      <c r="Q21" s="305">
        <f t="shared" si="4"/>
        <v>0.7</v>
      </c>
      <c r="R21" s="177">
        <f t="shared" si="5"/>
        <v>0.1794561102247576</v>
      </c>
      <c r="S21" s="810">
        <f t="shared" si="6"/>
        <v>-1</v>
      </c>
      <c r="T21" s="176">
        <f t="shared" si="7"/>
        <v>5</v>
      </c>
      <c r="U21" s="251">
        <f t="shared" si="8"/>
        <v>-0.8205438897752424</v>
      </c>
      <c r="V21" s="383">
        <f t="shared" si="9"/>
        <v>17.251370250599415</v>
      </c>
      <c r="W21" s="402">
        <f t="shared" si="10"/>
        <v>9.0361234449509311</v>
      </c>
      <c r="X21" s="157">
        <f t="shared" si="11"/>
        <v>46394</v>
      </c>
      <c r="Y21" s="385">
        <f t="shared" si="12"/>
        <v>8.5729962944558018</v>
      </c>
      <c r="Z21" s="385">
        <f t="shared" si="22"/>
        <v>9.2102546833582668</v>
      </c>
      <c r="AA21" s="386">
        <f t="shared" si="13"/>
        <v>10.748007159985933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0.14307326500047471</v>
      </c>
      <c r="AD21" s="231">
        <f>(INDEX(Models!$BJ21:$BT21,,AH21)*(1-AF21)+INDEX(Models!$BJ21:$BT21,,AH21+1)*AF21-ERP_i)*AE21*Ramure*Pc/MaxiM</f>
        <v>3.3355527084418159E-3</v>
      </c>
      <c r="AE21" s="305">
        <f t="shared" si="15"/>
        <v>0.7</v>
      </c>
      <c r="AF21" s="177">
        <f t="shared" si="23"/>
        <v>0.99944616332394154</v>
      </c>
      <c r="AG21" s="810">
        <f t="shared" si="24"/>
        <v>1</v>
      </c>
      <c r="AH21" s="176">
        <f t="shared" si="16"/>
        <v>7</v>
      </c>
      <c r="AI21" s="225">
        <f t="shared" si="17"/>
        <v>1.9994461633239415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6.5698885508854783</v>
      </c>
      <c r="C22" s="840"/>
      <c r="D22" s="393">
        <f t="shared" si="0"/>
        <v>7.058413757977327</v>
      </c>
      <c r="E22" s="385">
        <f t="shared" si="1"/>
        <v>7.8229971783369141</v>
      </c>
      <c r="F22" s="385">
        <f t="shared" si="2"/>
        <v>7.8232914397000339</v>
      </c>
      <c r="G22" s="110">
        <f t="shared" si="21"/>
        <v>0.3779367845265717</v>
      </c>
      <c r="H22" s="414" t="b">
        <f>Wh_hp&gt;='2026'!Maxi_hp</f>
        <v>0</v>
      </c>
      <c r="I22" s="390">
        <f>IF(H22,Wh_hp,'2026'!Maxi_hp)</f>
        <v>15.458337172992977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6.9211755479724357E-2</v>
      </c>
      <c r="M22" s="844"/>
      <c r="N22" s="844"/>
      <c r="O22" s="48">
        <f>IF(t&lt;Tnet,'2026'!Resal+('2026'!Salim-'2026'!Resal)*(1-EXP(('2026'!Tnet-t)/('2026'!Tau_j))),Resal+(Salim-Resal)*(1-EXP((Tnet-t)/(Tau_j))))*Salcycl</f>
        <v>9.7735356785866756E-2</v>
      </c>
      <c r="P22" s="169">
        <f>(INDEX(Models!$BJ22:$BT22,,T22)*(1-R22)+INDEX(Models!$BJ22:$BT22,,T22+1)*R22-ERP_i)*Q22*Ramure*Pc/MaxiM</f>
        <v>3.3734036171530034E-4</v>
      </c>
      <c r="Q22" s="305">
        <f t="shared" si="4"/>
        <v>0.7</v>
      </c>
      <c r="R22" s="177">
        <f t="shared" si="5"/>
        <v>0.17948599370955531</v>
      </c>
      <c r="S22" s="810">
        <f t="shared" si="6"/>
        <v>-1</v>
      </c>
      <c r="T22" s="176">
        <f t="shared" si="7"/>
        <v>5</v>
      </c>
      <c r="U22" s="251">
        <f t="shared" si="8"/>
        <v>-0.82051400629044469</v>
      </c>
      <c r="V22" s="383">
        <f t="shared" si="9"/>
        <v>17.378354194756501</v>
      </c>
      <c r="W22" s="402">
        <f t="shared" si="10"/>
        <v>6.5698885508854783</v>
      </c>
      <c r="X22" s="157">
        <f t="shared" si="11"/>
        <v>46395</v>
      </c>
      <c r="Y22" s="385">
        <f t="shared" si="12"/>
        <v>6.2374117884137688</v>
      </c>
      <c r="Z22" s="385">
        <f t="shared" si="22"/>
        <v>6.7012146158211365</v>
      </c>
      <c r="AA22" s="386">
        <f t="shared" si="13"/>
        <v>7.8203868319193157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0.1431095724741159</v>
      </c>
      <c r="AD22" s="231">
        <f>(INDEX(Models!$BJ22:$BT22,,AH22)*(1-AF22)+INDEX(Models!$BJ22:$BT22,,AH22+1)*AF22-ERP_i)*AE22*Ramure*Pc/MaxiM</f>
        <v>3.3298338218841505E-3</v>
      </c>
      <c r="AE22" s="305">
        <f t="shared" si="15"/>
        <v>0.7</v>
      </c>
      <c r="AF22" s="177">
        <f t="shared" si="23"/>
        <v>0.99947604680873914</v>
      </c>
      <c r="AG22" s="810">
        <f t="shared" si="24"/>
        <v>1</v>
      </c>
      <c r="AH22" s="176">
        <f t="shared" si="16"/>
        <v>7</v>
      </c>
      <c r="AI22" s="225">
        <f t="shared" si="17"/>
        <v>1.9994760468087391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1.9782106038241538</v>
      </c>
      <c r="C23" s="840"/>
      <c r="D23" s="393">
        <f t="shared" si="0"/>
        <v>2.1253562798978152</v>
      </c>
      <c r="E23" s="385">
        <f t="shared" si="1"/>
        <v>2.3558079469139699</v>
      </c>
      <c r="F23" s="385">
        <f t="shared" si="2"/>
        <v>2.3558079469139699</v>
      </c>
      <c r="G23" s="110">
        <f t="shared" si="21"/>
        <v>0.11290700728480206</v>
      </c>
      <c r="H23" s="414" t="b">
        <f>Wh_hp&gt;='2026'!Maxi_hp</f>
        <v>0</v>
      </c>
      <c r="I23" s="390">
        <f>IF(H23,Wh_hp,'2026'!Maxi_hp)</f>
        <v>19.717901161584987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6.9233416281968441E-2</v>
      </c>
      <c r="M23" s="844"/>
      <c r="N23" s="844"/>
      <c r="O23" s="48">
        <f>IF(t&lt;Tnet,'2026'!Resal+('2026'!Salim-'2026'!Resal)*(1-EXP(('2026'!Tnet-t)/('2026'!Tau_j))),Resal+(Salim-Resal)*(1-EXP((Tnet-t)/(Tau_j))))*Salcycl</f>
        <v>9.7822773421763431E-2</v>
      </c>
      <c r="P23" s="169">
        <f>(INDEX(Models!$BJ23:$BT23,,T23)*(1-R23)+INDEX(Models!$BJ23:$BT23,,T23+1)*R23-ERP_i)*Q23*Ramure*Pc/MaxiM</f>
        <v>3.4248448706048374E-4</v>
      </c>
      <c r="Q23" s="305">
        <f t="shared" si="4"/>
        <v>0.7</v>
      </c>
      <c r="R23" s="177">
        <f t="shared" si="5"/>
        <v>0.17951712611678339</v>
      </c>
      <c r="S23" s="810">
        <f t="shared" si="6"/>
        <v>-1</v>
      </c>
      <c r="T23" s="176">
        <f t="shared" si="7"/>
        <v>5</v>
      </c>
      <c r="U23" s="251">
        <f t="shared" si="8"/>
        <v>-0.82048287388321661</v>
      </c>
      <c r="V23" s="383">
        <f t="shared" si="9"/>
        <v>17.514706526513283</v>
      </c>
      <c r="W23" s="402">
        <f t="shared" si="10"/>
        <v>1.9782106038241538</v>
      </c>
      <c r="X23" s="157">
        <f t="shared" si="11"/>
        <v>46396</v>
      </c>
      <c r="Y23" s="385">
        <f t="shared" si="12"/>
        <v>1.8788299985821511</v>
      </c>
      <c r="Z23" s="385">
        <f t="shared" si="22"/>
        <v>2.0185834251558474</v>
      </c>
      <c r="AA23" s="386">
        <f t="shared" si="13"/>
        <v>2.3558079469139699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0.14314601587106257</v>
      </c>
      <c r="AD23" s="231">
        <f>(INDEX(Models!$BJ23:$BT23,,AH23)*(1-AF23)+INDEX(Models!$BJ23:$BT23,,AH23+1)*AF23-ERP_i)*AE23*Ramure*Pc/MaxiM</f>
        <v>3.3245373246989689E-3</v>
      </c>
      <c r="AE23" s="305">
        <f t="shared" si="15"/>
        <v>0.7</v>
      </c>
      <c r="AF23" s="177">
        <f t="shared" si="23"/>
        <v>0.99950717921596732</v>
      </c>
      <c r="AG23" s="810">
        <f t="shared" si="24"/>
        <v>1</v>
      </c>
      <c r="AH23" s="176">
        <f t="shared" si="16"/>
        <v>7</v>
      </c>
      <c r="AI23" s="225">
        <f t="shared" si="17"/>
        <v>1.9995071792159673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1.58101004258638</v>
      </c>
      <c r="C24" s="840"/>
      <c r="D24" s="393">
        <f t="shared" si="0"/>
        <v>1.6986501916950825</v>
      </c>
      <c r="E24" s="385">
        <f t="shared" si="1"/>
        <v>1.8830167457122875</v>
      </c>
      <c r="F24" s="385">
        <f t="shared" si="2"/>
        <v>1.8830167457122875</v>
      </c>
      <c r="G24" s="110">
        <f t="shared" si="21"/>
        <v>8.9494350922589505E-2</v>
      </c>
      <c r="H24" s="414" t="b">
        <f>Wh_hp&gt;='2026'!Maxi_hp</f>
        <v>0</v>
      </c>
      <c r="I24" s="390">
        <f>IF(H24,Wh_hp,'2026'!Maxi_hp)</f>
        <v>10.382626561505731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6.9255076580134078E-2</v>
      </c>
      <c r="M24" s="844"/>
      <c r="N24" s="844"/>
      <c r="O24" s="48">
        <f>IF(t&lt;Tnet,'2026'!Resal+('2026'!Salim-'2026'!Resal)*(1-EXP(('2026'!Tnet-t)/('2026'!Tau_j))),Resal+(Salim-Resal)*(1-EXP((Tnet-t)/(Tau_j))))*Salcycl</f>
        <v>9.791020416415086E-2</v>
      </c>
      <c r="P24" s="169">
        <f>(INDEX(Models!$BJ24:$BT24,,T24)*(1-R24)+INDEX(Models!$BJ24:$BT24,,T24+1)*R24-ERP_i)*Q24*Ramure*Pc/MaxiM</f>
        <v>3.48194274686239E-4</v>
      </c>
      <c r="Q24" s="305">
        <f t="shared" si="4"/>
        <v>0.7</v>
      </c>
      <c r="R24" s="177">
        <f t="shared" si="5"/>
        <v>0.17954955943555906</v>
      </c>
      <c r="S24" s="810">
        <f t="shared" si="6"/>
        <v>-1</v>
      </c>
      <c r="T24" s="176">
        <f t="shared" si="7"/>
        <v>5</v>
      </c>
      <c r="U24" s="251">
        <f t="shared" si="8"/>
        <v>-0.82045044056444094</v>
      </c>
      <c r="V24" s="383">
        <f t="shared" si="9"/>
        <v>17.659880513669407</v>
      </c>
      <c r="W24" s="402">
        <f t="shared" si="10"/>
        <v>1.58101004258638</v>
      </c>
      <c r="X24" s="157">
        <f t="shared" si="11"/>
        <v>46397</v>
      </c>
      <c r="Y24" s="385">
        <f t="shared" si="12"/>
        <v>1.5016652929885779</v>
      </c>
      <c r="Z24" s="385">
        <f t="shared" si="22"/>
        <v>1.6134015402103521</v>
      </c>
      <c r="AA24" s="386">
        <f t="shared" si="13"/>
        <v>1.8830167457122875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0.14318258513412652</v>
      </c>
      <c r="AD24" s="231">
        <f>(INDEX(Models!$BJ24:$BT24,,AH24)*(1-AF24)+INDEX(Models!$BJ24:$BT24,,AH24+1)*AF24-ERP_i)*AE24*Ramure*Pc/MaxiM</f>
        <v>3.3215118989584859E-3</v>
      </c>
      <c r="AE24" s="305">
        <f t="shared" si="15"/>
        <v>0.7</v>
      </c>
      <c r="AF24" s="177">
        <f t="shared" si="23"/>
        <v>0.99953961253474288</v>
      </c>
      <c r="AG24" s="810">
        <f t="shared" si="24"/>
        <v>1</v>
      </c>
      <c r="AH24" s="176">
        <f t="shared" si="16"/>
        <v>7</v>
      </c>
      <c r="AI24" s="225">
        <f t="shared" si="17"/>
        <v>1.9995396125347429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18.406912909301621</v>
      </c>
      <c r="C25" s="840"/>
      <c r="D25" s="393">
        <f t="shared" si="0"/>
        <v>19.776998844527455</v>
      </c>
      <c r="E25" s="385">
        <f t="shared" si="1"/>
        <v>21.925662083437512</v>
      </c>
      <c r="F25" s="385">
        <f t="shared" si="2"/>
        <v>21.933429825000896</v>
      </c>
      <c r="G25" s="110">
        <f t="shared" si="21"/>
        <v>1.033313558019227</v>
      </c>
      <c r="H25" s="414" t="b">
        <f>Wh_hp&gt;='2026'!Maxi_hp</f>
        <v>1</v>
      </c>
      <c r="I25" s="390">
        <f>IF(H25,Wh_hp,'2026'!Maxi_hp)</f>
        <v>21.933429825000896</v>
      </c>
      <c r="J25" s="85">
        <f>IF(H25,An,'2026'!An_max)</f>
        <v>2027</v>
      </c>
      <c r="K25" s="197">
        <f t="shared" si="3"/>
        <v>46398</v>
      </c>
      <c r="L25" s="147">
        <f>IF(t&lt;Tvie,1-EXP((T0-t)*PertePVj)+'2026'!Pspv,1-EXP((T0-t)*PertePVj)+Pspv)</f>
        <v>6.9276736374232817E-2</v>
      </c>
      <c r="M25" s="844"/>
      <c r="N25" s="844"/>
      <c r="O25" s="48">
        <f>IF(t&lt;Tnet,'2026'!Resal+('2026'!Salim-'2026'!Resal)*(1-EXP(('2026'!Tnet-t)/('2026'!Tau_j))),Resal+(Salim-Resal)*(1-EXP((Tnet-t)/(Tau_j))))*Salcycl</f>
        <v>9.7997644528743363E-2</v>
      </c>
      <c r="P25" s="169">
        <f>(INDEX(Models!$BJ25:$BT25,,T25)*(1-R25)+INDEX(Models!$BJ25:$BT25,,T25+1)*R25-ERP_i)*Q25*Ramure*Pc/MaxiM</f>
        <v>3.5415079289278253E-4</v>
      </c>
      <c r="Q25" s="305">
        <f t="shared" si="4"/>
        <v>0.7</v>
      </c>
      <c r="R25" s="177">
        <f t="shared" si="5"/>
        <v>0.1795833478014518</v>
      </c>
      <c r="S25" s="810">
        <f t="shared" si="6"/>
        <v>-1</v>
      </c>
      <c r="T25" s="176">
        <f t="shared" si="7"/>
        <v>5</v>
      </c>
      <c r="U25" s="251">
        <f t="shared" si="8"/>
        <v>-0.8204166521985482</v>
      </c>
      <c r="V25" s="383">
        <f t="shared" si="9"/>
        <v>17.813482428882566</v>
      </c>
      <c r="W25" s="402">
        <f t="shared" si="10"/>
        <v>18.406912909301621</v>
      </c>
      <c r="X25" s="157">
        <f t="shared" si="11"/>
        <v>46398</v>
      </c>
      <c r="Y25" s="385">
        <f t="shared" si="12"/>
        <v>17.432223167267772</v>
      </c>
      <c r="Z25" s="385">
        <f t="shared" si="22"/>
        <v>18.729759799231861</v>
      </c>
      <c r="AA25" s="386">
        <f t="shared" si="13"/>
        <v>21.860622227758395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0.14321927326254225</v>
      </c>
      <c r="AD25" s="231">
        <f>(INDEX(Models!$BJ25:$BT25,,AH25)*(1-AF25)+INDEX(Models!$BJ25:$BT25,,AH25+1)*AF25-ERP_i)*AE25*Ramure*Pc/MaxiM</f>
        <v>3.3194807115626487E-3</v>
      </c>
      <c r="AE25" s="305">
        <f t="shared" si="15"/>
        <v>0.7</v>
      </c>
      <c r="AF25" s="177">
        <f t="shared" si="23"/>
        <v>0.99957340090063584</v>
      </c>
      <c r="AG25" s="810">
        <f t="shared" si="24"/>
        <v>1</v>
      </c>
      <c r="AH25" s="176">
        <f t="shared" si="16"/>
        <v>7</v>
      </c>
      <c r="AI25" s="225">
        <f t="shared" si="17"/>
        <v>1.9995734009006358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15.619052319148926</v>
      </c>
      <c r="C26" s="840"/>
      <c r="D26" s="393">
        <f t="shared" si="0"/>
        <v>16.782019335076605</v>
      </c>
      <c r="E26" s="385">
        <f t="shared" si="1"/>
        <v>18.607098280238212</v>
      </c>
      <c r="F26" s="385">
        <f t="shared" si="2"/>
        <v>18.612549381848801</v>
      </c>
      <c r="G26" s="110">
        <f t="shared" si="21"/>
        <v>0.86886785514866183</v>
      </c>
      <c r="H26" s="414" t="b">
        <f>Wh_hp&gt;='2026'!Maxi_hp</f>
        <v>0</v>
      </c>
      <c r="I26" s="390">
        <f>IF(H26,Wh_hp,'2026'!Maxi_hp)</f>
        <v>20.947040284507079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6.9298395664276646E-2</v>
      </c>
      <c r="M26" s="844"/>
      <c r="N26" s="844"/>
      <c r="O26" s="48">
        <f>IF(t&lt;Tnet,'2026'!Resal+('2026'!Salim-'2026'!Resal)*(1-EXP(('2026'!Tnet-t)/('2026'!Tau_j))),Resal+(Salim-Resal)*(1-EXP((Tnet-t)/(Tau_j))))*Salcycl</f>
        <v>9.8085091918923478E-2</v>
      </c>
      <c r="P26" s="169">
        <f>(INDEX(Models!$BJ26:$BT26,,T26)*(1-R26)+INDEX(Models!$BJ26:$BT26,,T26+1)*R26-ERP_i)*Q26*Ramure*Pc/MaxiM</f>
        <v>3.6034648450704001E-4</v>
      </c>
      <c r="Q26" s="305">
        <f t="shared" si="4"/>
        <v>0.7</v>
      </c>
      <c r="R26" s="177">
        <f t="shared" si="5"/>
        <v>0.17961854758358875</v>
      </c>
      <c r="S26" s="810">
        <f t="shared" si="6"/>
        <v>-1</v>
      </c>
      <c r="T26" s="176">
        <f t="shared" si="7"/>
        <v>5</v>
      </c>
      <c r="U26" s="251">
        <f t="shared" si="8"/>
        <v>-0.82038145241641125</v>
      </c>
      <c r="V26" s="383">
        <f t="shared" si="9"/>
        <v>17.975113288250533</v>
      </c>
      <c r="W26" s="402">
        <f t="shared" si="10"/>
        <v>15.619052319148926</v>
      </c>
      <c r="X26" s="157">
        <f t="shared" si="11"/>
        <v>46399</v>
      </c>
      <c r="Y26" s="385">
        <f t="shared" si="12"/>
        <v>14.801115159831443</v>
      </c>
      <c r="Z26" s="385">
        <f t="shared" si="22"/>
        <v>15.903180021265307</v>
      </c>
      <c r="AA26" s="386">
        <f t="shared" si="13"/>
        <v>18.562349351255129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0.1432560760316699</v>
      </c>
      <c r="AD26" s="231">
        <f>(INDEX(Models!$BJ26:$BT26,,AH26)*(1-AF26)+INDEX(Models!$BJ26:$BT26,,AH26+1)*AF26-ERP_i)*AE26*Ramure*Pc/MaxiM</f>
        <v>3.3184860306821411E-3</v>
      </c>
      <c r="AE26" s="305">
        <f t="shared" si="15"/>
        <v>0.7</v>
      </c>
      <c r="AF26" s="177">
        <f t="shared" si="23"/>
        <v>0.99960860068277269</v>
      </c>
      <c r="AG26" s="810">
        <f t="shared" si="24"/>
        <v>1</v>
      </c>
      <c r="AH26" s="176">
        <f t="shared" si="16"/>
        <v>7</v>
      </c>
      <c r="AI26" s="225">
        <f t="shared" si="17"/>
        <v>1.9996086006827727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5.1127357324719087</v>
      </c>
      <c r="C27" s="840"/>
      <c r="D27" s="393">
        <f t="shared" si="0"/>
        <v>5.4935488369763661</v>
      </c>
      <c r="E27" s="385">
        <f t="shared" si="1"/>
        <v>6.0915741798970711</v>
      </c>
      <c r="F27" s="385">
        <f t="shared" si="2"/>
        <v>6.0915741798970711</v>
      </c>
      <c r="G27" s="110">
        <f t="shared" si="21"/>
        <v>0.28167741909308475</v>
      </c>
      <c r="H27" s="414" t="b">
        <f>Wh_hp&gt;='2026'!Maxi_hp</f>
        <v>0</v>
      </c>
      <c r="I27" s="390">
        <f>IF(H27,Wh_hp,'2026'!Maxi_hp)</f>
        <v>14.546314827403963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6.9320054450277002E-2</v>
      </c>
      <c r="M27" s="844"/>
      <c r="N27" s="844"/>
      <c r="O27" s="48">
        <f>IF(t&lt;Tnet,'2026'!Resal+('2026'!Salim-'2026'!Resal)*(1-EXP(('2026'!Tnet-t)/('2026'!Tau_j))),Resal+(Salim-Resal)*(1-EXP((Tnet-t)/(Tau_j))))*Salcycl</f>
        <v>9.8172545430746078E-2</v>
      </c>
      <c r="P27" s="169">
        <f>(INDEX(Models!$BJ27:$BT27,,T27)*(1-R27)+INDEX(Models!$BJ27:$BT27,,T27+1)*R27-ERP_i)*Q27*Ramure*Pc/MaxiM</f>
        <v>3.6677389200300584E-4</v>
      </c>
      <c r="Q27" s="305">
        <f t="shared" si="4"/>
        <v>0.7</v>
      </c>
      <c r="R27" s="177">
        <f t="shared" si="5"/>
        <v>0.179655217475164</v>
      </c>
      <c r="S27" s="810">
        <f t="shared" si="6"/>
        <v>-1</v>
      </c>
      <c r="T27" s="176">
        <f t="shared" si="7"/>
        <v>5</v>
      </c>
      <c r="U27" s="251">
        <f t="shared" si="8"/>
        <v>-0.820344782524836</v>
      </c>
      <c r="V27" s="383">
        <f t="shared" si="9"/>
        <v>18.144374266648484</v>
      </c>
      <c r="W27" s="402">
        <f t="shared" si="10"/>
        <v>5.1127357324719087</v>
      </c>
      <c r="X27" s="157">
        <f t="shared" si="11"/>
        <v>46400</v>
      </c>
      <c r="Y27" s="385">
        <f t="shared" si="12"/>
        <v>4.8569341190539959</v>
      </c>
      <c r="Z27" s="385">
        <f t="shared" si="22"/>
        <v>5.2186942915001353</v>
      </c>
      <c r="AA27" s="386">
        <f t="shared" si="13"/>
        <v>6.0915741798970711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0.14329299169950929</v>
      </c>
      <c r="AD27" s="231">
        <f>(INDEX(Models!$BJ27:$BT27,,AH27)*(1-AF27)+INDEX(Models!$BJ27:$BT27,,AH27+1)*AF27-ERP_i)*AE27*Ramure*Pc/MaxiM</f>
        <v>3.3185658339551925E-3</v>
      </c>
      <c r="AE27" s="305">
        <f t="shared" si="15"/>
        <v>0.7</v>
      </c>
      <c r="AF27" s="177">
        <f t="shared" si="23"/>
        <v>0.99964527057434793</v>
      </c>
      <c r="AG27" s="810">
        <f t="shared" si="24"/>
        <v>1</v>
      </c>
      <c r="AH27" s="176">
        <f t="shared" si="16"/>
        <v>7</v>
      </c>
      <c r="AI27" s="225">
        <f t="shared" si="17"/>
        <v>1.9996452705743479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18.813570257092561</v>
      </c>
      <c r="C28" s="840"/>
      <c r="D28" s="393">
        <f t="shared" si="0"/>
        <v>20.215336299562573</v>
      </c>
      <c r="E28" s="385">
        <f t="shared" si="1"/>
        <v>22.418143174568701</v>
      </c>
      <c r="F28" s="385">
        <f t="shared" si="2"/>
        <v>22.426517813211685</v>
      </c>
      <c r="G28" s="110">
        <f t="shared" si="21"/>
        <v>1.026893026787036</v>
      </c>
      <c r="H28" s="414" t="b">
        <f>Wh_hp&gt;='2026'!Maxi_hp</f>
        <v>1</v>
      </c>
      <c r="I28" s="390">
        <f>IF(H28,Wh_hp,'2026'!Maxi_hp)</f>
        <v>22.426517813211685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6.9341712732245875E-2</v>
      </c>
      <c r="M28" s="844"/>
      <c r="N28" s="844"/>
      <c r="O28" s="48">
        <f>IF(t&lt;Tnet,'2026'!Resal+('2026'!Salim-'2026'!Resal)*(1-EXP(('2026'!Tnet-t)/('2026'!Tau_j))),Resal+(Salim-Resal)*(1-EXP((Tnet-t)/(Tau_j))))*Salcycl</f>
        <v>9.8260005650468274E-2</v>
      </c>
      <c r="P28" s="169">
        <f>(INDEX(Models!$BJ28:$BT28,,T28)*(1-R28)+INDEX(Models!$BJ28:$BT28,,T28+1)*R28-ERP_i)*Q28*Ramure*Pc/MaxiM</f>
        <v>3.7342572363369478E-4</v>
      </c>
      <c r="Q28" s="305">
        <f t="shared" si="4"/>
        <v>0.7</v>
      </c>
      <c r="R28" s="177">
        <f t="shared" si="5"/>
        <v>0.17969341858747556</v>
      </c>
      <c r="S28" s="810">
        <f t="shared" si="6"/>
        <v>-1</v>
      </c>
      <c r="T28" s="176">
        <f t="shared" si="7"/>
        <v>5</v>
      </c>
      <c r="U28" s="251">
        <f t="shared" si="8"/>
        <v>-0.82030658141252444</v>
      </c>
      <c r="V28" s="383">
        <f t="shared" si="9"/>
        <v>18.320866698215735</v>
      </c>
      <c r="W28" s="402">
        <f t="shared" si="10"/>
        <v>18.813570257092561</v>
      </c>
      <c r="X28" s="157">
        <f t="shared" si="11"/>
        <v>46401</v>
      </c>
      <c r="Y28" s="385">
        <f t="shared" si="12"/>
        <v>17.820565984186764</v>
      </c>
      <c r="Z28" s="385">
        <f t="shared" si="22"/>
        <v>19.148345024149251</v>
      </c>
      <c r="AA28" s="386">
        <f t="shared" si="13"/>
        <v>22.352067291856311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0.14333002070346734</v>
      </c>
      <c r="AD28" s="231">
        <f>(INDEX(Models!$BJ28:$BT28,,AH28)*(1-AF28)+INDEX(Models!$BJ28:$BT28,,AH28+1)*AF28-ERP_i)*AE28*Ramure*Pc/MaxiM</f>
        <v>3.3197539616031785E-3</v>
      </c>
      <c r="AE28" s="305">
        <f t="shared" si="15"/>
        <v>0.7</v>
      </c>
      <c r="AF28" s="177">
        <f t="shared" si="23"/>
        <v>0.99968347168665961</v>
      </c>
      <c r="AG28" s="810">
        <f t="shared" si="24"/>
        <v>1</v>
      </c>
      <c r="AH28" s="176">
        <f t="shared" si="16"/>
        <v>7</v>
      </c>
      <c r="AI28" s="225">
        <f t="shared" si="17"/>
        <v>1.9996834716866596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18.769533326866433</v>
      </c>
      <c r="C29" s="840"/>
      <c r="D29" s="393">
        <f t="shared" si="0"/>
        <v>20.168487605260381</v>
      </c>
      <c r="E29" s="385">
        <f t="shared" si="1"/>
        <v>22.368359244476725</v>
      </c>
      <c r="F29" s="385">
        <f t="shared" si="2"/>
        <v>22.376869053911307</v>
      </c>
      <c r="G29" s="110">
        <f t="shared" si="21"/>
        <v>1.014339520461492</v>
      </c>
      <c r="H29" s="414" t="b">
        <f>Wh_hp&gt;='2026'!Maxi_hp</f>
        <v>1</v>
      </c>
      <c r="I29" s="390">
        <f>IF(H29,Wh_hp,'2026'!Maxi_hp)</f>
        <v>22.376869053911307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6.9363370510194811E-2</v>
      </c>
      <c r="M29" s="844"/>
      <c r="N29" s="844"/>
      <c r="O29" s="48">
        <f>IF(t&lt;Tnet,'2026'!Resal+('2026'!Salim-'2026'!Resal)*(1-EXP(('2026'!Tnet-t)/('2026'!Tau_j))),Resal+(Salim-Resal)*(1-EXP((Tnet-t)/(Tau_j))))*Salcycl</f>
        <v>9.8347474446948704E-2</v>
      </c>
      <c r="P29" s="169">
        <f>(INDEX(Models!$BJ29:$BT29,,T29)*(1-R29)+INDEX(Models!$BJ29:$BT29,,T29+1)*R29-ERP_i)*Q29*Ramure*Pc/MaxiM</f>
        <v>3.8029491141410845E-4</v>
      </c>
      <c r="Q29" s="305">
        <f t="shared" si="4"/>
        <v>0.7</v>
      </c>
      <c r="R29" s="177">
        <f t="shared" si="5"/>
        <v>0.17973321454761348</v>
      </c>
      <c r="S29" s="810">
        <f t="shared" si="6"/>
        <v>-1</v>
      </c>
      <c r="T29" s="176">
        <f t="shared" si="7"/>
        <v>5</v>
      </c>
      <c r="U29" s="251">
        <f t="shared" si="8"/>
        <v>-0.82026678545238652</v>
      </c>
      <c r="V29" s="383">
        <f t="shared" si="9"/>
        <v>18.504192085828318</v>
      </c>
      <c r="W29" s="402">
        <f t="shared" si="10"/>
        <v>18.769533326866433</v>
      </c>
      <c r="X29" s="157">
        <f t="shared" si="11"/>
        <v>46402</v>
      </c>
      <c r="Y29" s="385">
        <f t="shared" si="12"/>
        <v>17.779887821004522</v>
      </c>
      <c r="Z29" s="385">
        <f t="shared" si="22"/>
        <v>19.105080605683696</v>
      </c>
      <c r="AA29" s="386">
        <f t="shared" si="13"/>
        <v>22.30253129803058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0.14336716535083327</v>
      </c>
      <c r="AD29" s="231">
        <f>(INDEX(Models!$BJ29:$BT29,,AH29)*(1-AF29)+INDEX(Models!$BJ29:$BT29,,AH29+1)*AF29-ERP_i)*AE29*Ramure*Pc/MaxiM</f>
        <v>3.3220803009405895E-3</v>
      </c>
      <c r="AE29" s="305">
        <f t="shared" si="15"/>
        <v>0.7</v>
      </c>
      <c r="AF29" s="177">
        <f t="shared" si="23"/>
        <v>0.99972326764679731</v>
      </c>
      <c r="AG29" s="810">
        <f t="shared" si="24"/>
        <v>1</v>
      </c>
      <c r="AH29" s="176">
        <f t="shared" si="16"/>
        <v>7</v>
      </c>
      <c r="AI29" s="225">
        <f t="shared" si="17"/>
        <v>1.9997232676467973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18.512905845034492</v>
      </c>
      <c r="C30" s="840"/>
      <c r="D30" s="393">
        <f t="shared" si="0"/>
        <v>19.893195787462854</v>
      </c>
      <c r="E30" s="385">
        <f t="shared" si="1"/>
        <v>22.06518086800379</v>
      </c>
      <c r="F30" s="385">
        <f t="shared" si="2"/>
        <v>22.073645056200025</v>
      </c>
      <c r="G30" s="110">
        <f t="shared" si="21"/>
        <v>0.99031136403790287</v>
      </c>
      <c r="H30" s="414" t="b">
        <f>Wh_hp&gt;='2026'!Maxi_hp</f>
        <v>0</v>
      </c>
      <c r="I30" s="390">
        <f>IF(H30,Wh_hp,'2026'!Maxi_hp)</f>
        <v>22.073711411263265</v>
      </c>
      <c r="J30" s="85">
        <f>IF(H30,An,'2026'!An_max)</f>
        <v>2026</v>
      </c>
      <c r="K30" s="197">
        <f t="shared" si="3"/>
        <v>46403</v>
      </c>
      <c r="L30" s="147">
        <f>IF(t&lt;Tvie,1-EXP((T0-t)*PertePVj)+'2026'!Pspv,1-EXP((T0-t)*PertePVj)+Pspv)</f>
        <v>6.9385027784135689E-2</v>
      </c>
      <c r="M30" s="844"/>
      <c r="N30" s="844"/>
      <c r="O30" s="48">
        <f>IF(t&lt;Tnet,'2026'!Resal+('2026'!Salim-'2026'!Resal)*(1-EXP(('2026'!Tnet-t)/('2026'!Tau_j))),Resal+(Salim-Resal)*(1-EXP((Tnet-t)/(Tau_j))))*Salcycl</f>
        <v>9.8434954761258311E-2</v>
      </c>
      <c r="P30" s="169">
        <f>(INDEX(Models!$BJ30:$BT30,,T30)*(1-R30)+INDEX(Models!$BJ30:$BT30,,T30+1)*R30-ERP_i)*Q30*Ramure*Pc/MaxiM</f>
        <v>3.8883103460565598E-4</v>
      </c>
      <c r="Q30" s="305">
        <f t="shared" si="4"/>
        <v>0.7</v>
      </c>
      <c r="R30" s="177">
        <f t="shared" si="5"/>
        <v>0.1797746715999281</v>
      </c>
      <c r="S30" s="810">
        <f t="shared" si="6"/>
        <v>-1</v>
      </c>
      <c r="T30" s="176">
        <f t="shared" si="7"/>
        <v>5</v>
      </c>
      <c r="U30" s="251">
        <f t="shared" si="8"/>
        <v>-0.8202253284000719</v>
      </c>
      <c r="V30" s="383">
        <f t="shared" si="9"/>
        <v>18.693924862035949</v>
      </c>
      <c r="W30" s="402">
        <f t="shared" si="10"/>
        <v>18.512905845034492</v>
      </c>
      <c r="X30" s="157">
        <f t="shared" si="11"/>
        <v>46403</v>
      </c>
      <c r="Y30" s="385">
        <f t="shared" si="12"/>
        <v>17.538469433948052</v>
      </c>
      <c r="Z30" s="385">
        <f t="shared" si="22"/>
        <v>18.846107098607746</v>
      </c>
      <c r="AA30" s="386">
        <f t="shared" si="13"/>
        <v>22.001172721156866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0.14340442950639318</v>
      </c>
      <c r="AD30" s="231">
        <f>(INDEX(Models!$BJ30:$BT30,,AH30)*(1-AF30)+INDEX(Models!$BJ30:$BT30,,AH30+1)*AF30-ERP_i)*AE30*Ramure*Pc/MaxiM</f>
        <v>3.3292611602906957E-3</v>
      </c>
      <c r="AE30" s="305">
        <f t="shared" si="15"/>
        <v>0.7</v>
      </c>
      <c r="AF30" s="177">
        <f t="shared" si="23"/>
        <v>0.99976472469911193</v>
      </c>
      <c r="AG30" s="810">
        <f t="shared" si="24"/>
        <v>1</v>
      </c>
      <c r="AH30" s="176">
        <f t="shared" si="16"/>
        <v>7</v>
      </c>
      <c r="AI30" s="225">
        <f t="shared" si="17"/>
        <v>1.9997647246991119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10.913267022317189</v>
      </c>
      <c r="C31" s="840"/>
      <c r="D31" s="393">
        <f t="shared" si="0"/>
        <v>11.727214069969749</v>
      </c>
      <c r="E31" s="385">
        <f t="shared" si="1"/>
        <v>13.008880892395899</v>
      </c>
      <c r="F31" s="385">
        <f t="shared" si="2"/>
        <v>13.010939538236851</v>
      </c>
      <c r="G31" s="110">
        <f t="shared" si="21"/>
        <v>0.57759828296684479</v>
      </c>
      <c r="H31" s="414" t="b">
        <f>Wh_hp&gt;='2026'!Maxi_hp</f>
        <v>0</v>
      </c>
      <c r="I31" s="390">
        <f>IF(H31,Wh_hp,'2026'!Maxi_hp)</f>
        <v>13.012683657276835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6.9406684554080056E-2</v>
      </c>
      <c r="M31" s="844"/>
      <c r="N31" s="844"/>
      <c r="O31" s="48">
        <f>IF(t&lt;Tnet,'2026'!Resal+('2026'!Salim-'2026'!Resal)*(1-EXP(('2026'!Tnet-t)/('2026'!Tau_j))),Resal+(Salim-Resal)*(1-EXP((Tnet-t)/(Tau_j))))*Salcycl</f>
        <v>9.8522450395815711E-2</v>
      </c>
      <c r="P31" s="169">
        <f>(INDEX(Models!$BJ31:$BT31,,T31)*(1-R31)+INDEX(Models!$BJ31:$BT31,,T31+1)*R31-ERP_i)*Q31*Ramure*Pc/MaxiM</f>
        <v>3.987831825487097E-4</v>
      </c>
      <c r="Q31" s="305">
        <f t="shared" si="4"/>
        <v>0.7</v>
      </c>
      <c r="R31" s="177">
        <f t="shared" si="5"/>
        <v>0.17981785871141143</v>
      </c>
      <c r="S31" s="810">
        <f t="shared" si="6"/>
        <v>-1</v>
      </c>
      <c r="T31" s="176">
        <f t="shared" si="7"/>
        <v>5</v>
      </c>
      <c r="U31" s="251">
        <f t="shared" si="8"/>
        <v>-0.82018214128858857</v>
      </c>
      <c r="V31" s="383">
        <f t="shared" si="9"/>
        <v>18.889670631810503</v>
      </c>
      <c r="W31" s="402">
        <f t="shared" si="10"/>
        <v>10.913267022317189</v>
      </c>
      <c r="X31" s="157">
        <f t="shared" si="11"/>
        <v>46404</v>
      </c>
      <c r="Y31" s="385">
        <f t="shared" si="12"/>
        <v>10.357369364537313</v>
      </c>
      <c r="Z31" s="385">
        <f t="shared" si="22"/>
        <v>11.129855751837512</v>
      </c>
      <c r="AA31" s="386">
        <f t="shared" si="13"/>
        <v>12.993694986948357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0.14344181828055808</v>
      </c>
      <c r="AD31" s="231">
        <f>(INDEX(Models!$BJ31:$BT31,,AH31)*(1-AF31)+INDEX(Models!$BJ31:$BT31,,AH31+1)*AF31-ERP_i)*AE31*Ramure*Pc/MaxiM</f>
        <v>3.340466294714003E-3</v>
      </c>
      <c r="AE31" s="305">
        <f t="shared" si="15"/>
        <v>0.7</v>
      </c>
      <c r="AF31" s="177">
        <f t="shared" si="23"/>
        <v>0.99980791181059536</v>
      </c>
      <c r="AG31" s="810">
        <f t="shared" si="24"/>
        <v>1</v>
      </c>
      <c r="AH31" s="176">
        <f t="shared" si="16"/>
        <v>7</v>
      </c>
      <c r="AI31" s="225">
        <f t="shared" si="17"/>
        <v>1.9998079118105954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3.5769930190193597</v>
      </c>
      <c r="C32" s="840"/>
      <c r="D32" s="393">
        <f t="shared" si="0"/>
        <v>3.8438662769630052</v>
      </c>
      <c r="E32" s="385">
        <f t="shared" si="1"/>
        <v>4.2643762756897639</v>
      </c>
      <c r="F32" s="385">
        <f t="shared" si="2"/>
        <v>4.2643762756897639</v>
      </c>
      <c r="G32" s="110">
        <f t="shared" si="21"/>
        <v>0.18728826104413365</v>
      </c>
      <c r="H32" s="414" t="b">
        <f>Wh_hp&gt;='2026'!Maxi_hp</f>
        <v>0</v>
      </c>
      <c r="I32" s="390">
        <f>IF(H32,Wh_hp,'2026'!Maxi_hp)</f>
        <v>22.54898457519629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6.9428340820039902E-2</v>
      </c>
      <c r="M32" s="844"/>
      <c r="N32" s="844"/>
      <c r="O32" s="48">
        <f>IF(t&lt;Tnet,'2026'!Resal+('2026'!Salim-'2026'!Resal)*(1-EXP(('2026'!Tnet-t)/('2026'!Tau_j))),Resal+(Salim-Resal)*(1-EXP((Tnet-t)/(Tau_j))))*Salcycl</f>
        <v>9.8609965805313754E-2</v>
      </c>
      <c r="P32" s="169">
        <f>(INDEX(Models!$BJ32:$BT32,,T32)*(1-R32)+INDEX(Models!$BJ32:$BT32,,T32+1)*R32-ERP_i)*Q32*Ramure*Pc/MaxiM</f>
        <v>4.1010559322450768E-4</v>
      </c>
      <c r="Q32" s="305">
        <f t="shared" si="4"/>
        <v>0.7</v>
      </c>
      <c r="R32" s="177">
        <f t="shared" si="5"/>
        <v>0.1798628476811247</v>
      </c>
      <c r="S32" s="810">
        <f t="shared" si="6"/>
        <v>-1</v>
      </c>
      <c r="T32" s="176">
        <f t="shared" si="7"/>
        <v>5</v>
      </c>
      <c r="U32" s="251">
        <f t="shared" si="8"/>
        <v>-0.8201371523188753</v>
      </c>
      <c r="V32" s="383">
        <f t="shared" si="9"/>
        <v>19.091031409239143</v>
      </c>
      <c r="W32" s="402">
        <f t="shared" si="10"/>
        <v>3.5769930190193597</v>
      </c>
      <c r="X32" s="157">
        <f t="shared" si="11"/>
        <v>46405</v>
      </c>
      <c r="Y32" s="385">
        <f t="shared" si="12"/>
        <v>3.3989375446711918</v>
      </c>
      <c r="Z32" s="385">
        <f t="shared" si="22"/>
        <v>3.6525263918593964</v>
      </c>
      <c r="AA32" s="386">
        <f t="shared" si="13"/>
        <v>4.2643762756897639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0.14347933772129434</v>
      </c>
      <c r="AD32" s="231">
        <f>(INDEX(Models!$BJ32:$BT32,,AH32)*(1-AF32)+INDEX(Models!$BJ32:$BT32,,AH32+1)*AF32-ERP_i)*AE32*Ramure*Pc/MaxiM</f>
        <v>3.3556216329289992E-3</v>
      </c>
      <c r="AE32" s="305">
        <f t="shared" si="15"/>
        <v>0.7</v>
      </c>
      <c r="AF32" s="177">
        <f t="shared" si="23"/>
        <v>0.99985290078030875</v>
      </c>
      <c r="AG32" s="810">
        <f t="shared" si="24"/>
        <v>1</v>
      </c>
      <c r="AH32" s="176">
        <f t="shared" si="16"/>
        <v>7</v>
      </c>
      <c r="AI32" s="225">
        <f t="shared" si="17"/>
        <v>1.9998529007803088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8.3527692160765739</v>
      </c>
      <c r="C33" s="840"/>
      <c r="D33" s="393">
        <f t="shared" si="0"/>
        <v>8.9761637584184459</v>
      </c>
      <c r="E33" s="385">
        <f t="shared" si="1"/>
        <v>9.9591023181382781</v>
      </c>
      <c r="F33" s="385">
        <f t="shared" si="2"/>
        <v>9.9599013622297132</v>
      </c>
      <c r="G33" s="110">
        <f t="shared" si="21"/>
        <v>0.43269131278852996</v>
      </c>
      <c r="H33" s="414" t="b">
        <f>Wh_hp&gt;='2026'!Maxi_hp</f>
        <v>0</v>
      </c>
      <c r="I33" s="390">
        <f>IF(H33,Wh_hp,'2026'!Maxi_hp)</f>
        <v>23.630965099383026</v>
      </c>
      <c r="J33" s="85">
        <f>IF(H33,An,'2026'!An_max)</f>
        <v>2020</v>
      </c>
      <c r="K33" s="197">
        <f t="shared" si="3"/>
        <v>46406</v>
      </c>
      <c r="L33" s="147">
        <f>IF(t&lt;Tvie,1-EXP((T0-t)*PertePVj)+'2026'!Pspv,1-EXP((T0-t)*PertePVj)+Pspv)</f>
        <v>6.9449996582026663E-2</v>
      </c>
      <c r="M33" s="844"/>
      <c r="N33" s="844"/>
      <c r="O33" s="48">
        <f>IF(t&lt;Tnet,'2026'!Resal+('2026'!Salim-'2026'!Resal)*(1-EXP(('2026'!Tnet-t)/('2026'!Tau_j))),Resal+(Salim-Resal)*(1-EXP((Tnet-t)/(Tau_j))))*Salcycl</f>
        <v>9.8697505891633439E-2</v>
      </c>
      <c r="P33" s="169">
        <f>(INDEX(Models!$BJ33:$BT33,,T33)*(1-R33)+INDEX(Models!$BJ33:$BT33,,T33+1)*R33-ERP_i)*Q33*Ramure*Pc/MaxiM</f>
        <v>4.2275255512677596E-4</v>
      </c>
      <c r="Q33" s="305">
        <f t="shared" si="4"/>
        <v>0.7</v>
      </c>
      <c r="R33" s="177">
        <f t="shared" si="5"/>
        <v>0.17990971325381344</v>
      </c>
      <c r="S33" s="810">
        <f t="shared" si="6"/>
        <v>-1</v>
      </c>
      <c r="T33" s="176">
        <f t="shared" si="7"/>
        <v>5</v>
      </c>
      <c r="U33" s="251">
        <f t="shared" si="8"/>
        <v>-0.82009028674618656</v>
      </c>
      <c r="V33" s="383">
        <f t="shared" si="9"/>
        <v>19.297609393464739</v>
      </c>
      <c r="W33" s="402">
        <f t="shared" si="10"/>
        <v>8.3527692160765739</v>
      </c>
      <c r="X33" s="157">
        <f t="shared" si="11"/>
        <v>46406</v>
      </c>
      <c r="Y33" s="385">
        <f t="shared" si="12"/>
        <v>7.932960409041061</v>
      </c>
      <c r="Z33" s="385">
        <f t="shared" si="22"/>
        <v>8.5250232442133775</v>
      </c>
      <c r="AA33" s="386">
        <f t="shared" si="13"/>
        <v>9.9535229416096414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0.14351699451302546</v>
      </c>
      <c r="AD33" s="231">
        <f>(INDEX(Models!$BJ33:$BT33,,AH33)*(1-AF33)+INDEX(Models!$BJ33:$BT33,,AH33+1)*AF33-ERP_i)*AE33*Ramure*Pc/MaxiM</f>
        <v>3.3746493387680197E-3</v>
      </c>
      <c r="AE33" s="305">
        <f t="shared" si="15"/>
        <v>0.7</v>
      </c>
      <c r="AF33" s="177">
        <f t="shared" si="23"/>
        <v>0.99989976635299738</v>
      </c>
      <c r="AG33" s="810">
        <f t="shared" si="24"/>
        <v>1</v>
      </c>
      <c r="AH33" s="176">
        <f t="shared" si="16"/>
        <v>7</v>
      </c>
      <c r="AI33" s="225">
        <f t="shared" si="17"/>
        <v>1.9998997663529974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6.0972052775109216</v>
      </c>
      <c r="C34" s="840"/>
      <c r="D34" s="393">
        <f t="shared" si="0"/>
        <v>6.5524121748334716</v>
      </c>
      <c r="E34" s="385">
        <f t="shared" si="1"/>
        <v>7.2706432160843883</v>
      </c>
      <c r="F34" s="385">
        <f t="shared" si="2"/>
        <v>7.2707000610587738</v>
      </c>
      <c r="G34" s="110">
        <f t="shared" si="21"/>
        <v>0.31239880211747845</v>
      </c>
      <c r="H34" s="414" t="b">
        <f>Wh_hp&gt;='2026'!Maxi_hp</f>
        <v>0</v>
      </c>
      <c r="I34" s="390">
        <f>IF(H34,Wh_hp,'2026'!Maxi_hp)</f>
        <v>11.506630779358042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6.9471651840052218E-2</v>
      </c>
      <c r="M34" s="844"/>
      <c r="N34" s="844"/>
      <c r="O34" s="48">
        <f>IF(t&lt;Tnet,'2026'!Resal+('2026'!Salim-'2026'!Resal)*(1-EXP(('2026'!Tnet-t)/('2026'!Tau_j))),Resal+(Salim-Resal)*(1-EXP((Tnet-t)/(Tau_j))))*Salcycl</f>
        <v>9.8785075804850325E-2</v>
      </c>
      <c r="P34" s="169">
        <f>(INDEX(Models!$BJ34:$BT34,,T34)*(1-R34)+INDEX(Models!$BJ34:$BT34,,T34+1)*R34-ERP_i)*Q34*Ramure*Pc/MaxiM</f>
        <v>4.3668120368412313E-4</v>
      </c>
      <c r="Q34" s="305">
        <f t="shared" si="4"/>
        <v>0.7</v>
      </c>
      <c r="R34" s="177">
        <f t="shared" si="5"/>
        <v>0.1799585332378475</v>
      </c>
      <c r="S34" s="810">
        <f t="shared" si="6"/>
        <v>-1</v>
      </c>
      <c r="T34" s="176">
        <f t="shared" si="7"/>
        <v>5</v>
      </c>
      <c r="U34" s="251">
        <f t="shared" si="8"/>
        <v>-0.8200414667621525</v>
      </c>
      <c r="V34" s="383">
        <f t="shared" si="9"/>
        <v>19.509006919946756</v>
      </c>
      <c r="W34" s="402">
        <f t="shared" si="10"/>
        <v>6.0972052775109216</v>
      </c>
      <c r="X34" s="157">
        <f t="shared" si="11"/>
        <v>46407</v>
      </c>
      <c r="Y34" s="385">
        <f t="shared" si="12"/>
        <v>5.7940068022758506</v>
      </c>
      <c r="Z34" s="385">
        <f t="shared" si="22"/>
        <v>6.2265774210243867</v>
      </c>
      <c r="AA34" s="386">
        <f t="shared" si="13"/>
        <v>7.270257793092969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0.1435547956855284</v>
      </c>
      <c r="AD34" s="231">
        <f>(INDEX(Models!$BJ34:$BT34,,AH34)*(1-AF34)+INDEX(Models!$BJ34:$BT34,,AH34+1)*AF34-ERP_i)*AE34*Ramure*Pc/MaxiM</f>
        <v>3.3974878122045005E-3</v>
      </c>
      <c r="AE34" s="305">
        <f t="shared" si="15"/>
        <v>0.7</v>
      </c>
      <c r="AF34" s="177">
        <f t="shared" si="23"/>
        <v>0.99994858633703143</v>
      </c>
      <c r="AG34" s="810">
        <f t="shared" si="24"/>
        <v>1</v>
      </c>
      <c r="AH34" s="176">
        <f t="shared" si="16"/>
        <v>7</v>
      </c>
      <c r="AI34" s="225">
        <f t="shared" si="17"/>
        <v>1.9999485863370314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16.547074256207914</v>
      </c>
      <c r="C35" s="840"/>
      <c r="D35" s="393">
        <f t="shared" si="0"/>
        <v>17.782864296915221</v>
      </c>
      <c r="E35" s="385">
        <f t="shared" si="1"/>
        <v>19.734019729600167</v>
      </c>
      <c r="F35" s="385">
        <f t="shared" si="2"/>
        <v>19.740886753429642</v>
      </c>
      <c r="G35" s="110">
        <f t="shared" si="21"/>
        <v>0.83880853848184411</v>
      </c>
      <c r="H35" s="414" t="b">
        <f>Wh_hp&gt;='2026'!Maxi_hp</f>
        <v>0</v>
      </c>
      <c r="I35" s="390">
        <f>IF(H35,Wh_hp,'2026'!Maxi_hp)</f>
        <v>19.742015550121831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6.9493306594128335E-2</v>
      </c>
      <c r="M35" s="844"/>
      <c r="N35" s="844"/>
      <c r="O35" s="48">
        <f>IF(t&lt;Tnet,'2026'!Resal+('2026'!Salim-'2026'!Resal)*(1-EXP(('2026'!Tnet-t)/('2026'!Tau_j))),Resal+(Salim-Resal)*(1-EXP((Tnet-t)/(Tau_j))))*Salcycl</f>
        <v>9.8872680752330369E-2</v>
      </c>
      <c r="P35" s="169">
        <f>(INDEX(Models!$BJ35:$BT35,,T35)*(1-R35)+INDEX(Models!$BJ35:$BT35,,T35+1)*R35-ERP_i)*Q35*Ramure*Pc/MaxiM</f>
        <v>4.5185087953839676E-4</v>
      </c>
      <c r="Q35" s="305">
        <f t="shared" si="4"/>
        <v>0.7</v>
      </c>
      <c r="R35" s="177">
        <f t="shared" si="5"/>
        <v>0.18000938862763649</v>
      </c>
      <c r="S35" s="810">
        <f t="shared" si="6"/>
        <v>-1</v>
      </c>
      <c r="T35" s="176">
        <f t="shared" si="7"/>
        <v>5</v>
      </c>
      <c r="U35" s="251">
        <f t="shared" si="8"/>
        <v>-0.81999061137236351</v>
      </c>
      <c r="V35" s="383">
        <f t="shared" si="9"/>
        <v>19.724826488003103</v>
      </c>
      <c r="W35" s="402">
        <f t="shared" si="10"/>
        <v>16.547074256207914</v>
      </c>
      <c r="X35" s="157">
        <f t="shared" si="11"/>
        <v>46408</v>
      </c>
      <c r="Y35" s="385">
        <f t="shared" si="12"/>
        <v>15.689899725359481</v>
      </c>
      <c r="Z35" s="385">
        <f t="shared" si="22"/>
        <v>16.86167314705796</v>
      </c>
      <c r="AA35" s="386">
        <f t="shared" si="13"/>
        <v>19.6888491010431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0.14359274833567381</v>
      </c>
      <c r="AD35" s="231">
        <f>(INDEX(Models!$BJ35:$BT35,,AH35)*(1-AF35)+INDEX(Models!$BJ35:$BT35,,AH35+1)*AF35-ERP_i)*AE35*Ramure*Pc/MaxiM</f>
        <v>3.4240829191599181E-3</v>
      </c>
      <c r="AE35" s="305">
        <f t="shared" si="15"/>
        <v>0.7</v>
      </c>
      <c r="AF35" s="177">
        <f t="shared" si="23"/>
        <v>0.99999944172682054</v>
      </c>
      <c r="AG35" s="810">
        <f t="shared" si="24"/>
        <v>1</v>
      </c>
      <c r="AH35" s="176">
        <f t="shared" si="16"/>
        <v>7</v>
      </c>
      <c r="AI35" s="225">
        <f t="shared" si="17"/>
        <v>1.9999994417268205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19.877573031962342</v>
      </c>
      <c r="C36" s="840"/>
      <c r="D36" s="393">
        <f t="shared" si="0"/>
        <v>21.362592836525419</v>
      </c>
      <c r="E36" s="385">
        <f t="shared" si="1"/>
        <v>23.708825980292296</v>
      </c>
      <c r="F36" s="385">
        <f t="shared" si="2"/>
        <v>23.719878737188516</v>
      </c>
      <c r="G36" s="110">
        <f t="shared" si="21"/>
        <v>0.99663356038607209</v>
      </c>
      <c r="H36" s="414" t="b">
        <f>Wh_hp&gt;='2026'!Maxi_hp</f>
        <v>0</v>
      </c>
      <c r="I36" s="390">
        <f>IF(H36,Wh_hp,'2026'!Maxi_hp)</f>
        <v>23.719907981467813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6.9514960844266671E-2</v>
      </c>
      <c r="M36" s="844"/>
      <c r="N36" s="844"/>
      <c r="O36" s="48">
        <f>IF(t&lt;Tnet,'2026'!Resal+('2026'!Salim-'2026'!Resal)*(1-EXP(('2026'!Tnet-t)/('2026'!Tau_j))),Resal+(Salim-Resal)*(1-EXP((Tnet-t)/(Tau_j))))*Salcycl</f>
        <v>9.8960325817784522E-2</v>
      </c>
      <c r="P36" s="169">
        <f>(INDEX(Models!$BJ36:$BT36,,T36)*(1-R36)+INDEX(Models!$BJ36:$BT36,,T36+1)*R36-ERP_i)*Q36*Ramure*Pc/MaxiM</f>
        <v>4.6822047568422518E-4</v>
      </c>
      <c r="Q36" s="305">
        <f t="shared" si="4"/>
        <v>0.7</v>
      </c>
      <c r="R36" s="177">
        <f t="shared" si="5"/>
        <v>0.1800623637306622</v>
      </c>
      <c r="S36" s="810">
        <f t="shared" si="6"/>
        <v>-1</v>
      </c>
      <c r="T36" s="176">
        <f t="shared" si="7"/>
        <v>5</v>
      </c>
      <c r="U36" s="251">
        <f t="shared" si="8"/>
        <v>-0.8199376362693378</v>
      </c>
      <c r="V36" s="383">
        <f t="shared" si="9"/>
        <v>19.944670811211662</v>
      </c>
      <c r="W36" s="402">
        <f t="shared" si="10"/>
        <v>19.877573031962342</v>
      </c>
      <c r="X36" s="157">
        <f t="shared" si="11"/>
        <v>46409</v>
      </c>
      <c r="Y36" s="385">
        <f t="shared" si="12"/>
        <v>18.835939271115407</v>
      </c>
      <c r="Z36" s="385">
        <f t="shared" si="22"/>
        <v>20.243140382145228</v>
      </c>
      <c r="AA36" s="386">
        <f t="shared" si="13"/>
        <v>23.638334710574547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0.14363085936466108</v>
      </c>
      <c r="AD36" s="231">
        <f>(INDEX(Models!$BJ36:$BT36,,AH36)*(1-AF36)+INDEX(Models!$BJ36:$BT36,,AH36+1)*AF36-ERP_i)*AE36*Ramure*Pc/MaxiM</f>
        <v>3.4543945269853832E-3</v>
      </c>
      <c r="AE36" s="305">
        <f t="shared" si="15"/>
        <v>0.7</v>
      </c>
      <c r="AF36" s="177">
        <f t="shared" si="23"/>
        <v>5.2416829845913782E-5</v>
      </c>
      <c r="AG36" s="810">
        <f t="shared" si="24"/>
        <v>2</v>
      </c>
      <c r="AH36" s="176">
        <f t="shared" si="16"/>
        <v>8</v>
      </c>
      <c r="AI36" s="225">
        <f t="shared" si="17"/>
        <v>2.0000524168298459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20.086240085173934</v>
      </c>
      <c r="C37" s="840"/>
      <c r="D37" s="393">
        <f t="shared" si="0"/>
        <v>21.587351420962641</v>
      </c>
      <c r="E37" s="385">
        <f t="shared" si="1"/>
        <v>23.960601451962638</v>
      </c>
      <c r="F37" s="385">
        <f t="shared" si="2"/>
        <v>23.972175906101025</v>
      </c>
      <c r="G37" s="110">
        <f t="shared" si="21"/>
        <v>0.99584809804952079</v>
      </c>
      <c r="H37" s="414" t="b">
        <f>Wh_hp&gt;='2026'!Maxi_hp</f>
        <v>0</v>
      </c>
      <c r="I37" s="390">
        <f>IF(H37,Wh_hp,'2026'!Maxi_hp)</f>
        <v>23.972213580775126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6.9536614590478996E-2</v>
      </c>
      <c r="M37" s="844"/>
      <c r="N37" s="844"/>
      <c r="O37" s="48">
        <f>IF(t&lt;Tnet,'2026'!Resal+('2026'!Salim-'2026'!Resal)*(1-EXP(('2026'!Tnet-t)/('2026'!Tau_j))),Resal+(Salim-Resal)*(1-EXP((Tnet-t)/(Tau_j))))*Salcycl</f>
        <v>9.904801579200774E-2</v>
      </c>
      <c r="P37" s="169">
        <f>(INDEX(Models!$BJ37:$BT37,,T37)*(1-R37)+INDEX(Models!$BJ37:$BT37,,T37+1)*R37-ERP_i)*Q37*Ramure*Pc/MaxiM</f>
        <v>4.8570756516865899E-4</v>
      </c>
      <c r="Q37" s="305">
        <f t="shared" si="4"/>
        <v>0.7</v>
      </c>
      <c r="R37" s="177">
        <f t="shared" si="5"/>
        <v>0.180117546299284</v>
      </c>
      <c r="S37" s="810">
        <f t="shared" si="6"/>
        <v>-1</v>
      </c>
      <c r="T37" s="176">
        <f t="shared" si="7"/>
        <v>5</v>
      </c>
      <c r="U37" s="251">
        <f t="shared" si="8"/>
        <v>-0.819882453700716</v>
      </c>
      <c r="V37" s="383">
        <f t="shared" si="9"/>
        <v>20.169925785546301</v>
      </c>
      <c r="W37" s="402">
        <f t="shared" si="10"/>
        <v>20.086240085173934</v>
      </c>
      <c r="X37" s="157">
        <f t="shared" si="11"/>
        <v>46410</v>
      </c>
      <c r="Y37" s="385">
        <f t="shared" si="12"/>
        <v>19.034430045948334</v>
      </c>
      <c r="Z37" s="385">
        <f t="shared" si="22"/>
        <v>20.456936129271533</v>
      </c>
      <c r="AA37" s="386">
        <f t="shared" si="13"/>
        <v>23.889056170878476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0.14366913523317881</v>
      </c>
      <c r="AD37" s="231">
        <f>(INDEX(Models!$BJ37:$BT37,,AH37)*(1-AF37)+INDEX(Models!$BJ37:$BT37,,AH37+1)*AF37-ERP_i)*AE37*Ramure*Pc/MaxiM</f>
        <v>3.4880162580199331E-3</v>
      </c>
      <c r="AE37" s="305">
        <f t="shared" si="15"/>
        <v>0.7</v>
      </c>
      <c r="AF37" s="177">
        <f t="shared" si="23"/>
        <v>1.0759939846805011E-4</v>
      </c>
      <c r="AG37" s="810">
        <f t="shared" si="24"/>
        <v>2</v>
      </c>
      <c r="AH37" s="176">
        <f t="shared" si="16"/>
        <v>8</v>
      </c>
      <c r="AI37" s="225">
        <f t="shared" si="17"/>
        <v>2.0001075993984681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20.413373872529792</v>
      </c>
      <c r="C38" s="840"/>
      <c r="D38" s="393">
        <f t="shared" si="0"/>
        <v>21.939443564060834</v>
      </c>
      <c r="E38" s="385">
        <f t="shared" si="1"/>
        <v>24.353773264107858</v>
      </c>
      <c r="F38" s="385">
        <f t="shared" si="2"/>
        <v>24.366089837944376</v>
      </c>
      <c r="G38" s="110">
        <f t="shared" si="21"/>
        <v>1.0005589453397303</v>
      </c>
      <c r="H38" s="414" t="b">
        <f>Wh_hp&gt;='2026'!Maxi_hp</f>
        <v>1</v>
      </c>
      <c r="I38" s="390">
        <f>IF(H38,Wh_hp,'2026'!Maxi_hp)</f>
        <v>24.366089837944376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6.9558267832777076E-2</v>
      </c>
      <c r="M38" s="844"/>
      <c r="N38" s="844"/>
      <c r="O38" s="48">
        <f>IF(t&lt;Tnet,'2026'!Resal+('2026'!Salim-'2026'!Resal)*(1-EXP(('2026'!Tnet-t)/('2026'!Tau_j))),Resal+(Salim-Resal)*(1-EXP((Tnet-t)/(Tau_j))))*Salcycl</f>
        <v>9.9135755016871246E-2</v>
      </c>
      <c r="P38" s="169">
        <f>(INDEX(Models!$BJ38:$BT38,,T38)*(1-R38)+INDEX(Models!$BJ38:$BT38,,T38+1)*R38-ERP_i)*Q38*Ramure*Pc/MaxiM</f>
        <v>5.054801126661326E-4</v>
      </c>
      <c r="Q38" s="305">
        <f t="shared" si="4"/>
        <v>0.7</v>
      </c>
      <c r="R38" s="177">
        <f t="shared" si="5"/>
        <v>0.18017502766746762</v>
      </c>
      <c r="S38" s="810">
        <f t="shared" si="6"/>
        <v>-1</v>
      </c>
      <c r="T38" s="176">
        <f t="shared" si="7"/>
        <v>5</v>
      </c>
      <c r="U38" s="251">
        <f t="shared" si="8"/>
        <v>-0.81982497233253238</v>
      </c>
      <c r="V38" s="383">
        <f t="shared" si="9"/>
        <v>20.401970286316939</v>
      </c>
      <c r="W38" s="402">
        <f t="shared" si="10"/>
        <v>20.413373872529792</v>
      </c>
      <c r="X38" s="157">
        <f t="shared" si="11"/>
        <v>46411</v>
      </c>
      <c r="Y38" s="385">
        <f t="shared" si="12"/>
        <v>19.34463638600419</v>
      </c>
      <c r="Z38" s="385">
        <f t="shared" si="22"/>
        <v>20.790809050391445</v>
      </c>
      <c r="AA38" s="386">
        <f t="shared" si="13"/>
        <v>24.280034024542839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0.14370758173668124</v>
      </c>
      <c r="AD38" s="231">
        <f>(INDEX(Models!$BJ38:$BT38,,AH38)*(1-AF38)+INDEX(Models!$BJ38:$BT38,,AH38+1)*AF38-ERP_i)*AE38*Ramure*Pc/MaxiM</f>
        <v>3.531785935859344E-3</v>
      </c>
      <c r="AE38" s="305">
        <f t="shared" si="15"/>
        <v>0.7</v>
      </c>
      <c r="AF38" s="177">
        <f t="shared" si="23"/>
        <v>1.6508076665155968E-4</v>
      </c>
      <c r="AG38" s="810">
        <f t="shared" si="24"/>
        <v>2</v>
      </c>
      <c r="AH38" s="176">
        <f t="shared" si="16"/>
        <v>8</v>
      </c>
      <c r="AI38" s="225">
        <f t="shared" si="17"/>
        <v>2.0001650807666516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20.377066667510462</v>
      </c>
      <c r="C39" s="840"/>
      <c r="D39" s="393">
        <f t="shared" si="0"/>
        <v>21.900931759791415</v>
      </c>
      <c r="E39" s="385">
        <f t="shared" si="1"/>
        <v>24.313392843233032</v>
      </c>
      <c r="F39" s="385">
        <f t="shared" si="2"/>
        <v>24.325983639544216</v>
      </c>
      <c r="G39" s="110">
        <f t="shared" si="21"/>
        <v>0.98723042315160447</v>
      </c>
      <c r="H39" s="414" t="b">
        <f>Wh_hp&gt;='2026'!Maxi_hp</f>
        <v>0</v>
      </c>
      <c r="I39" s="390">
        <f>IF(H39,Wh_hp,'2026'!Maxi_hp)</f>
        <v>24.326110311617207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6.957992057117246E-2</v>
      </c>
      <c r="M39" s="844"/>
      <c r="N39" s="844"/>
      <c r="O39" s="48">
        <f>IF(t&lt;Tnet,'2026'!Resal+('2026'!Salim-'2026'!Resal)*(1-EXP(('2026'!Tnet-t)/('2026'!Tau_j))),Resal+(Salim-Resal)*(1-EXP((Tnet-t)/(Tau_j))))*Salcycl</f>
        <v>9.9223547243965246E-2</v>
      </c>
      <c r="P39" s="169">
        <f>(INDEX(Models!$BJ39:$BT39,,T39)*(1-R39)+INDEX(Models!$BJ39:$BT39,,T39+1)*R39-ERP_i)*Q39*Ramure*Pc/MaxiM</f>
        <v>5.2719641950652713E-4</v>
      </c>
      <c r="Q39" s="305">
        <f t="shared" si="4"/>
        <v>0.7</v>
      </c>
      <c r="R39" s="177">
        <f t="shared" si="5"/>
        <v>0.18023490289259414</v>
      </c>
      <c r="S39" s="810">
        <f t="shared" si="6"/>
        <v>-1</v>
      </c>
      <c r="T39" s="176">
        <f t="shared" si="7"/>
        <v>5</v>
      </c>
      <c r="U39" s="251">
        <f t="shared" si="8"/>
        <v>-0.81976509710740586</v>
      </c>
      <c r="V39" s="383">
        <f t="shared" si="9"/>
        <v>20.640440430692916</v>
      </c>
      <c r="W39" s="402">
        <f t="shared" si="10"/>
        <v>20.377066667510462</v>
      </c>
      <c r="X39" s="157">
        <f t="shared" si="11"/>
        <v>46412</v>
      </c>
      <c r="Y39" s="385">
        <f t="shared" si="12"/>
        <v>19.311731472825667</v>
      </c>
      <c r="Z39" s="385">
        <f t="shared" si="22"/>
        <v>20.755927241683004</v>
      </c>
      <c r="AA39" s="386">
        <f t="shared" si="13"/>
        <v>24.240391498247657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0.14374620380271275</v>
      </c>
      <c r="AD39" s="231">
        <f>(INDEX(Models!$BJ39:$BT39,,AH39)*(1-AF39)+INDEX(Models!$BJ39:$BT39,,AH39+1)*AF39-ERP_i)*AE39*Ramure*Pc/MaxiM</f>
        <v>3.583877406495844E-3</v>
      </c>
      <c r="AE39" s="305">
        <f t="shared" si="15"/>
        <v>0.7</v>
      </c>
      <c r="AF39" s="177">
        <f t="shared" si="23"/>
        <v>2.2495599177796421E-4</v>
      </c>
      <c r="AG39" s="810">
        <f t="shared" si="24"/>
        <v>2</v>
      </c>
      <c r="AH39" s="176">
        <f t="shared" si="16"/>
        <v>8</v>
      </c>
      <c r="AI39" s="225">
        <f t="shared" si="17"/>
        <v>2.000224955991778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20.498978807208928</v>
      </c>
      <c r="C40" s="840"/>
      <c r="D40" s="393">
        <f t="shared" si="0"/>
        <v>22.032473624256795</v>
      </c>
      <c r="E40" s="385">
        <f t="shared" si="1"/>
        <v>24.461810124388698</v>
      </c>
      <c r="F40" s="385">
        <f t="shared" si="2"/>
        <v>24.474934505123223</v>
      </c>
      <c r="G40" s="110">
        <f t="shared" si="21"/>
        <v>0.98150407867644118</v>
      </c>
      <c r="H40" s="414" t="b">
        <f>Wh_hp&gt;='2026'!Maxi_hp</f>
        <v>0</v>
      </c>
      <c r="I40" s="390">
        <f>IF(H40,Wh_hp,'2026'!Maxi_hp)</f>
        <v>24.475126652491333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6.9601572805677026E-2</v>
      </c>
      <c r="M40" s="844"/>
      <c r="N40" s="844"/>
      <c r="O40" s="48">
        <f>IF(t&lt;Tnet,'2026'!Resal+('2026'!Salim-'2026'!Resal)*(1-EXP(('2026'!Tnet-t)/('2026'!Tau_j))),Resal+(Salim-Resal)*(1-EXP((Tnet-t)/(Tau_j))))*Salcycl</f>
        <v>9.9311395509109349E-2</v>
      </c>
      <c r="P40" s="169">
        <f>(INDEX(Models!$BJ40:$BT40,,T40)*(1-R40)+INDEX(Models!$BJ40:$BT40,,T40+1)*R40-ERP_i)*Q40*Ramure*Pc/MaxiM</f>
        <v>5.5077949379416381E-4</v>
      </c>
      <c r="Q40" s="305">
        <f t="shared" si="4"/>
        <v>0.7</v>
      </c>
      <c r="R40" s="177">
        <f t="shared" si="5"/>
        <v>0.18029727090250836</v>
      </c>
      <c r="S40" s="810">
        <f t="shared" si="6"/>
        <v>-1</v>
      </c>
      <c r="T40" s="176">
        <f t="shared" si="7"/>
        <v>5</v>
      </c>
      <c r="U40" s="251">
        <f t="shared" si="8"/>
        <v>-0.81970272909749164</v>
      </c>
      <c r="V40" s="383">
        <f t="shared" si="9"/>
        <v>20.884967265182063</v>
      </c>
      <c r="W40" s="402">
        <f t="shared" si="10"/>
        <v>20.498978807208928</v>
      </c>
      <c r="X40" s="157">
        <f t="shared" si="11"/>
        <v>46413</v>
      </c>
      <c r="Y40" s="385">
        <f t="shared" si="12"/>
        <v>19.428076318891346</v>
      </c>
      <c r="Z40" s="385">
        <f t="shared" si="22"/>
        <v>20.881458685907258</v>
      </c>
      <c r="AA40" s="386">
        <f t="shared" si="13"/>
        <v>24.388102071857503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0.14378500531194324</v>
      </c>
      <c r="AD40" s="231">
        <f>(INDEX(Models!$BJ40:$BT40,,AH40)*(1-AF40)+INDEX(Models!$BJ40:$BT40,,AH40+1)*AF40-ERP_i)*AE40*Ramure*Pc/MaxiM</f>
        <v>3.6440213528087144E-3</v>
      </c>
      <c r="AE40" s="305">
        <f t="shared" si="15"/>
        <v>0.7</v>
      </c>
      <c r="AF40" s="177">
        <f t="shared" si="23"/>
        <v>2.8732400169229066E-4</v>
      </c>
      <c r="AG40" s="810">
        <f t="shared" si="24"/>
        <v>2</v>
      </c>
      <c r="AH40" s="176">
        <f t="shared" si="16"/>
        <v>8</v>
      </c>
      <c r="AI40" s="225">
        <f t="shared" si="17"/>
        <v>2.0002873240016923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21.353673750567442</v>
      </c>
      <c r="C41" s="840"/>
      <c r="D41" s="393">
        <f t="shared" si="0"/>
        <v>22.951641005790176</v>
      </c>
      <c r="E41" s="385">
        <f t="shared" si="1"/>
        <v>25.484813699750863</v>
      </c>
      <c r="F41" s="385">
        <f t="shared" si="2"/>
        <v>25.499505349293724</v>
      </c>
      <c r="G41" s="110">
        <f t="shared" si="21"/>
        <v>1.0103378208337837</v>
      </c>
      <c r="H41" s="414" t="b">
        <f>Wh_hp&gt;='2026'!Maxi_hp</f>
        <v>1</v>
      </c>
      <c r="I41" s="390">
        <f>IF(H41,Wh_hp,'2026'!Maxi_hp)</f>
        <v>25.499505349293724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6.962322453630243E-2</v>
      </c>
      <c r="M41" s="844"/>
      <c r="N41" s="844"/>
      <c r="O41" s="48">
        <f>IF(t&lt;Tnet,'2026'!Resal+('2026'!Salim-'2026'!Resal)*(1-EXP(('2026'!Tnet-t)/('2026'!Tau_j))),Resal+(Salim-Resal)*(1-EXP((Tnet-t)/(Tau_j))))*Salcycl</f>
        <v>9.9399302023755909E-2</v>
      </c>
      <c r="P41" s="169">
        <f>(INDEX(Models!$BJ41:$BT41,,T41)*(1-R41)+INDEX(Models!$BJ41:$BT41,,T41+1)*R41-ERP_i)*Q41*Ramure*Pc/MaxiM</f>
        <v>5.7615429560752224E-4</v>
      </c>
      <c r="Q41" s="305">
        <f t="shared" si="4"/>
        <v>0.7</v>
      </c>
      <c r="R41" s="177">
        <f t="shared" si="5"/>
        <v>0.18036223464796575</v>
      </c>
      <c r="S41" s="810">
        <f t="shared" si="6"/>
        <v>-1</v>
      </c>
      <c r="T41" s="176">
        <f t="shared" si="7"/>
        <v>5</v>
      </c>
      <c r="U41" s="251">
        <f t="shared" si="8"/>
        <v>-0.81963776535203425</v>
      </c>
      <c r="V41" s="383">
        <f t="shared" si="9"/>
        <v>21.13518202549843</v>
      </c>
      <c r="W41" s="402">
        <f t="shared" si="10"/>
        <v>21.353673750567442</v>
      </c>
      <c r="X41" s="157">
        <f t="shared" si="11"/>
        <v>46414</v>
      </c>
      <c r="Y41" s="385">
        <f t="shared" si="12"/>
        <v>20.236648713481195</v>
      </c>
      <c r="Z41" s="385">
        <f t="shared" si="22"/>
        <v>21.751025226737088</v>
      </c>
      <c r="AA41" s="386">
        <f t="shared" si="13"/>
        <v>25.404852443736409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0.14382398894429232</v>
      </c>
      <c r="AD41" s="231">
        <f>(INDEX(Models!$BJ41:$BT41,,AH41)*(1-AF41)+INDEX(Models!$BJ41:$BT41,,AH41+1)*AF41-ERP_i)*AE41*Ramure*Pc/MaxiM</f>
        <v>3.71195065397358E-3</v>
      </c>
      <c r="AE41" s="305">
        <f t="shared" si="15"/>
        <v>0.7</v>
      </c>
      <c r="AF41" s="177">
        <f t="shared" si="23"/>
        <v>3.5228774714957112E-4</v>
      </c>
      <c r="AG41" s="810">
        <f t="shared" si="24"/>
        <v>2</v>
      </c>
      <c r="AH41" s="176">
        <f t="shared" si="16"/>
        <v>8</v>
      </c>
      <c r="AI41" s="225">
        <f t="shared" si="17"/>
        <v>2.0003522877471496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3.9711318436353569</v>
      </c>
      <c r="C42" s="840"/>
      <c r="D42" s="393">
        <f t="shared" si="0"/>
        <v>4.2684043331221586</v>
      </c>
      <c r="E42" s="385">
        <f t="shared" si="1"/>
        <v>4.7399711096154427</v>
      </c>
      <c r="F42" s="385">
        <f t="shared" si="2"/>
        <v>4.7399711096154427</v>
      </c>
      <c r="G42" s="110">
        <f t="shared" si="21"/>
        <v>0.18553545562800536</v>
      </c>
      <c r="H42" s="414" t="b">
        <f>Wh_hp&gt;='2026'!Maxi_hp</f>
        <v>0</v>
      </c>
      <c r="I42" s="390">
        <f>IF(H42,Wh_hp,'2026'!Maxi_hp)</f>
        <v>17.271645259588524</v>
      </c>
      <c r="J42" s="85">
        <f>IF(H42,An,'2026'!An_max)</f>
        <v>2020</v>
      </c>
      <c r="K42" s="197">
        <f t="shared" si="3"/>
        <v>46415</v>
      </c>
      <c r="L42" s="147">
        <f>IF(t&lt;Tvie,1-EXP((T0-t)*PertePVj)+'2026'!Pspv,1-EXP((T0-t)*PertePVj)+Pspv)</f>
        <v>6.9644875763060443E-2</v>
      </c>
      <c r="M42" s="844"/>
      <c r="N42" s="844"/>
      <c r="O42" s="48">
        <f>IF(t&lt;Tnet,'2026'!Resal+('2026'!Salim-'2026'!Resal)*(1-EXP(('2026'!Tnet-t)/('2026'!Tau_j))),Resal+(Salim-Resal)*(1-EXP((Tnet-t)/(Tau_j))))*Salcycl</f>
        <v>9.9487268084117675E-2</v>
      </c>
      <c r="P42" s="169">
        <f>(INDEX(Models!$BJ42:$BT42,,T42)*(1-R42)+INDEX(Models!$BJ42:$BT42,,T42+1)*R42-ERP_i)*Q42*Ramure*Pc/MaxiM</f>
        <v>6.0324817051228313E-4</v>
      </c>
      <c r="Q42" s="305">
        <f t="shared" si="4"/>
        <v>0.7</v>
      </c>
      <c r="R42" s="177">
        <f t="shared" si="5"/>
        <v>0.18042990126064251</v>
      </c>
      <c r="S42" s="810">
        <f t="shared" si="6"/>
        <v>-1</v>
      </c>
      <c r="T42" s="176">
        <f t="shared" si="7"/>
        <v>5</v>
      </c>
      <c r="U42" s="251">
        <f t="shared" si="8"/>
        <v>-0.81957009873935749</v>
      </c>
      <c r="V42" s="383">
        <f t="shared" si="9"/>
        <v>21.390716142002812</v>
      </c>
      <c r="W42" s="402">
        <f t="shared" si="10"/>
        <v>3.9711318436353569</v>
      </c>
      <c r="X42" s="157">
        <f t="shared" si="11"/>
        <v>46415</v>
      </c>
      <c r="Y42" s="385">
        <f t="shared" si="12"/>
        <v>3.7754405496090291</v>
      </c>
      <c r="Z42" s="385">
        <f t="shared" si="22"/>
        <v>4.058063906194505</v>
      </c>
      <c r="AA42" s="386">
        <f t="shared" si="13"/>
        <v>4.7399711096154427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0.14386315605123187</v>
      </c>
      <c r="AD42" s="231">
        <f>(INDEX(Models!$BJ42:$BT42,,AH42)*(1-AF42)+INDEX(Models!$BJ42:$BT42,,AH42+1)*AF42-ERP_i)*AE42*Ramure*Pc/MaxiM</f>
        <v>3.787402440410861E-3</v>
      </c>
      <c r="AE42" s="305">
        <f t="shared" si="15"/>
        <v>0.7</v>
      </c>
      <c r="AF42" s="177">
        <f t="shared" si="23"/>
        <v>4.1995435982622453E-4</v>
      </c>
      <c r="AG42" s="810">
        <f t="shared" si="24"/>
        <v>2</v>
      </c>
      <c r="AH42" s="176">
        <f t="shared" si="16"/>
        <v>8</v>
      </c>
      <c r="AI42" s="225">
        <f t="shared" si="17"/>
        <v>2.0004199543598262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9.0459267152513299</v>
      </c>
      <c r="C43" s="840"/>
      <c r="D43" s="393">
        <f t="shared" si="0"/>
        <v>9.7233163943711869</v>
      </c>
      <c r="E43" s="385">
        <f t="shared" si="1"/>
        <v>10.798589076426975</v>
      </c>
      <c r="F43" s="385">
        <f t="shared" si="2"/>
        <v>10.799737708233733</v>
      </c>
      <c r="G43" s="110">
        <f t="shared" si="21"/>
        <v>0.41758289834876194</v>
      </c>
      <c r="H43" s="414" t="b">
        <f>Wh_hp&gt;='2026'!Maxi_hp</f>
        <v>0</v>
      </c>
      <c r="I43" s="390">
        <f>IF(H43,Wh_hp,'2026'!Maxi_hp)</f>
        <v>16.235625620989971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6.9666526485962832E-2</v>
      </c>
      <c r="M43" s="844"/>
      <c r="N43" s="844"/>
      <c r="O43" s="48">
        <f>IF(t&lt;Tnet,'2026'!Resal+('2026'!Salim-'2026'!Resal)*(1-EXP(('2026'!Tnet-t)/('2026'!Tau_j))),Resal+(Salim-Resal)*(1-EXP((Tnet-t)/(Tau_j))))*Salcycl</f>
        <v>9.9575293998646411E-2</v>
      </c>
      <c r="P43" s="169">
        <f>(INDEX(Models!$BJ43:$BT43,,T43)*(1-R43)+INDEX(Models!$BJ43:$BT43,,T43+1)*R43-ERP_i)*Q43*Ramure*Pc/MaxiM</f>
        <v>6.3199121578621077E-4</v>
      </c>
      <c r="Q43" s="305">
        <f t="shared" si="4"/>
        <v>0.7</v>
      </c>
      <c r="R43" s="177">
        <f t="shared" si="5"/>
        <v>0.1805003822168707</v>
      </c>
      <c r="S43" s="810">
        <f t="shared" si="6"/>
        <v>-1</v>
      </c>
      <c r="T43" s="176">
        <f t="shared" si="7"/>
        <v>5</v>
      </c>
      <c r="U43" s="251">
        <f t="shared" si="8"/>
        <v>-0.8194996177831293</v>
      </c>
      <c r="V43" s="383">
        <f t="shared" si="9"/>
        <v>21.651201234719842</v>
      </c>
      <c r="W43" s="402">
        <f t="shared" si="10"/>
        <v>9.0459267152513299</v>
      </c>
      <c r="X43" s="157">
        <f t="shared" si="11"/>
        <v>46416</v>
      </c>
      <c r="Y43" s="385">
        <f t="shared" si="12"/>
        <v>8.5959153998576987</v>
      </c>
      <c r="Z43" s="385">
        <f t="shared" si="22"/>
        <v>9.2396067050983106</v>
      </c>
      <c r="AA43" s="386">
        <f t="shared" si="13"/>
        <v>10.792703840211102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0.14390250655505921</v>
      </c>
      <c r="AD43" s="231">
        <f>(INDEX(Models!$BJ43:$BT43,,AH43)*(1-AF43)+INDEX(Models!$BJ43:$BT43,,AH43+1)*AF43-ERP_i)*AE43*Ramure*Pc/MaxiM</f>
        <v>3.8701198914614298E-3</v>
      </c>
      <c r="AE43" s="305">
        <f t="shared" si="15"/>
        <v>0.7</v>
      </c>
      <c r="AF43" s="177">
        <f t="shared" si="23"/>
        <v>4.9043531605441615E-4</v>
      </c>
      <c r="AG43" s="810">
        <f t="shared" si="24"/>
        <v>2</v>
      </c>
      <c r="AH43" s="176">
        <f t="shared" si="16"/>
        <v>8</v>
      </c>
      <c r="AI43" s="225">
        <f t="shared" si="17"/>
        <v>2.0004904353160544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4.3271743442537307</v>
      </c>
      <c r="C44" s="840"/>
      <c r="D44" s="393">
        <f t="shared" si="0"/>
        <v>4.6513160812336478</v>
      </c>
      <c r="E44" s="385">
        <f t="shared" si="1"/>
        <v>5.1661967012344672</v>
      </c>
      <c r="F44" s="385">
        <f t="shared" si="2"/>
        <v>5.1661967012344672</v>
      </c>
      <c r="G44" s="110">
        <f t="shared" si="21"/>
        <v>0.19731042540793428</v>
      </c>
      <c r="H44" s="414" t="b">
        <f>Wh_hp&gt;='2026'!Maxi_hp</f>
        <v>0</v>
      </c>
      <c r="I44" s="390">
        <f>IF(H44,Wh_hp,'2026'!Maxi_hp)</f>
        <v>11.307083616802787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6.9688176705021254E-2</v>
      </c>
      <c r="M44" s="844"/>
      <c r="N44" s="844"/>
      <c r="O44" s="48">
        <f>IF(t&lt;Tnet,'2026'!Resal+('2026'!Salim-'2026'!Resal)*(1-EXP(('2026'!Tnet-t)/('2026'!Tau_j))),Resal+(Salim-Resal)*(1-EXP((Tnet-t)/(Tau_j))))*Salcycl</f>
        <v>9.9663379034288055E-2</v>
      </c>
      <c r="P44" s="169">
        <f>(INDEX(Models!$BJ44:$BT44,,T44)*(1-R44)+INDEX(Models!$BJ44:$BT44,,T44+1)*R44-ERP_i)*Q44*Ramure*Pc/MaxiM</f>
        <v>6.6192111503014534E-4</v>
      </c>
      <c r="Q44" s="305">
        <f t="shared" si="4"/>
        <v>0.7</v>
      </c>
      <c r="R44" s="177">
        <f t="shared" si="5"/>
        <v>0.18057379350726543</v>
      </c>
      <c r="S44" s="810">
        <f t="shared" si="6"/>
        <v>-1</v>
      </c>
      <c r="T44" s="176">
        <f t="shared" si="7"/>
        <v>5</v>
      </c>
      <c r="U44" s="251">
        <f t="shared" si="8"/>
        <v>-0.81942620649273457</v>
      </c>
      <c r="V44" s="383">
        <f t="shared" si="9"/>
        <v>21.916277800559456</v>
      </c>
      <c r="W44" s="402">
        <f t="shared" si="10"/>
        <v>4.3271743442537307</v>
      </c>
      <c r="X44" s="157">
        <f t="shared" si="11"/>
        <v>46417</v>
      </c>
      <c r="Y44" s="385">
        <f t="shared" si="12"/>
        <v>4.1143634062093497</v>
      </c>
      <c r="Z44" s="385">
        <f t="shared" si="22"/>
        <v>4.4225638148261899</v>
      </c>
      <c r="AA44" s="386">
        <f t="shared" si="13"/>
        <v>5.1661967012344672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0.14394203887563661</v>
      </c>
      <c r="AD44" s="231">
        <f>(INDEX(Models!$BJ44:$BT44,,AH44)*(1-AF44)+INDEX(Models!$BJ44:$BT44,,AH44+1)*AF44-ERP_i)*AE44*Ramure*Pc/MaxiM</f>
        <v>3.9651274065559839E-3</v>
      </c>
      <c r="AE44" s="305">
        <f t="shared" si="15"/>
        <v>0.7</v>
      </c>
      <c r="AF44" s="177">
        <f t="shared" si="23"/>
        <v>5.638466064494807E-4</v>
      </c>
      <c r="AG44" s="810">
        <f t="shared" si="24"/>
        <v>2</v>
      </c>
      <c r="AH44" s="176">
        <f t="shared" si="16"/>
        <v>8</v>
      </c>
      <c r="AI44" s="225">
        <f t="shared" si="17"/>
        <v>2.0005638466064495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7.6426330643410036</v>
      </c>
      <c r="C45" s="840"/>
      <c r="D45" s="393">
        <f t="shared" si="0"/>
        <v>8.2153217150861479</v>
      </c>
      <c r="E45" s="385">
        <f t="shared" si="1"/>
        <v>9.125615771875923</v>
      </c>
      <c r="F45" s="385">
        <f t="shared" si="2"/>
        <v>9.1260169755181124</v>
      </c>
      <c r="G45" s="110">
        <f t="shared" si="21"/>
        <v>0.3442629543910542</v>
      </c>
      <c r="H45" s="414" t="b">
        <f>Wh_hp&gt;='2026'!Maxi_hp</f>
        <v>0</v>
      </c>
      <c r="I45" s="390">
        <f>IF(H45,Wh_hp,'2026'!Maxi_hp)</f>
        <v>20.821047723853216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6.9709826420247367E-2</v>
      </c>
      <c r="M45" s="844"/>
      <c r="N45" s="844"/>
      <c r="O45" s="48">
        <f>IF(t&lt;Tnet,'2026'!Resal+('2026'!Salim-'2026'!Resal)*(1-EXP(('2026'!Tnet-t)/('2026'!Tau_j))),Resal+(Salim-Resal)*(1-EXP((Tnet-t)/(Tau_j))))*Salcycl</f>
        <v>9.9751521381734612E-2</v>
      </c>
      <c r="P45" s="169">
        <f>(INDEX(Models!$BJ45:$BT45,,T45)*(1-R45)+INDEX(Models!$BJ45:$BT45,,T45+1)*R45-ERP_i)*Q45*Ramure*Pc/MaxiM</f>
        <v>6.917626077901194E-4</v>
      </c>
      <c r="Q45" s="305">
        <f t="shared" si="4"/>
        <v>0.7</v>
      </c>
      <c r="R45" s="177">
        <f t="shared" si="5"/>
        <v>0.18065025581240957</v>
      </c>
      <c r="S45" s="810">
        <f t="shared" si="6"/>
        <v>-1</v>
      </c>
      <c r="T45" s="176">
        <f t="shared" si="7"/>
        <v>5</v>
      </c>
      <c r="U45" s="251">
        <f t="shared" si="8"/>
        <v>-0.81934974418759043</v>
      </c>
      <c r="V45" s="383">
        <f t="shared" si="9"/>
        <v>22.185605077963288</v>
      </c>
      <c r="W45" s="402">
        <f t="shared" si="10"/>
        <v>7.6426330643410036</v>
      </c>
      <c r="X45" s="157">
        <f t="shared" si="11"/>
        <v>46418</v>
      </c>
      <c r="Y45" s="385">
        <f t="shared" si="12"/>
        <v>7.2655820821621973</v>
      </c>
      <c r="Z45" s="385">
        <f t="shared" si="22"/>
        <v>7.8100170124384611</v>
      </c>
      <c r="AA45" s="386">
        <f t="shared" si="13"/>
        <v>9.1236571315943156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0.14398174988479676</v>
      </c>
      <c r="AD45" s="231">
        <f>(INDEX(Models!$BJ45:$BT45,,AH45)*(1-AF45)+INDEX(Models!$BJ45:$BT45,,AH45+1)*AF45-ERP_i)*AE45*Ramure*Pc/MaxiM</f>
        <v>4.0688857603429279E-3</v>
      </c>
      <c r="AE45" s="305">
        <f t="shared" si="15"/>
        <v>0.7</v>
      </c>
      <c r="AF45" s="177">
        <f t="shared" si="23"/>
        <v>6.4030891159339021E-4</v>
      </c>
      <c r="AG45" s="810">
        <f t="shared" si="24"/>
        <v>2</v>
      </c>
      <c r="AH45" s="176">
        <f t="shared" si="16"/>
        <v>8</v>
      </c>
      <c r="AI45" s="225">
        <f t="shared" si="17"/>
        <v>2.0006403089115934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8.980750099864002</v>
      </c>
      <c r="C46" s="840"/>
      <c r="D46" s="393">
        <f t="shared" si="0"/>
        <v>9.6539331006194562</v>
      </c>
      <c r="E46" s="385">
        <f t="shared" si="1"/>
        <v>10.724682365087498</v>
      </c>
      <c r="F46" s="385">
        <f t="shared" si="2"/>
        <v>10.725786543731274</v>
      </c>
      <c r="G46" s="110">
        <f t="shared" si="21"/>
        <v>0.39962901884733898</v>
      </c>
      <c r="H46" s="414" t="b">
        <f>Wh_hp&gt;='2026'!Maxi_hp</f>
        <v>0</v>
      </c>
      <c r="I46" s="390">
        <f>IF(H46,Wh_hp,'2026'!Maxi_hp)</f>
        <v>21.147132908302876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6.973147563165305E-2</v>
      </c>
      <c r="M46" s="844"/>
      <c r="N46" s="844"/>
      <c r="O46" s="48">
        <f>IF(t&lt;Tnet,'2026'!Resal+('2026'!Salim-'2026'!Resal)*(1-EXP(('2026'!Tnet-t)/('2026'!Tau_j))),Resal+(Salim-Resal)*(1-EXP((Tnet-t)/(Tau_j))))*Salcycl</f>
        <v>9.9839718139690128E-2</v>
      </c>
      <c r="P46" s="169">
        <f>(INDEX(Models!$BJ46:$BT46,,T46)*(1-R46)+INDEX(Models!$BJ46:$BT46,,T46+1)*R46-ERP_i)*Q46*Ramure*Pc/MaxiM</f>
        <v>7.2151501504959096E-4</v>
      </c>
      <c r="Q46" s="305">
        <f t="shared" si="4"/>
        <v>0.7</v>
      </c>
      <c r="R46" s="177">
        <f t="shared" si="5"/>
        <v>0.18072989468476186</v>
      </c>
      <c r="S46" s="810">
        <f t="shared" si="6"/>
        <v>-1</v>
      </c>
      <c r="T46" s="176">
        <f t="shared" si="7"/>
        <v>5</v>
      </c>
      <c r="U46" s="251">
        <f t="shared" si="8"/>
        <v>-0.81927010531523814</v>
      </c>
      <c r="V46" s="383">
        <f t="shared" si="9"/>
        <v>22.458815282200472</v>
      </c>
      <c r="W46" s="402">
        <f t="shared" si="10"/>
        <v>8.980750099864002</v>
      </c>
      <c r="X46" s="157">
        <f t="shared" si="11"/>
        <v>46419</v>
      </c>
      <c r="Y46" s="385">
        <f t="shared" si="12"/>
        <v>8.5357385561138646</v>
      </c>
      <c r="Z46" s="385">
        <f t="shared" si="22"/>
        <v>9.1755641865983133</v>
      </c>
      <c r="AA46" s="386">
        <f t="shared" si="13"/>
        <v>10.719387966541852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0.14402163488831976</v>
      </c>
      <c r="AD46" s="231">
        <f>(INDEX(Models!$BJ46:$BT46,,AH46)*(1-AF46)+INDEX(Models!$BJ46:$BT46,,AH46+1)*AF46-ERP_i)*AE46*Ramure*Pc/MaxiM</f>
        <v>4.1810893039289088E-3</v>
      </c>
      <c r="AE46" s="305">
        <f t="shared" si="15"/>
        <v>0.7</v>
      </c>
      <c r="AF46" s="177">
        <f t="shared" si="23"/>
        <v>7.1994778394568471E-4</v>
      </c>
      <c r="AG46" s="810">
        <f t="shared" si="24"/>
        <v>2</v>
      </c>
      <c r="AH46" s="176">
        <f t="shared" si="16"/>
        <v>8</v>
      </c>
      <c r="AI46" s="225">
        <f t="shared" si="17"/>
        <v>2.0007199477839457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5.0892052720928671</v>
      </c>
      <c r="C47" s="840"/>
      <c r="D47" s="393">
        <f t="shared" si="0"/>
        <v>5.4708114644061858</v>
      </c>
      <c r="E47" s="385">
        <f t="shared" si="1"/>
        <v>6.0781929152358032</v>
      </c>
      <c r="F47" s="385">
        <f t="shared" si="2"/>
        <v>6.0781929152358032</v>
      </c>
      <c r="G47" s="110">
        <f t="shared" si="21"/>
        <v>0.22367545163929328</v>
      </c>
      <c r="H47" s="414" t="b">
        <f>Wh_hp&gt;='2026'!Maxi_hp</f>
        <v>0</v>
      </c>
      <c r="I47" s="390">
        <f>IF(H47,Wh_hp,'2026'!Maxi_hp)</f>
        <v>24.623005802832068</v>
      </c>
      <c r="J47" s="85">
        <f>IF(H47,An,'2026'!An_max)</f>
        <v>2020</v>
      </c>
      <c r="K47" s="197">
        <f t="shared" si="3"/>
        <v>46420</v>
      </c>
      <c r="L47" s="147">
        <f>IF(t&lt;Tvie,1-EXP((T0-t)*PertePVj)+'2026'!Pspv,1-EXP((T0-t)*PertePVj)+Pspv)</f>
        <v>6.9753124339249961E-2</v>
      </c>
      <c r="M47" s="844"/>
      <c r="N47" s="844"/>
      <c r="O47" s="48">
        <f>IF(t&lt;Tnet,'2026'!Resal+('2026'!Salim-'2026'!Resal)*(1-EXP(('2026'!Tnet-t)/('2026'!Tau_j))),Resal+(Salim-Resal)*(1-EXP((Tnet-t)/(Tau_j))))*Salcycl</f>
        <v>9.9927965317970505E-2</v>
      </c>
      <c r="P47" s="169">
        <f>(INDEX(Models!$BJ47:$BT47,,T47)*(1-R47)+INDEX(Models!$BJ47:$BT47,,T47+1)*R47-ERP_i)*Q47*Ramure*Pc/MaxiM</f>
        <v>7.51179840869381E-4</v>
      </c>
      <c r="Q47" s="305">
        <f t="shared" si="4"/>
        <v>0.7</v>
      </c>
      <c r="R47" s="177">
        <f t="shared" si="5"/>
        <v>0.1808128407369578</v>
      </c>
      <c r="S47" s="810">
        <f t="shared" si="6"/>
        <v>-1</v>
      </c>
      <c r="T47" s="176">
        <f t="shared" si="7"/>
        <v>5</v>
      </c>
      <c r="U47" s="251">
        <f t="shared" si="8"/>
        <v>-0.8191871592630422</v>
      </c>
      <c r="V47" s="383">
        <f t="shared" si="9"/>
        <v>22.73554083121865</v>
      </c>
      <c r="W47" s="402">
        <f t="shared" si="10"/>
        <v>5.0892052720928671</v>
      </c>
      <c r="X47" s="157">
        <f t="shared" si="11"/>
        <v>46420</v>
      </c>
      <c r="Y47" s="385">
        <f t="shared" si="12"/>
        <v>4.8396634980583144</v>
      </c>
      <c r="Z47" s="385">
        <f t="shared" si="22"/>
        <v>5.202558186095195</v>
      </c>
      <c r="AA47" s="386">
        <f t="shared" si="13"/>
        <v>6.0781929152358032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0.14406168763510493</v>
      </c>
      <c r="AD47" s="231">
        <f>(INDEX(Models!$BJ47:$BT47,,AH47)*(1-AF47)+INDEX(Models!$BJ47:$BT47,,AH47+1)*AF47-ERP_i)*AE47*Ramure*Pc/MaxiM</f>
        <v>4.3014455978104393E-3</v>
      </c>
      <c r="AE47" s="305">
        <f t="shared" si="15"/>
        <v>0.7</v>
      </c>
      <c r="AF47" s="177">
        <f t="shared" si="23"/>
        <v>8.0289383614173815E-4</v>
      </c>
      <c r="AG47" s="810">
        <f t="shared" si="24"/>
        <v>2</v>
      </c>
      <c r="AH47" s="176">
        <f t="shared" si="16"/>
        <v>8</v>
      </c>
      <c r="AI47" s="225">
        <f t="shared" si="17"/>
        <v>2.0008028938361417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9.2517401382229139</v>
      </c>
      <c r="C48" s="840"/>
      <c r="D48" s="393">
        <f t="shared" si="0"/>
        <v>9.9456990255094695</v>
      </c>
      <c r="E48" s="385">
        <f t="shared" si="1"/>
        <v>11.050976323027825</v>
      </c>
      <c r="F48" s="385">
        <f t="shared" si="2"/>
        <v>11.052233468790529</v>
      </c>
      <c r="G48" s="110">
        <f t="shared" si="21"/>
        <v>0.40171201134023898</v>
      </c>
      <c r="H48" s="414" t="b">
        <f>Wh_hp&gt;='2026'!Maxi_hp</f>
        <v>0</v>
      </c>
      <c r="I48" s="390">
        <f>IF(H48,Wh_hp,'2026'!Maxi_hp)</f>
        <v>23.131615520800864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6.9774772543049868E-2</v>
      </c>
      <c r="M48" s="844"/>
      <c r="N48" s="844"/>
      <c r="O48" s="48">
        <f>IF(t&lt;Tnet,'2026'!Resal+('2026'!Salim-'2026'!Resal)*(1-EXP(('2026'!Tnet-t)/('2026'!Tau_j))),Resal+(Salim-Resal)*(1-EXP((Tnet-t)/(Tau_j))))*Salcycl</f>
        <v>0.10001625785906344</v>
      </c>
      <c r="P48" s="169">
        <f>(INDEX(Models!$BJ48:$BT48,,T48)*(1-R48)+INDEX(Models!$BJ48:$BT48,,T48+1)*R48-ERP_i)*Q48*Ramure*Pc/MaxiM</f>
        <v>7.8076061962208164E-4</v>
      </c>
      <c r="Q48" s="305">
        <f t="shared" si="4"/>
        <v>0.7</v>
      </c>
      <c r="R48" s="177">
        <f t="shared" si="5"/>
        <v>0.18089922983666418</v>
      </c>
      <c r="S48" s="810">
        <f t="shared" si="6"/>
        <v>-1</v>
      </c>
      <c r="T48" s="176">
        <f t="shared" si="7"/>
        <v>5</v>
      </c>
      <c r="U48" s="251">
        <f t="shared" si="8"/>
        <v>-0.81910077016333582</v>
      </c>
      <c r="V48" s="383">
        <f t="shared" si="9"/>
        <v>23.015414346485571</v>
      </c>
      <c r="W48" s="402">
        <f t="shared" si="10"/>
        <v>9.2517401382229139</v>
      </c>
      <c r="X48" s="157">
        <f t="shared" si="11"/>
        <v>46421</v>
      </c>
      <c r="Y48" s="385">
        <f t="shared" si="12"/>
        <v>8.793866474637607</v>
      </c>
      <c r="Z48" s="385">
        <f t="shared" si="22"/>
        <v>9.4534809582387709</v>
      </c>
      <c r="AA48" s="386">
        <f t="shared" si="13"/>
        <v>11.045101002252951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0.14410190035288276</v>
      </c>
      <c r="AD48" s="231">
        <f>(INDEX(Models!$BJ48:$BT48,,AH48)*(1-AF48)+INDEX(Models!$BJ48:$BT48,,AH48+1)*AF48-ERP_i)*AE48*Ramure*Pc/MaxiM</f>
        <v>4.429676461171538E-3</v>
      </c>
      <c r="AE48" s="305">
        <f t="shared" si="15"/>
        <v>0.7</v>
      </c>
      <c r="AF48" s="177">
        <f t="shared" si="23"/>
        <v>8.8928293584800144E-4</v>
      </c>
      <c r="AG48" s="810">
        <f t="shared" si="24"/>
        <v>2</v>
      </c>
      <c r="AH48" s="176">
        <f t="shared" si="16"/>
        <v>8</v>
      </c>
      <c r="AI48" s="225">
        <f t="shared" si="17"/>
        <v>2.000889282935848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9.1331419526369633</v>
      </c>
      <c r="C49" s="840"/>
      <c r="D49" s="393">
        <f t="shared" si="0"/>
        <v>9.8184334605801826</v>
      </c>
      <c r="E49" s="385">
        <f t="shared" si="1"/>
        <v>10.910638445263848</v>
      </c>
      <c r="F49" s="385">
        <f t="shared" si="2"/>
        <v>10.911800623345524</v>
      </c>
      <c r="G49" s="110">
        <f t="shared" si="21"/>
        <v>0.39173692446649511</v>
      </c>
      <c r="H49" s="414" t="b">
        <f>Wh_hp&gt;='2026'!Maxi_hp</f>
        <v>0</v>
      </c>
      <c r="I49" s="390">
        <f>IF(H49,Wh_hp,'2026'!Maxi_hp)</f>
        <v>21.711002332701614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6.9796420243064317E-2</v>
      </c>
      <c r="M49" s="844"/>
      <c r="N49" s="844"/>
      <c r="O49" s="48">
        <f>IF(t&lt;Tnet,'2026'!Resal+('2026'!Salim-'2026'!Resal)*(1-EXP(('2026'!Tnet-t)/('2026'!Tau_j))),Resal+(Salim-Resal)*(1-EXP((Tnet-t)/(Tau_j))))*Salcycl</f>
        <v>0.10010458967758898</v>
      </c>
      <c r="P49" s="169">
        <f>(INDEX(Models!$BJ49:$BT49,,T49)*(1-R49)+INDEX(Models!$BJ49:$BT49,,T49+1)*R49-ERP_i)*Q49*Ramure*Pc/MaxiM</f>
        <v>8.102627710644089E-4</v>
      </c>
      <c r="Q49" s="305">
        <f t="shared" si="4"/>
        <v>0.7</v>
      </c>
      <c r="R49" s="177">
        <f t="shared" si="5"/>
        <v>0.18098920330815693</v>
      </c>
      <c r="S49" s="810">
        <f t="shared" si="6"/>
        <v>-1</v>
      </c>
      <c r="T49" s="176">
        <f t="shared" si="7"/>
        <v>5</v>
      </c>
      <c r="U49" s="251">
        <f t="shared" si="8"/>
        <v>-0.81901079669184307</v>
      </c>
      <c r="V49" s="383">
        <f t="shared" si="9"/>
        <v>23.298068658766034</v>
      </c>
      <c r="W49" s="402">
        <f t="shared" si="10"/>
        <v>9.1331419526369633</v>
      </c>
      <c r="X49" s="157">
        <f t="shared" si="11"/>
        <v>46422</v>
      </c>
      <c r="Y49" s="385">
        <f t="shared" si="12"/>
        <v>8.6819104260260112</v>
      </c>
      <c r="Z49" s="385">
        <f t="shared" si="22"/>
        <v>9.3333444580965974</v>
      </c>
      <c r="AA49" s="386">
        <f t="shared" si="13"/>
        <v>10.905252197217619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0.14414226380955045</v>
      </c>
      <c r="AD49" s="231">
        <f>(INDEX(Models!$BJ49:$BT49,,AH49)*(1-AF49)+INDEX(Models!$BJ49:$BT49,,AH49+1)*AF49-ERP_i)*AE49*Ramure*Pc/MaxiM</f>
        <v>4.5655188169247416E-3</v>
      </c>
      <c r="AE49" s="305">
        <f t="shared" si="15"/>
        <v>0.7</v>
      </c>
      <c r="AF49" s="177">
        <f t="shared" si="23"/>
        <v>9.7925640734075614E-4</v>
      </c>
      <c r="AG49" s="810">
        <f t="shared" si="24"/>
        <v>2</v>
      </c>
      <c r="AH49" s="176">
        <f t="shared" si="16"/>
        <v>8</v>
      </c>
      <c r="AI49" s="225">
        <f t="shared" si="17"/>
        <v>2.0009792564073408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8.401582871425143</v>
      </c>
      <c r="C50" s="840"/>
      <c r="D50" s="393">
        <f t="shared" si="0"/>
        <v>9.0321931412884506</v>
      </c>
      <c r="E50" s="385">
        <f t="shared" si="1"/>
        <v>10.037922217433918</v>
      </c>
      <c r="F50" s="385">
        <f t="shared" si="2"/>
        <v>10.038599621786595</v>
      </c>
      <c r="G50" s="110">
        <f t="shared" si="21"/>
        <v>0.3559787100112427</v>
      </c>
      <c r="H50" s="414" t="b">
        <f>Wh_hp&gt;='2026'!Maxi_hp</f>
        <v>0</v>
      </c>
      <c r="I50" s="390">
        <f>IF(H50,Wh_hp,'2026'!Maxi_hp)</f>
        <v>28.631560461107572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6.9818067439305298E-2</v>
      </c>
      <c r="M50" s="844"/>
      <c r="N50" s="844"/>
      <c r="O50" s="48">
        <f>IF(t&lt;Tnet,'2026'!Resal+('2026'!Salim-'2026'!Resal)*(1-EXP(('2026'!Tnet-t)/('2026'!Tau_j))),Resal+(Salim-Resal)*(1-EXP((Tnet-t)/(Tau_j))))*Salcycl</f>
        <v>0.1001929537169267</v>
      </c>
      <c r="P50" s="169">
        <f>(INDEX(Models!$BJ50:$BT50,,T50)*(1-R50)+INDEX(Models!$BJ50:$BT50,,T50+1)*R50-ERP_i)*Q50*Ramure*Pc/MaxiM</f>
        <v>8.3969346493883187E-4</v>
      </c>
      <c r="Q50" s="305">
        <f t="shared" si="4"/>
        <v>0.7</v>
      </c>
      <c r="R50" s="177">
        <f t="shared" si="5"/>
        <v>0.18108290814078165</v>
      </c>
      <c r="S50" s="810">
        <f t="shared" si="6"/>
        <v>-1</v>
      </c>
      <c r="T50" s="176">
        <f t="shared" si="7"/>
        <v>5</v>
      </c>
      <c r="U50" s="251">
        <f t="shared" si="8"/>
        <v>-0.81891709185921835</v>
      </c>
      <c r="V50" s="383">
        <f t="shared" si="9"/>
        <v>23.583136805063454</v>
      </c>
      <c r="W50" s="402">
        <f t="shared" si="10"/>
        <v>8.401582871425143</v>
      </c>
      <c r="X50" s="157">
        <f t="shared" si="11"/>
        <v>46423</v>
      </c>
      <c r="Y50" s="385">
        <f t="shared" si="12"/>
        <v>7.9883611253317595</v>
      </c>
      <c r="Z50" s="385">
        <f t="shared" si="22"/>
        <v>8.5879555877210247</v>
      </c>
      <c r="AA50" s="386">
        <f t="shared" si="13"/>
        <v>10.034800960504366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0.14418276739896793</v>
      </c>
      <c r="AD50" s="231">
        <f>(INDEX(Models!$BJ50:$BT50,,AH50)*(1-AF50)+INDEX(Models!$BJ50:$BT50,,AH50+1)*AF50-ERP_i)*AE50*Ramure*Pc/MaxiM</f>
        <v>4.7087253596704258E-3</v>
      </c>
      <c r="AE50" s="305">
        <f t="shared" si="15"/>
        <v>0.7</v>
      </c>
      <c r="AF50" s="177">
        <f t="shared" si="23"/>
        <v>1.0729612399655863E-3</v>
      </c>
      <c r="AG50" s="810">
        <f t="shared" si="24"/>
        <v>2</v>
      </c>
      <c r="AH50" s="176">
        <f t="shared" si="16"/>
        <v>8</v>
      </c>
      <c r="AI50" s="225">
        <f t="shared" si="17"/>
        <v>2.0010729612399656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16.03427375452992</v>
      </c>
      <c r="C51" s="840"/>
      <c r="D51" s="393">
        <f t="shared" si="0"/>
        <v>17.238183567000451</v>
      </c>
      <c r="E51" s="385">
        <f t="shared" si="1"/>
        <v>19.159526607732147</v>
      </c>
      <c r="F51" s="385">
        <f t="shared" si="2"/>
        <v>19.168371321466125</v>
      </c>
      <c r="G51" s="110">
        <f t="shared" si="21"/>
        <v>0.67140982768835178</v>
      </c>
      <c r="H51" s="414" t="b">
        <f>Wh_hp&gt;='2026'!Maxi_hp</f>
        <v>0</v>
      </c>
      <c r="I51" s="390">
        <f>IF(H51,Wh_hp,'2026'!Maxi_hp)</f>
        <v>29.492309215343429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6.9839714131784247E-2</v>
      </c>
      <c r="M51" s="844"/>
      <c r="N51" s="844"/>
      <c r="O51" s="48">
        <f>IF(t&lt;Tnet,'2026'!Resal+('2026'!Salim-'2026'!Resal)*(1-EXP(('2026'!Tnet-t)/('2026'!Tau_j))),Resal+(Salim-Resal)*(1-EXP((Tnet-t)/(Tau_j))))*Salcycl</f>
        <v>0.10028134202210949</v>
      </c>
      <c r="P51" s="169">
        <f>(INDEX(Models!$BJ51:$BT51,,T51)*(1-R51)+INDEX(Models!$BJ51:$BT51,,T51+1)*R51-ERP_i)*Q51*Ramure*Pc/MaxiM</f>
        <v>8.6900658268949948E-4</v>
      </c>
      <c r="Q51" s="305">
        <f t="shared" si="4"/>
        <v>0.7</v>
      </c>
      <c r="R51" s="177">
        <f t="shared" si="5"/>
        <v>0.18118049720445695</v>
      </c>
      <c r="S51" s="810">
        <f t="shared" si="6"/>
        <v>-1</v>
      </c>
      <c r="T51" s="176">
        <f t="shared" si="7"/>
        <v>5</v>
      </c>
      <c r="U51" s="251">
        <f t="shared" si="8"/>
        <v>-0.81881950279554305</v>
      </c>
      <c r="V51" s="383">
        <f t="shared" si="9"/>
        <v>23.87176171460731</v>
      </c>
      <c r="W51" s="402">
        <f t="shared" si="10"/>
        <v>16.03427375452992</v>
      </c>
      <c r="X51" s="157">
        <f t="shared" si="11"/>
        <v>46424</v>
      </c>
      <c r="Y51" s="385">
        <f t="shared" si="12"/>
        <v>15.218839450132856</v>
      </c>
      <c r="Z51" s="385">
        <f t="shared" si="22"/>
        <v>16.361523579699519</v>
      </c>
      <c r="AA51" s="386">
        <f t="shared" si="13"/>
        <v>19.118919079298085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0.14422339924981772</v>
      </c>
      <c r="AD51" s="231">
        <f>(INDEX(Models!$BJ51:$BT51,,AH51)*(1-AF51)+INDEX(Models!$BJ51:$BT51,,AH51+1)*AF51-ERP_i)*AE51*Ramure*Pc/MaxiM</f>
        <v>4.858758040714414E-3</v>
      </c>
      <c r="AE51" s="305">
        <f t="shared" si="15"/>
        <v>0.7</v>
      </c>
      <c r="AF51" s="177">
        <f t="shared" si="23"/>
        <v>1.1705503036409937E-3</v>
      </c>
      <c r="AG51" s="810">
        <f t="shared" si="24"/>
        <v>2</v>
      </c>
      <c r="AH51" s="176">
        <f t="shared" si="16"/>
        <v>8</v>
      </c>
      <c r="AI51" s="225">
        <f t="shared" si="17"/>
        <v>2.001170550303641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8.5632949824000999</v>
      </c>
      <c r="C52" s="840"/>
      <c r="D52" s="393">
        <f t="shared" si="0"/>
        <v>9.2064716130392075</v>
      </c>
      <c r="E52" s="385">
        <f t="shared" si="1"/>
        <v>10.233617166990401</v>
      </c>
      <c r="F52" s="385">
        <f t="shared" si="2"/>
        <v>10.23432893859203</v>
      </c>
      <c r="G52" s="110">
        <f t="shared" si="21"/>
        <v>0.3540718786042002</v>
      </c>
      <c r="H52" s="414" t="b">
        <f>Wh_hp&gt;='2026'!Maxi_hp</f>
        <v>0</v>
      </c>
      <c r="I52" s="390">
        <f>IF(H52,Wh_hp,'2026'!Maxi_hp)</f>
        <v>20.449279964874634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6.9861360320513155E-2</v>
      </c>
      <c r="M52" s="844"/>
      <c r="N52" s="844"/>
      <c r="O52" s="48">
        <f>IF(t&lt;Tnet,'2026'!Resal+('2026'!Salim-'2026'!Resal)*(1-EXP(('2026'!Tnet-t)/('2026'!Tau_j))),Resal+(Salim-Resal)*(1-EXP((Tnet-t)/(Tau_j))))*Salcycl</f>
        <v>0.10036974582793251</v>
      </c>
      <c r="P52" s="169">
        <f>(INDEX(Models!$BJ52:$BT52,,T52)*(1-R52)+INDEX(Models!$BJ52:$BT52,,T52+1)*R52-ERP_i)*Q52*Ramure*Pc/MaxiM</f>
        <v>8.9549516094521945E-4</v>
      </c>
      <c r="Q52" s="305">
        <f t="shared" si="4"/>
        <v>0.7</v>
      </c>
      <c r="R52" s="177">
        <f t="shared" si="5"/>
        <v>0.1812821294723781</v>
      </c>
      <c r="S52" s="810">
        <f t="shared" si="6"/>
        <v>-1</v>
      </c>
      <c r="T52" s="176">
        <f t="shared" si="7"/>
        <v>5</v>
      </c>
      <c r="U52" s="251">
        <f t="shared" si="8"/>
        <v>-0.8187178705276219</v>
      </c>
      <c r="V52" s="383">
        <f t="shared" si="9"/>
        <v>24.165211002948993</v>
      </c>
      <c r="W52" s="402">
        <f t="shared" si="10"/>
        <v>8.5632949824000999</v>
      </c>
      <c r="X52" s="157">
        <f t="shared" si="11"/>
        <v>46425</v>
      </c>
      <c r="Y52" s="385">
        <f t="shared" si="12"/>
        <v>8.1428782036468146</v>
      </c>
      <c r="Z52" s="385">
        <f t="shared" si="22"/>
        <v>8.7544779415386298</v>
      </c>
      <c r="AA52" s="386">
        <f t="shared" si="13"/>
        <v>10.230350760995288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0.14426414635592352</v>
      </c>
      <c r="AD52" s="231">
        <f>(INDEX(Models!$BJ52:$BT52,,AH52)*(1-AF52)+INDEX(Models!$BJ52:$BT52,,AH52+1)*AF52-ERP_i)*AE52*Ramure*Pc/MaxiM</f>
        <v>5.0050307979566675E-3</v>
      </c>
      <c r="AE52" s="305">
        <f t="shared" si="15"/>
        <v>0.7</v>
      </c>
      <c r="AF52" s="177">
        <f t="shared" si="23"/>
        <v>1.2721825715620305E-3</v>
      </c>
      <c r="AG52" s="810">
        <f t="shared" si="24"/>
        <v>2</v>
      </c>
      <c r="AH52" s="176">
        <f t="shared" si="16"/>
        <v>8</v>
      </c>
      <c r="AI52" s="225">
        <f t="shared" si="17"/>
        <v>2.001272182571562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25.063214076930468</v>
      </c>
      <c r="C53" s="840"/>
      <c r="D53" s="393">
        <f t="shared" si="0"/>
        <v>26.946302711117617</v>
      </c>
      <c r="E53" s="385">
        <f t="shared" si="1"/>
        <v>29.955585591374994</v>
      </c>
      <c r="F53" s="385">
        <f t="shared" si="2"/>
        <v>29.983116479380318</v>
      </c>
      <c r="G53" s="110">
        <f t="shared" si="21"/>
        <v>1.0245257763407305</v>
      </c>
      <c r="H53" s="414" t="b">
        <f>Wh_hp&gt;='2026'!Maxi_hp</f>
        <v>1</v>
      </c>
      <c r="I53" s="390">
        <f>IF(H53,Wh_hp,'2026'!Maxi_hp)</f>
        <v>29.983116479380318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6.9883006005503567E-2</v>
      </c>
      <c r="M53" s="844"/>
      <c r="N53" s="844"/>
      <c r="O53" s="48">
        <f>IF(t&lt;Tnet,'2026'!Resal+('2026'!Salim-'2026'!Resal)*(1-EXP(('2026'!Tnet-t)/('2026'!Tau_j))),Resal+(Salim-Resal)*(1-EXP((Tnet-t)/(Tau_j))))*Salcycl</f>
        <v>0.10045815566108741</v>
      </c>
      <c r="P53" s="169">
        <f>(INDEX(Models!$BJ53:$BT53,,T53)*(1-R53)+INDEX(Models!$BJ53:$BT53,,T53+1)*R53-ERP_i)*Q53*Ramure*Pc/MaxiM</f>
        <v>9.1821302246077627E-4</v>
      </c>
      <c r="Q53" s="305">
        <f t="shared" si="4"/>
        <v>0.7</v>
      </c>
      <c r="R53" s="177">
        <f t="shared" si="5"/>
        <v>0.18138797025107112</v>
      </c>
      <c r="S53" s="810">
        <f t="shared" si="6"/>
        <v>-1</v>
      </c>
      <c r="T53" s="176">
        <f t="shared" si="7"/>
        <v>5</v>
      </c>
      <c r="U53" s="251">
        <f t="shared" si="8"/>
        <v>-0.81861202974892888</v>
      </c>
      <c r="V53" s="383">
        <f t="shared" si="9"/>
        <v>24.463234264781541</v>
      </c>
      <c r="W53" s="402">
        <f t="shared" si="10"/>
        <v>25.063214076930468</v>
      </c>
      <c r="X53" s="157">
        <f t="shared" si="11"/>
        <v>46426</v>
      </c>
      <c r="Y53" s="385">
        <f t="shared" si="12"/>
        <v>23.740758844700743</v>
      </c>
      <c r="Z53" s="385">
        <f t="shared" si="22"/>
        <v>25.52448670219783</v>
      </c>
      <c r="AA53" s="386">
        <f t="shared" si="13"/>
        <v>29.828953710009774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0.14430499472623079</v>
      </c>
      <c r="AD53" s="231">
        <f>(INDEX(Models!$BJ53:$BT53,,AH53)*(1-AF53)+INDEX(Models!$BJ53:$BT53,,AH53+1)*AF53-ERP_i)*AE53*Ramure*Pc/MaxiM</f>
        <v>5.1416526189518846E-3</v>
      </c>
      <c r="AE53" s="305">
        <f t="shared" si="15"/>
        <v>0.7</v>
      </c>
      <c r="AF53" s="177">
        <f t="shared" si="23"/>
        <v>1.3780233502549422E-3</v>
      </c>
      <c r="AG53" s="810">
        <f t="shared" si="24"/>
        <v>2</v>
      </c>
      <c r="AH53" s="176">
        <f t="shared" si="16"/>
        <v>8</v>
      </c>
      <c r="AI53" s="225">
        <f t="shared" si="17"/>
        <v>2.0013780233502549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25.137500702890922</v>
      </c>
      <c r="C54" s="840"/>
      <c r="D54" s="393">
        <f t="shared" si="0"/>
        <v>27.026799709261471</v>
      </c>
      <c r="E54" s="385">
        <f t="shared" si="1"/>
        <v>30.048025335232055</v>
      </c>
      <c r="F54" s="385">
        <f t="shared" si="2"/>
        <v>30.076215660223141</v>
      </c>
      <c r="G54" s="110">
        <f t="shared" si="21"/>
        <v>1.0150186423570313</v>
      </c>
      <c r="H54" s="414" t="b">
        <f>Wh_hp&gt;='2026'!Maxi_hp</f>
        <v>1</v>
      </c>
      <c r="I54" s="390">
        <f>IF(H54,Wh_hp,'2026'!Maxi_hp)</f>
        <v>30.076215660223141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6.9904651186767364E-2</v>
      </c>
      <c r="M54" s="844"/>
      <c r="N54" s="844"/>
      <c r="O54" s="48">
        <f>IF(t&lt;Tnet,'2026'!Resal+('2026'!Salim-'2026'!Resal)*(1-EXP(('2026'!Tnet-t)/('2026'!Tau_j))),Resal+(Salim-Resal)*(1-EXP((Tnet-t)/(Tau_j))))*Salcycl</f>
        <v>0.10054656145500919</v>
      </c>
      <c r="P54" s="169">
        <f>(INDEX(Models!$BJ54:$BT54,,T54)*(1-R54)+INDEX(Models!$BJ54:$BT54,,T54+1)*R54-ERP_i)*Q54*Ramure*Pc/MaxiM</f>
        <v>9.3729627788141352E-4</v>
      </c>
      <c r="Q54" s="305">
        <f t="shared" si="4"/>
        <v>0.7</v>
      </c>
      <c r="R54" s="177">
        <f t="shared" si="5"/>
        <v>0.1814981914179441</v>
      </c>
      <c r="S54" s="810">
        <f t="shared" si="6"/>
        <v>-1</v>
      </c>
      <c r="T54" s="176">
        <f t="shared" si="7"/>
        <v>5</v>
      </c>
      <c r="U54" s="251">
        <f t="shared" si="8"/>
        <v>-0.8185018085820559</v>
      </c>
      <c r="V54" s="383">
        <f t="shared" si="9"/>
        <v>24.765555679369328</v>
      </c>
      <c r="W54" s="402">
        <f t="shared" si="10"/>
        <v>25.137500702890922</v>
      </c>
      <c r="X54" s="157">
        <f t="shared" si="11"/>
        <v>46427</v>
      </c>
      <c r="Y54" s="385">
        <f t="shared" si="12"/>
        <v>23.809734425664921</v>
      </c>
      <c r="Z54" s="385">
        <f t="shared" si="22"/>
        <v>25.599240396208049</v>
      </c>
      <c r="AA54" s="386">
        <f t="shared" si="13"/>
        <v>29.917745126625071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0.14434592955248488</v>
      </c>
      <c r="AD54" s="231">
        <f>(INDEX(Models!$BJ54:$BT54,,AH54)*(1-AF54)+INDEX(Models!$BJ54:$BT54,,AH54+1)*AF54-ERP_i)*AE54*Ramure*Pc/MaxiM</f>
        <v>5.268965197893989E-3</v>
      </c>
      <c r="AE54" s="305">
        <f t="shared" si="15"/>
        <v>0.7</v>
      </c>
      <c r="AF54" s="177">
        <f t="shared" si="23"/>
        <v>1.4882445171280345E-3</v>
      </c>
      <c r="AG54" s="810">
        <f t="shared" si="24"/>
        <v>2</v>
      </c>
      <c r="AH54" s="176">
        <f t="shared" si="16"/>
        <v>8</v>
      </c>
      <c r="AI54" s="225">
        <f t="shared" si="17"/>
        <v>2.001488244517128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23.592566144120244</v>
      </c>
      <c r="C55" s="840"/>
      <c r="D55" s="393">
        <f t="shared" si="0"/>
        <v>25.36634036551413</v>
      </c>
      <c r="E55" s="385">
        <f t="shared" si="1"/>
        <v>28.204721142977931</v>
      </c>
      <c r="F55" s="385">
        <f t="shared" si="2"/>
        <v>28.229352945303873</v>
      </c>
      <c r="G55" s="110">
        <f t="shared" si="21"/>
        <v>0.94092070983769671</v>
      </c>
      <c r="H55" s="414" t="b">
        <f>Wh_hp&gt;='2026'!Maxi_hp</f>
        <v>0</v>
      </c>
      <c r="I55" s="390">
        <f>IF(H55,Wh_hp,'2026'!Maxi_hp)</f>
        <v>28.230551215321459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6.992629586431609E-2</v>
      </c>
      <c r="M55" s="844"/>
      <c r="N55" s="844"/>
      <c r="O55" s="48">
        <f>IF(t&lt;Tnet,'2026'!Resal+('2026'!Salim-'2026'!Resal)*(1-EXP(('2026'!Tnet-t)/('2026'!Tau_j))),Resal+(Salim-Resal)*(1-EXP((Tnet-t)/(Tau_j))))*Salcycl</f>
        <v>0.10063495267601559</v>
      </c>
      <c r="P55" s="169">
        <f>(INDEX(Models!$BJ55:$BT55,,T55)*(1-R55)+INDEX(Models!$BJ55:$BT55,,T55+1)*R55-ERP_i)*Q55*Ramure*Pc/MaxiM</f>
        <v>9.5287897954573065E-4</v>
      </c>
      <c r="Q55" s="305">
        <f t="shared" si="4"/>
        <v>0.7</v>
      </c>
      <c r="R55" s="177">
        <f t="shared" si="5"/>
        <v>0.18161297166647405</v>
      </c>
      <c r="S55" s="810">
        <f t="shared" si="6"/>
        <v>-1</v>
      </c>
      <c r="T55" s="176">
        <f t="shared" si="7"/>
        <v>5</v>
      </c>
      <c r="U55" s="251">
        <f t="shared" si="8"/>
        <v>-0.81838702833352595</v>
      </c>
      <c r="V55" s="383">
        <f t="shared" si="9"/>
        <v>25.07189958747389</v>
      </c>
      <c r="W55" s="402">
        <f t="shared" si="10"/>
        <v>23.592566144120244</v>
      </c>
      <c r="X55" s="157">
        <f t="shared" si="11"/>
        <v>46428</v>
      </c>
      <c r="Y55" s="385">
        <f t="shared" si="12"/>
        <v>22.353623391309213</v>
      </c>
      <c r="Z55" s="385">
        <f t="shared" si="22"/>
        <v>24.034249427664879</v>
      </c>
      <c r="AA55" s="386">
        <f t="shared" si="13"/>
        <v>28.090091680273996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0.14438693539249986</v>
      </c>
      <c r="AD55" s="231">
        <f>(INDEX(Models!$BJ55:$BT55,,AH55)*(1-AF55)+INDEX(Models!$BJ55:$BT55,,AH55+1)*AF55-ERP_i)*AE55*Ramure*Pc/MaxiM</f>
        <v>5.3873090712555118E-3</v>
      </c>
      <c r="AE55" s="305">
        <f t="shared" si="15"/>
        <v>0.7</v>
      </c>
      <c r="AF55" s="177">
        <f t="shared" si="23"/>
        <v>1.6030247656577679E-3</v>
      </c>
      <c r="AG55" s="810">
        <f t="shared" si="24"/>
        <v>2</v>
      </c>
      <c r="AH55" s="176">
        <f t="shared" si="16"/>
        <v>8</v>
      </c>
      <c r="AI55" s="225">
        <f t="shared" si="17"/>
        <v>2.0016030247656578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14.996810438524937</v>
      </c>
      <c r="C56" s="840"/>
      <c r="D56" s="393">
        <f t="shared" si="0"/>
        <v>16.124699986299994</v>
      </c>
      <c r="E56" s="385">
        <f t="shared" si="1"/>
        <v>17.930744027158404</v>
      </c>
      <c r="F56" s="385">
        <f t="shared" si="2"/>
        <v>17.937936932838756</v>
      </c>
      <c r="G56" s="110">
        <f t="shared" si="21"/>
        <v>0.59051110613099167</v>
      </c>
      <c r="H56" s="414" t="b">
        <f>Wh_hp&gt;='2026'!Maxi_hp</f>
        <v>0</v>
      </c>
      <c r="I56" s="390">
        <f>IF(H56,Wh_hp,'2026'!Maxi_hp)</f>
        <v>25.264298487786281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6.9947940038161516E-2</v>
      </c>
      <c r="M56" s="844"/>
      <c r="N56" s="844"/>
      <c r="O56" s="48">
        <f>IF(t&lt;Tnet,'2026'!Resal+('2026'!Salim-'2026'!Resal)*(1-EXP(('2026'!Tnet-t)/('2026'!Tau_j))),Resal+(Salim-Resal)*(1-EXP((Tnet-t)/(Tau_j))))*Salcycl</f>
        <v>0.10072331845922984</v>
      </c>
      <c r="P56" s="169">
        <f>(INDEX(Models!$BJ56:$BT56,,T56)*(1-R56)+INDEX(Models!$BJ56:$BT56,,T56+1)*R56-ERP_i)*Q56*Ramure*Pc/MaxiM</f>
        <v>9.6509263403814769E-4</v>
      </c>
      <c r="Q56" s="305">
        <f t="shared" si="4"/>
        <v>0.7</v>
      </c>
      <c r="R56" s="177">
        <f t="shared" si="5"/>
        <v>0.18173249675916303</v>
      </c>
      <c r="S56" s="810">
        <f t="shared" si="6"/>
        <v>-1</v>
      </c>
      <c r="T56" s="176">
        <f t="shared" si="7"/>
        <v>5</v>
      </c>
      <c r="U56" s="251">
        <f t="shared" si="8"/>
        <v>-0.81826750324083697</v>
      </c>
      <c r="V56" s="383">
        <f t="shared" si="9"/>
        <v>25.381990492460812</v>
      </c>
      <c r="W56" s="402">
        <f t="shared" si="10"/>
        <v>14.996810438524937</v>
      </c>
      <c r="X56" s="157">
        <f t="shared" si="11"/>
        <v>46429</v>
      </c>
      <c r="Y56" s="385">
        <f t="shared" si="12"/>
        <v>14.241091170819795</v>
      </c>
      <c r="Z56" s="385">
        <f t="shared" si="22"/>
        <v>15.312144108797662</v>
      </c>
      <c r="AA56" s="386">
        <f t="shared" si="13"/>
        <v>17.896967226340102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0.14442799636679179</v>
      </c>
      <c r="AD56" s="231">
        <f>(INDEX(Models!$BJ56:$BT56,,AH56)*(1-AF56)+INDEX(Models!$BJ56:$BT56,,AH56+1)*AF56-ERP_i)*AE56*Ramure*Pc/MaxiM</f>
        <v>5.4970221656822924E-3</v>
      </c>
      <c r="AE56" s="305">
        <f t="shared" si="15"/>
        <v>0.7</v>
      </c>
      <c r="AF56" s="177">
        <f t="shared" si="23"/>
        <v>1.7225498583468557E-3</v>
      </c>
      <c r="AG56" s="810">
        <f t="shared" si="24"/>
        <v>2</v>
      </c>
      <c r="AH56" s="176">
        <f t="shared" si="16"/>
        <v>8</v>
      </c>
      <c r="AI56" s="225">
        <f t="shared" si="17"/>
        <v>2.0017225498583469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21.682049012713826</v>
      </c>
      <c r="C57" s="840"/>
      <c r="D57" s="393">
        <f t="shared" si="0"/>
        <v>23.313268719927226</v>
      </c>
      <c r="E57" s="385">
        <f t="shared" si="1"/>
        <v>25.92701369147138</v>
      </c>
      <c r="F57" s="385">
        <f t="shared" si="2"/>
        <v>25.946647977152526</v>
      </c>
      <c r="G57" s="110">
        <f t="shared" si="21"/>
        <v>0.84362196228811825</v>
      </c>
      <c r="H57" s="414" t="b">
        <f>Wh_hp&gt;='2026'!Maxi_hp</f>
        <v>0</v>
      </c>
      <c r="I57" s="390">
        <f>IF(H57,Wh_hp,'2026'!Maxi_hp)</f>
        <v>31.080312640486358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6.9969583708315408E-2</v>
      </c>
      <c r="M57" s="844"/>
      <c r="N57" s="844"/>
      <c r="O57" s="48">
        <f>IF(t&lt;Tnet,'2026'!Resal+('2026'!Salim-'2026'!Resal)*(1-EXP(('2026'!Tnet-t)/('2026'!Tau_j))),Resal+(Salim-Resal)*(1-EXP((Tnet-t)/(Tau_j))))*Salcycl</f>
        <v>0.10081164775270424</v>
      </c>
      <c r="P57" s="169">
        <f>(INDEX(Models!$BJ57:$BT57,,T57)*(1-R57)+INDEX(Models!$BJ57:$BT57,,T57+1)*R57-ERP_i)*Q57*Ramure*Pc/MaxiM</f>
        <v>9.7406578756806066E-4</v>
      </c>
      <c r="Q57" s="305">
        <f t="shared" si="4"/>
        <v>0.7</v>
      </c>
      <c r="R57" s="177">
        <f t="shared" si="5"/>
        <v>0.18185695978838123</v>
      </c>
      <c r="S57" s="810">
        <f t="shared" si="6"/>
        <v>-1</v>
      </c>
      <c r="T57" s="176">
        <f t="shared" si="7"/>
        <v>5</v>
      </c>
      <c r="U57" s="251">
        <f t="shared" si="8"/>
        <v>-0.81814304021161877</v>
      </c>
      <c r="V57" s="383">
        <f t="shared" si="9"/>
        <v>25.695553054954967</v>
      </c>
      <c r="W57" s="402">
        <f t="shared" si="10"/>
        <v>21.682049012713826</v>
      </c>
      <c r="X57" s="157">
        <f t="shared" si="11"/>
        <v>46430</v>
      </c>
      <c r="Y57" s="385">
        <f t="shared" si="12"/>
        <v>20.555173519093639</v>
      </c>
      <c r="Z57" s="385">
        <f t="shared" si="22"/>
        <v>22.101614268760581</v>
      </c>
      <c r="AA57" s="386">
        <f t="shared" si="13"/>
        <v>25.833800012234754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0.14446909636625774</v>
      </c>
      <c r="AD57" s="231">
        <f>(INDEX(Models!$BJ57:$BT57,,AH57)*(1-AF57)+INDEX(Models!$BJ57:$BT57,,AH57+1)*AF57-ERP_i)*AE57*Ramure*Pc/MaxiM</f>
        <v>5.5984385481679007E-3</v>
      </c>
      <c r="AE57" s="305">
        <f t="shared" si="15"/>
        <v>0.7</v>
      </c>
      <c r="AF57" s="177">
        <f t="shared" si="23"/>
        <v>1.8470128875653913E-3</v>
      </c>
      <c r="AG57" s="810">
        <f t="shared" si="24"/>
        <v>2</v>
      </c>
      <c r="AH57" s="176">
        <f t="shared" si="16"/>
        <v>8</v>
      </c>
      <c r="AI57" s="225">
        <f t="shared" si="17"/>
        <v>2.0018470128875654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25.64975970689942</v>
      </c>
      <c r="C58" s="840"/>
      <c r="D58" s="393">
        <f t="shared" si="0"/>
        <v>27.580126605371387</v>
      </c>
      <c r="E58" s="385">
        <f t="shared" si="1"/>
        <v>30.675257971068227</v>
      </c>
      <c r="F58" s="385">
        <f t="shared" si="2"/>
        <v>30.704665237198896</v>
      </c>
      <c r="G58" s="110">
        <f t="shared" si="21"/>
        <v>0.98604038803750338</v>
      </c>
      <c r="H58" s="414" t="b">
        <f>Wh_hp&gt;='2026'!Maxi_hp</f>
        <v>0</v>
      </c>
      <c r="I58" s="390">
        <f>IF(H58,Wh_hp,'2026'!Maxi_hp)</f>
        <v>32.091869543727995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6.9991226874789536E-2</v>
      </c>
      <c r="M58" s="844"/>
      <c r="N58" s="844"/>
      <c r="O58" s="48">
        <f>IF(t&lt;Tnet,'2026'!Resal+('2026'!Salim-'2026'!Resal)*(1-EXP(('2026'!Tnet-t)/('2026'!Tau_j))),Resal+(Salim-Resal)*(1-EXP((Tnet-t)/(Tau_j))))*Salcycl</f>
        <v>0.10089992946810925</v>
      </c>
      <c r="P58" s="169">
        <f>(INDEX(Models!$BJ58:$BT58,,T58)*(1-R58)+INDEX(Models!$BJ58:$BT58,,T58+1)*R58-ERP_i)*Q58*Ramure*Pc/MaxiM</f>
        <v>9.7720680316883157E-4</v>
      </c>
      <c r="Q58" s="305">
        <f t="shared" si="4"/>
        <v>0.7</v>
      </c>
      <c r="R58" s="177">
        <f t="shared" si="5"/>
        <v>0.18198656144521264</v>
      </c>
      <c r="S58" s="810">
        <f t="shared" si="6"/>
        <v>-1</v>
      </c>
      <c r="T58" s="176">
        <f t="shared" si="7"/>
        <v>5</v>
      </c>
      <c r="U58" s="251">
        <f t="shared" si="8"/>
        <v>-0.81801343855478736</v>
      </c>
      <c r="V58" s="383">
        <f t="shared" si="9"/>
        <v>26.012382830479858</v>
      </c>
      <c r="W58" s="402">
        <f t="shared" si="10"/>
        <v>25.64975970689942</v>
      </c>
      <c r="X58" s="157">
        <f t="shared" si="11"/>
        <v>46431</v>
      </c>
      <c r="Y58" s="385">
        <f t="shared" si="12"/>
        <v>24.293153467277566</v>
      </c>
      <c r="Z58" s="385">
        <f t="shared" si="22"/>
        <v>26.121423979305721</v>
      </c>
      <c r="AA58" s="386">
        <f t="shared" si="13"/>
        <v>30.533881955867049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0.14451021926851595</v>
      </c>
      <c r="AD58" s="231">
        <f>(INDEX(Models!$BJ58:$BT58,,AH58)*(1-AF58)+INDEX(Models!$BJ58:$BT58,,AH58+1)*AF58-ERP_i)*AE58*Ramure*Pc/MaxiM</f>
        <v>5.6751478917973905E-3</v>
      </c>
      <c r="AE58" s="305">
        <f t="shared" si="15"/>
        <v>0.7</v>
      </c>
      <c r="AF58" s="177">
        <f t="shared" si="23"/>
        <v>1.976614544396682E-3</v>
      </c>
      <c r="AG58" s="810">
        <f t="shared" si="24"/>
        <v>2</v>
      </c>
      <c r="AH58" s="176">
        <f t="shared" si="16"/>
        <v>8</v>
      </c>
      <c r="AI58" s="225">
        <f t="shared" si="17"/>
        <v>2.0019766145443967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13.434840874959713</v>
      </c>
      <c r="C59" s="840"/>
      <c r="D59" s="393">
        <f t="shared" si="0"/>
        <v>14.446265367435457</v>
      </c>
      <c r="E59" s="385">
        <f t="shared" si="1"/>
        <v>16.069048933891722</v>
      </c>
      <c r="F59" s="385">
        <f t="shared" si="2"/>
        <v>16.073755421638396</v>
      </c>
      <c r="G59" s="110">
        <f t="shared" si="21"/>
        <v>0.50985766948063238</v>
      </c>
      <c r="H59" s="414" t="b">
        <f>Wh_hp&gt;='2026'!Maxi_hp</f>
        <v>0</v>
      </c>
      <c r="I59" s="390">
        <f>IF(H59,Wh_hp,'2026'!Maxi_hp)</f>
        <v>32.218134869509122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7.0012869537595557E-2</v>
      </c>
      <c r="M59" s="844"/>
      <c r="N59" s="844"/>
      <c r="O59" s="48">
        <f>IF(t&lt;Tnet,'2026'!Resal+('2026'!Salim-'2026'!Resal)*(1-EXP(('2026'!Tnet-t)/('2026'!Tau_j))),Resal+(Salim-Resal)*(1-EXP((Tnet-t)/(Tau_j))))*Salcycl</f>
        <v>0.10098815263631461</v>
      </c>
      <c r="P59" s="169">
        <f>(INDEX(Models!$BJ59:$BT59,,T59)*(1-R59)+INDEX(Models!$BJ59:$BT59,,T59+1)*R59-ERP_i)*Q59*Ramure*Pc/MaxiM</f>
        <v>9.7506325619608006E-4</v>
      </c>
      <c r="Q59" s="305">
        <f t="shared" si="4"/>
        <v>0.7</v>
      </c>
      <c r="R59" s="177">
        <f t="shared" si="5"/>
        <v>0.182121510296398</v>
      </c>
      <c r="S59" s="810">
        <f t="shared" si="6"/>
        <v>-1</v>
      </c>
      <c r="T59" s="176">
        <f t="shared" si="7"/>
        <v>5</v>
      </c>
      <c r="U59" s="251">
        <f t="shared" si="8"/>
        <v>-0.817878489703602</v>
      </c>
      <c r="V59" s="383">
        <f t="shared" si="9"/>
        <v>26.332196165124401</v>
      </c>
      <c r="W59" s="402">
        <f t="shared" si="10"/>
        <v>13.434840874959713</v>
      </c>
      <c r="X59" s="157">
        <f t="shared" si="11"/>
        <v>46432</v>
      </c>
      <c r="Y59" s="385">
        <f t="shared" si="12"/>
        <v>12.765597155941618</v>
      </c>
      <c r="Z59" s="385">
        <f t="shared" si="22"/>
        <v>13.726638506916069</v>
      </c>
      <c r="AA59" s="386">
        <f t="shared" si="13"/>
        <v>16.046127951040713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0.14455134916048135</v>
      </c>
      <c r="AD59" s="231">
        <f>(INDEX(Models!$BJ59:$BT59,,AH59)*(1-AF59)+INDEX(Models!$BJ59:$BT59,,AH59+1)*AF59-ERP_i)*AE59*Ramure*Pc/MaxiM</f>
        <v>5.7237015990288624E-3</v>
      </c>
      <c r="AE59" s="305">
        <f t="shared" si="15"/>
        <v>0.7</v>
      </c>
      <c r="AF59" s="177">
        <f t="shared" si="23"/>
        <v>2.1115633955819391E-3</v>
      </c>
      <c r="AG59" s="810">
        <f t="shared" si="24"/>
        <v>2</v>
      </c>
      <c r="AH59" s="176">
        <f t="shared" si="16"/>
        <v>8</v>
      </c>
      <c r="AI59" s="225">
        <f t="shared" si="17"/>
        <v>2.0021115633955819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15.841908683971855</v>
      </c>
      <c r="C60" s="840"/>
      <c r="D60" s="393">
        <f t="shared" si="0"/>
        <v>17.034942568541776</v>
      </c>
      <c r="E60" s="385">
        <f t="shared" si="1"/>
        <v>18.950376648177418</v>
      </c>
      <c r="F60" s="385">
        <f t="shared" si="2"/>
        <v>18.958091794612898</v>
      </c>
      <c r="G60" s="110">
        <f t="shared" si="21"/>
        <v>0.59400439254494697</v>
      </c>
      <c r="H60" s="414" t="b">
        <f>Wh_hp&gt;='2026'!Maxi_hp</f>
        <v>0</v>
      </c>
      <c r="I60" s="390">
        <f>IF(H60,Wh_hp,'2026'!Maxi_hp)</f>
        <v>32.495097407012501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7.0034511696745128E-2</v>
      </c>
      <c r="M60" s="844"/>
      <c r="N60" s="844"/>
      <c r="O60" s="48">
        <f>IF(t&lt;Tnet,'2026'!Resal+('2026'!Salim-'2026'!Resal)*(1-EXP(('2026'!Tnet-t)/('2026'!Tau_j))),Resal+(Salim-Resal)*(1-EXP((Tnet-t)/(Tau_j))))*Salcycl</f>
        <v>0.10107630656617383</v>
      </c>
      <c r="P60" s="169">
        <f>(INDEX(Models!$BJ60:$BT60,,T60)*(1-R60)+INDEX(Models!$BJ60:$BT60,,T60+1)*R60-ERP_i)*Q60*Ramure*Pc/MaxiM</f>
        <v>9.6783525039956784E-4</v>
      </c>
      <c r="Q60" s="305">
        <f t="shared" si="4"/>
        <v>0.7</v>
      </c>
      <c r="R60" s="177">
        <f t="shared" si="5"/>
        <v>0.18226202306946238</v>
      </c>
      <c r="S60" s="810">
        <f t="shared" si="6"/>
        <v>-1</v>
      </c>
      <c r="T60" s="176">
        <f t="shared" si="7"/>
        <v>5</v>
      </c>
      <c r="U60" s="251">
        <f t="shared" si="8"/>
        <v>-0.81773797693053762</v>
      </c>
      <c r="V60" s="383">
        <f t="shared" si="9"/>
        <v>26.654718211658146</v>
      </c>
      <c r="W60" s="402">
        <f t="shared" si="10"/>
        <v>15.841908683971855</v>
      </c>
      <c r="X60" s="157">
        <f t="shared" si="11"/>
        <v>46433</v>
      </c>
      <c r="Y60" s="385">
        <f t="shared" si="12"/>
        <v>15.044719990713686</v>
      </c>
      <c r="Z60" s="385">
        <f t="shared" si="22"/>
        <v>16.177718614228525</v>
      </c>
      <c r="AA60" s="386">
        <f t="shared" si="13"/>
        <v>18.912293915520038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0.14459247056473859</v>
      </c>
      <c r="AD60" s="231">
        <f>(INDEX(Models!$BJ60:$BT60,,AH60)*(1-AF60)+INDEX(Models!$BJ60:$BT60,,AH60+1)*AF60-ERP_i)*AE60*Ramure*Pc/MaxiM</f>
        <v>5.7451666213064554E-3</v>
      </c>
      <c r="AE60" s="305">
        <f t="shared" si="15"/>
        <v>0.7</v>
      </c>
      <c r="AF60" s="177">
        <f t="shared" si="23"/>
        <v>2.2520761686464219E-3</v>
      </c>
      <c r="AG60" s="810">
        <f t="shared" si="24"/>
        <v>2</v>
      </c>
      <c r="AH60" s="176">
        <f t="shared" si="16"/>
        <v>8</v>
      </c>
      <c r="AI60" s="225">
        <f t="shared" si="17"/>
        <v>2.0022520761686464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8.7196229772092124</v>
      </c>
      <c r="C61" s="840"/>
      <c r="D61" s="393">
        <f t="shared" si="0"/>
        <v>9.3765048380518916</v>
      </c>
      <c r="E61" s="385">
        <f t="shared" si="1"/>
        <v>10.431834965034014</v>
      </c>
      <c r="F61" s="385">
        <f t="shared" si="2"/>
        <v>10.432165295749028</v>
      </c>
      <c r="G61" s="110">
        <f t="shared" si="21"/>
        <v>0.32289364425457567</v>
      </c>
      <c r="H61" s="414" t="b">
        <f>Wh_hp&gt;='2026'!Maxi_hp</f>
        <v>0</v>
      </c>
      <c r="I61" s="390">
        <f>IF(H61,Wh_hp,'2026'!Maxi_hp)</f>
        <v>33.091277518761402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7.0056153352250128E-2</v>
      </c>
      <c r="M61" s="844"/>
      <c r="N61" s="844"/>
      <c r="O61" s="48">
        <f>IF(t&lt;Tnet,'2026'!Resal+('2026'!Salim-'2026'!Resal)*(1-EXP(('2026'!Tnet-t)/('2026'!Tau_j))),Resal+(Salim-Resal)*(1-EXP((Tnet-t)/(Tau_j))))*Salcycl</f>
        <v>0.10116438100482168</v>
      </c>
      <c r="P61" s="169">
        <f>(INDEX(Models!$BJ61:$BT61,,T61)*(1-R61)+INDEX(Models!$BJ61:$BT61,,T61+1)*R61-ERP_i)*Q61*Ramure*Pc/MaxiM</f>
        <v>9.5571569777895484E-4</v>
      </c>
      <c r="Q61" s="305">
        <f t="shared" si="4"/>
        <v>0.7</v>
      </c>
      <c r="R61" s="177">
        <f t="shared" si="5"/>
        <v>0.18240832494609283</v>
      </c>
      <c r="S61" s="810">
        <f t="shared" si="6"/>
        <v>-1</v>
      </c>
      <c r="T61" s="176">
        <f t="shared" si="7"/>
        <v>5</v>
      </c>
      <c r="U61" s="251">
        <f t="shared" si="8"/>
        <v>-0.81759167505390717</v>
      </c>
      <c r="V61" s="383">
        <f t="shared" si="9"/>
        <v>26.979674267998231</v>
      </c>
      <c r="W61" s="402">
        <f t="shared" si="10"/>
        <v>8.7196229772092124</v>
      </c>
      <c r="X61" s="157">
        <f t="shared" si="11"/>
        <v>46434</v>
      </c>
      <c r="Y61" s="385">
        <f t="shared" si="12"/>
        <v>8.2966119636094717</v>
      </c>
      <c r="Z61" s="385">
        <f t="shared" si="22"/>
        <v>8.9216268202827482</v>
      </c>
      <c r="AA61" s="386">
        <f t="shared" si="13"/>
        <v>10.430181140476005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0.14463356866728494</v>
      </c>
      <c r="AD61" s="231">
        <f>(INDEX(Models!$BJ61:$BT61,,AH61)*(1-AF61)+INDEX(Models!$BJ61:$BT61,,AH61+1)*AF61-ERP_i)*AE61*Ramure*Pc/MaxiM</f>
        <v>5.7405752933927271E-3</v>
      </c>
      <c r="AE61" s="305">
        <f t="shared" si="15"/>
        <v>0.7</v>
      </c>
      <c r="AF61" s="177">
        <f t="shared" si="23"/>
        <v>2.3983780452767611E-3</v>
      </c>
      <c r="AG61" s="810">
        <f t="shared" si="24"/>
        <v>2</v>
      </c>
      <c r="AH61" s="176">
        <f t="shared" si="16"/>
        <v>8</v>
      </c>
      <c r="AI61" s="225">
        <f t="shared" si="17"/>
        <v>2.0023983780452768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10.384287689947991</v>
      </c>
      <c r="C62" s="840"/>
      <c r="D62" s="393">
        <f t="shared" si="0"/>
        <v>11.166834847664063</v>
      </c>
      <c r="E62" s="385">
        <f t="shared" si="1"/>
        <v>12.424883725885122</v>
      </c>
      <c r="F62" s="385">
        <f t="shared" si="2"/>
        <v>12.426221785240067</v>
      </c>
      <c r="G62" s="110">
        <f t="shared" si="21"/>
        <v>0.37996613021225389</v>
      </c>
      <c r="H62" s="414" t="b">
        <f>Wh_hp&gt;='2026'!Maxi_hp</f>
        <v>0</v>
      </c>
      <c r="I62" s="390">
        <f>IF(H62,Wh_hp,'2026'!Maxi_hp)</f>
        <v>33.499351483700778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7.0077794504122104E-2</v>
      </c>
      <c r="M62" s="844"/>
      <c r="N62" s="844"/>
      <c r="O62" s="48">
        <f>IF(t&lt;Tnet,'2026'!Resal+('2026'!Salim-'2026'!Resal)*(1-EXP(('2026'!Tnet-t)/('2026'!Tau_j))),Resal+(Salim-Resal)*(1-EXP((Tnet-t)/(Tau_j))))*Salcycl</f>
        <v>0.10125236629781317</v>
      </c>
      <c r="P62" s="169">
        <f>(INDEX(Models!$BJ62:$BT62,,T62)*(1-R62)+INDEX(Models!$BJ62:$BT62,,T62+1)*R62-ERP_i)*Q62*Ramure*Pc/MaxiM</f>
        <v>9.38890048889036E-4</v>
      </c>
      <c r="Q62" s="305">
        <f t="shared" si="4"/>
        <v>0.7</v>
      </c>
      <c r="R62" s="177">
        <f t="shared" si="5"/>
        <v>0.18256064986381793</v>
      </c>
      <c r="S62" s="810">
        <f t="shared" si="6"/>
        <v>-1</v>
      </c>
      <c r="T62" s="176">
        <f t="shared" si="7"/>
        <v>5</v>
      </c>
      <c r="U62" s="251">
        <f t="shared" si="8"/>
        <v>-0.81743935013618207</v>
      </c>
      <c r="V62" s="383">
        <f t="shared" si="9"/>
        <v>27.306789774916165</v>
      </c>
      <c r="W62" s="402">
        <f t="shared" si="10"/>
        <v>10.384287689947991</v>
      </c>
      <c r="X62" s="157">
        <f t="shared" si="11"/>
        <v>46435</v>
      </c>
      <c r="Y62" s="385">
        <f t="shared" si="12"/>
        <v>9.8771699363568182</v>
      </c>
      <c r="Z62" s="385">
        <f t="shared" si="22"/>
        <v>10.621501323425061</v>
      </c>
      <c r="AA62" s="386">
        <f t="shared" si="13"/>
        <v>12.418082860988413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0.14467462954425422</v>
      </c>
      <c r="AD62" s="231">
        <f>(INDEX(Models!$BJ62:$BT62,,AH62)*(1-AF62)+INDEX(Models!$BJ62:$BT62,,AH62+1)*AF62-ERP_i)*AE62*Ramure*Pc/MaxiM</f>
        <v>5.7109237795025438E-3</v>
      </c>
      <c r="AE62" s="305">
        <f t="shared" si="15"/>
        <v>0.7</v>
      </c>
      <c r="AF62" s="177">
        <f t="shared" si="23"/>
        <v>2.5507029630018607E-3</v>
      </c>
      <c r="AG62" s="810">
        <f t="shared" si="24"/>
        <v>2</v>
      </c>
      <c r="AH62" s="176">
        <f t="shared" si="16"/>
        <v>8</v>
      </c>
      <c r="AI62" s="225">
        <f t="shared" si="17"/>
        <v>2.0025507029630019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22.991562269250114</v>
      </c>
      <c r="C63" s="840"/>
      <c r="D63" s="393">
        <f t="shared" si="0"/>
        <v>24.724753525682068</v>
      </c>
      <c r="E63" s="385">
        <f t="shared" si="1"/>
        <v>27.512919793373726</v>
      </c>
      <c r="F63" s="385">
        <f t="shared" si="2"/>
        <v>27.532116845368236</v>
      </c>
      <c r="G63" s="110">
        <f t="shared" si="21"/>
        <v>0.83176540249348796</v>
      </c>
      <c r="H63" s="414" t="b">
        <f>Wh_hp&gt;='2026'!Maxi_hp</f>
        <v>0</v>
      </c>
      <c r="I63" s="390">
        <f>IF(H63,Wh_hp,'2026'!Maxi_hp)</f>
        <v>33.359346298317604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7.0099435152372935E-2</v>
      </c>
      <c r="M63" s="844"/>
      <c r="N63" s="844"/>
      <c r="O63" s="48">
        <f>IF(t&lt;Tnet,'2026'!Resal+('2026'!Salim-'2026'!Resal)*(1-EXP(('2026'!Tnet-t)/('2026'!Tau_j))),Resal+(Salim-Resal)*(1-EXP((Tnet-t)/(Tau_j))))*Salcycl</f>
        <v>0.10134025354746846</v>
      </c>
      <c r="P63" s="169">
        <f>(INDEX(Models!$BJ63:$BT63,,T63)*(1-R63)+INDEX(Models!$BJ63:$BT63,,T63+1)*R63-ERP_i)*Q63*Ramure*Pc/MaxiM</f>
        <v>9.1753608444500312E-4</v>
      </c>
      <c r="Q63" s="305">
        <f t="shared" si="4"/>
        <v>0.7</v>
      </c>
      <c r="R63" s="177">
        <f t="shared" si="5"/>
        <v>0.18271924082601654</v>
      </c>
      <c r="S63" s="810">
        <f t="shared" si="6"/>
        <v>-1</v>
      </c>
      <c r="T63" s="176">
        <f t="shared" si="7"/>
        <v>5</v>
      </c>
      <c r="U63" s="251">
        <f t="shared" si="8"/>
        <v>-0.81728075917398346</v>
      </c>
      <c r="V63" s="383">
        <f t="shared" si="9"/>
        <v>27.635790310766577</v>
      </c>
      <c r="W63" s="402">
        <f t="shared" si="10"/>
        <v>22.991562269250114</v>
      </c>
      <c r="X63" s="157">
        <f t="shared" si="11"/>
        <v>46436</v>
      </c>
      <c r="Y63" s="385">
        <f t="shared" si="12"/>
        <v>21.802965791874058</v>
      </c>
      <c r="Z63" s="385">
        <f t="shared" si="22"/>
        <v>23.446556133070722</v>
      </c>
      <c r="AA63" s="386">
        <f t="shared" si="13"/>
        <v>27.413755284421523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0.14471564038529411</v>
      </c>
      <c r="AD63" s="231">
        <f>(INDEX(Models!$BJ63:$BT63,,AH63)*(1-AF63)+INDEX(Models!$BJ63:$BT63,,AH63+1)*AF63-ERP_i)*AE63*Ramure*Pc/MaxiM</f>
        <v>5.6571708620113056E-3</v>
      </c>
      <c r="AE63" s="305">
        <f t="shared" si="15"/>
        <v>0.7</v>
      </c>
      <c r="AF63" s="177">
        <f t="shared" si="23"/>
        <v>2.7092939252004733E-3</v>
      </c>
      <c r="AG63" s="810">
        <f t="shared" si="24"/>
        <v>2</v>
      </c>
      <c r="AH63" s="176">
        <f t="shared" si="16"/>
        <v>8</v>
      </c>
      <c r="AI63" s="225">
        <f t="shared" si="17"/>
        <v>2.0027092939252005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17.583849005787812</v>
      </c>
      <c r="C64" s="840"/>
      <c r="D64" s="393">
        <f t="shared" si="0"/>
        <v>18.909826364119716</v>
      </c>
      <c r="E64" s="385">
        <f t="shared" si="1"/>
        <v>21.044309299404912</v>
      </c>
      <c r="F64" s="385">
        <f t="shared" si="2"/>
        <v>21.053127138004747</v>
      </c>
      <c r="G64" s="110">
        <f t="shared" si="21"/>
        <v>0.62845155636533923</v>
      </c>
      <c r="H64" s="414" t="b">
        <f>Wh_hp&gt;='2026'!Maxi_hp</f>
        <v>0</v>
      </c>
      <c r="I64" s="390">
        <f>IF(H64,Wh_hp,'2026'!Maxi_hp)</f>
        <v>33.466194315132412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7.0121075297014279E-2</v>
      </c>
      <c r="M64" s="844"/>
      <c r="N64" s="844"/>
      <c r="O64" s="48">
        <f>IF(t&lt;Tnet,'2026'!Resal+('2026'!Salim-'2026'!Resal)*(1-EXP(('2026'!Tnet-t)/('2026'!Tau_j))),Resal+(Salim-Resal)*(1-EXP((Tnet-t)/(Tau_j))))*Salcycl</f>
        <v>0.10142803476783881</v>
      </c>
      <c r="P64" s="169">
        <f>(INDEX(Models!$BJ64:$BT64,,T64)*(1-R64)+INDEX(Models!$BJ64:$BT64,,T64+1)*R64-ERP_i)*Q64*Ramure*Pc/MaxiM</f>
        <v>8.9182375946117811E-4</v>
      </c>
      <c r="Q64" s="305">
        <f t="shared" si="4"/>
        <v>0.7</v>
      </c>
      <c r="R64" s="177">
        <f t="shared" si="5"/>
        <v>0.18288435022026361</v>
      </c>
      <c r="S64" s="810">
        <f t="shared" si="6"/>
        <v>-1</v>
      </c>
      <c r="T64" s="176">
        <f t="shared" si="7"/>
        <v>5</v>
      </c>
      <c r="U64" s="251">
        <f t="shared" si="8"/>
        <v>-0.81711564977973639</v>
      </c>
      <c r="V64" s="383">
        <f t="shared" si="9"/>
        <v>27.966401584112045</v>
      </c>
      <c r="W64" s="402">
        <f t="shared" si="10"/>
        <v>17.583849005787812</v>
      </c>
      <c r="X64" s="157">
        <f t="shared" si="11"/>
        <v>46437</v>
      </c>
      <c r="Y64" s="385">
        <f t="shared" si="12"/>
        <v>16.699101333762709</v>
      </c>
      <c r="Z64" s="385">
        <f t="shared" si="22"/>
        <v>17.958360911445109</v>
      </c>
      <c r="AA64" s="386">
        <f t="shared" si="13"/>
        <v>20.997952975029783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0.14475658971135325</v>
      </c>
      <c r="AD64" s="231">
        <f>(INDEX(Models!$BJ64:$BT64,,AH64)*(1-AF64)+INDEX(Models!$BJ64:$BT64,,AH64+1)*AF64-ERP_i)*AE64*Ramure*Pc/MaxiM</f>
        <v>5.5802370266065712E-3</v>
      </c>
      <c r="AE64" s="305">
        <f t="shared" si="15"/>
        <v>0.7</v>
      </c>
      <c r="AF64" s="177">
        <f t="shared" si="23"/>
        <v>2.8744033194474383E-3</v>
      </c>
      <c r="AG64" s="810">
        <f t="shared" si="24"/>
        <v>2</v>
      </c>
      <c r="AH64" s="176">
        <f t="shared" si="16"/>
        <v>8</v>
      </c>
      <c r="AI64" s="225">
        <f t="shared" si="17"/>
        <v>2.0028744033194474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17.255299795425206</v>
      </c>
      <c r="C65" s="840"/>
      <c r="D65" s="393">
        <f t="shared" si="0"/>
        <v>18.556933491439761</v>
      </c>
      <c r="E65" s="385">
        <f t="shared" si="1"/>
        <v>20.653598014031878</v>
      </c>
      <c r="F65" s="385">
        <f t="shared" si="2"/>
        <v>20.661477698018466</v>
      </c>
      <c r="G65" s="110">
        <f t="shared" si="21"/>
        <v>0.60944708374207124</v>
      </c>
      <c r="H65" s="414" t="b">
        <f>Wh_hp&gt;='2026'!Maxi_hp</f>
        <v>0</v>
      </c>
      <c r="I65" s="390">
        <f>IF(H65,Wh_hp,'2026'!Maxi_hp)</f>
        <v>34.378402325425711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7.0142714938057793E-2</v>
      </c>
      <c r="M65" s="844"/>
      <c r="N65" s="844"/>
      <c r="O65" s="48">
        <f>IF(t&lt;Tnet,'2026'!Resal+('2026'!Salim-'2026'!Resal)*(1-EXP(('2026'!Tnet-t)/('2026'!Tau_j))),Resal+(Salim-Resal)*(1-EXP((Tnet-t)/(Tau_j))))*Salcycl</f>
        <v>0.10151570303477686</v>
      </c>
      <c r="P65" s="169">
        <f>(INDEX(Models!$BJ65:$BT65,,T65)*(1-R65)+INDEX(Models!$BJ65:$BT65,,T65+1)*R65-ERP_i)*Q65*Ramure*Pc/MaxiM</f>
        <v>8.6188220018110293E-4</v>
      </c>
      <c r="Q65" s="305">
        <f t="shared" si="4"/>
        <v>0.7</v>
      </c>
      <c r="R65" s="177">
        <f t="shared" si="5"/>
        <v>0.18305624014499189</v>
      </c>
      <c r="S65" s="810">
        <f t="shared" si="6"/>
        <v>-1</v>
      </c>
      <c r="T65" s="176">
        <f t="shared" si="7"/>
        <v>5</v>
      </c>
      <c r="U65" s="251">
        <f t="shared" si="8"/>
        <v>-0.81694375985500811</v>
      </c>
      <c r="V65" s="383">
        <f t="shared" si="9"/>
        <v>28.299430292988298</v>
      </c>
      <c r="W65" s="402">
        <f t="shared" si="10"/>
        <v>17.255299795425206</v>
      </c>
      <c r="X65" s="157">
        <f t="shared" si="11"/>
        <v>46438</v>
      </c>
      <c r="Y65" s="385">
        <f t="shared" si="12"/>
        <v>16.390497494768773</v>
      </c>
      <c r="Z65" s="385">
        <f t="shared" si="22"/>
        <v>17.626895823778941</v>
      </c>
      <c r="AA65" s="386">
        <f t="shared" si="13"/>
        <v>20.611370003778131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0.14479746758474213</v>
      </c>
      <c r="AD65" s="231">
        <f>(INDEX(Models!$BJ65:$BT65,,AH65)*(1-AF65)+INDEX(Models!$BJ65:$BT65,,AH65+1)*AF65-ERP_i)*AE65*Ramure*Pc/MaxiM</f>
        <v>5.4807946399101125E-3</v>
      </c>
      <c r="AE65" s="305">
        <f t="shared" si="15"/>
        <v>0.7</v>
      </c>
      <c r="AF65" s="177">
        <f t="shared" si="23"/>
        <v>3.0462932441759349E-3</v>
      </c>
      <c r="AG65" s="810">
        <f t="shared" si="24"/>
        <v>2</v>
      </c>
      <c r="AH65" s="176">
        <f t="shared" si="16"/>
        <v>8</v>
      </c>
      <c r="AI65" s="225">
        <f t="shared" si="17"/>
        <v>2.0030462932441759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18.818222647039661</v>
      </c>
      <c r="C66" s="840"/>
      <c r="D66" s="393">
        <f t="shared" si="0"/>
        <v>20.238224604015617</v>
      </c>
      <c r="E66" s="385">
        <f t="shared" si="1"/>
        <v>22.52704572145262</v>
      </c>
      <c r="F66" s="385">
        <f t="shared" si="2"/>
        <v>22.536579361302831</v>
      </c>
      <c r="G66" s="110">
        <f t="shared" si="21"/>
        <v>0.65689237575896497</v>
      </c>
      <c r="H66" s="414" t="b">
        <f>Wh_hp&gt;='2026'!Maxi_hp</f>
        <v>0</v>
      </c>
      <c r="I66" s="390">
        <f>IF(H66,Wh_hp,'2026'!Maxi_hp)</f>
        <v>33.562567282376634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7.0164354075515245E-2</v>
      </c>
      <c r="M66" s="844"/>
      <c r="N66" s="844"/>
      <c r="O66" s="48">
        <f>IF(t&lt;Tnet,'2026'!Resal+('2026'!Salim-'2026'!Resal)*(1-EXP(('2026'!Tnet-t)/('2026'!Tau_j))),Resal+(Salim-Resal)*(1-EXP((Tnet-t)/(Tau_j))))*Salcycl</f>
        <v>0.10160325262967557</v>
      </c>
      <c r="P66" s="169">
        <f>(INDEX(Models!$BJ66:$BT66,,T66)*(1-R66)+INDEX(Models!$BJ66:$BT66,,T66+1)*R66-ERP_i)*Q66*Ramure*Pc/MaxiM</f>
        <v>8.290997216664238E-4</v>
      </c>
      <c r="Q66" s="305">
        <f t="shared" si="4"/>
        <v>0.7</v>
      </c>
      <c r="R66" s="177">
        <f t="shared" si="5"/>
        <v>0.18323518274442119</v>
      </c>
      <c r="S66" s="810">
        <f t="shared" si="6"/>
        <v>-1</v>
      </c>
      <c r="T66" s="176">
        <f t="shared" si="7"/>
        <v>5</v>
      </c>
      <c r="U66" s="251">
        <f t="shared" si="8"/>
        <v>-0.81676481725557881</v>
      </c>
      <c r="V66" s="383">
        <f t="shared" si="9"/>
        <v>28.635707444674633</v>
      </c>
      <c r="W66" s="402">
        <f t="shared" si="10"/>
        <v>18.818222647039661</v>
      </c>
      <c r="X66" s="157">
        <f t="shared" si="11"/>
        <v>46439</v>
      </c>
      <c r="Y66" s="385">
        <f t="shared" si="12"/>
        <v>17.871185152786559</v>
      </c>
      <c r="Z66" s="385">
        <f t="shared" si="22"/>
        <v>19.219724723521669</v>
      </c>
      <c r="AA66" s="386">
        <f t="shared" si="13"/>
        <v>22.474958776908064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0.14483826580945686</v>
      </c>
      <c r="AD66" s="231">
        <f>(INDEX(Models!$BJ66:$BT66,,AH66)*(1-AF66)+INDEX(Models!$BJ66:$BT66,,AH66+1)*AF66-ERP_i)*AE66*Ramure*Pc/MaxiM</f>
        <v>5.3588776347041059E-3</v>
      </c>
      <c r="AE66" s="305">
        <f t="shared" si="15"/>
        <v>0.7</v>
      </c>
      <c r="AF66" s="177">
        <f t="shared" si="23"/>
        <v>3.2252358436051232E-3</v>
      </c>
      <c r="AG66" s="810">
        <f t="shared" si="24"/>
        <v>2</v>
      </c>
      <c r="AH66" s="176">
        <f t="shared" si="16"/>
        <v>8</v>
      </c>
      <c r="AI66" s="225">
        <f t="shared" si="17"/>
        <v>2.0032252358436051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27.464690971987963</v>
      </c>
      <c r="C67" s="840"/>
      <c r="D67" s="393">
        <f t="shared" si="0"/>
        <v>29.537833111395813</v>
      </c>
      <c r="E67" s="385">
        <f t="shared" si="1"/>
        <v>32.881583689108488</v>
      </c>
      <c r="F67" s="385">
        <f t="shared" si="2"/>
        <v>32.905820282207131</v>
      </c>
      <c r="G67" s="110">
        <f t="shared" si="21"/>
        <v>0.94781971097171547</v>
      </c>
      <c r="H67" s="414" t="b">
        <f>Wh_hp&gt;='2026'!Maxi_hp</f>
        <v>0</v>
      </c>
      <c r="I67" s="390">
        <f>IF(H67,Wh_hp,'2026'!Maxi_hp)</f>
        <v>34.11239789666849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7.0185992709398293E-2</v>
      </c>
      <c r="M67" s="844"/>
      <c r="N67" s="844"/>
      <c r="O67" s="48">
        <f>IF(t&lt;Tnet,'2026'!Resal+('2026'!Salim-'2026'!Resal)*(1-EXP(('2026'!Tnet-t)/('2026'!Tau_j))),Resal+(Salim-Resal)*(1-EXP((Tnet-t)/(Tau_j))))*Salcycl</f>
        <v>0.10169067917553631</v>
      </c>
      <c r="P67" s="169">
        <f>(INDEX(Models!$BJ67:$BT67,,T67)*(1-R67)+INDEX(Models!$BJ67:$BT67,,T67+1)*R67-ERP_i)*Q67*Ramure*Pc/MaxiM</f>
        <v>7.9580204483118756E-4</v>
      </c>
      <c r="Q67" s="305">
        <f t="shared" si="4"/>
        <v>0.7</v>
      </c>
      <c r="R67" s="177">
        <f t="shared" si="5"/>
        <v>0.18342146055167663</v>
      </c>
      <c r="S67" s="810">
        <f t="shared" si="6"/>
        <v>-1</v>
      </c>
      <c r="T67" s="176">
        <f t="shared" si="7"/>
        <v>5</v>
      </c>
      <c r="U67" s="251">
        <f t="shared" si="8"/>
        <v>-0.81657853944832337</v>
      </c>
      <c r="V67" s="383">
        <f t="shared" si="9"/>
        <v>28.97498538779973</v>
      </c>
      <c r="W67" s="402">
        <f t="shared" si="10"/>
        <v>27.464690971987963</v>
      </c>
      <c r="X67" s="157">
        <f t="shared" si="11"/>
        <v>46440</v>
      </c>
      <c r="Y67" s="385">
        <f t="shared" si="12"/>
        <v>26.037040283350947</v>
      </c>
      <c r="Z67" s="385">
        <f t="shared" si="22"/>
        <v>28.002417773013175</v>
      </c>
      <c r="AA67" s="386">
        <f t="shared" si="13"/>
        <v>32.746730645734864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0.1448789781199003</v>
      </c>
      <c r="AD67" s="231">
        <f>(INDEX(Models!$BJ67:$BT67,,AH67)*(1-AF67)+INDEX(Models!$BJ67:$BT67,,AH67+1)*AF67-ERP_i)*AE67*Ramure*Pc/MaxiM</f>
        <v>5.223665615906899E-3</v>
      </c>
      <c r="AE67" s="305">
        <f t="shared" si="15"/>
        <v>0.7</v>
      </c>
      <c r="AF67" s="177">
        <f t="shared" si="23"/>
        <v>3.4115136508603428E-3</v>
      </c>
      <c r="AG67" s="810">
        <f t="shared" si="24"/>
        <v>2</v>
      </c>
      <c r="AH67" s="176">
        <f t="shared" si="16"/>
        <v>8</v>
      </c>
      <c r="AI67" s="225">
        <f t="shared" si="17"/>
        <v>2.0034115136508603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27.670964672399986</v>
      </c>
      <c r="C68" s="840"/>
      <c r="D68" s="393">
        <f t="shared" si="0"/>
        <v>29.760369723608648</v>
      </c>
      <c r="E68" s="385">
        <f t="shared" si="1"/>
        <v>33.132531883145958</v>
      </c>
      <c r="F68" s="385">
        <f t="shared" si="2"/>
        <v>33.155770509101693</v>
      </c>
      <c r="G68" s="110">
        <f t="shared" si="21"/>
        <v>0.9437935620571154</v>
      </c>
      <c r="H68" s="414" t="b">
        <f>Wh_hp&gt;='2026'!Maxi_hp</f>
        <v>0</v>
      </c>
      <c r="I68" s="390">
        <f>IF(H68,Wh_hp,'2026'!Maxi_hp)</f>
        <v>35.162786198923072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7.0207630839718815E-2</v>
      </c>
      <c r="M68" s="844"/>
      <c r="N68" s="844"/>
      <c r="O68" s="48">
        <f>IF(t&lt;Tnet,'2026'!Resal+('2026'!Salim-'2026'!Resal)*(1-EXP(('2026'!Tnet-t)/('2026'!Tau_j))),Resal+(Salim-Resal)*(1-EXP((Tnet-t)/(Tau_j))))*Salcycl</f>
        <v>0.10177797976413269</v>
      </c>
      <c r="P68" s="169">
        <f>(INDEX(Models!$BJ68:$BT68,,T68)*(1-R68)+INDEX(Models!$BJ68:$BT68,,T68+1)*R68-ERP_i)*Q68*Ramure*Pc/MaxiM</f>
        <v>7.6201546978147067E-4</v>
      </c>
      <c r="Q68" s="305">
        <f t="shared" si="4"/>
        <v>0.7</v>
      </c>
      <c r="R68" s="177">
        <f t="shared" si="5"/>
        <v>0.18361536683997892</v>
      </c>
      <c r="S68" s="810">
        <f t="shared" si="6"/>
        <v>-1</v>
      </c>
      <c r="T68" s="176">
        <f t="shared" si="7"/>
        <v>5</v>
      </c>
      <c r="U68" s="251">
        <f t="shared" si="8"/>
        <v>-0.81638463316002108</v>
      </c>
      <c r="V68" s="383">
        <f t="shared" si="9"/>
        <v>29.317080835100462</v>
      </c>
      <c r="W68" s="402">
        <f t="shared" si="10"/>
        <v>27.670964672399986</v>
      </c>
      <c r="X68" s="157">
        <f t="shared" si="11"/>
        <v>46441</v>
      </c>
      <c r="Y68" s="385">
        <f t="shared" si="12"/>
        <v>26.23733925319128</v>
      </c>
      <c r="Z68" s="385">
        <f t="shared" si="22"/>
        <v>28.218492776927047</v>
      </c>
      <c r="AA68" s="386">
        <f t="shared" si="13"/>
        <v>33.000981882738927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0.14491960035629572</v>
      </c>
      <c r="AD68" s="231">
        <f>(INDEX(Models!$BJ68:$BT68,,AH68)*(1-AF68)+INDEX(Models!$BJ68:$BT68,,AH68+1)*AF68-ERP_i)*AE68*Ramure*Pc/MaxiM</f>
        <v>5.0756584343371741E-3</v>
      </c>
      <c r="AE68" s="305">
        <f t="shared" si="15"/>
        <v>0.7</v>
      </c>
      <c r="AF68" s="177">
        <f t="shared" si="23"/>
        <v>3.6054199391628572E-3</v>
      </c>
      <c r="AG68" s="810">
        <f t="shared" si="24"/>
        <v>2</v>
      </c>
      <c r="AH68" s="176">
        <f t="shared" si="16"/>
        <v>8</v>
      </c>
      <c r="AI68" s="225">
        <f t="shared" si="17"/>
        <v>2.0036054199391629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16.97212133765807</v>
      </c>
      <c r="C69" s="840"/>
      <c r="D69" s="393">
        <f t="shared" si="0"/>
        <v>18.254092930700459</v>
      </c>
      <c r="E69" s="385">
        <f t="shared" si="1"/>
        <v>20.324445703404805</v>
      </c>
      <c r="F69" s="385">
        <f t="shared" si="2"/>
        <v>20.330198848365264</v>
      </c>
      <c r="G69" s="110">
        <f t="shared" si="21"/>
        <v>0.57193306958447598</v>
      </c>
      <c r="H69" s="414" t="b">
        <f>Wh_hp&gt;='2026'!Maxi_hp</f>
        <v>0</v>
      </c>
      <c r="I69" s="390">
        <f>IF(H69,Wh_hp,'2026'!Maxi_hp)</f>
        <v>36.637666820783267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7.0229268466488359E-2</v>
      </c>
      <c r="M69" s="844"/>
      <c r="N69" s="844"/>
      <c r="O69" s="48">
        <f>IF(t&lt;Tnet,'2026'!Resal+('2026'!Salim-'2026'!Resal)*(1-EXP(('2026'!Tnet-t)/('2026'!Tau_j))),Resal+(Salim-Resal)*(1-EXP((Tnet-t)/(Tau_j))))*Salcycl</f>
        <v>0.1018651530731544</v>
      </c>
      <c r="P69" s="169">
        <f>(INDEX(Models!$BJ69:$BT69,,T69)*(1-R69)+INDEX(Models!$BJ69:$BT69,,T69+1)*R69-ERP_i)*Q69*Ramure*Pc/MaxiM</f>
        <v>7.2776862470397253E-4</v>
      </c>
      <c r="Q69" s="305">
        <f t="shared" si="4"/>
        <v>0.7</v>
      </c>
      <c r="R69" s="177">
        <f t="shared" si="5"/>
        <v>0.18381720598175355</v>
      </c>
      <c r="S69" s="810">
        <f t="shared" si="6"/>
        <v>-1</v>
      </c>
      <c r="T69" s="176">
        <f t="shared" si="7"/>
        <v>5</v>
      </c>
      <c r="U69" s="251">
        <f t="shared" si="8"/>
        <v>-0.81618279401824645</v>
      </c>
      <c r="V69" s="383">
        <f t="shared" si="9"/>
        <v>29.661810418721245</v>
      </c>
      <c r="W69" s="402">
        <f t="shared" si="10"/>
        <v>16.97212133765807</v>
      </c>
      <c r="X69" s="157">
        <f t="shared" si="11"/>
        <v>46442</v>
      </c>
      <c r="Y69" s="385">
        <f t="shared" si="12"/>
        <v>16.131435176226297</v>
      </c>
      <c r="Z69" s="385">
        <f t="shared" si="22"/>
        <v>17.349906411465561</v>
      </c>
      <c r="AA69" s="386">
        <f t="shared" si="13"/>
        <v>20.291341998067267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0.14496013062526258</v>
      </c>
      <c r="AD69" s="231">
        <f>(INDEX(Models!$BJ69:$BT69,,AH69)*(1-AF69)+INDEX(Models!$BJ69:$BT69,,AH69+1)*AF69-ERP_i)*AE69*Ramure*Pc/MaxiM</f>
        <v>4.9153631094060943E-3</v>
      </c>
      <c r="AE69" s="305">
        <f t="shared" si="15"/>
        <v>0.7</v>
      </c>
      <c r="AF69" s="177">
        <f t="shared" si="23"/>
        <v>3.8072590809372642E-3</v>
      </c>
      <c r="AG69" s="810">
        <f t="shared" si="24"/>
        <v>2</v>
      </c>
      <c r="AH69" s="176">
        <f t="shared" si="16"/>
        <v>8</v>
      </c>
      <c r="AI69" s="225">
        <f t="shared" si="17"/>
        <v>2.0038072590809373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27.287266609855447</v>
      </c>
      <c r="C70" s="840"/>
      <c r="D70" s="393">
        <f t="shared" si="0"/>
        <v>29.349065004643155</v>
      </c>
      <c r="E70" s="385">
        <f t="shared" si="1"/>
        <v>32.680960843508352</v>
      </c>
      <c r="F70" s="385">
        <f t="shared" si="2"/>
        <v>32.700688737863963</v>
      </c>
      <c r="G70" s="110">
        <f t="shared" si="21"/>
        <v>0.90922133535175031</v>
      </c>
      <c r="H70" s="414" t="b">
        <f>Wh_hp&gt;='2026'!Maxi_hp</f>
        <v>0</v>
      </c>
      <c r="I70" s="390">
        <f>IF(H70,Wh_hp,'2026'!Maxi_hp)</f>
        <v>35.339882745455832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7.0250905589718804E-2</v>
      </c>
      <c r="M70" s="844"/>
      <c r="N70" s="844"/>
      <c r="O70" s="48">
        <f>IF(t&lt;Tnet,'2026'!Resal+('2026'!Salim-'2026'!Resal)*(1-EXP(('2026'!Tnet-t)/('2026'!Tau_j))),Resal+(Salim-Resal)*(1-EXP((Tnet-t)/(Tau_j))))*Salcycl</f>
        <v>0.10195219947234302</v>
      </c>
      <c r="P70" s="169">
        <f>(INDEX(Models!$BJ70:$BT70,,T70)*(1-R70)+INDEX(Models!$BJ70:$BT70,,T70+1)*R70-ERP_i)*Q70*Ramure*Pc/MaxiM</f>
        <v>6.9308823657839784E-4</v>
      </c>
      <c r="Q70" s="305">
        <f t="shared" si="4"/>
        <v>0.7</v>
      </c>
      <c r="R70" s="177">
        <f t="shared" si="5"/>
        <v>0.18402729381546234</v>
      </c>
      <c r="S70" s="810">
        <f t="shared" si="6"/>
        <v>-1</v>
      </c>
      <c r="T70" s="176">
        <f t="shared" si="7"/>
        <v>5</v>
      </c>
      <c r="U70" s="251">
        <f t="shared" si="8"/>
        <v>-0.81597270618453766</v>
      </c>
      <c r="V70" s="383">
        <f t="shared" si="9"/>
        <v>30.008990808336424</v>
      </c>
      <c r="W70" s="402">
        <f t="shared" si="10"/>
        <v>27.287266609855447</v>
      </c>
      <c r="X70" s="157">
        <f t="shared" si="11"/>
        <v>46443</v>
      </c>
      <c r="Y70" s="385">
        <f t="shared" si="12"/>
        <v>25.88759513780705</v>
      </c>
      <c r="Z70" s="385">
        <f t="shared" si="22"/>
        <v>27.843635765224345</v>
      </c>
      <c r="AA70" s="386">
        <f t="shared" si="13"/>
        <v>32.565677555042022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0.14500056944421172</v>
      </c>
      <c r="AD70" s="231">
        <f>(INDEX(Models!$BJ70:$BT70,,AH70)*(1-AF70)+INDEX(Models!$BJ70:$BT70,,AH70+1)*AF70-ERP_i)*AE70*Ramure*Pc/MaxiM</f>
        <v>4.7432666119177945E-3</v>
      </c>
      <c r="AE70" s="305">
        <f t="shared" si="15"/>
        <v>0.7</v>
      </c>
      <c r="AF70" s="177">
        <f t="shared" si="23"/>
        <v>4.0173469146465024E-3</v>
      </c>
      <c r="AG70" s="810">
        <f t="shared" si="24"/>
        <v>2</v>
      </c>
      <c r="AH70" s="176">
        <f t="shared" si="16"/>
        <v>8</v>
      </c>
      <c r="AI70" s="225">
        <f t="shared" si="17"/>
        <v>2.0040173469146465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31.214323864877123</v>
      </c>
      <c r="C71" s="840"/>
      <c r="D71" s="393">
        <f t="shared" si="0"/>
        <v>33.573628059835329</v>
      </c>
      <c r="E71" s="385">
        <f t="shared" si="1"/>
        <v>37.388742482442126</v>
      </c>
      <c r="F71" s="385">
        <f t="shared" si="2"/>
        <v>37.413360442633895</v>
      </c>
      <c r="G71" s="110">
        <f t="shared" si="21"/>
        <v>1.0281926607440854</v>
      </c>
      <c r="H71" s="414" t="b">
        <f>Wh_hp&gt;='2026'!Maxi_hp</f>
        <v>1</v>
      </c>
      <c r="I71" s="390">
        <f>IF(H71,Wh_hp,'2026'!Maxi_hp)</f>
        <v>37.413360442633895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7.0272542209421696E-2</v>
      </c>
      <c r="M71" s="844"/>
      <c r="N71" s="844"/>
      <c r="O71" s="48">
        <f>IF(t&lt;Tnet,'2026'!Resal+('2026'!Salim-'2026'!Resal)*(1-EXP(('2026'!Tnet-t)/('2026'!Tau_j))),Resal+(Salim-Resal)*(1-EXP((Tnet-t)/(Tau_j))))*Salcycl</f>
        <v>0.10203912111776392</v>
      </c>
      <c r="P71" s="169">
        <f>(INDEX(Models!$BJ71:$BT71,,T71)*(1-R71)+INDEX(Models!$BJ71:$BT71,,T71+1)*R71-ERP_i)*Q71*Ramure*Pc/MaxiM</f>
        <v>6.5799917196729288E-4</v>
      </c>
      <c r="Q71" s="305">
        <f t="shared" si="4"/>
        <v>0.7</v>
      </c>
      <c r="R71" s="177">
        <f t="shared" si="5"/>
        <v>0.18424595801991461</v>
      </c>
      <c r="S71" s="810">
        <f t="shared" si="6"/>
        <v>-1</v>
      </c>
      <c r="T71" s="176">
        <f t="shared" si="7"/>
        <v>5</v>
      </c>
      <c r="U71" s="251">
        <f t="shared" si="8"/>
        <v>-0.81575404198008539</v>
      </c>
      <c r="V71" s="383">
        <f t="shared" si="9"/>
        <v>30.358438701836143</v>
      </c>
      <c r="W71" s="402">
        <f t="shared" si="10"/>
        <v>31.214323864877123</v>
      </c>
      <c r="X71" s="157">
        <f t="shared" si="11"/>
        <v>46444</v>
      </c>
      <c r="Y71" s="385">
        <f t="shared" si="12"/>
        <v>29.603486616256479</v>
      </c>
      <c r="Z71" s="385">
        <f t="shared" si="22"/>
        <v>31.841037250429022</v>
      </c>
      <c r="AA71" s="386">
        <f t="shared" si="13"/>
        <v>37.242761660041438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0.1450409198684115</v>
      </c>
      <c r="AD71" s="231">
        <f>(INDEX(Models!$BJ71:$BT71,,AH71)*(1-AF71)+INDEX(Models!$BJ71:$BT71,,AH71+1)*AF71-ERP_i)*AE71*Ramure*Pc/MaxiM</f>
        <v>4.5598358600809673E-3</v>
      </c>
      <c r="AE71" s="305">
        <f t="shared" si="15"/>
        <v>0.7</v>
      </c>
      <c r="AF71" s="177">
        <f t="shared" si="23"/>
        <v>4.2360111190986593E-3</v>
      </c>
      <c r="AG71" s="810">
        <f t="shared" si="24"/>
        <v>2</v>
      </c>
      <c r="AH71" s="176">
        <f t="shared" si="16"/>
        <v>8</v>
      </c>
      <c r="AI71" s="225">
        <f t="shared" si="17"/>
        <v>2.0042360111190987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25.556729751934675</v>
      </c>
      <c r="C72" s="840"/>
      <c r="D72" s="393">
        <f t="shared" si="0"/>
        <v>27.489049929694165</v>
      </c>
      <c r="E72" s="385">
        <f t="shared" si="1"/>
        <v>30.615707262594317</v>
      </c>
      <c r="F72" s="385">
        <f t="shared" si="2"/>
        <v>30.630245531940925</v>
      </c>
      <c r="G72" s="110">
        <f t="shared" si="21"/>
        <v>0.83207335505196278</v>
      </c>
      <c r="H72" s="414" t="b">
        <f>Wh_hp&gt;='2026'!Maxi_hp</f>
        <v>0</v>
      </c>
      <c r="I72" s="390">
        <f>IF(H72,Wh_hp,'2026'!Maxi_hp)</f>
        <v>37.047346489228502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7.0294178325608914E-2</v>
      </c>
      <c r="M72" s="844"/>
      <c r="N72" s="844"/>
      <c r="O72" s="48">
        <f>IF(t&lt;Tnet,'2026'!Resal+('2026'!Salim-'2026'!Resal)*(1-EXP(('2026'!Tnet-t)/('2026'!Tau_j))),Resal+(Salim-Resal)*(1-EXP((Tnet-t)/(Tau_j))))*Salcycl</f>
        <v>0.10212592203349945</v>
      </c>
      <c r="P72" s="169">
        <f>(INDEX(Models!$BJ72:$BT72,,T72)*(1-R72)+INDEX(Models!$BJ72:$BT72,,T72+1)*R72-ERP_i)*Q72*Ramure*Pc/MaxiM</f>
        <v>6.2429099540109423E-4</v>
      </c>
      <c r="Q72" s="305">
        <f t="shared" si="4"/>
        <v>0.7</v>
      </c>
      <c r="R72" s="177">
        <f t="shared" si="5"/>
        <v>0.18447353849576276</v>
      </c>
      <c r="S72" s="810">
        <f t="shared" si="6"/>
        <v>-1</v>
      </c>
      <c r="T72" s="176">
        <f t="shared" si="7"/>
        <v>5</v>
      </c>
      <c r="U72" s="251">
        <f t="shared" si="8"/>
        <v>-0.81552646150423724</v>
      </c>
      <c r="V72" s="383">
        <f t="shared" si="9"/>
        <v>30.709916537797064</v>
      </c>
      <c r="W72" s="402">
        <f t="shared" si="10"/>
        <v>25.556729751934675</v>
      </c>
      <c r="X72" s="157">
        <f t="shared" si="11"/>
        <v>46445</v>
      </c>
      <c r="Y72" s="385">
        <f t="shared" si="12"/>
        <v>24.264621732790005</v>
      </c>
      <c r="Z72" s="385">
        <f t="shared" si="22"/>
        <v>26.099246844652061</v>
      </c>
      <c r="AA72" s="386">
        <f t="shared" si="13"/>
        <v>30.528333762334015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0.14508118759978239</v>
      </c>
      <c r="AD72" s="231">
        <f>(INDEX(Models!$BJ72:$BT72,,AH72)*(1-AF72)+INDEX(Models!$BJ72:$BT72,,AH72+1)*AF72-ERP_i)*AE72*Ramure*Pc/MaxiM</f>
        <v>4.3762155297962235E-3</v>
      </c>
      <c r="AE72" s="305">
        <f t="shared" si="15"/>
        <v>0.7</v>
      </c>
      <c r="AF72" s="177">
        <f t="shared" si="23"/>
        <v>4.463591594946692E-3</v>
      </c>
      <c r="AG72" s="810">
        <f t="shared" si="24"/>
        <v>2</v>
      </c>
      <c r="AH72" s="176">
        <f t="shared" si="16"/>
        <v>8</v>
      </c>
      <c r="AI72" s="225">
        <f t="shared" si="17"/>
        <v>2.0044635915949467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26.53513531952845</v>
      </c>
      <c r="C73" s="840"/>
      <c r="D73" s="393">
        <f t="shared" si="0"/>
        <v>28.54209603363865</v>
      </c>
      <c r="E73" s="385">
        <f t="shared" si="1"/>
        <v>31.791598204318781</v>
      </c>
      <c r="F73" s="385">
        <f t="shared" si="2"/>
        <v>31.806562330517757</v>
      </c>
      <c r="G73" s="110">
        <f t="shared" si="21"/>
        <v>0.85412565322275957</v>
      </c>
      <c r="H73" s="414" t="b">
        <f>Wh_hp&gt;='2026'!Maxi_hp</f>
        <v>0</v>
      </c>
      <c r="I73" s="390">
        <f>IF(H73,Wh_hp,'2026'!Maxi_hp)</f>
        <v>31.808679845123084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7.0315813938292115E-2</v>
      </c>
      <c r="M73" s="844"/>
      <c r="N73" s="844"/>
      <c r="O73" s="48">
        <f>IF(t&lt;Tnet,'2026'!Resal+('2026'!Salim-'2026'!Resal)*(1-EXP(('2026'!Tnet-t)/('2026'!Tau_j))),Resal+(Salim-Resal)*(1-EXP((Tnet-t)/(Tau_j))))*Salcycl</f>
        <v>0.102212608180192</v>
      </c>
      <c r="P73" s="169">
        <f>(INDEX(Models!$BJ73:$BT73,,T73)*(1-R73)+INDEX(Models!$BJ73:$BT73,,T73+1)*R73-ERP_i)*Q73*Ramure*Pc/MaxiM</f>
        <v>5.9421216452944182E-4</v>
      </c>
      <c r="Q73" s="305">
        <f t="shared" si="4"/>
        <v>0.7</v>
      </c>
      <c r="R73" s="177">
        <f t="shared" si="5"/>
        <v>0.18471038775383286</v>
      </c>
      <c r="S73" s="810">
        <f t="shared" si="6"/>
        <v>-1</v>
      </c>
      <c r="T73" s="176">
        <f t="shared" si="7"/>
        <v>5</v>
      </c>
      <c r="U73" s="251">
        <f t="shared" si="8"/>
        <v>-0.81528961224616714</v>
      </c>
      <c r="V73" s="383">
        <f t="shared" si="9"/>
        <v>31.063169963668948</v>
      </c>
      <c r="W73" s="402">
        <f t="shared" si="10"/>
        <v>26.53513531952845</v>
      </c>
      <c r="X73" s="157">
        <f t="shared" si="11"/>
        <v>46446</v>
      </c>
      <c r="Y73" s="385">
        <f t="shared" si="12"/>
        <v>25.194618479836638</v>
      </c>
      <c r="Z73" s="385">
        <f t="shared" si="22"/>
        <v>27.100190427638772</v>
      </c>
      <c r="AA73" s="386">
        <f t="shared" si="13"/>
        <v>31.70062957214942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0.14512138107668257</v>
      </c>
      <c r="AD73" s="231">
        <f>(INDEX(Models!$BJ73:$BT73,,AH73)*(1-AF73)+INDEX(Models!$BJ73:$BT73,,AH73+1)*AF73-ERP_i)*AE73*Ramure*Pc/MaxiM</f>
        <v>4.2064957758058807E-3</v>
      </c>
      <c r="AE73" s="305">
        <f t="shared" si="15"/>
        <v>0.7</v>
      </c>
      <c r="AF73" s="177">
        <f t="shared" si="23"/>
        <v>4.7004408530169073E-3</v>
      </c>
      <c r="AG73" s="810">
        <f t="shared" si="24"/>
        <v>2</v>
      </c>
      <c r="AH73" s="176">
        <f t="shared" si="16"/>
        <v>8</v>
      </c>
      <c r="AI73" s="225">
        <f t="shared" si="17"/>
        <v>2.0047004408530169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31.470707367029124</v>
      </c>
      <c r="C74" s="840"/>
      <c r="D74" s="393">
        <f t="shared" si="0"/>
        <v>33.851753342957345</v>
      </c>
      <c r="E74" s="385">
        <f t="shared" si="1"/>
        <v>37.709393677679017</v>
      </c>
      <c r="F74" s="385">
        <f t="shared" si="2"/>
        <v>37.730811639617201</v>
      </c>
      <c r="G74" s="110">
        <f t="shared" si="21"/>
        <v>1.0016771201596428</v>
      </c>
      <c r="H74" s="414" t="b">
        <f>Wh_hp&gt;='2026'!Maxi_hp</f>
        <v>1</v>
      </c>
      <c r="I74" s="390">
        <f>IF(H74,Wh_hp,'2026'!Maxi_hp)</f>
        <v>37.730811639617201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7.0337449047482958E-2</v>
      </c>
      <c r="M74" s="844"/>
      <c r="N74" s="844"/>
      <c r="O74" s="48">
        <f>IF(t&lt;Tnet,'2026'!Resal+('2026'!Salim-'2026'!Resal)*(1-EXP(('2026'!Tnet-t)/('2026'!Tau_j))),Resal+(Salim-Resal)*(1-EXP((Tnet-t)/(Tau_j))))*Salcycl</f>
        <v>0.10229918751001009</v>
      </c>
      <c r="P74" s="169">
        <f>(INDEX(Models!$BJ74:$BT74,,T74)*(1-R74)+INDEX(Models!$BJ74:$BT74,,T74+1)*R74-ERP_i)*Q74*Ramure*Pc/MaxiM</f>
        <v>5.6765176807627279E-4</v>
      </c>
      <c r="Q74" s="305">
        <f t="shared" si="4"/>
        <v>0.7</v>
      </c>
      <c r="R74" s="177">
        <f t="shared" si="5"/>
        <v>0.18495687130987992</v>
      </c>
      <c r="S74" s="810">
        <f t="shared" si="6"/>
        <v>-1</v>
      </c>
      <c r="T74" s="176">
        <f t="shared" si="7"/>
        <v>5</v>
      </c>
      <c r="U74" s="251">
        <f t="shared" si="8"/>
        <v>-0.81504312869012008</v>
      </c>
      <c r="V74" s="383">
        <f t="shared" si="9"/>
        <v>31.418015579724397</v>
      </c>
      <c r="W74" s="402">
        <f t="shared" si="10"/>
        <v>31.470707367029124</v>
      </c>
      <c r="X74" s="157">
        <f t="shared" si="11"/>
        <v>46447</v>
      </c>
      <c r="Y74" s="385">
        <f t="shared" si="12"/>
        <v>29.86365598037569</v>
      </c>
      <c r="Z74" s="385">
        <f t="shared" si="22"/>
        <v>32.12311386510931</v>
      </c>
      <c r="AA74" s="386">
        <f t="shared" si="13"/>
        <v>37.577991982012513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0.14516151154415835</v>
      </c>
      <c r="AD74" s="231">
        <f>(INDEX(Models!$BJ74:$BT74,,AH74)*(1-AF74)+INDEX(Models!$BJ74:$BT74,,AH74+1)*AF74-ERP_i)*AE74*Ramure*Pc/MaxiM</f>
        <v>4.0502616022239672E-3</v>
      </c>
      <c r="AE74" s="305">
        <f t="shared" si="15"/>
        <v>0.7</v>
      </c>
      <c r="AF74" s="177">
        <f t="shared" si="23"/>
        <v>4.9469244090638576E-3</v>
      </c>
      <c r="AG74" s="810">
        <f t="shared" si="24"/>
        <v>2</v>
      </c>
      <c r="AH74" s="176">
        <f t="shared" si="16"/>
        <v>8</v>
      </c>
      <c r="AI74" s="225">
        <f t="shared" si="17"/>
        <v>2.0049469244090639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10.094187463527671</v>
      </c>
      <c r="C75" s="840"/>
      <c r="D75" s="393">
        <f t="shared" si="0"/>
        <v>10.858157473527109</v>
      </c>
      <c r="E75" s="385">
        <f t="shared" si="1"/>
        <v>12.09668463472612</v>
      </c>
      <c r="F75" s="385">
        <f t="shared" si="2"/>
        <v>12.096851038234973</v>
      </c>
      <c r="G75" s="110">
        <f t="shared" si="21"/>
        <v>0.31751571136730733</v>
      </c>
      <c r="H75" s="414" t="b">
        <f>Wh_hp&gt;='2026'!Maxi_hp</f>
        <v>0</v>
      </c>
      <c r="I75" s="390">
        <f>IF(H75,Wh_hp,'2026'!Maxi_hp)</f>
        <v>27.571693836230367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7.03590836531931E-2</v>
      </c>
      <c r="M75" s="844"/>
      <c r="N75" s="844"/>
      <c r="O75" s="48">
        <f>IF(t&lt;Tnet,'2026'!Resal+('2026'!Salim-'2026'!Resal)*(1-EXP(('2026'!Tnet-t)/('2026'!Tau_j))),Resal+(Salim-Resal)*(1-EXP((Tnet-t)/(Tau_j))))*Salcycl</f>
        <v>0.1023856700077601</v>
      </c>
      <c r="P75" s="169">
        <f>(INDEX(Models!$BJ75:$BT75,,T75)*(1-R75)+INDEX(Models!$BJ75:$BT75,,T75+1)*R75-ERP_i)*Q75*Ramure*Pc/MaxiM</f>
        <v>5.4450232226434085E-4</v>
      </c>
      <c r="Q75" s="305">
        <f t="shared" si="4"/>
        <v>0.7</v>
      </c>
      <c r="R75" s="177">
        <f t="shared" si="5"/>
        <v>0.1852133680852891</v>
      </c>
      <c r="S75" s="810">
        <f t="shared" si="6"/>
        <v>-1</v>
      </c>
      <c r="T75" s="176">
        <f t="shared" si="7"/>
        <v>5</v>
      </c>
      <c r="U75" s="251">
        <f t="shared" si="8"/>
        <v>-0.8147866319147109</v>
      </c>
      <c r="V75" s="383">
        <f t="shared" si="9"/>
        <v>31.77426998136967</v>
      </c>
      <c r="W75" s="402">
        <f t="shared" si="10"/>
        <v>10.094187463527671</v>
      </c>
      <c r="X75" s="157">
        <f t="shared" si="11"/>
        <v>46448</v>
      </c>
      <c r="Y75" s="385">
        <f t="shared" si="12"/>
        <v>9.6118812595954051</v>
      </c>
      <c r="Z75" s="385">
        <f t="shared" si="22"/>
        <v>10.339348333942789</v>
      </c>
      <c r="AA75" s="386">
        <f t="shared" si="13"/>
        <v>12.095656999984204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0.14520159310434375</v>
      </c>
      <c r="AD75" s="231">
        <f>(INDEX(Models!$BJ75:$BT75,,AH75)*(1-AF75)+INDEX(Models!$BJ75:$BT75,,AH75+1)*AF75-ERP_i)*AE75*Ramure*Pc/MaxiM</f>
        <v>3.9071087196261307E-3</v>
      </c>
      <c r="AE75" s="305">
        <f t="shared" si="15"/>
        <v>0.7</v>
      </c>
      <c r="AF75" s="177">
        <f t="shared" si="23"/>
        <v>5.2034211844729228E-3</v>
      </c>
      <c r="AG75" s="810">
        <f t="shared" si="24"/>
        <v>2</v>
      </c>
      <c r="AH75" s="176">
        <f t="shared" si="16"/>
        <v>8</v>
      </c>
      <c r="AI75" s="225">
        <f t="shared" si="17"/>
        <v>2.0052034211844729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30.159562371859924</v>
      </c>
      <c r="C76" s="840"/>
      <c r="D76" s="393">
        <f t="shared" si="0"/>
        <v>32.442918243950004</v>
      </c>
      <c r="E76" s="385">
        <f t="shared" si="1"/>
        <v>36.146973344286764</v>
      </c>
      <c r="F76" s="385">
        <f t="shared" si="2"/>
        <v>36.164283597675102</v>
      </c>
      <c r="G76" s="110">
        <f t="shared" si="21"/>
        <v>0.93857864831537385</v>
      </c>
      <c r="H76" s="414" t="b">
        <f>Wh_hp&gt;='2026'!Maxi_hp</f>
        <v>0</v>
      </c>
      <c r="I76" s="390">
        <f>IF(H76,Wh_hp,'2026'!Maxi_hp)</f>
        <v>36.165179831401133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7.038071775543453E-2</v>
      </c>
      <c r="M76" s="844"/>
      <c r="N76" s="844"/>
      <c r="O76" s="48">
        <f>IF(t&lt;Tnet,'2026'!Resal+('2026'!Salim-'2026'!Resal)*(1-EXP(('2026'!Tnet-t)/('2026'!Tau_j))),Resal+(Salim-Resal)*(1-EXP((Tnet-t)/(Tau_j))))*Salcycl</f>
        <v>0.10247206771800747</v>
      </c>
      <c r="P76" s="169">
        <f>(INDEX(Models!$BJ76:$BT76,,T76)*(1-R76)+INDEX(Models!$BJ76:$BT76,,T76+1)*R76-ERP_i)*Q76*Ramure*Pc/MaxiM</f>
        <v>5.2465984414838695E-4</v>
      </c>
      <c r="Q76" s="305">
        <f t="shared" si="4"/>
        <v>0.7</v>
      </c>
      <c r="R76" s="177">
        <f t="shared" si="5"/>
        <v>0.18548027081317542</v>
      </c>
      <c r="S76" s="810">
        <f t="shared" si="6"/>
        <v>-1</v>
      </c>
      <c r="T76" s="176">
        <f t="shared" si="7"/>
        <v>5</v>
      </c>
      <c r="U76" s="251">
        <f t="shared" si="8"/>
        <v>-0.81451972918682458</v>
      </c>
      <c r="V76" s="383">
        <f t="shared" si="9"/>
        <v>32.1317497553012</v>
      </c>
      <c r="W76" s="402">
        <f t="shared" si="10"/>
        <v>30.159562371859924</v>
      </c>
      <c r="X76" s="157">
        <f t="shared" si="11"/>
        <v>46449</v>
      </c>
      <c r="Y76" s="385">
        <f t="shared" si="12"/>
        <v>28.637124102932091</v>
      </c>
      <c r="Z76" s="385">
        <f t="shared" si="22"/>
        <v>30.805217415228054</v>
      </c>
      <c r="AA76" s="386">
        <f t="shared" si="13"/>
        <v>36.039679698745935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0.14524164274689777</v>
      </c>
      <c r="AD76" s="231">
        <f>(INDEX(Models!$BJ76:$BT76,,AH76)*(1-AF76)+INDEX(Models!$BJ76:$BT76,,AH76+1)*AF76-ERP_i)*AE76*Ramure*Pc/MaxiM</f>
        <v>3.7766438610600797E-3</v>
      </c>
      <c r="AE76" s="305">
        <f t="shared" si="15"/>
        <v>0.7</v>
      </c>
      <c r="AF76" s="177">
        <f t="shared" si="23"/>
        <v>5.4703239123594649E-3</v>
      </c>
      <c r="AG76" s="810">
        <f t="shared" si="24"/>
        <v>2</v>
      </c>
      <c r="AH76" s="176">
        <f t="shared" si="16"/>
        <v>8</v>
      </c>
      <c r="AI76" s="225">
        <f t="shared" si="17"/>
        <v>2.0054703239123595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3.5826362095615516</v>
      </c>
      <c r="C77" s="840"/>
      <c r="D77" s="393">
        <f t="shared" si="0"/>
        <v>3.853964362733342</v>
      </c>
      <c r="E77" s="385">
        <f t="shared" si="1"/>
        <v>4.294390119895362</v>
      </c>
      <c r="F77" s="385">
        <f t="shared" si="2"/>
        <v>4.294390119895362</v>
      </c>
      <c r="G77" s="110">
        <f t="shared" si="21"/>
        <v>0.1102119490744313</v>
      </c>
      <c r="H77" s="414" t="b">
        <f>Wh_hp&gt;='2026'!Maxi_hp</f>
        <v>0</v>
      </c>
      <c r="I77" s="390">
        <f>IF(H77,Wh_hp,'2026'!Maxi_hp)</f>
        <v>30.44612113653443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7.0402351354218684E-2</v>
      </c>
      <c r="M77" s="844"/>
      <c r="N77" s="844"/>
      <c r="O77" s="48">
        <f>IF(t&lt;Tnet,'2026'!Resal+('2026'!Salim-'2026'!Resal)*(1-EXP(('2026'!Tnet-t)/('2026'!Tau_j))),Resal+(Salim-Resal)*(1-EXP((Tnet-t)/(Tau_j))))*Salcycl</f>
        <v>0.10255839475821817</v>
      </c>
      <c r="P77" s="169">
        <f>(INDEX(Models!$BJ77:$BT77,,T77)*(1-R77)+INDEX(Models!$BJ77:$BT77,,T77+1)*R77-ERP_i)*Q77*Ramure*Pc/MaxiM</f>
        <v>5.0802391286477056E-4</v>
      </c>
      <c r="Q77" s="305">
        <f t="shared" si="4"/>
        <v>0.7</v>
      </c>
      <c r="R77" s="177">
        <f t="shared" si="5"/>
        <v>0.18575798644925401</v>
      </c>
      <c r="S77" s="810">
        <f t="shared" si="6"/>
        <v>-1</v>
      </c>
      <c r="T77" s="176">
        <f t="shared" si="7"/>
        <v>5</v>
      </c>
      <c r="U77" s="251">
        <f t="shared" si="8"/>
        <v>-0.81424201355074599</v>
      </c>
      <c r="V77" s="383">
        <f t="shared" si="9"/>
        <v>32.490271470271395</v>
      </c>
      <c r="W77" s="402">
        <f t="shared" si="10"/>
        <v>3.5826362095615516</v>
      </c>
      <c r="X77" s="157">
        <f t="shared" si="11"/>
        <v>46450</v>
      </c>
      <c r="Y77" s="385">
        <f t="shared" si="12"/>
        <v>3.412082505462199</v>
      </c>
      <c r="Z77" s="385">
        <f t="shared" si="22"/>
        <v>3.6704939071574141</v>
      </c>
      <c r="AA77" s="386">
        <f t="shared" si="13"/>
        <v>4.294390119895362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0.14528168035957328</v>
      </c>
      <c r="AD77" s="231">
        <f>(INDEX(Models!$BJ77:$BT77,,AH77)*(1-AF77)+INDEX(Models!$BJ77:$BT77,,AH77+1)*AF77-ERP_i)*AE77*Ramure*Pc/MaxiM</f>
        <v>3.6584850432244457E-3</v>
      </c>
      <c r="AE77" s="305">
        <f t="shared" si="15"/>
        <v>0.7</v>
      </c>
      <c r="AF77" s="177">
        <f t="shared" si="23"/>
        <v>5.7480395484379443E-3</v>
      </c>
      <c r="AG77" s="810">
        <f t="shared" si="24"/>
        <v>2</v>
      </c>
      <c r="AH77" s="176">
        <f t="shared" si="16"/>
        <v>8</v>
      </c>
      <c r="AI77" s="225">
        <f t="shared" si="17"/>
        <v>2.0057480395484379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12.547315884930711</v>
      </c>
      <c r="C78" s="840"/>
      <c r="D78" s="393">
        <f t="shared" si="0"/>
        <v>13.497891162242281</v>
      </c>
      <c r="E78" s="385">
        <f t="shared" si="1"/>
        <v>15.041857635036285</v>
      </c>
      <c r="F78" s="385">
        <f t="shared" si="2"/>
        <v>15.042728608603207</v>
      </c>
      <c r="G78" s="110">
        <f t="shared" si="21"/>
        <v>0.38179514235033524</v>
      </c>
      <c r="H78" s="414" t="b">
        <f>Wh_hp&gt;='2026'!Maxi_hp</f>
        <v>0</v>
      </c>
      <c r="I78" s="390">
        <f>IF(H78,Wh_hp,'2026'!Maxi_hp)</f>
        <v>38.571800708819332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7.0423984449557442E-2</v>
      </c>
      <c r="M78" s="844"/>
      <c r="N78" s="844"/>
      <c r="O78" s="48">
        <f>IF(t&lt;Tnet,'2026'!Resal+('2026'!Salim-'2026'!Resal)*(1-EXP(('2026'!Tnet-t)/('2026'!Tau_j))),Resal+(Salim-Resal)*(1-EXP((Tnet-t)/(Tau_j))))*Salcycl</f>
        <v>0.10264466731806554</v>
      </c>
      <c r="P78" s="169">
        <f>(INDEX(Models!$BJ78:$BT78,,T78)*(1-R78)+INDEX(Models!$BJ78:$BT78,,T78+1)*R78-ERP_i)*Q78*Ramure*Pc/MaxiM</f>
        <v>4.9449772034603271E-4</v>
      </c>
      <c r="Q78" s="305">
        <f t="shared" si="4"/>
        <v>0.7</v>
      </c>
      <c r="R78" s="177">
        <f t="shared" si="5"/>
        <v>0.18604693658677063</v>
      </c>
      <c r="S78" s="810">
        <f t="shared" si="6"/>
        <v>-1</v>
      </c>
      <c r="T78" s="176">
        <f t="shared" si="7"/>
        <v>5</v>
      </c>
      <c r="U78" s="251">
        <f t="shared" si="8"/>
        <v>-0.81395306341322937</v>
      </c>
      <c r="V78" s="383">
        <f t="shared" si="9"/>
        <v>32.849651676182525</v>
      </c>
      <c r="W78" s="402">
        <f t="shared" si="10"/>
        <v>12.547315884930711</v>
      </c>
      <c r="X78" s="157">
        <f t="shared" si="11"/>
        <v>46451</v>
      </c>
      <c r="Y78" s="385">
        <f t="shared" si="12"/>
        <v>11.94630283546012</v>
      </c>
      <c r="Z78" s="385">
        <f t="shared" si="22"/>
        <v>12.851345813162135</v>
      </c>
      <c r="AA78" s="386">
        <f t="shared" si="13"/>
        <v>15.036471904104298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0.14532172871920299</v>
      </c>
      <c r="AD78" s="231">
        <f>(INDEX(Models!$BJ78:$BT78,,AH78)*(1-AF78)+INDEX(Models!$BJ78:$BT78,,AH78+1)*AF78-ERP_i)*AE78*Ramure*Pc/MaxiM</f>
        <v>3.5522617781923132E-3</v>
      </c>
      <c r="AE78" s="305">
        <f t="shared" si="15"/>
        <v>0.7</v>
      </c>
      <c r="AF78" s="177">
        <f t="shared" si="23"/>
        <v>6.0369896859544525E-3</v>
      </c>
      <c r="AG78" s="810">
        <f t="shared" si="24"/>
        <v>2</v>
      </c>
      <c r="AH78" s="176">
        <f t="shared" si="16"/>
        <v>8</v>
      </c>
      <c r="AI78" s="225">
        <f t="shared" si="17"/>
        <v>2.0060369896859545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14.799199057725531</v>
      </c>
      <c r="C79" s="840"/>
      <c r="D79" s="393">
        <f t="shared" ref="D79:D142" si="25">Wh/(1-Ppv)</f>
        <v>15.920745820834503</v>
      </c>
      <c r="E79" s="385">
        <f t="shared" si="1"/>
        <v>17.743557518600625</v>
      </c>
      <c r="F79" s="385">
        <f t="shared" ref="F79:F142" si="26">Wh_sa/(1-Pvg*MEDIAN((-Sdif+Wh/Env_an)/Csdif,0,1))</f>
        <v>17.745344100459796</v>
      </c>
      <c r="G79" s="110">
        <f t="shared" si="21"/>
        <v>0.44544647551664313</v>
      </c>
      <c r="H79" s="414" t="b">
        <f>Wh_hp&gt;='2026'!Maxi_hp</f>
        <v>0</v>
      </c>
      <c r="I79" s="390">
        <f>IF(H79,Wh_hp,'2026'!Maxi_hp)</f>
        <v>22.950602771895554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7.0445617041462461E-2</v>
      </c>
      <c r="M79" s="844"/>
      <c r="N79" s="844"/>
      <c r="O79" s="48">
        <f>IF(t&lt;Tnet,'2026'!Resal+('2026'!Salim-'2026'!Resal)*(1-EXP(('2026'!Tnet-t)/('2026'!Tau_j))),Resal+(Salim-Resal)*(1-EXP((Tnet-t)/(Tau_j))))*Salcycl</f>
        <v>0.10273090364518292</v>
      </c>
      <c r="P79" s="169">
        <f>(INDEX(Models!$BJ79:$BT79,,T79)*(1-R79)+INDEX(Models!$BJ79:$BT79,,T79+1)*R79-ERP_i)*Q79*Ramure*Pc/MaxiM</f>
        <v>4.8397571625818117E-4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0.18634755787468904</v>
      </c>
      <c r="S79" s="810">
        <f t="shared" ref="S79:S142" si="30">INDEX(Echel_vg,T79)</f>
        <v>-1</v>
      </c>
      <c r="T79" s="176">
        <f t="shared" ref="T79:T142" si="31">MIN(MATCH(Hp_vg,Echel_vg),10)</f>
        <v>5</v>
      </c>
      <c r="U79" s="251">
        <f t="shared" ref="U79:U142" si="32">IF(OR(t&lt;Ttai,Notai),Hdd+PousH*Croivg,Hdtf+PousH*(Croivg-Croi_tai))</f>
        <v>-0.81365244212531096</v>
      </c>
      <c r="V79" s="383">
        <f t="shared" ref="V79:V142" si="33">MaxiM*(1-Ppv)*(1-Pvg)*(1-Psa)</f>
        <v>33.210557977007127</v>
      </c>
      <c r="W79" s="402">
        <f t="shared" ref="W79:W142" si="34">Wh*(A79&gt;Tmaj)</f>
        <v>14.799199057725531</v>
      </c>
      <c r="X79" s="157">
        <f t="shared" ref="X79:X142" si="35">t</f>
        <v>46452</v>
      </c>
      <c r="Y79" s="385">
        <f t="shared" ref="Y79:Y142" si="36">Wh_pvt_s*(1-Ppv)</f>
        <v>14.08734150460403</v>
      </c>
      <c r="Z79" s="385">
        <f t="shared" ref="Z79:Z142" si="37">Wh_sa_s*(1-Psa_s)</f>
        <v>15.154940649913961</v>
      </c>
      <c r="AA79" s="386">
        <f t="shared" ref="AA79:AA142" si="38">Wh_hp*(1-Pvg_s*MEDIAN((-Sdif+Wh/Env_an)/Csdif,0,1))</f>
        <v>17.732580744293788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0.14536181346357571</v>
      </c>
      <c r="AD79" s="231">
        <f>(INDEX(Models!$BJ79:$BT79,,AH79)*(1-AF79)+INDEX(Models!$BJ79:$BT79,,AH79+1)*AF79-ERP_i)*AE79*Ramure*Pc/MaxiM</f>
        <v>3.4575266790035459E-3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6.3376109738730868E-3</v>
      </c>
      <c r="AG79" s="810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2.0063376109738731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32.2493940419455</v>
      </c>
      <c r="C80" s="840"/>
      <c r="D80" s="393">
        <f t="shared" si="25"/>
        <v>34.694198791553774</v>
      </c>
      <c r="E80" s="385">
        <f t="shared" ref="E80:E143" si="47">Wh_pvt/(1-Psa)</f>
        <v>38.670152674916594</v>
      </c>
      <c r="F80" s="385">
        <f t="shared" si="26"/>
        <v>38.687532703682685</v>
      </c>
      <c r="G80" s="110">
        <f t="shared" ref="G80:G143" si="48">+Wh_hp/MaxiM</f>
        <v>0.96053041364342318</v>
      </c>
      <c r="H80" s="414" t="b">
        <f>Wh_hp&gt;='2026'!Maxi_hp</f>
        <v>0</v>
      </c>
      <c r="I80" s="390">
        <f>IF(H80,Wh_hp,'2026'!Maxi_hp)</f>
        <v>38.688092322407336</v>
      </c>
      <c r="J80" s="85">
        <f>IF(H80,An,'2026'!An_max)</f>
        <v>2026</v>
      </c>
      <c r="K80" s="197">
        <f t="shared" si="27"/>
        <v>46453</v>
      </c>
      <c r="L80" s="147">
        <f>IF(t&lt;Tvie,1-EXP((T0-t)*PertePVj)+'2026'!Pspv,1-EXP((T0-t)*PertePVj)+Pspv)</f>
        <v>7.0467249129945508E-2</v>
      </c>
      <c r="M80" s="844"/>
      <c r="N80" s="844"/>
      <c r="O80" s="48">
        <f>IF(t&lt;Tnet,'2026'!Resal+('2026'!Salim-'2026'!Resal)*(1-EXP(('2026'!Tnet-t)/('2026'!Tau_j))),Resal+(Salim-Resal)*(1-EXP((Tnet-t)/(Tau_j))))*Salcycl</f>
        <v>0.10281712401776533</v>
      </c>
      <c r="P80" s="169">
        <f>(INDEX(Models!$BJ80:$BT80,,T80)*(1-R80)+INDEX(Models!$BJ80:$BT80,,T80+1)*R80-ERP_i)*Q80*Ramure*Pc/MaxiM</f>
        <v>4.7606661738038123E-4</v>
      </c>
      <c r="Q80" s="305">
        <f t="shared" si="28"/>
        <v>0.7</v>
      </c>
      <c r="R80" s="177">
        <f t="shared" si="29"/>
        <v>0.1866603024382375</v>
      </c>
      <c r="S80" s="810">
        <f t="shared" si="30"/>
        <v>-1</v>
      </c>
      <c r="T80" s="176">
        <f t="shared" si="31"/>
        <v>5</v>
      </c>
      <c r="U80" s="251">
        <f t="shared" si="32"/>
        <v>-0.8133396975617625</v>
      </c>
      <c r="V80" s="383">
        <f t="shared" si="33"/>
        <v>33.573667306698781</v>
      </c>
      <c r="W80" s="402">
        <f t="shared" si="34"/>
        <v>32.2493940419455</v>
      </c>
      <c r="X80" s="157">
        <f t="shared" si="35"/>
        <v>46453</v>
      </c>
      <c r="Y80" s="385">
        <f t="shared" si="36"/>
        <v>30.634521299750677</v>
      </c>
      <c r="Z80" s="385">
        <f t="shared" si="37"/>
        <v>32.956903639034103</v>
      </c>
      <c r="AA80" s="386">
        <f t="shared" si="38"/>
        <v>38.564216408051095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0.14540196304484868</v>
      </c>
      <c r="AD80" s="231">
        <f>(INDEX(Models!$BJ80:$BT80,,AH80)*(1-AF80)+INDEX(Models!$BJ80:$BT80,,AH80+1)*AF80-ERP_i)*AE80*Ramure*Pc/MaxiM</f>
        <v>3.377829376425401E-3</v>
      </c>
      <c r="AE80" s="305">
        <f t="shared" si="40"/>
        <v>0.7</v>
      </c>
      <c r="AF80" s="177">
        <f t="shared" si="41"/>
        <v>6.6503555374213263E-3</v>
      </c>
      <c r="AG80" s="810">
        <f t="shared" ref="AG80:AG143" si="49">INDEX(Echel_vg,AH80)</f>
        <v>2</v>
      </c>
      <c r="AH80" s="176">
        <f t="shared" si="42"/>
        <v>8</v>
      </c>
      <c r="AI80" s="225">
        <f t="shared" si="43"/>
        <v>2.0066503555374213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25.503357918854707</v>
      </c>
      <c r="C81" s="840"/>
      <c r="D81" s="393">
        <f t="shared" si="25"/>
        <v>27.437388740946894</v>
      </c>
      <c r="E81" s="385">
        <f t="shared" si="47"/>
        <v>30.584651901771153</v>
      </c>
      <c r="F81" s="385">
        <f t="shared" si="26"/>
        <v>30.593918047063518</v>
      </c>
      <c r="G81" s="110">
        <f t="shared" si="48"/>
        <v>0.75132532741225777</v>
      </c>
      <c r="H81" s="414" t="b">
        <f>Wh_hp&gt;='2026'!Maxi_hp</f>
        <v>0</v>
      </c>
      <c r="I81" s="390">
        <f>IF(H81,Wh_hp,'2026'!Maxi_hp)</f>
        <v>30.596670650750038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7.0488880715018132E-2</v>
      </c>
      <c r="M81" s="844"/>
      <c r="N81" s="844"/>
      <c r="O81" s="48">
        <f>IF(t&lt;Tnet,'2026'!Resal+('2026'!Salim-'2026'!Resal)*(1-EXP(('2026'!Tnet-t)/('2026'!Tau_j))),Resal+(Salim-Resal)*(1-EXP((Tnet-t)/(Tau_j))))*Salcycl</f>
        <v>0.10290335070454083</v>
      </c>
      <c r="P81" s="169">
        <f>(INDEX(Models!$BJ81:$BT81,,T81)*(1-R81)+INDEX(Models!$BJ81:$BT81,,T81+1)*R81-ERP_i)*Q81*Ramure*Pc/MaxiM</f>
        <v>4.6962558042787361E-4</v>
      </c>
      <c r="Q81" s="305">
        <f t="shared" si="28"/>
        <v>0.7</v>
      </c>
      <c r="R81" s="177">
        <f t="shared" si="29"/>
        <v>0.18698563830080561</v>
      </c>
      <c r="S81" s="810">
        <f t="shared" si="30"/>
        <v>-1</v>
      </c>
      <c r="T81" s="176">
        <f t="shared" si="31"/>
        <v>5</v>
      </c>
      <c r="U81" s="251">
        <f t="shared" si="32"/>
        <v>-0.81301436169919439</v>
      </c>
      <c r="V81" s="383">
        <f t="shared" si="33"/>
        <v>33.938831835771047</v>
      </c>
      <c r="W81" s="402">
        <f t="shared" si="34"/>
        <v>25.503357918854707</v>
      </c>
      <c r="X81" s="157">
        <f t="shared" si="35"/>
        <v>46454</v>
      </c>
      <c r="Y81" s="385">
        <f t="shared" si="36"/>
        <v>24.249462901030967</v>
      </c>
      <c r="Z81" s="385">
        <f t="shared" si="37"/>
        <v>26.088405397113107</v>
      </c>
      <c r="AA81" s="386">
        <f t="shared" si="38"/>
        <v>30.52854430870822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0.14544220866530377</v>
      </c>
      <c r="AD81" s="231">
        <f>(INDEX(Models!$BJ81:$BT81,,AH81)*(1-AF81)+INDEX(Models!$BJ81:$BT81,,AH81+1)*AF81-ERP_i)*AE81*Ramure*Pc/MaxiM</f>
        <v>3.3132633744842616E-3</v>
      </c>
      <c r="AE81" s="305">
        <f t="shared" si="40"/>
        <v>0.7</v>
      </c>
      <c r="AF81" s="177">
        <f t="shared" si="41"/>
        <v>6.9756913999894365E-3</v>
      </c>
      <c r="AG81" s="810">
        <f t="shared" si="49"/>
        <v>2</v>
      </c>
      <c r="AH81" s="176">
        <f t="shared" si="42"/>
        <v>8</v>
      </c>
      <c r="AI81" s="225">
        <f t="shared" si="43"/>
        <v>2.0069756913999894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27.160724789678238</v>
      </c>
      <c r="C82" s="840"/>
      <c r="D82" s="393">
        <f t="shared" si="25"/>
        <v>29.221120985649446</v>
      </c>
      <c r="E82" s="385">
        <f t="shared" si="47"/>
        <v>32.576123134598895</v>
      </c>
      <c r="F82" s="385">
        <f t="shared" si="26"/>
        <v>32.586758556751349</v>
      </c>
      <c r="G82" s="110">
        <f t="shared" si="48"/>
        <v>0.79161294831519169</v>
      </c>
      <c r="H82" s="414" t="b">
        <f>Wh_hp&gt;='2026'!Maxi_hp</f>
        <v>0</v>
      </c>
      <c r="I82" s="390">
        <f>IF(H82,Wh_hp,'2026'!Maxi_hp)</f>
        <v>40.500150797480835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7.0510511796692321E-2</v>
      </c>
      <c r="M82" s="844"/>
      <c r="N82" s="844"/>
      <c r="O82" s="48">
        <f>IF(t&lt;Tnet,'2026'!Resal+('2026'!Salim-'2026'!Resal)*(1-EXP(('2026'!Tnet-t)/('2026'!Tau_j))),Resal+(Salim-Resal)*(1-EXP((Tnet-t)/(Tau_j))))*Salcycl</f>
        <v>0.10298960791273906</v>
      </c>
      <c r="P82" s="169">
        <f>(INDEX(Models!$BJ82:$BT82,,T82)*(1-R82)+INDEX(Models!$BJ82:$BT82,,T82+1)*R82-ERP_i)*Q82*Ramure*Pc/MaxiM</f>
        <v>4.6461324787916278E-4</v>
      </c>
      <c r="Q82" s="305">
        <f t="shared" si="28"/>
        <v>0.7</v>
      </c>
      <c r="R82" s="177">
        <f t="shared" si="29"/>
        <v>0.18732404980607509</v>
      </c>
      <c r="S82" s="810">
        <f t="shared" si="30"/>
        <v>-1</v>
      </c>
      <c r="T82" s="176">
        <f t="shared" si="31"/>
        <v>5</v>
      </c>
      <c r="U82" s="251">
        <f t="shared" si="32"/>
        <v>-0.81267595019392491</v>
      </c>
      <c r="V82" s="383">
        <f t="shared" si="33"/>
        <v>34.305867410302419</v>
      </c>
      <c r="W82" s="402">
        <f t="shared" si="34"/>
        <v>27.160724789678238</v>
      </c>
      <c r="X82" s="157">
        <f t="shared" si="35"/>
        <v>46455</v>
      </c>
      <c r="Y82" s="385">
        <f t="shared" si="36"/>
        <v>25.82318725915248</v>
      </c>
      <c r="Z82" s="385">
        <f t="shared" si="37"/>
        <v>27.782118665019439</v>
      </c>
      <c r="AA82" s="386">
        <f t="shared" si="38"/>
        <v>32.512056689789986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0.14548258419640131</v>
      </c>
      <c r="AD82" s="231">
        <f>(INDEX(Models!$BJ82:$BT82,,AH82)*(1-AF82)+INDEX(Models!$BJ82:$BT82,,AH82+1)*AF82-ERP_i)*AE82*Ramure*Pc/MaxiM</f>
        <v>3.2633849915908899E-3</v>
      </c>
      <c r="AE82" s="305">
        <f t="shared" si="40"/>
        <v>0.7</v>
      </c>
      <c r="AF82" s="177">
        <f t="shared" si="41"/>
        <v>7.3141029052590234E-3</v>
      </c>
      <c r="AG82" s="810">
        <f t="shared" si="49"/>
        <v>2</v>
      </c>
      <c r="AH82" s="176">
        <f t="shared" si="42"/>
        <v>8</v>
      </c>
      <c r="AI82" s="225">
        <f t="shared" si="43"/>
        <v>2.007314102905259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20.519967038533068</v>
      </c>
      <c r="C83" s="840"/>
      <c r="D83" s="393">
        <f t="shared" si="25"/>
        <v>22.077113124670884</v>
      </c>
      <c r="E83" s="385">
        <f t="shared" si="47"/>
        <v>24.614249588577241</v>
      </c>
      <c r="F83" s="385">
        <f t="shared" si="26"/>
        <v>24.618980347966563</v>
      </c>
      <c r="G83" s="110">
        <f t="shared" si="48"/>
        <v>0.59162774917719518</v>
      </c>
      <c r="H83" s="414" t="b">
        <f>Wh_hp&gt;='2026'!Maxi_hp</f>
        <v>0</v>
      </c>
      <c r="I83" s="390">
        <f>IF(H83,Wh_hp,'2026'!Maxi_hp)</f>
        <v>40.033914552307429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7.0532142374979512E-2</v>
      </c>
      <c r="M83" s="844"/>
      <c r="N83" s="844"/>
      <c r="O83" s="48">
        <f>IF(t&lt;Tnet,'2026'!Resal+('2026'!Salim-'2026'!Resal)*(1-EXP(('2026'!Tnet-t)/('2026'!Tau_j))),Resal+(Salim-Resal)*(1-EXP((Tnet-t)/(Tau_j))))*Salcycl</f>
        <v>0.10307592172477882</v>
      </c>
      <c r="P83" s="169">
        <f>(INDEX(Models!$BJ83:$BT83,,T83)*(1-R83)+INDEX(Models!$BJ83:$BT83,,T83+1)*R83-ERP_i)*Q83*Ramure*Pc/MaxiM</f>
        <v>4.6099168386931887E-4</v>
      </c>
      <c r="Q83" s="305">
        <f t="shared" si="28"/>
        <v>0.7</v>
      </c>
      <c r="R83" s="177">
        <f t="shared" si="29"/>
        <v>0.18767603803914457</v>
      </c>
      <c r="S83" s="810">
        <f t="shared" si="30"/>
        <v>-1</v>
      </c>
      <c r="T83" s="176">
        <f t="shared" si="31"/>
        <v>5</v>
      </c>
      <c r="U83" s="251">
        <f t="shared" si="32"/>
        <v>-0.81232396196085543</v>
      </c>
      <c r="V83" s="383">
        <f t="shared" si="33"/>
        <v>34.674589840715392</v>
      </c>
      <c r="W83" s="402">
        <f t="shared" si="34"/>
        <v>20.519967038533068</v>
      </c>
      <c r="X83" s="157">
        <f t="shared" si="35"/>
        <v>46456</v>
      </c>
      <c r="Y83" s="385">
        <f t="shared" si="36"/>
        <v>19.526303397691628</v>
      </c>
      <c r="Z83" s="385">
        <f t="shared" si="37"/>
        <v>21.008045880774517</v>
      </c>
      <c r="AA83" s="386">
        <f t="shared" si="38"/>
        <v>24.585856589017357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0.14552312608221543</v>
      </c>
      <c r="AD83" s="231">
        <f>(INDEX(Models!$BJ83:$BT83,,AH83)*(1-AF83)+INDEX(Models!$BJ83:$BT83,,AH83+1)*AF83-ERP_i)*AE83*Ramure*Pc/MaxiM</f>
        <v>3.2277645421022573E-3</v>
      </c>
      <c r="AE83" s="305">
        <f t="shared" si="40"/>
        <v>0.7</v>
      </c>
      <c r="AF83" s="177">
        <f t="shared" si="41"/>
        <v>7.6660911383283903E-3</v>
      </c>
      <c r="AG83" s="810">
        <f t="shared" si="49"/>
        <v>2</v>
      </c>
      <c r="AH83" s="176">
        <f t="shared" si="42"/>
        <v>8</v>
      </c>
      <c r="AI83" s="225">
        <f t="shared" si="43"/>
        <v>2.0076660911383284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13.356867889758769</v>
      </c>
      <c r="C84" s="840"/>
      <c r="D84" s="393">
        <f t="shared" si="25"/>
        <v>14.370780679766298</v>
      </c>
      <c r="E84" s="385">
        <f t="shared" si="47"/>
        <v>16.023836866620723</v>
      </c>
      <c r="F84" s="385">
        <f t="shared" si="26"/>
        <v>16.024688909007345</v>
      </c>
      <c r="G84" s="110">
        <f t="shared" si="48"/>
        <v>0.38098219987393367</v>
      </c>
      <c r="H84" s="414" t="b">
        <f>Wh_hp&gt;='2026'!Maxi_hp</f>
        <v>0</v>
      </c>
      <c r="I84" s="390">
        <f>IF(H84,Wh_hp,'2026'!Maxi_hp)</f>
        <v>32.943027804132434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7.0553772449891583E-2</v>
      </c>
      <c r="M84" s="844"/>
      <c r="N84" s="844"/>
      <c r="O84" s="48">
        <f>IF(t&lt;Tnet,'2026'!Resal+('2026'!Salim-'2026'!Resal)*(1-EXP(('2026'!Tnet-t)/('2026'!Tau_j))),Resal+(Salim-Resal)*(1-EXP((Tnet-t)/(Tau_j))))*Salcycl</f>
        <v>0.10316232002448217</v>
      </c>
      <c r="P84" s="169">
        <f>(INDEX(Models!$BJ84:$BT84,,T84)*(1-R84)+INDEX(Models!$BJ84:$BT84,,T84+1)*R84-ERP_i)*Q84*Ramure*Pc/MaxiM</f>
        <v>4.5872442716541256E-4</v>
      </c>
      <c r="Q84" s="305">
        <f t="shared" si="28"/>
        <v>0.7</v>
      </c>
      <c r="R84" s="177">
        <f t="shared" si="29"/>
        <v>0.18804212124527642</v>
      </c>
      <c r="S84" s="810">
        <f t="shared" si="30"/>
        <v>-1</v>
      </c>
      <c r="T84" s="176">
        <f t="shared" si="31"/>
        <v>5</v>
      </c>
      <c r="U84" s="251">
        <f t="shared" si="32"/>
        <v>-0.81195787875472358</v>
      </c>
      <c r="V84" s="383">
        <f t="shared" si="33"/>
        <v>35.044814895027962</v>
      </c>
      <c r="W84" s="402">
        <f t="shared" si="34"/>
        <v>13.356867889758769</v>
      </c>
      <c r="X84" s="157">
        <f t="shared" si="35"/>
        <v>46457</v>
      </c>
      <c r="Y84" s="385">
        <f t="shared" si="36"/>
        <v>12.721316651348042</v>
      </c>
      <c r="Z84" s="385">
        <f t="shared" si="37"/>
        <v>13.686985082374987</v>
      </c>
      <c r="AA84" s="386">
        <f t="shared" si="38"/>
        <v>16.01873405574581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0.1455638732284491</v>
      </c>
      <c r="AD84" s="231">
        <f>(INDEX(Models!$BJ84:$BT84,,AH84)*(1-AF84)+INDEX(Models!$BJ84:$BT84,,AH84+1)*AF84-ERP_i)*AE84*Ramure*Pc/MaxiM</f>
        <v>3.2059868078703831E-3</v>
      </c>
      <c r="AE84" s="305">
        <f t="shared" si="40"/>
        <v>0.7</v>
      </c>
      <c r="AF84" s="177">
        <f t="shared" si="41"/>
        <v>8.0321743444602411E-3</v>
      </c>
      <c r="AG84" s="810">
        <f t="shared" si="49"/>
        <v>2</v>
      </c>
      <c r="AH84" s="176">
        <f t="shared" si="42"/>
        <v>8</v>
      </c>
      <c r="AI84" s="225">
        <f t="shared" si="43"/>
        <v>2.0080321743444602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14.946458103545567</v>
      </c>
      <c r="C85" s="840"/>
      <c r="D85" s="393">
        <f t="shared" si="25"/>
        <v>16.081410085393884</v>
      </c>
      <c r="E85" s="385">
        <f t="shared" si="47"/>
        <v>17.932968103825896</v>
      </c>
      <c r="F85" s="385">
        <f t="shared" si="26"/>
        <v>17.934399230332613</v>
      </c>
      <c r="G85" s="110">
        <f t="shared" si="48"/>
        <v>0.42186178724594703</v>
      </c>
      <c r="H85" s="414" t="b">
        <f>Wh_hp&gt;='2026'!Maxi_hp</f>
        <v>0</v>
      </c>
      <c r="I85" s="390">
        <f>IF(H85,Wh_hp,'2026'!Maxi_hp)</f>
        <v>41.337289787164842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7.0575402021440192E-2</v>
      </c>
      <c r="M85" s="844"/>
      <c r="N85" s="844"/>
      <c r="O85" s="48">
        <f>IF(t&lt;Tnet,'2026'!Resal+('2026'!Salim-'2026'!Resal)*(1-EXP(('2026'!Tnet-t)/('2026'!Tau_j))),Resal+(Salim-Resal)*(1-EXP((Tnet-t)/(Tau_j))))*Salcycl</f>
        <v>0.10324883241369245</v>
      </c>
      <c r="P85" s="169">
        <f>(INDEX(Models!$BJ85:$BT85,,T85)*(1-R85)+INDEX(Models!$BJ85:$BT85,,T85+1)*R85-ERP_i)*Q85*Ramure*Pc/MaxiM</f>
        <v>4.5777653895162689E-4</v>
      </c>
      <c r="Q85" s="305">
        <f t="shared" si="28"/>
        <v>0.7</v>
      </c>
      <c r="R85" s="177">
        <f t="shared" si="29"/>
        <v>0.18842283524476067</v>
      </c>
      <c r="S85" s="810">
        <f t="shared" si="30"/>
        <v>-1</v>
      </c>
      <c r="T85" s="176">
        <f t="shared" si="31"/>
        <v>5</v>
      </c>
      <c r="U85" s="251">
        <f t="shared" si="32"/>
        <v>-0.81157716475523933</v>
      </c>
      <c r="V85" s="383">
        <f t="shared" si="33"/>
        <v>35.416358299722297</v>
      </c>
      <c r="W85" s="402">
        <f t="shared" si="34"/>
        <v>14.946458103545567</v>
      </c>
      <c r="X85" s="157">
        <f t="shared" si="35"/>
        <v>46458</v>
      </c>
      <c r="Y85" s="385">
        <f t="shared" si="36"/>
        <v>14.233693737965007</v>
      </c>
      <c r="Z85" s="385">
        <f t="shared" si="37"/>
        <v>15.314522306513512</v>
      </c>
      <c r="AA85" s="386">
        <f t="shared" si="38"/>
        <v>17.924402554306788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0.14560486687832092</v>
      </c>
      <c r="AD85" s="231">
        <f>(INDEX(Models!$BJ85:$BT85,,AH85)*(1-AF85)+INDEX(Models!$BJ85:$BT85,,AH85+1)*AF85-ERP_i)*AE85*Ramure*Pc/MaxiM</f>
        <v>3.1976514519453866E-3</v>
      </c>
      <c r="AE85" s="305">
        <f t="shared" si="40"/>
        <v>0.7</v>
      </c>
      <c r="AF85" s="177">
        <f t="shared" si="41"/>
        <v>8.4128883439444913E-3</v>
      </c>
      <c r="AG85" s="810">
        <f t="shared" si="49"/>
        <v>2</v>
      </c>
      <c r="AH85" s="176">
        <f t="shared" si="42"/>
        <v>8</v>
      </c>
      <c r="AI85" s="225">
        <f t="shared" si="43"/>
        <v>2.0084128883439445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9.1456623286678163</v>
      </c>
      <c r="C86" s="840"/>
      <c r="D86" s="393">
        <f t="shared" si="25"/>
        <v>9.8403627216623164</v>
      </c>
      <c r="E86" s="385">
        <f t="shared" si="47"/>
        <v>10.974408614635374</v>
      </c>
      <c r="F86" s="385">
        <f t="shared" si="26"/>
        <v>10.974408614635374</v>
      </c>
      <c r="G86" s="110">
        <f t="shared" si="48"/>
        <v>0.25542662379166348</v>
      </c>
      <c r="H86" s="414" t="b">
        <f>Wh_hp&gt;='2026'!Maxi_hp</f>
        <v>0</v>
      </c>
      <c r="I86" s="390">
        <f>IF(H86,Wh_hp,'2026'!Maxi_hp)</f>
        <v>39.947876857948046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7.0597031089637108E-2</v>
      </c>
      <c r="M86" s="844"/>
      <c r="N86" s="844"/>
      <c r="O86" s="48">
        <f>IF(t&lt;Tnet,'2026'!Resal+('2026'!Salim-'2026'!Resal)*(1-EXP(('2026'!Tnet-t)/('2026'!Tau_j))),Resal+(Salim-Resal)*(1-EXP((Tnet-t)/(Tau_j))))*Salcycl</f>
        <v>0.10333549012023337</v>
      </c>
      <c r="P86" s="169">
        <f>(INDEX(Models!$BJ86:$BT86,,T86)*(1-R86)+INDEX(Models!$BJ86:$BT86,,T86+1)*R86-ERP_i)*Q86*Ramure*Pc/MaxiM</f>
        <v>4.5761771677259723E-4</v>
      </c>
      <c r="Q86" s="305">
        <f t="shared" si="28"/>
        <v>0.7</v>
      </c>
      <c r="R86" s="177">
        <f t="shared" si="29"/>
        <v>0.18881873384223724</v>
      </c>
      <c r="S86" s="810">
        <f t="shared" si="30"/>
        <v>-1</v>
      </c>
      <c r="T86" s="176">
        <f t="shared" si="31"/>
        <v>5</v>
      </c>
      <c r="U86" s="251">
        <f t="shared" si="32"/>
        <v>-0.81118126615776276</v>
      </c>
      <c r="V86" s="383">
        <f t="shared" si="33"/>
        <v>35.789053528776883</v>
      </c>
      <c r="W86" s="402">
        <f t="shared" si="34"/>
        <v>9.1456623286678163</v>
      </c>
      <c r="X86" s="157">
        <f t="shared" si="35"/>
        <v>46459</v>
      </c>
      <c r="Y86" s="385">
        <f t="shared" si="36"/>
        <v>8.7141084885643281</v>
      </c>
      <c r="Z86" s="385">
        <f t="shared" si="37"/>
        <v>9.3760282461554816</v>
      </c>
      <c r="AA86" s="386">
        <f t="shared" si="38"/>
        <v>10.974408614635374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0.1456461504766923</v>
      </c>
      <c r="AD86" s="231">
        <f>(INDEX(Models!$BJ86:$BT86,,AH86)*(1-AF86)+INDEX(Models!$BJ86:$BT86,,AH86+1)*AF86-ERP_i)*AE86*Ramure*Pc/MaxiM</f>
        <v>3.1981407758171223E-3</v>
      </c>
      <c r="AE86" s="305">
        <f t="shared" si="40"/>
        <v>0.7</v>
      </c>
      <c r="AF86" s="177">
        <f t="shared" si="41"/>
        <v>8.8087869414210651E-3</v>
      </c>
      <c r="AG86" s="810">
        <f t="shared" si="49"/>
        <v>2</v>
      </c>
      <c r="AH86" s="176">
        <f t="shared" si="42"/>
        <v>8</v>
      </c>
      <c r="AI86" s="225">
        <f t="shared" si="43"/>
        <v>2.0088087869414211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13.462143687418129</v>
      </c>
      <c r="C87" s="840"/>
      <c r="D87" s="393">
        <f t="shared" si="25"/>
        <v>14.485059149577346</v>
      </c>
      <c r="E87" s="385">
        <f t="shared" si="47"/>
        <v>16.155944507639514</v>
      </c>
      <c r="F87" s="385">
        <f t="shared" si="26"/>
        <v>16.156706291922436</v>
      </c>
      <c r="G87" s="110">
        <f t="shared" si="48"/>
        <v>0.3721127943477951</v>
      </c>
      <c r="H87" s="414" t="b">
        <f>Wh_hp&gt;='2026'!Maxi_hp</f>
        <v>0</v>
      </c>
      <c r="I87" s="390">
        <f>IF(H87,Wh_hp,'2026'!Maxi_hp)</f>
        <v>39.828022010256511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7.0618659654493987E-2</v>
      </c>
      <c r="M87" s="844"/>
      <c r="N87" s="844"/>
      <c r="O87" s="48">
        <f>IF(t&lt;Tnet,'2026'!Resal+('2026'!Salim-'2026'!Resal)*(1-EXP(('2026'!Tnet-t)/('2026'!Tau_j))),Resal+(Salim-Resal)*(1-EXP((Tnet-t)/(Tau_j))))*Salcycl</f>
        <v>0.10342232589819009</v>
      </c>
      <c r="P87" s="169">
        <f>(INDEX(Models!$BJ87:$BT87,,T87)*(1-R87)+INDEX(Models!$BJ87:$BT87,,T87+1)*R87-ERP_i)*Q87*Ramure*Pc/MaxiM</f>
        <v>4.5671743622480821E-4</v>
      </c>
      <c r="Q87" s="305">
        <f t="shared" si="28"/>
        <v>0.7</v>
      </c>
      <c r="R87" s="177">
        <f t="shared" si="29"/>
        <v>0.18923038922866731</v>
      </c>
      <c r="S87" s="810">
        <f t="shared" si="30"/>
        <v>-1</v>
      </c>
      <c r="T87" s="176">
        <f t="shared" si="31"/>
        <v>5</v>
      </c>
      <c r="U87" s="251">
        <f t="shared" si="32"/>
        <v>-0.81076961077133269</v>
      </c>
      <c r="V87" s="383">
        <f t="shared" si="33"/>
        <v>36.162770999760795</v>
      </c>
      <c r="W87" s="402">
        <f t="shared" si="34"/>
        <v>13.462143687418129</v>
      </c>
      <c r="X87" s="157">
        <f t="shared" si="35"/>
        <v>46460</v>
      </c>
      <c r="Y87" s="385">
        <f t="shared" si="36"/>
        <v>12.823896131375335</v>
      </c>
      <c r="Z87" s="385">
        <f t="shared" si="37"/>
        <v>13.798314614975952</v>
      </c>
      <c r="AA87" s="386">
        <f t="shared" si="38"/>
        <v>16.151371972382574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0.14568776952386112</v>
      </c>
      <c r="AD87" s="231">
        <f>(INDEX(Models!$BJ87:$BT87,,AH87)*(1-AF87)+INDEX(Models!$BJ87:$BT87,,AH87+1)*AF87-ERP_i)*AE87*Ramure*Pc/MaxiM</f>
        <v>3.1981189411038496E-3</v>
      </c>
      <c r="AE87" s="305">
        <f t="shared" si="40"/>
        <v>0.7</v>
      </c>
      <c r="AF87" s="177">
        <f t="shared" si="41"/>
        <v>9.2204423278512415E-3</v>
      </c>
      <c r="AG87" s="810">
        <f t="shared" si="49"/>
        <v>2</v>
      </c>
      <c r="AH87" s="176">
        <f t="shared" si="42"/>
        <v>8</v>
      </c>
      <c r="AI87" s="225">
        <f t="shared" si="43"/>
        <v>2.0092204423278512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12.766252427116498</v>
      </c>
      <c r="C88" s="840"/>
      <c r="D88" s="393">
        <f t="shared" si="25"/>
        <v>13.736610548505906</v>
      </c>
      <c r="E88" s="385">
        <f t="shared" si="47"/>
        <v>15.322648278648549</v>
      </c>
      <c r="F88" s="385">
        <f t="shared" si="26"/>
        <v>15.323140444977941</v>
      </c>
      <c r="G88" s="110">
        <f t="shared" si="48"/>
        <v>0.34925522952948812</v>
      </c>
      <c r="H88" s="414" t="b">
        <f>Wh_hp&gt;='2026'!Maxi_hp</f>
        <v>0</v>
      </c>
      <c r="I88" s="390">
        <f>IF(H88,Wh_hp,'2026'!Maxi_hp)</f>
        <v>32.760869095233581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7.0640287716022598E-2</v>
      </c>
      <c r="M88" s="844"/>
      <c r="N88" s="844"/>
      <c r="O88" s="48">
        <f>IF(t&lt;Tnet,'2026'!Resal+('2026'!Salim-'2026'!Resal)*(1-EXP(('2026'!Tnet-t)/('2026'!Tau_j))),Resal+(Salim-Resal)*(1-EXP((Tnet-t)/(Tau_j))))*Salcycl</f>
        <v>0.10350937392152494</v>
      </c>
      <c r="P88" s="169">
        <f>(INDEX(Models!$BJ88:$BT88,,T88)*(1-R88)+INDEX(Models!$BJ88:$BT88,,T88+1)*R88-ERP_i)*Q88*Ramure*Pc/MaxiM</f>
        <v>4.5510185795188664E-4</v>
      </c>
      <c r="Q88" s="305">
        <f t="shared" si="28"/>
        <v>0.7</v>
      </c>
      <c r="R88" s="177">
        <f t="shared" si="29"/>
        <v>0.18965839237397264</v>
      </c>
      <c r="S88" s="810">
        <f t="shared" si="30"/>
        <v>-1</v>
      </c>
      <c r="T88" s="176">
        <f t="shared" si="31"/>
        <v>5</v>
      </c>
      <c r="U88" s="251">
        <f t="shared" si="32"/>
        <v>-0.81034160762602736</v>
      </c>
      <c r="V88" s="383">
        <f t="shared" si="33"/>
        <v>36.537326490168589</v>
      </c>
      <c r="W88" s="402">
        <f t="shared" si="34"/>
        <v>12.766252427116498</v>
      </c>
      <c r="X88" s="157">
        <f t="shared" si="35"/>
        <v>46461</v>
      </c>
      <c r="Y88" s="385">
        <f t="shared" si="36"/>
        <v>12.162668636988252</v>
      </c>
      <c r="Z88" s="385">
        <f t="shared" si="37"/>
        <v>13.087148577914466</v>
      </c>
      <c r="AA88" s="386">
        <f t="shared" si="38"/>
        <v>15.319682390987486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0.14572977142048404</v>
      </c>
      <c r="AD88" s="231">
        <f>(INDEX(Models!$BJ88:$BT88,,AH88)*(1-AF88)+INDEX(Models!$BJ88:$BT88,,AH88+1)*AF88-ERP_i)*AE88*Ramure*Pc/MaxiM</f>
        <v>3.197631983264775E-3</v>
      </c>
      <c r="AE88" s="305">
        <f t="shared" si="40"/>
        <v>0.7</v>
      </c>
      <c r="AF88" s="177">
        <f t="shared" si="41"/>
        <v>9.6484454731564639E-3</v>
      </c>
      <c r="AG88" s="810">
        <f t="shared" si="49"/>
        <v>2</v>
      </c>
      <c r="AH88" s="176">
        <f t="shared" si="42"/>
        <v>8</v>
      </c>
      <c r="AI88" s="225">
        <f t="shared" si="43"/>
        <v>2.0096484454731565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12.503339112961518</v>
      </c>
      <c r="C89" s="840"/>
      <c r="D89" s="393">
        <f t="shared" si="25"/>
        <v>13.454026385511876</v>
      </c>
      <c r="E89" s="385">
        <f t="shared" si="47"/>
        <v>15.008898260774902</v>
      </c>
      <c r="F89" s="385">
        <f t="shared" si="26"/>
        <v>15.009274269934934</v>
      </c>
      <c r="G89" s="110">
        <f t="shared" si="48"/>
        <v>0.33858391171967012</v>
      </c>
      <c r="H89" s="414" t="b">
        <f>Wh_hp&gt;='2026'!Maxi_hp</f>
        <v>0</v>
      </c>
      <c r="I89" s="390">
        <f>IF(H89,Wh_hp,'2026'!Maxi_hp)</f>
        <v>45.209296903916872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7.0661915274234599E-2</v>
      </c>
      <c r="M89" s="844"/>
      <c r="N89" s="844"/>
      <c r="O89" s="48">
        <f>IF(t&lt;Tnet,'2026'!Resal+('2026'!Salim-'2026'!Resal)*(1-EXP(('2026'!Tnet-t)/('2026'!Tau_j))),Resal+(Salim-Resal)*(1-EXP((Tnet-t)/(Tau_j))))*Salcycl</f>
        <v>0.10359666967205822</v>
      </c>
      <c r="P89" s="169">
        <f>(INDEX(Models!$BJ89:$BT89,,T89)*(1-R89)+INDEX(Models!$BJ89:$BT89,,T89+1)*R89-ERP_i)*Q89*Ramure*Pc/MaxiM</f>
        <v>4.5279610070974924E-4</v>
      </c>
      <c r="Q89" s="305">
        <f t="shared" si="28"/>
        <v>0.7</v>
      </c>
      <c r="R89" s="177">
        <f t="shared" si="29"/>
        <v>0.19010335340819018</v>
      </c>
      <c r="S89" s="810">
        <f t="shared" si="30"/>
        <v>-1</v>
      </c>
      <c r="T89" s="176">
        <f t="shared" si="31"/>
        <v>5</v>
      </c>
      <c r="U89" s="251">
        <f t="shared" si="32"/>
        <v>-0.80989664659180982</v>
      </c>
      <c r="V89" s="383">
        <f t="shared" si="33"/>
        <v>36.912535753116671</v>
      </c>
      <c r="W89" s="402">
        <f t="shared" si="34"/>
        <v>12.503339112961518</v>
      </c>
      <c r="X89" s="157">
        <f t="shared" si="35"/>
        <v>46462</v>
      </c>
      <c r="Y89" s="385">
        <f t="shared" si="36"/>
        <v>11.913251463886342</v>
      </c>
      <c r="Z89" s="385">
        <f t="shared" si="37"/>
        <v>12.819071616334087</v>
      </c>
      <c r="AA89" s="386">
        <f t="shared" si="38"/>
        <v>15.006619658065267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0.14577220530510943</v>
      </c>
      <c r="AD89" s="231">
        <f>(INDEX(Models!$BJ89:$BT89,,AH89)*(1-AF89)+INDEX(Models!$BJ89:$BT89,,AH89+1)*AF89-ERP_i)*AE89*Ramure*Pc/MaxiM</f>
        <v>3.196725056857789E-3</v>
      </c>
      <c r="AE89" s="305">
        <f t="shared" si="40"/>
        <v>0.7</v>
      </c>
      <c r="AF89" s="177">
        <f t="shared" si="41"/>
        <v>1.0093406507373892E-2</v>
      </c>
      <c r="AG89" s="810">
        <f t="shared" si="49"/>
        <v>2</v>
      </c>
      <c r="AH89" s="176">
        <f t="shared" si="42"/>
        <v>8</v>
      </c>
      <c r="AI89" s="225">
        <f t="shared" si="43"/>
        <v>2.0100934065073739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10.841098017766328</v>
      </c>
      <c r="C90" s="840"/>
      <c r="D90" s="393">
        <f t="shared" si="25"/>
        <v>11.665668813115959</v>
      </c>
      <c r="E90" s="385">
        <f t="shared" si="47"/>
        <v>13.015133127818286</v>
      </c>
      <c r="F90" s="385">
        <f t="shared" si="26"/>
        <v>13.015133127818286</v>
      </c>
      <c r="G90" s="110">
        <f t="shared" si="48"/>
        <v>0.29060714136668031</v>
      </c>
      <c r="H90" s="414" t="b">
        <f>Wh_hp&gt;='2026'!Maxi_hp</f>
        <v>0</v>
      </c>
      <c r="I90" s="390">
        <f>IF(H90,Wh_hp,'2026'!Maxi_hp)</f>
        <v>26.308361762464799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7.0683542329141757E-2</v>
      </c>
      <c r="M90" s="844"/>
      <c r="N90" s="844"/>
      <c r="O90" s="48">
        <f>IF(t&lt;Tnet,'2026'!Resal+('2026'!Salim-'2026'!Resal)*(1-EXP(('2026'!Tnet-t)/('2026'!Tau_j))),Resal+(Salim-Resal)*(1-EXP((Tnet-t)/(Tau_j))))*Salcycl</f>
        <v>0.10368424982284725</v>
      </c>
      <c r="P90" s="169">
        <f>(INDEX(Models!$BJ90:$BT90,,T90)*(1-R90)+INDEX(Models!$BJ90:$BT90,,T90+1)*R90-ERP_i)*Q90*Ramure*Pc/MaxiM</f>
        <v>4.49824229924267E-4</v>
      </c>
      <c r="Q90" s="305">
        <f t="shared" si="28"/>
        <v>0.7</v>
      </c>
      <c r="R90" s="177">
        <f t="shared" si="29"/>
        <v>0.19056590198880152</v>
      </c>
      <c r="S90" s="810">
        <f t="shared" si="30"/>
        <v>-1</v>
      </c>
      <c r="T90" s="176">
        <f t="shared" si="31"/>
        <v>5</v>
      </c>
      <c r="U90" s="251">
        <f t="shared" si="32"/>
        <v>-0.80943409801119848</v>
      </c>
      <c r="V90" s="383">
        <f t="shared" si="33"/>
        <v>37.288214523008229</v>
      </c>
      <c r="W90" s="402">
        <f t="shared" si="34"/>
        <v>10.841098017766328</v>
      </c>
      <c r="X90" s="157">
        <f t="shared" si="35"/>
        <v>46463</v>
      </c>
      <c r="Y90" s="385">
        <f t="shared" si="36"/>
        <v>10.331517645539074</v>
      </c>
      <c r="Z90" s="385">
        <f t="shared" si="37"/>
        <v>11.117329904425572</v>
      </c>
      <c r="AA90" s="386">
        <f t="shared" si="38"/>
        <v>13.015133127818286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0.14581512188579829</v>
      </c>
      <c r="AD90" s="231">
        <f>(INDEX(Models!$BJ90:$BT90,,AH90)*(1-AF90)+INDEX(Models!$BJ90:$BT90,,AH90+1)*AF90-ERP_i)*AE90*Ramure*Pc/MaxiM</f>
        <v>3.1954424441432458E-3</v>
      </c>
      <c r="AE90" s="305">
        <f t="shared" si="40"/>
        <v>0.7</v>
      </c>
      <c r="AF90" s="177">
        <f t="shared" si="41"/>
        <v>1.055595508798568E-2</v>
      </c>
      <c r="AG90" s="810">
        <f t="shared" si="49"/>
        <v>2</v>
      </c>
      <c r="AH90" s="176">
        <f t="shared" si="42"/>
        <v>8</v>
      </c>
      <c r="AI90" s="225">
        <f t="shared" si="43"/>
        <v>2.0105559550879857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14.037963494308825</v>
      </c>
      <c r="C91" s="840"/>
      <c r="D91" s="393">
        <f t="shared" si="25"/>
        <v>15.106038497385676</v>
      </c>
      <c r="E91" s="385">
        <f t="shared" si="47"/>
        <v>16.855131798330802</v>
      </c>
      <c r="F91" s="385">
        <f t="shared" si="26"/>
        <v>16.85591308488258</v>
      </c>
      <c r="G91" s="110">
        <f t="shared" si="48"/>
        <v>0.37256487701966601</v>
      </c>
      <c r="H91" s="414" t="b">
        <f>Wh_hp&gt;='2026'!Maxi_hp</f>
        <v>0</v>
      </c>
      <c r="I91" s="390">
        <f>IF(H91,Wh_hp,'2026'!Maxi_hp)</f>
        <v>32.389497861269035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7.0705168880755731E-2</v>
      </c>
      <c r="M91" s="844"/>
      <c r="N91" s="844"/>
      <c r="O91" s="48">
        <f>IF(t&lt;Tnet,'2026'!Resal+('2026'!Salim-'2026'!Resal)*(1-EXP(('2026'!Tnet-t)/('2026'!Tau_j))),Resal+(Salim-Resal)*(1-EXP((Tnet-t)/(Tau_j))))*Salcycl</f>
        <v>0.10377215211798833</v>
      </c>
      <c r="P91" s="169">
        <f>(INDEX(Models!$BJ91:$BT91,,T91)*(1-R91)+INDEX(Models!$BJ91:$BT91,,T91+1)*R91-ERP_i)*Q91*Ramure*Pc/MaxiM</f>
        <v>4.4620924823579242E-4</v>
      </c>
      <c r="Q91" s="305">
        <f t="shared" si="28"/>
        <v>0.7</v>
      </c>
      <c r="R91" s="177">
        <f t="shared" si="29"/>
        <v>0.19104668765170196</v>
      </c>
      <c r="S91" s="810">
        <f t="shared" si="30"/>
        <v>-1</v>
      </c>
      <c r="T91" s="176">
        <f t="shared" si="31"/>
        <v>5</v>
      </c>
      <c r="U91" s="251">
        <f t="shared" si="32"/>
        <v>-0.80895331234829804</v>
      </c>
      <c r="V91" s="383">
        <f t="shared" si="33"/>
        <v>37.664178516553243</v>
      </c>
      <c r="W91" s="402">
        <f t="shared" si="34"/>
        <v>14.037963494308825</v>
      </c>
      <c r="X91" s="157">
        <f t="shared" si="35"/>
        <v>46464</v>
      </c>
      <c r="Y91" s="385">
        <f t="shared" si="36"/>
        <v>13.374928933978717</v>
      </c>
      <c r="Z91" s="385">
        <f t="shared" si="37"/>
        <v>14.392557115452725</v>
      </c>
      <c r="AA91" s="386">
        <f t="shared" si="38"/>
        <v>16.850320877782138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0.14585857326729484</v>
      </c>
      <c r="AD91" s="231">
        <f>(INDEX(Models!$BJ91:$BT91,,AH91)*(1-AF91)+INDEX(Models!$BJ91:$BT91,,AH91+1)*AF91-ERP_i)*AE91*Ramure*Pc/MaxiM</f>
        <v>3.1938275663311805E-3</v>
      </c>
      <c r="AE91" s="305">
        <f t="shared" si="40"/>
        <v>0.7</v>
      </c>
      <c r="AF91" s="177">
        <f t="shared" si="41"/>
        <v>1.1036740750885787E-2</v>
      </c>
      <c r="AG91" s="810">
        <f t="shared" si="49"/>
        <v>2</v>
      </c>
      <c r="AH91" s="176">
        <f t="shared" si="42"/>
        <v>8</v>
      </c>
      <c r="AI91" s="225">
        <f t="shared" si="43"/>
        <v>2.0110367407508858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24.760563498531525</v>
      </c>
      <c r="C92" s="840"/>
      <c r="D92" s="393">
        <f t="shared" si="25"/>
        <v>26.645084958241185</v>
      </c>
      <c r="E92" s="385">
        <f t="shared" si="47"/>
        <v>29.73318600323833</v>
      </c>
      <c r="F92" s="385">
        <f t="shared" si="26"/>
        <v>29.739775076451785</v>
      </c>
      <c r="G92" s="110">
        <f t="shared" si="48"/>
        <v>0.65076094259459516</v>
      </c>
      <c r="H92" s="414" t="b">
        <f>Wh_hp&gt;='2026'!Maxi_hp</f>
        <v>0</v>
      </c>
      <c r="I92" s="390">
        <f>IF(H92,Wh_hp,'2026'!Maxi_hp)</f>
        <v>42.780968964285989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7.0726794929088288E-2</v>
      </c>
      <c r="M92" s="844"/>
      <c r="N92" s="844"/>
      <c r="O92" s="48">
        <f>IF(t&lt;Tnet,'2026'!Resal+('2026'!Salim-'2026'!Resal)*(1-EXP(('2026'!Tnet-t)/('2026'!Tau_j))),Resal+(Salim-Resal)*(1-EXP((Tnet-t)/(Tau_j))))*Salcycl</f>
        <v>0.10386041524984277</v>
      </c>
      <c r="P92" s="169">
        <f>(INDEX(Models!$BJ92:$BT92,,T92)*(1-R92)+INDEX(Models!$BJ92:$BT92,,T92+1)*R92-ERP_i)*Q92*Ramure*Pc/MaxiM</f>
        <v>4.4197308776613433E-4</v>
      </c>
      <c r="Q92" s="305">
        <f t="shared" si="28"/>
        <v>0.7</v>
      </c>
      <c r="R92" s="177">
        <f t="shared" si="29"/>
        <v>0.19154638014306724</v>
      </c>
      <c r="S92" s="810">
        <f t="shared" si="30"/>
        <v>-1</v>
      </c>
      <c r="T92" s="176">
        <f t="shared" si="31"/>
        <v>5</v>
      </c>
      <c r="U92" s="251">
        <f t="shared" si="32"/>
        <v>-0.80845361985693276</v>
      </c>
      <c r="V92" s="383">
        <f t="shared" si="33"/>
        <v>38.040243439822035</v>
      </c>
      <c r="W92" s="402">
        <f t="shared" si="34"/>
        <v>24.760563498531525</v>
      </c>
      <c r="X92" s="157">
        <f t="shared" si="35"/>
        <v>46465</v>
      </c>
      <c r="Y92" s="385">
        <f t="shared" si="36"/>
        <v>23.566387949672727</v>
      </c>
      <c r="Z92" s="385">
        <f t="shared" si="37"/>
        <v>25.360020950861706</v>
      </c>
      <c r="AA92" s="386">
        <f t="shared" si="38"/>
        <v>29.692188888743029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0.14590261277516467</v>
      </c>
      <c r="AD92" s="231">
        <f>(INDEX(Models!$BJ92:$BT92,,AH92)*(1-AF92)+INDEX(Models!$BJ92:$BT92,,AH92+1)*AF92-ERP_i)*AE92*Ramure*Pc/MaxiM</f>
        <v>3.1919229966524696E-3</v>
      </c>
      <c r="AE92" s="305">
        <f t="shared" si="40"/>
        <v>0.7</v>
      </c>
      <c r="AF92" s="177">
        <f t="shared" si="41"/>
        <v>1.1536433242250954E-2</v>
      </c>
      <c r="AG92" s="810">
        <f t="shared" si="49"/>
        <v>2</v>
      </c>
      <c r="AH92" s="176">
        <f t="shared" si="42"/>
        <v>8</v>
      </c>
      <c r="AI92" s="225">
        <f t="shared" si="43"/>
        <v>2.011536433242251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27.821709369041987</v>
      </c>
      <c r="C93" s="840"/>
      <c r="D93" s="393">
        <f t="shared" si="25"/>
        <v>29.939910764787751</v>
      </c>
      <c r="E93" s="385">
        <f t="shared" si="47"/>
        <v>33.413180048415676</v>
      </c>
      <c r="F93" s="385">
        <f t="shared" si="26"/>
        <v>33.422031821439035</v>
      </c>
      <c r="G93" s="110">
        <f t="shared" si="48"/>
        <v>0.72402484718014659</v>
      </c>
      <c r="H93" s="414" t="b">
        <f>Wh_hp&gt;='2026'!Maxi_hp</f>
        <v>0</v>
      </c>
      <c r="I93" s="390">
        <f>IF(H93,Wh_hp,'2026'!Maxi_hp)</f>
        <v>45.417095514762579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7.0748420474150975E-2</v>
      </c>
      <c r="M93" s="844"/>
      <c r="N93" s="844"/>
      <c r="O93" s="48">
        <f>IF(t&lt;Tnet,'2026'!Resal+('2026'!Salim-'2026'!Resal)*(1-EXP(('2026'!Tnet-t)/('2026'!Tau_j))),Resal+(Salim-Resal)*(1-EXP((Tnet-t)/(Tau_j))))*Salcycl</f>
        <v>0.10394907873465378</v>
      </c>
      <c r="P93" s="169">
        <f>(INDEX(Models!$BJ93:$BT93,,T93)*(1-R93)+INDEX(Models!$BJ93:$BT93,,T93+1)*R93-ERP_i)*Q93*Ramure*Pc/MaxiM</f>
        <v>4.3709555088307199E-4</v>
      </c>
      <c r="Q93" s="305">
        <f t="shared" si="28"/>
        <v>0.7</v>
      </c>
      <c r="R93" s="177">
        <f t="shared" si="29"/>
        <v>0.19206566972916439</v>
      </c>
      <c r="S93" s="810">
        <f t="shared" si="30"/>
        <v>-1</v>
      </c>
      <c r="T93" s="176">
        <f t="shared" si="31"/>
        <v>5</v>
      </c>
      <c r="U93" s="251">
        <f t="shared" si="32"/>
        <v>-0.80793433027083561</v>
      </c>
      <c r="V93" s="383">
        <f t="shared" si="33"/>
        <v>38.419836002596419</v>
      </c>
      <c r="W93" s="402">
        <f t="shared" si="34"/>
        <v>27.821709369041987</v>
      </c>
      <c r="X93" s="157">
        <f t="shared" si="35"/>
        <v>46466</v>
      </c>
      <c r="Y93" s="385">
        <f t="shared" si="36"/>
        <v>26.473459870961527</v>
      </c>
      <c r="Z93" s="385">
        <f t="shared" si="37"/>
        <v>28.489012506677277</v>
      </c>
      <c r="AA93" s="386">
        <f t="shared" si="38"/>
        <v>33.357440743988846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0.14594729477826859</v>
      </c>
      <c r="AD93" s="231">
        <f>(INDEX(Models!$BJ93:$BT93,,AH93)*(1-AF93)+INDEX(Models!$BJ93:$BT93,,AH93+1)*AF93-ERP_i)*AE93*Ramure*Pc/MaxiM</f>
        <v>3.1894709122939E-3</v>
      </c>
      <c r="AE93" s="305">
        <f t="shared" si="40"/>
        <v>0.7</v>
      </c>
      <c r="AF93" s="177">
        <f t="shared" si="41"/>
        <v>1.2055722828348436E-2</v>
      </c>
      <c r="AG93" s="810">
        <f t="shared" si="49"/>
        <v>2</v>
      </c>
      <c r="AH93" s="176">
        <f t="shared" si="42"/>
        <v>8</v>
      </c>
      <c r="AI93" s="225">
        <f t="shared" si="43"/>
        <v>2.0120557228283484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37.166233434198283</v>
      </c>
      <c r="C94" s="840"/>
      <c r="D94" s="393">
        <f t="shared" si="25"/>
        <v>39.996809460188857</v>
      </c>
      <c r="E94" s="385">
        <f t="shared" si="47"/>
        <v>44.641198644630919</v>
      </c>
      <c r="F94" s="385">
        <f t="shared" si="26"/>
        <v>44.659289401925449</v>
      </c>
      <c r="G94" s="110">
        <f t="shared" si="48"/>
        <v>0.95773069392778354</v>
      </c>
      <c r="H94" s="414" t="b">
        <f>Wh_hp&gt;='2026'!Maxi_hp</f>
        <v>0</v>
      </c>
      <c r="I94" s="390">
        <f>IF(H94,Wh_hp,'2026'!Maxi_hp)</f>
        <v>48.198985258159908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7.0770045515955782E-2</v>
      </c>
      <c r="M94" s="844"/>
      <c r="N94" s="844"/>
      <c r="O94" s="48">
        <f>IF(t&lt;Tnet,'2026'!Resal+('2026'!Salim-'2026'!Resal)*(1-EXP(('2026'!Tnet-t)/('2026'!Tau_j))),Resal+(Salim-Resal)*(1-EXP((Tnet-t)/(Tau_j))))*Salcycl</f>
        <v>0.10403818278747438</v>
      </c>
      <c r="P94" s="169">
        <f>(INDEX(Models!$BJ94:$BT94,,T94)*(1-R94)+INDEX(Models!$BJ94:$BT94,,T94+1)*R94-ERP_i)*Q94*Ramure*Pc/MaxiM</f>
        <v>4.3110038452743476E-4</v>
      </c>
      <c r="Q94" s="305">
        <f t="shared" si="28"/>
        <v>0.7</v>
      </c>
      <c r="R94" s="177">
        <f t="shared" si="29"/>
        <v>0.19260526748092455</v>
      </c>
      <c r="S94" s="810">
        <f t="shared" si="30"/>
        <v>-1</v>
      </c>
      <c r="T94" s="176">
        <f t="shared" si="31"/>
        <v>5</v>
      </c>
      <c r="U94" s="251">
        <f t="shared" si="32"/>
        <v>-0.80739473251907545</v>
      </c>
      <c r="V94" s="383">
        <f t="shared" si="33"/>
        <v>38.805549766470783</v>
      </c>
      <c r="W94" s="402">
        <f t="shared" si="34"/>
        <v>37.166233434198283</v>
      </c>
      <c r="X94" s="157">
        <f t="shared" si="35"/>
        <v>46467</v>
      </c>
      <c r="Y94" s="385">
        <f t="shared" si="36"/>
        <v>35.334273521107647</v>
      </c>
      <c r="Z94" s="385">
        <f t="shared" si="37"/>
        <v>38.025327692677571</v>
      </c>
      <c r="AA94" s="386">
        <f t="shared" si="38"/>
        <v>44.525762903612609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0.1459926745108644</v>
      </c>
      <c r="AD94" s="231">
        <f>(INDEX(Models!$BJ94:$BT94,,AH94)*(1-AF94)+INDEX(Models!$BJ94:$BT94,,AH94+1)*AF94-ERP_i)*AE94*Ramure*Pc/MaxiM</f>
        <v>3.1819190225203255E-3</v>
      </c>
      <c r="AE94" s="305">
        <f t="shared" si="40"/>
        <v>0.7</v>
      </c>
      <c r="AF94" s="177">
        <f t="shared" si="41"/>
        <v>1.2595320580108371E-2</v>
      </c>
      <c r="AG94" s="810">
        <f t="shared" si="49"/>
        <v>2</v>
      </c>
      <c r="AH94" s="176">
        <f t="shared" si="42"/>
        <v>8</v>
      </c>
      <c r="AI94" s="225">
        <f t="shared" si="43"/>
        <v>2.0125953205801084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35.226092294713226</v>
      </c>
      <c r="C95" s="840"/>
      <c r="D95" s="393">
        <f t="shared" si="25"/>
        <v>37.909789612820035</v>
      </c>
      <c r="E95" s="385">
        <f t="shared" si="47"/>
        <v>42.316067254965098</v>
      </c>
      <c r="F95" s="385">
        <f t="shared" si="26"/>
        <v>42.331429224654421</v>
      </c>
      <c r="G95" s="110">
        <f t="shared" si="48"/>
        <v>0.89866328467050272</v>
      </c>
      <c r="H95" s="414" t="b">
        <f>Wh_hp&gt;='2026'!Maxi_hp</f>
        <v>0</v>
      </c>
      <c r="I95" s="390">
        <f>IF(H95,Wh_hp,'2026'!Maxi_hp)</f>
        <v>46.410432138632295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7.0791670054514255E-2</v>
      </c>
      <c r="M95" s="844"/>
      <c r="N95" s="844"/>
      <c r="O95" s="48">
        <f>IF(t&lt;Tnet,'2026'!Resal+('2026'!Salim-'2026'!Resal)*(1-EXP(('2026'!Tnet-t)/('2026'!Tau_j))),Resal+(Salim-Resal)*(1-EXP((Tnet-t)/(Tau_j))))*Salcycl</f>
        <v>0.10412776819726936</v>
      </c>
      <c r="P95" s="169">
        <f>(INDEX(Models!$BJ95:$BT95,,T95)*(1-R95)+INDEX(Models!$BJ95:$BT95,,T95+1)*R95-ERP_i)*Q95*Ramure*Pc/MaxiM</f>
        <v>4.242866349258961E-4</v>
      </c>
      <c r="Q95" s="305">
        <f t="shared" si="28"/>
        <v>0.7</v>
      </c>
      <c r="R95" s="177">
        <f t="shared" si="29"/>
        <v>0.19316590552986435</v>
      </c>
      <c r="S95" s="810">
        <f t="shared" si="30"/>
        <v>-1</v>
      </c>
      <c r="T95" s="176">
        <f t="shared" si="31"/>
        <v>5</v>
      </c>
      <c r="U95" s="251">
        <f t="shared" si="32"/>
        <v>-0.80683409447013565</v>
      </c>
      <c r="V95" s="383">
        <f t="shared" si="33"/>
        <v>39.195914210651118</v>
      </c>
      <c r="W95" s="402">
        <f t="shared" si="34"/>
        <v>35.226092294713226</v>
      </c>
      <c r="X95" s="157">
        <f t="shared" si="35"/>
        <v>46468</v>
      </c>
      <c r="Y95" s="385">
        <f t="shared" si="36"/>
        <v>33.499357927393959</v>
      </c>
      <c r="Z95" s="385">
        <f t="shared" si="37"/>
        <v>36.05150411141846</v>
      </c>
      <c r="AA95" s="386">
        <f t="shared" si="38"/>
        <v>42.216794445395315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0.14603880789554641</v>
      </c>
      <c r="AD95" s="231">
        <f>(INDEX(Models!$BJ95:$BT95,,AH95)*(1-AF95)+INDEX(Models!$BJ95:$BT95,,AH95+1)*AF95-ERP_i)*AE95*Ramure*Pc/MaxiM</f>
        <v>3.1661307580323032E-3</v>
      </c>
      <c r="AE95" s="305">
        <f t="shared" si="40"/>
        <v>0.7</v>
      </c>
      <c r="AF95" s="177">
        <f t="shared" si="41"/>
        <v>1.3155958629048392E-2</v>
      </c>
      <c r="AG95" s="810">
        <f t="shared" si="49"/>
        <v>2</v>
      </c>
      <c r="AH95" s="176">
        <f t="shared" si="42"/>
        <v>8</v>
      </c>
      <c r="AI95" s="225">
        <f t="shared" si="43"/>
        <v>2.0131559586290484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40.444885436683521</v>
      </c>
      <c r="C96" s="840"/>
      <c r="D96" s="393">
        <f t="shared" si="25"/>
        <v>43.527189077750236</v>
      </c>
      <c r="E96" s="385">
        <f t="shared" si="47"/>
        <v>48.591267811025901</v>
      </c>
      <c r="F96" s="385">
        <f t="shared" si="26"/>
        <v>48.611523908671678</v>
      </c>
      <c r="G96" s="110">
        <f t="shared" si="48"/>
        <v>1.0216071649905398</v>
      </c>
      <c r="H96" s="414" t="b">
        <f>Wh_hp&gt;='2026'!Maxi_hp</f>
        <v>0</v>
      </c>
      <c r="I96" s="390">
        <f>IF(H96,Wh_hp,'2026'!Maxi_hp)</f>
        <v>49.043918463336865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7.0813294089838053E-2</v>
      </c>
      <c r="M96" s="844"/>
      <c r="N96" s="844"/>
      <c r="O96" s="48">
        <f>IF(t&lt;Tnet,'2026'!Resal+('2026'!Salim-'2026'!Resal)*(1-EXP(('2026'!Tnet-t)/('2026'!Tau_j))),Resal+(Salim-Resal)*(1-EXP((Tnet-t)/(Tau_j))))*Salcycl</f>
        <v>0.10421787620298667</v>
      </c>
      <c r="P96" s="169">
        <f>(INDEX(Models!$BJ96:$BT96,,T96)*(1-R96)+INDEX(Models!$BJ96:$BT96,,T96+1)*R96-ERP_i)*Q96*Ramure*Pc/MaxiM</f>
        <v>4.1669332736485218E-4</v>
      </c>
      <c r="Q96" s="305">
        <f t="shared" si="28"/>
        <v>0.7</v>
      </c>
      <c r="R96" s="177">
        <f t="shared" si="29"/>
        <v>0.19374833729170005</v>
      </c>
      <c r="S96" s="810">
        <f t="shared" si="30"/>
        <v>-1</v>
      </c>
      <c r="T96" s="176">
        <f t="shared" si="31"/>
        <v>5</v>
      </c>
      <c r="U96" s="251">
        <f t="shared" si="32"/>
        <v>-0.80625166270829995</v>
      </c>
      <c r="V96" s="383">
        <f t="shared" si="33"/>
        <v>39.589469242865029</v>
      </c>
      <c r="W96" s="402">
        <f t="shared" si="34"/>
        <v>40.444885436683521</v>
      </c>
      <c r="X96" s="157">
        <f t="shared" si="35"/>
        <v>46469</v>
      </c>
      <c r="Y96" s="385">
        <f t="shared" si="36"/>
        <v>38.449400732915898</v>
      </c>
      <c r="Z96" s="385">
        <f t="shared" si="37"/>
        <v>41.379628537898348</v>
      </c>
      <c r="AA96" s="386">
        <f t="shared" si="38"/>
        <v>48.458763399482166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0.14608575136813057</v>
      </c>
      <c r="AD96" s="231">
        <f>(INDEX(Models!$BJ96:$BT96,,AH96)*(1-AF96)+INDEX(Models!$BJ96:$BT96,,AH96+1)*AF96-ERP_i)*AE96*Ramure*Pc/MaxiM</f>
        <v>3.1424752179443735E-3</v>
      </c>
      <c r="AE96" s="305">
        <f t="shared" si="40"/>
        <v>0.7</v>
      </c>
      <c r="AF96" s="177">
        <f t="shared" si="41"/>
        <v>1.3738390390884092E-2</v>
      </c>
      <c r="AG96" s="810">
        <f t="shared" si="49"/>
        <v>2</v>
      </c>
      <c r="AH96" s="176">
        <f t="shared" si="42"/>
        <v>8</v>
      </c>
      <c r="AI96" s="225">
        <f t="shared" si="43"/>
        <v>2.0137383903908841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39.837386459794004</v>
      </c>
      <c r="C97" s="840"/>
      <c r="D97" s="393">
        <f t="shared" si="25"/>
        <v>42.874390369724274</v>
      </c>
      <c r="E97" s="385">
        <f t="shared" si="47"/>
        <v>47.867365811925133</v>
      </c>
      <c r="F97" s="385">
        <f t="shared" si="26"/>
        <v>47.886817756022324</v>
      </c>
      <c r="G97" s="110">
        <f t="shared" si="48"/>
        <v>0.99631222843841583</v>
      </c>
      <c r="H97" s="414" t="b">
        <f>Wh_hp&gt;='2026'!Maxi_hp</f>
        <v>0</v>
      </c>
      <c r="I97" s="390">
        <f>IF(H97,Wh_hp,'2026'!Maxi_hp)</f>
        <v>48.279322574126304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7.0834917621938942E-2</v>
      </c>
      <c r="M97" s="844"/>
      <c r="N97" s="844"/>
      <c r="O97" s="48">
        <f>IF(t&lt;Tnet,'2026'!Resal+('2026'!Salim-'2026'!Resal)*(1-EXP(('2026'!Tnet-t)/('2026'!Tau_j))),Resal+(Salim-Resal)*(1-EXP((Tnet-t)/(Tau_j))))*Salcycl</f>
        <v>0.10430854837131986</v>
      </c>
      <c r="P97" s="169">
        <f>(INDEX(Models!$BJ97:$BT97,,T97)*(1-R97)+INDEX(Models!$BJ97:$BT97,,T97+1)*R97-ERP_i)*Q97*Ramure*Pc/MaxiM</f>
        <v>4.0835672895717041E-4</v>
      </c>
      <c r="Q97" s="305">
        <f t="shared" si="28"/>
        <v>0.7</v>
      </c>
      <c r="R97" s="177">
        <f t="shared" si="29"/>
        <v>0.19435333765374785</v>
      </c>
      <c r="S97" s="810">
        <f t="shared" si="30"/>
        <v>-1</v>
      </c>
      <c r="T97" s="176">
        <f t="shared" si="31"/>
        <v>5</v>
      </c>
      <c r="U97" s="251">
        <f t="shared" si="32"/>
        <v>-0.80564666234625215</v>
      </c>
      <c r="V97" s="383">
        <f t="shared" si="33"/>
        <v>39.984755415609911</v>
      </c>
      <c r="W97" s="402">
        <f t="shared" si="34"/>
        <v>39.837386459794004</v>
      </c>
      <c r="X97" s="157">
        <f t="shared" si="35"/>
        <v>46470</v>
      </c>
      <c r="Y97" s="385">
        <f t="shared" si="36"/>
        <v>37.874997203056715</v>
      </c>
      <c r="Z97" s="385">
        <f t="shared" si="37"/>
        <v>40.762398330898577</v>
      </c>
      <c r="AA97" s="386">
        <f t="shared" si="38"/>
        <v>47.738611687696832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0.1461335617054855</v>
      </c>
      <c r="AD97" s="231">
        <f>(INDEX(Models!$BJ97:$BT97,,AH97)*(1-AF97)+INDEX(Models!$BJ97:$BT97,,AH97+1)*AF97-ERP_i)*AE97*Ramure*Pc/MaxiM</f>
        <v>3.1113057373912101E-3</v>
      </c>
      <c r="AE97" s="305">
        <f t="shared" si="40"/>
        <v>0.7</v>
      </c>
      <c r="AF97" s="177">
        <f t="shared" si="41"/>
        <v>1.4343390752932006E-2</v>
      </c>
      <c r="AG97" s="810">
        <f t="shared" si="49"/>
        <v>2</v>
      </c>
      <c r="AH97" s="176">
        <f t="shared" si="42"/>
        <v>8</v>
      </c>
      <c r="AI97" s="225">
        <f t="shared" si="43"/>
        <v>2.014343390752932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37.623349552140304</v>
      </c>
      <c r="C98" s="840"/>
      <c r="D98" s="393">
        <f t="shared" si="25"/>
        <v>40.492508636388607</v>
      </c>
      <c r="E98" s="385">
        <f t="shared" si="47"/>
        <v>45.212707448565062</v>
      </c>
      <c r="F98" s="385">
        <f t="shared" si="26"/>
        <v>45.229006316253106</v>
      </c>
      <c r="G98" s="110">
        <f t="shared" si="48"/>
        <v>0.93168873739234992</v>
      </c>
      <c r="H98" s="414" t="b">
        <f>Wh_hp&gt;='2026'!Maxi_hp</f>
        <v>0</v>
      </c>
      <c r="I98" s="390">
        <f>IF(H98,Wh_hp,'2026'!Maxi_hp)</f>
        <v>45.230001069740489</v>
      </c>
      <c r="J98" s="85">
        <f>IF(H98,An,'2026'!An_max)</f>
        <v>2026</v>
      </c>
      <c r="K98" s="197">
        <f t="shared" si="27"/>
        <v>46471</v>
      </c>
      <c r="L98" s="147">
        <f>IF(t&lt;Tvie,1-EXP((T0-t)*PertePVj)+'2026'!Pspv,1-EXP((T0-t)*PertePVj)+Pspv)</f>
        <v>7.0856540650828692E-2</v>
      </c>
      <c r="M98" s="844"/>
      <c r="N98" s="844"/>
      <c r="O98" s="48">
        <f>IF(t&lt;Tnet,'2026'!Resal+('2026'!Salim-'2026'!Resal)*(1-EXP(('2026'!Tnet-t)/('2026'!Tau_j))),Resal+(Salim-Resal)*(1-EXP((Tnet-t)/(Tau_j))))*Salcycl</f>
        <v>0.10439982647679864</v>
      </c>
      <c r="P98" s="169">
        <f>(INDEX(Models!$BJ98:$BT98,,T98)*(1-R98)+INDEX(Models!$BJ98:$BT98,,T98+1)*R98-ERP_i)*Q98*Ramure*Pc/MaxiM</f>
        <v>3.9931013880109599E-4</v>
      </c>
      <c r="Q98" s="305">
        <f t="shared" si="28"/>
        <v>0.7</v>
      </c>
      <c r="R98" s="177">
        <f t="shared" si="29"/>
        <v>0.19498170312194563</v>
      </c>
      <c r="S98" s="810">
        <f t="shared" si="30"/>
        <v>-1</v>
      </c>
      <c r="T98" s="176">
        <f t="shared" si="31"/>
        <v>5</v>
      </c>
      <c r="U98" s="251">
        <f t="shared" si="32"/>
        <v>-0.80501829687805437</v>
      </c>
      <c r="V98" s="383">
        <f t="shared" si="33"/>
        <v>40.3803139377262</v>
      </c>
      <c r="W98" s="402">
        <f t="shared" si="34"/>
        <v>37.623349552140304</v>
      </c>
      <c r="X98" s="157">
        <f t="shared" si="35"/>
        <v>46471</v>
      </c>
      <c r="Y98" s="385">
        <f t="shared" si="36"/>
        <v>35.781529653804093</v>
      </c>
      <c r="Z98" s="385">
        <f t="shared" si="37"/>
        <v>38.510231432794733</v>
      </c>
      <c r="AA98" s="386">
        <f t="shared" si="38"/>
        <v>45.103575676563104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0.14618229585718706</v>
      </c>
      <c r="AD98" s="231">
        <f>(INDEX(Models!$BJ98:$BT98,,AH98)*(1-AF98)+INDEX(Models!$BJ98:$BT98,,AH98+1)*AF98-ERP_i)*AE98*Ramure*Pc/MaxiM</f>
        <v>3.0729574043512589E-3</v>
      </c>
      <c r="AE98" s="305">
        <f t="shared" si="40"/>
        <v>0.7</v>
      </c>
      <c r="AF98" s="177">
        <f t="shared" si="41"/>
        <v>1.4971756221129784E-2</v>
      </c>
      <c r="AG98" s="810">
        <f t="shared" si="49"/>
        <v>2</v>
      </c>
      <c r="AH98" s="176">
        <f t="shared" si="42"/>
        <v>8</v>
      </c>
      <c r="AI98" s="225">
        <f t="shared" si="43"/>
        <v>2.0149717562211298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40.041212253855711</v>
      </c>
      <c r="C99" s="840"/>
      <c r="D99" s="393">
        <f t="shared" si="25"/>
        <v>43.095760606327168</v>
      </c>
      <c r="E99" s="385">
        <f t="shared" si="47"/>
        <v>48.124359235207571</v>
      </c>
      <c r="F99" s="385">
        <f t="shared" si="26"/>
        <v>48.14263284332651</v>
      </c>
      <c r="G99" s="110">
        <f t="shared" si="48"/>
        <v>0.98200168981051883</v>
      </c>
      <c r="H99" s="414" t="b">
        <f>Wh_hp&gt;='2026'!Maxi_hp</f>
        <v>0</v>
      </c>
      <c r="I99" s="390">
        <f>IF(H99,Wh_hp,'2026'!Maxi_hp)</f>
        <v>50.66707986781163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7.0878163176519071E-2</v>
      </c>
      <c r="M99" s="844"/>
      <c r="N99" s="844"/>
      <c r="O99" s="48">
        <f>IF(t&lt;Tnet,'2026'!Resal+('2026'!Salim-'2026'!Resal)*(1-EXP(('2026'!Tnet-t)/('2026'!Tau_j))),Resal+(Salim-Resal)*(1-EXP((Tnet-t)/(Tau_j))))*Salcycl</f>
        <v>0.10449175238475691</v>
      </c>
      <c r="P99" s="169">
        <f>(INDEX(Models!$BJ99:$BT99,,T99)*(1-R99)+INDEX(Models!$BJ99:$BT99,,T99+1)*R99-ERP_i)*Q99*Ramure*Pc/MaxiM</f>
        <v>3.8958371632084751E-4</v>
      </c>
      <c r="Q99" s="305">
        <f t="shared" si="28"/>
        <v>0.7</v>
      </c>
      <c r="R99" s="177">
        <f t="shared" si="29"/>
        <v>0.1956342519230686</v>
      </c>
      <c r="S99" s="810">
        <f t="shared" si="30"/>
        <v>-1</v>
      </c>
      <c r="T99" s="176">
        <f t="shared" si="31"/>
        <v>5</v>
      </c>
      <c r="U99" s="251">
        <f t="shared" si="32"/>
        <v>-0.8043657480769314</v>
      </c>
      <c r="V99" s="383">
        <f t="shared" si="33"/>
        <v>40.774686689853851</v>
      </c>
      <c r="W99" s="402">
        <f t="shared" si="34"/>
        <v>40.041212253855711</v>
      </c>
      <c r="X99" s="157">
        <f t="shared" si="35"/>
        <v>46472</v>
      </c>
      <c r="Y99" s="385">
        <f t="shared" si="36"/>
        <v>38.076703033370059</v>
      </c>
      <c r="Z99" s="385">
        <f t="shared" si="37"/>
        <v>40.981388580369845</v>
      </c>
      <c r="AA99" s="386">
        <f t="shared" si="38"/>
        <v>48.000615035818129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0.1462320107817478</v>
      </c>
      <c r="AD99" s="231">
        <f>(INDEX(Models!$BJ99:$BT99,,AH99)*(1-AF99)+INDEX(Models!$BJ99:$BT99,,AH99+1)*AF99-ERP_i)*AE99*Ramure*Pc/MaxiM</f>
        <v>3.0277449791371843E-3</v>
      </c>
      <c r="AE99" s="305">
        <f t="shared" si="40"/>
        <v>0.7</v>
      </c>
      <c r="AF99" s="177">
        <f t="shared" si="41"/>
        <v>1.5624305022252649E-2</v>
      </c>
      <c r="AG99" s="810">
        <f t="shared" si="49"/>
        <v>2</v>
      </c>
      <c r="AH99" s="176">
        <f t="shared" si="42"/>
        <v>8</v>
      </c>
      <c r="AI99" s="225">
        <f t="shared" si="43"/>
        <v>2.0156243050222526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38.377900567045977</v>
      </c>
      <c r="C100" s="840"/>
      <c r="D100" s="393">
        <f t="shared" si="25"/>
        <v>41.306524264733774</v>
      </c>
      <c r="E100" s="385">
        <f t="shared" si="47"/>
        <v>46.131118092716932</v>
      </c>
      <c r="F100" s="385">
        <f t="shared" si="26"/>
        <v>46.146912810371603</v>
      </c>
      <c r="G100" s="110">
        <f t="shared" si="48"/>
        <v>0.9322279210269897</v>
      </c>
      <c r="H100" s="414" t="b">
        <f>Wh_hp&gt;='2026'!Maxi_hp</f>
        <v>0</v>
      </c>
      <c r="I100" s="390">
        <f>IF(H100,Wh_hp,'2026'!Maxi_hp)</f>
        <v>49.81019451356466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7.0899785199021514E-2</v>
      </c>
      <c r="M100" s="844"/>
      <c r="N100" s="844"/>
      <c r="O100" s="48">
        <f>IF(t&lt;Tnet,'2026'!Resal+('2026'!Salim-'2026'!Resal)*(1-EXP(('2026'!Tnet-t)/('2026'!Tau_j))),Resal+(Salim-Resal)*(1-EXP((Tnet-t)/(Tau_j))))*Salcycl</f>
        <v>0.10458436793763409</v>
      </c>
      <c r="P100" s="169">
        <f>(INDEX(Models!$BJ100:$BT100,,T100)*(1-R100)+INDEX(Models!$BJ100:$BT100,,T100+1)*R100-ERP_i)*Q100*Ramure*Pc/MaxiM</f>
        <v>3.7893968741271547E-4</v>
      </c>
      <c r="Q100" s="305">
        <f t="shared" si="28"/>
        <v>0.7</v>
      </c>
      <c r="R100" s="177">
        <f t="shared" si="29"/>
        <v>0.19631182405744019</v>
      </c>
      <c r="S100" s="810">
        <f t="shared" si="30"/>
        <v>-1</v>
      </c>
      <c r="T100" s="176">
        <f t="shared" si="31"/>
        <v>5</v>
      </c>
      <c r="U100" s="251">
        <f t="shared" si="32"/>
        <v>-0.80368817594255981</v>
      </c>
      <c r="V100" s="383">
        <f t="shared" si="33"/>
        <v>41.166427142402917</v>
      </c>
      <c r="W100" s="402">
        <f t="shared" si="34"/>
        <v>38.377900567045977</v>
      </c>
      <c r="X100" s="157">
        <f t="shared" si="35"/>
        <v>46473</v>
      </c>
      <c r="Y100" s="385">
        <f t="shared" si="36"/>
        <v>36.50489544643645</v>
      </c>
      <c r="Z100" s="385">
        <f t="shared" si="37"/>
        <v>39.290589825400183</v>
      </c>
      <c r="AA100" s="386">
        <f t="shared" si="38"/>
        <v>46.022954833060929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0.14628276328803871</v>
      </c>
      <c r="AD100" s="231">
        <f>(INDEX(Models!$BJ100:$BT100,,AH100)*(1-AF100)+INDEX(Models!$BJ100:$BT100,,AH100+1)*AF100-ERP_i)*AE100*Ramure*Pc/MaxiM</f>
        <v>2.9739434538437518E-3</v>
      </c>
      <c r="AE100" s="305">
        <f t="shared" si="40"/>
        <v>0.7</v>
      </c>
      <c r="AF100" s="177">
        <f t="shared" si="41"/>
        <v>1.6301877156624123E-2</v>
      </c>
      <c r="AG100" s="810">
        <f t="shared" si="49"/>
        <v>2</v>
      </c>
      <c r="AH100" s="176">
        <f t="shared" si="42"/>
        <v>8</v>
      </c>
      <c r="AI100" s="225">
        <f t="shared" si="43"/>
        <v>2.0163018771566241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29.040816165928852</v>
      </c>
      <c r="C101" s="840"/>
      <c r="D101" s="393">
        <f t="shared" si="25"/>
        <v>31.257652878807715</v>
      </c>
      <c r="E101" s="385">
        <f t="shared" si="47"/>
        <v>34.912180113326713</v>
      </c>
      <c r="F101" s="385">
        <f t="shared" si="26"/>
        <v>34.919499303472492</v>
      </c>
      <c r="G101" s="110">
        <f t="shared" si="48"/>
        <v>0.6987576996640229</v>
      </c>
      <c r="H101" s="414" t="b">
        <f>Wh_hp&gt;='2026'!Maxi_hp</f>
        <v>0</v>
      </c>
      <c r="I101" s="390">
        <f>IF(H101,Wh_hp,'2026'!Maxi_hp)</f>
        <v>49.482894626918331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7.0921406718348012E-2</v>
      </c>
      <c r="M101" s="844"/>
      <c r="N101" s="844"/>
      <c r="O101" s="48">
        <f>IF(t&lt;Tnet,'2026'!Resal+('2026'!Salim-'2026'!Resal)*(1-EXP(('2026'!Tnet-t)/('2026'!Tau_j))),Resal+(Salim-Resal)*(1-EXP((Tnet-t)/(Tau_j))))*Salcycl</f>
        <v>0.10467771484496871</v>
      </c>
      <c r="P101" s="169">
        <f>(INDEX(Models!$BJ101:$BT101,,T101)*(1-R101)+INDEX(Models!$BJ101:$BT101,,T101+1)*R101-ERP_i)*Q101*Ramure*Pc/MaxiM</f>
        <v>3.6784387198391408E-4</v>
      </c>
      <c r="Q101" s="305">
        <f t="shared" si="28"/>
        <v>0.7</v>
      </c>
      <c r="R101" s="177">
        <f t="shared" si="29"/>
        <v>0.19701528129717161</v>
      </c>
      <c r="S101" s="810">
        <f t="shared" si="30"/>
        <v>-1</v>
      </c>
      <c r="T101" s="176">
        <f t="shared" si="31"/>
        <v>5</v>
      </c>
      <c r="U101" s="251">
        <f t="shared" si="32"/>
        <v>-0.80298471870282839</v>
      </c>
      <c r="V101" s="383">
        <f t="shared" si="33"/>
        <v>41.55406049585158</v>
      </c>
      <c r="W101" s="402">
        <f t="shared" si="34"/>
        <v>29.040816165928852</v>
      </c>
      <c r="X101" s="157">
        <f t="shared" si="35"/>
        <v>46474</v>
      </c>
      <c r="Y101" s="385">
        <f t="shared" si="36"/>
        <v>27.649420938364745</v>
      </c>
      <c r="Z101" s="385">
        <f t="shared" si="37"/>
        <v>29.760045208557258</v>
      </c>
      <c r="AA101" s="386">
        <f t="shared" si="38"/>
        <v>34.861487361525711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0.14633460988238184</v>
      </c>
      <c r="AD101" s="231">
        <f>(INDEX(Models!$BJ101:$BT101,,AH101)*(1-AF101)+INDEX(Models!$BJ101:$BT101,,AH101+1)*AF101-ERP_i)*AE101*Ramure*Pc/MaxiM</f>
        <v>2.9155325824292001E-3</v>
      </c>
      <c r="AE101" s="305">
        <f t="shared" si="40"/>
        <v>0.7</v>
      </c>
      <c r="AF101" s="177">
        <f t="shared" si="41"/>
        <v>1.7005334396355654E-2</v>
      </c>
      <c r="AG101" s="810">
        <f t="shared" si="49"/>
        <v>2</v>
      </c>
      <c r="AH101" s="176">
        <f t="shared" si="42"/>
        <v>8</v>
      </c>
      <c r="AI101" s="225">
        <f t="shared" si="43"/>
        <v>2.0170053343963557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25.010952587846024</v>
      </c>
      <c r="C102" s="840"/>
      <c r="D102" s="393">
        <f t="shared" si="25"/>
        <v>26.920795316628684</v>
      </c>
      <c r="E102" s="385">
        <f t="shared" si="47"/>
        <v>30.071434698347382</v>
      </c>
      <c r="F102" s="385">
        <f t="shared" si="26"/>
        <v>30.075972430781473</v>
      </c>
      <c r="G102" s="110">
        <f t="shared" si="48"/>
        <v>0.59628328171501332</v>
      </c>
      <c r="H102" s="414" t="b">
        <f>Wh_hp&gt;='2026'!Maxi_hp</f>
        <v>0</v>
      </c>
      <c r="I102" s="390">
        <f>IF(H102,Wh_hp,'2026'!Maxi_hp)</f>
        <v>51.787106415664866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7.0943027734510111E-2</v>
      </c>
      <c r="M102" s="844"/>
      <c r="N102" s="844"/>
      <c r="O102" s="48">
        <f>IF(t&lt;Tnet,'2026'!Resal+('2026'!Salim-'2026'!Resal)*(1-EXP(('2026'!Tnet-t)/('2026'!Tau_j))),Resal+(Salim-Resal)*(1-EXP((Tnet-t)/(Tau_j))))*Salcycl</f>
        <v>0.10477183457734546</v>
      </c>
      <c r="P102" s="169">
        <f>(INDEX(Models!$BJ102:$BT102,,T102)*(1-R102)+INDEX(Models!$BJ102:$BT102,,T102+1)*R102-ERP_i)*Q102*Ramure*Pc/MaxiM</f>
        <v>3.5631205339392254E-4</v>
      </c>
      <c r="Q102" s="305">
        <f t="shared" si="28"/>
        <v>0.7</v>
      </c>
      <c r="R102" s="177">
        <f t="shared" si="29"/>
        <v>0.19774550712468075</v>
      </c>
      <c r="S102" s="810">
        <f t="shared" si="30"/>
        <v>-1</v>
      </c>
      <c r="T102" s="176">
        <f t="shared" si="31"/>
        <v>5</v>
      </c>
      <c r="U102" s="251">
        <f t="shared" si="32"/>
        <v>-0.80225449287531925</v>
      </c>
      <c r="V102" s="383">
        <f t="shared" si="33"/>
        <v>41.936130727818181</v>
      </c>
      <c r="W102" s="402">
        <f t="shared" si="34"/>
        <v>25.010952587846024</v>
      </c>
      <c r="X102" s="157">
        <f t="shared" si="35"/>
        <v>46475</v>
      </c>
      <c r="Y102" s="385">
        <f t="shared" si="36"/>
        <v>23.823074957959491</v>
      </c>
      <c r="Z102" s="385">
        <f t="shared" si="37"/>
        <v>25.642211047474646</v>
      </c>
      <c r="AA102" s="386">
        <f t="shared" si="38"/>
        <v>30.039642402555074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0.14638760662165526</v>
      </c>
      <c r="AD102" s="231">
        <f>(INDEX(Models!$BJ102:$BT102,,AH102)*(1-AF102)+INDEX(Models!$BJ102:$BT102,,AH102+1)*AF102-ERP_i)*AE102*Ramure*Pc/MaxiM</f>
        <v>2.8527082954372786E-3</v>
      </c>
      <c r="AE102" s="305">
        <f t="shared" si="40"/>
        <v>0.7</v>
      </c>
      <c r="AF102" s="177">
        <f t="shared" si="41"/>
        <v>1.7735560223864688E-2</v>
      </c>
      <c r="AG102" s="810">
        <f t="shared" si="49"/>
        <v>2</v>
      </c>
      <c r="AH102" s="176">
        <f t="shared" si="42"/>
        <v>8</v>
      </c>
      <c r="AI102" s="225">
        <f t="shared" si="43"/>
        <v>2.0177355602238647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7.3408719271104275</v>
      </c>
      <c r="C103" s="840"/>
      <c r="D103" s="393">
        <f t="shared" si="25"/>
        <v>7.90160666465815</v>
      </c>
      <c r="E103" s="385">
        <f t="shared" si="47"/>
        <v>8.8272967470306085</v>
      </c>
      <c r="F103" s="385">
        <f t="shared" si="26"/>
        <v>8.8272967470306085</v>
      </c>
      <c r="G103" s="110">
        <f t="shared" si="48"/>
        <v>0.1734374603375313</v>
      </c>
      <c r="H103" s="414" t="b">
        <f>Wh_hp&gt;='2026'!Maxi_hp</f>
        <v>0</v>
      </c>
      <c r="I103" s="390">
        <f>IF(H103,Wh_hp,'2026'!Maxi_hp)</f>
        <v>50.64313114829168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7.096464824751969E-2</v>
      </c>
      <c r="M103" s="844"/>
      <c r="N103" s="844"/>
      <c r="O103" s="48">
        <f>IF(t&lt;Tnet,'2026'!Resal+('2026'!Salim-'2026'!Resal)*(1-EXP(('2026'!Tnet-t)/('2026'!Tau_j))),Resal+(Salim-Resal)*(1-EXP((Tnet-t)/(Tau_j))))*Salcycl</f>
        <v>0.10486676826445754</v>
      </c>
      <c r="P103" s="169">
        <f>(INDEX(Models!$BJ103:$BT103,,T103)*(1-R103)+INDEX(Models!$BJ103:$BT103,,T103+1)*R103-ERP_i)*Q103*Ramure*Pc/MaxiM</f>
        <v>3.4435684118134331E-4</v>
      </c>
      <c r="Q103" s="305">
        <f t="shared" si="28"/>
        <v>0.7</v>
      </c>
      <c r="R103" s="177">
        <f t="shared" si="29"/>
        <v>0.19850340660597543</v>
      </c>
      <c r="S103" s="810">
        <f t="shared" si="30"/>
        <v>-1</v>
      </c>
      <c r="T103" s="176">
        <f t="shared" si="31"/>
        <v>5</v>
      </c>
      <c r="U103" s="251">
        <f t="shared" si="32"/>
        <v>-0.80149659339402457</v>
      </c>
      <c r="V103" s="383">
        <f t="shared" si="33"/>
        <v>42.311182563217557</v>
      </c>
      <c r="W103" s="402">
        <f t="shared" si="34"/>
        <v>7.3408719271104275</v>
      </c>
      <c r="X103" s="157">
        <f t="shared" si="35"/>
        <v>46476</v>
      </c>
      <c r="Y103" s="385">
        <f t="shared" si="36"/>
        <v>6.9999203923190967</v>
      </c>
      <c r="Z103" s="385">
        <f t="shared" si="37"/>
        <v>7.5346114430574023</v>
      </c>
      <c r="AA103" s="386">
        <f t="shared" si="38"/>
        <v>8.8272967470306085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0.146441808972611</v>
      </c>
      <c r="AD103" s="231">
        <f>(INDEX(Models!$BJ103:$BT103,,AH103)*(1-AF103)+INDEX(Models!$BJ103:$BT103,,AH103+1)*AF103-ERP_i)*AE103*Ramure*Pc/MaxiM</f>
        <v>2.7856443409100679E-3</v>
      </c>
      <c r="AE103" s="305">
        <f t="shared" si="40"/>
        <v>0.7</v>
      </c>
      <c r="AF103" s="177">
        <f t="shared" si="41"/>
        <v>1.8493459705159143E-2</v>
      </c>
      <c r="AG103" s="810">
        <f t="shared" si="49"/>
        <v>2</v>
      </c>
      <c r="AH103" s="176">
        <f t="shared" si="42"/>
        <v>8</v>
      </c>
      <c r="AI103" s="225">
        <f t="shared" si="43"/>
        <v>2.0184934597051591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26.421512016874082</v>
      </c>
      <c r="C104" s="840"/>
      <c r="D104" s="393">
        <f t="shared" si="25"/>
        <v>28.440389107396211</v>
      </c>
      <c r="E104" s="385">
        <f t="shared" si="47"/>
        <v>31.775641697485657</v>
      </c>
      <c r="F104" s="385">
        <f t="shared" si="26"/>
        <v>31.780451214793967</v>
      </c>
      <c r="G104" s="110">
        <f t="shared" si="48"/>
        <v>0.61898134466452315</v>
      </c>
      <c r="H104" s="414" t="b">
        <f>Wh_hp&gt;='2026'!Maxi_hp</f>
        <v>0</v>
      </c>
      <c r="I104" s="390">
        <f>IF(H104,Wh_hp,'2026'!Maxi_hp)</f>
        <v>46.771911898558628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7.0986268257388185E-2</v>
      </c>
      <c r="M104" s="844"/>
      <c r="N104" s="844"/>
      <c r="O104" s="48">
        <f>IF(t&lt;Tnet,'2026'!Resal+('2026'!Salim-'2026'!Resal)*(1-EXP(('2026'!Tnet-t)/('2026'!Tau_j))),Resal+(Salim-Resal)*(1-EXP((Tnet-t)/(Tau_j))))*Salcycl</f>
        <v>0.10496255659734971</v>
      </c>
      <c r="P104" s="169">
        <f>(INDEX(Models!$BJ104:$BT104,,T104)*(1-R104)+INDEX(Models!$BJ104:$BT104,,T104+1)*R104-ERP_i)*Q104*Ramure*Pc/MaxiM</f>
        <v>3.3198764455030295E-4</v>
      </c>
      <c r="Q104" s="305">
        <f t="shared" si="28"/>
        <v>0.7</v>
      </c>
      <c r="R104" s="177">
        <f t="shared" si="29"/>
        <v>0.19928990619290676</v>
      </c>
      <c r="S104" s="810">
        <f t="shared" si="30"/>
        <v>-1</v>
      </c>
      <c r="T104" s="176">
        <f t="shared" si="31"/>
        <v>5</v>
      </c>
      <c r="U104" s="251">
        <f t="shared" si="32"/>
        <v>-0.80071009380709324</v>
      </c>
      <c r="V104" s="383">
        <f t="shared" si="33"/>
        <v>42.677761494759061</v>
      </c>
      <c r="W104" s="402">
        <f t="shared" si="34"/>
        <v>26.421512016874082</v>
      </c>
      <c r="X104" s="157">
        <f t="shared" si="35"/>
        <v>46477</v>
      </c>
      <c r="Y104" s="385">
        <f t="shared" si="36"/>
        <v>25.168039091671339</v>
      </c>
      <c r="Z104" s="385">
        <f t="shared" si="37"/>
        <v>27.091137872054919</v>
      </c>
      <c r="AA104" s="386">
        <f t="shared" si="38"/>
        <v>31.741126270679587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0.14649727167747123</v>
      </c>
      <c r="AD104" s="231">
        <f>(INDEX(Models!$BJ104:$BT104,,AH104)*(1-AF104)+INDEX(Models!$BJ104:$BT104,,AH104+1)*AF104-ERP_i)*AE104*Ramure*Pc/MaxiM</f>
        <v>2.714491856811605E-3</v>
      </c>
      <c r="AE104" s="305">
        <f t="shared" si="40"/>
        <v>0.7</v>
      </c>
      <c r="AF104" s="177">
        <f t="shared" si="41"/>
        <v>1.9279959292090698E-2</v>
      </c>
      <c r="AG104" s="810">
        <f t="shared" si="49"/>
        <v>2</v>
      </c>
      <c r="AH104" s="176">
        <f t="shared" si="42"/>
        <v>8</v>
      </c>
      <c r="AI104" s="225">
        <f t="shared" si="43"/>
        <v>2.0192799592920907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30.197121529387179</v>
      </c>
      <c r="C105" s="840"/>
      <c r="D105" s="393">
        <f t="shared" si="25"/>
        <v>32.505250724583213</v>
      </c>
      <c r="E105" s="385">
        <f t="shared" si="47"/>
        <v>36.3211199755292</v>
      </c>
      <c r="F105" s="385">
        <f t="shared" si="26"/>
        <v>36.327774496089525</v>
      </c>
      <c r="G105" s="110">
        <f t="shared" si="48"/>
        <v>0.70160158738506673</v>
      </c>
      <c r="H105" s="414" t="b">
        <f>Wh_hp&gt;='2026'!Maxi_hp</f>
        <v>0</v>
      </c>
      <c r="I105" s="390">
        <f>IF(H105,Wh_hp,'2026'!Maxi_hp)</f>
        <v>47.56351472577898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7.1007887764127586E-2</v>
      </c>
      <c r="M105" s="844"/>
      <c r="N105" s="844"/>
      <c r="O105" s="48">
        <f>IF(t&lt;Tnet,'2026'!Resal+('2026'!Salim-'2026'!Resal)*(1-EXP(('2026'!Tnet-t)/('2026'!Tau_j))),Resal+(Salim-Resal)*(1-EXP((Tnet-t)/(Tau_j))))*Salcycl</f>
        <v>0.10505923973481182</v>
      </c>
      <c r="P105" s="169">
        <f>(INDEX(Models!$BJ105:$BT105,,T105)*(1-R105)+INDEX(Models!$BJ105:$BT105,,T105+1)*R105-ERP_i)*Q105*Ramure*Pc/MaxiM</f>
        <v>3.1921064673187736E-4</v>
      </c>
      <c r="Q105" s="305">
        <f t="shared" si="28"/>
        <v>0.7</v>
      </c>
      <c r="R105" s="177">
        <f t="shared" si="29"/>
        <v>0.20010595344833493</v>
      </c>
      <c r="S105" s="810">
        <f t="shared" si="30"/>
        <v>-1</v>
      </c>
      <c r="T105" s="176">
        <f t="shared" si="31"/>
        <v>5</v>
      </c>
      <c r="U105" s="251">
        <f t="shared" si="32"/>
        <v>-0.79989404655166507</v>
      </c>
      <c r="V105" s="383">
        <f t="shared" si="33"/>
        <v>43.034413810808921</v>
      </c>
      <c r="W105" s="402">
        <f t="shared" si="34"/>
        <v>30.197121529387179</v>
      </c>
      <c r="X105" s="157">
        <f t="shared" si="35"/>
        <v>46478</v>
      </c>
      <c r="Y105" s="385">
        <f t="shared" si="36"/>
        <v>28.758653904273032</v>
      </c>
      <c r="Z105" s="385">
        <f t="shared" si="37"/>
        <v>30.956833244856625</v>
      </c>
      <c r="AA105" s="386">
        <f t="shared" si="38"/>
        <v>36.272751888983983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0.14655404862573446</v>
      </c>
      <c r="AD105" s="231">
        <f>(INDEX(Models!$BJ105:$BT105,,AH105)*(1-AF105)+INDEX(Models!$BJ105:$BT105,,AH105+1)*AF105-ERP_i)*AE105*Ramure*Pc/MaxiM</f>
        <v>2.6393790266059916E-3</v>
      </c>
      <c r="AE105" s="305">
        <f t="shared" si="40"/>
        <v>0.7</v>
      </c>
      <c r="AF105" s="177">
        <f t="shared" si="41"/>
        <v>2.0096006547519085E-2</v>
      </c>
      <c r="AG105" s="810">
        <f t="shared" si="49"/>
        <v>2</v>
      </c>
      <c r="AH105" s="176">
        <f t="shared" si="42"/>
        <v>8</v>
      </c>
      <c r="AI105" s="225">
        <f t="shared" si="43"/>
        <v>2.0200960065475191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19.211716391259063</v>
      </c>
      <c r="C106" s="840"/>
      <c r="D106" s="393">
        <f t="shared" si="25"/>
        <v>20.68065297145662</v>
      </c>
      <c r="E106" s="385">
        <f t="shared" si="47"/>
        <v>23.110925236645411</v>
      </c>
      <c r="F106" s="385">
        <f t="shared" si="26"/>
        <v>23.112368882150278</v>
      </c>
      <c r="G106" s="110">
        <f t="shared" si="48"/>
        <v>0.44276568739751487</v>
      </c>
      <c r="H106" s="414" t="b">
        <f>Wh_hp&gt;='2026'!Maxi_hp</f>
        <v>0</v>
      </c>
      <c r="I106" s="390">
        <f>IF(H106,Wh_hp,'2026'!Maxi_hp)</f>
        <v>43.51711445287431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7.102950676774944E-2</v>
      </c>
      <c r="M106" s="844"/>
      <c r="N106" s="844"/>
      <c r="O106" s="48">
        <f>IF(t&lt;Tnet,'2026'!Resal+('2026'!Salim-'2026'!Resal)*(1-EXP(('2026'!Tnet-t)/('2026'!Tau_j))),Resal+(Salim-Resal)*(1-EXP((Tnet-t)/(Tau_j))))*Salcycl</f>
        <v>0.10515685721380261</v>
      </c>
      <c r="P106" s="169">
        <f>(INDEX(Models!$BJ106:$BT106,,T106)*(1-R106)+INDEX(Models!$BJ106:$BT106,,T106+1)*R106-ERP_i)*Q106*Ramure*Pc/MaxiM</f>
        <v>3.0602877646491376E-4</v>
      </c>
      <c r="Q106" s="305">
        <f t="shared" si="28"/>
        <v>0.7</v>
      </c>
      <c r="R106" s="177">
        <f t="shared" si="29"/>
        <v>0.2009525166878865</v>
      </c>
      <c r="S106" s="810">
        <f t="shared" si="30"/>
        <v>-1</v>
      </c>
      <c r="T106" s="176">
        <f t="shared" si="31"/>
        <v>5</v>
      </c>
      <c r="U106" s="251">
        <f t="shared" si="32"/>
        <v>-0.7990474833121135</v>
      </c>
      <c r="V106" s="383">
        <f t="shared" si="33"/>
        <v>43.379686616236043</v>
      </c>
      <c r="W106" s="402">
        <f t="shared" si="34"/>
        <v>19.211716391259063</v>
      </c>
      <c r="X106" s="157">
        <f t="shared" si="35"/>
        <v>46479</v>
      </c>
      <c r="Y106" s="385">
        <f t="shared" si="36"/>
        <v>18.313265649051328</v>
      </c>
      <c r="Z106" s="385">
        <f t="shared" si="37"/>
        <v>19.713506276536659</v>
      </c>
      <c r="AA106" s="386">
        <f t="shared" si="38"/>
        <v>23.100290522835842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0.14661219273199913</v>
      </c>
      <c r="AD106" s="231">
        <f>(INDEX(Models!$BJ106:$BT106,,AH106)*(1-AF106)+INDEX(Models!$BJ106:$BT106,,AH106+1)*AF106-ERP_i)*AE106*Ramure*Pc/MaxiM</f>
        <v>2.5604107866072021E-3</v>
      </c>
      <c r="AE106" s="305">
        <f t="shared" si="40"/>
        <v>0.7</v>
      </c>
      <c r="AF106" s="177">
        <f t="shared" si="41"/>
        <v>2.0942569787070209E-2</v>
      </c>
      <c r="AG106" s="810">
        <f t="shared" si="49"/>
        <v>2</v>
      </c>
      <c r="AH106" s="176">
        <f t="shared" si="42"/>
        <v>8</v>
      </c>
      <c r="AI106" s="225">
        <f t="shared" si="43"/>
        <v>2.0209425697870702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20.128347749958209</v>
      </c>
      <c r="C107" s="840"/>
      <c r="D107" s="393">
        <f t="shared" si="25"/>
        <v>21.667874624177731</v>
      </c>
      <c r="E107" s="385">
        <f t="shared" si="47"/>
        <v>24.216827666000619</v>
      </c>
      <c r="F107" s="385">
        <f t="shared" si="26"/>
        <v>24.218450776223705</v>
      </c>
      <c r="G107" s="110">
        <f t="shared" si="48"/>
        <v>0.46033098127713085</v>
      </c>
      <c r="H107" s="414" t="b">
        <f>Wh_hp&gt;='2026'!Maxi_hp</f>
        <v>0</v>
      </c>
      <c r="I107" s="390">
        <f>IF(H107,Wh_hp,'2026'!Maxi_hp)</f>
        <v>53.130196848122523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7.1051125268265514E-2</v>
      </c>
      <c r="M107" s="844"/>
      <c r="N107" s="844"/>
      <c r="O107" s="48">
        <f>IF(t&lt;Tnet,'2026'!Resal+('2026'!Salim-'2026'!Resal)*(1-EXP(('2026'!Tnet-t)/('2026'!Tau_j))),Resal+(Salim-Resal)*(1-EXP((Tnet-t)/(Tau_j))))*Salcycl</f>
        <v>0.10525544786369803</v>
      </c>
      <c r="P107" s="169">
        <f>(INDEX(Models!$BJ107:$BT107,,T107)*(1-R107)+INDEX(Models!$BJ107:$BT107,,T107+1)*R107-ERP_i)*Q107*Ramure*Pc/MaxiM</f>
        <v>2.9241604743823508E-4</v>
      </c>
      <c r="Q107" s="305">
        <f t="shared" si="28"/>
        <v>0.7</v>
      </c>
      <c r="R107" s="177">
        <f t="shared" si="29"/>
        <v>0.2018305845317373</v>
      </c>
      <c r="S107" s="810">
        <f t="shared" si="30"/>
        <v>-1</v>
      </c>
      <c r="T107" s="176">
        <f t="shared" si="31"/>
        <v>5</v>
      </c>
      <c r="U107" s="251">
        <f t="shared" si="32"/>
        <v>-0.7981694154682627</v>
      </c>
      <c r="V107" s="383">
        <f t="shared" si="33"/>
        <v>43.715959615457251</v>
      </c>
      <c r="W107" s="402">
        <f t="shared" si="34"/>
        <v>20.128347749958209</v>
      </c>
      <c r="X107" s="157">
        <f t="shared" si="35"/>
        <v>46480</v>
      </c>
      <c r="Y107" s="385">
        <f t="shared" si="36"/>
        <v>19.187024216348536</v>
      </c>
      <c r="Z107" s="385">
        <f t="shared" si="37"/>
        <v>20.654553483246794</v>
      </c>
      <c r="AA107" s="386">
        <f t="shared" si="38"/>
        <v>24.204699216398694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0.1466717558194929</v>
      </c>
      <c r="AD107" s="231">
        <f>(INDEX(Models!$BJ107:$BT107,,AH107)*(1-AF107)+INDEX(Models!$BJ107:$BT107,,AH107+1)*AF107-ERP_i)*AE107*Ramure*Pc/MaxiM</f>
        <v>2.4774514465753916E-3</v>
      </c>
      <c r="AE107" s="305">
        <f t="shared" si="40"/>
        <v>0.7</v>
      </c>
      <c r="AF107" s="177">
        <f t="shared" si="41"/>
        <v>2.1820637630921347E-2</v>
      </c>
      <c r="AG107" s="810">
        <f t="shared" si="49"/>
        <v>2</v>
      </c>
      <c r="AH107" s="176">
        <f t="shared" si="42"/>
        <v>8</v>
      </c>
      <c r="AI107" s="225">
        <f t="shared" si="43"/>
        <v>2.0218206376309213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40.255102078073989</v>
      </c>
      <c r="C108" s="840"/>
      <c r="D108" s="393">
        <f t="shared" si="25"/>
        <v>43.335042422581822</v>
      </c>
      <c r="E108" s="385">
        <f t="shared" si="47"/>
        <v>48.438257444158928</v>
      </c>
      <c r="F108" s="385">
        <f t="shared" si="26"/>
        <v>48.450093644854256</v>
      </c>
      <c r="G108" s="110">
        <f t="shared" si="48"/>
        <v>0.91389129682445136</v>
      </c>
      <c r="H108" s="414" t="b">
        <f>Wh_hp&gt;='2026'!Maxi_hp</f>
        <v>0</v>
      </c>
      <c r="I108" s="390">
        <f>IF(H108,Wh_hp,'2026'!Maxi_hp)</f>
        <v>54.788293499905031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7.1072743265687466E-2</v>
      </c>
      <c r="M108" s="844"/>
      <c r="N108" s="844"/>
      <c r="O108" s="48">
        <f>IF(t&lt;Tnet,'2026'!Resal+('2026'!Salim-'2026'!Resal)*(1-EXP(('2026'!Tnet-t)/('2026'!Tau_j))),Resal+(Salim-Resal)*(1-EXP((Tnet-t)/(Tau_j))))*Salcycl</f>
        <v>0.10535504972407901</v>
      </c>
      <c r="P108" s="169">
        <f>(INDEX(Models!$BJ108:$BT108,,T108)*(1-R108)+INDEX(Models!$BJ108:$BT108,,T108+1)*R108-ERP_i)*Q108*Ramure*Pc/MaxiM</f>
        <v>2.7854932631515703E-4</v>
      </c>
      <c r="Q108" s="305">
        <f t="shared" si="28"/>
        <v>0.7</v>
      </c>
      <c r="R108" s="177">
        <f t="shared" si="29"/>
        <v>0.2027411653596195</v>
      </c>
      <c r="S108" s="810">
        <f t="shared" si="30"/>
        <v>-1</v>
      </c>
      <c r="T108" s="176">
        <f t="shared" si="31"/>
        <v>5</v>
      </c>
      <c r="U108" s="251">
        <f t="shared" si="32"/>
        <v>-0.7972588346403805</v>
      </c>
      <c r="V108" s="383">
        <f t="shared" si="33"/>
        <v>44.046510827156816</v>
      </c>
      <c r="W108" s="402">
        <f t="shared" si="34"/>
        <v>40.255102078073989</v>
      </c>
      <c r="X108" s="157">
        <f t="shared" si="35"/>
        <v>46481</v>
      </c>
      <c r="Y108" s="385">
        <f t="shared" si="36"/>
        <v>38.322161194311839</v>
      </c>
      <c r="Z108" s="385">
        <f t="shared" si="37"/>
        <v>41.254211152157595</v>
      </c>
      <c r="AA108" s="386">
        <f t="shared" si="38"/>
        <v>48.348525053557971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0.1467327885088876</v>
      </c>
      <c r="AD108" s="231">
        <f>(INDEX(Models!$BJ108:$BT108,,AH108)*(1-AF108)+INDEX(Models!$BJ108:$BT108,,AH108+1)*AF108-ERP_i)*AE108*Ramure*Pc/MaxiM</f>
        <v>2.3902824401701413E-3</v>
      </c>
      <c r="AE108" s="305">
        <f t="shared" si="40"/>
        <v>0.7</v>
      </c>
      <c r="AF108" s="177">
        <f t="shared" si="41"/>
        <v>2.2731218458803326E-2</v>
      </c>
      <c r="AG108" s="810">
        <f t="shared" si="49"/>
        <v>2</v>
      </c>
      <c r="AH108" s="176">
        <f t="shared" si="42"/>
        <v>8</v>
      </c>
      <c r="AI108" s="225">
        <f t="shared" si="43"/>
        <v>2.0227312184588033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45.169930187698014</v>
      </c>
      <c r="C109" s="840"/>
      <c r="D109" s="393">
        <f t="shared" si="25"/>
        <v>48.627038398276795</v>
      </c>
      <c r="E109" s="385">
        <f t="shared" si="47"/>
        <v>54.359564301524806</v>
      </c>
      <c r="F109" s="385">
        <f t="shared" si="26"/>
        <v>54.373965155861015</v>
      </c>
      <c r="G109" s="110">
        <f t="shared" si="48"/>
        <v>1.0180004045115796</v>
      </c>
      <c r="H109" s="414" t="b">
        <f>Wh_hp&gt;='2026'!Maxi_hp</f>
        <v>0</v>
      </c>
      <c r="I109" s="390">
        <f>IF(H109,Wh_hp,'2026'!Maxi_hp)</f>
        <v>55.766032914356472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7.1094360760027064E-2</v>
      </c>
      <c r="M109" s="844"/>
      <c r="N109" s="844"/>
      <c r="O109" s="48">
        <f>IF(t&lt;Tnet,'2026'!Resal+('2026'!Salim-'2026'!Resal)*(1-EXP(('2026'!Tnet-t)/('2026'!Tau_j))),Resal+(Salim-Resal)*(1-EXP((Tnet-t)/(Tau_j))))*Salcycl</f>
        <v>0.10545569996570425</v>
      </c>
      <c r="P109" s="169">
        <f>(INDEX(Models!$BJ109:$BT109,,T109)*(1-R109)+INDEX(Models!$BJ109:$BT109,,T109+1)*R109-ERP_i)*Q109*Ramure*Pc/MaxiM</f>
        <v>2.6484833862912196E-4</v>
      </c>
      <c r="Q109" s="305">
        <f t="shared" si="28"/>
        <v>0.7</v>
      </c>
      <c r="R109" s="177">
        <f t="shared" si="29"/>
        <v>0.20368528666203445</v>
      </c>
      <c r="S109" s="810">
        <f t="shared" si="30"/>
        <v>-1</v>
      </c>
      <c r="T109" s="176">
        <f t="shared" si="31"/>
        <v>5</v>
      </c>
      <c r="U109" s="251">
        <f t="shared" si="32"/>
        <v>-0.79631471333796555</v>
      </c>
      <c r="V109" s="383">
        <f t="shared" si="33"/>
        <v>44.371230097270768</v>
      </c>
      <c r="W109" s="402">
        <f t="shared" si="34"/>
        <v>45.169930187698014</v>
      </c>
      <c r="X109" s="157">
        <f t="shared" si="35"/>
        <v>46482</v>
      </c>
      <c r="Y109" s="385">
        <f t="shared" si="36"/>
        <v>42.99466502033664</v>
      </c>
      <c r="Z109" s="385">
        <f t="shared" si="37"/>
        <v>46.285287982011511</v>
      </c>
      <c r="AA109" s="386">
        <f t="shared" si="38"/>
        <v>54.248751979485341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0.14679534011188461</v>
      </c>
      <c r="AD109" s="231">
        <f>(INDEX(Models!$BJ109:$BT109,,AH109)*(1-AF109)+INDEX(Models!$BJ109:$BT109,,AH109+1)*AF109-ERP_i)*AE109*Ramure*Pc/MaxiM</f>
        <v>2.3028148860720285E-3</v>
      </c>
      <c r="AE109" s="305">
        <f t="shared" si="40"/>
        <v>0.7</v>
      </c>
      <c r="AF109" s="177">
        <f t="shared" si="41"/>
        <v>2.3675339761218162E-2</v>
      </c>
      <c r="AG109" s="810">
        <f t="shared" si="49"/>
        <v>2</v>
      </c>
      <c r="AH109" s="176">
        <f t="shared" si="42"/>
        <v>8</v>
      </c>
      <c r="AI109" s="225">
        <f t="shared" si="43"/>
        <v>2.0236753397612182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10.662223866294156</v>
      </c>
      <c r="C110" s="840"/>
      <c r="D110" s="393">
        <f t="shared" si="25"/>
        <v>11.47853080784223</v>
      </c>
      <c r="E110" s="385">
        <f t="shared" si="47"/>
        <v>12.833166996539868</v>
      </c>
      <c r="F110" s="385">
        <f t="shared" si="26"/>
        <v>12.833166996539868</v>
      </c>
      <c r="G110" s="110">
        <f t="shared" si="48"/>
        <v>0.23852177690795517</v>
      </c>
      <c r="H110" s="414" t="b">
        <f>Wh_hp&gt;='2026'!Maxi_hp</f>
        <v>0</v>
      </c>
      <c r="I110" s="390">
        <f>IF(H110,Wh_hp,'2026'!Maxi_hp)</f>
        <v>56.273634835365598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7.1115977751295967E-2</v>
      </c>
      <c r="M110" s="844"/>
      <c r="N110" s="844"/>
      <c r="O110" s="48">
        <f>IF(t&lt;Tnet,'2026'!Resal+('2026'!Salim-'2026'!Resal)*(1-EXP(('2026'!Tnet-t)/('2026'!Tau_j))),Resal+(Salim-Resal)*(1-EXP((Tnet-t)/(Tau_j))))*Salcycl</f>
        <v>0.10555743481424971</v>
      </c>
      <c r="P110" s="169">
        <f>(INDEX(Models!$BJ110:$BT110,,T110)*(1-R110)+INDEX(Models!$BJ110:$BT110,,T110+1)*R110-ERP_i)*Q110*Ramure*Pc/MaxiM</f>
        <v>2.5129982185297529E-4</v>
      </c>
      <c r="Q110" s="305">
        <f t="shared" si="28"/>
        <v>0.7</v>
      </c>
      <c r="R110" s="177">
        <f t="shared" si="29"/>
        <v>0.20466399428046655</v>
      </c>
      <c r="S110" s="810">
        <f t="shared" si="30"/>
        <v>-1</v>
      </c>
      <c r="T110" s="176">
        <f t="shared" si="31"/>
        <v>5</v>
      </c>
      <c r="U110" s="251">
        <f t="shared" si="32"/>
        <v>-0.79533600571953345</v>
      </c>
      <c r="V110" s="383">
        <f t="shared" si="33"/>
        <v>44.69002616666522</v>
      </c>
      <c r="W110" s="402">
        <f t="shared" si="34"/>
        <v>10.662223866294156</v>
      </c>
      <c r="X110" s="157">
        <f t="shared" si="35"/>
        <v>46483</v>
      </c>
      <c r="Y110" s="385">
        <f t="shared" si="36"/>
        <v>10.169882110525995</v>
      </c>
      <c r="Z110" s="385">
        <f t="shared" si="37"/>
        <v>10.948495040216184</v>
      </c>
      <c r="AA110" s="386">
        <f t="shared" si="38"/>
        <v>12.833166996539868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0.14685945852896934</v>
      </c>
      <c r="AD110" s="231">
        <f>(INDEX(Models!$BJ110:$BT110,,AH110)*(1-AF110)+INDEX(Models!$BJ110:$BT110,,AH110+1)*AF110-ERP_i)*AE110*Ramure*Pc/MaxiM</f>
        <v>2.2149957829128973E-3</v>
      </c>
      <c r="AE110" s="305">
        <f t="shared" si="40"/>
        <v>0.7</v>
      </c>
      <c r="AF110" s="177">
        <f t="shared" si="41"/>
        <v>2.4654047379650379E-2</v>
      </c>
      <c r="AG110" s="810">
        <f t="shared" si="49"/>
        <v>2</v>
      </c>
      <c r="AH110" s="176">
        <f t="shared" si="42"/>
        <v>8</v>
      </c>
      <c r="AI110" s="225">
        <f t="shared" si="43"/>
        <v>2.0246540473796504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32.26422167703344</v>
      </c>
      <c r="C111" s="840"/>
      <c r="D111" s="393">
        <f t="shared" si="25"/>
        <v>34.735200258877448</v>
      </c>
      <c r="E111" s="385">
        <f t="shared" si="47"/>
        <v>38.838933181821119</v>
      </c>
      <c r="F111" s="385">
        <f t="shared" si="26"/>
        <v>38.844437195917202</v>
      </c>
      <c r="G111" s="110">
        <f t="shared" si="48"/>
        <v>0.71686899206287191</v>
      </c>
      <c r="H111" s="414" t="b">
        <f>Wh_hp&gt;='2026'!Maxi_hp</f>
        <v>0</v>
      </c>
      <c r="I111" s="390">
        <f>IF(H111,Wh_hp,'2026'!Maxi_hp)</f>
        <v>55.325751817582876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7.1137594239505941E-2</v>
      </c>
      <c r="M111" s="844"/>
      <c r="N111" s="844"/>
      <c r="O111" s="48">
        <f>IF(t&lt;Tnet,'2026'!Resal+('2026'!Salim-'2026'!Resal)*(1-EXP(('2026'!Tnet-t)/('2026'!Tau_j))),Resal+(Salim-Resal)*(1-EXP((Tnet-t)/(Tau_j))))*Salcycl</f>
        <v>0.10566028947634573</v>
      </c>
      <c r="P111" s="169">
        <f>(INDEX(Models!$BJ111:$BT111,,T111)*(1-R111)+INDEX(Models!$BJ111:$BT111,,T111+1)*R111-ERP_i)*Q111*Ramure*Pc/MaxiM</f>
        <v>2.3789060865277568E-4</v>
      </c>
      <c r="Q111" s="305">
        <f t="shared" si="28"/>
        <v>0.7</v>
      </c>
      <c r="R111" s="177">
        <f t="shared" si="29"/>
        <v>0.20567835152922576</v>
      </c>
      <c r="S111" s="810">
        <f t="shared" si="30"/>
        <v>-1</v>
      </c>
      <c r="T111" s="176">
        <f t="shared" si="31"/>
        <v>5</v>
      </c>
      <c r="U111" s="251">
        <f t="shared" si="32"/>
        <v>-0.79432164847077424</v>
      </c>
      <c r="V111" s="383">
        <f t="shared" si="33"/>
        <v>45.002807873847232</v>
      </c>
      <c r="W111" s="402">
        <f t="shared" si="34"/>
        <v>32.26422167703344</v>
      </c>
      <c r="X111" s="157">
        <f t="shared" si="35"/>
        <v>46484</v>
      </c>
      <c r="Y111" s="385">
        <f t="shared" si="36"/>
        <v>30.740918691321664</v>
      </c>
      <c r="Z111" s="385">
        <f t="shared" si="37"/>
        <v>33.095234020320731</v>
      </c>
      <c r="AA111" s="386">
        <f t="shared" si="38"/>
        <v>38.795230662321217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0.14692519015066571</v>
      </c>
      <c r="AD111" s="231">
        <f>(INDEX(Models!$BJ111:$BT111,,AH111)*(1-AF111)+INDEX(Models!$BJ111:$BT111,,AH111+1)*AF111-ERP_i)*AE111*Ramure*Pc/MaxiM</f>
        <v>2.1267700304705307E-3</v>
      </c>
      <c r="AE111" s="305">
        <f t="shared" si="40"/>
        <v>0.7</v>
      </c>
      <c r="AF111" s="177">
        <f t="shared" si="41"/>
        <v>2.5668404628409913E-2</v>
      </c>
      <c r="AG111" s="810">
        <f t="shared" si="49"/>
        <v>2</v>
      </c>
      <c r="AH111" s="176">
        <f t="shared" si="42"/>
        <v>8</v>
      </c>
      <c r="AI111" s="225">
        <f t="shared" si="43"/>
        <v>2.0256684046284099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25.704098854098032</v>
      </c>
      <c r="C112" s="840"/>
      <c r="D112" s="393">
        <f t="shared" si="25"/>
        <v>27.673309717928468</v>
      </c>
      <c r="E112" s="385">
        <f t="shared" si="47"/>
        <v>30.946326184608385</v>
      </c>
      <c r="F112" s="385">
        <f t="shared" si="26"/>
        <v>30.948980623590849</v>
      </c>
      <c r="G112" s="110">
        <f t="shared" si="48"/>
        <v>0.56722185819442994</v>
      </c>
      <c r="H112" s="414" t="b">
        <f>Wh_hp&gt;='2026'!Maxi_hp</f>
        <v>0</v>
      </c>
      <c r="I112" s="390">
        <f>IF(H112,Wh_hp,'2026'!Maxi_hp)</f>
        <v>53.843386079314278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7.1159210224668645E-2</v>
      </c>
      <c r="M112" s="844"/>
      <c r="N112" s="844"/>
      <c r="O112" s="48">
        <f>IF(t&lt;Tnet,'2026'!Resal+('2026'!Salim-'2026'!Resal)*(1-EXP(('2026'!Tnet-t)/('2026'!Tau_j))),Resal+(Salim-Resal)*(1-EXP((Tnet-t)/(Tau_j))))*Salcycl</f>
        <v>0.10576429806740026</v>
      </c>
      <c r="P112" s="169">
        <f>(INDEX(Models!$BJ112:$BT112,,T112)*(1-R112)+INDEX(Models!$BJ112:$BT112,,T112+1)*R112-ERP_i)*Q112*Ramure*Pc/MaxiM</f>
        <v>2.2460760526611171E-4</v>
      </c>
      <c r="Q112" s="305">
        <f t="shared" si="28"/>
        <v>0.7</v>
      </c>
      <c r="R112" s="177">
        <f t="shared" si="29"/>
        <v>0.20672943819142064</v>
      </c>
      <c r="S112" s="810">
        <f t="shared" si="30"/>
        <v>-1</v>
      </c>
      <c r="T112" s="176">
        <f t="shared" si="31"/>
        <v>5</v>
      </c>
      <c r="U112" s="251">
        <f t="shared" si="32"/>
        <v>-0.79327056180857936</v>
      </c>
      <c r="V112" s="383">
        <f t="shared" si="33"/>
        <v>45.3094841734694</v>
      </c>
      <c r="W112" s="402">
        <f t="shared" si="34"/>
        <v>25.704098854098032</v>
      </c>
      <c r="X112" s="157">
        <f t="shared" si="35"/>
        <v>46485</v>
      </c>
      <c r="Y112" s="385">
        <f t="shared" si="36"/>
        <v>24.502043850089887</v>
      </c>
      <c r="Z112" s="385">
        <f t="shared" si="37"/>
        <v>26.379164351746933</v>
      </c>
      <c r="AA112" s="386">
        <f t="shared" si="38"/>
        <v>30.924894351298065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0.14699257976156427</v>
      </c>
      <c r="AD112" s="231">
        <f>(INDEX(Models!$BJ112:$BT112,,AH112)*(1-AF112)+INDEX(Models!$BJ112:$BT112,,AH112+1)*AF112-ERP_i)*AE112*Ramure*Pc/MaxiM</f>
        <v>2.0380803534024174E-3</v>
      </c>
      <c r="AE112" s="305">
        <f t="shared" si="40"/>
        <v>0.7</v>
      </c>
      <c r="AF112" s="177">
        <f t="shared" si="41"/>
        <v>2.671949129060458E-2</v>
      </c>
      <c r="AG112" s="810">
        <f t="shared" si="49"/>
        <v>2</v>
      </c>
      <c r="AH112" s="176">
        <f t="shared" si="42"/>
        <v>8</v>
      </c>
      <c r="AI112" s="225">
        <f t="shared" si="43"/>
        <v>2.0267194912906046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33.591106991362665</v>
      </c>
      <c r="C113" s="840"/>
      <c r="D113" s="393">
        <f t="shared" si="25"/>
        <v>36.165389260965902</v>
      </c>
      <c r="E113" s="385">
        <f t="shared" si="47"/>
        <v>40.447551000331259</v>
      </c>
      <c r="F113" s="385">
        <f t="shared" si="26"/>
        <v>40.45288440448482</v>
      </c>
      <c r="G113" s="110">
        <f t="shared" si="48"/>
        <v>0.73642752358691088</v>
      </c>
      <c r="H113" s="414" t="b">
        <f>Wh_hp&gt;='2026'!Maxi_hp</f>
        <v>0</v>
      </c>
      <c r="I113" s="390">
        <f>IF(H113,Wh_hp,'2026'!Maxi_hp)</f>
        <v>46.323967550802834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7.1180825706795736E-2</v>
      </c>
      <c r="M113" s="844"/>
      <c r="N113" s="844"/>
      <c r="O113" s="48">
        <f>IF(t&lt;Tnet,'2026'!Resal+('2026'!Salim-'2026'!Resal)*(1-EXP(('2026'!Tnet-t)/('2026'!Tau_j))),Resal+(Salim-Resal)*(1-EXP((Tnet-t)/(Tau_j))))*Salcycl</f>
        <v>0.10586949354066662</v>
      </c>
      <c r="P113" s="169">
        <f>(INDEX(Models!$BJ113:$BT113,,T113)*(1-R113)+INDEX(Models!$BJ113:$BT113,,T113+1)*R113-ERP_i)*Q113*Ramure*Pc/MaxiM</f>
        <v>2.1143777078602713E-4</v>
      </c>
      <c r="Q113" s="305">
        <f t="shared" si="28"/>
        <v>0.7</v>
      </c>
      <c r="R113" s="177">
        <f t="shared" si="29"/>
        <v>0.20781834938147348</v>
      </c>
      <c r="S113" s="810">
        <f t="shared" si="30"/>
        <v>-1</v>
      </c>
      <c r="T113" s="176">
        <f t="shared" si="31"/>
        <v>5</v>
      </c>
      <c r="U113" s="251">
        <f t="shared" si="32"/>
        <v>-0.79218165061852652</v>
      </c>
      <c r="V113" s="383">
        <f t="shared" si="33"/>
        <v>45.609964138204852</v>
      </c>
      <c r="W113" s="402">
        <f t="shared" si="34"/>
        <v>33.591106991362665</v>
      </c>
      <c r="X113" s="157">
        <f t="shared" si="35"/>
        <v>46486</v>
      </c>
      <c r="Y113" s="385">
        <f t="shared" si="36"/>
        <v>32.008860447647926</v>
      </c>
      <c r="Z113" s="385">
        <f t="shared" si="37"/>
        <v>34.461885944597817</v>
      </c>
      <c r="AA113" s="386">
        <f t="shared" si="38"/>
        <v>40.403725275932267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0.14706167044636084</v>
      </c>
      <c r="AD113" s="231">
        <f>(INDEX(Models!$BJ113:$BT113,,AH113)*(1-AF113)+INDEX(Models!$BJ113:$BT113,,AH113+1)*AF113-ERP_i)*AE113*Ramure*Pc/MaxiM</f>
        <v>1.948867225445965E-3</v>
      </c>
      <c r="AE113" s="305">
        <f t="shared" si="40"/>
        <v>0.7</v>
      </c>
      <c r="AF113" s="177">
        <f t="shared" si="41"/>
        <v>2.7808402480657524E-2</v>
      </c>
      <c r="AG113" s="810">
        <f t="shared" si="49"/>
        <v>2</v>
      </c>
      <c r="AH113" s="176">
        <f t="shared" si="42"/>
        <v>8</v>
      </c>
      <c r="AI113" s="225">
        <f t="shared" si="43"/>
        <v>2.0278084024806575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45.797360380436281</v>
      </c>
      <c r="C114" s="840"/>
      <c r="D114" s="393">
        <f t="shared" si="25"/>
        <v>49.308226449536264</v>
      </c>
      <c r="E114" s="385">
        <f t="shared" si="47"/>
        <v>55.153129395099548</v>
      </c>
      <c r="F114" s="385">
        <f t="shared" si="26"/>
        <v>55.164052748757406</v>
      </c>
      <c r="G114" s="110">
        <f t="shared" si="48"/>
        <v>0.99767313598451168</v>
      </c>
      <c r="H114" s="414" t="b">
        <f>Wh_hp&gt;='2026'!Maxi_hp</f>
        <v>0</v>
      </c>
      <c r="I114" s="390">
        <f>IF(H114,Wh_hp,'2026'!Maxi_hp)</f>
        <v>55.540517907478055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7.1202440685898982E-2</v>
      </c>
      <c r="M114" s="844"/>
      <c r="N114" s="844"/>
      <c r="O114" s="48">
        <f>IF(t&lt;Tnet,'2026'!Resal+('2026'!Salim-'2026'!Resal)*(1-EXP(('2026'!Tnet-t)/('2026'!Tau_j))),Resal+(Salim-Resal)*(1-EXP((Tnet-t)/(Tau_j))))*Salcycl</f>
        <v>0.1059759076169958</v>
      </c>
      <c r="P114" s="169">
        <f>(INDEX(Models!$BJ114:$BT114,,T114)*(1-R114)+INDEX(Models!$BJ114:$BT114,,T114+1)*R114-ERP_i)*Q114*Ramure*Pc/MaxiM</f>
        <v>1.9867602342122121E-4</v>
      </c>
      <c r="Q114" s="305">
        <f t="shared" si="28"/>
        <v>0.7</v>
      </c>
      <c r="R114" s="177">
        <f t="shared" si="29"/>
        <v>0.20894619426654748</v>
      </c>
      <c r="S114" s="810">
        <f t="shared" si="30"/>
        <v>-1</v>
      </c>
      <c r="T114" s="176">
        <f t="shared" si="31"/>
        <v>5</v>
      </c>
      <c r="U114" s="251">
        <f t="shared" si="32"/>
        <v>-0.79105380573345252</v>
      </c>
      <c r="V114" s="383">
        <f t="shared" si="33"/>
        <v>45.904142835769989</v>
      </c>
      <c r="W114" s="402">
        <f t="shared" si="34"/>
        <v>45.797360380436281</v>
      </c>
      <c r="X114" s="157">
        <f t="shared" si="35"/>
        <v>46487</v>
      </c>
      <c r="Y114" s="385">
        <f t="shared" si="36"/>
        <v>43.616686508474615</v>
      </c>
      <c r="Z114" s="385">
        <f t="shared" si="37"/>
        <v>46.960380193811766</v>
      </c>
      <c r="AA114" s="386">
        <f t="shared" si="38"/>
        <v>55.061753890691399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0.14713250349711862</v>
      </c>
      <c r="AD114" s="231">
        <f>(INDEX(Models!$BJ114:$BT114,,AH114)*(1-AF114)+INDEX(Models!$BJ114:$BT114,,AH114+1)*AF114-ERP_i)*AE114*Ramure*Pc/MaxiM</f>
        <v>1.8606309891347603E-3</v>
      </c>
      <c r="AE114" s="305">
        <f t="shared" si="40"/>
        <v>0.7</v>
      </c>
      <c r="AF114" s="177">
        <f t="shared" si="41"/>
        <v>2.8936247365731305E-2</v>
      </c>
      <c r="AG114" s="810">
        <f t="shared" si="49"/>
        <v>2</v>
      </c>
      <c r="AH114" s="176">
        <f t="shared" si="42"/>
        <v>8</v>
      </c>
      <c r="AI114" s="225">
        <f t="shared" si="43"/>
        <v>2.0289362473657313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38.056309475102346</v>
      </c>
      <c r="C115" s="840"/>
      <c r="D115" s="393">
        <f t="shared" si="25"/>
        <v>40.974693290252951</v>
      </c>
      <c r="E115" s="385">
        <f t="shared" si="47"/>
        <v>45.8372751052502</v>
      </c>
      <c r="F115" s="385">
        <f t="shared" si="26"/>
        <v>45.843675612946015</v>
      </c>
      <c r="G115" s="110">
        <f t="shared" si="48"/>
        <v>0.8238350895065345</v>
      </c>
      <c r="H115" s="414" t="b">
        <f>Wh_hp&gt;='2026'!Maxi_hp</f>
        <v>0</v>
      </c>
      <c r="I115" s="390">
        <f>IF(H115,Wh_hp,'2026'!Maxi_hp)</f>
        <v>56.677954021859833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7.1224055161990152E-2</v>
      </c>
      <c r="M115" s="844"/>
      <c r="N115" s="844"/>
      <c r="O115" s="48">
        <f>IF(t&lt;Tnet,'2026'!Resal+('2026'!Salim-'2026'!Resal)*(1-EXP(('2026'!Tnet-t)/('2026'!Tau_j))),Resal+(Salim-Resal)*(1-EXP((Tnet-t)/(Tau_j))))*Salcycl</f>
        <v>0.10608357071470609</v>
      </c>
      <c r="P115" s="169">
        <f>(INDEX(Models!$BJ115:$BT115,,T115)*(1-R115)+INDEX(Models!$BJ115:$BT115,,T115+1)*R115-ERP_i)*Q115*Ramure*Pc/MaxiM</f>
        <v>1.8655478030914628E-4</v>
      </c>
      <c r="Q115" s="305">
        <f t="shared" si="28"/>
        <v>0.7</v>
      </c>
      <c r="R115" s="177">
        <f t="shared" si="29"/>
        <v>0.21011409463926523</v>
      </c>
      <c r="S115" s="810">
        <f t="shared" si="30"/>
        <v>-1</v>
      </c>
      <c r="T115" s="176">
        <f t="shared" si="31"/>
        <v>5</v>
      </c>
      <c r="U115" s="251">
        <f t="shared" si="32"/>
        <v>-0.78988590536073477</v>
      </c>
      <c r="V115" s="383">
        <f t="shared" si="33"/>
        <v>46.191918007875095</v>
      </c>
      <c r="W115" s="402">
        <f t="shared" si="34"/>
        <v>38.056309475102346</v>
      </c>
      <c r="X115" s="157">
        <f t="shared" si="35"/>
        <v>46488</v>
      </c>
      <c r="Y115" s="385">
        <f t="shared" si="36"/>
        <v>36.262490675763885</v>
      </c>
      <c r="Z115" s="385">
        <f t="shared" si="37"/>
        <v>39.043313812448616</v>
      </c>
      <c r="AA115" s="386">
        <f t="shared" si="38"/>
        <v>45.78277221314643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0.14720511832096073</v>
      </c>
      <c r="AD115" s="231">
        <f>(INDEX(Models!$BJ115:$BT115,,AH115)*(1-AF115)+INDEX(Models!$BJ115:$BT115,,AH115+1)*AF115-ERP_i)*AE115*Ramure*Pc/MaxiM</f>
        <v>1.7751436151102118E-3</v>
      </c>
      <c r="AE115" s="305">
        <f t="shared" si="40"/>
        <v>0.7</v>
      </c>
      <c r="AF115" s="177">
        <f t="shared" si="41"/>
        <v>3.0104147738449161E-2</v>
      </c>
      <c r="AG115" s="810">
        <f t="shared" si="49"/>
        <v>2</v>
      </c>
      <c r="AH115" s="176">
        <f t="shared" si="42"/>
        <v>8</v>
      </c>
      <c r="AI115" s="225">
        <f t="shared" si="43"/>
        <v>2.0301041477384492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33.322674448256294</v>
      </c>
      <c r="C116" s="840"/>
      <c r="D116" s="393">
        <f t="shared" si="25"/>
        <v>35.878889972145764</v>
      </c>
      <c r="E116" s="385">
        <f t="shared" si="47"/>
        <v>40.14163055130841</v>
      </c>
      <c r="F116" s="385">
        <f t="shared" si="26"/>
        <v>40.145817447989998</v>
      </c>
      <c r="G116" s="110">
        <f t="shared" si="48"/>
        <v>0.71697918237618807</v>
      </c>
      <c r="H116" s="414" t="b">
        <f>Wh_hp&gt;='2026'!Maxi_hp</f>
        <v>0</v>
      </c>
      <c r="I116" s="390">
        <f>IF(H116,Wh_hp,'2026'!Maxi_hp)</f>
        <v>57.166150894542305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7.1245669135080902E-2</v>
      </c>
      <c r="M116" s="844"/>
      <c r="N116" s="844"/>
      <c r="O116" s="48">
        <f>IF(t&lt;Tnet,'2026'!Resal+('2026'!Salim-'2026'!Resal)*(1-EXP(('2026'!Tnet-t)/('2026'!Tau_j))),Resal+(Salim-Resal)*(1-EXP((Tnet-t)/(Tau_j))))*Salcycl</f>
        <v>0.10619251187900995</v>
      </c>
      <c r="P116" s="169">
        <f>(INDEX(Models!$BJ116:$BT116,,T116)*(1-R116)+INDEX(Models!$BJ116:$BT116,,T116+1)*R116-ERP_i)*Q116*Ramure*Pc/MaxiM</f>
        <v>1.7505831926627343E-4</v>
      </c>
      <c r="Q116" s="305">
        <f t="shared" si="28"/>
        <v>0.7</v>
      </c>
      <c r="R116" s="177">
        <f t="shared" si="29"/>
        <v>0.21132318333416789</v>
      </c>
      <c r="S116" s="810">
        <f t="shared" si="30"/>
        <v>-1</v>
      </c>
      <c r="T116" s="176">
        <f t="shared" si="31"/>
        <v>5</v>
      </c>
      <c r="U116" s="251">
        <f t="shared" si="32"/>
        <v>-0.78867681666583211</v>
      </c>
      <c r="V116" s="383">
        <f t="shared" si="33"/>
        <v>46.473198812263028</v>
      </c>
      <c r="W116" s="402">
        <f t="shared" si="34"/>
        <v>33.322674448256294</v>
      </c>
      <c r="X116" s="157">
        <f t="shared" si="35"/>
        <v>46489</v>
      </c>
      <c r="Y116" s="385">
        <f t="shared" si="36"/>
        <v>31.762140096647734</v>
      </c>
      <c r="Z116" s="385">
        <f t="shared" si="37"/>
        <v>34.198645477183049</v>
      </c>
      <c r="AA116" s="386">
        <f t="shared" si="38"/>
        <v>40.105342344407092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0.14727955234741344</v>
      </c>
      <c r="AD116" s="231">
        <f>(INDEX(Models!$BJ116:$BT116,,AH116)*(1-AF116)+INDEX(Models!$BJ116:$BT116,,AH116+1)*AF116-ERP_i)*AE116*Ramure*Pc/MaxiM</f>
        <v>1.6923043829830077E-3</v>
      </c>
      <c r="AE116" s="305">
        <f t="shared" si="40"/>
        <v>0.7</v>
      </c>
      <c r="AF116" s="177">
        <f t="shared" si="41"/>
        <v>3.1313236433351932E-2</v>
      </c>
      <c r="AG116" s="810">
        <f t="shared" si="49"/>
        <v>2</v>
      </c>
      <c r="AH116" s="176">
        <f t="shared" si="42"/>
        <v>8</v>
      </c>
      <c r="AI116" s="225">
        <f t="shared" si="43"/>
        <v>2.0313132364333519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7.3851959380670662</v>
      </c>
      <c r="C117" s="840"/>
      <c r="D117" s="393">
        <f t="shared" si="25"/>
        <v>7.9519067216488697</v>
      </c>
      <c r="E117" s="385">
        <f t="shared" si="47"/>
        <v>8.8977635313887742</v>
      </c>
      <c r="F117" s="385">
        <f t="shared" si="26"/>
        <v>8.8977635313887742</v>
      </c>
      <c r="G117" s="110">
        <f t="shared" si="48"/>
        <v>0.15795328469590875</v>
      </c>
      <c r="H117" s="414" t="b">
        <f>Wh_hp&gt;='2026'!Maxi_hp</f>
        <v>0</v>
      </c>
      <c r="I117" s="390">
        <f>IF(H117,Wh_hp,'2026'!Maxi_hp)</f>
        <v>56.753271585996224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7.1267282605182891E-2</v>
      </c>
      <c r="M117" s="844"/>
      <c r="N117" s="844"/>
      <c r="O117" s="48">
        <f>IF(t&lt;Tnet,'2026'!Resal+('2026'!Salim-'2026'!Resal)*(1-EXP(('2026'!Tnet-t)/('2026'!Tau_j))),Resal+(Salim-Resal)*(1-EXP((Tnet-t)/(Tau_j))))*Salcycl</f>
        <v>0.10630275871045479</v>
      </c>
      <c r="P117" s="169">
        <f>(INDEX(Models!$BJ117:$BT117,,T117)*(1-R117)+INDEX(Models!$BJ117:$BT117,,T117+1)*R117-ERP_i)*Q117*Ramure*Pc/MaxiM</f>
        <v>1.6417205361307142E-4</v>
      </c>
      <c r="Q117" s="305">
        <f t="shared" si="28"/>
        <v>0.7</v>
      </c>
      <c r="R117" s="177">
        <f t="shared" si="29"/>
        <v>0.21257460248050508</v>
      </c>
      <c r="S117" s="810">
        <f t="shared" si="30"/>
        <v>-1</v>
      </c>
      <c r="T117" s="176">
        <f t="shared" si="31"/>
        <v>5</v>
      </c>
      <c r="U117" s="251">
        <f t="shared" si="32"/>
        <v>-0.78742539751949492</v>
      </c>
      <c r="V117" s="383">
        <f t="shared" si="33"/>
        <v>46.747894540459889</v>
      </c>
      <c r="W117" s="402">
        <f t="shared" si="34"/>
        <v>7.3851959380670662</v>
      </c>
      <c r="X117" s="157">
        <f t="shared" si="35"/>
        <v>46490</v>
      </c>
      <c r="Y117" s="385">
        <f t="shared" si="36"/>
        <v>7.0459478772251609</v>
      </c>
      <c r="Z117" s="385">
        <f t="shared" si="37"/>
        <v>7.5866261037833462</v>
      </c>
      <c r="AA117" s="386">
        <f t="shared" si="38"/>
        <v>8.8977635313887742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0.14735584093464701</v>
      </c>
      <c r="AD117" s="231">
        <f>(INDEX(Models!$BJ117:$BT117,,AH117)*(1-AF117)+INDEX(Models!$BJ117:$BT117,,AH117+1)*AF117-ERP_i)*AE117*Ramure*Pc/MaxiM</f>
        <v>1.6120162196248547E-3</v>
      </c>
      <c r="AE117" s="305">
        <f t="shared" si="40"/>
        <v>0.7</v>
      </c>
      <c r="AF117" s="177">
        <f t="shared" si="41"/>
        <v>3.2564655579689017E-2</v>
      </c>
      <c r="AG117" s="810">
        <f t="shared" si="49"/>
        <v>2</v>
      </c>
      <c r="AH117" s="176">
        <f t="shared" si="42"/>
        <v>8</v>
      </c>
      <c r="AI117" s="225">
        <f t="shared" si="43"/>
        <v>2.032564655579689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36.204513918318661</v>
      </c>
      <c r="C118" s="840"/>
      <c r="D118" s="393">
        <f t="shared" si="25"/>
        <v>38.983612606451267</v>
      </c>
      <c r="E118" s="385">
        <f t="shared" si="47"/>
        <v>43.626049782743912</v>
      </c>
      <c r="F118" s="385">
        <f t="shared" si="26"/>
        <v>43.630558201717342</v>
      </c>
      <c r="G118" s="110">
        <f t="shared" si="48"/>
        <v>0.77000913105633972</v>
      </c>
      <c r="H118" s="414" t="b">
        <f>Wh_hp&gt;='2026'!Maxi_hp</f>
        <v>0</v>
      </c>
      <c r="I118" s="390">
        <f>IF(H118,Wh_hp,'2026'!Maxi_hp)</f>
        <v>57.09243105824325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7.1288895572307776E-2</v>
      </c>
      <c r="M118" s="844"/>
      <c r="N118" s="844"/>
      <c r="O118" s="48">
        <f>IF(t&lt;Tnet,'2026'!Resal+('2026'!Salim-'2026'!Resal)*(1-EXP(('2026'!Tnet-t)/('2026'!Tau_j))),Resal+(Salim-Resal)*(1-EXP((Tnet-t)/(Tau_j))))*Salcycl</f>
        <v>0.10641433729186586</v>
      </c>
      <c r="P118" s="169">
        <f>(INDEX(Models!$BJ118:$BT118,,T118)*(1-R118)+INDEX(Models!$BJ118:$BT118,,T118+1)*R118-ERP_i)*Q118*Ramure*Pc/MaxiM</f>
        <v>1.5388251420934133E-4</v>
      </c>
      <c r="Q118" s="305">
        <f t="shared" si="28"/>
        <v>0.7</v>
      </c>
      <c r="R118" s="177">
        <f t="shared" si="29"/>
        <v>0.21386950158415596</v>
      </c>
      <c r="S118" s="810">
        <f t="shared" si="30"/>
        <v>-1</v>
      </c>
      <c r="T118" s="176">
        <f t="shared" si="31"/>
        <v>5</v>
      </c>
      <c r="U118" s="251">
        <f t="shared" si="32"/>
        <v>-0.78613049841584404</v>
      </c>
      <c r="V118" s="383">
        <f t="shared" si="33"/>
        <v>47.015914618074952</v>
      </c>
      <c r="W118" s="402">
        <f t="shared" si="34"/>
        <v>36.204513918318661</v>
      </c>
      <c r="X118" s="157">
        <f t="shared" si="35"/>
        <v>46491</v>
      </c>
      <c r="Y118" s="385">
        <f t="shared" si="36"/>
        <v>34.510540932254834</v>
      </c>
      <c r="Z118" s="385">
        <f t="shared" si="37"/>
        <v>37.159608373070512</v>
      </c>
      <c r="AA118" s="386">
        <f t="shared" si="38"/>
        <v>43.585609942179588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0.1474340172739069</v>
      </c>
      <c r="AD118" s="231">
        <f>(INDEX(Models!$BJ118:$BT118,,AH118)*(1-AF118)+INDEX(Models!$BJ118:$BT118,,AH118+1)*AF118-ERP_i)*AE118*Ramure*Pc/MaxiM</f>
        <v>1.5341855377184346E-3</v>
      </c>
      <c r="AE118" s="305">
        <f t="shared" si="40"/>
        <v>0.7</v>
      </c>
      <c r="AF118" s="177">
        <f t="shared" si="41"/>
        <v>3.3859554683339788E-2</v>
      </c>
      <c r="AG118" s="810">
        <f t="shared" si="49"/>
        <v>2</v>
      </c>
      <c r="AH118" s="176">
        <f t="shared" si="42"/>
        <v>8</v>
      </c>
      <c r="AI118" s="225">
        <f t="shared" si="43"/>
        <v>2.0338595546833398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40.028712143113012</v>
      </c>
      <c r="C119" s="840"/>
      <c r="D119" s="393">
        <f t="shared" si="25"/>
        <v>43.102363588157026</v>
      </c>
      <c r="E119" s="385">
        <f t="shared" si="47"/>
        <v>48.241386942057609</v>
      </c>
      <c r="F119" s="385">
        <f t="shared" si="26"/>
        <v>48.246819472301112</v>
      </c>
      <c r="G119" s="110">
        <f t="shared" si="48"/>
        <v>0.84665493129258984</v>
      </c>
      <c r="H119" s="414" t="b">
        <f>Wh_hp&gt;='2026'!Maxi_hp</f>
        <v>0</v>
      </c>
      <c r="I119" s="390">
        <f>IF(H119,Wh_hp,'2026'!Maxi_hp)</f>
        <v>57.996745654334866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7.1310508036467435E-2</v>
      </c>
      <c r="M119" s="844"/>
      <c r="N119" s="844"/>
      <c r="O119" s="48">
        <f>IF(t&lt;Tnet,'2026'!Resal+('2026'!Salim-'2026'!Resal)*(1-EXP(('2026'!Tnet-t)/('2026'!Tau_j))),Resal+(Salim-Resal)*(1-EXP((Tnet-t)/(Tau_j))))*Salcycl</f>
        <v>0.10652727211332107</v>
      </c>
      <c r="P119" s="169">
        <f>(INDEX(Models!$BJ119:$BT119,,T119)*(1-R119)+INDEX(Models!$BJ119:$BT119,,T119+1)*R119-ERP_i)*Q119*Ramure*Pc/MaxiM</f>
        <v>1.4417733385501519E-4</v>
      </c>
      <c r="Q119" s="305">
        <f t="shared" si="28"/>
        <v>0.7</v>
      </c>
      <c r="R119" s="177">
        <f t="shared" si="29"/>
        <v>0.21520903543178116</v>
      </c>
      <c r="S119" s="810">
        <f t="shared" si="30"/>
        <v>-1</v>
      </c>
      <c r="T119" s="176">
        <f t="shared" si="31"/>
        <v>5</v>
      </c>
      <c r="U119" s="251">
        <f t="shared" si="32"/>
        <v>-0.78479096456821884</v>
      </c>
      <c r="V119" s="383">
        <f t="shared" si="33"/>
        <v>47.277168619945108</v>
      </c>
      <c r="W119" s="402">
        <f t="shared" si="34"/>
        <v>40.028712143113012</v>
      </c>
      <c r="X119" s="157">
        <f t="shared" si="35"/>
        <v>46492</v>
      </c>
      <c r="Y119" s="385">
        <f t="shared" si="36"/>
        <v>38.153235945320468</v>
      </c>
      <c r="Z119" s="385">
        <f t="shared" si="37"/>
        <v>41.08287675857396</v>
      </c>
      <c r="AA119" s="386">
        <f t="shared" si="38"/>
        <v>48.191855549662051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0.1475141122914895</v>
      </c>
      <c r="AD119" s="231">
        <f>(INDEX(Models!$BJ119:$BT119,,AH119)*(1-AF119)+INDEX(Models!$BJ119:$BT119,,AH119+1)*AF119-ERP_i)*AE119*Ramure*Pc/MaxiM</f>
        <v>1.4587220814443627E-3</v>
      </c>
      <c r="AE119" s="305">
        <f t="shared" si="40"/>
        <v>0.7</v>
      </c>
      <c r="AF119" s="177">
        <f t="shared" si="41"/>
        <v>3.5199088530965206E-2</v>
      </c>
      <c r="AG119" s="810">
        <f t="shared" si="49"/>
        <v>2</v>
      </c>
      <c r="AH119" s="176">
        <f t="shared" si="42"/>
        <v>8</v>
      </c>
      <c r="AI119" s="225">
        <f t="shared" si="43"/>
        <v>2.0351990885309652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43.408620507616178</v>
      </c>
      <c r="C120" s="840"/>
      <c r="D120" s="393">
        <f t="shared" si="25"/>
        <v>46.742889941996737</v>
      </c>
      <c r="E120" s="385">
        <f t="shared" si="47"/>
        <v>52.32266155353139</v>
      </c>
      <c r="F120" s="385">
        <f t="shared" si="26"/>
        <v>52.328852630641798</v>
      </c>
      <c r="G120" s="110">
        <f t="shared" si="48"/>
        <v>0.91324350145486</v>
      </c>
      <c r="H120" s="414" t="b">
        <f>Wh_hp&gt;='2026'!Maxi_hp</f>
        <v>0</v>
      </c>
      <c r="I120" s="390">
        <f>IF(H120,Wh_hp,'2026'!Maxi_hp)</f>
        <v>52.329713070140862</v>
      </c>
      <c r="J120" s="85">
        <f>IF(H120,An,'2026'!An_max)</f>
        <v>2025</v>
      </c>
      <c r="K120" s="197">
        <f t="shared" si="27"/>
        <v>46493</v>
      </c>
      <c r="L120" s="147">
        <f>IF(t&lt;Tvie,1-EXP((T0-t)*PertePVj)+'2026'!Pspv,1-EXP((T0-t)*PertePVj)+Pspv)</f>
        <v>7.1332119997673527E-2</v>
      </c>
      <c r="M120" s="844"/>
      <c r="N120" s="844"/>
      <c r="O120" s="48">
        <f>IF(t&lt;Tnet,'2026'!Resal+('2026'!Salim-'2026'!Resal)*(1-EXP(('2026'!Tnet-t)/('2026'!Tau_j))),Resal+(Salim-Resal)*(1-EXP((Tnet-t)/(Tau_j))))*Salcycl</f>
        <v>0.10664158599474119</v>
      </c>
      <c r="P120" s="169">
        <f>(INDEX(Models!$BJ120:$BT120,,T120)*(1-R120)+INDEX(Models!$BJ120:$BT120,,T120+1)*R120-ERP_i)*Q120*Ramure*Pc/MaxiM</f>
        <v>1.3504523404075269E-4</v>
      </c>
      <c r="Q120" s="305">
        <f t="shared" si="28"/>
        <v>0.7</v>
      </c>
      <c r="R120" s="177">
        <f t="shared" si="29"/>
        <v>0.21659436181069514</v>
      </c>
      <c r="S120" s="810">
        <f t="shared" si="30"/>
        <v>-1</v>
      </c>
      <c r="T120" s="176">
        <f t="shared" si="31"/>
        <v>5</v>
      </c>
      <c r="U120" s="251">
        <f t="shared" si="32"/>
        <v>-0.78340563818930486</v>
      </c>
      <c r="V120" s="383">
        <f t="shared" si="33"/>
        <v>47.531566270141447</v>
      </c>
      <c r="W120" s="402">
        <f t="shared" si="34"/>
        <v>43.408620507616178</v>
      </c>
      <c r="X120" s="157">
        <f t="shared" si="35"/>
        <v>46493</v>
      </c>
      <c r="Y120" s="385">
        <f t="shared" si="36"/>
        <v>41.373241638561417</v>
      </c>
      <c r="Z120" s="385">
        <f t="shared" si="37"/>
        <v>44.551171123155214</v>
      </c>
      <c r="AA120" s="386">
        <f t="shared" si="38"/>
        <v>52.265333340343268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0.14759615454769412</v>
      </c>
      <c r="AD120" s="231">
        <f>(INDEX(Models!$BJ120:$BT120,,AH120)*(1-AF120)+INDEX(Models!$BJ120:$BT120,,AH120+1)*AF120-ERP_i)*AE120*Ramure*Pc/MaxiM</f>
        <v>1.3855387796822499E-3</v>
      </c>
      <c r="AE120" s="305">
        <f t="shared" si="40"/>
        <v>0.7</v>
      </c>
      <c r="AF120" s="177">
        <f t="shared" si="41"/>
        <v>3.6584414909878848E-2</v>
      </c>
      <c r="AG120" s="810">
        <f t="shared" si="49"/>
        <v>2</v>
      </c>
      <c r="AH120" s="176">
        <f t="shared" si="42"/>
        <v>8</v>
      </c>
      <c r="AI120" s="225">
        <f t="shared" si="43"/>
        <v>2.0365844149098788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47.512206512825927</v>
      </c>
      <c r="C121" s="840"/>
      <c r="D121" s="393">
        <f t="shared" si="25"/>
        <v>51.162868060963483</v>
      </c>
      <c r="E121" s="385">
        <f t="shared" si="47"/>
        <v>57.277678352470694</v>
      </c>
      <c r="F121" s="385">
        <f t="shared" si="26"/>
        <v>57.284865704392544</v>
      </c>
      <c r="G121" s="110">
        <f t="shared" si="48"/>
        <v>0.99441409691961724</v>
      </c>
      <c r="H121" s="414" t="b">
        <f>Wh_hp&gt;='2026'!Maxi_hp</f>
        <v>0</v>
      </c>
      <c r="I121" s="390">
        <f>IF(H121,Wh_hp,'2026'!Maxi_hp)</f>
        <v>57.284922424535502</v>
      </c>
      <c r="J121" s="85">
        <f>IF(H121,An,'2026'!An_max)</f>
        <v>2025</v>
      </c>
      <c r="K121" s="197">
        <f t="shared" si="27"/>
        <v>46494</v>
      </c>
      <c r="L121" s="147">
        <f>IF(t&lt;Tvie,1-EXP((T0-t)*PertePVj)+'2026'!Pspv,1-EXP((T0-t)*PertePVj)+Pspv)</f>
        <v>7.1353731455937597E-2</v>
      </c>
      <c r="M121" s="844"/>
      <c r="N121" s="844"/>
      <c r="O121" s="48">
        <f>IF(t&lt;Tnet,'2026'!Resal+('2026'!Salim-'2026'!Resal)*(1-EXP(('2026'!Tnet-t)/('2026'!Tau_j))),Resal+(Salim-Resal)*(1-EXP((Tnet-t)/(Tau_j))))*Salcycl</f>
        <v>0.10675730000574378</v>
      </c>
      <c r="P121" s="169">
        <f>(INDEX(Models!$BJ121:$BT121,,T121)*(1-R121)+INDEX(Models!$BJ121:$BT121,,T121+1)*R121-ERP_i)*Q121*Ramure*Pc/MaxiM</f>
        <v>1.2647593381575489E-4</v>
      </c>
      <c r="Q121" s="305">
        <f t="shared" si="28"/>
        <v>0.7</v>
      </c>
      <c r="R121" s="177">
        <f t="shared" si="29"/>
        <v>0.21802663903843655</v>
      </c>
      <c r="S121" s="810">
        <f t="shared" si="30"/>
        <v>-1</v>
      </c>
      <c r="T121" s="176">
        <f t="shared" si="31"/>
        <v>5</v>
      </c>
      <c r="U121" s="251">
        <f t="shared" si="32"/>
        <v>-0.78197336096156345</v>
      </c>
      <c r="V121" s="383">
        <f t="shared" si="33"/>
        <v>47.779047692920152</v>
      </c>
      <c r="W121" s="402">
        <f t="shared" si="34"/>
        <v>47.512206512825927</v>
      </c>
      <c r="X121" s="157">
        <f t="shared" si="35"/>
        <v>46494</v>
      </c>
      <c r="Y121" s="385">
        <f t="shared" si="36"/>
        <v>45.282051385303852</v>
      </c>
      <c r="Z121" s="385">
        <f t="shared" si="37"/>
        <v>48.76135609342117</v>
      </c>
      <c r="AA121" s="386">
        <f t="shared" si="38"/>
        <v>57.210162646325486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0.14768017013227228</v>
      </c>
      <c r="AD121" s="231">
        <f>(INDEX(Models!$BJ121:$BT121,,AH121)*(1-AF121)+INDEX(Models!$BJ121:$BT121,,AH121+1)*AF121-ERP_i)*AE121*Ramure*Pc/MaxiM</f>
        <v>1.3145507734495447E-3</v>
      </c>
      <c r="AE121" s="305">
        <f t="shared" si="40"/>
        <v>0.7</v>
      </c>
      <c r="AF121" s="177">
        <f t="shared" si="41"/>
        <v>3.8016692137620378E-2</v>
      </c>
      <c r="AG121" s="810">
        <f t="shared" si="49"/>
        <v>2</v>
      </c>
      <c r="AH121" s="176">
        <f t="shared" si="42"/>
        <v>8</v>
      </c>
      <c r="AI121" s="225">
        <f t="shared" si="43"/>
        <v>2.0380166921376204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37.466468017422358</v>
      </c>
      <c r="C122" s="840"/>
      <c r="D122" s="393">
        <f t="shared" si="25"/>
        <v>40.346191231566024</v>
      </c>
      <c r="E122" s="385">
        <f t="shared" si="47"/>
        <v>45.174153265331789</v>
      </c>
      <c r="F122" s="385">
        <f t="shared" si="26"/>
        <v>45.177830352034327</v>
      </c>
      <c r="G122" s="110">
        <f t="shared" si="48"/>
        <v>0.78020269422983712</v>
      </c>
      <c r="H122" s="414" t="b">
        <f>Wh_hp&gt;='2026'!Maxi_hp</f>
        <v>0</v>
      </c>
      <c r="I122" s="390">
        <f>IF(H122,Wh_hp,'2026'!Maxi_hp)</f>
        <v>45.179479187545411</v>
      </c>
      <c r="J122" s="85">
        <f>IF(H122,An,'2026'!An_max)</f>
        <v>2025</v>
      </c>
      <c r="K122" s="197">
        <f t="shared" si="27"/>
        <v>46495</v>
      </c>
      <c r="L122" s="147">
        <f>IF(t&lt;Tvie,1-EXP((T0-t)*PertePVj)+'2026'!Pspv,1-EXP((T0-t)*PertePVj)+Pspv)</f>
        <v>7.1375342411271525E-2</v>
      </c>
      <c r="M122" s="844"/>
      <c r="N122" s="844"/>
      <c r="O122" s="48">
        <f>IF(t&lt;Tnet,'2026'!Resal+('2026'!Salim-'2026'!Resal)*(1-EXP(('2026'!Tnet-t)/('2026'!Tau_j))),Resal+(Salim-Resal)*(1-EXP((Tnet-t)/(Tau_j))))*Salcycl</f>
        <v>0.10687443338248276</v>
      </c>
      <c r="P122" s="169">
        <f>(INDEX(Models!$BJ122:$BT122,,T122)*(1-R122)+INDEX(Models!$BJ122:$BT122,,T122+1)*R122-ERP_i)*Q122*Ramure*Pc/MaxiM</f>
        <v>1.186385044181345E-4</v>
      </c>
      <c r="Q122" s="305">
        <f t="shared" si="28"/>
        <v>0.7</v>
      </c>
      <c r="R122" s="177">
        <f t="shared" si="29"/>
        <v>0.21950702329661487</v>
      </c>
      <c r="S122" s="810">
        <f t="shared" si="30"/>
        <v>-1</v>
      </c>
      <c r="T122" s="176">
        <f t="shared" si="31"/>
        <v>5</v>
      </c>
      <c r="U122" s="251">
        <f t="shared" si="32"/>
        <v>-0.78049297670338513</v>
      </c>
      <c r="V122" s="383">
        <f t="shared" si="33"/>
        <v>48.019665483512398</v>
      </c>
      <c r="W122" s="402">
        <f t="shared" si="34"/>
        <v>37.466468017422358</v>
      </c>
      <c r="X122" s="157">
        <f t="shared" si="35"/>
        <v>46495</v>
      </c>
      <c r="Y122" s="385">
        <f t="shared" si="36"/>
        <v>35.723391273101591</v>
      </c>
      <c r="Z122" s="385">
        <f t="shared" si="37"/>
        <v>38.469139260054895</v>
      </c>
      <c r="AA122" s="386">
        <f t="shared" si="38"/>
        <v>45.139184191764166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0.14776618255600302</v>
      </c>
      <c r="AD122" s="231">
        <f>(INDEX(Models!$BJ122:$BT122,,AH122)*(1-AF122)+INDEX(Models!$BJ122:$BT122,,AH122+1)*AF122-ERP_i)*AE122*Ramure*Pc/MaxiM</f>
        <v>1.2468900047393802E-3</v>
      </c>
      <c r="AE122" s="305">
        <f t="shared" si="40"/>
        <v>0.7</v>
      </c>
      <c r="AF122" s="177">
        <f t="shared" si="41"/>
        <v>3.9497076395798913E-2</v>
      </c>
      <c r="AG122" s="810">
        <f t="shared" si="49"/>
        <v>2</v>
      </c>
      <c r="AH122" s="176">
        <f t="shared" si="42"/>
        <v>8</v>
      </c>
      <c r="AI122" s="225">
        <f t="shared" si="43"/>
        <v>2.0394970763957989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8.7539456442088301</v>
      </c>
      <c r="C123" s="840"/>
      <c r="D123" s="393">
        <f t="shared" si="25"/>
        <v>9.4270050816706021</v>
      </c>
      <c r="E123" s="385">
        <f t="shared" si="47"/>
        <v>10.556473933573175</v>
      </c>
      <c r="F123" s="385">
        <f t="shared" si="26"/>
        <v>10.556473933573175</v>
      </c>
      <c r="G123" s="110">
        <f t="shared" si="48"/>
        <v>0.1813954919094975</v>
      </c>
      <c r="H123" s="414" t="b">
        <f>Wh_hp&gt;='2026'!Maxi_hp</f>
        <v>0</v>
      </c>
      <c r="I123" s="390">
        <f>IF(H123,Wh_hp,'2026'!Maxi_hp)</f>
        <v>58.078197981437626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7.1396952863686858E-2</v>
      </c>
      <c r="M123" s="844"/>
      <c r="N123" s="844"/>
      <c r="O123" s="48">
        <f>IF(t&lt;Tnet,'2026'!Resal+('2026'!Salim-'2026'!Resal)*(1-EXP(('2026'!Tnet-t)/('2026'!Tau_j))),Resal+(Salim-Resal)*(1-EXP((Tnet-t)/(Tau_j))))*Salcycl</f>
        <v>0.10699300344127964</v>
      </c>
      <c r="P123" s="169">
        <f>(INDEX(Models!$BJ123:$BT123,,T123)*(1-R123)+INDEX(Models!$BJ123:$BT123,,T123+1)*R123-ERP_i)*Q123*Ramure*Pc/MaxiM</f>
        <v>1.1132424042121827E-4</v>
      </c>
      <c r="Q123" s="305">
        <f t="shared" si="28"/>
        <v>0.7</v>
      </c>
      <c r="R123" s="177">
        <f t="shared" si="29"/>
        <v>0.22103666576432435</v>
      </c>
      <c r="S123" s="810">
        <f t="shared" si="30"/>
        <v>-1</v>
      </c>
      <c r="T123" s="176">
        <f t="shared" si="31"/>
        <v>5</v>
      </c>
      <c r="U123" s="251">
        <f t="shared" si="32"/>
        <v>-0.77896333423567565</v>
      </c>
      <c r="V123" s="383">
        <f t="shared" si="33"/>
        <v>48.253520667571841</v>
      </c>
      <c r="W123" s="402">
        <f t="shared" si="34"/>
        <v>8.7539456442088301</v>
      </c>
      <c r="X123" s="157">
        <f t="shared" si="35"/>
        <v>46496</v>
      </c>
      <c r="Y123" s="385">
        <f t="shared" si="36"/>
        <v>8.3533924507351536</v>
      </c>
      <c r="Z123" s="385">
        <f t="shared" si="37"/>
        <v>8.9956547918897005</v>
      </c>
      <c r="AA123" s="386">
        <f t="shared" si="38"/>
        <v>10.556473933573175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0.14785421263813661</v>
      </c>
      <c r="AD123" s="231">
        <f>(INDEX(Models!$BJ123:$BT123,,AH123)*(1-AF123)+INDEX(Models!$BJ123:$BT123,,AH123+1)*AF123-ERP_i)*AE123*Ramure*Pc/MaxiM</f>
        <v>1.1825396634789786E-3</v>
      </c>
      <c r="AE123" s="305">
        <f t="shared" si="40"/>
        <v>0.7</v>
      </c>
      <c r="AF123" s="177">
        <f t="shared" si="41"/>
        <v>4.1026718863508282E-2</v>
      </c>
      <c r="AG123" s="810">
        <f t="shared" si="49"/>
        <v>2</v>
      </c>
      <c r="AH123" s="176">
        <f t="shared" si="42"/>
        <v>8</v>
      </c>
      <c r="AI123" s="225">
        <f t="shared" si="43"/>
        <v>2.0410267188635083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9.1826380572085728</v>
      </c>
      <c r="C124" s="840"/>
      <c r="D124" s="393">
        <f t="shared" si="25"/>
        <v>9.888888243370392</v>
      </c>
      <c r="E124" s="385">
        <f t="shared" si="47"/>
        <v>11.075184794565443</v>
      </c>
      <c r="F124" s="385">
        <f t="shared" si="26"/>
        <v>11.075184794565443</v>
      </c>
      <c r="G124" s="110">
        <f t="shared" si="48"/>
        <v>0.18938829928302367</v>
      </c>
      <c r="H124" s="414" t="b">
        <f>Wh_hp&gt;='2026'!Maxi_hp</f>
        <v>0</v>
      </c>
      <c r="I124" s="390">
        <f>IF(H124,Wh_hp,'2026'!Maxi_hp)</f>
        <v>49.816269691728465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7.1418562813195474E-2</v>
      </c>
      <c r="M124" s="844"/>
      <c r="N124" s="844"/>
      <c r="O124" s="48">
        <f>IF(t&lt;Tnet,'2026'!Resal+('2026'!Salim-'2026'!Resal)*(1-EXP(('2026'!Tnet-t)/('2026'!Tau_j))),Resal+(Salim-Resal)*(1-EXP((Tnet-t)/(Tau_j))))*Salcycl</f>
        <v>0.1071130254889438</v>
      </c>
      <c r="P124" s="169">
        <f>(INDEX(Models!$BJ124:$BT124,,T124)*(1-R124)+INDEX(Models!$BJ124:$BT124,,T124+1)*R124-ERP_i)*Q124*Ramure*Pc/MaxiM</f>
        <v>1.0452580232673694E-4</v>
      </c>
      <c r="Q124" s="305">
        <f t="shared" si="28"/>
        <v>0.7</v>
      </c>
      <c r="R124" s="177">
        <f t="shared" si="29"/>
        <v>0.22261670954725976</v>
      </c>
      <c r="S124" s="810">
        <f t="shared" si="30"/>
        <v>-1</v>
      </c>
      <c r="T124" s="176">
        <f t="shared" si="31"/>
        <v>5</v>
      </c>
      <c r="U124" s="251">
        <f t="shared" si="32"/>
        <v>-0.77738329045274024</v>
      </c>
      <c r="V124" s="383">
        <f t="shared" si="33"/>
        <v>48.480704823675403</v>
      </c>
      <c r="W124" s="402">
        <f t="shared" si="34"/>
        <v>9.1826380572085728</v>
      </c>
      <c r="X124" s="157">
        <f t="shared" si="35"/>
        <v>46497</v>
      </c>
      <c r="Y124" s="385">
        <f t="shared" si="36"/>
        <v>8.762720836426853</v>
      </c>
      <c r="Z124" s="385">
        <f t="shared" si="37"/>
        <v>9.4366745721022198</v>
      </c>
      <c r="AA124" s="386">
        <f t="shared" si="38"/>
        <v>11.075184794565443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0.14794427838957902</v>
      </c>
      <c r="AD124" s="231">
        <f>(INDEX(Models!$BJ124:$BT124,,AH124)*(1-AF124)+INDEX(Models!$BJ124:$BT124,,AH124+1)*AF124-ERP_i)*AE124*Ramure*Pc/MaxiM</f>
        <v>1.1214240415212313E-3</v>
      </c>
      <c r="AE124" s="305">
        <f t="shared" si="40"/>
        <v>0.7</v>
      </c>
      <c r="AF124" s="177">
        <f t="shared" si="41"/>
        <v>4.2606762646443475E-2</v>
      </c>
      <c r="AG124" s="810">
        <f t="shared" si="49"/>
        <v>2</v>
      </c>
      <c r="AH124" s="176">
        <f t="shared" si="42"/>
        <v>8</v>
      </c>
      <c r="AI124" s="225">
        <f t="shared" si="43"/>
        <v>2.0426067626464435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8.8867792191383455</v>
      </c>
      <c r="C125" s="840"/>
      <c r="D125" s="393">
        <f t="shared" si="25"/>
        <v>9.5704971867734585</v>
      </c>
      <c r="E125" s="385">
        <f t="shared" si="47"/>
        <v>10.720057308708041</v>
      </c>
      <c r="F125" s="385">
        <f t="shared" si="26"/>
        <v>10.720057308708041</v>
      </c>
      <c r="G125" s="110">
        <f t="shared" si="48"/>
        <v>0.18245723327715849</v>
      </c>
      <c r="H125" s="414" t="b">
        <f>Wh_hp&gt;='2026'!Maxi_hp</f>
        <v>0</v>
      </c>
      <c r="I125" s="390">
        <f>IF(H125,Wh_hp,'2026'!Maxi_hp)</f>
        <v>54.888327904191918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7.1440172259809032E-2</v>
      </c>
      <c r="M125" s="844"/>
      <c r="N125" s="844"/>
      <c r="O125" s="48">
        <f>IF(t&lt;Tnet,'2026'!Resal+('2026'!Salim-'2026'!Resal)*(1-EXP(('2026'!Tnet-t)/('2026'!Tau_j))),Resal+(Salim-Resal)*(1-EXP((Tnet-t)/(Tau_j))))*Salcycl</f>
        <v>0.10723451272977612</v>
      </c>
      <c r="P125" s="169">
        <f>(INDEX(Models!$BJ125:$BT125,,T125)*(1-R125)+INDEX(Models!$BJ125:$BT125,,T125+1)*R125-ERP_i)*Q125*Ramure*Pc/MaxiM</f>
        <v>9.8237200221141697E-5</v>
      </c>
      <c r="Q125" s="305">
        <f t="shared" si="28"/>
        <v>0.7</v>
      </c>
      <c r="R125" s="177">
        <f t="shared" si="29"/>
        <v>0.22424828639963812</v>
      </c>
      <c r="S125" s="810">
        <f t="shared" si="30"/>
        <v>-1</v>
      </c>
      <c r="T125" s="176">
        <f t="shared" si="31"/>
        <v>5</v>
      </c>
      <c r="U125" s="251">
        <f t="shared" si="32"/>
        <v>-0.77575171360036188</v>
      </c>
      <c r="V125" s="383">
        <f t="shared" si="33"/>
        <v>48.701309601307457</v>
      </c>
      <c r="W125" s="402">
        <f t="shared" si="34"/>
        <v>8.8867792191383455</v>
      </c>
      <c r="X125" s="157">
        <f t="shared" si="35"/>
        <v>46498</v>
      </c>
      <c r="Y125" s="385">
        <f t="shared" si="36"/>
        <v>8.4806285293215762</v>
      </c>
      <c r="Z125" s="385">
        <f t="shared" si="37"/>
        <v>9.133098671693169</v>
      </c>
      <c r="AA125" s="386">
        <f t="shared" si="38"/>
        <v>10.720057308708041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0.14803639489182249</v>
      </c>
      <c r="AD125" s="231">
        <f>(INDEX(Models!$BJ125:$BT125,,AH125)*(1-AF125)+INDEX(Models!$BJ125:$BT125,,AH125+1)*AF125-ERP_i)*AE125*Ramure*Pc/MaxiM</f>
        <v>1.0634763762709153E-3</v>
      </c>
      <c r="AE125" s="305">
        <f t="shared" si="40"/>
        <v>0.7</v>
      </c>
      <c r="AF125" s="177">
        <f t="shared" si="41"/>
        <v>4.4238339498821944E-2</v>
      </c>
      <c r="AG125" s="810">
        <f t="shared" si="49"/>
        <v>2</v>
      </c>
      <c r="AH125" s="176">
        <f t="shared" si="42"/>
        <v>8</v>
      </c>
      <c r="AI125" s="225">
        <f t="shared" si="43"/>
        <v>2.0442383394988219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25.666986497608402</v>
      </c>
      <c r="C126" s="840"/>
      <c r="D126" s="393">
        <f t="shared" si="25"/>
        <v>27.642358685975317</v>
      </c>
      <c r="E126" s="385">
        <f t="shared" si="47"/>
        <v>30.966885341012226</v>
      </c>
      <c r="F126" s="385">
        <f t="shared" si="26"/>
        <v>30.96780447843371</v>
      </c>
      <c r="G126" s="110">
        <f t="shared" si="48"/>
        <v>0.52468877343130271</v>
      </c>
      <c r="H126" s="414" t="b">
        <f>Wh_hp&gt;='2026'!Maxi_hp</f>
        <v>0</v>
      </c>
      <c r="I126" s="390">
        <f>IF(H126,Wh_hp,'2026'!Maxi_hp)</f>
        <v>59.567608044722562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7.1461781203539076E-2</v>
      </c>
      <c r="M126" s="844"/>
      <c r="N126" s="844"/>
      <c r="O126" s="48">
        <f>IF(t&lt;Tnet,'2026'!Resal+('2026'!Salim-'2026'!Resal)*(1-EXP(('2026'!Tnet-t)/('2026'!Tau_j))),Resal+(Salim-Resal)*(1-EXP((Tnet-t)/(Tau_j))))*Salcycl</f>
        <v>0.10735747616935629</v>
      </c>
      <c r="P126" s="169">
        <f>(INDEX(Models!$BJ126:$BT126,,T126)*(1-R126)+INDEX(Models!$BJ126:$BT126,,T126+1)*R126-ERP_i)*Q126*Ramure*Pc/MaxiM</f>
        <v>9.2453431617380404E-5</v>
      </c>
      <c r="Q126" s="305">
        <f t="shared" si="28"/>
        <v>0.7</v>
      </c>
      <c r="R126" s="177">
        <f t="shared" si="29"/>
        <v>0.22593251323714414</v>
      </c>
      <c r="S126" s="810">
        <f t="shared" si="30"/>
        <v>-1</v>
      </c>
      <c r="T126" s="176">
        <f t="shared" si="31"/>
        <v>5</v>
      </c>
      <c r="U126" s="251">
        <f t="shared" si="32"/>
        <v>-0.77406748676285586</v>
      </c>
      <c r="V126" s="383">
        <f t="shared" si="33"/>
        <v>48.915426735515361</v>
      </c>
      <c r="W126" s="402">
        <f t="shared" si="34"/>
        <v>25.666986497608402</v>
      </c>
      <c r="X126" s="157">
        <f t="shared" si="35"/>
        <v>46499</v>
      </c>
      <c r="Y126" s="385">
        <f t="shared" si="36"/>
        <v>24.487394792580297</v>
      </c>
      <c r="Z126" s="385">
        <f t="shared" si="37"/>
        <v>26.371983723319445</v>
      </c>
      <c r="AA126" s="386">
        <f t="shared" si="38"/>
        <v>30.957777006352117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0.14813057417177367</v>
      </c>
      <c r="AD126" s="231">
        <f>(INDEX(Models!$BJ126:$BT126,,AH126)*(1-AF126)+INDEX(Models!$BJ126:$BT126,,AH126+1)*AF126-ERP_i)*AE126*Ramure*Pc/MaxiM</f>
        <v>1.0086350340234754E-3</v>
      </c>
      <c r="AE126" s="305">
        <f t="shared" si="40"/>
        <v>0.7</v>
      </c>
      <c r="AF126" s="177">
        <f t="shared" si="41"/>
        <v>4.5922566336328074E-2</v>
      </c>
      <c r="AG126" s="810">
        <f t="shared" si="49"/>
        <v>2</v>
      </c>
      <c r="AH126" s="176">
        <f t="shared" si="42"/>
        <v>8</v>
      </c>
      <c r="AI126" s="225">
        <f t="shared" si="43"/>
        <v>2.0459225663363281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8.6281132486466614</v>
      </c>
      <c r="C127" s="840"/>
      <c r="D127" s="393">
        <f t="shared" si="25"/>
        <v>9.2923628424291458</v>
      </c>
      <c r="E127" s="385">
        <f t="shared" si="47"/>
        <v>10.411400169551682</v>
      </c>
      <c r="F127" s="385">
        <f t="shared" si="26"/>
        <v>10.411400169551682</v>
      </c>
      <c r="G127" s="110">
        <f t="shared" si="48"/>
        <v>0.17562720370466392</v>
      </c>
      <c r="H127" s="414" t="b">
        <f>Wh_hp&gt;='2026'!Maxi_hp</f>
        <v>0</v>
      </c>
      <c r="I127" s="390">
        <f>IF(H127,Wh_hp,'2026'!Maxi_hp)</f>
        <v>59.226386677752629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7.1483389644397488E-2</v>
      </c>
      <c r="M127" s="844"/>
      <c r="N127" s="844"/>
      <c r="O127" s="48">
        <f>IF(t&lt;Tnet,'2026'!Resal+('2026'!Salim-'2026'!Resal)*(1-EXP(('2026'!Tnet-t)/('2026'!Tau_j))),Resal+(Salim-Resal)*(1-EXP((Tnet-t)/(Tau_j))))*Salcycl</f>
        <v>0.10748192451531927</v>
      </c>
      <c r="P127" s="169">
        <f>(INDEX(Models!$BJ127:$BT127,,T127)*(1-R127)+INDEX(Models!$BJ127:$BT127,,T127+1)*R127-ERP_i)*Q127*Ramure*Pc/MaxiM</f>
        <v>8.7170221843040961E-5</v>
      </c>
      <c r="Q127" s="305">
        <f t="shared" si="28"/>
        <v>0.7</v>
      </c>
      <c r="R127" s="177">
        <f t="shared" si="29"/>
        <v>0.22767048844037086</v>
      </c>
      <c r="S127" s="810">
        <f t="shared" si="30"/>
        <v>-1</v>
      </c>
      <c r="T127" s="176">
        <f t="shared" si="31"/>
        <v>5</v>
      </c>
      <c r="U127" s="251">
        <f t="shared" si="32"/>
        <v>-0.77232951155962914</v>
      </c>
      <c r="V127" s="383">
        <f t="shared" si="33"/>
        <v>49.123148077951122</v>
      </c>
      <c r="W127" s="402">
        <f t="shared" si="34"/>
        <v>8.6281132486466614</v>
      </c>
      <c r="X127" s="157">
        <f t="shared" si="35"/>
        <v>46500</v>
      </c>
      <c r="Y127" s="385">
        <f t="shared" si="36"/>
        <v>8.2342258574880276</v>
      </c>
      <c r="Z127" s="385">
        <f t="shared" si="37"/>
        <v>8.8681513778568704</v>
      </c>
      <c r="AA127" s="386">
        <f t="shared" si="38"/>
        <v>10.411400169551682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0.1482268250727764</v>
      </c>
      <c r="AD127" s="231">
        <f>(INDEX(Models!$BJ127:$BT127,,AH127)*(1-AF127)+INDEX(Models!$BJ127:$BT127,,AH127+1)*AF127-ERP_i)*AE127*Ramure*Pc/MaxiM</f>
        <v>9.5684060055263858E-4</v>
      </c>
      <c r="AE127" s="305">
        <f t="shared" si="40"/>
        <v>0.7</v>
      </c>
      <c r="AF127" s="177">
        <f t="shared" si="41"/>
        <v>4.7660541539554568E-2</v>
      </c>
      <c r="AG127" s="810">
        <f t="shared" si="49"/>
        <v>2</v>
      </c>
      <c r="AH127" s="176">
        <f t="shared" si="42"/>
        <v>8</v>
      </c>
      <c r="AI127" s="225">
        <f t="shared" si="43"/>
        <v>2.0476605415395546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29.68101964218673</v>
      </c>
      <c r="C128" s="840"/>
      <c r="D128" s="393">
        <f t="shared" si="25"/>
        <v>31.966806030084872</v>
      </c>
      <c r="E128" s="385">
        <f t="shared" si="47"/>
        <v>35.82147885801988</v>
      </c>
      <c r="F128" s="385">
        <f t="shared" si="26"/>
        <v>35.822753259800017</v>
      </c>
      <c r="G128" s="110">
        <f t="shared" si="48"/>
        <v>0.60172106738676989</v>
      </c>
      <c r="H128" s="414" t="b">
        <f>Wh_hp&gt;='2026'!Maxi_hp</f>
        <v>0</v>
      </c>
      <c r="I128" s="390">
        <f>IF(H128,Wh_hp,'2026'!Maxi_hp)</f>
        <v>54.494579426141378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7.1504997582396035E-2</v>
      </c>
      <c r="M128" s="844"/>
      <c r="N128" s="844"/>
      <c r="O128" s="48">
        <f>IF(t&lt;Tnet,'2026'!Resal+('2026'!Salim-'2026'!Resal)*(1-EXP(('2026'!Tnet-t)/('2026'!Tau_j))),Resal+(Salim-Resal)*(1-EXP((Tnet-t)/(Tau_j))))*Salcycl</f>
        <v>0.10760786407543887</v>
      </c>
      <c r="P128" s="169">
        <f>(INDEX(Models!$BJ128:$BT128,,T128)*(1-R128)+INDEX(Models!$BJ128:$BT128,,T128+1)*R128-ERP_i)*Q128*Ramure*Pc/MaxiM</f>
        <v>8.2527586569536545E-5</v>
      </c>
      <c r="Q128" s="305">
        <f t="shared" si="28"/>
        <v>0.7</v>
      </c>
      <c r="R128" s="177">
        <f t="shared" si="29"/>
        <v>0.229463287949636</v>
      </c>
      <c r="S128" s="810">
        <f t="shared" si="30"/>
        <v>-1</v>
      </c>
      <c r="T128" s="176">
        <f t="shared" si="31"/>
        <v>5</v>
      </c>
      <c r="U128" s="251">
        <f t="shared" si="32"/>
        <v>-0.770536712050364</v>
      </c>
      <c r="V128" s="383">
        <f t="shared" si="33"/>
        <v>49.324558515020016</v>
      </c>
      <c r="W128" s="402">
        <f t="shared" si="34"/>
        <v>29.68101964218673</v>
      </c>
      <c r="X128" s="157">
        <f t="shared" si="35"/>
        <v>46501</v>
      </c>
      <c r="Y128" s="385">
        <f t="shared" si="36"/>
        <v>28.316667307175695</v>
      </c>
      <c r="Z128" s="385">
        <f t="shared" si="37"/>
        <v>30.497382574429697</v>
      </c>
      <c r="AA128" s="386">
        <f t="shared" si="38"/>
        <v>35.80871583355367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0.14832515312227762</v>
      </c>
      <c r="AD128" s="231">
        <f>(INDEX(Models!$BJ128:$BT128,,AH128)*(1-AF128)+INDEX(Models!$BJ128:$BT128,,AH128+1)*AF128-ERP_i)*AE128*Ramure*Pc/MaxiM</f>
        <v>9.0903428401977262E-4</v>
      </c>
      <c r="AE128" s="305">
        <f t="shared" si="40"/>
        <v>0.7</v>
      </c>
      <c r="AF128" s="177">
        <f t="shared" si="41"/>
        <v>4.9453341048820043E-2</v>
      </c>
      <c r="AG128" s="810">
        <f t="shared" si="49"/>
        <v>2</v>
      </c>
      <c r="AH128" s="176">
        <f t="shared" si="42"/>
        <v>8</v>
      </c>
      <c r="AI128" s="225">
        <f t="shared" si="43"/>
        <v>2.04945334104882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44.47838576430172</v>
      </c>
      <c r="C129" s="840"/>
      <c r="D129" s="393">
        <f t="shared" si="25"/>
        <v>47.904857591683893</v>
      </c>
      <c r="E129" s="385">
        <f t="shared" si="47"/>
        <v>53.689065049181842</v>
      </c>
      <c r="F129" s="385">
        <f t="shared" si="26"/>
        <v>53.692653902919616</v>
      </c>
      <c r="G129" s="110">
        <f t="shared" si="48"/>
        <v>0.89818438273785317</v>
      </c>
      <c r="H129" s="414" t="b">
        <f>Wh_hp&gt;='2026'!Maxi_hp</f>
        <v>0</v>
      </c>
      <c r="I129" s="390">
        <f>IF(H129,Wh_hp,'2026'!Maxi_hp)</f>
        <v>58.750852702335024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7.1526605017546152E-2</v>
      </c>
      <c r="M129" s="844"/>
      <c r="N129" s="844"/>
      <c r="O129" s="48">
        <f>IF(t&lt;Tnet,'2026'!Resal+('2026'!Salim-'2026'!Resal)*(1-EXP(('2026'!Tnet-t)/('2026'!Tau_j))),Resal+(Salim-Resal)*(1-EXP((Tnet-t)/(Tau_j))))*Salcycl</f>
        <v>0.10773529865344704</v>
      </c>
      <c r="P129" s="169">
        <f>(INDEX(Models!$BJ129:$BT129,,T129)*(1-R129)+INDEX(Models!$BJ129:$BT129,,T129+1)*R129-ERP_i)*Q129*Ramure*Pc/MaxiM</f>
        <v>7.8216150839083057E-5</v>
      </c>
      <c r="Q129" s="305">
        <f t="shared" si="28"/>
        <v>0.7</v>
      </c>
      <c r="R129" s="177">
        <f t="shared" si="29"/>
        <v>0.23131196115360875</v>
      </c>
      <c r="S129" s="810">
        <f t="shared" si="30"/>
        <v>-1</v>
      </c>
      <c r="T129" s="176">
        <f t="shared" si="31"/>
        <v>5</v>
      </c>
      <c r="U129" s="251">
        <f t="shared" si="32"/>
        <v>-0.76868803884639125</v>
      </c>
      <c r="V129" s="383">
        <f t="shared" si="33"/>
        <v>49.519765231857235</v>
      </c>
      <c r="W129" s="402">
        <f t="shared" si="34"/>
        <v>44.47838576430172</v>
      </c>
      <c r="X129" s="157">
        <f t="shared" si="35"/>
        <v>46502</v>
      </c>
      <c r="Y129" s="385">
        <f t="shared" si="36"/>
        <v>42.421527396655385</v>
      </c>
      <c r="Z129" s="385">
        <f t="shared" si="37"/>
        <v>45.689545468836037</v>
      </c>
      <c r="AA129" s="386">
        <f t="shared" si="38"/>
        <v>53.653025905899916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0.14842556039673768</v>
      </c>
      <c r="AD129" s="231">
        <f>(INDEX(Models!$BJ129:$BT129,,AH129)*(1-AF129)+INDEX(Models!$BJ129:$BT129,,AH129+1)*AF129-ERP_i)*AE129*Ramure*Pc/MaxiM</f>
        <v>8.6365999252682973E-4</v>
      </c>
      <c r="AE129" s="305">
        <f t="shared" si="40"/>
        <v>0.7</v>
      </c>
      <c r="AF129" s="177">
        <f t="shared" si="41"/>
        <v>5.1302014252792461E-2</v>
      </c>
      <c r="AG129" s="810">
        <f t="shared" si="49"/>
        <v>2</v>
      </c>
      <c r="AH129" s="176">
        <f t="shared" si="42"/>
        <v>8</v>
      </c>
      <c r="AI129" s="225">
        <f t="shared" si="43"/>
        <v>2.0513020142527925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48.389448559330859</v>
      </c>
      <c r="C130" s="840"/>
      <c r="D130" s="393">
        <f t="shared" si="25"/>
        <v>52.118428961135919</v>
      </c>
      <c r="E130" s="385">
        <f t="shared" si="47"/>
        <v>58.419839985346151</v>
      </c>
      <c r="F130" s="385">
        <f t="shared" si="26"/>
        <v>58.424012537905917</v>
      </c>
      <c r="G130" s="110">
        <f t="shared" si="48"/>
        <v>0.97345446643109623</v>
      </c>
      <c r="H130" s="414" t="b">
        <f>Wh_hp&gt;='2026'!Maxi_hp</f>
        <v>0</v>
      </c>
      <c r="I130" s="390">
        <f>IF(H130,Wh_hp,'2026'!Maxi_hp)</f>
        <v>58.424171715559702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7.1548211949859719E-2</v>
      </c>
      <c r="M130" s="844"/>
      <c r="N130" s="844"/>
      <c r="O130" s="48">
        <f>IF(t&lt;Tnet,'2026'!Resal+('2026'!Salim-'2026'!Resal)*(1-EXP(('2026'!Tnet-t)/('2026'!Tau_j))),Resal+(Salim-Resal)*(1-EXP((Tnet-t)/(Tau_j))))*Salcycl</f>
        <v>0.10786422944312861</v>
      </c>
      <c r="P130" s="169">
        <f>(INDEX(Models!$BJ130:$BT130,,T130)*(1-R130)+INDEX(Models!$BJ130:$BT130,,T130+1)*R130-ERP_i)*Q130*Ramure*Pc/MaxiM</f>
        <v>7.4233249265851333E-5</v>
      </c>
      <c r="Q130" s="305">
        <f t="shared" si="28"/>
        <v>0.7</v>
      </c>
      <c r="R130" s="177">
        <f t="shared" si="29"/>
        <v>0.23321752657589589</v>
      </c>
      <c r="S130" s="810">
        <f t="shared" si="30"/>
        <v>-1</v>
      </c>
      <c r="T130" s="176">
        <f t="shared" si="31"/>
        <v>5</v>
      </c>
      <c r="U130" s="251">
        <f t="shared" si="32"/>
        <v>-0.76678247342410411</v>
      </c>
      <c r="V130" s="383">
        <f t="shared" si="33"/>
        <v>49.708860570070208</v>
      </c>
      <c r="W130" s="402">
        <f t="shared" si="34"/>
        <v>48.389448559330859</v>
      </c>
      <c r="X130" s="157">
        <f t="shared" si="35"/>
        <v>46503</v>
      </c>
      <c r="Y130" s="385">
        <f t="shared" si="36"/>
        <v>46.150674160331668</v>
      </c>
      <c r="Z130" s="385">
        <f t="shared" si="37"/>
        <v>49.707130466357981</v>
      </c>
      <c r="AA130" s="386">
        <f t="shared" si="38"/>
        <v>58.377883378209887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0.14852804538453598</v>
      </c>
      <c r="AD130" s="231">
        <f>(INDEX(Models!$BJ130:$BT130,,AH130)*(1-AF130)+INDEX(Models!$BJ130:$BT130,,AH130+1)*AF130-ERP_i)*AE130*Ramure*Pc/MaxiM</f>
        <v>8.2067687850388986E-4</v>
      </c>
      <c r="AE130" s="305">
        <f t="shared" si="40"/>
        <v>0.7</v>
      </c>
      <c r="AF130" s="177">
        <f t="shared" si="41"/>
        <v>5.3207579675079941E-2</v>
      </c>
      <c r="AG130" s="810">
        <f t="shared" si="49"/>
        <v>2</v>
      </c>
      <c r="AH130" s="176">
        <f t="shared" si="42"/>
        <v>8</v>
      </c>
      <c r="AI130" s="225">
        <f t="shared" si="43"/>
        <v>2.0532075796750799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35.298791036438146</v>
      </c>
      <c r="C131" s="840"/>
      <c r="D131" s="393">
        <f t="shared" si="25"/>
        <v>38.0198659363068</v>
      </c>
      <c r="E131" s="385">
        <f t="shared" si="47"/>
        <v>42.622912683280092</v>
      </c>
      <c r="F131" s="385">
        <f t="shared" si="26"/>
        <v>42.624663973502862</v>
      </c>
      <c r="G131" s="110">
        <f t="shared" si="48"/>
        <v>0.70748405720205021</v>
      </c>
      <c r="H131" s="414" t="b">
        <f>Wh_hp&gt;='2026'!Maxi_hp</f>
        <v>0</v>
      </c>
      <c r="I131" s="390">
        <f>IF(H131,Wh_hp,'2026'!Maxi_hp)</f>
        <v>42.625878657103108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7.1569818379348393E-2</v>
      </c>
      <c r="M131" s="844"/>
      <c r="N131" s="844"/>
      <c r="O131" s="48">
        <f>IF(t&lt;Tnet,'2026'!Resal+('2026'!Salim-'2026'!Resal)*(1-EXP(('2026'!Tnet-t)/('2026'!Tau_j))),Resal+(Salim-Resal)*(1-EXP((Tnet-t)/(Tau_j))))*Salcycl</f>
        <v>0.10799465492134118</v>
      </c>
      <c r="P131" s="169">
        <f>(INDEX(Models!$BJ131:$BT131,,T131)*(1-R131)+INDEX(Models!$BJ131:$BT131,,T131+1)*R131-ERP_i)*Q131*Ramure*Pc/MaxiM</f>
        <v>7.0576860455906799E-5</v>
      </c>
      <c r="Q131" s="305">
        <f t="shared" si="28"/>
        <v>0.7</v>
      </c>
      <c r="R131" s="177">
        <f t="shared" si="29"/>
        <v>0.23518096736560379</v>
      </c>
      <c r="S131" s="810">
        <f t="shared" si="30"/>
        <v>-1</v>
      </c>
      <c r="T131" s="176">
        <f t="shared" si="31"/>
        <v>5</v>
      </c>
      <c r="U131" s="251">
        <f t="shared" si="32"/>
        <v>-0.76481903263439621</v>
      </c>
      <c r="V131" s="383">
        <f t="shared" si="33"/>
        <v>49.891937003552137</v>
      </c>
      <c r="W131" s="402">
        <f t="shared" si="34"/>
        <v>35.298791036438146</v>
      </c>
      <c r="X131" s="157">
        <f t="shared" si="35"/>
        <v>46504</v>
      </c>
      <c r="Y131" s="385">
        <f t="shared" si="36"/>
        <v>33.676734524167223</v>
      </c>
      <c r="Z131" s="385">
        <f t="shared" si="37"/>
        <v>36.272770091749599</v>
      </c>
      <c r="AA131" s="386">
        <f t="shared" si="38"/>
        <v>42.605307900067288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0.14863260284777063</v>
      </c>
      <c r="AD131" s="231">
        <f>(INDEX(Models!$BJ131:$BT131,,AH131)*(1-AF131)+INDEX(Models!$BJ131:$BT131,,AH131+1)*AF131-ERP_i)*AE131*Ramure*Pc/MaxiM</f>
        <v>7.8004826160365127E-4</v>
      </c>
      <c r="AE131" s="305">
        <f t="shared" si="40"/>
        <v>0.7</v>
      </c>
      <c r="AF131" s="177">
        <f t="shared" si="41"/>
        <v>5.5171020464787723E-2</v>
      </c>
      <c r="AG131" s="810">
        <f t="shared" si="49"/>
        <v>2</v>
      </c>
      <c r="AH131" s="176">
        <f t="shared" si="42"/>
        <v>8</v>
      </c>
      <c r="AI131" s="225">
        <f t="shared" si="43"/>
        <v>2.0551710204647877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21.834888147502916</v>
      </c>
      <c r="C132" s="840"/>
      <c r="D132" s="393">
        <f t="shared" si="25"/>
        <v>23.518619624104137</v>
      </c>
      <c r="E132" s="385">
        <f t="shared" si="47"/>
        <v>26.369907267712549</v>
      </c>
      <c r="F132" s="385">
        <f t="shared" si="26"/>
        <v>26.370252032476508</v>
      </c>
      <c r="G132" s="110">
        <f t="shared" si="48"/>
        <v>0.43607156721636403</v>
      </c>
      <c r="H132" s="414" t="b">
        <f>Wh_hp&gt;='2026'!Maxi_hp</f>
        <v>0</v>
      </c>
      <c r="I132" s="390">
        <f>IF(H132,Wh_hp,'2026'!Maxi_hp)</f>
        <v>46.447787354157064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7.1591424306023943E-2</v>
      </c>
      <c r="M132" s="844"/>
      <c r="N132" s="844"/>
      <c r="O132" s="48">
        <f>IF(t&lt;Tnet,'2026'!Resal+('2026'!Salim-'2026'!Resal)*(1-EXP(('2026'!Tnet-t)/('2026'!Tau_j))),Resal+(Salim-Resal)*(1-EXP((Tnet-t)/(Tau_j))))*Salcycl</f>
        <v>0.10812657074071491</v>
      </c>
      <c r="P132" s="169">
        <f>(INDEX(Models!$BJ132:$BT132,,T132)*(1-R132)+INDEX(Models!$BJ132:$BT132,,T132+1)*R132-ERP_i)*Q132*Ramure*Pc/MaxiM</f>
        <v>6.724559669466213E-5</v>
      </c>
      <c r="Q132" s="305">
        <f t="shared" si="28"/>
        <v>0.7</v>
      </c>
      <c r="R132" s="177">
        <f t="shared" si="29"/>
        <v>0.23720322659990567</v>
      </c>
      <c r="S132" s="810">
        <f t="shared" si="30"/>
        <v>-1</v>
      </c>
      <c r="T132" s="176">
        <f t="shared" si="31"/>
        <v>5</v>
      </c>
      <c r="U132" s="251">
        <f t="shared" si="32"/>
        <v>-0.76279677340009433</v>
      </c>
      <c r="V132" s="383">
        <f t="shared" si="33"/>
        <v>50.069087147165988</v>
      </c>
      <c r="W132" s="402">
        <f t="shared" si="34"/>
        <v>21.834888147502916</v>
      </c>
      <c r="X132" s="157">
        <f t="shared" si="35"/>
        <v>46505</v>
      </c>
      <c r="Y132" s="385">
        <f t="shared" si="36"/>
        <v>20.837874223830482</v>
      </c>
      <c r="Z132" s="385">
        <f t="shared" si="37"/>
        <v>22.444723981846444</v>
      </c>
      <c r="AA132" s="386">
        <f t="shared" si="38"/>
        <v>26.366449161419428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0.14873922368399259</v>
      </c>
      <c r="AD132" s="231">
        <f>(INDEX(Models!$BJ132:$BT132,,AH132)*(1-AF132)+INDEX(Models!$BJ132:$BT132,,AH132+1)*AF132-ERP_i)*AE132*Ramure*Pc/MaxiM</f>
        <v>7.4174150064081751E-4</v>
      </c>
      <c r="AE132" s="305">
        <f t="shared" si="40"/>
        <v>0.7</v>
      </c>
      <c r="AF132" s="177">
        <f t="shared" si="41"/>
        <v>5.7193279699089494E-2</v>
      </c>
      <c r="AG132" s="810">
        <f t="shared" si="49"/>
        <v>2</v>
      </c>
      <c r="AH132" s="176">
        <f t="shared" si="42"/>
        <v>8</v>
      </c>
      <c r="AI132" s="225">
        <f t="shared" si="43"/>
        <v>2.0571932796990895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39.677843223086583</v>
      </c>
      <c r="C133" s="840"/>
      <c r="D133" s="393">
        <f t="shared" si="25"/>
        <v>42.738474896457056</v>
      </c>
      <c r="E133" s="385">
        <f t="shared" si="47"/>
        <v>47.92705658664125</v>
      </c>
      <c r="F133" s="385">
        <f t="shared" si="26"/>
        <v>47.929210766381097</v>
      </c>
      <c r="G133" s="110">
        <f t="shared" si="48"/>
        <v>0.78974440261246515</v>
      </c>
      <c r="H133" s="414" t="b">
        <f>Wh_hp&gt;='2026'!Maxi_hp</f>
        <v>0</v>
      </c>
      <c r="I133" s="390">
        <f>IF(H133,Wh_hp,'2026'!Maxi_hp)</f>
        <v>53.503420570987252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7.1613029729897915E-2</v>
      </c>
      <c r="M133" s="844"/>
      <c r="N133" s="844"/>
      <c r="O133" s="48">
        <f>IF(t&lt;Tnet,'2026'!Resal+('2026'!Salim-'2026'!Resal)*(1-EXP(('2026'!Tnet-t)/('2026'!Tau_j))),Resal+(Salim-Resal)*(1-EXP((Tnet-t)/(Tau_j))))*Salcycl</f>
        <v>0.10825996962288754</v>
      </c>
      <c r="P133" s="169">
        <f>(INDEX(Models!$BJ133:$BT133,,T133)*(1-R133)+INDEX(Models!$BJ133:$BT133,,T133+1)*R133-ERP_i)*Q133*Ramure*Pc/MaxiM</f>
        <v>6.4238694411354757E-5</v>
      </c>
      <c r="Q133" s="305">
        <f t="shared" si="28"/>
        <v>0.7</v>
      </c>
      <c r="R133" s="177">
        <f t="shared" si="29"/>
        <v>0.23928520240881135</v>
      </c>
      <c r="S133" s="810">
        <f t="shared" si="30"/>
        <v>-1</v>
      </c>
      <c r="T133" s="176">
        <f t="shared" si="31"/>
        <v>5</v>
      </c>
      <c r="U133" s="251">
        <f t="shared" si="32"/>
        <v>-0.76071479759118865</v>
      </c>
      <c r="V133" s="383">
        <f t="shared" si="33"/>
        <v>50.240403764018275</v>
      </c>
      <c r="W133" s="402">
        <f t="shared" si="34"/>
        <v>39.677843223086583</v>
      </c>
      <c r="X133" s="157">
        <f t="shared" si="35"/>
        <v>46506</v>
      </c>
      <c r="Y133" s="385">
        <f t="shared" si="36"/>
        <v>37.85489087675942</v>
      </c>
      <c r="Z133" s="385">
        <f t="shared" si="37"/>
        <v>40.774905388586006</v>
      </c>
      <c r="AA133" s="386">
        <f t="shared" si="38"/>
        <v>47.905544894916552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0.14884789478904784</v>
      </c>
      <c r="AD133" s="231">
        <f>(INDEX(Models!$BJ133:$BT133,,AH133)*(1-AF133)+INDEX(Models!$BJ133:$BT133,,AH133+1)*AF133-ERP_i)*AE133*Ramure*Pc/MaxiM</f>
        <v>7.0572787259523442E-4</v>
      </c>
      <c r="AE133" s="305">
        <f t="shared" si="40"/>
        <v>0.7</v>
      </c>
      <c r="AF133" s="177">
        <f t="shared" si="41"/>
        <v>5.9275255507995173E-2</v>
      </c>
      <c r="AG133" s="810">
        <f t="shared" si="49"/>
        <v>2</v>
      </c>
      <c r="AH133" s="176">
        <f t="shared" si="42"/>
        <v>8</v>
      </c>
      <c r="AI133" s="225">
        <f t="shared" si="43"/>
        <v>2.0592752555079952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46.040970972967294</v>
      </c>
      <c r="C134" s="840"/>
      <c r="D134" s="393">
        <f t="shared" si="25"/>
        <v>49.59358964846588</v>
      </c>
      <c r="E134" s="385">
        <f t="shared" si="47"/>
        <v>50.51288104758455</v>
      </c>
      <c r="F134" s="385">
        <f t="shared" si="26"/>
        <v>50.515233133493815</v>
      </c>
      <c r="G134" s="110">
        <f t="shared" si="48"/>
        <v>0.82947837656610512</v>
      </c>
      <c r="H134" s="414" t="b">
        <f>Wh_hp&gt;='2026'!Maxi_hp</f>
        <v>0</v>
      </c>
      <c r="I134" s="390">
        <f>IF(H134,Wh_hp,'2026'!Maxi_hp)</f>
        <v>61.024126150933135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7.1634634650982187E-2</v>
      </c>
      <c r="M134" s="844"/>
      <c r="N134" s="844"/>
      <c r="O134" s="48">
        <f>IF(t&lt;Tnet,'2026'!Resal+('2026'!Salim-'2026'!Resal)*(1-EXP(('2026'!Tnet-t)/('2026'!Tau_j))),Resal+(Salim-Resal)*(1-EXP((Tnet-t)/(Tau_j))))*Salcycl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6.1556005247194177E-5</v>
      </c>
      <c r="Q134" s="305">
        <f t="shared" si="28"/>
        <v>0.7</v>
      </c>
      <c r="R134" s="177">
        <f t="shared" si="29"/>
        <v>0.24142774293463465</v>
      </c>
      <c r="S134" s="810">
        <f t="shared" si="30"/>
        <v>-1</v>
      </c>
      <c r="T134" s="176">
        <f t="shared" si="31"/>
        <v>5</v>
      </c>
      <c r="U134" s="251">
        <f t="shared" si="32"/>
        <v>-0.75857225706536535</v>
      </c>
      <c r="V134" s="383">
        <f t="shared" si="33"/>
        <v>55.505100432963836</v>
      </c>
      <c r="W134" s="402">
        <f t="shared" si="34"/>
        <v>46.040970972967294</v>
      </c>
      <c r="X134" s="157">
        <f t="shared" si="35"/>
        <v>46507</v>
      </c>
      <c r="Y134" s="385">
        <f t="shared" si="36"/>
        <v>41.791990540180429</v>
      </c>
      <c r="Z134" s="385">
        <f t="shared" si="37"/>
        <v>45.016748900869196</v>
      </c>
      <c r="AA134" s="386">
        <f t="shared" si="38"/>
        <v>50.48955634593225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0.10839484125322439</v>
      </c>
      <c r="AD134" s="231">
        <f>(INDEX(Models!$BJ134:$BT134,,AH134)*(1-AF134)+INDEX(Models!$BJ134:$BT134,,AH134+1)*AF134-ERP_i)*AE134*Ramure*Pc/MaxiM</f>
        <v>6.7198245763317691E-4</v>
      </c>
      <c r="AE134" s="305">
        <f t="shared" si="40"/>
        <v>0.7</v>
      </c>
      <c r="AF134" s="177">
        <f t="shared" si="41"/>
        <v>6.1417796033818473E-2</v>
      </c>
      <c r="AG134" s="810">
        <f t="shared" si="49"/>
        <v>2</v>
      </c>
      <c r="AH134" s="176">
        <f t="shared" si="42"/>
        <v>8</v>
      </c>
      <c r="AI134" s="225">
        <f t="shared" si="43"/>
        <v>2.0614177960338185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46.942747902850662</v>
      </c>
      <c r="C135" s="840"/>
      <c r="D135" s="393">
        <f t="shared" si="25"/>
        <v>50.566126340729845</v>
      </c>
      <c r="E135" s="385">
        <f t="shared" si="47"/>
        <v>51.51335330271219</v>
      </c>
      <c r="F135" s="385">
        <f t="shared" si="26"/>
        <v>51.515719433659562</v>
      </c>
      <c r="G135" s="110">
        <f t="shared" si="48"/>
        <v>0.84309505410233254</v>
      </c>
      <c r="H135" s="414" t="b">
        <f>Wh_hp&gt;='2026'!Maxi_hp</f>
        <v>0</v>
      </c>
      <c r="I135" s="390">
        <f>IF(H135,Wh_hp,'2026'!Maxi_hp)</f>
        <v>55.440910682526471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7.1656239069288419E-2</v>
      </c>
      <c r="M135" s="844"/>
      <c r="N135" s="844"/>
      <c r="O135" s="48">
        <f>IF(t&lt;Tnet,'2026'!Resal+('2026'!Salim-'2026'!Resal)*(1-EXP(('2026'!Tnet-t)/('2026'!Tau_j))),Resal+(Salim-Resal)*(1-EXP((Tnet-t)/(Tau_j))))*Salcycl</f>
        <v>1.8387988768971755E-2</v>
      </c>
      <c r="P135" s="169">
        <f>(INDEX(Models!$BJ135:$BT135,,T135)*(1-R135)+INDEX(Models!$BJ135:$BT135,,T135+1)*R135-ERP_i)*Q135*Ramure*Pc/MaxiM</f>
        <v>5.9198711336869052E-5</v>
      </c>
      <c r="Q135" s="305">
        <f t="shared" si="28"/>
        <v>0.7</v>
      </c>
      <c r="R135" s="177">
        <f t="shared" si="29"/>
        <v>0.2436316411410826</v>
      </c>
      <c r="S135" s="810">
        <f t="shared" si="30"/>
        <v>-1</v>
      </c>
      <c r="T135" s="176">
        <f t="shared" si="31"/>
        <v>5</v>
      </c>
      <c r="U135" s="251">
        <f t="shared" si="32"/>
        <v>-0.7563683588589174</v>
      </c>
      <c r="V135" s="383">
        <f t="shared" si="33"/>
        <v>55.678330443019647</v>
      </c>
      <c r="W135" s="402">
        <f t="shared" si="34"/>
        <v>46.942747902850662</v>
      </c>
      <c r="X135" s="157">
        <f t="shared" si="35"/>
        <v>46508</v>
      </c>
      <c r="Y135" s="385">
        <f t="shared" si="36"/>
        <v>42.612683443591003</v>
      </c>
      <c r="Z135" s="385">
        <f t="shared" si="37"/>
        <v>45.901836406881898</v>
      </c>
      <c r="AA135" s="386">
        <f t="shared" si="38"/>
        <v>51.490119423502904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0.10853117217805883</v>
      </c>
      <c r="AD135" s="231">
        <f>(INDEX(Models!$BJ135:$BT135,,AH135)*(1-AF135)+INDEX(Models!$BJ135:$BT135,,AH135+1)*AF135-ERP_i)*AE135*Ramure*Pc/MaxiM</f>
        <v>6.4049185999944013E-4</v>
      </c>
      <c r="AE135" s="305">
        <f t="shared" si="40"/>
        <v>0.7</v>
      </c>
      <c r="AF135" s="177">
        <f t="shared" si="41"/>
        <v>6.3621694240266535E-2</v>
      </c>
      <c r="AG135" s="810">
        <f t="shared" si="49"/>
        <v>2</v>
      </c>
      <c r="AH135" s="176">
        <f t="shared" si="42"/>
        <v>8</v>
      </c>
      <c r="AI135" s="225">
        <f t="shared" si="43"/>
        <v>2.0636216942402665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27.439708284567846</v>
      </c>
      <c r="C136" s="840"/>
      <c r="D136" s="393">
        <f t="shared" si="25"/>
        <v>29.558389915839733</v>
      </c>
      <c r="E136" s="385">
        <f t="shared" si="47"/>
        <v>30.117891942902542</v>
      </c>
      <c r="F136" s="385">
        <f t="shared" si="26"/>
        <v>30.118363202904977</v>
      </c>
      <c r="G136" s="110">
        <f t="shared" si="48"/>
        <v>0.49134131635338851</v>
      </c>
      <c r="H136" s="414" t="b">
        <f>Wh_hp&gt;='2026'!Maxi_hp</f>
        <v>0</v>
      </c>
      <c r="I136" s="390">
        <f>IF(H136,Wh_hp,'2026'!Maxi_hp)</f>
        <v>48.436895497277384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7.1677842984828155E-2</v>
      </c>
      <c r="M136" s="844"/>
      <c r="N136" s="844"/>
      <c r="O136" s="48">
        <f>IF(t&lt;Tnet,'2026'!Resal+('2026'!Salim-'2026'!Resal)*(1-EXP(('2026'!Tnet-t)/('2026'!Tau_j))),Resal+(Salim-Resal)*(1-EXP((Tnet-t)/(Tau_j))))*Salcycl</f>
        <v>1.8577064693754534E-2</v>
      </c>
      <c r="P136" s="169">
        <f>(INDEX(Models!$BJ136:$BT136,,T136)*(1-R136)+INDEX(Models!$BJ136:$BT136,,T136+1)*R136-ERP_i)*Q136*Ramure*Pc/MaxiM</f>
        <v>5.7236374439175492E-5</v>
      </c>
      <c r="Q136" s="305">
        <f t="shared" si="28"/>
        <v>0.7</v>
      </c>
      <c r="R136" s="177">
        <f t="shared" si="29"/>
        <v>0.24589762948943072</v>
      </c>
      <c r="S136" s="810">
        <f t="shared" si="30"/>
        <v>-1</v>
      </c>
      <c r="T136" s="176">
        <f t="shared" si="31"/>
        <v>5</v>
      </c>
      <c r="U136" s="251">
        <f t="shared" si="32"/>
        <v>-0.75410237051056928</v>
      </c>
      <c r="V136" s="383">
        <f t="shared" si="33"/>
        <v>55.844208804186621</v>
      </c>
      <c r="W136" s="402">
        <f t="shared" si="34"/>
        <v>27.439708284567846</v>
      </c>
      <c r="X136" s="157">
        <f t="shared" si="35"/>
        <v>46509</v>
      </c>
      <c r="Y136" s="385">
        <f t="shared" si="36"/>
        <v>24.917040065254337</v>
      </c>
      <c r="Z136" s="385">
        <f t="shared" si="37"/>
        <v>26.840940805905067</v>
      </c>
      <c r="AA136" s="386">
        <f t="shared" si="38"/>
        <v>30.113323973831427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0.1086689457055645</v>
      </c>
      <c r="AD136" s="231">
        <f>(INDEX(Models!$BJ136:$BT136,,AH136)*(1-AF136)+INDEX(Models!$BJ136:$BT136,,AH136+1)*AF136-ERP_i)*AE136*Ramure*Pc/MaxiM</f>
        <v>6.1203412266701794E-4</v>
      </c>
      <c r="AE136" s="305">
        <f t="shared" si="40"/>
        <v>0.7</v>
      </c>
      <c r="AF136" s="177">
        <f t="shared" si="41"/>
        <v>6.5887682588614549E-2</v>
      </c>
      <c r="AG136" s="810">
        <f t="shared" si="49"/>
        <v>2</v>
      </c>
      <c r="AH136" s="176">
        <f t="shared" si="42"/>
        <v>8</v>
      </c>
      <c r="AI136" s="225">
        <f t="shared" si="43"/>
        <v>2.0658876825886145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37.705974626624801</v>
      </c>
      <c r="C137" s="840"/>
      <c r="D137" s="393">
        <f t="shared" si="25"/>
        <v>40.618283033767497</v>
      </c>
      <c r="E137" s="385">
        <f t="shared" si="47"/>
        <v>41.395119530215894</v>
      </c>
      <c r="F137" s="385">
        <f t="shared" si="26"/>
        <v>41.3963444057324</v>
      </c>
      <c r="G137" s="110">
        <f t="shared" si="48"/>
        <v>0.67326808223422752</v>
      </c>
      <c r="H137" s="414" t="b">
        <f>Wh_hp&gt;='2026'!Maxi_hp</f>
        <v>0</v>
      </c>
      <c r="I137" s="390">
        <f>IF(H137,Wh_hp,'2026'!Maxi_hp)</f>
        <v>59.778288949958807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7.1699446397613276E-2</v>
      </c>
      <c r="M137" s="844"/>
      <c r="N137" s="844"/>
      <c r="O137" s="48">
        <f>IF(t&lt;Tnet,'2026'!Resal+('2026'!Salim-'2026'!Resal)*(1-EXP(('2026'!Tnet-t)/('2026'!Tau_j))),Resal+(Salim-Resal)*(1-EXP((Tnet-t)/(Tau_j))))*Salcycl</f>
        <v>1.8766378869406391E-2</v>
      </c>
      <c r="P137" s="169">
        <f>(INDEX(Models!$BJ137:$BT137,,T137)*(1-R137)+INDEX(Models!$BJ137:$BT137,,T137+1)*R137-ERP_i)*Q137*Ramure*Pc/MaxiM</f>
        <v>5.548643977106811E-5</v>
      </c>
      <c r="Q137" s="305">
        <f t="shared" si="28"/>
        <v>0.7</v>
      </c>
      <c r="R137" s="177">
        <f t="shared" si="29"/>
        <v>0.24822637450188179</v>
      </c>
      <c r="S137" s="810">
        <f t="shared" si="30"/>
        <v>-1</v>
      </c>
      <c r="T137" s="176">
        <f t="shared" si="31"/>
        <v>5</v>
      </c>
      <c r="U137" s="251">
        <f t="shared" si="32"/>
        <v>-0.75177362549811821</v>
      </c>
      <c r="V137" s="383">
        <f t="shared" si="33"/>
        <v>56.002949053464903</v>
      </c>
      <c r="W137" s="402">
        <f t="shared" si="34"/>
        <v>37.705974626624801</v>
      </c>
      <c r="X137" s="157">
        <f t="shared" si="35"/>
        <v>46510</v>
      </c>
      <c r="Y137" s="385">
        <f t="shared" si="36"/>
        <v>34.23625241611316</v>
      </c>
      <c r="Z137" s="385">
        <f t="shared" si="37"/>
        <v>36.880568780504426</v>
      </c>
      <c r="AA137" s="386">
        <f t="shared" si="38"/>
        <v>41.38342203380077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0.10880814181143705</v>
      </c>
      <c r="AD137" s="231">
        <f>(INDEX(Models!$BJ137:$BT137,,AH137)*(1-AF137)+INDEX(Models!$BJ137:$BT137,,AH137+1)*AF137-ERP_i)*AE137*Ramure*Pc/MaxiM</f>
        <v>5.8537900563823805E-4</v>
      </c>
      <c r="AE137" s="305">
        <f t="shared" si="40"/>
        <v>0.7</v>
      </c>
      <c r="AF137" s="177">
        <f t="shared" si="41"/>
        <v>6.8216427601065721E-2</v>
      </c>
      <c r="AG137" s="810">
        <f t="shared" si="49"/>
        <v>2</v>
      </c>
      <c r="AH137" s="176">
        <f t="shared" si="42"/>
        <v>8</v>
      </c>
      <c r="AI137" s="225">
        <f t="shared" si="43"/>
        <v>2.0682164276010657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21.383428458554732</v>
      </c>
      <c r="C138" s="840"/>
      <c r="D138" s="393">
        <f t="shared" si="25"/>
        <v>23.035563224401656</v>
      </c>
      <c r="E138" s="385">
        <f t="shared" si="47"/>
        <v>23.480661077142312</v>
      </c>
      <c r="F138" s="385">
        <f t="shared" si="26"/>
        <v>23.480807289015669</v>
      </c>
      <c r="G138" s="110">
        <f t="shared" si="48"/>
        <v>0.38077644873509775</v>
      </c>
      <c r="H138" s="414" t="b">
        <f>Wh_hp&gt;='2026'!Maxi_hp</f>
        <v>0</v>
      </c>
      <c r="I138" s="390">
        <f>IF(H138,Wh_hp,'2026'!Maxi_hp)</f>
        <v>54.701655711301164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7.1721049307655438E-2</v>
      </c>
      <c r="M138" s="844"/>
      <c r="N138" s="844"/>
      <c r="O138" s="48">
        <f>IF(t&lt;Tnet,'2026'!Resal+('2026'!Salim-'2026'!Resal)*(1-EXP(('2026'!Tnet-t)/('2026'!Tau_j))),Resal+(Salim-Resal)*(1-EXP((Tnet-t)/(Tau_j))))*Salcycl</f>
        <v>1.8955933620367422E-2</v>
      </c>
      <c r="P138" s="169">
        <f>(INDEX(Models!$BJ138:$BT138,,T138)*(1-R138)+INDEX(Models!$BJ138:$BT138,,T138+1)*R138-ERP_i)*Q138*Ramure*Pc/MaxiM</f>
        <v>5.3949224706301615E-5</v>
      </c>
      <c r="Q138" s="305">
        <f t="shared" si="28"/>
        <v>0.7</v>
      </c>
      <c r="R138" s="177">
        <f t="shared" si="29"/>
        <v>0.2506184712349141</v>
      </c>
      <c r="S138" s="810">
        <f t="shared" si="30"/>
        <v>-1</v>
      </c>
      <c r="T138" s="176">
        <f t="shared" si="31"/>
        <v>5</v>
      </c>
      <c r="U138" s="251">
        <f t="shared" si="32"/>
        <v>-0.7493815287650859</v>
      </c>
      <c r="V138" s="383">
        <f t="shared" si="33"/>
        <v>56.154754464508642</v>
      </c>
      <c r="W138" s="402">
        <f t="shared" si="34"/>
        <v>21.383428458554732</v>
      </c>
      <c r="X138" s="157">
        <f t="shared" si="35"/>
        <v>46511</v>
      </c>
      <c r="Y138" s="385">
        <f t="shared" si="36"/>
        <v>19.420755443503985</v>
      </c>
      <c r="Z138" s="385">
        <f t="shared" si="37"/>
        <v>20.921249403554043</v>
      </c>
      <c r="AA138" s="386">
        <f t="shared" si="38"/>
        <v>23.479288199765985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0.10894873705061635</v>
      </c>
      <c r="AD138" s="231">
        <f>(INDEX(Models!$BJ138:$BT138,,AH138)*(1-AF138)+INDEX(Models!$BJ138:$BT138,,AH138+1)*AF138-ERP_i)*AE138*Ramure*Pc/MaxiM</f>
        <v>5.6051321550522522E-4</v>
      </c>
      <c r="AE138" s="305">
        <f t="shared" si="40"/>
        <v>0.7</v>
      </c>
      <c r="AF138" s="177">
        <f t="shared" si="41"/>
        <v>7.0608524334097922E-2</v>
      </c>
      <c r="AG138" s="810">
        <f t="shared" si="49"/>
        <v>2</v>
      </c>
      <c r="AH138" s="176">
        <f t="shared" si="42"/>
        <v>8</v>
      </c>
      <c r="AI138" s="225">
        <f t="shared" si="43"/>
        <v>2.0706085243340979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43.701523867728092</v>
      </c>
      <c r="C139" s="840"/>
      <c r="D139" s="393">
        <f t="shared" si="25"/>
        <v>47.079103600383199</v>
      </c>
      <c r="E139" s="385">
        <f t="shared" si="47"/>
        <v>47.99806155047191</v>
      </c>
      <c r="F139" s="385">
        <f t="shared" si="26"/>
        <v>47.999780061315306</v>
      </c>
      <c r="G139" s="110">
        <f t="shared" si="48"/>
        <v>0.7762153112139335</v>
      </c>
      <c r="H139" s="414" t="b">
        <f>Wh_hp&gt;='2026'!Maxi_hp</f>
        <v>0</v>
      </c>
      <c r="I139" s="390">
        <f>IF(H139,Wh_hp,'2026'!Maxi_hp)</f>
        <v>58.762376134897934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7.1742651714966299E-2</v>
      </c>
      <c r="M139" s="844"/>
      <c r="N139" s="844"/>
      <c r="O139" s="48">
        <f>IF(t&lt;Tnet,'2026'!Resal+('2026'!Salim-'2026'!Resal)*(1-EXP(('2026'!Tnet-t)/('2026'!Tau_j))),Resal+(Salim-Resal)*(1-EXP((Tnet-t)/(Tau_j))))*Salcycl</f>
        <v>1.9145730481686014E-2</v>
      </c>
      <c r="P139" s="169">
        <f>(INDEX(Models!$BJ139:$BT139,,T139)*(1-R139)+INDEX(Models!$BJ139:$BT139,,T139+1)*R139-ERP_i)*Q139*Ramure*Pc/MaxiM</f>
        <v>5.2625447938919672E-5</v>
      </c>
      <c r="Q139" s="305">
        <f t="shared" si="28"/>
        <v>0.7</v>
      </c>
      <c r="R139" s="177">
        <f t="shared" si="29"/>
        <v>0.25307443768817517</v>
      </c>
      <c r="S139" s="810">
        <f t="shared" si="30"/>
        <v>-1</v>
      </c>
      <c r="T139" s="176">
        <f t="shared" si="31"/>
        <v>5</v>
      </c>
      <c r="U139" s="251">
        <f t="shared" si="32"/>
        <v>-0.74692556231182483</v>
      </c>
      <c r="V139" s="383">
        <f t="shared" si="33"/>
        <v>56.299828179674776</v>
      </c>
      <c r="W139" s="402">
        <f t="shared" si="34"/>
        <v>43.701523867728092</v>
      </c>
      <c r="X139" s="157">
        <f t="shared" si="35"/>
        <v>46512</v>
      </c>
      <c r="Y139" s="385">
        <f t="shared" si="36"/>
        <v>39.680973240553428</v>
      </c>
      <c r="Z139" s="385">
        <f t="shared" si="37"/>
        <v>42.747814831592223</v>
      </c>
      <c r="AA139" s="386">
        <f t="shared" si="38"/>
        <v>47.982230117449731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0.10909070447632038</v>
      </c>
      <c r="AD139" s="231">
        <f>(INDEX(Models!$BJ139:$BT139,,AH139)*(1-AF139)+INDEX(Models!$BJ139:$BT139,,AH139+1)*AF139-ERP_i)*AE139*Ramure*Pc/MaxiM</f>
        <v>5.3742672662080695E-4</v>
      </c>
      <c r="AE139" s="305">
        <f t="shared" si="40"/>
        <v>0.7</v>
      </c>
      <c r="AF139" s="177">
        <f t="shared" si="41"/>
        <v>7.3064490787359215E-2</v>
      </c>
      <c r="AG139" s="810">
        <f t="shared" si="49"/>
        <v>2</v>
      </c>
      <c r="AH139" s="176">
        <f t="shared" si="42"/>
        <v>8</v>
      </c>
      <c r="AI139" s="225">
        <f t="shared" si="43"/>
        <v>2.0730644907873592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36.907396514115554</v>
      </c>
      <c r="C140" s="840"/>
      <c r="D140" s="393">
        <f t="shared" si="25"/>
        <v>39.760800699641294</v>
      </c>
      <c r="E140" s="385">
        <f t="shared" si="47"/>
        <v>40.544764956058998</v>
      </c>
      <c r="F140" s="385">
        <f t="shared" si="26"/>
        <v>40.54582110112085</v>
      </c>
      <c r="G140" s="110">
        <f t="shared" si="48"/>
        <v>0.65392488175422891</v>
      </c>
      <c r="H140" s="414" t="b">
        <f>Wh_hp&gt;='2026'!Maxi_hp</f>
        <v>0</v>
      </c>
      <c r="I140" s="390">
        <f>IF(H140,Wh_hp,'2026'!Maxi_hp)</f>
        <v>63.468441538808548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7.1764253619557627E-2</v>
      </c>
      <c r="M140" s="844"/>
      <c r="N140" s="844"/>
      <c r="O140" s="48">
        <f>IF(t&lt;Tnet,'2026'!Resal+('2026'!Salim-'2026'!Resal)*(1-EXP(('2026'!Tnet-t)/('2026'!Tau_j))),Resal+(Salim-Resal)*(1-EXP((Tnet-t)/(Tau_j))))*Salcycl</f>
        <v>1.9335770160891049E-2</v>
      </c>
      <c r="P140" s="169">
        <f>(INDEX(Models!$BJ140:$BT140,,T140)*(1-R140)+INDEX(Models!$BJ140:$BT140,,T140+1)*R140-ERP_i)*Q140*Ramure*Pc/MaxiM</f>
        <v>5.151621899693584E-5</v>
      </c>
      <c r="Q140" s="305">
        <f t="shared" si="28"/>
        <v>0.7</v>
      </c>
      <c r="R140" s="177">
        <f t="shared" si="29"/>
        <v>0.25559470917724825</v>
      </c>
      <c r="S140" s="810">
        <f t="shared" si="30"/>
        <v>-1</v>
      </c>
      <c r="T140" s="176">
        <f t="shared" si="31"/>
        <v>5</v>
      </c>
      <c r="U140" s="251">
        <f t="shared" si="32"/>
        <v>-0.74440529082275175</v>
      </c>
      <c r="V140" s="383">
        <f t="shared" si="33"/>
        <v>56.438373214683907</v>
      </c>
      <c r="W140" s="402">
        <f t="shared" si="34"/>
        <v>36.907396514115554</v>
      </c>
      <c r="X140" s="157">
        <f t="shared" si="35"/>
        <v>46513</v>
      </c>
      <c r="Y140" s="385">
        <f t="shared" si="36"/>
        <v>33.51619163271571</v>
      </c>
      <c r="Z140" s="385">
        <f t="shared" si="37"/>
        <v>36.107413190462204</v>
      </c>
      <c r="AA140" s="386">
        <f t="shared" si="38"/>
        <v>40.535240164568187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0.10923401356768923</v>
      </c>
      <c r="AD140" s="231">
        <f>(INDEX(Models!$BJ140:$BT140,,AH140)*(1-AF140)+INDEX(Models!$BJ140:$BT140,,AH140+1)*AF140-ERP_i)*AE140*Ramure*Pc/MaxiM</f>
        <v>5.1611266702710336E-4</v>
      </c>
      <c r="AE140" s="305">
        <f t="shared" si="40"/>
        <v>0.7</v>
      </c>
      <c r="AF140" s="177">
        <f t="shared" si="41"/>
        <v>7.5584762276432294E-2</v>
      </c>
      <c r="AG140" s="810">
        <f t="shared" si="49"/>
        <v>2</v>
      </c>
      <c r="AH140" s="176">
        <f t="shared" si="42"/>
        <v>8</v>
      </c>
      <c r="AI140" s="225">
        <f t="shared" si="43"/>
        <v>2.0755847622764323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52.052236958753461</v>
      </c>
      <c r="C141" s="840"/>
      <c r="D141" s="393">
        <f t="shared" si="25"/>
        <v>56.077832082547964</v>
      </c>
      <c r="E141" s="385">
        <f t="shared" si="47"/>
        <v>57.194617180397096</v>
      </c>
      <c r="F141" s="385">
        <f t="shared" si="26"/>
        <v>57.197182294460674</v>
      </c>
      <c r="G141" s="110">
        <f t="shared" si="48"/>
        <v>0.92012358406532346</v>
      </c>
      <c r="H141" s="414" t="b">
        <f>Wh_hp&gt;='2026'!Maxi_hp</f>
        <v>0</v>
      </c>
      <c r="I141" s="390">
        <f>IF(H141,Wh_hp,'2026'!Maxi_hp)</f>
        <v>60.14956112877281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7.1785855021441081E-2</v>
      </c>
      <c r="M141" s="844"/>
      <c r="N141" s="844"/>
      <c r="O141" s="48">
        <f>IF(t&lt;Tnet,'2026'!Resal+('2026'!Salim-'2026'!Resal)*(1-EXP(('2026'!Tnet-t)/('2026'!Tau_j))),Resal+(Salim-Resal)*(1-EXP((Tnet-t)/(Tau_j))))*Salcycl</f>
        <v>1.9526052501176585E-2</v>
      </c>
      <c r="P141" s="169">
        <f>(INDEX(Models!$BJ141:$BT141,,T141)*(1-R141)+INDEX(Models!$BJ141:$BT141,,T141+1)*R141-ERP_i)*Q141*Ramure*Pc/MaxiM</f>
        <v>5.0623027720831706E-5</v>
      </c>
      <c r="Q141" s="305">
        <f t="shared" si="28"/>
        <v>0.7</v>
      </c>
      <c r="R141" s="177">
        <f t="shared" si="29"/>
        <v>0.25817963270137012</v>
      </c>
      <c r="S141" s="810">
        <f t="shared" si="30"/>
        <v>-1</v>
      </c>
      <c r="T141" s="176">
        <f t="shared" si="31"/>
        <v>5</v>
      </c>
      <c r="U141" s="251">
        <f t="shared" si="32"/>
        <v>-0.74182036729862988</v>
      </c>
      <c r="V141" s="383">
        <f t="shared" si="33"/>
        <v>56.570592455498129</v>
      </c>
      <c r="W141" s="402">
        <f t="shared" si="34"/>
        <v>52.052236958753461</v>
      </c>
      <c r="X141" s="157">
        <f t="shared" si="35"/>
        <v>46514</v>
      </c>
      <c r="Y141" s="385">
        <f t="shared" si="36"/>
        <v>47.263386549829406</v>
      </c>
      <c r="Z141" s="385">
        <f t="shared" si="37"/>
        <v>50.918623472303537</v>
      </c>
      <c r="AA141" s="386">
        <f t="shared" si="38"/>
        <v>57.172020790239102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0.10937863016734924</v>
      </c>
      <c r="AD141" s="231">
        <f>(INDEX(Models!$BJ141:$BT141,,AH141)*(1-AF141)+INDEX(Models!$BJ141:$BT141,,AH141+1)*AF141-ERP_i)*AE141*Ramure*Pc/MaxiM</f>
        <v>4.9656720681131021E-4</v>
      </c>
      <c r="AE141" s="305">
        <f t="shared" si="40"/>
        <v>0.7</v>
      </c>
      <c r="AF141" s="177">
        <f t="shared" si="41"/>
        <v>7.8169685800554056E-2</v>
      </c>
      <c r="AG141" s="810">
        <f t="shared" si="49"/>
        <v>2</v>
      </c>
      <c r="AH141" s="176">
        <f t="shared" si="42"/>
        <v>8</v>
      </c>
      <c r="AI141" s="225">
        <f t="shared" si="43"/>
        <v>2.0781696858005541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47.313520049687206</v>
      </c>
      <c r="C142" s="840"/>
      <c r="D142" s="393">
        <f t="shared" si="25"/>
        <v>50.973820412030079</v>
      </c>
      <c r="E142" s="385">
        <f t="shared" si="47"/>
        <v>51.999063931161906</v>
      </c>
      <c r="F142" s="385">
        <f t="shared" si="26"/>
        <v>52.001047149321124</v>
      </c>
      <c r="G142" s="110">
        <f t="shared" si="48"/>
        <v>0.83449249657010327</v>
      </c>
      <c r="H142" s="414" t="b">
        <f>Wh_hp&gt;='2026'!Maxi_hp</f>
        <v>0</v>
      </c>
      <c r="I142" s="390">
        <f>IF(H142,Wh_hp,'2026'!Maxi_hp)</f>
        <v>57.498688083785559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7.1807455920628316E-2</v>
      </c>
      <c r="M142" s="844"/>
      <c r="N142" s="844"/>
      <c r="O142" s="48">
        <f>IF(t&lt;Tnet,'2026'!Resal+('2026'!Salim-'2026'!Resal)*(1-EXP(('2026'!Tnet-t)/('2026'!Tau_j))),Resal+(Salim-Resal)*(1-EXP((Tnet-t)/(Tau_j))))*Salcycl</f>
        <v>1.9716576446242882E-2</v>
      </c>
      <c r="P142" s="169">
        <f>(INDEX(Models!$BJ142:$BT142,,T142)*(1-R142)+INDEX(Models!$BJ142:$BT142,,T142+1)*R142-ERP_i)*Q142*Ramure*Pc/MaxiM</f>
        <v>4.9946702498042504E-5</v>
      </c>
      <c r="Q142" s="305">
        <f t="shared" si="28"/>
        <v>0.7</v>
      </c>
      <c r="R142" s="177">
        <f t="shared" si="29"/>
        <v>0.2608294613398765</v>
      </c>
      <c r="S142" s="810">
        <f t="shared" si="30"/>
        <v>-1</v>
      </c>
      <c r="T142" s="176">
        <f t="shared" si="31"/>
        <v>5</v>
      </c>
      <c r="U142" s="251">
        <f t="shared" si="32"/>
        <v>-0.7391705386601235</v>
      </c>
      <c r="V142" s="383">
        <f t="shared" si="33"/>
        <v>56.696688722286119</v>
      </c>
      <c r="W142" s="402">
        <f t="shared" si="34"/>
        <v>47.313520049687206</v>
      </c>
      <c r="X142" s="157">
        <f t="shared" si="35"/>
        <v>46515</v>
      </c>
      <c r="Y142" s="385">
        <f t="shared" si="36"/>
        <v>42.96483802215181</v>
      </c>
      <c r="Z142" s="385">
        <f t="shared" si="37"/>
        <v>46.288712720448011</v>
      </c>
      <c r="AA142" s="386">
        <f t="shared" si="38"/>
        <v>51.982018117874247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0.10952451643020328</v>
      </c>
      <c r="AD142" s="231">
        <f>(INDEX(Models!$BJ142:$BT142,,AH142)*(1-AF142)+INDEX(Models!$BJ142:$BT142,,AH142+1)*AF142-ERP_i)*AE142*Ramure*Pc/MaxiM</f>
        <v>4.7923995052448221E-4</v>
      </c>
      <c r="AE142" s="305">
        <f t="shared" si="40"/>
        <v>0.7</v>
      </c>
      <c r="AF142" s="177">
        <f t="shared" si="41"/>
        <v>8.0819514439060214E-2</v>
      </c>
      <c r="AG142" s="810">
        <f t="shared" si="49"/>
        <v>2</v>
      </c>
      <c r="AH142" s="176">
        <f t="shared" si="42"/>
        <v>8</v>
      </c>
      <c r="AI142" s="225">
        <f t="shared" si="43"/>
        <v>2.0808195144390602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54.180755395889442</v>
      </c>
      <c r="C143" s="840"/>
      <c r="D143" s="393">
        <f t="shared" ref="D143:D206" si="50">Wh/(1-Ppv)</f>
        <v>58.373681879015543</v>
      </c>
      <c r="E143" s="385">
        <f t="shared" si="47"/>
        <v>59.559350112306007</v>
      </c>
      <c r="F143" s="385">
        <f t="shared" ref="F143:F206" si="51">Wh_sa/(1-Pvg*MEDIAN((-Sdif+Wh/Env_an)/Csdif,0,1))</f>
        <v>59.562093992702401</v>
      </c>
      <c r="G143" s="110">
        <f t="shared" si="48"/>
        <v>0.95360013813838884</v>
      </c>
      <c r="H143" s="414" t="b">
        <f>Wh_hp&gt;='2026'!Maxi_hp</f>
        <v>0</v>
      </c>
      <c r="I143" s="390">
        <f>IF(H143,Wh_hp,'2026'!Maxi_hp)</f>
        <v>59.562277463820259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7.1829056317131101E-2</v>
      </c>
      <c r="M143" s="844"/>
      <c r="N143" s="844"/>
      <c r="O143" s="48">
        <f>IF(t&lt;Tnet,'2026'!Resal+('2026'!Salim-'2026'!Resal)*(1-EXP(('2026'!Tnet-t)/('2026'!Tau_j))),Resal+(Salim-Resal)*(1-EXP((Tnet-t)/(Tau_j))))*Salcycl</f>
        <v>1.9907340007148312E-2</v>
      </c>
      <c r="P143" s="169">
        <f>(INDEX(Models!$BJ143:$BT143,,T143)*(1-R143)+INDEX(Models!$BJ143:$BT143,,T143+1)*R143-ERP_i)*Q143*Ramure*Pc/MaxiM</f>
        <v>4.933771725643606E-5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0.26354434871375276</v>
      </c>
      <c r="S143" s="810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-0.73645565128624724</v>
      </c>
      <c r="V143" s="383">
        <f t="shared" ref="V143:V206" si="58">MaxiM*(1-Ppv)*(1-Pvg)*(1-Psa)</f>
        <v>56.816873279779294</v>
      </c>
      <c r="W143" s="402">
        <f t="shared" ref="W143:W206" si="59">Wh*(A143&gt;Tmaj)</f>
        <v>54.180755395889442</v>
      </c>
      <c r="X143" s="157">
        <f t="shared" ref="X143:X206" si="60">t</f>
        <v>46516</v>
      </c>
      <c r="Y143" s="385">
        <f t="shared" ref="Y143:Y206" si="61">Wh_pvt_s*(1-Ppv)</f>
        <v>49.199455778387545</v>
      </c>
      <c r="Z143" s="385">
        <f t="shared" ref="Z143:Z206" si="62">Wh_sa_s*(1-Psa_s)</f>
        <v>53.006890716886822</v>
      </c>
      <c r="AA143" s="386">
        <f t="shared" ref="AA143:AA206" si="63">Wh_hp*(1-Pvg_s*MEDIAN((-Sdif+Wh/Env_an)/Csdif,0,1))</f>
        <v>59.536337995841961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0.10967163078473451</v>
      </c>
      <c r="AD143" s="231">
        <f>(INDEX(Models!$BJ143:$BT143,,AH143)*(1-AF143)+INDEX(Models!$BJ143:$BT143,,AH143+1)*AF143-ERP_i)*AE143*Ramure*Pc/MaxiM</f>
        <v>4.6311861567603223E-4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8.353440181293692E-2</v>
      </c>
      <c r="AG143" s="810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2.0835344018129369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50.249202370635672</v>
      </c>
      <c r="C144" s="840"/>
      <c r="D144" s="393">
        <f t="shared" si="50"/>
        <v>54.139134727500192</v>
      </c>
      <c r="E144" s="385">
        <f t="shared" ref="E144:E169" si="72">Wh_pvt/(1-Psa)</f>
        <v>55.2495591652456</v>
      </c>
      <c r="F144" s="385">
        <f t="shared" si="51"/>
        <v>55.251803168024388</v>
      </c>
      <c r="G144" s="110">
        <f t="shared" ref="G144:G169" si="73">+Wh_hp/MaxiM</f>
        <v>0.88262077463598099</v>
      </c>
      <c r="H144" s="414" t="b">
        <f>Wh_hp&gt;='2026'!Maxi_hp</f>
        <v>0</v>
      </c>
      <c r="I144" s="390">
        <f>IF(H144,Wh_hp,'2026'!Maxi_hp)</f>
        <v>55.252227791209307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7.1850656210961095E-2</v>
      </c>
      <c r="M144" s="844"/>
      <c r="N144" s="844"/>
      <c r="O144" s="48">
        <f>IF(t&lt;Tnet,'2026'!Resal+('2026'!Salim-'2026'!Resal)*(1-EXP(('2026'!Tnet-t)/('2026'!Tau_j))),Resal+(Salim-Resal)*(1-EXP((Tnet-t)/(Tau_j))))*Salcycl</f>
        <v>2.0098340231534614E-2</v>
      </c>
      <c r="P144" s="169">
        <f>(INDEX(Models!$BJ144:$BT144,,T144)*(1-R144)+INDEX(Models!$BJ144:$BT144,,T144+1)*R144-ERP_i)*Q144*Ramure*Pc/MaxiM</f>
        <v>4.8795932839996223E-5</v>
      </c>
      <c r="Q144" s="305">
        <f t="shared" si="53"/>
        <v>0.7</v>
      </c>
      <c r="R144" s="177">
        <f t="shared" si="54"/>
        <v>0.26632434355112744</v>
      </c>
      <c r="S144" s="810">
        <f t="shared" si="55"/>
        <v>-1</v>
      </c>
      <c r="T144" s="176">
        <f t="shared" si="56"/>
        <v>5</v>
      </c>
      <c r="U144" s="251">
        <f t="shared" si="57"/>
        <v>-0.73367565644887256</v>
      </c>
      <c r="V144" s="383">
        <f t="shared" si="58"/>
        <v>56.931348850881001</v>
      </c>
      <c r="W144" s="402">
        <f t="shared" si="59"/>
        <v>50.249202370635672</v>
      </c>
      <c r="X144" s="157">
        <f t="shared" si="60"/>
        <v>46517</v>
      </c>
      <c r="Y144" s="385">
        <f t="shared" si="61"/>
        <v>45.633117651718912</v>
      </c>
      <c r="Z144" s="385">
        <f t="shared" si="62"/>
        <v>49.165705882447902</v>
      </c>
      <c r="AA144" s="386">
        <f t="shared" si="63"/>
        <v>55.231191332904594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0.10981992790807522</v>
      </c>
      <c r="AD144" s="231">
        <f>(INDEX(Models!$BJ144:$BT144,,AH144)*(1-AF144)+INDEX(Models!$BJ144:$BT144,,AH144+1)*AF144-ERP_i)*AE144*Ramure*Pc/MaxiM</f>
        <v>4.4820520354107676E-4</v>
      </c>
      <c r="AE144" s="305">
        <f t="shared" si="65"/>
        <v>0.7</v>
      </c>
      <c r="AF144" s="177">
        <f t="shared" si="66"/>
        <v>8.6314396650311487E-2</v>
      </c>
      <c r="AG144" s="810">
        <f t="shared" ref="AG144:AG207" si="74">INDEX(Echel_vg,AH144)</f>
        <v>2</v>
      </c>
      <c r="AH144" s="176">
        <f t="shared" si="67"/>
        <v>8</v>
      </c>
      <c r="AI144" s="225">
        <f t="shared" si="68"/>
        <v>2.0863143966503115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54.608621195780735</v>
      </c>
      <c r="C145" s="840"/>
      <c r="D145" s="393">
        <f t="shared" si="50"/>
        <v>58.837397680863958</v>
      </c>
      <c r="E145" s="385">
        <f t="shared" si="72"/>
        <v>60.055906388152877</v>
      </c>
      <c r="F145" s="385">
        <f t="shared" si="51"/>
        <v>60.058631756351303</v>
      </c>
      <c r="G145" s="110">
        <f t="shared" si="73"/>
        <v>0.95736598859446775</v>
      </c>
      <c r="H145" s="414" t="b">
        <f>Wh_hp&gt;='2026'!Maxi_hp</f>
        <v>0</v>
      </c>
      <c r="I145" s="390">
        <f>IF(H145,Wh_hp,'2026'!Maxi_hp)</f>
        <v>60.058797286162218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7.1872255602129953E-2</v>
      </c>
      <c r="M145" s="844"/>
      <c r="N145" s="844"/>
      <c r="O145" s="48">
        <f>IF(t&lt;Tnet,'2026'!Resal+('2026'!Salim-'2026'!Resal)*(1-EXP(('2026'!Tnet-t)/('2026'!Tau_j))),Resal+(Salim-Resal)*(1-EXP((Tnet-t)/(Tau_j))))*Salcycl</f>
        <v>2.028957317559172E-2</v>
      </c>
      <c r="P145" s="169">
        <f>(INDEX(Models!$BJ145:$BT145,,T145)*(1-R145)+INDEX(Models!$BJ145:$BT145,,T145+1)*R145-ERP_i)*Q145*Ramure*Pc/MaxiM</f>
        <v>4.83213098444642E-5</v>
      </c>
      <c r="Q145" s="305">
        <f t="shared" si="53"/>
        <v>0.7</v>
      </c>
      <c r="R145" s="177">
        <f t="shared" si="54"/>
        <v>0.26916938439781879</v>
      </c>
      <c r="S145" s="810">
        <f t="shared" si="55"/>
        <v>-1</v>
      </c>
      <c r="T145" s="176">
        <f t="shared" si="56"/>
        <v>5</v>
      </c>
      <c r="U145" s="251">
        <f t="shared" si="57"/>
        <v>-0.73083061560218121</v>
      </c>
      <c r="V145" s="383">
        <f t="shared" si="58"/>
        <v>57.04031805398575</v>
      </c>
      <c r="W145" s="402">
        <f t="shared" si="59"/>
        <v>54.608621195780735</v>
      </c>
      <c r="X145" s="157">
        <f t="shared" si="60"/>
        <v>46518</v>
      </c>
      <c r="Y145" s="385">
        <f t="shared" si="61"/>
        <v>49.591917530311278</v>
      </c>
      <c r="Z145" s="385">
        <f t="shared" si="62"/>
        <v>53.432211061080189</v>
      </c>
      <c r="AA145" s="386">
        <f t="shared" si="63"/>
        <v>60.03412532404365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0.10996935871604012</v>
      </c>
      <c r="AD145" s="231">
        <f>(INDEX(Models!$BJ145:$BT145,,AH145)*(1-AF145)+INDEX(Models!$BJ145:$BT145,,AH145+1)*AF145-ERP_i)*AE145*Ramure*Pc/MaxiM</f>
        <v>4.3450382572366917E-4</v>
      </c>
      <c r="AE145" s="305">
        <f t="shared" si="65"/>
        <v>0.7</v>
      </c>
      <c r="AF145" s="177">
        <f t="shared" si="66"/>
        <v>8.9159437497002614E-2</v>
      </c>
      <c r="AG145" s="810">
        <f t="shared" si="74"/>
        <v>2</v>
      </c>
      <c r="AH145" s="176">
        <f t="shared" si="67"/>
        <v>8</v>
      </c>
      <c r="AI145" s="225">
        <f t="shared" si="68"/>
        <v>2.0891594374970026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42.025094195184586</v>
      </c>
      <c r="C146" s="840"/>
      <c r="D146" s="393">
        <f t="shared" si="50"/>
        <v>45.280482624237926</v>
      </c>
      <c r="E146" s="385">
        <f t="shared" si="72"/>
        <v>46.227264800761802</v>
      </c>
      <c r="F146" s="385">
        <f t="shared" si="51"/>
        <v>46.228642605532386</v>
      </c>
      <c r="G146" s="110">
        <f t="shared" si="73"/>
        <v>0.73541133484619392</v>
      </c>
      <c r="H146" s="414" t="b">
        <f>Wh_hp&gt;='2026'!Maxi_hp</f>
        <v>0</v>
      </c>
      <c r="I146" s="390">
        <f>IF(H146,Wh_hp,'2026'!Maxi_hp)</f>
        <v>59.107632705662361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7.1893854490649445E-2</v>
      </c>
      <c r="M146" s="844"/>
      <c r="N146" s="844"/>
      <c r="O146" s="48">
        <f>IF(t&lt;Tnet,'2026'!Resal+('2026'!Salim-'2026'!Resal)*(1-EXP(('2026'!Tnet-t)/('2026'!Tau_j))),Resal+(Salim-Resal)*(1-EXP((Tnet-t)/(Tau_j))))*Salcycl</f>
        <v>2.0481033879129102E-2</v>
      </c>
      <c r="P146" s="169">
        <f>(INDEX(Models!$BJ146:$BT146,,T146)*(1-R146)+INDEX(Models!$BJ146:$BT146,,T146+1)*R146-ERP_i)*Q146*Ramure*Pc/MaxiM</f>
        <v>4.7913905008948878E-5</v>
      </c>
      <c r="Q146" s="305">
        <f t="shared" si="53"/>
        <v>0.7</v>
      </c>
      <c r="R146" s="177">
        <f t="shared" si="54"/>
        <v>0.27207929451608182</v>
      </c>
      <c r="S146" s="810">
        <f t="shared" si="55"/>
        <v>-1</v>
      </c>
      <c r="T146" s="176">
        <f t="shared" si="56"/>
        <v>5</v>
      </c>
      <c r="U146" s="251">
        <f t="shared" si="57"/>
        <v>-0.72792070548391818</v>
      </c>
      <c r="V146" s="383">
        <f t="shared" si="58"/>
        <v>57.143983396121023</v>
      </c>
      <c r="W146" s="402">
        <f t="shared" si="59"/>
        <v>42.025094195184586</v>
      </c>
      <c r="X146" s="157">
        <f t="shared" si="60"/>
        <v>46519</v>
      </c>
      <c r="Y146" s="385">
        <f t="shared" si="61"/>
        <v>38.170361851382268</v>
      </c>
      <c r="Z146" s="385">
        <f t="shared" si="62"/>
        <v>41.127151281208391</v>
      </c>
      <c r="AA146" s="386">
        <f t="shared" si="63"/>
        <v>46.216507046037933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0.11011987036925688</v>
      </c>
      <c r="AD146" s="231">
        <f>(INDEX(Models!$BJ146:$BT146,,AH146)*(1-AF146)+INDEX(Models!$BJ146:$BT146,,AH146+1)*AF146-ERP_i)*AE146*Ramure*Pc/MaxiM</f>
        <v>4.2202063547989733E-4</v>
      </c>
      <c r="AE146" s="305">
        <f t="shared" si="65"/>
        <v>0.7</v>
      </c>
      <c r="AF146" s="177">
        <f t="shared" si="66"/>
        <v>9.2069347615265862E-2</v>
      </c>
      <c r="AG146" s="810">
        <f t="shared" si="74"/>
        <v>2</v>
      </c>
      <c r="AH146" s="176">
        <f t="shared" si="67"/>
        <v>8</v>
      </c>
      <c r="AI146" s="225">
        <f t="shared" si="68"/>
        <v>2.0920693476152659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43.61665393151867</v>
      </c>
      <c r="C147" s="840"/>
      <c r="D147" s="393">
        <f t="shared" si="50"/>
        <v>46.996422973214401</v>
      </c>
      <c r="E147" s="385">
        <f t="shared" si="72"/>
        <v>47.988475106885716</v>
      </c>
      <c r="F147" s="385">
        <f t="shared" si="51"/>
        <v>47.989981808975877</v>
      </c>
      <c r="G147" s="110">
        <f t="shared" si="73"/>
        <v>0.76194981467797374</v>
      </c>
      <c r="H147" s="414" t="b">
        <f>Wh_hp&gt;='2026'!Maxi_hp</f>
        <v>0</v>
      </c>
      <c r="I147" s="390">
        <f>IF(H147,Wh_hp,'2026'!Maxi_hp)</f>
        <v>65.445503800800012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7.1915452876531227E-2</v>
      </c>
      <c r="M147" s="844"/>
      <c r="N147" s="844"/>
      <c r="O147" s="48">
        <f>IF(t&lt;Tnet,'2026'!Resal+('2026'!Salim-'2026'!Resal)*(1-EXP(('2026'!Tnet-t)/('2026'!Tau_j))),Resal+(Salim-Resal)*(1-EXP((Tnet-t)/(Tau_j))))*Salcycl</f>
        <v>2.0672716344115792E-2</v>
      </c>
      <c r="P147" s="169">
        <f>(INDEX(Models!$BJ147:$BT147,,T147)*(1-R147)+INDEX(Models!$BJ147:$BT147,,T147+1)*R147-ERP_i)*Q147*Ramure*Pc/MaxiM</f>
        <v>4.757386755834799E-5</v>
      </c>
      <c r="Q147" s="305">
        <f t="shared" si="53"/>
        <v>0.7</v>
      </c>
      <c r="R147" s="177">
        <f t="shared" si="54"/>
        <v>0.27505377701644351</v>
      </c>
      <c r="S147" s="810">
        <f t="shared" si="55"/>
        <v>-1</v>
      </c>
      <c r="T147" s="176">
        <f t="shared" si="56"/>
        <v>5</v>
      </c>
      <c r="U147" s="251">
        <f t="shared" si="57"/>
        <v>-0.72494622298355649</v>
      </c>
      <c r="V147" s="383">
        <f t="shared" si="58"/>
        <v>57.242547281388738</v>
      </c>
      <c r="W147" s="402">
        <f t="shared" si="59"/>
        <v>43.61665393151867</v>
      </c>
      <c r="X147" s="157">
        <f t="shared" si="60"/>
        <v>46520</v>
      </c>
      <c r="Y147" s="385">
        <f t="shared" si="61"/>
        <v>39.616666503068565</v>
      </c>
      <c r="Z147" s="385">
        <f t="shared" si="62"/>
        <v>42.686484357333143</v>
      </c>
      <c r="AA147" s="386">
        <f t="shared" si="63"/>
        <v>47.976972595258111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0.11027140629644196</v>
      </c>
      <c r="AD147" s="231">
        <f>(INDEX(Models!$BJ147:$BT147,,AH147)*(1-AF147)+INDEX(Models!$BJ147:$BT147,,AH147+1)*AF147-ERP_i)*AE147*Ramure*Pc/MaxiM</f>
        <v>4.1076375647695581E-4</v>
      </c>
      <c r="AE147" s="305">
        <f t="shared" si="65"/>
        <v>0.7</v>
      </c>
      <c r="AF147" s="177">
        <f t="shared" si="66"/>
        <v>9.5043830115627337E-2</v>
      </c>
      <c r="AG147" s="810">
        <f t="shared" si="74"/>
        <v>2</v>
      </c>
      <c r="AH147" s="176">
        <f t="shared" si="67"/>
        <v>8</v>
      </c>
      <c r="AI147" s="225">
        <f t="shared" si="68"/>
        <v>2.0950438301156273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48.059805043633887</v>
      </c>
      <c r="C148" s="840"/>
      <c r="D148" s="393">
        <f t="shared" si="50"/>
        <v>51.785070272420114</v>
      </c>
      <c r="E148" s="385">
        <f t="shared" si="72"/>
        <v>52.888569841635054</v>
      </c>
      <c r="F148" s="385">
        <f t="shared" si="51"/>
        <v>52.89049340247135</v>
      </c>
      <c r="G148" s="110">
        <f t="shared" si="73"/>
        <v>0.8382011632919234</v>
      </c>
      <c r="H148" s="414" t="b">
        <f>Wh_hp&gt;='2026'!Maxi_hp</f>
        <v>0</v>
      </c>
      <c r="I148" s="390">
        <f>IF(H148,Wh_hp,'2026'!Maxi_hp)</f>
        <v>63.25386320981476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7.1937050759787069E-2</v>
      </c>
      <c r="M148" s="844"/>
      <c r="N148" s="844"/>
      <c r="O148" s="48">
        <f>IF(t&lt;Tnet,'2026'!Resal+('2026'!Salim-'2026'!Resal)*(1-EXP(('2026'!Tnet-t)/('2026'!Tau_j))),Resal+(Salim-Resal)*(1-EXP((Tnet-t)/(Tau_j))))*Salcycl</f>
        <v>2.0864613517044599E-2</v>
      </c>
      <c r="P148" s="169">
        <f>(INDEX(Models!$BJ148:$BT148,,T148)*(1-R148)+INDEX(Models!$BJ148:$BT148,,T148+1)*R148-ERP_i)*Q148*Ramure*Pc/MaxiM</f>
        <v>4.7301435490165881E-5</v>
      </c>
      <c r="Q148" s="305">
        <f t="shared" si="53"/>
        <v>0.7</v>
      </c>
      <c r="R148" s="177">
        <f t="shared" si="54"/>
        <v>0.27809241026892539</v>
      </c>
      <c r="S148" s="810">
        <f t="shared" si="55"/>
        <v>-1</v>
      </c>
      <c r="T148" s="176">
        <f t="shared" si="56"/>
        <v>5</v>
      </c>
      <c r="U148" s="251">
        <f t="shared" si="57"/>
        <v>-0.72190758973107461</v>
      </c>
      <c r="V148" s="383">
        <f t="shared" si="58"/>
        <v>57.336212005213532</v>
      </c>
      <c r="W148" s="402">
        <f t="shared" si="59"/>
        <v>48.059805043633887</v>
      </c>
      <c r="X148" s="157">
        <f t="shared" si="60"/>
        <v>46521</v>
      </c>
      <c r="Y148" s="385">
        <f t="shared" si="61"/>
        <v>43.652017540647371</v>
      </c>
      <c r="Z148" s="385">
        <f t="shared" si="62"/>
        <v>47.035621426740967</v>
      </c>
      <c r="AA148" s="386">
        <f t="shared" si="63"/>
        <v>52.874196773555845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0.11042390623577177</v>
      </c>
      <c r="AD148" s="231">
        <f>(INDEX(Models!$BJ148:$BT148,,AH148)*(1-AF148)+INDEX(Models!$BJ148:$BT148,,AH148+1)*AF148-ERP_i)*AE148*Ramure*Pc/MaxiM</f>
        <v>4.0074320853698581E-4</v>
      </c>
      <c r="AE148" s="305">
        <f t="shared" si="65"/>
        <v>0.7</v>
      </c>
      <c r="AF148" s="177">
        <f t="shared" si="66"/>
        <v>9.808246336810944E-2</v>
      </c>
      <c r="AG148" s="810">
        <f t="shared" si="74"/>
        <v>2</v>
      </c>
      <c r="AH148" s="176">
        <f t="shared" si="67"/>
        <v>8</v>
      </c>
      <c r="AI148" s="225">
        <f t="shared" si="68"/>
        <v>2.0980824633681094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51.179180654362625</v>
      </c>
      <c r="C149" s="840"/>
      <c r="D149" s="393">
        <f t="shared" si="50"/>
        <v>55.147521769166723</v>
      </c>
      <c r="E149" s="385">
        <f t="shared" si="72"/>
        <v>56.333725091491885</v>
      </c>
      <c r="F149" s="385">
        <f t="shared" si="51"/>
        <v>56.335966186180165</v>
      </c>
      <c r="G149" s="110">
        <f t="shared" si="73"/>
        <v>0.8912436042216707</v>
      </c>
      <c r="H149" s="414" t="b">
        <f>Wh_hp&gt;='2026'!Maxi_hp</f>
        <v>0</v>
      </c>
      <c r="I149" s="390">
        <f>IF(H149,Wh_hp,'2026'!Maxi_hp)</f>
        <v>64.201306106001624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7.1958648140428627E-2</v>
      </c>
      <c r="M149" s="844"/>
      <c r="N149" s="844"/>
      <c r="O149" s="48">
        <f>IF(t&lt;Tnet,'2026'!Resal+('2026'!Salim-'2026'!Resal)*(1-EXP(('2026'!Tnet-t)/('2026'!Tau_j))),Resal+(Salim-Resal)*(1-EXP((Tnet-t)/(Tau_j))))*Salcycl</f>
        <v>2.1056717275462364E-2</v>
      </c>
      <c r="P149" s="169">
        <f>(INDEX(Models!$BJ149:$BT149,,T149)*(1-R149)+INDEX(Models!$BJ149:$BT149,,T149+1)*R149-ERP_i)*Q149*Ramure*Pc/MaxiM</f>
        <v>4.7097868535294161E-5</v>
      </c>
      <c r="Q149" s="305">
        <f t="shared" si="53"/>
        <v>0.7</v>
      </c>
      <c r="R149" s="177">
        <f t="shared" si="54"/>
        <v>0.28119464364095714</v>
      </c>
      <c r="S149" s="810">
        <f t="shared" si="55"/>
        <v>-1</v>
      </c>
      <c r="T149" s="176">
        <f t="shared" si="56"/>
        <v>5</v>
      </c>
      <c r="U149" s="251">
        <f t="shared" si="57"/>
        <v>-0.71880535635904286</v>
      </c>
      <c r="V149" s="383">
        <f t="shared" si="58"/>
        <v>57.424037513318133</v>
      </c>
      <c r="W149" s="402">
        <f t="shared" si="59"/>
        <v>51.179180654362625</v>
      </c>
      <c r="X149" s="157">
        <f t="shared" si="60"/>
        <v>46522</v>
      </c>
      <c r="Y149" s="385">
        <f t="shared" si="61"/>
        <v>46.485496135708686</v>
      </c>
      <c r="Z149" s="385">
        <f t="shared" si="62"/>
        <v>50.089897441060089</v>
      </c>
      <c r="AA149" s="386">
        <f t="shared" si="63"/>
        <v>56.317314360863534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0.11057730629518535</v>
      </c>
      <c r="AD149" s="231">
        <f>(INDEX(Models!$BJ149:$BT149,,AH149)*(1-AF149)+INDEX(Models!$BJ149:$BT149,,AH149+1)*AF149-ERP_i)*AE149*Ramure*Pc/MaxiM</f>
        <v>3.9197862602532459E-4</v>
      </c>
      <c r="AE149" s="305">
        <f t="shared" si="65"/>
        <v>0.7</v>
      </c>
      <c r="AF149" s="177">
        <f t="shared" si="66"/>
        <v>0.10118469674014108</v>
      </c>
      <c r="AG149" s="810">
        <f t="shared" si="74"/>
        <v>2</v>
      </c>
      <c r="AH149" s="176">
        <f t="shared" si="67"/>
        <v>8</v>
      </c>
      <c r="AI149" s="225">
        <f t="shared" si="68"/>
        <v>2.1011846967401411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49.364488835930416</v>
      </c>
      <c r="C150" s="840"/>
      <c r="D150" s="393">
        <f t="shared" si="50"/>
        <v>53.193359916042702</v>
      </c>
      <c r="E150" s="385">
        <f t="shared" si="72"/>
        <v>54.348205945211738</v>
      </c>
      <c r="F150" s="385">
        <f t="shared" si="51"/>
        <v>54.350244125780428</v>
      </c>
      <c r="G150" s="110">
        <f t="shared" si="73"/>
        <v>0.8584278264294084</v>
      </c>
      <c r="H150" s="414" t="b">
        <f>Wh_hp&gt;='2026'!Maxi_hp</f>
        <v>0</v>
      </c>
      <c r="I150" s="390">
        <f>IF(H150,Wh_hp,'2026'!Maxi_hp)</f>
        <v>54.350720019855153</v>
      </c>
      <c r="J150" s="85">
        <f>IF(H150,An,'2026'!An_max)</f>
        <v>2025</v>
      </c>
      <c r="K150" s="197">
        <f t="shared" si="52"/>
        <v>46523</v>
      </c>
      <c r="L150" s="147">
        <f>IF(t&lt;Tvie,1-EXP((T0-t)*PertePVj)+'2026'!Pspv,1-EXP((T0-t)*PertePVj)+Pspv)</f>
        <v>7.1980245018467559E-2</v>
      </c>
      <c r="M150" s="844"/>
      <c r="N150" s="844"/>
      <c r="O150" s="48">
        <f>IF(t&lt;Tnet,'2026'!Resal+('2026'!Salim-'2026'!Resal)*(1-EXP(('2026'!Tnet-t)/('2026'!Tau_j))),Resal+(Salim-Resal)*(1-EXP((Tnet-t)/(Tau_j))))*Salcycl</f>
        <v>2.1249018418993154E-2</v>
      </c>
      <c r="P150" s="169">
        <f>(INDEX(Models!$BJ150:$BT150,,T150)*(1-R150)+INDEX(Models!$BJ150:$BT150,,T150+1)*R150-ERP_i)*Q150*Ramure*Pc/MaxiM</f>
        <v>4.7007353349403027E-5</v>
      </c>
      <c r="Q150" s="305">
        <f t="shared" si="53"/>
        <v>0.7</v>
      </c>
      <c r="R150" s="177">
        <f t="shared" si="54"/>
        <v>0.28435979360985797</v>
      </c>
      <c r="S150" s="810">
        <f t="shared" si="55"/>
        <v>-1</v>
      </c>
      <c r="T150" s="176">
        <f t="shared" si="56"/>
        <v>5</v>
      </c>
      <c r="U150" s="251">
        <f t="shared" si="57"/>
        <v>-0.71564020639014203</v>
      </c>
      <c r="V150" s="383">
        <f t="shared" si="58"/>
        <v>57.505148382918335</v>
      </c>
      <c r="W150" s="402">
        <f t="shared" si="59"/>
        <v>49.364488835930416</v>
      </c>
      <c r="X150" s="157">
        <f t="shared" si="60"/>
        <v>46523</v>
      </c>
      <c r="Y150" s="385">
        <f t="shared" si="61"/>
        <v>44.839239893348328</v>
      </c>
      <c r="Z150" s="385">
        <f t="shared" si="62"/>
        <v>48.317117876699321</v>
      </c>
      <c r="AA150" s="386">
        <f t="shared" si="63"/>
        <v>54.333556172814504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0.11073153903232776</v>
      </c>
      <c r="AD150" s="231">
        <f>(INDEX(Models!$BJ150:$BT150,,AH150)*(1-AF150)+INDEX(Models!$BJ150:$BT150,,AH150+1)*AF150-ERP_i)*AE150*Ramure*Pc/MaxiM</f>
        <v>3.8488076758136434E-4</v>
      </c>
      <c r="AE150" s="305">
        <f t="shared" si="65"/>
        <v>0.7</v>
      </c>
      <c r="AF150" s="177">
        <f t="shared" si="66"/>
        <v>0.10434984670904202</v>
      </c>
      <c r="AG150" s="810">
        <f t="shared" si="74"/>
        <v>2</v>
      </c>
      <c r="AH150" s="176">
        <f t="shared" si="67"/>
        <v>8</v>
      </c>
      <c r="AI150" s="225">
        <f t="shared" si="68"/>
        <v>2.104349846709042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53.087391909316729</v>
      </c>
      <c r="C151" s="840"/>
      <c r="D151" s="393">
        <f t="shared" si="50"/>
        <v>57.206354793912041</v>
      </c>
      <c r="E151" s="385">
        <f t="shared" si="72"/>
        <v>58.459821445070546</v>
      </c>
      <c r="F151" s="385">
        <f t="shared" si="51"/>
        <v>58.462260742076651</v>
      </c>
      <c r="G151" s="110">
        <f t="shared" si="73"/>
        <v>0.92197379248341549</v>
      </c>
      <c r="H151" s="414" t="b">
        <f>Wh_hp&gt;='2026'!Maxi_hp</f>
        <v>0</v>
      </c>
      <c r="I151" s="390">
        <f>IF(H151,Wh_hp,'2026'!Maxi_hp)</f>
        <v>59.772823260261717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7.2001841393915522E-2</v>
      </c>
      <c r="M151" s="844"/>
      <c r="N151" s="844"/>
      <c r="O151" s="48">
        <f>IF(t&lt;Tnet,'2026'!Resal+('2026'!Salim-'2026'!Resal)*(1-EXP(('2026'!Tnet-t)/('2026'!Tau_j))),Resal+(Salim-Resal)*(1-EXP((Tnet-t)/(Tau_j))))*Salcycl</f>
        <v>2.1441506665159329E-2</v>
      </c>
      <c r="P151" s="169">
        <f>(INDEX(Models!$BJ151:$BT151,,T151)*(1-R151)+INDEX(Models!$BJ151:$BT151,,T151+1)*R151-ERP_i)*Q151*Ramure*Pc/MaxiM</f>
        <v>4.6958223873142077E-5</v>
      </c>
      <c r="Q151" s="305">
        <f t="shared" si="53"/>
        <v>0.7</v>
      </c>
      <c r="R151" s="177">
        <f t="shared" si="54"/>
        <v>0.28758704029783699</v>
      </c>
      <c r="S151" s="810">
        <f t="shared" si="55"/>
        <v>-1</v>
      </c>
      <c r="T151" s="176">
        <f t="shared" si="56"/>
        <v>5</v>
      </c>
      <c r="U151" s="251">
        <f t="shared" si="57"/>
        <v>-0.71241295970216301</v>
      </c>
      <c r="V151" s="383">
        <f t="shared" si="58"/>
        <v>57.579851483035512</v>
      </c>
      <c r="W151" s="402">
        <f t="shared" si="59"/>
        <v>53.087391909316729</v>
      </c>
      <c r="X151" s="157">
        <f t="shared" si="60"/>
        <v>46524</v>
      </c>
      <c r="Y151" s="385">
        <f t="shared" si="61"/>
        <v>48.220729439542666</v>
      </c>
      <c r="Z151" s="385">
        <f t="shared" si="62"/>
        <v>51.962096036885931</v>
      </c>
      <c r="AA151" s="386">
        <f t="shared" si="63"/>
        <v>58.442592535047282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0.11088653355470286</v>
      </c>
      <c r="AD151" s="231">
        <f>(INDEX(Models!$BJ151:$BT151,,AH151)*(1-AF151)+INDEX(Models!$BJ151:$BT151,,AH151+1)*AF151-ERP_i)*AE151*Ramure*Pc/MaxiM</f>
        <v>3.7862714813193801E-4</v>
      </c>
      <c r="AE151" s="305">
        <f t="shared" si="65"/>
        <v>0.7</v>
      </c>
      <c r="AF151" s="177">
        <f t="shared" si="66"/>
        <v>0.10757709339702082</v>
      </c>
      <c r="AG151" s="810">
        <f t="shared" si="74"/>
        <v>2</v>
      </c>
      <c r="AH151" s="176">
        <f t="shared" si="67"/>
        <v>8</v>
      </c>
      <c r="AI151" s="225">
        <f t="shared" si="68"/>
        <v>2.1075770933970208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51.88657280839103</v>
      </c>
      <c r="C152" s="840"/>
      <c r="D152" s="393">
        <f t="shared" si="50"/>
        <v>55.913667318888876</v>
      </c>
      <c r="E152" s="385">
        <f t="shared" si="72"/>
        <v>57.150061502099369</v>
      </c>
      <c r="F152" s="385">
        <f t="shared" si="51"/>
        <v>57.152361720547972</v>
      </c>
      <c r="G152" s="110">
        <f t="shared" si="73"/>
        <v>0.90004545715121964</v>
      </c>
      <c r="H152" s="414" t="b">
        <f>Wh_hp&gt;='2026'!Maxi_hp</f>
        <v>0</v>
      </c>
      <c r="I152" s="390">
        <f>IF(H152,Wh_hp,'2026'!Maxi_hp)</f>
        <v>66.086546918529152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7.2023437266784396E-2</v>
      </c>
      <c r="M152" s="844"/>
      <c r="N152" s="844"/>
      <c r="O152" s="48">
        <f>IF(t&lt;Tnet,'2026'!Resal+('2026'!Salim-'2026'!Resal)*(1-EXP(('2026'!Tnet-t)/('2026'!Tau_j))),Resal+(Salim-Resal)*(1-EXP((Tnet-t)/(Tau_j))))*Salcycl</f>
        <v>2.163417065028134E-2</v>
      </c>
      <c r="P152" s="169">
        <f>(INDEX(Models!$BJ152:$BT152,,T152)*(1-R152)+INDEX(Models!$BJ152:$BT152,,T152+1)*R152-ERP_i)*Q152*Ramure*Pc/MaxiM</f>
        <v>4.6950954031174925E-5</v>
      </c>
      <c r="Q152" s="305">
        <f t="shared" si="53"/>
        <v>0.7</v>
      </c>
      <c r="R152" s="177">
        <f t="shared" si="54"/>
        <v>0.29087542447700265</v>
      </c>
      <c r="S152" s="810">
        <f t="shared" si="55"/>
        <v>-1</v>
      </c>
      <c r="T152" s="176">
        <f t="shared" si="56"/>
        <v>5</v>
      </c>
      <c r="U152" s="251">
        <f t="shared" si="57"/>
        <v>-0.70912457552299735</v>
      </c>
      <c r="V152" s="383">
        <f t="shared" si="58"/>
        <v>57.648449357312856</v>
      </c>
      <c r="W152" s="402">
        <f t="shared" si="59"/>
        <v>51.88657280839103</v>
      </c>
      <c r="X152" s="157">
        <f t="shared" si="60"/>
        <v>46525</v>
      </c>
      <c r="Y152" s="385">
        <f t="shared" si="61"/>
        <v>47.131727543788045</v>
      </c>
      <c r="Z152" s="385">
        <f t="shared" si="62"/>
        <v>50.789782238646865</v>
      </c>
      <c r="AA152" s="386">
        <f t="shared" si="63"/>
        <v>57.134076704484436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0.11104221564045343</v>
      </c>
      <c r="AD152" s="231">
        <f>(INDEX(Models!$BJ152:$BT152,,AH152)*(1-AF152)+INDEX(Models!$BJ152:$BT152,,AH152+1)*AF152-ERP_i)*AE152*Ramure*Pc/MaxiM</f>
        <v>3.7322496442938538E-4</v>
      </c>
      <c r="AE152" s="305">
        <f t="shared" si="65"/>
        <v>0.7</v>
      </c>
      <c r="AF152" s="177">
        <f t="shared" si="66"/>
        <v>0.11086547757618659</v>
      </c>
      <c r="AG152" s="810">
        <f t="shared" si="74"/>
        <v>2</v>
      </c>
      <c r="AH152" s="176">
        <f t="shared" si="67"/>
        <v>8</v>
      </c>
      <c r="AI152" s="225">
        <f t="shared" si="68"/>
        <v>2.1108654775761866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54.844438266585705</v>
      </c>
      <c r="C153" s="840"/>
      <c r="D153" s="393">
        <f t="shared" si="50"/>
        <v>59.102478240343935</v>
      </c>
      <c r="E153" s="385">
        <f t="shared" si="72"/>
        <v>60.421293693055063</v>
      </c>
      <c r="F153" s="385">
        <f t="shared" si="51"/>
        <v>60.42393130385949</v>
      </c>
      <c r="G153" s="110">
        <f t="shared" si="73"/>
        <v>0.95032183061876974</v>
      </c>
      <c r="H153" s="414" t="b">
        <f>Wh_hp&gt;='2026'!Maxi_hp</f>
        <v>0</v>
      </c>
      <c r="I153" s="390">
        <f>IF(H153,Wh_hp,'2026'!Maxi_hp)</f>
        <v>64.867381436850934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7.2045032637085726E-2</v>
      </c>
      <c r="M153" s="844"/>
      <c r="N153" s="844"/>
      <c r="O153" s="48">
        <f>IF(t&lt;Tnet,'2026'!Resal+('2026'!Salim-'2026'!Resal)*(1-EXP(('2026'!Tnet-t)/('2026'!Tau_j))),Resal+(Salim-Resal)*(1-EXP((Tnet-t)/(Tau_j))))*Salcycl</f>
        <v>2.1826997935708116E-2</v>
      </c>
      <c r="P153" s="169">
        <f>(INDEX(Models!$BJ153:$BT153,,T153)*(1-R153)+INDEX(Models!$BJ153:$BT153,,T153+1)*R153-ERP_i)*Q153*Ramure*Pc/MaxiM</f>
        <v>4.6986092134896176E-5</v>
      </c>
      <c r="Q153" s="305">
        <f t="shared" si="53"/>
        <v>0.7</v>
      </c>
      <c r="R153" s="177">
        <f t="shared" si="54"/>
        <v>0.29422384509083988</v>
      </c>
      <c r="S153" s="810">
        <f t="shared" si="55"/>
        <v>-1</v>
      </c>
      <c r="T153" s="176">
        <f t="shared" si="56"/>
        <v>5</v>
      </c>
      <c r="U153" s="251">
        <f t="shared" si="57"/>
        <v>-0.70577615490916012</v>
      </c>
      <c r="V153" s="383">
        <f t="shared" si="58"/>
        <v>57.711244361491708</v>
      </c>
      <c r="W153" s="402">
        <f t="shared" si="59"/>
        <v>54.844438266585705</v>
      </c>
      <c r="X153" s="157">
        <f t="shared" si="60"/>
        <v>46526</v>
      </c>
      <c r="Y153" s="385">
        <f t="shared" si="61"/>
        <v>49.818640753261441</v>
      </c>
      <c r="Z153" s="385">
        <f t="shared" si="62"/>
        <v>53.686485341888201</v>
      </c>
      <c r="AA153" s="386">
        <f t="shared" si="63"/>
        <v>60.403234938135363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0.11119850788002363</v>
      </c>
      <c r="AD153" s="231">
        <f>(INDEX(Models!$BJ153:$BT153,,AH153)*(1-AF153)+INDEX(Models!$BJ153:$BT153,,AH153+1)*AF153-ERP_i)*AE153*Ramure*Pc/MaxiM</f>
        <v>3.6868265217070378E-4</v>
      </c>
      <c r="AE153" s="305">
        <f t="shared" si="65"/>
        <v>0.7</v>
      </c>
      <c r="AF153" s="177">
        <f t="shared" si="66"/>
        <v>0.11421389819002403</v>
      </c>
      <c r="AG153" s="810">
        <f t="shared" si="74"/>
        <v>2</v>
      </c>
      <c r="AH153" s="176">
        <f t="shared" si="67"/>
        <v>8</v>
      </c>
      <c r="AI153" s="225">
        <f t="shared" si="68"/>
        <v>2.114213898190024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48.080874099756159</v>
      </c>
      <c r="C154" s="840"/>
      <c r="D154" s="393">
        <f t="shared" si="50"/>
        <v>51.815006901270259</v>
      </c>
      <c r="E154" s="385">
        <f t="shared" si="72"/>
        <v>52.98166176994107</v>
      </c>
      <c r="F154" s="385">
        <f t="shared" si="51"/>
        <v>52.983558006207218</v>
      </c>
      <c r="G154" s="110">
        <f t="shared" si="73"/>
        <v>0.83229268186534333</v>
      </c>
      <c r="H154" s="414" t="b">
        <f>Wh_hp&gt;='2026'!Maxi_hp</f>
        <v>0</v>
      </c>
      <c r="I154" s="390">
        <f>IF(H154,Wh_hp,'2026'!Maxi_hp)</f>
        <v>62.875000616079284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7.2066627504831171E-2</v>
      </c>
      <c r="M154" s="844"/>
      <c r="N154" s="844"/>
      <c r="O154" s="48">
        <f>IF(t&lt;Tnet,'2026'!Resal+('2026'!Salim-'2026'!Resal)*(1-EXP(('2026'!Tnet-t)/('2026'!Tau_j))),Resal+(Salim-Resal)*(1-EXP((Tnet-t)/(Tau_j))))*Salcycl</f>
        <v>2.2019975019596551E-2</v>
      </c>
      <c r="P154" s="169">
        <f>(INDEX(Models!$BJ154:$BT154,,T154)*(1-R154)+INDEX(Models!$BJ154:$BT154,,T154+1)*R154-ERP_i)*Q154*Ramure*Pc/MaxiM</f>
        <v>4.7064258098406961E-5</v>
      </c>
      <c r="Q154" s="305">
        <f t="shared" si="53"/>
        <v>0.7</v>
      </c>
      <c r="R154" s="177">
        <f t="shared" si="54"/>
        <v>0.29763105733696849</v>
      </c>
      <c r="S154" s="810">
        <f t="shared" si="55"/>
        <v>-1</v>
      </c>
      <c r="T154" s="176">
        <f t="shared" si="56"/>
        <v>5</v>
      </c>
      <c r="U154" s="251">
        <f t="shared" si="57"/>
        <v>-0.70236894266303151</v>
      </c>
      <c r="V154" s="383">
        <f t="shared" si="58"/>
        <v>57.768538653164278</v>
      </c>
      <c r="W154" s="402">
        <f t="shared" si="59"/>
        <v>48.080874099756159</v>
      </c>
      <c r="X154" s="157">
        <f t="shared" si="60"/>
        <v>46527</v>
      </c>
      <c r="Y154" s="385">
        <f t="shared" si="61"/>
        <v>43.678276380449319</v>
      </c>
      <c r="Z154" s="385">
        <f t="shared" si="62"/>
        <v>47.070487682753026</v>
      </c>
      <c r="AA154" s="386">
        <f t="shared" si="63"/>
        <v>52.968851626841897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0.11135532983878929</v>
      </c>
      <c r="AD154" s="231">
        <f>(INDEX(Models!$BJ154:$BT154,,AH154)*(1-AF154)+INDEX(Models!$BJ154:$BT154,,AH154+1)*AF154-ERP_i)*AE154*Ramure*Pc/MaxiM</f>
        <v>3.6500980732179965E-4</v>
      </c>
      <c r="AE154" s="305">
        <f t="shared" si="65"/>
        <v>0.7</v>
      </c>
      <c r="AF154" s="177">
        <f t="shared" si="66"/>
        <v>0.11762111043615242</v>
      </c>
      <c r="AG154" s="810">
        <f t="shared" si="74"/>
        <v>2</v>
      </c>
      <c r="AH154" s="176">
        <f t="shared" si="67"/>
        <v>8</v>
      </c>
      <c r="AI154" s="225">
        <f t="shared" si="68"/>
        <v>2.1176211104361524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47.65944723277314</v>
      </c>
      <c r="C155" s="840"/>
      <c r="D155" s="393">
        <f t="shared" si="50"/>
        <v>51.362045785022623</v>
      </c>
      <c r="E155" s="385">
        <f t="shared" si="72"/>
        <v>52.528874257534738</v>
      </c>
      <c r="F155" s="385">
        <f t="shared" si="51"/>
        <v>52.530730691935581</v>
      </c>
      <c r="G155" s="110">
        <f t="shared" si="73"/>
        <v>0.82425388944882738</v>
      </c>
      <c r="H155" s="414" t="b">
        <f>Wh_hp&gt;='2026'!Maxi_hp</f>
        <v>0</v>
      </c>
      <c r="I155" s="390">
        <f>IF(H155,Wh_hp,'2026'!Maxi_hp)</f>
        <v>62.49902622803689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7.2088221870032609E-2</v>
      </c>
      <c r="M155" s="844"/>
      <c r="N155" s="844"/>
      <c r="O155" s="48">
        <f>IF(t&lt;Tnet,'2026'!Resal+('2026'!Salim-'2026'!Resal)*(1-EXP(('2026'!Tnet-t)/('2026'!Tau_j))),Resal+(Salim-Resal)*(1-EXP((Tnet-t)/(Tau_j))))*Salcycl</f>
        <v>2.2213087354422997E-2</v>
      </c>
      <c r="P155" s="169">
        <f>(INDEX(Models!$BJ155:$BT155,,T155)*(1-R155)+INDEX(Models!$BJ155:$BT155,,T155+1)*R155-ERP_i)*Q155*Ramure*Pc/MaxiM</f>
        <v>4.7186140393499606E-5</v>
      </c>
      <c r="Q155" s="305">
        <f t="shared" si="53"/>
        <v>0.7</v>
      </c>
      <c r="R155" s="177">
        <f t="shared" si="54"/>
        <v>0.30109567135372273</v>
      </c>
      <c r="S155" s="810">
        <f t="shared" si="55"/>
        <v>-1</v>
      </c>
      <c r="T155" s="176">
        <f t="shared" si="56"/>
        <v>5</v>
      </c>
      <c r="U155" s="251">
        <f t="shared" si="57"/>
        <v>-0.69890432864627727</v>
      </c>
      <c r="V155" s="383">
        <f t="shared" si="58"/>
        <v>57.820634201331906</v>
      </c>
      <c r="W155" s="402">
        <f t="shared" si="59"/>
        <v>47.65944723277314</v>
      </c>
      <c r="X155" s="157">
        <f t="shared" si="60"/>
        <v>46528</v>
      </c>
      <c r="Y155" s="385">
        <f t="shared" si="61"/>
        <v>43.296577839596793</v>
      </c>
      <c r="Z155" s="385">
        <f t="shared" si="62"/>
        <v>46.66023091856097</v>
      </c>
      <c r="AA155" s="386">
        <f t="shared" si="63"/>
        <v>52.516480060563069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0.11151259824056285</v>
      </c>
      <c r="AD155" s="231">
        <f>(INDEX(Models!$BJ155:$BT155,,AH155)*(1-AF155)+INDEX(Models!$BJ155:$BT155,,AH155+1)*AF155-ERP_i)*AE155*Ramure*Pc/MaxiM</f>
        <v>3.6221710410779516E-4</v>
      </c>
      <c r="AE155" s="305">
        <f t="shared" si="65"/>
        <v>0.7</v>
      </c>
      <c r="AF155" s="177">
        <f t="shared" si="66"/>
        <v>0.12108572445290644</v>
      </c>
      <c r="AG155" s="810">
        <f t="shared" si="74"/>
        <v>2</v>
      </c>
      <c r="AH155" s="176">
        <f t="shared" si="67"/>
        <v>8</v>
      </c>
      <c r="AI155" s="225">
        <f t="shared" si="68"/>
        <v>2.1210857244529064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35.29986014864069</v>
      </c>
      <c r="C156" s="840"/>
      <c r="D156" s="393">
        <f t="shared" si="50"/>
        <v>38.043144271986193</v>
      </c>
      <c r="E156" s="385">
        <f t="shared" si="72"/>
        <v>38.915088165754149</v>
      </c>
      <c r="F156" s="385">
        <f t="shared" si="51"/>
        <v>38.915904856453068</v>
      </c>
      <c r="G156" s="110">
        <f t="shared" si="73"/>
        <v>0.60999224794606555</v>
      </c>
      <c r="H156" s="414" t="b">
        <f>Wh_hp&gt;='2026'!Maxi_hp</f>
        <v>0</v>
      </c>
      <c r="I156" s="390">
        <f>IF(H156,Wh_hp,'2026'!Maxi_hp)</f>
        <v>62.066231268120049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7.2109815732701477E-2</v>
      </c>
      <c r="M156" s="844"/>
      <c r="N156" s="844"/>
      <c r="O156" s="48">
        <f>IF(t&lt;Tnet,'2026'!Resal+('2026'!Salim-'2026'!Resal)*(1-EXP(('2026'!Tnet-t)/('2026'!Tau_j))),Resal+(Salim-Resal)*(1-EXP((Tnet-t)/(Tau_j))))*Salcycl</f>
        <v>2.2406319370368914E-2</v>
      </c>
      <c r="P156" s="169">
        <f>(INDEX(Models!$BJ156:$BT156,,T156)*(1-R156)+INDEX(Models!$BJ156:$BT156,,T156+1)*R156-ERP_i)*Q156*Ramure*Pc/MaxiM</f>
        <v>4.7386553298559425E-5</v>
      </c>
      <c r="Q156" s="305">
        <f t="shared" si="53"/>
        <v>0.7</v>
      </c>
      <c r="R156" s="177">
        <f t="shared" si="54"/>
        <v>0.30461615155016719</v>
      </c>
      <c r="S156" s="810">
        <f t="shared" si="55"/>
        <v>-1</v>
      </c>
      <c r="T156" s="176">
        <f t="shared" si="56"/>
        <v>5</v>
      </c>
      <c r="U156" s="251">
        <f t="shared" si="57"/>
        <v>-0.69538384844983281</v>
      </c>
      <c r="V156" s="383">
        <f t="shared" si="58"/>
        <v>57.867830801913499</v>
      </c>
      <c r="W156" s="402">
        <f t="shared" si="59"/>
        <v>35.29986014864069</v>
      </c>
      <c r="X156" s="157">
        <f t="shared" si="60"/>
        <v>46529</v>
      </c>
      <c r="Y156" s="385">
        <f t="shared" si="61"/>
        <v>32.072190763973708</v>
      </c>
      <c r="Z156" s="385">
        <f t="shared" si="62"/>
        <v>34.564640630722131</v>
      </c>
      <c r="AA156" s="386">
        <f t="shared" si="63"/>
        <v>38.909695124451069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0.11167022717169736</v>
      </c>
      <c r="AD156" s="231">
        <f>(INDEX(Models!$BJ156:$BT156,,AH156)*(1-AF156)+INDEX(Models!$BJ156:$BT156,,AH156+1)*AF156-ERP_i)*AE156*Ramure*Pc/MaxiM</f>
        <v>3.6030506637611663E-4</v>
      </c>
      <c r="AE156" s="305">
        <f t="shared" si="65"/>
        <v>0.7</v>
      </c>
      <c r="AF156" s="177">
        <f t="shared" si="66"/>
        <v>0.12460620464935124</v>
      </c>
      <c r="AG156" s="810">
        <f t="shared" si="74"/>
        <v>2</v>
      </c>
      <c r="AH156" s="176">
        <f t="shared" si="67"/>
        <v>8</v>
      </c>
      <c r="AI156" s="225">
        <f t="shared" si="68"/>
        <v>2.1246062046493512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20.053637203369075</v>
      </c>
      <c r="C157" s="840"/>
      <c r="D157" s="393">
        <f t="shared" si="50"/>
        <v>21.612583290229939</v>
      </c>
      <c r="E157" s="385">
        <f t="shared" si="72"/>
        <v>22.112313945701832</v>
      </c>
      <c r="F157" s="385">
        <f t="shared" si="51"/>
        <v>22.112383644172738</v>
      </c>
      <c r="G157" s="110">
        <f t="shared" si="73"/>
        <v>0.34627172549687918</v>
      </c>
      <c r="H157" s="414" t="b">
        <f>Wh_hp&gt;='2026'!Maxi_hp</f>
        <v>0</v>
      </c>
      <c r="I157" s="390">
        <f>IF(H157,Wh_hp,'2026'!Maxi_hp)</f>
        <v>58.102638040850181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7.2131409092849763E-2</v>
      </c>
      <c r="M157" s="844"/>
      <c r="N157" s="844"/>
      <c r="O157" s="48">
        <f>IF(t&lt;Tnet,'2026'!Resal+('2026'!Salim-'2026'!Resal)*(1-EXP(('2026'!Tnet-t)/('2026'!Tau_j))),Resal+(Salim-Resal)*(1-EXP((Tnet-t)/(Tau_j))))*Salcycl</f>
        <v>2.2599654504680669E-2</v>
      </c>
      <c r="P157" s="169">
        <f>(INDEX(Models!$BJ157:$BT157,,T157)*(1-R157)+INDEX(Models!$BJ157:$BT157,,T157+1)*R157-ERP_i)*Q157*Ramure*Pc/MaxiM</f>
        <v>4.7667829234495051E-5</v>
      </c>
      <c r="Q157" s="305">
        <f t="shared" si="53"/>
        <v>0.7</v>
      </c>
      <c r="R157" s="177">
        <f t="shared" si="54"/>
        <v>0.30819081661558512</v>
      </c>
      <c r="S157" s="810">
        <f t="shared" si="55"/>
        <v>-1</v>
      </c>
      <c r="T157" s="176">
        <f t="shared" si="56"/>
        <v>5</v>
      </c>
      <c r="U157" s="251">
        <f t="shared" si="57"/>
        <v>-0.69180918338441488</v>
      </c>
      <c r="V157" s="383">
        <f t="shared" si="58"/>
        <v>57.91042993102316</v>
      </c>
      <c r="W157" s="402">
        <f t="shared" si="59"/>
        <v>20.053637203369075</v>
      </c>
      <c r="X157" s="157">
        <f t="shared" si="60"/>
        <v>46530</v>
      </c>
      <c r="Y157" s="385">
        <f t="shared" si="61"/>
        <v>18.222533021637037</v>
      </c>
      <c r="Z157" s="385">
        <f t="shared" si="62"/>
        <v>19.63913123066424</v>
      </c>
      <c r="AA157" s="386">
        <f t="shared" si="63"/>
        <v>22.1118590405164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0.11182812830532639</v>
      </c>
      <c r="AD157" s="231">
        <f>(INDEX(Models!$BJ157:$BT157,,AH157)*(1-AF157)+INDEX(Models!$BJ157:$BT157,,AH157+1)*AF157-ERP_i)*AE157*Ramure*Pc/MaxiM</f>
        <v>3.5878430589777761E-4</v>
      </c>
      <c r="AE157" s="305">
        <f t="shared" si="65"/>
        <v>0.7</v>
      </c>
      <c r="AF157" s="177">
        <f t="shared" si="66"/>
        <v>0.12818086971476905</v>
      </c>
      <c r="AG157" s="810">
        <f t="shared" si="74"/>
        <v>2</v>
      </c>
      <c r="AH157" s="176">
        <f t="shared" si="67"/>
        <v>8</v>
      </c>
      <c r="AI157" s="225">
        <f t="shared" si="68"/>
        <v>2.1281808697147691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16.324957518919252</v>
      </c>
      <c r="C158" s="840"/>
      <c r="D158" s="393">
        <f t="shared" si="50"/>
        <v>17.594449896628465</v>
      </c>
      <c r="E158" s="385">
        <f t="shared" si="72"/>
        <v>18.004835466036671</v>
      </c>
      <c r="F158" s="385">
        <f t="shared" si="51"/>
        <v>18.004835466036671</v>
      </c>
      <c r="G158" s="110">
        <f t="shared" si="73"/>
        <v>0.28170026478722804</v>
      </c>
      <c r="H158" s="414" t="b">
        <f>Wh_hp&gt;='2026'!Maxi_hp</f>
        <v>0</v>
      </c>
      <c r="I158" s="390">
        <f>IF(H158,Wh_hp,'2026'!Maxi_hp)</f>
        <v>29.473911948934084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7.2153001950488904E-2</v>
      </c>
      <c r="M158" s="844"/>
      <c r="N158" s="844"/>
      <c r="O158" s="48">
        <f>IF(t&lt;Tnet,'2026'!Resal+('2026'!Salim-'2026'!Resal)*(1-EXP(('2026'!Tnet-t)/('2026'!Tau_j))),Resal+(Salim-Resal)*(1-EXP((Tnet-t)/(Tau_j))))*Salcycl</f>
        <v>2.2793075237057019E-2</v>
      </c>
      <c r="P158" s="169">
        <f>(INDEX(Models!$BJ158:$BT158,,T158)*(1-R158)+INDEX(Models!$BJ158:$BT158,,T158+1)*R158-ERP_i)*Q158*Ramure*Pc/MaxiM</f>
        <v>4.8031515287019896E-5</v>
      </c>
      <c r="Q158" s="305">
        <f t="shared" si="53"/>
        <v>0.7</v>
      </c>
      <c r="R158" s="177">
        <f t="shared" si="54"/>
        <v>0.31181784024024872</v>
      </c>
      <c r="S158" s="810">
        <f t="shared" si="55"/>
        <v>-1</v>
      </c>
      <c r="T158" s="176">
        <f t="shared" si="56"/>
        <v>5</v>
      </c>
      <c r="U158" s="251">
        <f t="shared" si="57"/>
        <v>-0.68818215975975128</v>
      </c>
      <c r="V158" s="383">
        <f t="shared" si="58"/>
        <v>57.948732915826291</v>
      </c>
      <c r="W158" s="402">
        <f t="shared" si="59"/>
        <v>16.324957518919252</v>
      </c>
      <c r="X158" s="157">
        <f t="shared" si="60"/>
        <v>46531</v>
      </c>
      <c r="Y158" s="385">
        <f t="shared" si="61"/>
        <v>14.834920846255446</v>
      </c>
      <c r="Z158" s="385">
        <f t="shared" si="62"/>
        <v>15.988542159904512</v>
      </c>
      <c r="AA158" s="386">
        <f t="shared" si="63"/>
        <v>18.004835466036671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0.11198621114508849</v>
      </c>
      <c r="AD158" s="231">
        <f>(INDEX(Models!$BJ158:$BT158,,AH158)*(1-AF158)+INDEX(Models!$BJ158:$BT158,,AH158+1)*AF158-ERP_i)*AE158*Ramure*Pc/MaxiM</f>
        <v>3.576535138229945E-4</v>
      </c>
      <c r="AE158" s="305">
        <f t="shared" si="65"/>
        <v>0.7</v>
      </c>
      <c r="AF158" s="177">
        <f t="shared" si="66"/>
        <v>0.13180789333943244</v>
      </c>
      <c r="AG158" s="810">
        <f t="shared" si="74"/>
        <v>2</v>
      </c>
      <c r="AH158" s="176">
        <f t="shared" si="67"/>
        <v>8</v>
      </c>
      <c r="AI158" s="225">
        <f t="shared" si="68"/>
        <v>2.1318078933394324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39.763095728211482</v>
      </c>
      <c r="C159" s="840"/>
      <c r="D159" s="393">
        <f t="shared" si="50"/>
        <v>42.856226488488353</v>
      </c>
      <c r="E159" s="385">
        <f t="shared" si="72"/>
        <v>43.864521071308154</v>
      </c>
      <c r="F159" s="385">
        <f t="shared" si="51"/>
        <v>43.865693037331802</v>
      </c>
      <c r="G159" s="110">
        <f t="shared" si="73"/>
        <v>0.68575621039989054</v>
      </c>
      <c r="H159" s="414" t="b">
        <f>Wh_hp&gt;='2026'!Maxi_hp</f>
        <v>0</v>
      </c>
      <c r="I159" s="390">
        <f>IF(H159,Wh_hp,'2026'!Maxi_hp)</f>
        <v>60.701429062818967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7.2174594305630779E-2</v>
      </c>
      <c r="M159" s="844"/>
      <c r="N159" s="844"/>
      <c r="O159" s="48">
        <f>IF(t&lt;Tnet,'2026'!Resal+('2026'!Salim-'2026'!Resal)*(1-EXP(('2026'!Tnet-t)/('2026'!Tau_j))),Resal+(Salim-Resal)*(1-EXP((Tnet-t)/(Tau_j))))*Salcycl</f>
        <v>2.2986563131070663E-2</v>
      </c>
      <c r="P159" s="169">
        <f>(INDEX(Models!$BJ159:$BT159,,T159)*(1-R159)+INDEX(Models!$BJ159:$BT159,,T159+1)*R159-ERP_i)*Q159*Ramure*Pc/MaxiM</f>
        <v>4.8479522936526277E-5</v>
      </c>
      <c r="Q159" s="305">
        <f t="shared" si="53"/>
        <v>0.7</v>
      </c>
      <c r="R159" s="177">
        <f t="shared" si="54"/>
        <v>0.31549525257442235</v>
      </c>
      <c r="S159" s="810">
        <f t="shared" si="55"/>
        <v>-1</v>
      </c>
      <c r="T159" s="176">
        <f t="shared" si="56"/>
        <v>5</v>
      </c>
      <c r="U159" s="251">
        <f t="shared" si="57"/>
        <v>-0.68450474742557765</v>
      </c>
      <c r="V159" s="383">
        <f t="shared" si="58"/>
        <v>57.983040856946914</v>
      </c>
      <c r="W159" s="402">
        <f t="shared" si="59"/>
        <v>39.763095728211482</v>
      </c>
      <c r="X159" s="157">
        <f t="shared" si="60"/>
        <v>46532</v>
      </c>
      <c r="Y159" s="385">
        <f t="shared" si="61"/>
        <v>36.128353492232215</v>
      </c>
      <c r="Z159" s="385">
        <f t="shared" si="62"/>
        <v>38.938741352091292</v>
      </c>
      <c r="AA159" s="386">
        <f t="shared" si="63"/>
        <v>43.857064841546254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0.11214438328749676</v>
      </c>
      <c r="AD159" s="231">
        <f>(INDEX(Models!$BJ159:$BT159,,AH159)*(1-AF159)+INDEX(Models!$BJ159:$BT159,,AH159+1)*AF159-ERP_i)*AE159*Ramure*Pc/MaxiM</f>
        <v>3.5691377313641621E-4</v>
      </c>
      <c r="AE159" s="305">
        <f t="shared" si="65"/>
        <v>0.7</v>
      </c>
      <c r="AF159" s="177">
        <f t="shared" si="66"/>
        <v>0.13548530567360606</v>
      </c>
      <c r="AG159" s="810">
        <f t="shared" si="74"/>
        <v>2</v>
      </c>
      <c r="AH159" s="176">
        <f t="shared" si="67"/>
        <v>8</v>
      </c>
      <c r="AI159" s="225">
        <f t="shared" si="68"/>
        <v>2.1354853056736061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23.404347849249888</v>
      </c>
      <c r="C160" s="840"/>
      <c r="D160" s="393">
        <f t="shared" si="50"/>
        <v>25.225535291066134</v>
      </c>
      <c r="E160" s="385">
        <f t="shared" si="72"/>
        <v>25.824141443252625</v>
      </c>
      <c r="F160" s="385">
        <f t="shared" si="51"/>
        <v>25.82432846362417</v>
      </c>
      <c r="G160" s="110">
        <f t="shared" si="73"/>
        <v>0.4034114096634106</v>
      </c>
      <c r="H160" s="414" t="b">
        <f>Wh_hp&gt;='2026'!Maxi_hp</f>
        <v>0</v>
      </c>
      <c r="I160" s="390">
        <f>IF(H160,Wh_hp,'2026'!Maxi_hp)</f>
        <v>63.484208413127426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7.2196186158286935E-2</v>
      </c>
      <c r="M160" s="844"/>
      <c r="N160" s="844"/>
      <c r="O160" s="48">
        <f>IF(t&lt;Tnet,'2026'!Resal+('2026'!Salim-'2026'!Resal)*(1-EXP(('2026'!Tnet-t)/('2026'!Tau_j))),Resal+(Salim-Resal)*(1-EXP((Tnet-t)/(Tau_j))))*Salcycl</f>
        <v>2.3180098881579476E-2</v>
      </c>
      <c r="P160" s="169">
        <f>(INDEX(Models!$BJ160:$BT160,,T160)*(1-R160)+INDEX(Models!$BJ160:$BT160,,T160+1)*R160-ERP_i)*Q160*Ramure*Pc/MaxiM</f>
        <v>4.9013835946507484E-5</v>
      </c>
      <c r="Q160" s="305">
        <f t="shared" si="53"/>
        <v>0.7</v>
      </c>
      <c r="R160" s="177">
        <f t="shared" si="54"/>
        <v>0.31922094244708821</v>
      </c>
      <c r="S160" s="810">
        <f t="shared" si="55"/>
        <v>-1</v>
      </c>
      <c r="T160" s="176">
        <f t="shared" si="56"/>
        <v>5</v>
      </c>
      <c r="U160" s="251">
        <f t="shared" si="57"/>
        <v>-0.68077905755291179</v>
      </c>
      <c r="V160" s="383">
        <f t="shared" si="58"/>
        <v>58.013654645136903</v>
      </c>
      <c r="W160" s="402">
        <f t="shared" si="59"/>
        <v>23.404347849249888</v>
      </c>
      <c r="X160" s="157">
        <f t="shared" si="60"/>
        <v>46533</v>
      </c>
      <c r="Y160" s="385">
        <f t="shared" si="61"/>
        <v>21.268030830440672</v>
      </c>
      <c r="Z160" s="385">
        <f t="shared" si="62"/>
        <v>22.922982761169248</v>
      </c>
      <c r="AA160" s="386">
        <f t="shared" si="63"/>
        <v>25.822967925947161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0.11230255070192695</v>
      </c>
      <c r="AD160" s="231">
        <f>(INDEX(Models!$BJ160:$BT160,,AH160)*(1-AF160)+INDEX(Models!$BJ160:$BT160,,AH160+1)*AF160-ERP_i)*AE160*Ramure*Pc/MaxiM</f>
        <v>3.5656634595472803E-4</v>
      </c>
      <c r="AE160" s="305">
        <f t="shared" si="65"/>
        <v>0.7</v>
      </c>
      <c r="AF160" s="177">
        <f t="shared" si="66"/>
        <v>0.13921099554627192</v>
      </c>
      <c r="AG160" s="810">
        <f t="shared" si="74"/>
        <v>2</v>
      </c>
      <c r="AH160" s="176">
        <f t="shared" si="67"/>
        <v>8</v>
      </c>
      <c r="AI160" s="225">
        <f t="shared" si="68"/>
        <v>2.1392109955462719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46.115737132192372</v>
      </c>
      <c r="C161" s="840"/>
      <c r="D161" s="393">
        <f t="shared" si="50"/>
        <v>49.705346809028057</v>
      </c>
      <c r="E161" s="385">
        <f t="shared" si="72"/>
        <v>50.894948143164903</v>
      </c>
      <c r="F161" s="385">
        <f t="shared" si="51"/>
        <v>50.89673295959026</v>
      </c>
      <c r="G161" s="110">
        <f t="shared" si="73"/>
        <v>0.79452739597705713</v>
      </c>
      <c r="H161" s="414" t="b">
        <f>Wh_hp&gt;='2026'!Maxi_hp</f>
        <v>0</v>
      </c>
      <c r="I161" s="390">
        <f>IF(H161,Wh_hp,'2026'!Maxi_hp)</f>
        <v>63.520031293079448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7.2217777508469139E-2</v>
      </c>
      <c r="M161" s="844"/>
      <c r="N161" s="844"/>
      <c r="O161" s="48">
        <f>IF(t&lt;Tnet,'2026'!Resal+('2026'!Salim-'2026'!Resal)*(1-EXP(('2026'!Tnet-t)/('2026'!Tau_j))),Resal+(Salim-Resal)*(1-EXP((Tnet-t)/(Tau_j))))*Salcycl</f>
        <v>2.3373662368032316E-2</v>
      </c>
      <c r="P161" s="169">
        <f>(INDEX(Models!$BJ161:$BT161,,T161)*(1-R161)+INDEX(Models!$BJ161:$BT161,,T161+1)*R161-ERP_i)*Q161*Ramure*Pc/MaxiM</f>
        <v>4.9636501773710029E-5</v>
      </c>
      <c r="Q161" s="305">
        <f t="shared" si="53"/>
        <v>0.7</v>
      </c>
      <c r="R161" s="177">
        <f t="shared" si="54"/>
        <v>0.32299266035986884</v>
      </c>
      <c r="S161" s="810">
        <f t="shared" si="55"/>
        <v>-1</v>
      </c>
      <c r="T161" s="176">
        <f t="shared" si="56"/>
        <v>5</v>
      </c>
      <c r="U161" s="251">
        <f t="shared" si="57"/>
        <v>-0.67700733964013116</v>
      </c>
      <c r="V161" s="383">
        <f t="shared" si="58"/>
        <v>58.04087496234775</v>
      </c>
      <c r="W161" s="402">
        <f t="shared" si="59"/>
        <v>46.115737132192372</v>
      </c>
      <c r="X161" s="157">
        <f t="shared" si="60"/>
        <v>46534</v>
      </c>
      <c r="Y161" s="385">
        <f t="shared" si="61"/>
        <v>41.900012729410498</v>
      </c>
      <c r="Z161" s="385">
        <f t="shared" si="62"/>
        <v>45.161474011529656</v>
      </c>
      <c r="AA161" s="386">
        <f t="shared" si="63"/>
        <v>50.883909974942753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0.11246061802701583</v>
      </c>
      <c r="AD161" s="231">
        <f>(INDEX(Models!$BJ161:$BT161,,AH161)*(1-AF161)+INDEX(Models!$BJ161:$BT161,,AH161+1)*AF161-ERP_i)*AE161*Ramure*Pc/MaxiM</f>
        <v>3.5661264159061188E-4</v>
      </c>
      <c r="AE161" s="305">
        <f t="shared" si="65"/>
        <v>0.7</v>
      </c>
      <c r="AF161" s="177">
        <f t="shared" si="66"/>
        <v>0.14298271345905267</v>
      </c>
      <c r="AG161" s="810">
        <f t="shared" si="74"/>
        <v>2</v>
      </c>
      <c r="AH161" s="176">
        <f t="shared" si="67"/>
        <v>8</v>
      </c>
      <c r="AI161" s="225">
        <f t="shared" si="68"/>
        <v>2.1429827134590527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54.961357454993937</v>
      </c>
      <c r="C162" s="840"/>
      <c r="D162" s="393">
        <f t="shared" si="50"/>
        <v>59.240881301045434</v>
      </c>
      <c r="E162" s="385">
        <f t="shared" si="72"/>
        <v>60.670722333168705</v>
      </c>
      <c r="F162" s="385">
        <f t="shared" si="51"/>
        <v>60.6735439552277</v>
      </c>
      <c r="G162" s="110">
        <f t="shared" si="73"/>
        <v>0.94654514751845442</v>
      </c>
      <c r="H162" s="414" t="b">
        <f>Wh_hp&gt;='2026'!Maxi_hp</f>
        <v>0</v>
      </c>
      <c r="I162" s="390">
        <f>IF(H162,Wh_hp,'2026'!Maxi_hp)</f>
        <v>62.361941334367771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7.223936835618916E-2</v>
      </c>
      <c r="M162" s="844"/>
      <c r="N162" s="844"/>
      <c r="O162" s="48">
        <f>IF(t&lt;Tnet,'2026'!Resal+('2026'!Salim-'2026'!Resal)*(1-EXP(('2026'!Tnet-t)/('2026'!Tau_j))),Resal+(Salim-Resal)*(1-EXP((Tnet-t)/(Tau_j))))*Salcycl</f>
        <v>2.3567232713522134E-2</v>
      </c>
      <c r="P162" s="169">
        <f>(INDEX(Models!$BJ162:$BT162,,T162)*(1-R162)+INDEX(Models!$BJ162:$BT162,,T162+1)*R162-ERP_i)*Q162*Ramure*Pc/MaxiM</f>
        <v>5.0349622398086834E-5</v>
      </c>
      <c r="Q162" s="305">
        <f t="shared" si="53"/>
        <v>0.7</v>
      </c>
      <c r="R162" s="177">
        <f t="shared" si="54"/>
        <v>0.32680802226510275</v>
      </c>
      <c r="S162" s="810">
        <f t="shared" si="55"/>
        <v>-1</v>
      </c>
      <c r="T162" s="176">
        <f t="shared" si="56"/>
        <v>5</v>
      </c>
      <c r="U162" s="251">
        <f t="shared" si="57"/>
        <v>-0.67319197773489725</v>
      </c>
      <c r="V162" s="383">
        <f t="shared" si="58"/>
        <v>58.065002269139384</v>
      </c>
      <c r="W162" s="402">
        <f t="shared" si="59"/>
        <v>54.961357454993937</v>
      </c>
      <c r="X162" s="157">
        <f t="shared" si="60"/>
        <v>46535</v>
      </c>
      <c r="Y162" s="385">
        <f t="shared" si="61"/>
        <v>49.934698154553651</v>
      </c>
      <c r="Z162" s="385">
        <f t="shared" si="62"/>
        <v>53.82282503847906</v>
      </c>
      <c r="AA162" s="386">
        <f t="shared" si="63"/>
        <v>60.653534431513712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0.11261848888208605</v>
      </c>
      <c r="AD162" s="231">
        <f>(INDEX(Models!$BJ162:$BT162,,AH162)*(1-AF162)+INDEX(Models!$BJ162:$BT162,,AH162+1)*AF162-ERP_i)*AE162*Ramure*Pc/MaxiM</f>
        <v>3.5705418454294558E-4</v>
      </c>
      <c r="AE162" s="305">
        <f t="shared" si="65"/>
        <v>0.7</v>
      </c>
      <c r="AF162" s="177">
        <f t="shared" si="66"/>
        <v>0.1467980753642868</v>
      </c>
      <c r="AG162" s="810">
        <f t="shared" si="74"/>
        <v>2</v>
      </c>
      <c r="AH162" s="176">
        <f t="shared" si="67"/>
        <v>8</v>
      </c>
      <c r="AI162" s="225">
        <f t="shared" si="68"/>
        <v>2.1467980753642868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59.223880075921365</v>
      </c>
      <c r="C163" s="840"/>
      <c r="D163" s="393">
        <f t="shared" si="50"/>
        <v>63.83678754429333</v>
      </c>
      <c r="E163" s="385">
        <f t="shared" si="72"/>
        <v>65.39051779774222</v>
      </c>
      <c r="F163" s="385">
        <f t="shared" si="51"/>
        <v>65.39386312317626</v>
      </c>
      <c r="G163" s="110">
        <f t="shared" si="73"/>
        <v>1.0196079969873804</v>
      </c>
      <c r="H163" s="414" t="b">
        <f>Wh_hp&gt;='2026'!Maxi_hp</f>
        <v>1</v>
      </c>
      <c r="I163" s="390">
        <f>IF(H163,Wh_hp,'2026'!Maxi_hp)</f>
        <v>65.39386312317626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7.2260958701458544E-2</v>
      </c>
      <c r="M163" s="844"/>
      <c r="N163" s="844"/>
      <c r="O163" s="48">
        <f>IF(t&lt;Tnet,'2026'!Resal+('2026'!Salim-'2026'!Resal)*(1-EXP(('2026'!Tnet-t)/('2026'!Tau_j))),Resal+(Salim-Resal)*(1-EXP((Tnet-t)/(Tau_j))))*Salcycl</f>
        <v>2.3760788349385796E-2</v>
      </c>
      <c r="P163" s="169">
        <f>(INDEX(Models!$BJ163:$BT163,,T163)*(1-R163)+INDEX(Models!$BJ163:$BT163,,T163+1)*R163-ERP_i)*Q163*Ramure*Pc/MaxiM</f>
        <v>5.1156565375906237E-5</v>
      </c>
      <c r="Q163" s="305">
        <f t="shared" si="53"/>
        <v>0.7</v>
      </c>
      <c r="R163" s="177">
        <f t="shared" si="54"/>
        <v>0.33066451413008036</v>
      </c>
      <c r="S163" s="810">
        <f t="shared" si="55"/>
        <v>-1</v>
      </c>
      <c r="T163" s="176">
        <f t="shared" si="56"/>
        <v>5</v>
      </c>
      <c r="U163" s="251">
        <f t="shared" si="57"/>
        <v>-0.66933548586991964</v>
      </c>
      <c r="V163" s="383">
        <f t="shared" si="58"/>
        <v>58.084950540707034</v>
      </c>
      <c r="W163" s="402">
        <f t="shared" si="59"/>
        <v>59.223880075921365</v>
      </c>
      <c r="X163" s="157">
        <f t="shared" si="60"/>
        <v>46536</v>
      </c>
      <c r="Y163" s="385">
        <f t="shared" si="61"/>
        <v>53.807227327035214</v>
      </c>
      <c r="Z163" s="385">
        <f t="shared" si="62"/>
        <v>57.998235421592369</v>
      </c>
      <c r="AA163" s="386">
        <f t="shared" si="63"/>
        <v>65.370458586102998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0.11277606619204407</v>
      </c>
      <c r="AD163" s="231">
        <f>(INDEX(Models!$BJ163:$BT163,,AH163)*(1-AF163)+INDEX(Models!$BJ163:$BT163,,AH163+1)*AF163-ERP_i)*AE163*Ramure*Pc/MaxiM</f>
        <v>3.5790112336955132E-4</v>
      </c>
      <c r="AE163" s="305">
        <f t="shared" si="65"/>
        <v>0.7</v>
      </c>
      <c r="AF163" s="177">
        <f t="shared" si="66"/>
        <v>0.15065456722926429</v>
      </c>
      <c r="AG163" s="810">
        <f t="shared" si="74"/>
        <v>2</v>
      </c>
      <c r="AH163" s="176">
        <f t="shared" si="67"/>
        <v>8</v>
      </c>
      <c r="AI163" s="225">
        <f t="shared" si="68"/>
        <v>2.1506545672292643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51.300199306776143</v>
      </c>
      <c r="C164" s="840"/>
      <c r="D164" s="393">
        <f t="shared" si="50"/>
        <v>55.297223552579908</v>
      </c>
      <c r="E164" s="385">
        <f t="shared" si="72"/>
        <v>56.654338986362504</v>
      </c>
      <c r="F164" s="385">
        <f t="shared" si="51"/>
        <v>56.656794802575099</v>
      </c>
      <c r="G164" s="110">
        <f t="shared" si="73"/>
        <v>0.88296169861574825</v>
      </c>
      <c r="H164" s="414" t="b">
        <f>Wh_hp&gt;='2026'!Maxi_hp</f>
        <v>0</v>
      </c>
      <c r="I164" s="390">
        <f>IF(H164,Wh_hp,'2026'!Maxi_hp)</f>
        <v>59.86002152871599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7.228254854428906E-2</v>
      </c>
      <c r="M164" s="844"/>
      <c r="N164" s="844"/>
      <c r="O164" s="48">
        <f>IF(t&lt;Tnet,'2026'!Resal+('2026'!Salim-'2026'!Resal)*(1-EXP(('2026'!Tnet-t)/('2026'!Tau_j))),Resal+(Salim-Resal)*(1-EXP((Tnet-t)/(Tau_j))))*Salcycl</f>
        <v>2.3954307085098454E-2</v>
      </c>
      <c r="P164" s="169">
        <f>(INDEX(Models!$BJ164:$BT164,,T164)*(1-R164)+INDEX(Models!$BJ164:$BT164,,T164+1)*R164-ERP_i)*Q164*Ramure*Pc/MaxiM</f>
        <v>5.2047054227902217E-5</v>
      </c>
      <c r="Q164" s="305">
        <f t="shared" si="53"/>
        <v>0.7</v>
      </c>
      <c r="R164" s="177">
        <f t="shared" si="54"/>
        <v>0.3345594972821504</v>
      </c>
      <c r="S164" s="810">
        <f t="shared" si="55"/>
        <v>-1</v>
      </c>
      <c r="T164" s="176">
        <f t="shared" si="56"/>
        <v>5</v>
      </c>
      <c r="U164" s="251">
        <f t="shared" si="57"/>
        <v>-0.6654405027178496</v>
      </c>
      <c r="V164" s="383">
        <f t="shared" si="58"/>
        <v>58.099635551102459</v>
      </c>
      <c r="W164" s="402">
        <f t="shared" si="59"/>
        <v>51.300199306776143</v>
      </c>
      <c r="X164" s="157">
        <f t="shared" si="60"/>
        <v>46537</v>
      </c>
      <c r="Y164" s="385">
        <f t="shared" si="61"/>
        <v>46.611607924982692</v>
      </c>
      <c r="Z164" s="385">
        <f t="shared" si="62"/>
        <v>50.243323386708894</v>
      </c>
      <c r="AA164" s="386">
        <f t="shared" si="63"/>
        <v>56.639845343848386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0.11293325252404159</v>
      </c>
      <c r="AD164" s="231">
        <f>(INDEX(Models!$BJ164:$BT164,,AH164)*(1-AF164)+INDEX(Models!$BJ164:$BT164,,AH164+1)*AF164-ERP_i)*AE164*Ramure*Pc/MaxiM</f>
        <v>3.5921637497106628E-4</v>
      </c>
      <c r="AE164" s="305">
        <f t="shared" si="65"/>
        <v>0.7</v>
      </c>
      <c r="AF164" s="177">
        <f t="shared" si="66"/>
        <v>0.15454955038133456</v>
      </c>
      <c r="AG164" s="810">
        <f t="shared" si="74"/>
        <v>2</v>
      </c>
      <c r="AH164" s="176">
        <f t="shared" si="67"/>
        <v>8</v>
      </c>
      <c r="AI164" s="225">
        <f t="shared" si="68"/>
        <v>2.1545495503813346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54.475151751647743</v>
      </c>
      <c r="C165" s="840"/>
      <c r="D165" s="393">
        <f t="shared" si="50"/>
        <v>58.720917033557676</v>
      </c>
      <c r="E165" s="385">
        <f t="shared" si="72"/>
        <v>60.173984337652307</v>
      </c>
      <c r="F165" s="385">
        <f t="shared" si="51"/>
        <v>60.176887224784828</v>
      </c>
      <c r="G165" s="110">
        <f t="shared" si="73"/>
        <v>0.93745469100596168</v>
      </c>
      <c r="H165" s="414" t="b">
        <f>Wh_hp&gt;='2026'!Maxi_hp</f>
        <v>0</v>
      </c>
      <c r="I165" s="390">
        <f>IF(H165,Wh_hp,'2026'!Maxi_hp)</f>
        <v>63.940669699990565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7.2304137884692365E-2</v>
      </c>
      <c r="M165" s="844"/>
      <c r="N165" s="844"/>
      <c r="O165" s="48">
        <f>IF(t&lt;Tnet,'2026'!Resal+('2026'!Salim-'2026'!Resal)*(1-EXP(('2026'!Tnet-t)/('2026'!Tau_j))),Resal+(Salim-Resal)*(1-EXP((Tnet-t)/(Tau_j))))*Salcycl</f>
        <v>2.4147766183157841E-2</v>
      </c>
      <c r="P165" s="169">
        <f>(INDEX(Models!$BJ165:$BT165,,T165)*(1-R165)+INDEX(Models!$BJ165:$BT165,,T165+1)*R165-ERP_i)*Q165*Ramure*Pc/MaxiM</f>
        <v>5.2971970294228988E-5</v>
      </c>
      <c r="Q165" s="305">
        <f t="shared" si="53"/>
        <v>0.7</v>
      </c>
      <c r="R165" s="177">
        <f t="shared" si="54"/>
        <v>0.3384902145218518</v>
      </c>
      <c r="S165" s="810">
        <f t="shared" si="55"/>
        <v>-1</v>
      </c>
      <c r="T165" s="176">
        <f t="shared" si="56"/>
        <v>5</v>
      </c>
      <c r="U165" s="251">
        <f t="shared" si="57"/>
        <v>-0.6615097854781482</v>
      </c>
      <c r="V165" s="383">
        <f t="shared" si="58"/>
        <v>58.109361919558062</v>
      </c>
      <c r="W165" s="402">
        <f t="shared" si="59"/>
        <v>54.475151751647743</v>
      </c>
      <c r="X165" s="157">
        <f t="shared" si="60"/>
        <v>46538</v>
      </c>
      <c r="Y165" s="385">
        <f t="shared" si="61"/>
        <v>49.496248580403567</v>
      </c>
      <c r="Z165" s="385">
        <f t="shared" si="62"/>
        <v>53.353960712451091</v>
      </c>
      <c r="AA165" s="386">
        <f t="shared" si="63"/>
        <v>60.157127251587511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0.11308995043404242</v>
      </c>
      <c r="AD165" s="231">
        <f>(INDEX(Models!$BJ165:$BT165,,AH165)*(1-AF165)+INDEX(Models!$BJ165:$BT165,,AH165+1)*AF165-ERP_i)*AE165*Ramure*Pc/MaxiM</f>
        <v>3.6058057562647779E-4</v>
      </c>
      <c r="AE165" s="305">
        <f t="shared" si="65"/>
        <v>0.7</v>
      </c>
      <c r="AF165" s="177">
        <f t="shared" si="66"/>
        <v>0.15848026762103551</v>
      </c>
      <c r="AG165" s="810">
        <f t="shared" si="74"/>
        <v>2</v>
      </c>
      <c r="AH165" s="176">
        <f t="shared" si="67"/>
        <v>8</v>
      </c>
      <c r="AI165" s="225">
        <f t="shared" si="68"/>
        <v>2.1584802676210355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55.281057530072736</v>
      </c>
      <c r="C166" s="840"/>
      <c r="D166" s="393">
        <f t="shared" si="50"/>
        <v>59.591021463572453</v>
      </c>
      <c r="E166" s="385">
        <f t="shared" si="72"/>
        <v>61.077723019413575</v>
      </c>
      <c r="F166" s="385">
        <f t="shared" si="51"/>
        <v>61.080787761719684</v>
      </c>
      <c r="G166" s="110">
        <f t="shared" si="73"/>
        <v>0.9512413484155483</v>
      </c>
      <c r="H166" s="414" t="b">
        <f>Wh_hp&gt;='2026'!Maxi_hp</f>
        <v>0</v>
      </c>
      <c r="I166" s="390">
        <f>IF(H166,Wh_hp,'2026'!Maxi_hp)</f>
        <v>65.184195459638048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7.2325726722680228E-2</v>
      </c>
      <c r="M166" s="844"/>
      <c r="N166" s="844"/>
      <c r="O166" s="48">
        <f>IF(t&lt;Tnet,'2026'!Resal+('2026'!Salim-'2026'!Resal)*(1-EXP(('2026'!Tnet-t)/('2026'!Tau_j))),Resal+(Salim-Resal)*(1-EXP((Tnet-t)/(Tau_j))))*Salcycl</f>
        <v>2.4341142438603625E-2</v>
      </c>
      <c r="P166" s="169">
        <f>(INDEX(Models!$BJ166:$BT166,,T166)*(1-R166)+INDEX(Models!$BJ166:$BT166,,T166+1)*R166-ERP_i)*Q166*Ramure*Pc/MaxiM</f>
        <v>5.3931565143252456E-5</v>
      </c>
      <c r="Q166" s="305">
        <f t="shared" si="53"/>
        <v>0.7</v>
      </c>
      <c r="R166" s="177">
        <f t="shared" si="54"/>
        <v>0.34245379698351763</v>
      </c>
      <c r="S166" s="810">
        <f t="shared" si="55"/>
        <v>-1</v>
      </c>
      <c r="T166" s="176">
        <f t="shared" si="56"/>
        <v>5</v>
      </c>
      <c r="U166" s="251">
        <f t="shared" si="57"/>
        <v>-0.65754620301648237</v>
      </c>
      <c r="V166" s="383">
        <f t="shared" si="58"/>
        <v>58.114431166507352</v>
      </c>
      <c r="W166" s="402">
        <f t="shared" si="59"/>
        <v>55.281057530072736</v>
      </c>
      <c r="X166" s="157">
        <f t="shared" si="60"/>
        <v>46539</v>
      </c>
      <c r="Y166" s="385">
        <f t="shared" si="61"/>
        <v>50.22928342363344</v>
      </c>
      <c r="Z166" s="385">
        <f t="shared" si="62"/>
        <v>54.14538795625073</v>
      </c>
      <c r="AA166" s="386">
        <f t="shared" si="63"/>
        <v>61.060217142672343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0.11324606282130527</v>
      </c>
      <c r="AD166" s="231">
        <f>(INDEX(Models!$BJ166:$BT166,,AH166)*(1-AF166)+INDEX(Models!$BJ166:$BT166,,AH166+1)*AF166-ERP_i)*AE166*Ramure*Pc/MaxiM</f>
        <v>3.6198987398578626E-4</v>
      </c>
      <c r="AE166" s="305">
        <f t="shared" si="65"/>
        <v>0.7</v>
      </c>
      <c r="AF166" s="177">
        <f t="shared" si="66"/>
        <v>0.16244385008270168</v>
      </c>
      <c r="AG166" s="810">
        <f t="shared" si="74"/>
        <v>2</v>
      </c>
      <c r="AH166" s="176">
        <f t="shared" si="67"/>
        <v>8</v>
      </c>
      <c r="AI166" s="225">
        <f t="shared" si="68"/>
        <v>2.1624438500827017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45.814850561064226</v>
      </c>
      <c r="C167" s="840"/>
      <c r="D167" s="393">
        <f t="shared" si="50"/>
        <v>49.387935058843475</v>
      </c>
      <c r="E167" s="385">
        <f t="shared" si="72"/>
        <v>50.630115177520196</v>
      </c>
      <c r="F167" s="385">
        <f t="shared" si="51"/>
        <v>50.632055320966522</v>
      </c>
      <c r="G167" s="110">
        <f t="shared" si="73"/>
        <v>0.78833305842082124</v>
      </c>
      <c r="H167" s="414" t="b">
        <f>Wh_hp&gt;='2026'!Maxi_hp</f>
        <v>0</v>
      </c>
      <c r="I167" s="390">
        <f>IF(H167,Wh_hp,'2026'!Maxi_hp)</f>
        <v>63.527913970143331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7.2347315058264305E-2</v>
      </c>
      <c r="M167" s="844"/>
      <c r="N167" s="844"/>
      <c r="O167" s="48">
        <f>IF(t&lt;Tnet,'2026'!Resal+('2026'!Salim-'2026'!Resal)*(1-EXP(('2026'!Tnet-t)/('2026'!Tau_j))),Resal+(Salim-Resal)*(1-EXP((Tnet-t)/(Tau_j))))*Salcycl</f>
        <v>2.4534412262768257E-2</v>
      </c>
      <c r="P167" s="169">
        <f>(INDEX(Models!$BJ167:$BT167,,T167)*(1-R167)+INDEX(Models!$BJ167:$BT167,,T167+1)*R167-ERP_i)*Q167*Ramure*Pc/MaxiM</f>
        <v>5.4926073589391229E-5</v>
      </c>
      <c r="Q167" s="305">
        <f t="shared" si="53"/>
        <v>0.7</v>
      </c>
      <c r="R167" s="177">
        <f t="shared" si="54"/>
        <v>0.34644727171504763</v>
      </c>
      <c r="S167" s="810">
        <f t="shared" si="55"/>
        <v>-1</v>
      </c>
      <c r="T167" s="176">
        <f t="shared" si="56"/>
        <v>5</v>
      </c>
      <c r="U167" s="251">
        <f t="shared" si="57"/>
        <v>-0.65355272828495237</v>
      </c>
      <c r="V167" s="383">
        <f t="shared" si="58"/>
        <v>58.115144567584103</v>
      </c>
      <c r="W167" s="402">
        <f t="shared" si="59"/>
        <v>45.814850561064226</v>
      </c>
      <c r="X167" s="157">
        <f t="shared" si="60"/>
        <v>46540</v>
      </c>
      <c r="Y167" s="385">
        <f t="shared" si="61"/>
        <v>41.632053158654799</v>
      </c>
      <c r="Z167" s="385">
        <f t="shared" si="62"/>
        <v>44.878922720166159</v>
      </c>
      <c r="AA167" s="386">
        <f t="shared" si="63"/>
        <v>50.619217583206023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0.11340149328867384</v>
      </c>
      <c r="AD167" s="231">
        <f>(INDEX(Models!$BJ167:$BT167,,AH167)*(1-AF167)+INDEX(Models!$BJ167:$BT167,,AH167+1)*AF167-ERP_i)*AE167*Ramure*Pc/MaxiM</f>
        <v>3.6344040967153425E-4</v>
      </c>
      <c r="AE167" s="305">
        <f t="shared" si="65"/>
        <v>0.7</v>
      </c>
      <c r="AF167" s="177">
        <f t="shared" si="66"/>
        <v>0.16643732481423168</v>
      </c>
      <c r="AG167" s="810">
        <f t="shared" si="74"/>
        <v>2</v>
      </c>
      <c r="AH167" s="176">
        <f t="shared" si="67"/>
        <v>8</v>
      </c>
      <c r="AI167" s="225">
        <f t="shared" si="68"/>
        <v>2.1664373248142317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53.395581086102972</v>
      </c>
      <c r="C168" s="840"/>
      <c r="D168" s="393">
        <f t="shared" si="50"/>
        <v>57.561223693921789</v>
      </c>
      <c r="E168" s="385">
        <f t="shared" si="72"/>
        <v>59.020660122651996</v>
      </c>
      <c r="F168" s="385">
        <f t="shared" si="51"/>
        <v>59.023579914541173</v>
      </c>
      <c r="G168" s="110">
        <f t="shared" si="73"/>
        <v>0.91883630809868233</v>
      </c>
      <c r="H168" s="414" t="b">
        <f>Wh_hp&gt;='2026'!Maxi_hp</f>
        <v>0</v>
      </c>
      <c r="I168" s="390">
        <f>IF(H168,Wh_hp,'2026'!Maxi_hp)</f>
        <v>59.023908082530738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7.2368902891456255E-2</v>
      </c>
      <c r="M168" s="844"/>
      <c r="N168" s="844"/>
      <c r="O168" s="48">
        <f>IF(t&lt;Tnet,'2026'!Resal+('2026'!Salim-'2026'!Resal)*(1-EXP(('2026'!Tnet-t)/('2026'!Tau_j))),Resal+(Salim-Resal)*(1-EXP((Tnet-t)/(Tau_j))))*Salcycl</f>
        <v>2.4727551770809122E-2</v>
      </c>
      <c r="P168" s="169">
        <f>(INDEX(Models!$BJ168:$BT168,,T168)*(1-R168)+INDEX(Models!$BJ168:$BT168,,T168+1)*R168-ERP_i)*Q168*Ramure*Pc/MaxiM</f>
        <v>5.5955711307855202E-5</v>
      </c>
      <c r="Q168" s="305">
        <f t="shared" si="53"/>
        <v>0.7</v>
      </c>
      <c r="R168" s="177">
        <f t="shared" si="54"/>
        <v>0.35046756994086525</v>
      </c>
      <c r="S168" s="810">
        <f t="shared" si="55"/>
        <v>-1</v>
      </c>
      <c r="T168" s="176">
        <f t="shared" si="56"/>
        <v>5</v>
      </c>
      <c r="U168" s="251">
        <f t="shared" si="57"/>
        <v>-0.64953243005913475</v>
      </c>
      <c r="V168" s="383">
        <f t="shared" si="58"/>
        <v>58.111803152943111</v>
      </c>
      <c r="W168" s="402">
        <f t="shared" si="59"/>
        <v>53.395581086102972</v>
      </c>
      <c r="X168" s="157">
        <f t="shared" si="60"/>
        <v>46541</v>
      </c>
      <c r="Y168" s="385">
        <f t="shared" si="61"/>
        <v>48.519011581510171</v>
      </c>
      <c r="Z168" s="385">
        <f t="shared" si="62"/>
        <v>52.304209866126207</v>
      </c>
      <c r="AA168" s="386">
        <f t="shared" si="63"/>
        <v>59.00453780574118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0.11355614650646445</v>
      </c>
      <c r="AD168" s="231">
        <f>(INDEX(Models!$BJ168:$BT168,,AH168)*(1-AF168)+INDEX(Models!$BJ168:$BT168,,AH168+1)*AF168-ERP_i)*AE168*Ramure*Pc/MaxiM</f>
        <v>3.6492831788910245E-4</v>
      </c>
      <c r="AE168" s="305">
        <f t="shared" si="65"/>
        <v>0.7</v>
      </c>
      <c r="AF168" s="177">
        <f t="shared" si="66"/>
        <v>0.17045762304004919</v>
      </c>
      <c r="AG168" s="810">
        <f t="shared" si="74"/>
        <v>2</v>
      </c>
      <c r="AH168" s="176">
        <f t="shared" si="67"/>
        <v>8</v>
      </c>
      <c r="AI168" s="225">
        <f t="shared" si="68"/>
        <v>2.1704576230400492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26.446203388920846</v>
      </c>
      <c r="C169" s="840"/>
      <c r="D169" s="393">
        <f t="shared" si="50"/>
        <v>28.510060656081148</v>
      </c>
      <c r="E169" s="385">
        <f t="shared" si="72"/>
        <v>29.238704879126399</v>
      </c>
      <c r="F169" s="385">
        <f t="shared" si="51"/>
        <v>29.239074402794937</v>
      </c>
      <c r="G169" s="110">
        <f t="shared" si="73"/>
        <v>0.45512714315345054</v>
      </c>
      <c r="H169" s="414" t="b">
        <f>Wh_hp&gt;='2026'!Maxi_hp</f>
        <v>0</v>
      </c>
      <c r="I169" s="390">
        <f>IF(H169,Wh_hp,'2026'!Maxi_hp)</f>
        <v>55.953130597510338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7.2390490222267734E-2</v>
      </c>
      <c r="M169" s="844"/>
      <c r="N169" s="844"/>
      <c r="O169" s="48">
        <f>IF(t&lt;Tnet,'2026'!Resal+('2026'!Salim-'2026'!Resal)*(1-EXP(('2026'!Tnet-t)/('2026'!Tau_j))),Resal+(Salim-Resal)*(1-EXP((Tnet-t)/(Tau_j))))*Salcycl</f>
        <v>2.4920536872528647E-2</v>
      </c>
      <c r="P169" s="169">
        <f>(INDEX(Models!$BJ169:$BT169,,T169)*(1-R169)+INDEX(Models!$BJ169:$BT169,,T169+1)*R169-ERP_i)*Q169*Ramure*Pc/MaxiM</f>
        <v>5.7020672500484112E-5</v>
      </c>
      <c r="Q169" s="305">
        <f t="shared" si="53"/>
        <v>0.7</v>
      </c>
      <c r="R169" s="177">
        <f t="shared" si="54"/>
        <v>0.35451153596459306</v>
      </c>
      <c r="S169" s="810">
        <f t="shared" si="55"/>
        <v>-1</v>
      </c>
      <c r="T169" s="176">
        <f t="shared" si="56"/>
        <v>5</v>
      </c>
      <c r="U169" s="251">
        <f t="shared" si="57"/>
        <v>-0.64548846403540694</v>
      </c>
      <c r="V169" s="383">
        <f t="shared" si="58"/>
        <v>58.104707704082998</v>
      </c>
      <c r="W169" s="402">
        <f t="shared" si="59"/>
        <v>26.446203388920846</v>
      </c>
      <c r="X169" s="157">
        <f t="shared" si="60"/>
        <v>46542</v>
      </c>
      <c r="Y169" s="385">
        <f t="shared" si="61"/>
        <v>24.036399978167641</v>
      </c>
      <c r="Z169" s="385">
        <f t="shared" si="62"/>
        <v>25.912196592213771</v>
      </c>
      <c r="AA169" s="386">
        <f t="shared" si="63"/>
        <v>29.236699617574612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0.11370992857765776</v>
      </c>
      <c r="AD169" s="231">
        <f>(INDEX(Models!$BJ169:$BT169,,AH169)*(1-AF169)+INDEX(Models!$BJ169:$BT169,,AH169+1)*AF169-ERP_i)*AE169*Ramure*Pc/MaxiM</f>
        <v>3.6644973471757777E-4</v>
      </c>
      <c r="AE169" s="305">
        <f t="shared" si="65"/>
        <v>0.7</v>
      </c>
      <c r="AF169" s="177">
        <f t="shared" si="66"/>
        <v>0.17450158906377711</v>
      </c>
      <c r="AG169" s="810">
        <f t="shared" si="74"/>
        <v>2</v>
      </c>
      <c r="AH169" s="176">
        <f t="shared" si="67"/>
        <v>8</v>
      </c>
      <c r="AI169" s="225">
        <f t="shared" si="68"/>
        <v>2.1745015890637771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36.80212464697756</v>
      </c>
      <c r="C170" s="840"/>
      <c r="D170" s="393">
        <f t="shared" si="50"/>
        <v>39.67507956546509</v>
      </c>
      <c r="E170" s="385">
        <f t="shared" ref="E170:E232" si="75">Wh_pvt/(1-Psa)</f>
        <v>40.697120322119808</v>
      </c>
      <c r="F170" s="385">
        <f t="shared" si="51"/>
        <v>40.698247322621214</v>
      </c>
      <c r="G170" s="110">
        <f t="shared" ref="G170:G232" si="76">+Wh_hp/MaxiM</f>
        <v>0.63347168705722501</v>
      </c>
      <c r="H170" s="414" t="b">
        <f>Wh_hp&gt;='2026'!Maxi_hp</f>
        <v>0</v>
      </c>
      <c r="I170" s="390">
        <f>IF(H170,Wh_hp,'2026'!Maxi_hp)</f>
        <v>47.290496424932876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7.2412077050710622E-2</v>
      </c>
      <c r="M170" s="844"/>
      <c r="N170" s="844"/>
      <c r="O170" s="48">
        <f>IF(t&lt;Tnet,'2026'!Resal+('2026'!Salim-'2026'!Resal)*(1-EXP(('2026'!Tnet-t)/('2026'!Tau_j))),Resal+(Salim-Resal)*(1-EXP((Tnet-t)/(Tau_j))))*Salcycl</f>
        <v>2.5113343365948549E-2</v>
      </c>
      <c r="P170" s="169">
        <f>(INDEX(Models!$BJ170:$BT170,,T170)*(1-R170)+INDEX(Models!$BJ170:$BT170,,T170+1)*R170-ERP_i)*Q170*Ramure*Pc/MaxiM</f>
        <v>5.8124919957400996E-5</v>
      </c>
      <c r="Q170" s="305">
        <f t="shared" si="53"/>
        <v>0.7</v>
      </c>
      <c r="R170" s="177">
        <f t="shared" si="54"/>
        <v>0.35857593666081056</v>
      </c>
      <c r="S170" s="810">
        <f t="shared" si="55"/>
        <v>-1</v>
      </c>
      <c r="T170" s="176">
        <f t="shared" si="56"/>
        <v>5</v>
      </c>
      <c r="U170" s="251">
        <f t="shared" si="57"/>
        <v>-0.64142406333918944</v>
      </c>
      <c r="V170" s="383">
        <f t="shared" si="58"/>
        <v>58.094158520191364</v>
      </c>
      <c r="W170" s="402">
        <f t="shared" si="59"/>
        <v>36.80212464697756</v>
      </c>
      <c r="X170" s="157">
        <f t="shared" si="60"/>
        <v>46543</v>
      </c>
      <c r="Y170" s="385">
        <f t="shared" si="61"/>
        <v>33.44688029389323</v>
      </c>
      <c r="Z170" s="385">
        <f t="shared" si="62"/>
        <v>36.05790833018613</v>
      </c>
      <c r="AA170" s="386">
        <f t="shared" si="63"/>
        <v>40.691109898011931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0.11386274740203561</v>
      </c>
      <c r="AD170" s="231">
        <f>(INDEX(Models!$BJ170:$BT170,,AH170)*(1-AF170)+INDEX(Models!$BJ170:$BT170,,AH170+1)*AF170-ERP_i)*AE170*Ramure*Pc/MaxiM</f>
        <v>3.681118452021174E-4</v>
      </c>
      <c r="AE170" s="305">
        <f t="shared" si="65"/>
        <v>0.7</v>
      </c>
      <c r="AF170" s="177">
        <f t="shared" si="66"/>
        <v>0.17856598975999471</v>
      </c>
      <c r="AG170" s="810">
        <f t="shared" si="74"/>
        <v>2</v>
      </c>
      <c r="AH170" s="176">
        <f t="shared" si="67"/>
        <v>8</v>
      </c>
      <c r="AI170" s="225">
        <f t="shared" si="68"/>
        <v>2.1785659897599947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44.364186469598401</v>
      </c>
      <c r="C171" s="840"/>
      <c r="D171" s="393">
        <f t="shared" si="50"/>
        <v>47.828586180807072</v>
      </c>
      <c r="E171" s="385">
        <f t="shared" si="75"/>
        <v>49.070358062838991</v>
      </c>
      <c r="F171" s="385">
        <f t="shared" si="51"/>
        <v>49.072284022655957</v>
      </c>
      <c r="G171" s="110">
        <f t="shared" si="76"/>
        <v>0.76382489693259314</v>
      </c>
      <c r="H171" s="414" t="b">
        <f>Wh_hp&gt;='2026'!Maxi_hp</f>
        <v>0</v>
      </c>
      <c r="I171" s="390">
        <f>IF(H171,Wh_hp,'2026'!Maxi_hp)</f>
        <v>63.423622728283476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7.2433663376796353E-2</v>
      </c>
      <c r="M171" s="844"/>
      <c r="N171" s="844"/>
      <c r="O171" s="48">
        <f>IF(t&lt;Tnet,'2026'!Resal+('2026'!Salim-'2026'!Resal)*(1-EXP(('2026'!Tnet-t)/('2026'!Tau_j))),Resal+(Salim-Resal)*(1-EXP((Tnet-t)/(Tau_j))))*Salcycl</f>
        <v>2.5305947033068737E-2</v>
      </c>
      <c r="P171" s="169">
        <f>(INDEX(Models!$BJ171:$BT171,,T171)*(1-R171)+INDEX(Models!$BJ171:$BT171,,T171+1)*R171-ERP_i)*Q171*Ramure*Pc/MaxiM</f>
        <v>5.9229851100908959E-5</v>
      </c>
      <c r="Q171" s="305">
        <f t="shared" si="53"/>
        <v>0.7</v>
      </c>
      <c r="R171" s="177">
        <f t="shared" si="54"/>
        <v>0.36265747149852257</v>
      </c>
      <c r="S171" s="810">
        <f t="shared" si="55"/>
        <v>-1</v>
      </c>
      <c r="T171" s="176">
        <f t="shared" si="56"/>
        <v>5</v>
      </c>
      <c r="U171" s="251">
        <f t="shared" si="57"/>
        <v>-0.63734252850147743</v>
      </c>
      <c r="V171" s="383">
        <f t="shared" si="58"/>
        <v>58.080458110237053</v>
      </c>
      <c r="W171" s="402">
        <f t="shared" si="59"/>
        <v>44.364186469598401</v>
      </c>
      <c r="X171" s="157">
        <f t="shared" si="60"/>
        <v>46544</v>
      </c>
      <c r="Y171" s="385">
        <f t="shared" si="61"/>
        <v>40.318223601769375</v>
      </c>
      <c r="Z171" s="385">
        <f t="shared" si="62"/>
        <v>43.466674037080175</v>
      </c>
      <c r="AA171" s="386">
        <f t="shared" si="63"/>
        <v>49.060255135859293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0.11401451303686028</v>
      </c>
      <c r="AD171" s="231">
        <f>(INDEX(Models!$BJ171:$BT171,,AH171)*(1-AF171)+INDEX(Models!$BJ171:$BT171,,AH171+1)*AF171-ERP_i)*AE171*Ramure*Pc/MaxiM</f>
        <v>3.6992940745609758E-4</v>
      </c>
      <c r="AE171" s="305">
        <f t="shared" si="65"/>
        <v>0.7</v>
      </c>
      <c r="AF171" s="177">
        <f t="shared" si="66"/>
        <v>0.18264752459770639</v>
      </c>
      <c r="AG171" s="810">
        <f t="shared" si="74"/>
        <v>2</v>
      </c>
      <c r="AH171" s="176">
        <f t="shared" si="67"/>
        <v>8</v>
      </c>
      <c r="AI171" s="225">
        <f t="shared" si="68"/>
        <v>2.1826475245977064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30.272618229484983</v>
      </c>
      <c r="C172" s="840"/>
      <c r="D172" s="393">
        <f t="shared" si="50"/>
        <v>32.637366772215152</v>
      </c>
      <c r="E172" s="385">
        <f t="shared" si="75"/>
        <v>33.491339796745436</v>
      </c>
      <c r="F172" s="385">
        <f t="shared" si="51"/>
        <v>33.491978830494226</v>
      </c>
      <c r="G172" s="110">
        <f t="shared" si="76"/>
        <v>0.52134572307794802</v>
      </c>
      <c r="H172" s="414" t="b">
        <f>Wh_hp&gt;='2026'!Maxi_hp</f>
        <v>0</v>
      </c>
      <c r="I172" s="390">
        <f>IF(H172,Wh_hp,'2026'!Maxi_hp)</f>
        <v>52.756129092485281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7.2455249200536809E-2</v>
      </c>
      <c r="M172" s="844"/>
      <c r="N172" s="844"/>
      <c r="O172" s="48">
        <f>IF(t&lt;Tnet,'2026'!Resal+('2026'!Salim-'2026'!Resal)*(1-EXP(('2026'!Tnet-t)/('2026'!Tau_j))),Resal+(Salim-Resal)*(1-EXP((Tnet-t)/(Tau_j))))*Salcycl</f>
        <v>2.5498323737208891E-2</v>
      </c>
      <c r="P172" s="169">
        <f>(INDEX(Models!$BJ172:$BT172,,T172)*(1-R172)+INDEX(Models!$BJ172:$BT172,,T172+1)*R172-ERP_i)*Q172*Ramure*Pc/MaxiM</f>
        <v>6.0334774185581035E-5</v>
      </c>
      <c r="Q172" s="305">
        <f t="shared" si="53"/>
        <v>0.7</v>
      </c>
      <c r="R172" s="177">
        <f t="shared" si="54"/>
        <v>0.36675278303278336</v>
      </c>
      <c r="S172" s="810">
        <f t="shared" si="55"/>
        <v>-1</v>
      </c>
      <c r="T172" s="176">
        <f t="shared" si="56"/>
        <v>5</v>
      </c>
      <c r="U172" s="251">
        <f t="shared" si="57"/>
        <v>-0.63324721696721664</v>
      </c>
      <c r="V172" s="383">
        <f t="shared" si="58"/>
        <v>58.063906505358077</v>
      </c>
      <c r="W172" s="402">
        <f t="shared" si="59"/>
        <v>30.272618229484983</v>
      </c>
      <c r="X172" s="157">
        <f t="shared" si="60"/>
        <v>46545</v>
      </c>
      <c r="Y172" s="385">
        <f t="shared" si="61"/>
        <v>27.515497378956951</v>
      </c>
      <c r="Z172" s="385">
        <f t="shared" si="62"/>
        <v>29.664873155975467</v>
      </c>
      <c r="AA172" s="386">
        <f t="shared" si="63"/>
        <v>33.488039848341067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0.11416513805166754</v>
      </c>
      <c r="AD172" s="231">
        <f>(INDEX(Models!$BJ172:$BT172,,AH172)*(1-AF172)+INDEX(Models!$BJ172:$BT172,,AH172+1)*AF172-ERP_i)*AE172*Ramure*Pc/MaxiM</f>
        <v>3.7190148279609136E-4</v>
      </c>
      <c r="AE172" s="305">
        <f t="shared" si="65"/>
        <v>0.7</v>
      </c>
      <c r="AF172" s="177">
        <f t="shared" si="66"/>
        <v>0.1867428361319674</v>
      </c>
      <c r="AG172" s="810">
        <f t="shared" si="74"/>
        <v>2</v>
      </c>
      <c r="AH172" s="176">
        <f t="shared" si="67"/>
        <v>8</v>
      </c>
      <c r="AI172" s="225">
        <f t="shared" si="68"/>
        <v>2.1867428361319674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21.239460469964335</v>
      </c>
      <c r="C173" s="840"/>
      <c r="D173" s="393">
        <f t="shared" si="50"/>
        <v>22.899115904040269</v>
      </c>
      <c r="E173" s="385">
        <f t="shared" si="75"/>
        <v>23.502916391191611</v>
      </c>
      <c r="F173" s="385">
        <f t="shared" si="51"/>
        <v>23.503052364590577</v>
      </c>
      <c r="G173" s="110">
        <f t="shared" si="76"/>
        <v>0.36589457012731419</v>
      </c>
      <c r="H173" s="414" t="b">
        <f>Wh_hp&gt;='2026'!Maxi_hp</f>
        <v>0</v>
      </c>
      <c r="I173" s="390">
        <f>IF(H173,Wh_hp,'2026'!Maxi_hp)</f>
        <v>64.288784503922017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7.2476834521943534E-2</v>
      </c>
      <c r="M173" s="844"/>
      <c r="N173" s="844"/>
      <c r="O173" s="48">
        <f>IF(t&lt;Tnet,'2026'!Resal+('2026'!Salim-'2026'!Resal)*(1-EXP(('2026'!Tnet-t)/('2026'!Tau_j))),Resal+(Salim-Resal)*(1-EXP((Tnet-t)/(Tau_j))))*Salcycl</f>
        <v>2.5690449521304271E-2</v>
      </c>
      <c r="P173" s="169">
        <f>(INDEX(Models!$BJ173:$BT173,,T173)*(1-R173)+INDEX(Models!$BJ173:$BT173,,T173+1)*R173-ERP_i)*Q173*Ramure*Pc/MaxiM</f>
        <v>6.1438966179415205E-5</v>
      </c>
      <c r="Q173" s="305">
        <f t="shared" si="53"/>
        <v>0.7</v>
      </c>
      <c r="R173" s="177">
        <f t="shared" si="54"/>
        <v>0.37085846779539655</v>
      </c>
      <c r="S173" s="810">
        <f t="shared" si="55"/>
        <v>-1</v>
      </c>
      <c r="T173" s="176">
        <f t="shared" si="56"/>
        <v>5</v>
      </c>
      <c r="U173" s="251">
        <f t="shared" si="57"/>
        <v>-0.62914153220460345</v>
      </c>
      <c r="V173" s="383">
        <f t="shared" si="58"/>
        <v>58.044803460648382</v>
      </c>
      <c r="W173" s="402">
        <f t="shared" si="59"/>
        <v>21.239460469964335</v>
      </c>
      <c r="X173" s="157">
        <f t="shared" si="60"/>
        <v>46546</v>
      </c>
      <c r="Y173" s="385">
        <f t="shared" si="61"/>
        <v>19.306931396167844</v>
      </c>
      <c r="Z173" s="385">
        <f t="shared" si="62"/>
        <v>20.815578645107827</v>
      </c>
      <c r="AA173" s="386">
        <f t="shared" si="63"/>
        <v>23.502224587902322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0.1143145378747438</v>
      </c>
      <c r="AD173" s="231">
        <f>(INDEX(Models!$BJ173:$BT173,,AH173)*(1-AF173)+INDEX(Models!$BJ173:$BT173,,AH173+1)*AF173-ERP_i)*AE173*Ramure*Pc/MaxiM</f>
        <v>3.7402715781213454E-4</v>
      </c>
      <c r="AE173" s="305">
        <f t="shared" si="65"/>
        <v>0.7</v>
      </c>
      <c r="AF173" s="177">
        <f t="shared" si="66"/>
        <v>0.19084852089458071</v>
      </c>
      <c r="AG173" s="810">
        <f t="shared" si="74"/>
        <v>2</v>
      </c>
      <c r="AH173" s="176">
        <f t="shared" si="67"/>
        <v>8</v>
      </c>
      <c r="AI173" s="225">
        <f t="shared" si="68"/>
        <v>2.1908485208945807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43.728805722470625</v>
      </c>
      <c r="C174" s="840"/>
      <c r="D174" s="393">
        <f t="shared" si="50"/>
        <v>47.146879999279541</v>
      </c>
      <c r="E174" s="385">
        <f t="shared" si="75"/>
        <v>48.399572283178991</v>
      </c>
      <c r="F174" s="385">
        <f t="shared" si="51"/>
        <v>48.401534026432273</v>
      </c>
      <c r="G174" s="110">
        <f t="shared" si="76"/>
        <v>0.7536236527486373</v>
      </c>
      <c r="H174" s="414" t="b">
        <f>Wh_hp&gt;='2026'!Maxi_hp</f>
        <v>0</v>
      </c>
      <c r="I174" s="390">
        <f>IF(H174,Wh_hp,'2026'!Maxi_hp)</f>
        <v>60.786891370501721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7.2498419341028408E-2</v>
      </c>
      <c r="M174" s="844"/>
      <c r="N174" s="844"/>
      <c r="O174" s="48">
        <f>IF(t&lt;Tnet,'2026'!Resal+('2026'!Salim-'2026'!Resal)*(1-EXP(('2026'!Tnet-t)/('2026'!Tau_j))),Resal+(Salim-Resal)*(1-EXP((Tnet-t)/(Tau_j))))*Salcycl</f>
        <v>2.5882300706504806E-2</v>
      </c>
      <c r="P174" s="169">
        <f>(INDEX(Models!$BJ174:$BT174,,T174)*(1-R174)+INDEX(Models!$BJ174:$BT174,,T174+1)*R174-ERP_i)*Q174*Ramure*Pc/MaxiM</f>
        <v>6.2541674957365968E-5</v>
      </c>
      <c r="Q174" s="305">
        <f t="shared" si="53"/>
        <v>0.7</v>
      </c>
      <c r="R174" s="177">
        <f t="shared" si="54"/>
        <v>0.37497108751084118</v>
      </c>
      <c r="S174" s="810">
        <f t="shared" si="55"/>
        <v>-1</v>
      </c>
      <c r="T174" s="176">
        <f t="shared" si="56"/>
        <v>5</v>
      </c>
      <c r="U174" s="251">
        <f t="shared" si="57"/>
        <v>-0.62502891248915882</v>
      </c>
      <c r="V174" s="383">
        <f t="shared" si="58"/>
        <v>58.023448449350312</v>
      </c>
      <c r="W174" s="402">
        <f t="shared" si="59"/>
        <v>43.728805722470625</v>
      </c>
      <c r="X174" s="157">
        <f t="shared" si="60"/>
        <v>46547</v>
      </c>
      <c r="Y174" s="385">
        <f t="shared" si="61"/>
        <v>39.744291016253143</v>
      </c>
      <c r="Z174" s="385">
        <f t="shared" si="62"/>
        <v>42.850914591450731</v>
      </c>
      <c r="AA174" s="386">
        <f t="shared" si="63"/>
        <v>48.389730459457233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0.1144626311288742</v>
      </c>
      <c r="AD174" s="231">
        <f>(INDEX(Models!$BJ174:$BT174,,AH174)*(1-AF174)+INDEX(Models!$BJ174:$BT174,,AH174+1)*AF174-ERP_i)*AE174*Ramure*Pc/MaxiM</f>
        <v>3.7630553736061776E-4</v>
      </c>
      <c r="AE174" s="305">
        <f t="shared" si="65"/>
        <v>0.7</v>
      </c>
      <c r="AF174" s="177">
        <f t="shared" si="66"/>
        <v>0.19496114061002512</v>
      </c>
      <c r="AG174" s="810">
        <f t="shared" si="74"/>
        <v>2</v>
      </c>
      <c r="AH174" s="176">
        <f t="shared" si="67"/>
        <v>8</v>
      </c>
      <c r="AI174" s="225">
        <f t="shared" si="68"/>
        <v>2.1949611406100251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56.758232586453623</v>
      </c>
      <c r="C175" s="840"/>
      <c r="D175" s="393">
        <f t="shared" si="50"/>
        <v>61.196179767000025</v>
      </c>
      <c r="E175" s="385">
        <f t="shared" si="75"/>
        <v>62.83451780993412</v>
      </c>
      <c r="F175" s="385">
        <f t="shared" si="51"/>
        <v>62.838394648938774</v>
      </c>
      <c r="G175" s="110">
        <f t="shared" si="76"/>
        <v>0.97858593865795451</v>
      </c>
      <c r="H175" s="414" t="b">
        <f>Wh_hp&gt;='2026'!Maxi_hp</f>
        <v>0</v>
      </c>
      <c r="I175" s="390">
        <f>IF(H175,Wh_hp,'2026'!Maxi_hp)</f>
        <v>62.838496647956177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7.2520003657802867E-2</v>
      </c>
      <c r="M175" s="844"/>
      <c r="N175" s="844"/>
      <c r="O175" s="48">
        <f>IF(t&lt;Tnet,'2026'!Resal+('2026'!Salim-'2026'!Resal)*(1-EXP(('2026'!Tnet-t)/('2026'!Tau_j))),Resal+(Salim-Resal)*(1-EXP((Tnet-t)/(Tau_j))))*Salcycl</f>
        <v>2.6073853990410886E-2</v>
      </c>
      <c r="P175" s="169">
        <f>(INDEX(Models!$BJ175:$BT175,,T175)*(1-R175)+INDEX(Models!$BJ175:$BT175,,T175+1)*R175-ERP_i)*Q175*Ramure*Pc/MaxiM</f>
        <v>6.3642121641894364E-5</v>
      </c>
      <c r="Q175" s="305">
        <f t="shared" si="53"/>
        <v>0.7</v>
      </c>
      <c r="R175" s="177">
        <f t="shared" si="54"/>
        <v>0.37908718055965052</v>
      </c>
      <c r="S175" s="810">
        <f t="shared" si="55"/>
        <v>-1</v>
      </c>
      <c r="T175" s="176">
        <f t="shared" si="56"/>
        <v>5</v>
      </c>
      <c r="U175" s="251">
        <f t="shared" si="57"/>
        <v>-0.62091281944034948</v>
      </c>
      <c r="V175" s="383">
        <f t="shared" si="58"/>
        <v>58.000140656213375</v>
      </c>
      <c r="W175" s="402">
        <f t="shared" si="59"/>
        <v>56.758232586453623</v>
      </c>
      <c r="X175" s="157">
        <f t="shared" si="60"/>
        <v>46548</v>
      </c>
      <c r="Y175" s="385">
        <f t="shared" si="61"/>
        <v>51.582820898040211</v>
      </c>
      <c r="Z175" s="385">
        <f t="shared" si="62"/>
        <v>55.616100726132039</v>
      </c>
      <c r="AA175" s="386">
        <f t="shared" si="63"/>
        <v>62.815323490358452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0.11460933995399099</v>
      </c>
      <c r="AD175" s="231">
        <f>(INDEX(Models!$BJ175:$BT175,,AH175)*(1-AF175)+INDEX(Models!$BJ175:$BT175,,AH175+1)*AF175-ERP_i)*AE175*Ramure*Pc/MaxiM</f>
        <v>3.7873573780770837E-4</v>
      </c>
      <c r="AE175" s="305">
        <f t="shared" si="65"/>
        <v>0.7</v>
      </c>
      <c r="AF175" s="177">
        <f t="shared" si="66"/>
        <v>0.19907723365883445</v>
      </c>
      <c r="AG175" s="810">
        <f t="shared" si="74"/>
        <v>2</v>
      </c>
      <c r="AH175" s="176">
        <f t="shared" si="67"/>
        <v>8</v>
      </c>
      <c r="AI175" s="225">
        <f t="shared" si="68"/>
        <v>2.1990772336588345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54.601914348509325</v>
      </c>
      <c r="C176" s="840"/>
      <c r="D176" s="393">
        <f t="shared" si="50"/>
        <v>58.87262826124541</v>
      </c>
      <c r="E176" s="385">
        <f t="shared" si="75"/>
        <v>60.460631993064347</v>
      </c>
      <c r="F176" s="385">
        <f t="shared" si="51"/>
        <v>60.464221046246642</v>
      </c>
      <c r="G176" s="110">
        <f t="shared" si="76"/>
        <v>0.94181029667597349</v>
      </c>
      <c r="H176" s="414" t="b">
        <f>Wh_hp&gt;='2026'!Maxi_hp</f>
        <v>0</v>
      </c>
      <c r="I176" s="390">
        <f>IF(H176,Wh_hp,'2026'!Maxi_hp)</f>
        <v>60.464491335230008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7.254158747227879E-2</v>
      </c>
      <c r="M176" s="844"/>
      <c r="N176" s="844"/>
      <c r="O176" s="48">
        <f>IF(t&lt;Tnet,'2026'!Resal+('2026'!Salim-'2026'!Resal)*(1-EXP(('2026'!Tnet-t)/('2026'!Tau_j))),Resal+(Salim-Resal)*(1-EXP((Tnet-t)/(Tau_j))))*Salcycl</f>
        <v>2.6265086544267447E-2</v>
      </c>
      <c r="P176" s="169">
        <f>(INDEX(Models!$BJ176:$BT176,,T176)*(1-R176)+INDEX(Models!$BJ176:$BT176,,T176+1)*R176-ERP_i)*Q176*Ramure*Pc/MaxiM</f>
        <v>6.4739503076817134E-5</v>
      </c>
      <c r="Q176" s="305">
        <f t="shared" si="53"/>
        <v>0.7</v>
      </c>
      <c r="R176" s="177">
        <f t="shared" si="54"/>
        <v>0.38320327360845963</v>
      </c>
      <c r="S176" s="810">
        <f t="shared" si="55"/>
        <v>-1</v>
      </c>
      <c r="T176" s="176">
        <f t="shared" si="56"/>
        <v>5</v>
      </c>
      <c r="U176" s="251">
        <f t="shared" si="57"/>
        <v>-0.61679672639154037</v>
      </c>
      <c r="V176" s="383">
        <f t="shared" si="58"/>
        <v>57.975178971410159</v>
      </c>
      <c r="W176" s="402">
        <f t="shared" si="59"/>
        <v>54.601914348509325</v>
      </c>
      <c r="X176" s="157">
        <f t="shared" si="60"/>
        <v>46549</v>
      </c>
      <c r="Y176" s="385">
        <f t="shared" si="61"/>
        <v>49.625480557551029</v>
      </c>
      <c r="Z176" s="385">
        <f t="shared" si="62"/>
        <v>53.506960406235734</v>
      </c>
      <c r="AA176" s="386">
        <f t="shared" si="63"/>
        <v>60.443081456067382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0.11475459031441203</v>
      </c>
      <c r="AD176" s="231">
        <f>(INDEX(Models!$BJ176:$BT176,,AH176)*(1-AF176)+INDEX(Models!$BJ176:$BT176,,AH176+1)*AF176-ERP_i)*AE176*Ramure*Pc/MaxiM</f>
        <v>3.8131688050840662E-4</v>
      </c>
      <c r="AE176" s="305">
        <f t="shared" si="65"/>
        <v>0.7</v>
      </c>
      <c r="AF176" s="177">
        <f t="shared" si="66"/>
        <v>0.20319332670764378</v>
      </c>
      <c r="AG176" s="810">
        <f t="shared" si="74"/>
        <v>2</v>
      </c>
      <c r="AH176" s="176">
        <f t="shared" si="67"/>
        <v>8</v>
      </c>
      <c r="AI176" s="225">
        <f t="shared" si="68"/>
        <v>2.2031933267076438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42.470430518803433</v>
      </c>
      <c r="C177" s="840"/>
      <c r="D177" s="393">
        <f t="shared" si="50"/>
        <v>45.793340506788844</v>
      </c>
      <c r="E177" s="385">
        <f t="shared" si="75"/>
        <v>47.037770643117163</v>
      </c>
      <c r="F177" s="385">
        <f t="shared" si="51"/>
        <v>47.039685832820886</v>
      </c>
      <c r="G177" s="110">
        <f t="shared" si="76"/>
        <v>0.73288864557813926</v>
      </c>
      <c r="H177" s="414" t="b">
        <f>Wh_hp&gt;='2026'!Maxi_hp</f>
        <v>0</v>
      </c>
      <c r="I177" s="390">
        <f>IF(H177,Wh_hp,'2026'!Maxi_hp)</f>
        <v>55.539743241792053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7.2563170784467945E-2</v>
      </c>
      <c r="M177" s="844"/>
      <c r="N177" s="844"/>
      <c r="O177" s="48">
        <f>IF(t&lt;Tnet,'2026'!Resal+('2026'!Salim-'2026'!Resal)*(1-EXP(('2026'!Tnet-t)/('2026'!Tau_j))),Resal+(Salim-Resal)*(1-EXP((Tnet-t)/(Tau_j))))*Salcycl</f>
        <v>2.6455976108434337E-2</v>
      </c>
      <c r="P177" s="169">
        <f>(INDEX(Models!$BJ177:$BT177,,T177)*(1-R177)+INDEX(Models!$BJ177:$BT177,,T177+1)*R177-ERP_i)*Q177*Ramure*Pc/MaxiM</f>
        <v>6.5834078424553818E-5</v>
      </c>
      <c r="Q177" s="305">
        <f t="shared" si="53"/>
        <v>0.7</v>
      </c>
      <c r="R177" s="177">
        <f t="shared" si="54"/>
        <v>0.38731589332390437</v>
      </c>
      <c r="S177" s="810">
        <f t="shared" si="55"/>
        <v>-1</v>
      </c>
      <c r="T177" s="176">
        <f t="shared" si="56"/>
        <v>5</v>
      </c>
      <c r="U177" s="251">
        <f t="shared" si="57"/>
        <v>-0.61268410667609563</v>
      </c>
      <c r="V177" s="383">
        <f t="shared" si="58"/>
        <v>57.947907755761847</v>
      </c>
      <c r="W177" s="402">
        <f t="shared" si="59"/>
        <v>42.470430518803433</v>
      </c>
      <c r="X177" s="157">
        <f t="shared" si="60"/>
        <v>46550</v>
      </c>
      <c r="Y177" s="385">
        <f t="shared" si="61"/>
        <v>38.60457326626107</v>
      </c>
      <c r="Z177" s="385">
        <f t="shared" si="62"/>
        <v>41.625016443345864</v>
      </c>
      <c r="AA177" s="386">
        <f t="shared" si="63"/>
        <v>47.028513244583174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0.11489831228844323</v>
      </c>
      <c r="AD177" s="231">
        <f>(INDEX(Models!$BJ177:$BT177,,AH177)*(1-AF177)+INDEX(Models!$BJ177:$BT177,,AH177+1)*AF177-ERP_i)*AE177*Ramure*Pc/MaxiM</f>
        <v>3.8405440924099818E-4</v>
      </c>
      <c r="AE177" s="305">
        <f t="shared" si="65"/>
        <v>0.7</v>
      </c>
      <c r="AF177" s="177">
        <f t="shared" si="66"/>
        <v>0.20730594642308819</v>
      </c>
      <c r="AG177" s="810">
        <f t="shared" si="74"/>
        <v>2</v>
      </c>
      <c r="AH177" s="176">
        <f t="shared" si="67"/>
        <v>8</v>
      </c>
      <c r="AI177" s="225">
        <f t="shared" si="68"/>
        <v>2.2073059464230882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53.805302645849451</v>
      </c>
      <c r="C178" s="840"/>
      <c r="D178" s="393">
        <f t="shared" si="50"/>
        <v>58.016409428659465</v>
      </c>
      <c r="E178" s="385">
        <f t="shared" si="75"/>
        <v>59.604665204735426</v>
      </c>
      <c r="F178" s="385">
        <f t="shared" si="51"/>
        <v>59.608247832603375</v>
      </c>
      <c r="G178" s="110">
        <f t="shared" si="76"/>
        <v>0.92899206697173664</v>
      </c>
      <c r="H178" s="414" t="b">
        <f>Wh_hp&gt;='2026'!Maxi_hp</f>
        <v>0</v>
      </c>
      <c r="I178" s="390">
        <f>IF(H178,Wh_hp,'2026'!Maxi_hp)</f>
        <v>65.896682461422955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7.2584753594381768E-2</v>
      </c>
      <c r="M178" s="844"/>
      <c r="N178" s="844"/>
      <c r="O178" s="48">
        <f>IF(t&lt;Tnet,'2026'!Resal+('2026'!Salim-'2026'!Resal)*(1-EXP(('2026'!Tnet-t)/('2026'!Tau_j))),Resal+(Salim-Resal)*(1-EXP((Tnet-t)/(Tau_j))))*Salcycl</f>
        <v>2.66465010854516E-2</v>
      </c>
      <c r="P178" s="169">
        <f>(INDEX(Models!$BJ178:$BT178,,T178)*(1-R178)+INDEX(Models!$BJ178:$BT178,,T178+1)*R178-ERP_i)*Q178*Ramure*Pc/MaxiM</f>
        <v>6.6887330539512114E-5</v>
      </c>
      <c r="Q178" s="305">
        <f t="shared" si="53"/>
        <v>0.7</v>
      </c>
      <c r="R178" s="177">
        <f t="shared" si="54"/>
        <v>0.39142157808651756</v>
      </c>
      <c r="S178" s="810">
        <f t="shared" si="55"/>
        <v>-1</v>
      </c>
      <c r="T178" s="176">
        <f t="shared" si="56"/>
        <v>5</v>
      </c>
      <c r="U178" s="251">
        <f t="shared" si="57"/>
        <v>-0.60857842191348244</v>
      </c>
      <c r="V178" s="383">
        <f t="shared" si="58"/>
        <v>57.917542568835792</v>
      </c>
      <c r="W178" s="402">
        <f t="shared" si="59"/>
        <v>53.805302645849451</v>
      </c>
      <c r="X178" s="157">
        <f t="shared" si="60"/>
        <v>46551</v>
      </c>
      <c r="Y178" s="385">
        <f t="shared" si="61"/>
        <v>48.904972517657768</v>
      </c>
      <c r="Z178" s="385">
        <f t="shared" si="62"/>
        <v>52.732551796186975</v>
      </c>
      <c r="AA178" s="386">
        <f t="shared" si="63"/>
        <v>59.587527159253348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0.11504044033822382</v>
      </c>
      <c r="AD178" s="231">
        <f>(INDEX(Models!$BJ178:$BT178,,AH178)*(1-AF178)+INDEX(Models!$BJ178:$BT178,,AH178+1)*AF178-ERP_i)*AE178*Ramure*Pc/MaxiM</f>
        <v>3.8685305268885647E-4</v>
      </c>
      <c r="AE178" s="305">
        <f t="shared" si="65"/>
        <v>0.7</v>
      </c>
      <c r="AF178" s="177">
        <f t="shared" si="66"/>
        <v>0.2114116311857015</v>
      </c>
      <c r="AG178" s="810">
        <f t="shared" si="74"/>
        <v>2</v>
      </c>
      <c r="AH178" s="176">
        <f t="shared" si="67"/>
        <v>8</v>
      </c>
      <c r="AI178" s="225">
        <f t="shared" si="68"/>
        <v>2.2114116311857015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46.509040732280525</v>
      </c>
      <c r="C179" s="840"/>
      <c r="D179" s="393">
        <f t="shared" si="50"/>
        <v>50.150267931275636</v>
      </c>
      <c r="E179" s="385">
        <f t="shared" si="75"/>
        <v>51.533247165967019</v>
      </c>
      <c r="F179" s="385">
        <f t="shared" si="51"/>
        <v>51.535764541741059</v>
      </c>
      <c r="G179" s="110">
        <f t="shared" si="76"/>
        <v>0.80346910492282819</v>
      </c>
      <c r="H179" s="414" t="b">
        <f>Wh_hp&gt;='2026'!Maxi_hp</f>
        <v>0</v>
      </c>
      <c r="I179" s="390">
        <f>IF(H179,Wh_hp,'2026'!Maxi_hp)</f>
        <v>55.28412997128946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7.2606335902032137E-2</v>
      </c>
      <c r="M179" s="844"/>
      <c r="N179" s="844"/>
      <c r="O179" s="48">
        <f>IF(t&lt;Tnet,'2026'!Resal+('2026'!Salim-'2026'!Resal)*(1-EXP(('2026'!Tnet-t)/('2026'!Tau_j))),Resal+(Salim-Resal)*(1-EXP((Tnet-t)/(Tau_j))))*Salcycl</f>
        <v>2.6836640630026481E-2</v>
      </c>
      <c r="P179" s="169">
        <f>(INDEX(Models!$BJ179:$BT179,,T179)*(1-R179)+INDEX(Models!$BJ179:$BT179,,T179+1)*R179-ERP_i)*Q179*Ramure*Pc/MaxiM</f>
        <v>6.7912751305952696E-5</v>
      </c>
      <c r="Q179" s="305">
        <f t="shared" si="53"/>
        <v>0.7</v>
      </c>
      <c r="R179" s="177">
        <f t="shared" si="54"/>
        <v>0.39551688962077836</v>
      </c>
      <c r="S179" s="810">
        <f t="shared" si="55"/>
        <v>-1</v>
      </c>
      <c r="T179" s="176">
        <f t="shared" si="56"/>
        <v>5</v>
      </c>
      <c r="U179" s="251">
        <f t="shared" si="57"/>
        <v>-0.60448311037922164</v>
      </c>
      <c r="V179" s="383">
        <f t="shared" si="58"/>
        <v>57.884184571232524</v>
      </c>
      <c r="W179" s="402">
        <f t="shared" si="59"/>
        <v>46.509040732280525</v>
      </c>
      <c r="X179" s="157">
        <f t="shared" si="60"/>
        <v>46552</v>
      </c>
      <c r="Y179" s="385">
        <f t="shared" si="61"/>
        <v>42.277139588833002</v>
      </c>
      <c r="Z179" s="385">
        <f t="shared" si="62"/>
        <v>45.587048117213506</v>
      </c>
      <c r="AA179" s="386">
        <f t="shared" si="63"/>
        <v>51.521320929589031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0.11518091355781669</v>
      </c>
      <c r="AD179" s="231">
        <f>(INDEX(Models!$BJ179:$BT179,,AH179)*(1-AF179)+INDEX(Models!$BJ179:$BT179,,AH179+1)*AF179-ERP_i)*AE179*Ramure*Pc/MaxiM</f>
        <v>3.8965396034924658E-4</v>
      </c>
      <c r="AE179" s="305">
        <f t="shared" si="65"/>
        <v>0.7</v>
      </c>
      <c r="AF179" s="177">
        <f t="shared" si="66"/>
        <v>0.21550694271996207</v>
      </c>
      <c r="AG179" s="810">
        <f t="shared" si="74"/>
        <v>2</v>
      </c>
      <c r="AH179" s="176">
        <f t="shared" si="67"/>
        <v>8</v>
      </c>
      <c r="AI179" s="225">
        <f t="shared" si="68"/>
        <v>2.2155069427199621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53.923212582853097</v>
      </c>
      <c r="C180" s="840"/>
      <c r="D180" s="393">
        <f t="shared" si="50"/>
        <v>58.146253928141526</v>
      </c>
      <c r="E180" s="385">
        <f t="shared" si="75"/>
        <v>59.761387583678463</v>
      </c>
      <c r="F180" s="385">
        <f t="shared" si="51"/>
        <v>59.765106782321389</v>
      </c>
      <c r="G180" s="110">
        <f t="shared" si="76"/>
        <v>0.93214825781116428</v>
      </c>
      <c r="H180" s="414" t="b">
        <f>Wh_hp&gt;='2026'!Maxi_hp</f>
        <v>0</v>
      </c>
      <c r="I180" s="390">
        <f>IF(H180,Wh_hp,'2026'!Maxi_hp)</f>
        <v>59.765433679156097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7.26279177074306E-2</v>
      </c>
      <c r="M180" s="844"/>
      <c r="N180" s="844"/>
      <c r="O180" s="48">
        <f>IF(t&lt;Tnet,'2026'!Resal+('2026'!Salim-'2026'!Resal)*(1-EXP(('2026'!Tnet-t)/('2026'!Tau_j))),Resal+(Salim-Resal)*(1-EXP((Tnet-t)/(Tau_j))))*Salcycl</f>
        <v>2.7026374735282254E-2</v>
      </c>
      <c r="P180" s="169">
        <f>(INDEX(Models!$BJ180:$BT180,,T180)*(1-R180)+INDEX(Models!$BJ180:$BT180,,T180+1)*R180-ERP_i)*Q180*Ramure*Pc/MaxiM</f>
        <v>6.8909086419793766E-5</v>
      </c>
      <c r="Q180" s="305">
        <f t="shared" si="53"/>
        <v>0.7</v>
      </c>
      <c r="R180" s="177">
        <f t="shared" si="54"/>
        <v>0.39959842445849036</v>
      </c>
      <c r="S180" s="810">
        <f t="shared" si="55"/>
        <v>-1</v>
      </c>
      <c r="T180" s="176">
        <f t="shared" si="56"/>
        <v>5</v>
      </c>
      <c r="U180" s="251">
        <f t="shared" si="57"/>
        <v>-0.60040157554150964</v>
      </c>
      <c r="V180" s="383">
        <f t="shared" si="58"/>
        <v>57.847935631765132</v>
      </c>
      <c r="W180" s="402">
        <f t="shared" si="59"/>
        <v>53.923212582853097</v>
      </c>
      <c r="X180" s="157">
        <f t="shared" si="60"/>
        <v>46553</v>
      </c>
      <c r="Y180" s="385">
        <f t="shared" si="61"/>
        <v>49.015578944862</v>
      </c>
      <c r="Z180" s="385">
        <f t="shared" si="62"/>
        <v>52.854274870653761</v>
      </c>
      <c r="AA180" s="386">
        <f t="shared" si="63"/>
        <v>59.743924930494344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0.11531967589769083</v>
      </c>
      <c r="AD180" s="231">
        <f>(INDEX(Models!$BJ180:$BT180,,AH180)*(1-AF180)+INDEX(Models!$BJ180:$BT180,,AH180+1)*AF180-ERP_i)*AE180*Ramure*Pc/MaxiM</f>
        <v>3.9245606331243696E-4</v>
      </c>
      <c r="AE180" s="305">
        <f t="shared" si="65"/>
        <v>0.7</v>
      </c>
      <c r="AF180" s="177">
        <f t="shared" si="66"/>
        <v>0.21958847755767419</v>
      </c>
      <c r="AG180" s="810">
        <f t="shared" si="74"/>
        <v>2</v>
      </c>
      <c r="AH180" s="176">
        <f t="shared" si="67"/>
        <v>8</v>
      </c>
      <c r="AI180" s="225">
        <f t="shared" si="68"/>
        <v>2.2195884775576742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51.36576268585641</v>
      </c>
      <c r="C181" s="840"/>
      <c r="D181" s="393">
        <f t="shared" si="50"/>
        <v>55.38980421216479</v>
      </c>
      <c r="E181" s="385">
        <f t="shared" si="75"/>
        <v>56.939450317041967</v>
      </c>
      <c r="F181" s="385">
        <f t="shared" si="51"/>
        <v>56.942795672276318</v>
      </c>
      <c r="G181" s="110">
        <f t="shared" si="76"/>
        <v>0.88853435065844721</v>
      </c>
      <c r="H181" s="414" t="b">
        <f>Wh_hp&gt;='2026'!Maxi_hp</f>
        <v>0</v>
      </c>
      <c r="I181" s="390">
        <f>IF(H181,Wh_hp,'2026'!Maxi_hp)</f>
        <v>65.565674070131692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7.2649499010588925E-2</v>
      </c>
      <c r="M181" s="844"/>
      <c r="N181" s="844"/>
      <c r="O181" s="48">
        <f>IF(t&lt;Tnet,'2026'!Resal+('2026'!Salim-'2026'!Resal)*(1-EXP(('2026'!Tnet-t)/('2026'!Tau_j))),Resal+(Salim-Resal)*(1-EXP((Tnet-t)/(Tau_j))))*Salcycl</f>
        <v>2.721568431463002E-2</v>
      </c>
      <c r="P181" s="169">
        <f>(INDEX(Models!$BJ181:$BT181,,T181)*(1-R181)+INDEX(Models!$BJ181:$BT181,,T181+1)*R181-ERP_i)*Q181*Ramure*Pc/MaxiM</f>
        <v>6.9875090635233928E-5</v>
      </c>
      <c r="Q181" s="305">
        <f t="shared" si="53"/>
        <v>0.7</v>
      </c>
      <c r="R181" s="177">
        <f t="shared" si="54"/>
        <v>0.40366282515470786</v>
      </c>
      <c r="S181" s="810">
        <f t="shared" si="55"/>
        <v>-1</v>
      </c>
      <c r="T181" s="176">
        <f t="shared" si="56"/>
        <v>5</v>
      </c>
      <c r="U181" s="251">
        <f t="shared" si="57"/>
        <v>-0.59633717484529214</v>
      </c>
      <c r="V181" s="383">
        <f t="shared" si="58"/>
        <v>57.808897466677053</v>
      </c>
      <c r="W181" s="402">
        <f t="shared" si="59"/>
        <v>51.36576268585641</v>
      </c>
      <c r="X181" s="157">
        <f t="shared" si="60"/>
        <v>46554</v>
      </c>
      <c r="Y181" s="385">
        <f t="shared" si="61"/>
        <v>46.693610330761288</v>
      </c>
      <c r="Z181" s="385">
        <f t="shared" si="62"/>
        <v>50.351631104898125</v>
      </c>
      <c r="AA181" s="386">
        <f t="shared" si="63"/>
        <v>56.923872194204641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0.115456676363904</v>
      </c>
      <c r="AD181" s="231">
        <f>(INDEX(Models!$BJ181:$BT181,,AH181)*(1-AF181)+INDEX(Models!$BJ181:$BT181,,AH181+1)*AF181-ERP_i)*AE181*Ramure*Pc/MaxiM</f>
        <v>3.9525839642224996E-4</v>
      </c>
      <c r="AE181" s="305">
        <f t="shared" si="65"/>
        <v>0.7</v>
      </c>
      <c r="AF181" s="177">
        <f t="shared" si="66"/>
        <v>0.2236528782538918</v>
      </c>
      <c r="AG181" s="810">
        <f t="shared" si="74"/>
        <v>2</v>
      </c>
      <c r="AH181" s="176">
        <f t="shared" si="67"/>
        <v>8</v>
      </c>
      <c r="AI181" s="225">
        <f t="shared" si="68"/>
        <v>2.2236528782538918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51.935025780776456</v>
      </c>
      <c r="C182" s="840"/>
      <c r="D182" s="393">
        <f t="shared" si="50"/>
        <v>56.004967223733921</v>
      </c>
      <c r="E182" s="385">
        <f t="shared" si="75"/>
        <v>57.583003598631294</v>
      </c>
      <c r="F182" s="385">
        <f t="shared" si="51"/>
        <v>57.586493157185053</v>
      </c>
      <c r="G182" s="110">
        <f t="shared" si="76"/>
        <v>0.89903129891687406</v>
      </c>
      <c r="H182" s="414" t="b">
        <f>Wh_hp&gt;='2026'!Maxi_hp</f>
        <v>0</v>
      </c>
      <c r="I182" s="390">
        <f>IF(H182,Wh_hp,'2026'!Maxi_hp)</f>
        <v>63.498775239752014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7.2671079811518879E-2</v>
      </c>
      <c r="M182" s="844"/>
      <c r="N182" s="844"/>
      <c r="O182" s="48">
        <f>IF(t&lt;Tnet,'2026'!Resal+('2026'!Salim-'2026'!Resal)*(1-EXP(('2026'!Tnet-t)/('2026'!Tau_j))),Resal+(Salim-Resal)*(1-EXP((Tnet-t)/(Tau_j))))*Salcycl</f>
        <v>2.7404551278649988E-2</v>
      </c>
      <c r="P182" s="169">
        <f>(INDEX(Models!$BJ182:$BT182,,T182)*(1-R182)+INDEX(Models!$BJ182:$BT182,,T182+1)*R182-ERP_i)*Q182*Ramure*Pc/MaxiM</f>
        <v>7.0809532392839347E-5</v>
      </c>
      <c r="Q182" s="305">
        <f t="shared" si="53"/>
        <v>0.7</v>
      </c>
      <c r="R182" s="177">
        <f t="shared" si="54"/>
        <v>0.40770679117843578</v>
      </c>
      <c r="S182" s="810">
        <f t="shared" si="55"/>
        <v>-1</v>
      </c>
      <c r="T182" s="176">
        <f t="shared" si="56"/>
        <v>5</v>
      </c>
      <c r="U182" s="251">
        <f t="shared" si="57"/>
        <v>-0.59229320882156422</v>
      </c>
      <c r="V182" s="383">
        <f t="shared" si="58"/>
        <v>57.767171636734247</v>
      </c>
      <c r="W182" s="402">
        <f t="shared" si="59"/>
        <v>51.935025780776456</v>
      </c>
      <c r="X182" s="157">
        <f t="shared" si="60"/>
        <v>46555</v>
      </c>
      <c r="Y182" s="385">
        <f t="shared" si="61"/>
        <v>47.212738943168404</v>
      </c>
      <c r="Z182" s="385">
        <f t="shared" si="62"/>
        <v>50.912613545550094</v>
      </c>
      <c r="AA182" s="386">
        <f t="shared" si="63"/>
        <v>57.566876391048254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0.11559186919047268</v>
      </c>
      <c r="AD182" s="231">
        <f>(INDEX(Models!$BJ182:$BT182,,AH182)*(1-AF182)+INDEX(Models!$BJ182:$BT182,,AH182+1)*AF182-ERP_i)*AE182*Ramure*Pc/MaxiM</f>
        <v>3.9806010296308429E-4</v>
      </c>
      <c r="AE182" s="305">
        <f t="shared" si="65"/>
        <v>0.7</v>
      </c>
      <c r="AF182" s="177">
        <f t="shared" si="66"/>
        <v>0.22769684427761971</v>
      </c>
      <c r="AG182" s="810">
        <f t="shared" si="74"/>
        <v>2</v>
      </c>
      <c r="AH182" s="176">
        <f t="shared" si="67"/>
        <v>8</v>
      </c>
      <c r="AI182" s="225">
        <f t="shared" si="68"/>
        <v>2.2276968442776197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54.241514693474983</v>
      </c>
      <c r="C183" s="840"/>
      <c r="D183" s="393">
        <f t="shared" si="50"/>
        <v>58.493567731193465</v>
      </c>
      <c r="E183" s="385">
        <f t="shared" si="75"/>
        <v>60.153377383367989</v>
      </c>
      <c r="F183" s="385">
        <f t="shared" si="51"/>
        <v>60.157319650485611</v>
      </c>
      <c r="G183" s="110">
        <f t="shared" si="76"/>
        <v>0.93968282183986163</v>
      </c>
      <c r="H183" s="414" t="b">
        <f>Wh_hp&gt;='2026'!Maxi_hp</f>
        <v>0</v>
      </c>
      <c r="I183" s="390">
        <f>IF(H183,Wh_hp,'2026'!Maxi_hp)</f>
        <v>60.833252001548445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7.269266011023201E-2</v>
      </c>
      <c r="M183" s="844"/>
      <c r="N183" s="844"/>
      <c r="O183" s="48">
        <f>IF(t&lt;Tnet,'2026'!Resal+('2026'!Salim-'2026'!Resal)*(1-EXP(('2026'!Tnet-t)/('2026'!Tau_j))),Resal+(Salim-Resal)*(1-EXP((Tnet-t)/(Tau_j))))*Salcycl</f>
        <v>2.7592958606401544E-2</v>
      </c>
      <c r="P183" s="169">
        <f>(INDEX(Models!$BJ183:$BT183,,T183)*(1-R183)+INDEX(Models!$BJ183:$BT183,,T183+1)*R183-ERP_i)*Q183*Ramure*Pc/MaxiM</f>
        <v>7.1711198290964898E-5</v>
      </c>
      <c r="Q183" s="305">
        <f t="shared" si="53"/>
        <v>0.7</v>
      </c>
      <c r="R183" s="177">
        <f t="shared" si="54"/>
        <v>0.41172708940425329</v>
      </c>
      <c r="S183" s="810">
        <f t="shared" si="55"/>
        <v>-1</v>
      </c>
      <c r="T183" s="176">
        <f t="shared" si="56"/>
        <v>5</v>
      </c>
      <c r="U183" s="251">
        <f t="shared" si="57"/>
        <v>-0.58827291059574671</v>
      </c>
      <c r="V183" s="383">
        <f t="shared" si="58"/>
        <v>57.722859539113934</v>
      </c>
      <c r="W183" s="402">
        <f t="shared" si="59"/>
        <v>54.241514693474983</v>
      </c>
      <c r="X183" s="157">
        <f t="shared" si="60"/>
        <v>46556</v>
      </c>
      <c r="Y183" s="385">
        <f t="shared" si="61"/>
        <v>49.310601011004223</v>
      </c>
      <c r="Z183" s="385">
        <f t="shared" si="62"/>
        <v>53.176114207039419</v>
      </c>
      <c r="AA183" s="386">
        <f t="shared" si="63"/>
        <v>60.135282660941755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0.11572521398360967</v>
      </c>
      <c r="AD183" s="231">
        <f>(INDEX(Models!$BJ183:$BT183,,AH183)*(1-AF183)+INDEX(Models!$BJ183:$BT183,,AH183+1)*AF183-ERP_i)*AE183*Ramure*Pc/MaxiM</f>
        <v>4.0086043887081231E-4</v>
      </c>
      <c r="AE183" s="305">
        <f t="shared" si="65"/>
        <v>0.7</v>
      </c>
      <c r="AF183" s="177">
        <f t="shared" si="66"/>
        <v>0.23171714250343722</v>
      </c>
      <c r="AG183" s="810">
        <f t="shared" si="74"/>
        <v>2</v>
      </c>
      <c r="AH183" s="176">
        <f t="shared" si="67"/>
        <v>8</v>
      </c>
      <c r="AI183" s="225">
        <f t="shared" si="68"/>
        <v>2.2317171425034372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55.584254534166497</v>
      </c>
      <c r="C184" s="840"/>
      <c r="D184" s="393">
        <f t="shared" si="50"/>
        <v>59.942961410920645</v>
      </c>
      <c r="E184" s="385">
        <f t="shared" si="75"/>
        <v>61.655814846344398</v>
      </c>
      <c r="F184" s="385">
        <f t="shared" si="51"/>
        <v>61.660055802509845</v>
      </c>
      <c r="G184" s="110">
        <f t="shared" si="76"/>
        <v>0.96372812253382001</v>
      </c>
      <c r="H184" s="414" t="b">
        <f>Wh_hp&gt;='2026'!Maxi_hp</f>
        <v>0</v>
      </c>
      <c r="I184" s="390">
        <f>IF(H184,Wh_hp,'2026'!Maxi_hp)</f>
        <v>61.660243067382268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7.2714239906740086E-2</v>
      </c>
      <c r="M184" s="844"/>
      <c r="N184" s="844"/>
      <c r="O184" s="48">
        <f>IF(t&lt;Tnet,'2026'!Resal+('2026'!Salim-'2026'!Resal)*(1-EXP(('2026'!Tnet-t)/('2026'!Tau_j))),Resal+(Salim-Resal)*(1-EXP((Tnet-t)/(Tau_j))))*Salcycl</f>
        <v>2.7780890410619676E-2</v>
      </c>
      <c r="P184" s="169">
        <f>(INDEX(Models!$BJ184:$BT184,,T184)*(1-R184)+INDEX(Models!$BJ184:$BT184,,T184+1)*R184-ERP_i)*Q184*Ramure*Pc/MaxiM</f>
        <v>7.253795717184073E-5</v>
      </c>
      <c r="Q184" s="305">
        <f t="shared" si="53"/>
        <v>0.7</v>
      </c>
      <c r="R184" s="177">
        <f t="shared" si="54"/>
        <v>0.41572056413578329</v>
      </c>
      <c r="S184" s="810">
        <f t="shared" si="55"/>
        <v>-1</v>
      </c>
      <c r="T184" s="176">
        <f t="shared" si="56"/>
        <v>5</v>
      </c>
      <c r="U184" s="251">
        <f t="shared" si="57"/>
        <v>-0.58427943586421671</v>
      </c>
      <c r="V184" s="383">
        <f t="shared" si="58"/>
        <v>57.676064770373415</v>
      </c>
      <c r="W184" s="402">
        <f t="shared" si="59"/>
        <v>55.584254534166497</v>
      </c>
      <c r="X184" s="157">
        <f t="shared" si="60"/>
        <v>46557</v>
      </c>
      <c r="Y184" s="385">
        <f t="shared" si="61"/>
        <v>50.532869805195858</v>
      </c>
      <c r="Z184" s="385">
        <f t="shared" si="62"/>
        <v>54.495466208942553</v>
      </c>
      <c r="AA184" s="386">
        <f t="shared" si="63"/>
        <v>61.63646178125574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0.11585667583671773</v>
      </c>
      <c r="AD184" s="231">
        <f>(INDEX(Models!$BJ184:$BT184,,AH184)*(1-AF184)+INDEX(Models!$BJ184:$BT184,,AH184+1)*AF184-ERP_i)*AE184*Ramure*Pc/MaxiM</f>
        <v>4.0355571632344961E-4</v>
      </c>
      <c r="AE184" s="305">
        <f t="shared" si="65"/>
        <v>0.7</v>
      </c>
      <c r="AF184" s="177">
        <f t="shared" si="66"/>
        <v>0.23571061723496722</v>
      </c>
      <c r="AG184" s="810">
        <f t="shared" si="74"/>
        <v>2</v>
      </c>
      <c r="AH184" s="176">
        <f t="shared" si="67"/>
        <v>8</v>
      </c>
      <c r="AI184" s="225">
        <f t="shared" si="68"/>
        <v>2.2357106172349672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32.815130249791366</v>
      </c>
      <c r="C185" s="840"/>
      <c r="D185" s="393">
        <f t="shared" si="50"/>
        <v>35.38919213024851</v>
      </c>
      <c r="E185" s="385">
        <f t="shared" si="75"/>
        <v>36.407447715081773</v>
      </c>
      <c r="F185" s="385">
        <f t="shared" si="51"/>
        <v>36.408474712997567</v>
      </c>
      <c r="G185" s="110">
        <f t="shared" si="76"/>
        <v>0.56941562848908045</v>
      </c>
      <c r="H185" s="414" t="b">
        <f>Wh_hp&gt;='2026'!Maxi_hp</f>
        <v>0</v>
      </c>
      <c r="I185" s="390">
        <f>IF(H185,Wh_hp,'2026'!Maxi_hp)</f>
        <v>56.819376844927362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7.2735819201054763E-2</v>
      </c>
      <c r="M185" s="844"/>
      <c r="N185" s="844"/>
      <c r="O185" s="48">
        <f>IF(t&lt;Tnet,'2026'!Resal+('2026'!Salim-'2026'!Resal)*(1-EXP(('2026'!Tnet-t)/('2026'!Tau_j))),Resal+(Salim-Resal)*(1-EXP((Tnet-t)/(Tau_j))))*Salcycl</f>
        <v>2.7968331996297797E-2</v>
      </c>
      <c r="P185" s="169">
        <f>(INDEX(Models!$BJ185:$BT185,,T185)*(1-R185)+INDEX(Models!$BJ185:$BT185,,T185+1)*R185-ERP_i)*Q185*Ramure*Pc/MaxiM</f>
        <v>7.3282614827233837E-5</v>
      </c>
      <c r="Q185" s="305">
        <f t="shared" si="53"/>
        <v>0.7</v>
      </c>
      <c r="R185" s="177">
        <f t="shared" si="54"/>
        <v>0.41968414659744913</v>
      </c>
      <c r="S185" s="810">
        <f t="shared" si="55"/>
        <v>-1</v>
      </c>
      <c r="T185" s="176">
        <f t="shared" si="56"/>
        <v>5</v>
      </c>
      <c r="U185" s="251">
        <f t="shared" si="57"/>
        <v>-0.58031585340255087</v>
      </c>
      <c r="V185" s="383">
        <f t="shared" si="58"/>
        <v>57.626888736192669</v>
      </c>
      <c r="W185" s="402">
        <f t="shared" si="59"/>
        <v>32.815130249791366</v>
      </c>
      <c r="X185" s="157">
        <f t="shared" si="60"/>
        <v>46558</v>
      </c>
      <c r="Y185" s="385">
        <f t="shared" si="61"/>
        <v>29.839883386827719</v>
      </c>
      <c r="Z185" s="385">
        <f t="shared" si="62"/>
        <v>32.180562998904165</v>
      </c>
      <c r="AA185" s="386">
        <f t="shared" si="63"/>
        <v>36.402784576541492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0.11598622541524452</v>
      </c>
      <c r="AD185" s="231">
        <f>(INDEX(Models!$BJ185:$BT185,,AH185)*(1-AF185)+INDEX(Models!$BJ185:$BT185,,AH185+1)*AF185-ERP_i)*AE185*Ramure*Pc/MaxiM</f>
        <v>4.0602621661827169E-4</v>
      </c>
      <c r="AE185" s="305">
        <f t="shared" si="65"/>
        <v>0.7</v>
      </c>
      <c r="AF185" s="177">
        <f t="shared" si="66"/>
        <v>0.23967419969663295</v>
      </c>
      <c r="AG185" s="810">
        <f t="shared" si="74"/>
        <v>2</v>
      </c>
      <c r="AH185" s="176">
        <f t="shared" si="67"/>
        <v>8</v>
      </c>
      <c r="AI185" s="225">
        <f t="shared" si="68"/>
        <v>2.239674199696633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22.937221083831364</v>
      </c>
      <c r="C186" s="840"/>
      <c r="D186" s="393">
        <f t="shared" si="50"/>
        <v>24.737022473071022</v>
      </c>
      <c r="E186" s="385">
        <f t="shared" si="75"/>
        <v>25.45367763720483</v>
      </c>
      <c r="F186" s="385">
        <f t="shared" si="51"/>
        <v>25.453942173041906</v>
      </c>
      <c r="G186" s="110">
        <f t="shared" si="76"/>
        <v>0.39836024590056857</v>
      </c>
      <c r="H186" s="414" t="b">
        <f>Wh_hp&gt;='2026'!Maxi_hp</f>
        <v>0</v>
      </c>
      <c r="I186" s="390">
        <f>IF(H186,Wh_hp,'2026'!Maxi_hp)</f>
        <v>51.722405668054598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7.27573979931877E-2</v>
      </c>
      <c r="M186" s="844"/>
      <c r="N186" s="844"/>
      <c r="O186" s="48">
        <f>IF(t&lt;Tnet,'2026'!Resal+('2026'!Salim-'2026'!Resal)*(1-EXP(('2026'!Tnet-t)/('2026'!Tau_j))),Resal+(Salim-Resal)*(1-EXP((Tnet-t)/(Tau_j))))*Salcycl</f>
        <v>2.8155269912206914E-2</v>
      </c>
      <c r="P186" s="169">
        <f>(INDEX(Models!$BJ186:$BT186,,T186)*(1-R186)+INDEX(Models!$BJ186:$BT186,,T186+1)*R186-ERP_i)*Q186*Ramure*Pc/MaxiM</f>
        <v>7.3942839480943193E-5</v>
      </c>
      <c r="Q186" s="305">
        <f t="shared" si="53"/>
        <v>0.7</v>
      </c>
      <c r="R186" s="177">
        <f t="shared" si="54"/>
        <v>0.42361486383715052</v>
      </c>
      <c r="S186" s="810">
        <f t="shared" si="55"/>
        <v>-1</v>
      </c>
      <c r="T186" s="176">
        <f t="shared" si="56"/>
        <v>5</v>
      </c>
      <c r="U186" s="251">
        <f t="shared" si="57"/>
        <v>-0.57638513616284948</v>
      </c>
      <c r="V186" s="383">
        <f t="shared" si="58"/>
        <v>57.575432392406704</v>
      </c>
      <c r="W186" s="402">
        <f t="shared" si="59"/>
        <v>22.937221083831364</v>
      </c>
      <c r="X186" s="157">
        <f t="shared" si="60"/>
        <v>46559</v>
      </c>
      <c r="Y186" s="385">
        <f t="shared" si="61"/>
        <v>20.860266030085889</v>
      </c>
      <c r="Z186" s="385">
        <f t="shared" si="62"/>
        <v>22.497096212941941</v>
      </c>
      <c r="AA186" s="386">
        <f t="shared" si="63"/>
        <v>25.452481559121491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0.11611383901073562</v>
      </c>
      <c r="AD186" s="231">
        <f>(INDEX(Models!$BJ186:$BT186,,AH186)*(1-AF186)+INDEX(Models!$BJ186:$BT186,,AH186+1)*AF186-ERP_i)*AE186*Ramure*Pc/MaxiM</f>
        <v>4.0826960103117991E-4</v>
      </c>
      <c r="AE186" s="305">
        <f t="shared" si="65"/>
        <v>0.7</v>
      </c>
      <c r="AF186" s="177">
        <f t="shared" si="66"/>
        <v>0.24360491693633435</v>
      </c>
      <c r="AG186" s="810">
        <f t="shared" si="74"/>
        <v>2</v>
      </c>
      <c r="AH186" s="176">
        <f t="shared" si="67"/>
        <v>8</v>
      </c>
      <c r="AI186" s="225">
        <f t="shared" si="68"/>
        <v>2.2436049169363343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43.143822664760037</v>
      </c>
      <c r="C187" s="840"/>
      <c r="D187" s="393">
        <f t="shared" si="50"/>
        <v>46.530246361125549</v>
      </c>
      <c r="E187" s="385">
        <f t="shared" si="75"/>
        <v>47.887457944613047</v>
      </c>
      <c r="F187" s="385">
        <f t="shared" si="51"/>
        <v>47.889752244511591</v>
      </c>
      <c r="G187" s="110">
        <f t="shared" si="76"/>
        <v>0.75002307357989162</v>
      </c>
      <c r="H187" s="414" t="b">
        <f>Wh_hp&gt;='2026'!Maxi_hp</f>
        <v>0</v>
      </c>
      <c r="I187" s="390">
        <f>IF(H187,Wh_hp,'2026'!Maxi_hp)</f>
        <v>65.775267938024328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7.2778976283150665E-2</v>
      </c>
      <c r="M187" s="844"/>
      <c r="N187" s="844"/>
      <c r="O187" s="48">
        <f>IF(t&lt;Tnet,'2026'!Resal+('2026'!Salim-'2026'!Resal)*(1-EXP(('2026'!Tnet-t)/('2026'!Tau_j))),Resal+(Salim-Resal)*(1-EXP((Tnet-t)/(Tau_j))))*Salcycl</f>
        <v>2.8341691994953195E-2</v>
      </c>
      <c r="P187" s="169">
        <f>(INDEX(Models!$BJ187:$BT187,,T187)*(1-R187)+INDEX(Models!$BJ187:$BT187,,T187+1)*R187-ERP_i)*Q187*Ramure*Pc/MaxiM</f>
        <v>7.451635341070355E-5</v>
      </c>
      <c r="Q187" s="305">
        <f t="shared" si="53"/>
        <v>0.7</v>
      </c>
      <c r="R187" s="177">
        <f t="shared" si="54"/>
        <v>0.42750984698922057</v>
      </c>
      <c r="S187" s="810">
        <f t="shared" si="55"/>
        <v>-1</v>
      </c>
      <c r="T187" s="176">
        <f t="shared" si="56"/>
        <v>5</v>
      </c>
      <c r="U187" s="251">
        <f t="shared" si="57"/>
        <v>-0.57249015301077943</v>
      </c>
      <c r="V187" s="383">
        <f t="shared" si="58"/>
        <v>57.521796517056451</v>
      </c>
      <c r="W187" s="402">
        <f t="shared" si="59"/>
        <v>43.143822664760037</v>
      </c>
      <c r="X187" s="157">
        <f t="shared" si="60"/>
        <v>46560</v>
      </c>
      <c r="Y187" s="385">
        <f t="shared" si="61"/>
        <v>39.232490204241806</v>
      </c>
      <c r="Z187" s="385">
        <f t="shared" si="62"/>
        <v>42.311907517988345</v>
      </c>
      <c r="AA187" s="386">
        <f t="shared" si="63"/>
        <v>47.877119931497603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0.11623949856365516</v>
      </c>
      <c r="AD187" s="231">
        <f>(INDEX(Models!$BJ187:$BT187,,AH187)*(1-AF187)+INDEX(Models!$BJ187:$BT187,,AH187+1)*AF187-ERP_i)*AE187*Ramure*Pc/MaxiM</f>
        <v>4.1028372164480636E-4</v>
      </c>
      <c r="AE187" s="305">
        <f t="shared" si="65"/>
        <v>0.7</v>
      </c>
      <c r="AF187" s="177">
        <f t="shared" si="66"/>
        <v>0.24749990008840461</v>
      </c>
      <c r="AG187" s="810">
        <f t="shared" si="74"/>
        <v>2</v>
      </c>
      <c r="AH187" s="176">
        <f t="shared" si="67"/>
        <v>8</v>
      </c>
      <c r="AI187" s="225">
        <f t="shared" si="68"/>
        <v>2.2474999000884046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41.040992959607685</v>
      </c>
      <c r="C188" s="840"/>
      <c r="D188" s="393">
        <f t="shared" si="50"/>
        <v>44.26339245542259</v>
      </c>
      <c r="E188" s="385">
        <f t="shared" si="75"/>
        <v>45.563200644264043</v>
      </c>
      <c r="F188" s="385">
        <f t="shared" si="51"/>
        <v>45.56522265941522</v>
      </c>
      <c r="G188" s="110">
        <f t="shared" si="76"/>
        <v>0.71415580834960957</v>
      </c>
      <c r="H188" s="414" t="b">
        <f>Wh_hp&gt;='2026'!Maxi_hp</f>
        <v>0</v>
      </c>
      <c r="I188" s="390">
        <f>IF(H188,Wh_hp,'2026'!Maxi_hp)</f>
        <v>56.866605968442144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7.2800554070955315E-2</v>
      </c>
      <c r="M188" s="844"/>
      <c r="N188" s="844"/>
      <c r="O188" s="48">
        <f>IF(t&lt;Tnet,'2026'!Resal+('2026'!Salim-'2026'!Resal)*(1-EXP(('2026'!Tnet-t)/('2026'!Tau_j))),Resal+(Salim-Resal)*(1-EXP((Tnet-t)/(Tau_j))))*Salcycl</f>
        <v>2.8527587405233926E-2</v>
      </c>
      <c r="P188" s="169">
        <f>(INDEX(Models!$BJ188:$BT188,,T188)*(1-R188)+INDEX(Models!$BJ188:$BT188,,T188+1)*R188-ERP_i)*Q188*Ramure*Pc/MaxiM</f>
        <v>7.5000171647407219E-5</v>
      </c>
      <c r="Q188" s="305">
        <f t="shared" si="53"/>
        <v>0.7</v>
      </c>
      <c r="R188" s="177">
        <f t="shared" si="54"/>
        <v>0.43136633885419817</v>
      </c>
      <c r="S188" s="810">
        <f t="shared" si="55"/>
        <v>-1</v>
      </c>
      <c r="T188" s="176">
        <f t="shared" si="56"/>
        <v>5</v>
      </c>
      <c r="U188" s="251">
        <f t="shared" si="57"/>
        <v>-0.56863366114580183</v>
      </c>
      <c r="V188" s="383">
        <f t="shared" si="58"/>
        <v>57.466081755767739</v>
      </c>
      <c r="W188" s="402">
        <f t="shared" si="59"/>
        <v>41.040992959607685</v>
      </c>
      <c r="X188" s="157">
        <f t="shared" si="60"/>
        <v>46561</v>
      </c>
      <c r="Y188" s="385">
        <f t="shared" si="61"/>
        <v>37.322829455943399</v>
      </c>
      <c r="Z188" s="385">
        <f t="shared" si="62"/>
        <v>40.253291370926448</v>
      </c>
      <c r="AA188" s="386">
        <f t="shared" si="63"/>
        <v>45.554113399043224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0.11636319165478728</v>
      </c>
      <c r="AD188" s="231">
        <f>(INDEX(Models!$BJ188:$BT188,,AH188)*(1-AF188)+INDEX(Models!$BJ188:$BT188,,AH188+1)*AF188-ERP_i)*AE188*Ramure*Pc/MaxiM</f>
        <v>4.1206240926952424E-4</v>
      </c>
      <c r="AE188" s="305">
        <f t="shared" si="65"/>
        <v>0.7</v>
      </c>
      <c r="AF188" s="177">
        <f t="shared" si="66"/>
        <v>0.25135639195338211</v>
      </c>
      <c r="AG188" s="810">
        <f t="shared" si="74"/>
        <v>2</v>
      </c>
      <c r="AH188" s="176">
        <f t="shared" si="67"/>
        <v>8</v>
      </c>
      <c r="AI188" s="225">
        <f t="shared" si="68"/>
        <v>2.2513563919533821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39.556712943018169</v>
      </c>
      <c r="C189" s="840"/>
      <c r="D189" s="393">
        <f t="shared" si="50"/>
        <v>42.663564652266913</v>
      </c>
      <c r="E189" s="385">
        <f t="shared" si="75"/>
        <v>43.924774355205344</v>
      </c>
      <c r="F189" s="385">
        <f t="shared" si="51"/>
        <v>43.926614898342521</v>
      </c>
      <c r="G189" s="110">
        <f t="shared" si="76"/>
        <v>0.68901756479160847</v>
      </c>
      <c r="H189" s="414" t="b">
        <f>Wh_hp&gt;='2026'!Maxi_hp</f>
        <v>0</v>
      </c>
      <c r="I189" s="390">
        <f>IF(H189,Wh_hp,'2026'!Maxi_hp)</f>
        <v>64.123502417734827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7.2822131356613307E-2</v>
      </c>
      <c r="M189" s="844"/>
      <c r="N189" s="844"/>
      <c r="O189" s="48">
        <f>IF(t&lt;Tnet,'2026'!Resal+('2026'!Salim-'2026'!Resal)*(1-EXP(('2026'!Tnet-t)/('2026'!Tau_j))),Resal+(Salim-Resal)*(1-EXP((Tnet-t)/(Tau_j))))*Salcycl</f>
        <v>2.8712946656013354E-2</v>
      </c>
      <c r="P189" s="169">
        <f>(INDEX(Models!$BJ189:$BT189,,T189)*(1-R189)+INDEX(Models!$BJ189:$BT189,,T189+1)*R189-ERP_i)*Q189*Ramure*Pc/MaxiM</f>
        <v>7.5391317043903904E-5</v>
      </c>
      <c r="Q189" s="305">
        <f t="shared" si="53"/>
        <v>0.7</v>
      </c>
      <c r="R189" s="177">
        <f t="shared" si="54"/>
        <v>0.43518170075943208</v>
      </c>
      <c r="S189" s="810">
        <f t="shared" si="55"/>
        <v>-1</v>
      </c>
      <c r="T189" s="176">
        <f t="shared" si="56"/>
        <v>5</v>
      </c>
      <c r="U189" s="251">
        <f t="shared" si="57"/>
        <v>-0.56481829924056792</v>
      </c>
      <c r="V189" s="383">
        <f t="shared" si="58"/>
        <v>57.408388578948021</v>
      </c>
      <c r="W189" s="402">
        <f t="shared" si="59"/>
        <v>39.556712943018169</v>
      </c>
      <c r="X189" s="157">
        <f t="shared" si="60"/>
        <v>46562</v>
      </c>
      <c r="Y189" s="385">
        <f t="shared" si="61"/>
        <v>35.975341278479291</v>
      </c>
      <c r="Z189" s="385">
        <f t="shared" si="62"/>
        <v>38.800905948194298</v>
      </c>
      <c r="AA189" s="386">
        <f t="shared" si="63"/>
        <v>43.916517614367066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0.11648491146527579</v>
      </c>
      <c r="AD189" s="231">
        <f>(INDEX(Models!$BJ189:$BT189,,AH189)*(1-AF189)+INDEX(Models!$BJ189:$BT189,,AH189+1)*AF189-ERP_i)*AE189*Ramure*Pc/MaxiM</f>
        <v>4.1359940014423573E-4</v>
      </c>
      <c r="AE189" s="305">
        <f t="shared" si="65"/>
        <v>0.7</v>
      </c>
      <c r="AF189" s="177">
        <f t="shared" si="66"/>
        <v>0.25517175385861579</v>
      </c>
      <c r="AG189" s="810">
        <f t="shared" si="74"/>
        <v>2</v>
      </c>
      <c r="AH189" s="176">
        <f t="shared" si="67"/>
        <v>8</v>
      </c>
      <c r="AI189" s="225">
        <f t="shared" si="68"/>
        <v>2.2551717538586158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32.576996827599324</v>
      </c>
      <c r="C190" s="840"/>
      <c r="D190" s="393">
        <f t="shared" si="50"/>
        <v>35.136467404271485</v>
      </c>
      <c r="E190" s="385">
        <f t="shared" si="75"/>
        <v>36.182047590926345</v>
      </c>
      <c r="F190" s="385">
        <f t="shared" si="51"/>
        <v>36.183096284067815</v>
      </c>
      <c r="G190" s="110">
        <f t="shared" si="76"/>
        <v>0.56802348954912751</v>
      </c>
      <c r="H190" s="414" t="b">
        <f>Wh_hp&gt;='2026'!Maxi_hp</f>
        <v>0</v>
      </c>
      <c r="I190" s="390">
        <f>IF(H190,Wh_hp,'2026'!Maxi_hp)</f>
        <v>60.228576007833119</v>
      </c>
      <c r="J190" s="85">
        <f>IF(H190,An,'2026'!An_max)</f>
        <v>2019</v>
      </c>
      <c r="K190" s="197">
        <f t="shared" si="52"/>
        <v>46563</v>
      </c>
      <c r="L190" s="147">
        <f>IF(t&lt;Tvie,1-EXP((T0-t)*PertePVj)+'2026'!Pspv,1-EXP((T0-t)*PertePVj)+Pspv)</f>
        <v>7.2843708140136298E-2</v>
      </c>
      <c r="M190" s="844"/>
      <c r="N190" s="844"/>
      <c r="O190" s="48">
        <f>IF(t&lt;Tnet,'2026'!Resal+('2026'!Salim-'2026'!Resal)*(1-EXP(('2026'!Tnet-t)/('2026'!Tau_j))),Resal+(Salim-Resal)*(1-EXP((Tnet-t)/(Tau_j))))*Salcycl</f>
        <v>2.8897761632403214E-2</v>
      </c>
      <c r="P190" s="169">
        <f>(INDEX(Models!$BJ190:$BT190,,T190)*(1-R190)+INDEX(Models!$BJ190:$BT190,,T190+1)*R190-ERP_i)*Q190*Ramure*Pc/MaxiM</f>
        <v>7.5687627908381955E-5</v>
      </c>
      <c r="Q190" s="305">
        <f t="shared" si="53"/>
        <v>0.7</v>
      </c>
      <c r="R190" s="177">
        <f t="shared" si="54"/>
        <v>0.43895341867221283</v>
      </c>
      <c r="S190" s="810">
        <f t="shared" si="55"/>
        <v>-1</v>
      </c>
      <c r="T190" s="176">
        <f t="shared" si="56"/>
        <v>5</v>
      </c>
      <c r="U190" s="251">
        <f t="shared" si="57"/>
        <v>-0.56104658132778717</v>
      </c>
      <c r="V190" s="383">
        <f t="shared" si="58"/>
        <v>57.348817231937886</v>
      </c>
      <c r="W190" s="402">
        <f t="shared" si="59"/>
        <v>32.576996827599324</v>
      </c>
      <c r="X190" s="157">
        <f t="shared" si="60"/>
        <v>46563</v>
      </c>
      <c r="Y190" s="385">
        <f t="shared" si="61"/>
        <v>29.63089568787451</v>
      </c>
      <c r="Z190" s="385">
        <f t="shared" si="62"/>
        <v>31.958900509034255</v>
      </c>
      <c r="AA190" s="386">
        <f t="shared" si="63"/>
        <v>36.177347720502716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0.11660465670560333</v>
      </c>
      <c r="AD190" s="231">
        <f>(INDEX(Models!$BJ190:$BT190,,AH190)*(1-AF190)+INDEX(Models!$BJ190:$BT190,,AH190+1)*AF190-ERP_i)*AE190*Ramure*Pc/MaxiM</f>
        <v>4.1489271066739606E-4</v>
      </c>
      <c r="AE190" s="305">
        <f t="shared" si="65"/>
        <v>0.7</v>
      </c>
      <c r="AF190" s="177">
        <f t="shared" si="66"/>
        <v>0.25894347177139654</v>
      </c>
      <c r="AG190" s="810">
        <f t="shared" si="74"/>
        <v>2</v>
      </c>
      <c r="AH190" s="176">
        <f t="shared" si="67"/>
        <v>8</v>
      </c>
      <c r="AI190" s="225">
        <f t="shared" si="68"/>
        <v>2.2589434717713965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12.30700200312185</v>
      </c>
      <c r="C191" s="840"/>
      <c r="D191" s="393">
        <f t="shared" si="50"/>
        <v>13.274232747765447</v>
      </c>
      <c r="E191" s="385">
        <f t="shared" si="75"/>
        <v>13.671837475262462</v>
      </c>
      <c r="F191" s="385">
        <f t="shared" si="51"/>
        <v>13.671837475262462</v>
      </c>
      <c r="G191" s="110">
        <f t="shared" si="76"/>
        <v>0.21481189137122211</v>
      </c>
      <c r="H191" s="414" t="b">
        <f>Wh_hp&gt;='2026'!Maxi_hp</f>
        <v>0</v>
      </c>
      <c r="I191" s="390">
        <f>IF(H191,Wh_hp,'2026'!Maxi_hp)</f>
        <v>61.391181124623479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7.2865284421536058E-2</v>
      </c>
      <c r="M191" s="844"/>
      <c r="N191" s="844"/>
      <c r="O191" s="48">
        <f>IF(t&lt;Tnet,'2026'!Resal+('2026'!Salim-'2026'!Resal)*(1-EXP(('2026'!Tnet-t)/('2026'!Tau_j))),Resal+(Salim-Resal)*(1-EXP((Tnet-t)/(Tau_j))))*Salcycl</f>
        <v>2.9082025603100674E-2</v>
      </c>
      <c r="P191" s="169">
        <f>(INDEX(Models!$BJ191:$BT191,,T191)*(1-R191)+INDEX(Models!$BJ191:$BT191,,T191+1)*R191-ERP_i)*Q191*Ramure*Pc/MaxiM</f>
        <v>7.5886787697532294E-5</v>
      </c>
      <c r="Q191" s="305">
        <f t="shared" si="53"/>
        <v>0.7</v>
      </c>
      <c r="R191" s="177">
        <f t="shared" si="54"/>
        <v>0.44267910854487857</v>
      </c>
      <c r="S191" s="810">
        <f t="shared" si="55"/>
        <v>-1</v>
      </c>
      <c r="T191" s="176">
        <f t="shared" si="56"/>
        <v>5</v>
      </c>
      <c r="U191" s="251">
        <f t="shared" si="57"/>
        <v>-0.55732089145512143</v>
      </c>
      <c r="V191" s="383">
        <f t="shared" si="58"/>
        <v>57.28764821034607</v>
      </c>
      <c r="W191" s="402">
        <f t="shared" si="59"/>
        <v>12.30700200312185</v>
      </c>
      <c r="X191" s="157">
        <f t="shared" si="60"/>
        <v>46564</v>
      </c>
      <c r="Y191" s="385">
        <f t="shared" si="61"/>
        <v>11.196104193478822</v>
      </c>
      <c r="Z191" s="385">
        <f t="shared" si="62"/>
        <v>12.076027361884812</v>
      </c>
      <c r="AA191" s="386">
        <f t="shared" si="63"/>
        <v>13.671837475262462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0.11672243151405771</v>
      </c>
      <c r="AD191" s="231">
        <f>(INDEX(Models!$BJ191:$BT191,,AH191)*(1-AF191)+INDEX(Models!$BJ191:$BT191,,AH191+1)*AF191-ERP_i)*AE191*Ramure*Pc/MaxiM</f>
        <v>4.1593926241523976E-4</v>
      </c>
      <c r="AE191" s="305">
        <f t="shared" si="65"/>
        <v>0.7</v>
      </c>
      <c r="AF191" s="177">
        <f t="shared" si="66"/>
        <v>0.2626691616440624</v>
      </c>
      <c r="AG191" s="810">
        <f t="shared" si="74"/>
        <v>2</v>
      </c>
      <c r="AH191" s="176">
        <f t="shared" si="67"/>
        <v>8</v>
      </c>
      <c r="AI191" s="225">
        <f t="shared" si="68"/>
        <v>2.2626691616440624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14.324969749076907</v>
      </c>
      <c r="C192" s="840"/>
      <c r="D192" s="393">
        <f t="shared" si="50"/>
        <v>15.451155996106229</v>
      </c>
      <c r="E192" s="385">
        <f t="shared" si="75"/>
        <v>15.916978028818834</v>
      </c>
      <c r="F192" s="385">
        <f t="shared" si="51"/>
        <v>15.916978028818834</v>
      </c>
      <c r="G192" s="110">
        <f t="shared" si="76"/>
        <v>0.25030825740291213</v>
      </c>
      <c r="H192" s="414" t="b">
        <f>Wh_hp&gt;='2026'!Maxi_hp</f>
        <v>0</v>
      </c>
      <c r="I192" s="390">
        <f>IF(H192,Wh_hp,'2026'!Maxi_hp)</f>
        <v>61.300290769717577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7.2886860200824244E-2</v>
      </c>
      <c r="M192" s="844"/>
      <c r="N192" s="844"/>
      <c r="O192" s="48">
        <f>IF(t&lt;Tnet,'2026'!Resal+('2026'!Salim-'2026'!Resal)*(1-EXP(('2026'!Tnet-t)/('2026'!Tau_j))),Resal+(Salim-Resal)*(1-EXP((Tnet-t)/(Tau_j))))*Salcycl</f>
        <v>2.9265733223304165E-2</v>
      </c>
      <c r="P192" s="169">
        <f>(INDEX(Models!$BJ192:$BT192,,T192)*(1-R192)+INDEX(Models!$BJ192:$BT192,,T192+1)*R192-ERP_i)*Q192*Ramure*Pc/MaxiM</f>
        <v>7.5992475863897603E-5</v>
      </c>
      <c r="Q192" s="305">
        <f t="shared" si="53"/>
        <v>0.7</v>
      </c>
      <c r="R192" s="177">
        <f t="shared" si="54"/>
        <v>0.44635652087905231</v>
      </c>
      <c r="S192" s="810">
        <f t="shared" si="55"/>
        <v>-1</v>
      </c>
      <c r="T192" s="176">
        <f t="shared" si="56"/>
        <v>5</v>
      </c>
      <c r="U192" s="251">
        <f t="shared" si="57"/>
        <v>-0.55364347912094769</v>
      </c>
      <c r="V192" s="383">
        <f t="shared" si="58"/>
        <v>57.224964560806981</v>
      </c>
      <c r="W192" s="402">
        <f t="shared" si="59"/>
        <v>14.324969749076907</v>
      </c>
      <c r="X192" s="157">
        <f t="shared" si="60"/>
        <v>46565</v>
      </c>
      <c r="Y192" s="385">
        <f t="shared" si="61"/>
        <v>13.032676245439026</v>
      </c>
      <c r="Z192" s="385">
        <f t="shared" si="62"/>
        <v>14.057266245047574</v>
      </c>
      <c r="AA192" s="386">
        <f t="shared" si="63"/>
        <v>15.916978028818834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0.11683824532547062</v>
      </c>
      <c r="AD192" s="231">
        <f>(INDEX(Models!$BJ192:$BT192,,AH192)*(1-AF192)+INDEX(Models!$BJ192:$BT192,,AH192+1)*AF192-ERP_i)*AE192*Ramure*Pc/MaxiM</f>
        <v>4.1685931160199112E-4</v>
      </c>
      <c r="AE192" s="305">
        <f t="shared" si="65"/>
        <v>0.7</v>
      </c>
      <c r="AF192" s="177">
        <f t="shared" si="66"/>
        <v>0.26634657397823602</v>
      </c>
      <c r="AG192" s="810">
        <f t="shared" si="74"/>
        <v>2</v>
      </c>
      <c r="AH192" s="176">
        <f t="shared" si="67"/>
        <v>8</v>
      </c>
      <c r="AI192" s="225">
        <f t="shared" si="68"/>
        <v>2.266346573978236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58.357839019983054</v>
      </c>
      <c r="C193" s="840"/>
      <c r="D193" s="393">
        <f t="shared" si="50"/>
        <v>62.947222532515021</v>
      </c>
      <c r="E193" s="385">
        <f t="shared" si="75"/>
        <v>64.8571942988751</v>
      </c>
      <c r="F193" s="385">
        <f t="shared" si="51"/>
        <v>64.86212687657445</v>
      </c>
      <c r="G193" s="110">
        <f t="shared" si="76"/>
        <v>1.0209457463470906</v>
      </c>
      <c r="H193" s="414" t="b">
        <f>Wh_hp&gt;='2026'!Maxi_hp</f>
        <v>1</v>
      </c>
      <c r="I193" s="390">
        <f>IF(H193,Wh_hp,'2026'!Maxi_hp)</f>
        <v>64.86212687657445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7.2908435478012512E-2</v>
      </c>
      <c r="M193" s="844"/>
      <c r="N193" s="844"/>
      <c r="O193" s="48">
        <f>IF(t&lt;Tnet,'2026'!Resal+('2026'!Salim-'2026'!Resal)*(1-EXP(('2026'!Tnet-t)/('2026'!Tau_j))),Resal+(Salim-Resal)*(1-EXP((Tnet-t)/(Tau_j))))*Salcycl</f>
        <v>2.9448880529098217E-2</v>
      </c>
      <c r="P193" s="169">
        <f>(INDEX(Models!$BJ193:$BT193,,T193)*(1-R193)+INDEX(Models!$BJ193:$BT193,,T193+1)*R193-ERP_i)*Q193*Ramure*Pc/MaxiM</f>
        <v>7.6047116196631417E-5</v>
      </c>
      <c r="Q193" s="305">
        <f t="shared" si="53"/>
        <v>0.7</v>
      </c>
      <c r="R193" s="177">
        <f t="shared" si="54"/>
        <v>0.44998354450371592</v>
      </c>
      <c r="S193" s="810">
        <f t="shared" si="55"/>
        <v>-1</v>
      </c>
      <c r="T193" s="176">
        <f t="shared" si="56"/>
        <v>5</v>
      </c>
      <c r="U193" s="251">
        <f t="shared" si="57"/>
        <v>-0.55001645549628408</v>
      </c>
      <c r="V193" s="383">
        <f t="shared" si="58"/>
        <v>57.160568256232452</v>
      </c>
      <c r="W193" s="402">
        <f t="shared" si="59"/>
        <v>58.357839019983054</v>
      </c>
      <c r="X193" s="157">
        <f t="shared" si="60"/>
        <v>46566</v>
      </c>
      <c r="Y193" s="385">
        <f t="shared" si="61"/>
        <v>53.078250797194642</v>
      </c>
      <c r="Z193" s="385">
        <f t="shared" si="62"/>
        <v>57.252436359467929</v>
      </c>
      <c r="AA193" s="386">
        <f t="shared" si="63"/>
        <v>64.835030108335204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0.1169521127112495</v>
      </c>
      <c r="AD193" s="231">
        <f>(INDEX(Models!$BJ193:$BT193,,AH193)*(1-AF193)+INDEX(Models!$BJ193:$BT193,,AH193+1)*AF193-ERP_i)*AE193*Ramure*Pc/MaxiM</f>
        <v>4.1775947758869285E-4</v>
      </c>
      <c r="AE193" s="305">
        <f t="shared" si="65"/>
        <v>0.7</v>
      </c>
      <c r="AF193" s="177">
        <f t="shared" si="66"/>
        <v>0.26997359760289985</v>
      </c>
      <c r="AG193" s="810">
        <f t="shared" si="74"/>
        <v>2</v>
      </c>
      <c r="AH193" s="176">
        <f t="shared" si="67"/>
        <v>8</v>
      </c>
      <c r="AI193" s="225">
        <f t="shared" si="68"/>
        <v>2.2699735976028999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55.961728358851467</v>
      </c>
      <c r="C194" s="840"/>
      <c r="D194" s="393">
        <f t="shared" si="50"/>
        <v>60.364081436969364</v>
      </c>
      <c r="E194" s="385">
        <f t="shared" si="75"/>
        <v>62.207377150993771</v>
      </c>
      <c r="F194" s="385">
        <f t="shared" si="51"/>
        <v>62.211974323835442</v>
      </c>
      <c r="G194" s="110">
        <f t="shared" si="76"/>
        <v>0.98016164887641211</v>
      </c>
      <c r="H194" s="414" t="b">
        <f>Wh_hp&gt;='2026'!Maxi_hp</f>
        <v>0</v>
      </c>
      <c r="I194" s="390">
        <f>IF(H194,Wh_hp,'2026'!Maxi_hp)</f>
        <v>62.212079374304885</v>
      </c>
      <c r="J194" s="85">
        <f>IF(H194,An,'2026'!An_max)</f>
        <v>2025</v>
      </c>
      <c r="K194" s="197">
        <f t="shared" si="52"/>
        <v>46567</v>
      </c>
      <c r="L194" s="147">
        <f>IF(t&lt;Tvie,1-EXP((T0-t)*PertePVj)+'2026'!Pspv,1-EXP((T0-t)*PertePVj)+Pspv)</f>
        <v>7.2930010253112521E-2</v>
      </c>
      <c r="M194" s="844"/>
      <c r="N194" s="844"/>
      <c r="O194" s="48">
        <f>IF(t&lt;Tnet,'2026'!Resal+('2026'!Salim-'2026'!Resal)*(1-EXP(('2026'!Tnet-t)/('2026'!Tau_j))),Resal+(Salim-Resal)*(1-EXP((Tnet-t)/(Tau_j))))*Salcycl</f>
        <v>2.9631464923368236E-2</v>
      </c>
      <c r="P194" s="169">
        <f>(INDEX(Models!$BJ194:$BT194,,T194)*(1-R194)+INDEX(Models!$BJ194:$BT194,,T194+1)*R194-ERP_i)*Q194*Ramure*Pc/MaxiM</f>
        <v>7.6050381852959062E-5</v>
      </c>
      <c r="Q194" s="305">
        <f t="shared" si="53"/>
        <v>0.7</v>
      </c>
      <c r="R194" s="177">
        <f t="shared" si="54"/>
        <v>0.45355820956913373</v>
      </c>
      <c r="S194" s="810">
        <f t="shared" si="55"/>
        <v>-1</v>
      </c>
      <c r="T194" s="176">
        <f t="shared" si="56"/>
        <v>5</v>
      </c>
      <c r="U194" s="251">
        <f t="shared" si="57"/>
        <v>-0.54644179043086627</v>
      </c>
      <c r="V194" s="383">
        <f t="shared" si="58"/>
        <v>57.094263800553506</v>
      </c>
      <c r="W194" s="402">
        <f t="shared" si="59"/>
        <v>55.961728358851467</v>
      </c>
      <c r="X194" s="157">
        <f t="shared" si="60"/>
        <v>46567</v>
      </c>
      <c r="Y194" s="385">
        <f t="shared" si="61"/>
        <v>50.902487681623789</v>
      </c>
      <c r="Z194" s="385">
        <f t="shared" si="62"/>
        <v>54.906844407207487</v>
      </c>
      <c r="AA194" s="386">
        <f t="shared" si="63"/>
        <v>62.186667793631145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0.11706405319194832</v>
      </c>
      <c r="AD194" s="231">
        <f>(INDEX(Models!$BJ194:$BT194,,AH194)*(1-AF194)+INDEX(Models!$BJ194:$BT194,,AH194+1)*AF194-ERP_i)*AE194*Ramure*Pc/MaxiM</f>
        <v>4.1864235948843099E-4</v>
      </c>
      <c r="AE194" s="305">
        <f t="shared" si="65"/>
        <v>0.7</v>
      </c>
      <c r="AF194" s="177">
        <f t="shared" si="66"/>
        <v>0.27354826266831767</v>
      </c>
      <c r="AG194" s="810">
        <f t="shared" si="74"/>
        <v>2</v>
      </c>
      <c r="AH194" s="176">
        <f t="shared" si="67"/>
        <v>8</v>
      </c>
      <c r="AI194" s="225">
        <f t="shared" si="68"/>
        <v>2.2735482626683177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14.149790752169105</v>
      </c>
      <c r="C195" s="840"/>
      <c r="D195" s="393">
        <f t="shared" si="50"/>
        <v>15.263270521784335</v>
      </c>
      <c r="E195" s="385">
        <f t="shared" si="75"/>
        <v>15.73230537449524</v>
      </c>
      <c r="F195" s="385">
        <f t="shared" si="51"/>
        <v>15.73230537449524</v>
      </c>
      <c r="G195" s="110">
        <f t="shared" si="76"/>
        <v>0.24811053070810216</v>
      </c>
      <c r="H195" s="414" t="b">
        <f>Wh_hp&gt;='2026'!Maxi_hp</f>
        <v>0</v>
      </c>
      <c r="I195" s="390">
        <f>IF(H195,Wh_hp,'2026'!Maxi_hp)</f>
        <v>56.806125451843101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7.2951584526136037E-2</v>
      </c>
      <c r="M195" s="844"/>
      <c r="N195" s="844"/>
      <c r="O195" s="48">
        <f>IF(t&lt;Tnet,'2026'!Resal+('2026'!Salim-'2026'!Resal)*(1-EXP(('2026'!Tnet-t)/('2026'!Tau_j))),Resal+(Salim-Resal)*(1-EXP((Tnet-t)/(Tau_j))))*Salcycl</f>
        <v>2.9813485153376902E-2</v>
      </c>
      <c r="P195" s="169">
        <f>(INDEX(Models!$BJ195:$BT195,,T195)*(1-R195)+INDEX(Models!$BJ195:$BT195,,T195+1)*R195-ERP_i)*Q195*Ramure*Pc/MaxiM</f>
        <v>7.6002004536009164E-5</v>
      </c>
      <c r="Q195" s="305">
        <f t="shared" si="53"/>
        <v>0.7</v>
      </c>
      <c r="R195" s="177">
        <f t="shared" si="54"/>
        <v>0.45707868976557831</v>
      </c>
      <c r="S195" s="810">
        <f t="shared" si="55"/>
        <v>-1</v>
      </c>
      <c r="T195" s="176">
        <f t="shared" si="56"/>
        <v>5</v>
      </c>
      <c r="U195" s="251">
        <f t="shared" si="57"/>
        <v>-0.54292131023442169</v>
      </c>
      <c r="V195" s="383">
        <f t="shared" si="58"/>
        <v>57.02585577213528</v>
      </c>
      <c r="W195" s="402">
        <f t="shared" si="59"/>
        <v>14.149790752169105</v>
      </c>
      <c r="X195" s="157">
        <f t="shared" si="60"/>
        <v>46568</v>
      </c>
      <c r="Y195" s="385">
        <f t="shared" si="61"/>
        <v>12.875670493710187</v>
      </c>
      <c r="Z195" s="385">
        <f t="shared" si="62"/>
        <v>13.888886792529325</v>
      </c>
      <c r="AA195" s="386">
        <f t="shared" si="63"/>
        <v>15.73230537449524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0.11717409102383756</v>
      </c>
      <c r="AD195" s="231">
        <f>(INDEX(Models!$BJ195:$BT195,,AH195)*(1-AF195)+INDEX(Models!$BJ195:$BT195,,AH195+1)*AF195-ERP_i)*AE195*Ramure*Pc/MaxiM</f>
        <v>4.1951068305876228E-4</v>
      </c>
      <c r="AE195" s="305">
        <f t="shared" si="65"/>
        <v>0.7</v>
      </c>
      <c r="AF195" s="177">
        <f t="shared" si="66"/>
        <v>0.27706874286476202</v>
      </c>
      <c r="AG195" s="810">
        <f t="shared" si="74"/>
        <v>2</v>
      </c>
      <c r="AH195" s="176">
        <f t="shared" si="67"/>
        <v>8</v>
      </c>
      <c r="AI195" s="225">
        <f t="shared" si="68"/>
        <v>2.277068742864762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52.692174495784933</v>
      </c>
      <c r="C196" s="840"/>
      <c r="D196" s="393">
        <f t="shared" si="50"/>
        <v>56.839966358462554</v>
      </c>
      <c r="E196" s="385">
        <f t="shared" si="75"/>
        <v>58.597597865602232</v>
      </c>
      <c r="F196" s="385">
        <f t="shared" si="51"/>
        <v>58.601570227490804</v>
      </c>
      <c r="G196" s="110">
        <f t="shared" si="76"/>
        <v>0.92514457271261852</v>
      </c>
      <c r="H196" s="414" t="b">
        <f>Wh_hp&gt;='2026'!Maxi_hp</f>
        <v>0</v>
      </c>
      <c r="I196" s="390">
        <f>IF(H196,Wh_hp,'2026'!Maxi_hp)</f>
        <v>61.555241119105759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7.2973158297094609E-2</v>
      </c>
      <c r="M196" s="844"/>
      <c r="N196" s="844"/>
      <c r="O196" s="48">
        <f>IF(t&lt;Tnet,'2026'!Resal+('2026'!Salim-'2026'!Resal)*(1-EXP(('2026'!Tnet-t)/('2026'!Tau_j))),Resal+(Salim-Resal)*(1-EXP((Tnet-t)/(Tau_j))))*Salcycl</f>
        <v>2.9994941280202907E-2</v>
      </c>
      <c r="P196" s="169">
        <f>(INDEX(Models!$BJ196:$BT196,,T196)*(1-R196)+INDEX(Models!$BJ196:$BT196,,T196+1)*R196-ERP_i)*Q196*Ramure*Pc/MaxiM</f>
        <v>7.5901771446278945E-5</v>
      </c>
      <c r="Q196" s="305">
        <f t="shared" si="53"/>
        <v>0.7</v>
      </c>
      <c r="R196" s="177">
        <f t="shared" si="54"/>
        <v>0.46054330378233255</v>
      </c>
      <c r="S196" s="810">
        <f t="shared" si="55"/>
        <v>-1</v>
      </c>
      <c r="T196" s="176">
        <f t="shared" si="56"/>
        <v>5</v>
      </c>
      <c r="U196" s="251">
        <f t="shared" si="57"/>
        <v>-0.53945669621766745</v>
      </c>
      <c r="V196" s="383">
        <f t="shared" si="58"/>
        <v>56.955148827085267</v>
      </c>
      <c r="W196" s="402">
        <f t="shared" si="59"/>
        <v>52.692174495784933</v>
      </c>
      <c r="X196" s="157">
        <f t="shared" si="60"/>
        <v>46569</v>
      </c>
      <c r="Y196" s="385">
        <f t="shared" si="61"/>
        <v>47.935840462366002</v>
      </c>
      <c r="Z196" s="385">
        <f t="shared" si="62"/>
        <v>51.709225996423235</v>
      </c>
      <c r="AA196" s="386">
        <f t="shared" si="63"/>
        <v>58.579570068738825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0.11728225496113659</v>
      </c>
      <c r="AD196" s="231">
        <f>(INDEX(Models!$BJ196:$BT196,,AH196)*(1-AF196)+INDEX(Models!$BJ196:$BT196,,AH196+1)*AF196-ERP_i)*AE196*Ramure*Pc/MaxiM</f>
        <v>4.2036729487823375E-4</v>
      </c>
      <c r="AE196" s="305">
        <f t="shared" si="65"/>
        <v>0.7</v>
      </c>
      <c r="AF196" s="177">
        <f t="shared" si="66"/>
        <v>0.28053335688151648</v>
      </c>
      <c r="AG196" s="810">
        <f t="shared" si="74"/>
        <v>2</v>
      </c>
      <c r="AH196" s="176">
        <f t="shared" si="67"/>
        <v>8</v>
      </c>
      <c r="AI196" s="225">
        <f t="shared" si="68"/>
        <v>2.2805333568815165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55.322094535375641</v>
      </c>
      <c r="C197" s="840"/>
      <c r="D197" s="393">
        <f t="shared" si="50"/>
        <v>59.678295711125635</v>
      </c>
      <c r="E197" s="385">
        <f t="shared" si="75"/>
        <v>61.535170851297686</v>
      </c>
      <c r="F197" s="385">
        <f t="shared" si="51"/>
        <v>61.539649831270765</v>
      </c>
      <c r="G197" s="110">
        <f t="shared" si="76"/>
        <v>0.97257447382776641</v>
      </c>
      <c r="H197" s="414" t="b">
        <f>Wh_hp&gt;='2026'!Maxi_hp</f>
        <v>0</v>
      </c>
      <c r="I197" s="390">
        <f>IF(H197,Wh_hp,'2026'!Maxi_hp)</f>
        <v>61.53979177175794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7.2994731566000115E-2</v>
      </c>
      <c r="M197" s="844"/>
      <c r="N197" s="844"/>
      <c r="O197" s="48">
        <f>IF(t&lt;Tnet,'2026'!Resal+('2026'!Salim-'2026'!Resal)*(1-EXP(('2026'!Tnet-t)/('2026'!Tau_j))),Resal+(Salim-Resal)*(1-EXP((Tnet-t)/(Tau_j))))*Salcycl</f>
        <v>3.0175834640311094E-2</v>
      </c>
      <c r="P197" s="169">
        <f>(INDEX(Models!$BJ197:$BT197,,T197)*(1-R197)+INDEX(Models!$BJ197:$BT197,,T197+1)*R197-ERP_i)*Q197*Ramure*Pc/MaxiM</f>
        <v>7.5749521808378403E-5</v>
      </c>
      <c r="Q197" s="305">
        <f t="shared" si="53"/>
        <v>0.7</v>
      </c>
      <c r="R197" s="177">
        <f t="shared" si="54"/>
        <v>0.46395051602846105</v>
      </c>
      <c r="S197" s="810">
        <f t="shared" si="55"/>
        <v>-1</v>
      </c>
      <c r="T197" s="176">
        <f t="shared" si="56"/>
        <v>5</v>
      </c>
      <c r="U197" s="251">
        <f t="shared" si="57"/>
        <v>-0.53604948397153895</v>
      </c>
      <c r="V197" s="383">
        <f t="shared" si="58"/>
        <v>56.881947700347688</v>
      </c>
      <c r="W197" s="402">
        <f t="shared" si="59"/>
        <v>55.322094535375641</v>
      </c>
      <c r="X197" s="157">
        <f t="shared" si="60"/>
        <v>46570</v>
      </c>
      <c r="Y197" s="385">
        <f t="shared" si="61"/>
        <v>50.330467672074988</v>
      </c>
      <c r="Z197" s="385">
        <f t="shared" si="62"/>
        <v>54.293615566067707</v>
      </c>
      <c r="AA197" s="386">
        <f t="shared" si="63"/>
        <v>61.514743875370804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0.11738857799575886</v>
      </c>
      <c r="AD197" s="231">
        <f>(INDEX(Models!$BJ197:$BT197,,AH197)*(1-AF197)+INDEX(Models!$BJ197:$BT197,,AH197+1)*AF197-ERP_i)*AE197*Ramure*Pc/MaxiM</f>
        <v>4.2121515633970834E-4</v>
      </c>
      <c r="AE197" s="305">
        <f t="shared" si="65"/>
        <v>0.7</v>
      </c>
      <c r="AF197" s="177">
        <f t="shared" si="66"/>
        <v>0.28394056912764487</v>
      </c>
      <c r="AG197" s="810">
        <f t="shared" si="74"/>
        <v>2</v>
      </c>
      <c r="AH197" s="176">
        <f t="shared" si="67"/>
        <v>8</v>
      </c>
      <c r="AI197" s="225">
        <f t="shared" si="68"/>
        <v>2.2839405691276449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43.122289687497691</v>
      </c>
      <c r="C198" s="840"/>
      <c r="D198" s="393">
        <f t="shared" si="50"/>
        <v>46.518930040579889</v>
      </c>
      <c r="E198" s="385">
        <f t="shared" si="75"/>
        <v>47.975275555576424</v>
      </c>
      <c r="F198" s="385">
        <f t="shared" si="51"/>
        <v>47.977652255363196</v>
      </c>
      <c r="G198" s="110">
        <f t="shared" si="76"/>
        <v>0.75909454462916937</v>
      </c>
      <c r="H198" s="414" t="b">
        <f>Wh_hp&gt;='2026'!Maxi_hp</f>
        <v>0</v>
      </c>
      <c r="I198" s="390">
        <f>IF(H198,Wh_hp,'2026'!Maxi_hp)</f>
        <v>50.673839895815256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7.3016304332864101E-2</v>
      </c>
      <c r="M198" s="844"/>
      <c r="N198" s="844"/>
      <c r="O198" s="48">
        <f>IF(t&lt;Tnet,'2026'!Resal+('2026'!Salim-'2026'!Resal)*(1-EXP(('2026'!Tnet-t)/('2026'!Tau_j))),Resal+(Salim-Resal)*(1-EXP((Tnet-t)/(Tau_j))))*Salcycl</f>
        <v>3.0356167799587708E-2</v>
      </c>
      <c r="P198" s="169">
        <f>(INDEX(Models!$BJ198:$BT198,,T198)*(1-R198)+INDEX(Models!$BJ198:$BT198,,T198+1)*R198-ERP_i)*Q198*Ramure*Pc/MaxiM</f>
        <v>7.5528798804157734E-5</v>
      </c>
      <c r="Q198" s="305">
        <f t="shared" si="53"/>
        <v>0.7</v>
      </c>
      <c r="R198" s="177">
        <f t="shared" si="54"/>
        <v>0.46729893664229816</v>
      </c>
      <c r="S198" s="810">
        <f t="shared" si="55"/>
        <v>-1</v>
      </c>
      <c r="T198" s="176">
        <f t="shared" si="56"/>
        <v>5</v>
      </c>
      <c r="U198" s="251">
        <f t="shared" si="57"/>
        <v>-0.53270106335770184</v>
      </c>
      <c r="V198" s="383">
        <f t="shared" si="58"/>
        <v>56.80605813715659</v>
      </c>
      <c r="W198" s="402">
        <f t="shared" si="59"/>
        <v>43.122289687497691</v>
      </c>
      <c r="X198" s="157">
        <f t="shared" si="60"/>
        <v>46571</v>
      </c>
      <c r="Y198" s="385">
        <f t="shared" si="61"/>
        <v>39.238187940376918</v>
      </c>
      <c r="Z198" s="385">
        <f t="shared" si="62"/>
        <v>42.328886822694109</v>
      </c>
      <c r="AA198" s="386">
        <f t="shared" si="63"/>
        <v>47.964369097255407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0.11749309707659147</v>
      </c>
      <c r="AD198" s="231">
        <f>(INDEX(Models!$BJ198:$BT198,,AH198)*(1-AF198)+INDEX(Models!$BJ198:$BT198,,AH198+1)*AF198-ERP_i)*AE198*Ramure*Pc/MaxiM</f>
        <v>4.2212356048842645E-4</v>
      </c>
      <c r="AE198" s="305">
        <f t="shared" si="65"/>
        <v>0.7</v>
      </c>
      <c r="AF198" s="177">
        <f t="shared" si="66"/>
        <v>0.28728898974148231</v>
      </c>
      <c r="AG198" s="810">
        <f t="shared" si="74"/>
        <v>2</v>
      </c>
      <c r="AH198" s="176">
        <f t="shared" si="67"/>
        <v>8</v>
      </c>
      <c r="AI198" s="225">
        <f t="shared" si="68"/>
        <v>2.2872889897414823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42.830622210758726</v>
      </c>
      <c r="C199" s="840"/>
      <c r="D199" s="393">
        <f t="shared" si="50"/>
        <v>46.205363875661</v>
      </c>
      <c r="E199" s="385">
        <f t="shared" si="75"/>
        <v>47.660729259159588</v>
      </c>
      <c r="F199" s="385">
        <f t="shared" si="51"/>
        <v>47.663061790958594</v>
      </c>
      <c r="G199" s="110">
        <f t="shared" si="76"/>
        <v>0.75500697094250424</v>
      </c>
      <c r="H199" s="414" t="b">
        <f>Wh_hp&gt;='2026'!Maxi_hp</f>
        <v>0</v>
      </c>
      <c r="I199" s="390">
        <f>IF(H199,Wh_hp,'2026'!Maxi_hp)</f>
        <v>59.251249385209874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7.3037876597698337E-2</v>
      </c>
      <c r="M199" s="844"/>
      <c r="N199" s="844"/>
      <c r="O199" s="48">
        <f>IF(t&lt;Tnet,'2026'!Resal+('2026'!Salim-'2026'!Resal)*(1-EXP(('2026'!Tnet-t)/('2026'!Tau_j))),Resal+(Salim-Resal)*(1-EXP((Tnet-t)/(Tau_j))))*Salcycl</f>
        <v>3.0535944500238405E-2</v>
      </c>
      <c r="P199" s="169">
        <f>(INDEX(Models!$BJ199:$BT199,,T199)*(1-R199)+INDEX(Models!$BJ199:$BT199,,T199+1)*R199-ERP_i)*Q199*Ramure*Pc/MaxiM</f>
        <v>7.5284685087423104E-5</v>
      </c>
      <c r="Q199" s="305">
        <f t="shared" si="53"/>
        <v>0.7</v>
      </c>
      <c r="R199" s="177">
        <f t="shared" si="54"/>
        <v>0.47058732082146393</v>
      </c>
      <c r="S199" s="810">
        <f t="shared" si="55"/>
        <v>-1</v>
      </c>
      <c r="T199" s="176">
        <f t="shared" si="56"/>
        <v>5</v>
      </c>
      <c r="U199" s="251">
        <f t="shared" si="57"/>
        <v>-0.52941267917853607</v>
      </c>
      <c r="V199" s="383">
        <f t="shared" si="58"/>
        <v>56.727282470449552</v>
      </c>
      <c r="W199" s="402">
        <f t="shared" si="59"/>
        <v>42.830622210758726</v>
      </c>
      <c r="X199" s="157">
        <f t="shared" si="60"/>
        <v>46572</v>
      </c>
      <c r="Y199" s="385">
        <f t="shared" si="61"/>
        <v>38.975525264269947</v>
      </c>
      <c r="Z199" s="385">
        <f t="shared" si="62"/>
        <v>42.046513315144985</v>
      </c>
      <c r="AA199" s="386">
        <f t="shared" si="63"/>
        <v>47.649949798019875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0.11759585281048386</v>
      </c>
      <c r="AD199" s="231">
        <f>(INDEX(Models!$BJ199:$BT199,,AH199)*(1-AF199)+INDEX(Models!$BJ199:$BT199,,AH199+1)*AF199-ERP_i)*AE199*Ramure*Pc/MaxiM</f>
        <v>4.2320205867321133E-4</v>
      </c>
      <c r="AE199" s="305">
        <f t="shared" si="65"/>
        <v>0.7</v>
      </c>
      <c r="AF199" s="177">
        <f t="shared" si="66"/>
        <v>0.29057737392064764</v>
      </c>
      <c r="AG199" s="810">
        <f t="shared" si="74"/>
        <v>2</v>
      </c>
      <c r="AH199" s="176">
        <f t="shared" si="67"/>
        <v>8</v>
      </c>
      <c r="AI199" s="225">
        <f t="shared" si="68"/>
        <v>2.2905773739206476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55.120783573313702</v>
      </c>
      <c r="C200" s="840"/>
      <c r="D200" s="393">
        <f t="shared" si="50"/>
        <v>59.465284451976153</v>
      </c>
      <c r="E200" s="385">
        <f t="shared" si="75"/>
        <v>61.349649336302825</v>
      </c>
      <c r="F200" s="385">
        <f t="shared" si="51"/>
        <v>61.354075006011492</v>
      </c>
      <c r="G200" s="110">
        <f t="shared" si="76"/>
        <v>0.97308165532198954</v>
      </c>
      <c r="H200" s="414" t="b">
        <f>Wh_hp&gt;='2026'!Maxi_hp</f>
        <v>0</v>
      </c>
      <c r="I200" s="390">
        <f>IF(H200,Wh_hp,'2026'!Maxi_hp)</f>
        <v>63.499188646110007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7.3059448360514367E-2</v>
      </c>
      <c r="M200" s="844"/>
      <c r="N200" s="844"/>
      <c r="O200" s="48">
        <f>IF(t&lt;Tnet,'2026'!Resal+('2026'!Salim-'2026'!Resal)*(1-EXP(('2026'!Tnet-t)/('2026'!Tau_j))),Resal+(Salim-Resal)*(1-EXP((Tnet-t)/(Tau_j))))*Salcycl</f>
        <v>3.0715169601004157E-2</v>
      </c>
      <c r="P200" s="169">
        <f>(INDEX(Models!$BJ200:$BT200,,T200)*(1-R200)+INDEX(Models!$BJ200:$BT200,,T200+1)*R200-ERP_i)*Q200*Ramure*Pc/MaxiM</f>
        <v>7.5017754586021668E-5</v>
      </c>
      <c r="Q200" s="305">
        <f t="shared" si="53"/>
        <v>0.7</v>
      </c>
      <c r="R200" s="177">
        <f t="shared" si="54"/>
        <v>0.47381456750944295</v>
      </c>
      <c r="S200" s="810">
        <f t="shared" si="55"/>
        <v>-1</v>
      </c>
      <c r="T200" s="176">
        <f t="shared" si="56"/>
        <v>5</v>
      </c>
      <c r="U200" s="251">
        <f t="shared" si="57"/>
        <v>-0.52618543249055705</v>
      </c>
      <c r="V200" s="383">
        <f t="shared" si="58"/>
        <v>56.645425658795659</v>
      </c>
      <c r="W200" s="402">
        <f t="shared" si="59"/>
        <v>55.120783573313702</v>
      </c>
      <c r="X200" s="157">
        <f t="shared" si="60"/>
        <v>46573</v>
      </c>
      <c r="Y200" s="385">
        <f t="shared" si="61"/>
        <v>50.157492701777933</v>
      </c>
      <c r="Z200" s="385">
        <f t="shared" si="62"/>
        <v>54.110797734616376</v>
      </c>
      <c r="AA200" s="386">
        <f t="shared" si="63"/>
        <v>61.329034284281548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0.11769688914725306</v>
      </c>
      <c r="AD200" s="231">
        <f>(INDEX(Models!$BJ200:$BT200,,AH200)*(1-AF200)+INDEX(Models!$BJ200:$BT200,,AH200+1)*AF200-ERP_i)*AE200*Ramure*Pc/MaxiM</f>
        <v>4.2445524430260648E-4</v>
      </c>
      <c r="AE200" s="305">
        <f t="shared" si="65"/>
        <v>0.7</v>
      </c>
      <c r="AF200" s="177">
        <f t="shared" si="66"/>
        <v>0.29380462060862689</v>
      </c>
      <c r="AG200" s="810">
        <f t="shared" si="74"/>
        <v>2</v>
      </c>
      <c r="AH200" s="176">
        <f t="shared" si="67"/>
        <v>8</v>
      </c>
      <c r="AI200" s="225">
        <f t="shared" si="68"/>
        <v>2.2938046206086269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48.395073404323746</v>
      </c>
      <c r="C201" s="840"/>
      <c r="D201" s="393">
        <f t="shared" si="50"/>
        <v>52.210683380928089</v>
      </c>
      <c r="E201" s="385">
        <f t="shared" si="75"/>
        <v>53.875092349436386</v>
      </c>
      <c r="F201" s="385">
        <f t="shared" si="51"/>
        <v>53.878288253017814</v>
      </c>
      <c r="G201" s="110">
        <f t="shared" si="76"/>
        <v>0.85562370993978853</v>
      </c>
      <c r="H201" s="414" t="b">
        <f>Wh_hp&gt;='2026'!Maxi_hp</f>
        <v>0</v>
      </c>
      <c r="I201" s="390">
        <f>IF(H201,Wh_hp,'2026'!Maxi_hp)</f>
        <v>62.806622289088963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7.3081019621324073E-2</v>
      </c>
      <c r="M201" s="844"/>
      <c r="N201" s="844"/>
      <c r="O201" s="48">
        <f>IF(t&lt;Tnet,'2026'!Resal+('2026'!Salim-'2026'!Resal)*(1-EXP(('2026'!Tnet-t)/('2026'!Tau_j))),Resal+(Salim-Resal)*(1-EXP((Tnet-t)/(Tau_j))))*Salcycl</f>
        <v>3.0893849011206547E-2</v>
      </c>
      <c r="P201" s="169">
        <f>(INDEX(Models!$BJ201:$BT201,,T201)*(1-R201)+INDEX(Models!$BJ201:$BT201,,T201+1)*R201-ERP_i)*Q201*Ramure*Pc/MaxiM</f>
        <v>7.472859919658076E-5</v>
      </c>
      <c r="Q201" s="305">
        <f t="shared" si="53"/>
        <v>0.7</v>
      </c>
      <c r="R201" s="177">
        <f t="shared" si="54"/>
        <v>0.47697971747834389</v>
      </c>
      <c r="S201" s="810">
        <f t="shared" si="55"/>
        <v>-1</v>
      </c>
      <c r="T201" s="176">
        <f t="shared" si="56"/>
        <v>5</v>
      </c>
      <c r="U201" s="251">
        <f t="shared" si="57"/>
        <v>-0.52302028252165611</v>
      </c>
      <c r="V201" s="383">
        <f t="shared" si="58"/>
        <v>56.560292751405257</v>
      </c>
      <c r="W201" s="402">
        <f t="shared" si="59"/>
        <v>48.395073404323746</v>
      </c>
      <c r="X201" s="157">
        <f t="shared" si="60"/>
        <v>46574</v>
      </c>
      <c r="Y201" s="385">
        <f t="shared" si="61"/>
        <v>44.043073908438799</v>
      </c>
      <c r="Z201" s="385">
        <f t="shared" si="62"/>
        <v>47.515559440206736</v>
      </c>
      <c r="AA201" s="386">
        <f t="shared" si="63"/>
        <v>53.86007439272462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0.11779625305112641</v>
      </c>
      <c r="AD201" s="231">
        <f>(INDEX(Models!$BJ201:$BT201,,AH201)*(1-AF201)+INDEX(Models!$BJ201:$BT201,,AH201+1)*AF201-ERP_i)*AE201*Ramure*Pc/MaxiM</f>
        <v>4.258877750825466E-4</v>
      </c>
      <c r="AE201" s="305">
        <f t="shared" si="65"/>
        <v>0.7</v>
      </c>
      <c r="AF201" s="177">
        <f t="shared" si="66"/>
        <v>0.29696977057752783</v>
      </c>
      <c r="AG201" s="810">
        <f t="shared" si="74"/>
        <v>2</v>
      </c>
      <c r="AH201" s="176">
        <f t="shared" si="67"/>
        <v>8</v>
      </c>
      <c r="AI201" s="225">
        <f t="shared" si="68"/>
        <v>2.2969697705775278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55.207367159617107</v>
      </c>
      <c r="C202" s="840"/>
      <c r="D202" s="393">
        <f t="shared" si="50"/>
        <v>59.561464501512347</v>
      </c>
      <c r="E202" s="385">
        <f t="shared" si="75"/>
        <v>61.471506513784178</v>
      </c>
      <c r="F202" s="385">
        <f t="shared" si="51"/>
        <v>61.475935096745559</v>
      </c>
      <c r="G202" s="110">
        <f t="shared" si="76"/>
        <v>0.97760907860564761</v>
      </c>
      <c r="H202" s="414" t="b">
        <f>Wh_hp&gt;='2026'!Maxi_hp</f>
        <v>0</v>
      </c>
      <c r="I202" s="390">
        <f>IF(H202,Wh_hp,'2026'!Maxi_hp)</f>
        <v>61.476047588751292</v>
      </c>
      <c r="J202" s="85">
        <f>IF(H202,An,'2026'!An_max)</f>
        <v>2025</v>
      </c>
      <c r="K202" s="197">
        <f t="shared" si="52"/>
        <v>46575</v>
      </c>
      <c r="L202" s="147">
        <f>IF(t&lt;Tvie,1-EXP((T0-t)*PertePVj)+'2026'!Pspv,1-EXP((T0-t)*PertePVj)+Pspv)</f>
        <v>7.3102590380138888E-2</v>
      </c>
      <c r="M202" s="844"/>
      <c r="N202" s="844"/>
      <c r="O202" s="48">
        <f>IF(t&lt;Tnet,'2026'!Resal+('2026'!Salim-'2026'!Resal)*(1-EXP(('2026'!Tnet-t)/('2026'!Tau_j))),Resal+(Salim-Resal)*(1-EXP((Tnet-t)/(Tau_j))))*Salcycl</f>
        <v>3.1071989619182783E-2</v>
      </c>
      <c r="P202" s="169">
        <f>(INDEX(Models!$BJ202:$BT202,,T202)*(1-R202)+INDEX(Models!$BJ202:$BT202,,T202+1)*R202-ERP_i)*Q202*Ramure*Pc/MaxiM</f>
        <v>7.4417825190075236E-5</v>
      </c>
      <c r="Q202" s="305">
        <f t="shared" si="53"/>
        <v>0.7</v>
      </c>
      <c r="R202" s="177">
        <f t="shared" si="54"/>
        <v>0.48008195085037553</v>
      </c>
      <c r="S202" s="810">
        <f t="shared" si="55"/>
        <v>-1</v>
      </c>
      <c r="T202" s="176">
        <f t="shared" si="56"/>
        <v>5</v>
      </c>
      <c r="U202" s="251">
        <f t="shared" si="57"/>
        <v>-0.51991804914962447</v>
      </c>
      <c r="V202" s="383">
        <f t="shared" si="58"/>
        <v>56.471688894954966</v>
      </c>
      <c r="W202" s="402">
        <f t="shared" si="59"/>
        <v>55.207367159617107</v>
      </c>
      <c r="X202" s="157">
        <f t="shared" si="60"/>
        <v>46575</v>
      </c>
      <c r="Y202" s="385">
        <f t="shared" si="61"/>
        <v>50.243262140481249</v>
      </c>
      <c r="Z202" s="385">
        <f t="shared" si="62"/>
        <v>54.205850204163369</v>
      </c>
      <c r="AA202" s="386">
        <f t="shared" si="63"/>
        <v>61.450494436453219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0.1178939941611313</v>
      </c>
      <c r="AD202" s="231">
        <f>(INDEX(Models!$BJ202:$BT202,,AH202)*(1-AF202)+INDEX(Models!$BJ202:$BT202,,AH202+1)*AF202-ERP_i)*AE202*Ramure*Pc/MaxiM</f>
        <v>4.2750437936137304E-4</v>
      </c>
      <c r="AE202" s="305">
        <f t="shared" si="65"/>
        <v>0.7</v>
      </c>
      <c r="AF202" s="177">
        <f t="shared" si="66"/>
        <v>0.30007200394955946</v>
      </c>
      <c r="AG202" s="810">
        <f t="shared" si="74"/>
        <v>2</v>
      </c>
      <c r="AH202" s="176">
        <f t="shared" si="67"/>
        <v>8</v>
      </c>
      <c r="AI202" s="225">
        <f t="shared" si="68"/>
        <v>2.3000720039495595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57.619925577855653</v>
      </c>
      <c r="C203" s="840"/>
      <c r="D203" s="393">
        <f t="shared" si="50"/>
        <v>62.16574338311959</v>
      </c>
      <c r="E203" s="385">
        <f t="shared" si="75"/>
        <v>64.171063395474476</v>
      </c>
      <c r="F203" s="385">
        <f t="shared" si="51"/>
        <v>64.175817928306742</v>
      </c>
      <c r="G203" s="110">
        <f t="shared" si="76"/>
        <v>1.0220028205169978</v>
      </c>
      <c r="H203" s="414" t="b">
        <f>Wh_hp&gt;='2026'!Maxi_hp</f>
        <v>0</v>
      </c>
      <c r="I203" s="390">
        <f>IF(H203,Wh_hp,'2026'!Maxi_hp)</f>
        <v>64.296413487200894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7.3124160636970692E-2</v>
      </c>
      <c r="M203" s="844"/>
      <c r="N203" s="844"/>
      <c r="O203" s="48">
        <f>IF(t&lt;Tnet,'2026'!Resal+('2026'!Salim-'2026'!Resal)*(1-EXP(('2026'!Tnet-t)/('2026'!Tau_j))),Resal+(Salim-Resal)*(1-EXP((Tnet-t)/(Tau_j))))*Salcycl</f>
        <v>3.1249599215716073E-2</v>
      </c>
      <c r="P203" s="169">
        <f>(INDEX(Models!$BJ203:$BT203,,T203)*(1-R203)+INDEX(Models!$BJ203:$BT203,,T203+1)*R203-ERP_i)*Q203*Ramure*Pc/MaxiM</f>
        <v>7.4086049632757155E-5</v>
      </c>
      <c r="Q203" s="305">
        <f t="shared" si="53"/>
        <v>0.7</v>
      </c>
      <c r="R203" s="177">
        <f t="shared" si="54"/>
        <v>0.48312058410285741</v>
      </c>
      <c r="S203" s="810">
        <f t="shared" si="55"/>
        <v>-1</v>
      </c>
      <c r="T203" s="176">
        <f t="shared" si="56"/>
        <v>5</v>
      </c>
      <c r="U203" s="251">
        <f t="shared" si="57"/>
        <v>-0.51687941589714259</v>
      </c>
      <c r="V203" s="383">
        <f t="shared" si="58"/>
        <v>56.379419333410091</v>
      </c>
      <c r="W203" s="402">
        <f t="shared" si="59"/>
        <v>57.619925577855653</v>
      </c>
      <c r="X203" s="157">
        <f t="shared" si="60"/>
        <v>46576</v>
      </c>
      <c r="Y203" s="385">
        <f t="shared" si="61"/>
        <v>52.44208080268784</v>
      </c>
      <c r="Z203" s="385">
        <f t="shared" si="62"/>
        <v>56.579402089849772</v>
      </c>
      <c r="AA203" s="386">
        <f t="shared" si="63"/>
        <v>64.148266616686712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0.11799016444301035</v>
      </c>
      <c r="AD203" s="231">
        <f>(INDEX(Models!$BJ203:$BT203,,AH203)*(1-AF203)+INDEX(Models!$BJ203:$BT203,,AH203+1)*AF203-ERP_i)*AE203*Ramure*Pc/MaxiM</f>
        <v>4.2930986326967298E-4</v>
      </c>
      <c r="AE203" s="305">
        <f t="shared" si="65"/>
        <v>0.7</v>
      </c>
      <c r="AF203" s="177">
        <f t="shared" si="66"/>
        <v>0.30311063720204157</v>
      </c>
      <c r="AG203" s="810">
        <f t="shared" si="74"/>
        <v>2</v>
      </c>
      <c r="AH203" s="176">
        <f t="shared" si="67"/>
        <v>8</v>
      </c>
      <c r="AI203" s="225">
        <f t="shared" si="68"/>
        <v>2.3031106372020416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56.633904987190448</v>
      </c>
      <c r="C204" s="840"/>
      <c r="D204" s="393">
        <f t="shared" si="50"/>
        <v>61.103354480022674</v>
      </c>
      <c r="E204" s="385">
        <f t="shared" si="75"/>
        <v>63.085936421002664</v>
      </c>
      <c r="F204" s="385">
        <f t="shared" si="51"/>
        <v>63.090588335933631</v>
      </c>
      <c r="G204" s="110">
        <f t="shared" si="76"/>
        <v>1.0062294790360253</v>
      </c>
      <c r="H204" s="414" t="b">
        <f>Wh_hp&gt;='2026'!Maxi_hp</f>
        <v>1</v>
      </c>
      <c r="I204" s="390">
        <f>IF(H204,Wh_hp,'2026'!Maxi_hp)</f>
        <v>63.090588335933631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7.3145730391831143E-2</v>
      </c>
      <c r="M204" s="844"/>
      <c r="N204" s="844"/>
      <c r="O204" s="48">
        <f>IF(t&lt;Tnet,'2026'!Resal+('2026'!Salim-'2026'!Resal)*(1-EXP(('2026'!Tnet-t)/('2026'!Tau_j))),Resal+(Salim-Resal)*(1-EXP((Tnet-t)/(Tau_j))))*Salcycl</f>
        <v>3.1426686413105934E-2</v>
      </c>
      <c r="P204" s="169">
        <f>(INDEX(Models!$BJ204:$BT204,,T204)*(1-R204)+INDEX(Models!$BJ204:$BT204,,T204+1)*R204-ERP_i)*Q204*Ramure*Pc/MaxiM</f>
        <v>7.373389682468596E-5</v>
      </c>
      <c r="Q204" s="305">
        <f t="shared" si="53"/>
        <v>0.7</v>
      </c>
      <c r="R204" s="177">
        <f t="shared" si="54"/>
        <v>0.48609506660321911</v>
      </c>
      <c r="S204" s="810">
        <f t="shared" si="55"/>
        <v>-1</v>
      </c>
      <c r="T204" s="176">
        <f t="shared" si="56"/>
        <v>5</v>
      </c>
      <c r="U204" s="251">
        <f t="shared" si="57"/>
        <v>-0.51390493339678089</v>
      </c>
      <c r="V204" s="383">
        <f t="shared" si="58"/>
        <v>56.283289415696821</v>
      </c>
      <c r="W204" s="402">
        <f t="shared" si="59"/>
        <v>56.633904987190448</v>
      </c>
      <c r="X204" s="157">
        <f t="shared" si="60"/>
        <v>46577</v>
      </c>
      <c r="Y204" s="385">
        <f t="shared" si="61"/>
        <v>51.548436299678485</v>
      </c>
      <c r="Z204" s="385">
        <f t="shared" si="62"/>
        <v>55.616549429578377</v>
      </c>
      <c r="AA204" s="386">
        <f t="shared" si="63"/>
        <v>63.063376789890377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0.11808481783528274</v>
      </c>
      <c r="AD204" s="231">
        <f>(INDEX(Models!$BJ204:$BT204,,AH204)*(1-AF204)+INDEX(Models!$BJ204:$BT204,,AH204+1)*AF204-ERP_i)*AE204*Ramure*Pc/MaxiM</f>
        <v>4.3130911853861144E-4</v>
      </c>
      <c r="AE204" s="305">
        <f t="shared" si="65"/>
        <v>0.7</v>
      </c>
      <c r="AF204" s="177">
        <f t="shared" si="66"/>
        <v>0.30608511970240304</v>
      </c>
      <c r="AG204" s="810">
        <f t="shared" si="74"/>
        <v>2</v>
      </c>
      <c r="AH204" s="176">
        <f t="shared" si="67"/>
        <v>8</v>
      </c>
      <c r="AI204" s="225">
        <f t="shared" si="68"/>
        <v>2.306085119702403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55.973272506312405</v>
      </c>
      <c r="C205" s="840"/>
      <c r="D205" s="393">
        <f t="shared" si="50"/>
        <v>60.39199144015641</v>
      </c>
      <c r="E205" s="385">
        <f t="shared" si="75"/>
        <v>62.36286119169943</v>
      </c>
      <c r="F205" s="385">
        <f t="shared" si="51"/>
        <v>62.367412039347506</v>
      </c>
      <c r="G205" s="110">
        <f t="shared" si="76"/>
        <v>0.99625234863718559</v>
      </c>
      <c r="H205" s="414" t="b">
        <f>Wh_hp&gt;='2026'!Maxi_hp</f>
        <v>0</v>
      </c>
      <c r="I205" s="390">
        <f>IF(H205,Wh_hp,'2026'!Maxi_hp)</f>
        <v>63.53664171225423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7.3167299644731898E-2</v>
      </c>
      <c r="M205" s="844"/>
      <c r="N205" s="844"/>
      <c r="O205" s="48">
        <f>IF(t&lt;Tnet,'2026'!Resal+('2026'!Salim-'2026'!Resal)*(1-EXP(('2026'!Tnet-t)/('2026'!Tau_j))),Resal+(Salim-Resal)*(1-EXP((Tnet-t)/(Tau_j))))*Salcycl</f>
        <v>3.1603260560555298E-2</v>
      </c>
      <c r="P205" s="169">
        <f>(INDEX(Models!$BJ205:$BT205,,T205)*(1-R205)+INDEX(Models!$BJ205:$BT205,,T205+1)*R205-ERP_i)*Q205*Ramure*Pc/MaxiM</f>
        <v>7.3361076602061057E-5</v>
      </c>
      <c r="Q205" s="305">
        <f t="shared" si="53"/>
        <v>0.7</v>
      </c>
      <c r="R205" s="177">
        <f t="shared" si="54"/>
        <v>0.48900497672148213</v>
      </c>
      <c r="S205" s="810">
        <f t="shared" si="55"/>
        <v>-1</v>
      </c>
      <c r="T205" s="176">
        <f t="shared" si="56"/>
        <v>5</v>
      </c>
      <c r="U205" s="251">
        <f t="shared" si="57"/>
        <v>-0.51099502327851787</v>
      </c>
      <c r="V205" s="383">
        <f t="shared" si="58"/>
        <v>56.183807847007898</v>
      </c>
      <c r="W205" s="402">
        <f t="shared" si="59"/>
        <v>55.973272506312405</v>
      </c>
      <c r="X205" s="157">
        <f t="shared" si="60"/>
        <v>46578</v>
      </c>
      <c r="Y205" s="385">
        <f t="shared" si="61"/>
        <v>50.950998104230699</v>
      </c>
      <c r="Z205" s="385">
        <f t="shared" si="62"/>
        <v>54.973241756252733</v>
      </c>
      <c r="AA205" s="386">
        <f t="shared" si="63"/>
        <v>62.340520391792175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0.118178009892093</v>
      </c>
      <c r="AD205" s="231">
        <f>(INDEX(Models!$BJ205:$BT205,,AH205)*(1-AF205)+INDEX(Models!$BJ205:$BT205,,AH205+1)*AF205-ERP_i)*AE205*Ramure*Pc/MaxiM</f>
        <v>4.3350170535745418E-4</v>
      </c>
      <c r="AE205" s="305">
        <f t="shared" si="65"/>
        <v>0.7</v>
      </c>
      <c r="AF205" s="177">
        <f t="shared" si="66"/>
        <v>0.30899502982066629</v>
      </c>
      <c r="AG205" s="810">
        <f t="shared" si="74"/>
        <v>2</v>
      </c>
      <c r="AH205" s="176">
        <f t="shared" si="67"/>
        <v>8</v>
      </c>
      <c r="AI205" s="225">
        <f t="shared" si="68"/>
        <v>2.3089950298206663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54.198033544909556</v>
      </c>
      <c r="C206" s="840"/>
      <c r="D206" s="393">
        <f t="shared" si="50"/>
        <v>58.477969994914119</v>
      </c>
      <c r="E206" s="385">
        <f t="shared" si="75"/>
        <v>60.397357655013764</v>
      </c>
      <c r="F206" s="385">
        <f t="shared" si="51"/>
        <v>60.401556412168617</v>
      </c>
      <c r="G206" s="110">
        <f t="shared" si="76"/>
        <v>0.96641137847360814</v>
      </c>
      <c r="H206" s="414" t="b">
        <f>Wh_hp&gt;='2026'!Maxi_hp</f>
        <v>0</v>
      </c>
      <c r="I206" s="390">
        <f>IF(H206,Wh_hp,'2026'!Maxi_hp)</f>
        <v>62.742397262991474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7.3188868395684614E-2</v>
      </c>
      <c r="M206" s="844"/>
      <c r="N206" s="844"/>
      <c r="O206" s="48">
        <f>IF(t&lt;Tnet,'2026'!Resal+('2026'!Salim-'2026'!Resal)*(1-EXP(('2026'!Tnet-t)/('2026'!Tau_j))),Resal+(Salim-Resal)*(1-EXP((Tnet-t)/(Tau_j))))*Salcycl</f>
        <v>3.1779331656577939E-2</v>
      </c>
      <c r="P206" s="169">
        <f>(INDEX(Models!$BJ206:$BT206,,T206)*(1-R206)+INDEX(Models!$BJ206:$BT206,,T206+1)*R206-ERP_i)*Q206*Ramure*Pc/MaxiM</f>
        <v>7.3017348310682389E-5</v>
      </c>
      <c r="Q206" s="305">
        <f t="shared" si="53"/>
        <v>0.7</v>
      </c>
      <c r="R206" s="177">
        <f t="shared" si="54"/>
        <v>0.49185001756817348</v>
      </c>
      <c r="S206" s="810">
        <f t="shared" si="55"/>
        <v>-1</v>
      </c>
      <c r="T206" s="176">
        <f t="shared" si="56"/>
        <v>5</v>
      </c>
      <c r="U206" s="251">
        <f t="shared" si="57"/>
        <v>-0.50814998243182652</v>
      </c>
      <c r="V206" s="383">
        <f t="shared" si="58"/>
        <v>56.081545465389837</v>
      </c>
      <c r="W206" s="402">
        <f t="shared" si="59"/>
        <v>54.198033544909556</v>
      </c>
      <c r="X206" s="157">
        <f t="shared" si="60"/>
        <v>46579</v>
      </c>
      <c r="Y206" s="385">
        <f t="shared" si="61"/>
        <v>49.339511252221818</v>
      </c>
      <c r="Z206" s="385">
        <f t="shared" si="62"/>
        <v>53.235777570792486</v>
      </c>
      <c r="AA206" s="386">
        <f t="shared" si="63"/>
        <v>60.376493189585887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0.11826979742548337</v>
      </c>
      <c r="AD206" s="231">
        <f>(INDEX(Models!$BJ206:$BT206,,AH206)*(1-AF206)+INDEX(Models!$BJ206:$BT206,,AH206+1)*AF206-ERP_i)*AE206*Ramure*Pc/MaxiM</f>
        <v>4.3585517943011488E-4</v>
      </c>
      <c r="AE206" s="305">
        <f t="shared" si="65"/>
        <v>0.7</v>
      </c>
      <c r="AF206" s="177">
        <f t="shared" si="66"/>
        <v>0.31184007066735742</v>
      </c>
      <c r="AG206" s="810">
        <f t="shared" si="74"/>
        <v>2</v>
      </c>
      <c r="AH206" s="176">
        <f t="shared" si="67"/>
        <v>8</v>
      </c>
      <c r="AI206" s="225">
        <f t="shared" si="68"/>
        <v>2.3118400706673574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53.82304732736123</v>
      </c>
      <c r="C207" s="840"/>
      <c r="D207" s="393">
        <f t="shared" ref="D207:D270" si="77">Wh/(1-Ppv)</f>
        <v>58.074723168550982</v>
      </c>
      <c r="E207" s="385">
        <f t="shared" si="75"/>
        <v>59.991754293281694</v>
      </c>
      <c r="F207" s="385">
        <f t="shared" ref="F207:F270" si="78">Wh_sa/(1-Pvg*MEDIAN((-Sdif+Wh/Env_an)/Csdif,0,1))</f>
        <v>59.995876138194227</v>
      </c>
      <c r="G207" s="110">
        <f t="shared" si="76"/>
        <v>0.96152712569133114</v>
      </c>
      <c r="H207" s="414" t="b">
        <f>Wh_hp&gt;='2026'!Maxi_hp</f>
        <v>0</v>
      </c>
      <c r="I207" s="390">
        <f>IF(H207,Wh_hp,'2026'!Maxi_hp)</f>
        <v>63.292549815565977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7.3210436644700949E-2</v>
      </c>
      <c r="M207" s="844"/>
      <c r="N207" s="844"/>
      <c r="O207" s="48">
        <f>IF(t&lt;Tnet,'2026'!Resal+('2026'!Salim-'2026'!Resal)*(1-EXP(('2026'!Tnet-t)/('2026'!Tau_j))),Resal+(Salim-Resal)*(1-EXP((Tnet-t)/(Tau_j))))*Salcycl</f>
        <v>3.1954910259148608E-2</v>
      </c>
      <c r="P207" s="169">
        <f>(INDEX(Models!$BJ207:$BT207,,T207)*(1-R207)+INDEX(Models!$BJ207:$BT207,,T207+1)*R207-ERP_i)*Q207*Ramure*Pc/MaxiM</f>
        <v>7.2697271018658306E-5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0.49463001240554805</v>
      </c>
      <c r="S207" s="810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-0.50536998759445195</v>
      </c>
      <c r="V207" s="383">
        <f t="shared" ref="V207:V270" si="85">MaxiM*(1-Ppv)*(1-Pvg)*(1-Psa)</f>
        <v>55.976405495176373</v>
      </c>
      <c r="W207" s="402">
        <f t="shared" ref="W207:W270" si="86">Wh*(A207&gt;Tmaj)</f>
        <v>53.82304732736123</v>
      </c>
      <c r="X207" s="157">
        <f t="shared" ref="X207:X270" si="87">t</f>
        <v>46580</v>
      </c>
      <c r="Y207" s="385">
        <f t="shared" ref="Y207:Y270" si="88">Wh_pvt_s*(1-Ppv)</f>
        <v>49.001999062435829</v>
      </c>
      <c r="Z207" s="385">
        <f t="shared" ref="Z207:Z270" si="89">Wh_sa_s*(1-Psa_s)</f>
        <v>52.872842983936536</v>
      </c>
      <c r="AA207" s="386">
        <f t="shared" ref="AA207:AA270" si="90">Wh_hp*(1-Pvg_s*MEDIAN((-Sdif+Wh/Env_an)/Csdif,0,1))</f>
        <v>59.971028158906947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0.11836023814969703</v>
      </c>
      <c r="AD207" s="231">
        <f>(INDEX(Models!$BJ207:$BT207,,AH207)*(1-AF207)+INDEX(Models!$BJ207:$BT207,,AH207+1)*AF207-ERP_i)*AE207*Ramure*Pc/MaxiM</f>
        <v>4.3824557275771948E-4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0.31462006550473198</v>
      </c>
      <c r="AG207" s="810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2.314620065504732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53.335900922761425</v>
      </c>
      <c r="C208" s="840"/>
      <c r="D208" s="393">
        <f t="shared" si="77"/>
        <v>57.550434602307163</v>
      </c>
      <c r="E208" s="385">
        <f t="shared" si="75"/>
        <v>59.460914215732288</v>
      </c>
      <c r="F208" s="385">
        <f t="shared" si="78"/>
        <v>59.464940801022266</v>
      </c>
      <c r="G208" s="110">
        <f t="shared" si="76"/>
        <v>0.95466766649907664</v>
      </c>
      <c r="H208" s="414" t="b">
        <f>Wh_hp&gt;='2026'!Maxi_hp</f>
        <v>0</v>
      </c>
      <c r="I208" s="390">
        <f>IF(H208,Wh_hp,'2026'!Maxi_hp)</f>
        <v>59.465153485098078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7.3232004391792671E-2</v>
      </c>
      <c r="M208" s="844"/>
      <c r="N208" s="844"/>
      <c r="O208" s="48">
        <f>IF(t&lt;Tnet,'2026'!Resal+('2026'!Salim-'2026'!Resal)*(1-EXP(('2026'!Tnet-t)/('2026'!Tau_j))),Resal+(Salim-Resal)*(1-EXP((Tnet-t)/(Tau_j))))*Salcycl</f>
        <v>3.2130007394330369E-2</v>
      </c>
      <c r="P208" s="169">
        <f>(INDEX(Models!$BJ208:$BT208,,T208)*(1-R208)+INDEX(Models!$BJ208:$BT208,,T208+1)*R208-ERP_i)*Q208*Ramure*Pc/MaxiM</f>
        <v>7.2401921194691356E-5</v>
      </c>
      <c r="Q208" s="305">
        <f t="shared" si="80"/>
        <v>0.7</v>
      </c>
      <c r="R208" s="177">
        <f t="shared" si="81"/>
        <v>0.49734489977942453</v>
      </c>
      <c r="S208" s="810">
        <f t="shared" si="82"/>
        <v>-1</v>
      </c>
      <c r="T208" s="176">
        <f t="shared" si="83"/>
        <v>5</v>
      </c>
      <c r="U208" s="251">
        <f t="shared" si="84"/>
        <v>-0.50265510022057547</v>
      </c>
      <c r="V208" s="383">
        <f t="shared" si="85"/>
        <v>55.868290842666589</v>
      </c>
      <c r="W208" s="402">
        <f t="shared" si="86"/>
        <v>53.335900922761425</v>
      </c>
      <c r="X208" s="157">
        <f t="shared" si="87"/>
        <v>46581</v>
      </c>
      <c r="Y208" s="385">
        <f t="shared" si="88"/>
        <v>48.562411185926024</v>
      </c>
      <c r="Z208" s="385">
        <f t="shared" si="89"/>
        <v>52.399749900789473</v>
      </c>
      <c r="AA208" s="386">
        <f t="shared" si="90"/>
        <v>59.440432943956338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0.11844939033006714</v>
      </c>
      <c r="AD208" s="231">
        <f>(INDEX(Models!$BJ208:$BT208,,AH208)*(1-AF208)+INDEX(Models!$BJ208:$BT208,,AH208+1)*AF208-ERP_i)*AE208*Ramure*Pc/MaxiM</f>
        <v>4.4067511505429527E-4</v>
      </c>
      <c r="AE208" s="305">
        <f t="shared" si="92"/>
        <v>0.7</v>
      </c>
      <c r="AF208" s="177">
        <f t="shared" si="93"/>
        <v>0.31733495287860825</v>
      </c>
      <c r="AG208" s="810">
        <f t="shared" ref="AG208:AG271" si="99">INDEX(Echel_vg,AH208)</f>
        <v>2</v>
      </c>
      <c r="AH208" s="176">
        <f t="shared" si="94"/>
        <v>8</v>
      </c>
      <c r="AI208" s="225">
        <f t="shared" si="95"/>
        <v>2.3173349528786082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52.436841464761976</v>
      </c>
      <c r="C209" s="840"/>
      <c r="D209" s="393">
        <f t="shared" si="77"/>
        <v>56.581649370243071</v>
      </c>
      <c r="E209" s="385">
        <f t="shared" si="75"/>
        <v>58.470518083870161</v>
      </c>
      <c r="F209" s="385">
        <f t="shared" si="78"/>
        <v>58.474377164333923</v>
      </c>
      <c r="G209" s="110">
        <f t="shared" si="76"/>
        <v>0.94044553022486754</v>
      </c>
      <c r="H209" s="414" t="b">
        <f>Wh_hp&gt;='2026'!Maxi_hp</f>
        <v>0</v>
      </c>
      <c r="I209" s="390">
        <f>IF(H209,Wh_hp,'2026'!Maxi_hp)</f>
        <v>63.373727610861152</v>
      </c>
      <c r="J209" s="85">
        <f>IF(H209,An,'2026'!An_max)</f>
        <v>2020</v>
      </c>
      <c r="K209" s="197">
        <f t="shared" si="79"/>
        <v>46582</v>
      </c>
      <c r="L209" s="147">
        <f>IF(t&lt;Tvie,1-EXP((T0-t)*PertePVj)+'2026'!Pspv,1-EXP((T0-t)*PertePVj)+Pspv)</f>
        <v>7.3253571636971326E-2</v>
      </c>
      <c r="M209" s="844"/>
      <c r="N209" s="844"/>
      <c r="O209" s="48">
        <f>IF(t&lt;Tnet,'2026'!Resal+('2026'!Salim-'2026'!Resal)*(1-EXP(('2026'!Tnet-t)/('2026'!Tau_j))),Resal+(Salim-Resal)*(1-EXP((Tnet-t)/(Tau_j))))*Salcycl</f>
        <v>3.2304634464119096E-2</v>
      </c>
      <c r="P209" s="169">
        <f>(INDEX(Models!$BJ209:$BT209,,T209)*(1-R209)+INDEX(Models!$BJ209:$BT209,,T209+1)*R209-ERP_i)*Q209*Ramure*Pc/MaxiM</f>
        <v>7.2132362533924667E-5</v>
      </c>
      <c r="Q209" s="305">
        <f t="shared" si="80"/>
        <v>0.7</v>
      </c>
      <c r="R209" s="177">
        <f t="shared" si="81"/>
        <v>0.4999947284179308</v>
      </c>
      <c r="S209" s="810">
        <f t="shared" si="82"/>
        <v>-1</v>
      </c>
      <c r="T209" s="176">
        <f t="shared" si="83"/>
        <v>5</v>
      </c>
      <c r="U209" s="251">
        <f t="shared" si="84"/>
        <v>-0.5000052715820692</v>
      </c>
      <c r="V209" s="383">
        <f t="shared" si="85"/>
        <v>55.757104469858788</v>
      </c>
      <c r="W209" s="402">
        <f t="shared" si="86"/>
        <v>52.436841464761976</v>
      </c>
      <c r="X209" s="157">
        <f t="shared" si="87"/>
        <v>46582</v>
      </c>
      <c r="Y209" s="385">
        <f t="shared" si="88"/>
        <v>47.747907010056956</v>
      </c>
      <c r="Z209" s="385">
        <f t="shared" si="89"/>
        <v>51.52208365604077</v>
      </c>
      <c r="AA209" s="386">
        <f t="shared" si="90"/>
        <v>58.450668852019419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0.11853731243897092</v>
      </c>
      <c r="AD209" s="231">
        <f>(INDEX(Models!$BJ209:$BT209,,AH209)*(1-AF209)+INDEX(Models!$BJ209:$BT209,,AH209+1)*AF209-ERP_i)*AE209*Ramure*Pc/MaxiM</f>
        <v>4.4314613157102887E-4</v>
      </c>
      <c r="AE209" s="305">
        <f t="shared" si="92"/>
        <v>0.7</v>
      </c>
      <c r="AF209" s="177">
        <f t="shared" si="93"/>
        <v>0.31998478151711485</v>
      </c>
      <c r="AG209" s="810">
        <f t="shared" si="99"/>
        <v>2</v>
      </c>
      <c r="AH209" s="176">
        <f t="shared" si="94"/>
        <v>8</v>
      </c>
      <c r="AI209" s="225">
        <f t="shared" si="95"/>
        <v>2.3199847815171148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51.454242681087713</v>
      </c>
      <c r="C210" s="840"/>
      <c r="D210" s="393">
        <f t="shared" si="77"/>
        <v>55.522674325532599</v>
      </c>
      <c r="E210" s="385">
        <f t="shared" si="75"/>
        <v>57.386519806019301</v>
      </c>
      <c r="F210" s="385">
        <f t="shared" si="78"/>
        <v>57.390201900749602</v>
      </c>
      <c r="G210" s="110">
        <f t="shared" si="76"/>
        <v>0.92471787310048659</v>
      </c>
      <c r="H210" s="414" t="b">
        <f>Wh_hp&gt;='2026'!Maxi_hp</f>
        <v>0</v>
      </c>
      <c r="I210" s="390">
        <f>IF(H210,Wh_hp,'2026'!Maxi_hp)</f>
        <v>64.452290266215414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7.3275138380248794E-2</v>
      </c>
      <c r="M210" s="844"/>
      <c r="N210" s="844"/>
      <c r="O210" s="48">
        <f>IF(t&lt;Tnet,'2026'!Resal+('2026'!Salim-'2026'!Resal)*(1-EXP(('2026'!Tnet-t)/('2026'!Tau_j))),Resal+(Salim-Resal)*(1-EXP((Tnet-t)/(Tau_j))))*Salcycl</f>
        <v>3.2478803154241856E-2</v>
      </c>
      <c r="P210" s="169">
        <f>(INDEX(Models!$BJ210:$BT210,,T210)*(1-R210)+INDEX(Models!$BJ210:$BT210,,T210+1)*R210-ERP_i)*Q210*Ramure*Pc/MaxiM</f>
        <v>7.1889645772829161E-5</v>
      </c>
      <c r="Q210" s="305">
        <f t="shared" si="80"/>
        <v>0.7</v>
      </c>
      <c r="R210" s="177">
        <f t="shared" si="81"/>
        <v>0.50257965194205267</v>
      </c>
      <c r="S210" s="810">
        <f t="shared" si="82"/>
        <v>-1</v>
      </c>
      <c r="T210" s="176">
        <f t="shared" si="83"/>
        <v>5</v>
      </c>
      <c r="U210" s="251">
        <f t="shared" si="84"/>
        <v>-0.49742034805794733</v>
      </c>
      <c r="V210" s="383">
        <f t="shared" si="85"/>
        <v>55.642749399471214</v>
      </c>
      <c r="W210" s="402">
        <f t="shared" si="86"/>
        <v>51.454242681087713</v>
      </c>
      <c r="X210" s="157">
        <f t="shared" si="87"/>
        <v>46583</v>
      </c>
      <c r="Y210" s="385">
        <f t="shared" si="88"/>
        <v>46.857270537510765</v>
      </c>
      <c r="Z210" s="385">
        <f t="shared" si="89"/>
        <v>50.562224537294206</v>
      </c>
      <c r="AA210" s="386">
        <f t="shared" si="90"/>
        <v>57.367375718403068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0.11862406282122855</v>
      </c>
      <c r="AD210" s="231">
        <f>(INDEX(Models!$BJ210:$BT210,,AH210)*(1-AF210)+INDEX(Models!$BJ210:$BT210,,AH210+1)*AF210-ERP_i)*AE210*Ramure*Pc/MaxiM</f>
        <v>4.4566103901014014E-4</v>
      </c>
      <c r="AE210" s="305">
        <f t="shared" si="92"/>
        <v>0.7</v>
      </c>
      <c r="AF210" s="177">
        <f t="shared" si="93"/>
        <v>0.32256970504123661</v>
      </c>
      <c r="AG210" s="810">
        <f t="shared" si="99"/>
        <v>2</v>
      </c>
      <c r="AH210" s="176">
        <f t="shared" si="94"/>
        <v>8</v>
      </c>
      <c r="AI210" s="225">
        <f t="shared" si="95"/>
        <v>2.3225697050412366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53.003209958381859</v>
      </c>
      <c r="C211" s="840"/>
      <c r="D211" s="393">
        <f t="shared" si="77"/>
        <v>57.195447801597801</v>
      </c>
      <c r="E211" s="385">
        <f t="shared" si="75"/>
        <v>59.126063074549897</v>
      </c>
      <c r="F211" s="385">
        <f t="shared" si="78"/>
        <v>59.130026217115443</v>
      </c>
      <c r="G211" s="110">
        <f t="shared" si="76"/>
        <v>0.95457614719239392</v>
      </c>
      <c r="H211" s="414" t="b">
        <f>Wh_hp&gt;='2026'!Maxi_hp</f>
        <v>0</v>
      </c>
      <c r="I211" s="390">
        <f>IF(H211,Wh_hp,'2026'!Maxi_hp)</f>
        <v>62.090421221534129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7.329670462163651E-2</v>
      </c>
      <c r="M211" s="844"/>
      <c r="N211" s="844"/>
      <c r="O211" s="48">
        <f>IF(t&lt;Tnet,'2026'!Resal+('2026'!Salim-'2026'!Resal)*(1-EXP(('2026'!Tnet-t)/('2026'!Tau_j))),Resal+(Salim-Resal)*(1-EXP((Tnet-t)/(Tau_j))))*Salcycl</f>
        <v>3.2652525342637101E-2</v>
      </c>
      <c r="P211" s="169">
        <f>(INDEX(Models!$BJ211:$BT211,,T211)*(1-R211)+INDEX(Models!$BJ211:$BT211,,T211+1)*R211-ERP_i)*Q211*Ramure*Pc/MaxiM</f>
        <v>7.1674808742423391E-5</v>
      </c>
      <c r="Q211" s="305">
        <f t="shared" si="80"/>
        <v>0.7</v>
      </c>
      <c r="R211" s="177">
        <f t="shared" si="81"/>
        <v>0.50509992343112575</v>
      </c>
      <c r="S211" s="810">
        <f t="shared" si="82"/>
        <v>-1</v>
      </c>
      <c r="T211" s="176">
        <f t="shared" si="83"/>
        <v>5</v>
      </c>
      <c r="U211" s="251">
        <f t="shared" si="84"/>
        <v>-0.49490007656887419</v>
      </c>
      <c r="V211" s="383">
        <f t="shared" si="85"/>
        <v>55.525128718580675</v>
      </c>
      <c r="W211" s="402">
        <f t="shared" si="86"/>
        <v>53.003209958381859</v>
      </c>
      <c r="X211" s="157">
        <f t="shared" si="87"/>
        <v>46584</v>
      </c>
      <c r="Y211" s="385">
        <f t="shared" si="88"/>
        <v>48.270933895280301</v>
      </c>
      <c r="Z211" s="385">
        <f t="shared" si="89"/>
        <v>52.088876921034121</v>
      </c>
      <c r="AA211" s="386">
        <f t="shared" si="90"/>
        <v>59.105242488053278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0.11870969937120805</v>
      </c>
      <c r="AD211" s="231">
        <f>(INDEX(Models!$BJ211:$BT211,,AH211)*(1-AF211)+INDEX(Models!$BJ211:$BT211,,AH211+1)*AF211-ERP_i)*AE211*Ramure*Pc/MaxiM</f>
        <v>4.4822234150686783E-4</v>
      </c>
      <c r="AE211" s="305">
        <f t="shared" si="92"/>
        <v>0.7</v>
      </c>
      <c r="AF211" s="177">
        <f t="shared" si="93"/>
        <v>0.32508997653030969</v>
      </c>
      <c r="AG211" s="810">
        <f t="shared" si="99"/>
        <v>2</v>
      </c>
      <c r="AH211" s="176">
        <f t="shared" si="94"/>
        <v>8</v>
      </c>
      <c r="AI211" s="225">
        <f t="shared" si="95"/>
        <v>2.3250899765303097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52.080789418032026</v>
      </c>
      <c r="C212" s="840"/>
      <c r="D212" s="393">
        <f t="shared" si="77"/>
        <v>56.201377185162535</v>
      </c>
      <c r="E212" s="385">
        <f t="shared" si="75"/>
        <v>58.108847342205308</v>
      </c>
      <c r="F212" s="385">
        <f t="shared" si="78"/>
        <v>58.112649972612402</v>
      </c>
      <c r="G212" s="110">
        <f t="shared" si="76"/>
        <v>0.94001041941729713</v>
      </c>
      <c r="H212" s="414" t="b">
        <f>Wh_hp&gt;='2026'!Maxi_hp</f>
        <v>0</v>
      </c>
      <c r="I212" s="390">
        <f>IF(H212,Wh_hp,'2026'!Maxi_hp)</f>
        <v>61.577914063437071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7.3318270361146354E-2</v>
      </c>
      <c r="M212" s="844"/>
      <c r="N212" s="844"/>
      <c r="O212" s="48">
        <f>IF(t&lt;Tnet,'2026'!Resal+('2026'!Salim-'2026'!Resal)*(1-EXP(('2026'!Tnet-t)/('2026'!Tau_j))),Resal+(Salim-Resal)*(1-EXP((Tnet-t)/(Tau_j))))*Salcycl</f>
        <v>3.2825813009327215E-2</v>
      </c>
      <c r="P212" s="169">
        <f>(INDEX(Models!$BJ212:$BT212,,T212)*(1-R212)+INDEX(Models!$BJ212:$BT212,,T212+1)*R212-ERP_i)*Q212*Ramure*Pc/MaxiM</f>
        <v>7.156827014312902E-5</v>
      </c>
      <c r="Q212" s="305">
        <f t="shared" si="80"/>
        <v>0.7</v>
      </c>
      <c r="R212" s="177">
        <f t="shared" si="81"/>
        <v>0.50755588988438682</v>
      </c>
      <c r="S212" s="810">
        <f t="shared" si="82"/>
        <v>-1</v>
      </c>
      <c r="T212" s="176">
        <f t="shared" si="83"/>
        <v>5</v>
      </c>
      <c r="U212" s="251">
        <f t="shared" si="84"/>
        <v>-0.49244411011561312</v>
      </c>
      <c r="V212" s="383">
        <f t="shared" si="85"/>
        <v>55.404141190258116</v>
      </c>
      <c r="W212" s="402">
        <f t="shared" si="86"/>
        <v>52.080789418032026</v>
      </c>
      <c r="X212" s="157">
        <f t="shared" si="87"/>
        <v>46585</v>
      </c>
      <c r="Y212" s="385">
        <f t="shared" si="88"/>
        <v>47.43504638292238</v>
      </c>
      <c r="Z212" s="385">
        <f t="shared" si="89"/>
        <v>51.188066912044079</v>
      </c>
      <c r="AA212" s="386">
        <f t="shared" si="90"/>
        <v>58.088668406456932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0.11879427922375659</v>
      </c>
      <c r="AD212" s="231">
        <f>(INDEX(Models!$BJ212:$BT212,,AH212)*(1-AF212)+INDEX(Models!$BJ212:$BT212,,AH212+1)*AF212-ERP_i)*AE212*Ramure*Pc/MaxiM</f>
        <v>4.5135051827994819E-4</v>
      </c>
      <c r="AE212" s="305">
        <f t="shared" si="92"/>
        <v>0.7</v>
      </c>
      <c r="AF212" s="177">
        <f t="shared" si="93"/>
        <v>0.32754594298357098</v>
      </c>
      <c r="AG212" s="810">
        <f t="shared" si="99"/>
        <v>2</v>
      </c>
      <c r="AH212" s="176">
        <f t="shared" si="94"/>
        <v>8</v>
      </c>
      <c r="AI212" s="225">
        <f t="shared" si="95"/>
        <v>2.327545942983571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52.810927108230722</v>
      </c>
      <c r="C213" s="840"/>
      <c r="D213" s="393">
        <f t="shared" si="77"/>
        <v>56.990609003200355</v>
      </c>
      <c r="E213" s="385">
        <f t="shared" si="75"/>
        <v>58.93539927543614</v>
      </c>
      <c r="F213" s="385">
        <f t="shared" si="78"/>
        <v>58.939349523925472</v>
      </c>
      <c r="G213" s="110">
        <f t="shared" si="76"/>
        <v>0.95533616038936497</v>
      </c>
      <c r="H213" s="414" t="b">
        <f>Wh_hp&gt;='2026'!Maxi_hp</f>
        <v>0</v>
      </c>
      <c r="I213" s="390">
        <f>IF(H213,Wh_hp,'2026'!Maxi_hp)</f>
        <v>58.939554580216281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7.3339835598789982E-2</v>
      </c>
      <c r="M213" s="844"/>
      <c r="N213" s="844"/>
      <c r="O213" s="48">
        <f>IF(t&lt;Tnet,'2026'!Resal+('2026'!Salim-'2026'!Resal)*(1-EXP(('2026'!Tnet-t)/('2026'!Tau_j))),Resal+(Salim-Resal)*(1-EXP((Tnet-t)/(Tau_j))))*Salcycl</f>
        <v>3.2998678148369875E-2</v>
      </c>
      <c r="P213" s="169">
        <f>(INDEX(Models!$BJ213:$BT213,,T213)*(1-R213)+INDEX(Models!$BJ213:$BT213,,T213+1)*R213-ERP_i)*Q213*Ramure*Pc/MaxiM</f>
        <v>7.1589625915825594E-5</v>
      </c>
      <c r="Q213" s="305">
        <f t="shared" si="80"/>
        <v>0.7</v>
      </c>
      <c r="R213" s="177">
        <f t="shared" si="81"/>
        <v>0.50994798661741925</v>
      </c>
      <c r="S213" s="810">
        <f t="shared" si="82"/>
        <v>-1</v>
      </c>
      <c r="T213" s="176">
        <f t="shared" si="83"/>
        <v>5</v>
      </c>
      <c r="U213" s="251">
        <f t="shared" si="84"/>
        <v>-0.49005201338258075</v>
      </c>
      <c r="V213" s="383">
        <f t="shared" si="85"/>
        <v>55.279689050798446</v>
      </c>
      <c r="W213" s="402">
        <f t="shared" si="86"/>
        <v>52.810927108230722</v>
      </c>
      <c r="X213" s="157">
        <f t="shared" si="87"/>
        <v>46586</v>
      </c>
      <c r="Y213" s="385">
        <f t="shared" si="88"/>
        <v>48.103526707618101</v>
      </c>
      <c r="Z213" s="385">
        <f t="shared" si="89"/>
        <v>51.91064486806949</v>
      </c>
      <c r="AA213" s="386">
        <f t="shared" si="90"/>
        <v>58.91424403136179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0.11887785846091954</v>
      </c>
      <c r="AD213" s="231">
        <f>(INDEX(Models!$BJ213:$BT213,,AH213)*(1-AF213)+INDEX(Models!$BJ213:$BT213,,AH213+1)*AF213-ERP_i)*AE213*Ramure*Pc/MaxiM</f>
        <v>4.5498221844026977E-4</v>
      </c>
      <c r="AE213" s="305">
        <f t="shared" si="92"/>
        <v>0.7</v>
      </c>
      <c r="AF213" s="177">
        <f t="shared" si="93"/>
        <v>0.32993803971660318</v>
      </c>
      <c r="AG213" s="810">
        <f t="shared" si="99"/>
        <v>2</v>
      </c>
      <c r="AH213" s="176">
        <f t="shared" si="94"/>
        <v>8</v>
      </c>
      <c r="AI213" s="225">
        <f t="shared" si="95"/>
        <v>2.3299380397166032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44.588932509427302</v>
      </c>
      <c r="C214" s="840"/>
      <c r="D214" s="393">
        <f t="shared" si="77"/>
        <v>48.119010502613328</v>
      </c>
      <c r="E214" s="385">
        <f t="shared" si="75"/>
        <v>49.769935641375099</v>
      </c>
      <c r="F214" s="385">
        <f t="shared" si="78"/>
        <v>49.77252942668752</v>
      </c>
      <c r="G214" s="110">
        <f t="shared" si="76"/>
        <v>0.80846242262109769</v>
      </c>
      <c r="H214" s="414" t="b">
        <f>Wh_hp&gt;='2026'!Maxi_hp</f>
        <v>0</v>
      </c>
      <c r="I214" s="390">
        <f>IF(H214,Wh_hp,'2026'!Maxi_hp)</f>
        <v>61.968501061499985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7.3361400334578941E-2</v>
      </c>
      <c r="M214" s="844"/>
      <c r="N214" s="844"/>
      <c r="O214" s="48">
        <f>IF(t&lt;Tnet,'2026'!Resal+('2026'!Salim-'2026'!Resal)*(1-EXP(('2026'!Tnet-t)/('2026'!Tau_j))),Resal+(Salim-Resal)*(1-EXP((Tnet-t)/(Tau_j))))*Salcycl</f>
        <v>3.3171132682544895E-2</v>
      </c>
      <c r="P214" s="169">
        <f>(INDEX(Models!$BJ214:$BT214,,T214)*(1-R214)+INDEX(Models!$BJ214:$BT214,,T214+1)*R214-ERP_i)*Q214*Ramure*Pc/MaxiM</f>
        <v>7.1741414837111741E-5</v>
      </c>
      <c r="Q214" s="305">
        <f t="shared" si="80"/>
        <v>0.7</v>
      </c>
      <c r="R214" s="177">
        <f t="shared" si="81"/>
        <v>0.5122767316298702</v>
      </c>
      <c r="S214" s="810">
        <f t="shared" si="82"/>
        <v>-1</v>
      </c>
      <c r="T214" s="176">
        <f t="shared" si="83"/>
        <v>5</v>
      </c>
      <c r="U214" s="251">
        <f t="shared" si="84"/>
        <v>-0.4877232683701298</v>
      </c>
      <c r="V214" s="383">
        <f t="shared" si="85"/>
        <v>55.151675571727601</v>
      </c>
      <c r="W214" s="402">
        <f t="shared" si="86"/>
        <v>44.588932509427302</v>
      </c>
      <c r="X214" s="157">
        <f t="shared" si="87"/>
        <v>46587</v>
      </c>
      <c r="Y214" s="385">
        <f t="shared" si="88"/>
        <v>40.621000747449472</v>
      </c>
      <c r="Z214" s="385">
        <f t="shared" si="89"/>
        <v>43.836940056367595</v>
      </c>
      <c r="AA214" s="386">
        <f t="shared" si="90"/>
        <v>49.75592995566236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0.1189604918362332</v>
      </c>
      <c r="AD214" s="231">
        <f>(INDEX(Models!$BJ214:$BT214,,AH214)*(1-AF214)+INDEX(Models!$BJ214:$BT214,,AH214+1)*AF214-ERP_i)*AE214*Ramure*Pc/MaxiM</f>
        <v>4.591241731496926E-4</v>
      </c>
      <c r="AE214" s="305">
        <f t="shared" si="92"/>
        <v>0.7</v>
      </c>
      <c r="AF214" s="177">
        <f t="shared" si="93"/>
        <v>0.33226678472905391</v>
      </c>
      <c r="AG214" s="810">
        <f t="shared" si="99"/>
        <v>2</v>
      </c>
      <c r="AH214" s="176">
        <f t="shared" si="94"/>
        <v>8</v>
      </c>
      <c r="AI214" s="225">
        <f t="shared" si="95"/>
        <v>2.3322667847290539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43.396959803411498</v>
      </c>
      <c r="C215" s="840"/>
      <c r="D215" s="393">
        <f t="shared" si="77"/>
        <v>46.83375995046746</v>
      </c>
      <c r="E215" s="385">
        <f t="shared" si="75"/>
        <v>48.449211123901677</v>
      </c>
      <c r="F215" s="385">
        <f t="shared" si="78"/>
        <v>48.451647736002791</v>
      </c>
      <c r="G215" s="110">
        <f t="shared" si="76"/>
        <v>0.78873161048012252</v>
      </c>
      <c r="H215" s="414" t="b">
        <f>Wh_hp&gt;='2026'!Maxi_hp</f>
        <v>0</v>
      </c>
      <c r="I215" s="390">
        <f>IF(H215,Wh_hp,'2026'!Maxi_hp)</f>
        <v>60.24378453040314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7.3382964568525E-2</v>
      </c>
      <c r="M215" s="844"/>
      <c r="N215" s="844"/>
      <c r="O215" s="48">
        <f>IF(t&lt;Tnet,'2026'!Resal+('2026'!Salim-'2026'!Resal)*(1-EXP(('2026'!Tnet-t)/('2026'!Tau_j))),Resal+(Salim-Resal)*(1-EXP((Tnet-t)/(Tau_j))))*Salcycl</f>
        <v>3.3343188381394752E-2</v>
      </c>
      <c r="P215" s="169">
        <f>(INDEX(Models!$BJ215:$BT215,,T215)*(1-R215)+INDEX(Models!$BJ215:$BT215,,T215+1)*R215-ERP_i)*Q215*Ramure*Pc/MaxiM</f>
        <v>7.2026153236115438E-5</v>
      </c>
      <c r="Q215" s="305">
        <f t="shared" si="80"/>
        <v>0.7</v>
      </c>
      <c r="R215" s="177">
        <f t="shared" si="81"/>
        <v>0.51454271997821832</v>
      </c>
      <c r="S215" s="810">
        <f t="shared" si="82"/>
        <v>-1</v>
      </c>
      <c r="T215" s="176">
        <f t="shared" si="83"/>
        <v>5</v>
      </c>
      <c r="U215" s="251">
        <f t="shared" si="84"/>
        <v>-0.48545728002178168</v>
      </c>
      <c r="V215" s="383">
        <f t="shared" si="85"/>
        <v>55.020004114632904</v>
      </c>
      <c r="W215" s="402">
        <f t="shared" si="86"/>
        <v>43.396959803411498</v>
      </c>
      <c r="X215" s="157">
        <f t="shared" si="87"/>
        <v>46588</v>
      </c>
      <c r="Y215" s="385">
        <f t="shared" si="88"/>
        <v>39.538780003481449</v>
      </c>
      <c r="Z215" s="385">
        <f t="shared" si="89"/>
        <v>42.670033564697412</v>
      </c>
      <c r="AA215" s="386">
        <f t="shared" si="90"/>
        <v>48.435958157980863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0.1190422325181853</v>
      </c>
      <c r="AD215" s="231">
        <f>(INDEX(Models!$BJ215:$BT215,,AH215)*(1-AF215)+INDEX(Models!$BJ215:$BT215,,AH215+1)*AF215-ERP_i)*AE215*Ramure*Pc/MaxiM</f>
        <v>4.6378327937470214E-4</v>
      </c>
      <c r="AE215" s="305">
        <f t="shared" si="92"/>
        <v>0.7</v>
      </c>
      <c r="AF215" s="177">
        <f t="shared" si="93"/>
        <v>0.33453277307740237</v>
      </c>
      <c r="AG215" s="810">
        <f t="shared" si="99"/>
        <v>2</v>
      </c>
      <c r="AH215" s="176">
        <f t="shared" si="94"/>
        <v>8</v>
      </c>
      <c r="AI215" s="225">
        <f t="shared" si="95"/>
        <v>2.3345327730774024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50.399878413537195</v>
      </c>
      <c r="C216" s="840"/>
      <c r="D216" s="393">
        <f t="shared" si="77"/>
        <v>54.392536929955725</v>
      </c>
      <c r="E216" s="385">
        <f t="shared" si="75"/>
        <v>56.278709829845994</v>
      </c>
      <c r="F216" s="385">
        <f t="shared" si="78"/>
        <v>56.282311314254692</v>
      </c>
      <c r="G216" s="110">
        <f t="shared" si="76"/>
        <v>0.91828076093371602</v>
      </c>
      <c r="H216" s="414" t="b">
        <f>Wh_hp&gt;='2026'!Maxi_hp</f>
        <v>0</v>
      </c>
      <c r="I216" s="390">
        <f>IF(H216,Wh_hp,'2026'!Maxi_hp)</f>
        <v>56.282674780576194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7.3404528300639815E-2</v>
      </c>
      <c r="M216" s="844"/>
      <c r="N216" s="844"/>
      <c r="O216" s="48">
        <f>IF(t&lt;Tnet,'2026'!Resal+('2026'!Salim-'2026'!Resal)*(1-EXP(('2026'!Tnet-t)/('2026'!Tau_j))),Resal+(Salim-Resal)*(1-EXP((Tnet-t)/(Tau_j))))*Salcycl</f>
        <v>3.3514856783194921E-2</v>
      </c>
      <c r="P216" s="169">
        <f>(INDEX(Models!$BJ216:$BT216,,T216)*(1-R216)+INDEX(Models!$BJ216:$BT216,,T216+1)*R216-ERP_i)*Q216*Ramure*Pc/MaxiM</f>
        <v>7.2446342893463437E-5</v>
      </c>
      <c r="Q216" s="305">
        <f t="shared" si="80"/>
        <v>0.7</v>
      </c>
      <c r="R216" s="177">
        <f t="shared" si="81"/>
        <v>0.51674661818466627</v>
      </c>
      <c r="S216" s="810">
        <f t="shared" si="82"/>
        <v>-1</v>
      </c>
      <c r="T216" s="176">
        <f t="shared" si="83"/>
        <v>5</v>
      </c>
      <c r="U216" s="251">
        <f t="shared" si="84"/>
        <v>-0.48325338181533373</v>
      </c>
      <c r="V216" s="383">
        <f t="shared" si="85"/>
        <v>54.884578130366236</v>
      </c>
      <c r="W216" s="402">
        <f t="shared" si="86"/>
        <v>50.399878413537195</v>
      </c>
      <c r="X216" s="157">
        <f t="shared" si="87"/>
        <v>46589</v>
      </c>
      <c r="Y216" s="385">
        <f t="shared" si="88"/>
        <v>45.919523274791864</v>
      </c>
      <c r="Z216" s="385">
        <f t="shared" si="89"/>
        <v>49.557249821841076</v>
      </c>
      <c r="AA216" s="386">
        <f t="shared" si="90"/>
        <v>56.258997839457827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0.11912313185423323</v>
      </c>
      <c r="AD216" s="231">
        <f>(INDEX(Models!$BJ216:$BT216,,AH216)*(1-AF216)+INDEX(Models!$BJ216:$BT216,,AH216+1)*AF216-ERP_i)*AE216*Ramure*Pc/MaxiM</f>
        <v>4.6896662528737355E-4</v>
      </c>
      <c r="AE216" s="305">
        <f t="shared" si="92"/>
        <v>0.7</v>
      </c>
      <c r="AF216" s="177">
        <f t="shared" si="93"/>
        <v>0.33673667128384999</v>
      </c>
      <c r="AG216" s="810">
        <f t="shared" si="99"/>
        <v>2</v>
      </c>
      <c r="AH216" s="176">
        <f t="shared" si="94"/>
        <v>8</v>
      </c>
      <c r="AI216" s="225">
        <f t="shared" si="95"/>
        <v>2.33673667128385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38.505142267818513</v>
      </c>
      <c r="C217" s="840"/>
      <c r="D217" s="393">
        <f t="shared" si="77"/>
        <v>41.556471551674463</v>
      </c>
      <c r="E217" s="385">
        <f t="shared" si="75"/>
        <v>43.005149428303561</v>
      </c>
      <c r="F217" s="385">
        <f t="shared" si="78"/>
        <v>43.006958571493087</v>
      </c>
      <c r="G217" s="110">
        <f t="shared" si="76"/>
        <v>0.70332887231020436</v>
      </c>
      <c r="H217" s="414" t="b">
        <f>Wh_hp&gt;='2026'!Maxi_hp</f>
        <v>0</v>
      </c>
      <c r="I217" s="390">
        <f>IF(H217,Wh_hp,'2026'!Maxi_hp)</f>
        <v>55.15109317310074</v>
      </c>
      <c r="J217" s="85">
        <f>IF(H217,An,'2026'!An_max)</f>
        <v>2020</v>
      </c>
      <c r="K217" s="197">
        <f t="shared" si="79"/>
        <v>46590</v>
      </c>
      <c r="L217" s="147">
        <f>IF(t&lt;Tvie,1-EXP((T0-t)*PertePVj)+'2026'!Pspv,1-EXP((T0-t)*PertePVj)+Pspv)</f>
        <v>7.3426091530935156E-2</v>
      </c>
      <c r="M217" s="844"/>
      <c r="N217" s="844"/>
      <c r="O217" s="48">
        <f>IF(t&lt;Tnet,'2026'!Resal+('2026'!Salim-'2026'!Resal)*(1-EXP(('2026'!Tnet-t)/('2026'!Tau_j))),Resal+(Salim-Resal)*(1-EXP((Tnet-t)/(Tau_j))))*Salcycl</f>
        <v>3.3686149121380828E-2</v>
      </c>
      <c r="P217" s="169">
        <f>(INDEX(Models!$BJ217:$BT217,,T217)*(1-R217)+INDEX(Models!$BJ217:$BT217,,T217+1)*R217-ERP_i)*Q217*Ramure*Pc/MaxiM</f>
        <v>7.3004479271677799E-5</v>
      </c>
      <c r="Q217" s="305">
        <f t="shared" si="80"/>
        <v>0.7</v>
      </c>
      <c r="R217" s="177">
        <f t="shared" si="81"/>
        <v>0.51888915871048957</v>
      </c>
      <c r="S217" s="810">
        <f t="shared" si="82"/>
        <v>-1</v>
      </c>
      <c r="T217" s="176">
        <f t="shared" si="83"/>
        <v>5</v>
      </c>
      <c r="U217" s="251">
        <f t="shared" si="84"/>
        <v>-0.48111084128951043</v>
      </c>
      <c r="V217" s="383">
        <f t="shared" si="85"/>
        <v>54.745301173048496</v>
      </c>
      <c r="W217" s="402">
        <f t="shared" si="86"/>
        <v>38.505142267818513</v>
      </c>
      <c r="X217" s="157">
        <f t="shared" si="87"/>
        <v>46590</v>
      </c>
      <c r="Y217" s="385">
        <f t="shared" si="88"/>
        <v>35.089380606938654</v>
      </c>
      <c r="Z217" s="385">
        <f t="shared" si="89"/>
        <v>37.870028808511577</v>
      </c>
      <c r="AA217" s="386">
        <f t="shared" si="90"/>
        <v>42.99519536407859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0.1192032391565537</v>
      </c>
      <c r="AD217" s="231">
        <f>(INDEX(Models!$BJ217:$BT217,,AH217)*(1-AF217)+INDEX(Models!$BJ217:$BT217,,AH217+1)*AF217-ERP_i)*AE217*Ramure*Pc/MaxiM</f>
        <v>4.7468151599649284E-4</v>
      </c>
      <c r="AE217" s="305">
        <f t="shared" si="92"/>
        <v>0.7</v>
      </c>
      <c r="AF217" s="177">
        <f t="shared" si="93"/>
        <v>0.33887921180967329</v>
      </c>
      <c r="AG217" s="810">
        <f t="shared" si="99"/>
        <v>2</v>
      </c>
      <c r="AH217" s="176">
        <f t="shared" si="94"/>
        <v>8</v>
      </c>
      <c r="AI217" s="225">
        <f t="shared" si="95"/>
        <v>2.3388792118096733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50.160921846086318</v>
      </c>
      <c r="C218" s="840"/>
      <c r="D218" s="393">
        <f t="shared" si="77"/>
        <v>54.13716999010299</v>
      </c>
      <c r="E218" s="385">
        <f t="shared" si="75"/>
        <v>56.034328523884511</v>
      </c>
      <c r="F218" s="385">
        <f t="shared" si="78"/>
        <v>56.037978787810061</v>
      </c>
      <c r="G218" s="110">
        <f t="shared" si="76"/>
        <v>0.91865538996409934</v>
      </c>
      <c r="H218" s="414" t="b">
        <f>Wh_hp&gt;='2026'!Maxi_hp</f>
        <v>0</v>
      </c>
      <c r="I218" s="390">
        <f>IF(H218,Wh_hp,'2026'!Maxi_hp)</f>
        <v>57.142071976400118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7.3447654259422568E-2</v>
      </c>
      <c r="M218" s="844"/>
      <c r="N218" s="844"/>
      <c r="O218" s="48">
        <f>IF(t&lt;Tnet,'2026'!Resal+('2026'!Salim-'2026'!Resal)*(1-EXP(('2026'!Tnet-t)/('2026'!Tau_j))),Resal+(Salim-Resal)*(1-EXP((Tnet-t)/(Tau_j))))*Salcycl</f>
        <v>3.3857076255903742E-2</v>
      </c>
      <c r="P218" s="169">
        <f>(INDEX(Models!$BJ218:$BT218,,T218)*(1-R218)+INDEX(Models!$BJ218:$BT218,,T218+1)*R218-ERP_i)*Q218*Ramure*Pc/MaxiM</f>
        <v>7.3703060082251046E-5</v>
      </c>
      <c r="Q218" s="305">
        <f t="shared" si="80"/>
        <v>0.7</v>
      </c>
      <c r="R218" s="177">
        <f t="shared" si="81"/>
        <v>0.52097113451939525</v>
      </c>
      <c r="S218" s="810">
        <f t="shared" si="82"/>
        <v>-1</v>
      </c>
      <c r="T218" s="176">
        <f t="shared" si="83"/>
        <v>5</v>
      </c>
      <c r="U218" s="251">
        <f t="shared" si="84"/>
        <v>-0.47902886548060475</v>
      </c>
      <c r="V218" s="383">
        <f t="shared" si="85"/>
        <v>54.60207689447887</v>
      </c>
      <c r="W218" s="402">
        <f t="shared" si="86"/>
        <v>50.160921846086318</v>
      </c>
      <c r="X218" s="157">
        <f t="shared" si="87"/>
        <v>46591</v>
      </c>
      <c r="Y218" s="385">
        <f t="shared" si="88"/>
        <v>45.709277934759356</v>
      </c>
      <c r="Z218" s="385">
        <f t="shared" si="89"/>
        <v>49.332644987504416</v>
      </c>
      <c r="AA218" s="386">
        <f t="shared" si="90"/>
        <v>56.014159674956247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0.11928260151047326</v>
      </c>
      <c r="AD218" s="231">
        <f>(INDEX(Models!$BJ218:$BT218,,AH218)*(1-AF218)+INDEX(Models!$BJ218:$BT218,,AH218+1)*AF218-ERP_i)*AE218*Ramure*Pc/MaxiM</f>
        <v>4.8093549989135795E-4</v>
      </c>
      <c r="AE218" s="305">
        <f t="shared" si="92"/>
        <v>0.7</v>
      </c>
      <c r="AF218" s="177">
        <f t="shared" si="93"/>
        <v>0.34096118761857941</v>
      </c>
      <c r="AG218" s="810">
        <f t="shared" si="99"/>
        <v>2</v>
      </c>
      <c r="AH218" s="176">
        <f t="shared" si="94"/>
        <v>8</v>
      </c>
      <c r="AI218" s="225">
        <f t="shared" si="95"/>
        <v>2.3409611876185794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50.498509125520741</v>
      </c>
      <c r="C219" s="840"/>
      <c r="D219" s="393">
        <f t="shared" si="77"/>
        <v>54.502786117914134</v>
      </c>
      <c r="E219" s="385">
        <f t="shared" si="75"/>
        <v>56.422718558644718</v>
      </c>
      <c r="F219" s="385">
        <f t="shared" si="78"/>
        <v>56.426488266408427</v>
      </c>
      <c r="G219" s="110">
        <f t="shared" si="76"/>
        <v>0.92733936671667005</v>
      </c>
      <c r="H219" s="414" t="b">
        <f>Wh_hp&gt;='2026'!Maxi_hp</f>
        <v>0</v>
      </c>
      <c r="I219" s="390">
        <f>IF(H219,Wh_hp,'2026'!Maxi_hp)</f>
        <v>57.379495039905848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7.346921648611382E-2</v>
      </c>
      <c r="M219" s="844"/>
      <c r="N219" s="844"/>
      <c r="O219" s="48">
        <f>IF(t&lt;Tnet,'2026'!Resal+('2026'!Salim-'2026'!Resal)*(1-EXP(('2026'!Tnet-t)/('2026'!Tau_j))),Resal+(Salim-Resal)*(1-EXP((Tnet-t)/(Tau_j))))*Salcycl</f>
        <v>3.4027648609930822E-2</v>
      </c>
      <c r="P219" s="169">
        <f>(INDEX(Models!$BJ219:$BT219,,T219)*(1-R219)+INDEX(Models!$BJ219:$BT219,,T219+1)*R219-ERP_i)*Q219*Ramure*Pc/MaxiM</f>
        <v>7.4544429085657721E-5</v>
      </c>
      <c r="Q219" s="305">
        <f t="shared" si="80"/>
        <v>0.7</v>
      </c>
      <c r="R219" s="177">
        <f t="shared" si="81"/>
        <v>0.52299339375369702</v>
      </c>
      <c r="S219" s="810">
        <f t="shared" si="82"/>
        <v>-1</v>
      </c>
      <c r="T219" s="176">
        <f t="shared" si="83"/>
        <v>5</v>
      </c>
      <c r="U219" s="251">
        <f t="shared" si="84"/>
        <v>-0.47700660624630292</v>
      </c>
      <c r="V219" s="383">
        <f t="shared" si="85"/>
        <v>54.454841672994533</v>
      </c>
      <c r="W219" s="402">
        <f t="shared" si="86"/>
        <v>50.498509125520741</v>
      </c>
      <c r="X219" s="157">
        <f t="shared" si="87"/>
        <v>46592</v>
      </c>
      <c r="Y219" s="385">
        <f t="shared" si="88"/>
        <v>46.020441750167883</v>
      </c>
      <c r="Z219" s="385">
        <f t="shared" si="89"/>
        <v>49.669630592989535</v>
      </c>
      <c r="AA219" s="386">
        <f t="shared" si="90"/>
        <v>56.40182351776992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0.1193612636062972</v>
      </c>
      <c r="AD219" s="231">
        <f>(INDEX(Models!$BJ219:$BT219,,AH219)*(1-AF219)+INDEX(Models!$BJ219:$BT219,,AH219+1)*AF219-ERP_i)*AE219*Ramure*Pc/MaxiM</f>
        <v>4.8773531558574297E-4</v>
      </c>
      <c r="AE219" s="305">
        <f t="shared" si="92"/>
        <v>0.7</v>
      </c>
      <c r="AF219" s="177">
        <f t="shared" si="93"/>
        <v>0.34298344685288118</v>
      </c>
      <c r="AG219" s="810">
        <f t="shared" si="99"/>
        <v>2</v>
      </c>
      <c r="AH219" s="176">
        <f t="shared" si="94"/>
        <v>8</v>
      </c>
      <c r="AI219" s="225">
        <f t="shared" si="95"/>
        <v>2.3429834468528812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27.151896690840285</v>
      </c>
      <c r="C220" s="840"/>
      <c r="D220" s="393">
        <f t="shared" si="77"/>
        <v>29.30558709217507</v>
      </c>
      <c r="E220" s="385">
        <f t="shared" si="75"/>
        <v>30.343262214218139</v>
      </c>
      <c r="F220" s="385">
        <f t="shared" si="78"/>
        <v>30.343917045996033</v>
      </c>
      <c r="G220" s="110">
        <f t="shared" si="76"/>
        <v>0.49997423004558605</v>
      </c>
      <c r="H220" s="414" t="b">
        <f>Wh_hp&gt;='2026'!Maxi_hp</f>
        <v>0</v>
      </c>
      <c r="I220" s="390">
        <f>IF(H220,Wh_hp,'2026'!Maxi_hp)</f>
        <v>60.574640900410465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7.3490778211020569E-2</v>
      </c>
      <c r="M220" s="844"/>
      <c r="N220" s="844"/>
      <c r="O220" s="48">
        <f>IF(t&lt;Tnet,'2026'!Resal+('2026'!Salim-'2026'!Resal)*(1-EXP(('2026'!Tnet-t)/('2026'!Tau_j))),Resal+(Salim-Resal)*(1-EXP((Tnet-t)/(Tau_j))))*Salcycl</f>
        <v>3.419787611224074E-2</v>
      </c>
      <c r="P220" s="169">
        <f>(INDEX(Models!$BJ220:$BT220,,T220)*(1-R220)+INDEX(Models!$BJ220:$BT220,,T220+1)*R220-ERP_i)*Q220*Ramure*Pc/MaxiM</f>
        <v>7.5530703580381378E-5</v>
      </c>
      <c r="Q220" s="305">
        <f t="shared" si="80"/>
        <v>0.7</v>
      </c>
      <c r="R220" s="177">
        <f t="shared" si="81"/>
        <v>0.52495683454340503</v>
      </c>
      <c r="S220" s="810">
        <f t="shared" si="82"/>
        <v>-1</v>
      </c>
      <c r="T220" s="176">
        <f t="shared" si="83"/>
        <v>5</v>
      </c>
      <c r="U220" s="251">
        <f t="shared" si="84"/>
        <v>-0.47504316545659492</v>
      </c>
      <c r="V220" s="383">
        <f t="shared" si="85"/>
        <v>54.303662414387013</v>
      </c>
      <c r="W220" s="402">
        <f t="shared" si="86"/>
        <v>27.151896690840285</v>
      </c>
      <c r="X220" s="157">
        <f t="shared" si="87"/>
        <v>46593</v>
      </c>
      <c r="Y220" s="385">
        <f t="shared" si="88"/>
        <v>24.752505938621457</v>
      </c>
      <c r="Z220" s="385">
        <f t="shared" si="89"/>
        <v>26.715876492656278</v>
      </c>
      <c r="AA220" s="386">
        <f t="shared" si="90"/>
        <v>30.3396182790142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0.11943926759501944</v>
      </c>
      <c r="AD220" s="231">
        <f>(INDEX(Models!$BJ220:$BT220,,AH220)*(1-AF220)+INDEX(Models!$BJ220:$BT220,,AH220+1)*AF220-ERP_i)*AE220*Ramure*Pc/MaxiM</f>
        <v>4.9583558041534244E-4</v>
      </c>
      <c r="AE220" s="305">
        <f t="shared" si="92"/>
        <v>0.7</v>
      </c>
      <c r="AF220" s="177">
        <f t="shared" si="93"/>
        <v>0.34494688764258896</v>
      </c>
      <c r="AG220" s="810">
        <f t="shared" si="99"/>
        <v>2</v>
      </c>
      <c r="AH220" s="176">
        <f t="shared" si="94"/>
        <v>8</v>
      </c>
      <c r="AI220" s="225">
        <f t="shared" si="95"/>
        <v>2.344946887642589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56.692284514146074</v>
      </c>
      <c r="C221" s="840"/>
      <c r="D221" s="393">
        <f t="shared" si="77"/>
        <v>61.190544598858096</v>
      </c>
      <c r="E221" s="385">
        <f t="shared" si="75"/>
        <v>63.36837419081165</v>
      </c>
      <c r="F221" s="385">
        <f t="shared" si="78"/>
        <v>63.373229232524729</v>
      </c>
      <c r="G221" s="110">
        <f t="shared" si="76"/>
        <v>1.0469751951243975</v>
      </c>
      <c r="H221" s="414" t="b">
        <f>Wh_hp&gt;='2026'!Maxi_hp</f>
        <v>1</v>
      </c>
      <c r="I221" s="390">
        <f>IF(H221,Wh_hp,'2026'!Maxi_hp)</f>
        <v>63.373229232524729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7.3512339434154472E-2</v>
      </c>
      <c r="M221" s="844"/>
      <c r="N221" s="844"/>
      <c r="O221" s="48">
        <f>IF(t&lt;Tnet,'2026'!Resal+('2026'!Salim-'2026'!Resal)*(1-EXP(('2026'!Tnet-t)/('2026'!Tau_j))),Resal+(Salim-Resal)*(1-EXP((Tnet-t)/(Tau_j))))*Salcycl</f>
        <v>3.4367768145601836E-2</v>
      </c>
      <c r="P221" s="169">
        <f>(INDEX(Models!$BJ221:$BT221,,T221)*(1-R221)+INDEX(Models!$BJ221:$BT221,,T221+1)*R221-ERP_i)*Q221*Ramure*Pc/MaxiM</f>
        <v>7.6610293839756807E-5</v>
      </c>
      <c r="Q221" s="305">
        <f t="shared" si="80"/>
        <v>0.7</v>
      </c>
      <c r="R221" s="177">
        <f t="shared" si="81"/>
        <v>0.52686239996569229</v>
      </c>
      <c r="S221" s="810">
        <f t="shared" si="82"/>
        <v>-1</v>
      </c>
      <c r="T221" s="176">
        <f t="shared" si="83"/>
        <v>5</v>
      </c>
      <c r="U221" s="251">
        <f t="shared" si="84"/>
        <v>-0.47313760003430777</v>
      </c>
      <c r="V221" s="383">
        <f t="shared" si="85"/>
        <v>54.148641513336059</v>
      </c>
      <c r="W221" s="402">
        <f t="shared" si="86"/>
        <v>56.692284514146074</v>
      </c>
      <c r="X221" s="157">
        <f t="shared" si="87"/>
        <v>46594</v>
      </c>
      <c r="Y221" s="385">
        <f t="shared" si="88"/>
        <v>51.671030641607885</v>
      </c>
      <c r="Z221" s="385">
        <f t="shared" si="89"/>
        <v>55.77087838390657</v>
      </c>
      <c r="AA221" s="386">
        <f t="shared" si="90"/>
        <v>63.341207499168831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0.11951665296815815</v>
      </c>
      <c r="AD221" s="231">
        <f>(INDEX(Models!$BJ221:$BT221,,AH221)*(1-AF221)+INDEX(Models!$BJ221:$BT221,,AH221+1)*AF221-ERP_i)*AE221*Ramure*Pc/MaxiM</f>
        <v>5.0528801741195448E-4</v>
      </c>
      <c r="AE221" s="305">
        <f t="shared" si="92"/>
        <v>0.7</v>
      </c>
      <c r="AF221" s="177">
        <f t="shared" si="93"/>
        <v>0.346852453064876</v>
      </c>
      <c r="AG221" s="810">
        <f t="shared" si="99"/>
        <v>2</v>
      </c>
      <c r="AH221" s="176">
        <f t="shared" si="94"/>
        <v>8</v>
      </c>
      <c r="AI221" s="225">
        <f t="shared" si="95"/>
        <v>2.346852453064876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55.021166187868559</v>
      </c>
      <c r="C222" s="840"/>
      <c r="D222" s="393">
        <f t="shared" si="77"/>
        <v>59.388213121996628</v>
      </c>
      <c r="E222" s="385">
        <f t="shared" si="75"/>
        <v>61.512697676207601</v>
      </c>
      <c r="F222" s="385">
        <f t="shared" si="78"/>
        <v>61.51748279372427</v>
      </c>
      <c r="G222" s="110">
        <f t="shared" si="76"/>
        <v>1.0191015019691729</v>
      </c>
      <c r="H222" s="414" t="b">
        <f>Wh_hp&gt;='2026'!Maxi_hp</f>
        <v>1</v>
      </c>
      <c r="I222" s="390">
        <f>IF(H222,Wh_hp,'2026'!Maxi_hp)</f>
        <v>61.51748279372427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7.3533900155527188E-2</v>
      </c>
      <c r="M222" s="844"/>
      <c r="N222" s="844"/>
      <c r="O222" s="48">
        <f>IF(t&lt;Tnet,'2026'!Resal+('2026'!Salim-'2026'!Resal)*(1-EXP(('2026'!Tnet-t)/('2026'!Tau_j))),Resal+(Salim-Resal)*(1-EXP((Tnet-t)/(Tau_j))))*Salcycl</f>
        <v>3.4537333501351276E-2</v>
      </c>
      <c r="P222" s="169">
        <f>(INDEX(Models!$BJ222:$BT222,,T222)*(1-R222)+INDEX(Models!$BJ222:$BT222,,T222+1)*R222-ERP_i)*Q222*Ramure*Pc/MaxiM</f>
        <v>7.7784676800182425E-5</v>
      </c>
      <c r="Q222" s="305">
        <f t="shared" si="80"/>
        <v>0.7</v>
      </c>
      <c r="R222" s="177">
        <f t="shared" si="81"/>
        <v>0.52871107316966492</v>
      </c>
      <c r="S222" s="810">
        <f t="shared" si="82"/>
        <v>-1</v>
      </c>
      <c r="T222" s="176">
        <f t="shared" si="83"/>
        <v>5</v>
      </c>
      <c r="U222" s="251">
        <f t="shared" si="84"/>
        <v>-0.47128892683033508</v>
      </c>
      <c r="V222" s="383">
        <f t="shared" si="85"/>
        <v>53.989878418933884</v>
      </c>
      <c r="W222" s="402">
        <f t="shared" si="86"/>
        <v>55.021166187868559</v>
      </c>
      <c r="X222" s="157">
        <f t="shared" si="87"/>
        <v>46595</v>
      </c>
      <c r="Y222" s="385">
        <f t="shared" si="88"/>
        <v>50.151872140503094</v>
      </c>
      <c r="Z222" s="385">
        <f t="shared" si="89"/>
        <v>54.132441703935157</v>
      </c>
      <c r="AA222" s="386">
        <f t="shared" si="90"/>
        <v>61.485733041444405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0.11959345646172539</v>
      </c>
      <c r="AD222" s="231">
        <f>(INDEX(Models!$BJ222:$BT222,,AH222)*(1-AF222)+INDEX(Models!$BJ222:$BT222,,AH222+1)*AF222-ERP_i)*AE222*Ramure*Pc/MaxiM</f>
        <v>5.1610941862383075E-4</v>
      </c>
      <c r="AE222" s="305">
        <f t="shared" si="92"/>
        <v>0.7</v>
      </c>
      <c r="AF222" s="177">
        <f t="shared" si="93"/>
        <v>0.34870112626884886</v>
      </c>
      <c r="AG222" s="810">
        <f t="shared" si="99"/>
        <v>2</v>
      </c>
      <c r="AH222" s="176">
        <f t="shared" si="94"/>
        <v>8</v>
      </c>
      <c r="AI222" s="225">
        <f t="shared" si="95"/>
        <v>2.3487011262688489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44.052173730166835</v>
      </c>
      <c r="C223" s="840"/>
      <c r="D223" s="393">
        <f t="shared" si="77"/>
        <v>47.549714900370752</v>
      </c>
      <c r="E223" s="385">
        <f t="shared" si="75"/>
        <v>49.259338074774092</v>
      </c>
      <c r="F223" s="385">
        <f t="shared" si="78"/>
        <v>49.262222162871367</v>
      </c>
      <c r="G223" s="110">
        <f t="shared" si="76"/>
        <v>0.81837894481265827</v>
      </c>
      <c r="H223" s="414" t="b">
        <f>Wh_hp&gt;='2026'!Maxi_hp</f>
        <v>0</v>
      </c>
      <c r="I223" s="390">
        <f>IF(H223,Wh_hp,'2026'!Maxi_hp)</f>
        <v>57.712856761591276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7.3555460375150372E-2</v>
      </c>
      <c r="M223" s="844"/>
      <c r="N223" s="844"/>
      <c r="O223" s="48">
        <f>IF(t&lt;Tnet,'2026'!Resal+('2026'!Salim-'2026'!Resal)*(1-EXP(('2026'!Tnet-t)/('2026'!Tau_j))),Resal+(Salim-Resal)*(1-EXP((Tnet-t)/(Tau_j))))*Salcycl</f>
        <v>3.4706580340324283E-2</v>
      </c>
      <c r="P223" s="169">
        <f>(INDEX(Models!$BJ223:$BT223,,T223)*(1-R223)+INDEX(Models!$BJ223:$BT223,,T223+1)*R223-ERP_i)*Q223*Ramure*Pc/MaxiM</f>
        <v>7.905532845902267E-5</v>
      </c>
      <c r="Q223" s="305">
        <f t="shared" si="80"/>
        <v>0.7</v>
      </c>
      <c r="R223" s="177">
        <f t="shared" si="81"/>
        <v>0.53050387267893018</v>
      </c>
      <c r="S223" s="810">
        <f t="shared" si="82"/>
        <v>-1</v>
      </c>
      <c r="T223" s="176">
        <f t="shared" si="83"/>
        <v>5</v>
      </c>
      <c r="U223" s="251">
        <f t="shared" si="84"/>
        <v>-0.46949612732106988</v>
      </c>
      <c r="V223" s="383">
        <f t="shared" si="85"/>
        <v>53.827472541818487</v>
      </c>
      <c r="W223" s="402">
        <f t="shared" si="86"/>
        <v>44.052173730166835</v>
      </c>
      <c r="X223" s="157">
        <f t="shared" si="87"/>
        <v>46596</v>
      </c>
      <c r="Y223" s="385">
        <f t="shared" si="88"/>
        <v>40.161425211856589</v>
      </c>
      <c r="Z223" s="385">
        <f t="shared" si="89"/>
        <v>43.350058739748611</v>
      </c>
      <c r="AA223" s="386">
        <f t="shared" si="90"/>
        <v>49.242948163753184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0.11966971198410536</v>
      </c>
      <c r="AD223" s="231">
        <f>(INDEX(Models!$BJ223:$BT223,,AH223)*(1-AF223)+INDEX(Models!$BJ223:$BT223,,AH223+1)*AF223-ERP_i)*AE223*Ramure*Pc/MaxiM</f>
        <v>5.2831684734134111E-4</v>
      </c>
      <c r="AE223" s="305">
        <f t="shared" si="92"/>
        <v>0.7</v>
      </c>
      <c r="AF223" s="177">
        <f t="shared" si="93"/>
        <v>0.35049392577811389</v>
      </c>
      <c r="AG223" s="810">
        <f t="shared" si="99"/>
        <v>2</v>
      </c>
      <c r="AH223" s="176">
        <f t="shared" si="94"/>
        <v>8</v>
      </c>
      <c r="AI223" s="225">
        <f t="shared" si="95"/>
        <v>2.3504939257781139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32.359021556137961</v>
      </c>
      <c r="C224" s="840"/>
      <c r="D224" s="393">
        <f t="shared" si="77"/>
        <v>34.928992758132587</v>
      </c>
      <c r="E224" s="385">
        <f t="shared" si="75"/>
        <v>36.191178799201239</v>
      </c>
      <c r="F224" s="385">
        <f t="shared" si="78"/>
        <v>36.192438816815596</v>
      </c>
      <c r="G224" s="110">
        <f t="shared" si="76"/>
        <v>0.60299342381246257</v>
      </c>
      <c r="H224" s="414" t="b">
        <f>Wh_hp&gt;='2026'!Maxi_hp</f>
        <v>0</v>
      </c>
      <c r="I224" s="390">
        <f>IF(H224,Wh_hp,'2026'!Maxi_hp)</f>
        <v>59.638650832887429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7.3577020093035905E-2</v>
      </c>
      <c r="M224" s="844"/>
      <c r="N224" s="844"/>
      <c r="O224" s="48">
        <f>IF(t&lt;Tnet,'2026'!Resal+('2026'!Salim-'2026'!Resal)*(1-EXP(('2026'!Tnet-t)/('2026'!Tau_j))),Resal+(Salim-Resal)*(1-EXP((Tnet-t)/(Tau_j))))*Salcycl</f>
        <v>3.4875516160211721E-2</v>
      </c>
      <c r="P224" s="169">
        <f>(INDEX(Models!$BJ224:$BT224,,T224)*(1-R224)+INDEX(Models!$BJ224:$BT224,,T224+1)*R224-ERP_i)*Q224*Ramure*Pc/MaxiM</f>
        <v>8.0423724784959262E-5</v>
      </c>
      <c r="Q224" s="305">
        <f t="shared" si="80"/>
        <v>0.7</v>
      </c>
      <c r="R224" s="177">
        <f t="shared" si="81"/>
        <v>0.53224184788215689</v>
      </c>
      <c r="S224" s="810">
        <f t="shared" si="82"/>
        <v>-1</v>
      </c>
      <c r="T224" s="176">
        <f t="shared" si="83"/>
        <v>5</v>
      </c>
      <c r="U224" s="251">
        <f t="shared" si="84"/>
        <v>-0.46775815211784316</v>
      </c>
      <c r="V224" s="383">
        <f t="shared" si="85"/>
        <v>53.661523249566827</v>
      </c>
      <c r="W224" s="402">
        <f t="shared" si="86"/>
        <v>32.359021556137961</v>
      </c>
      <c r="X224" s="157">
        <f t="shared" si="87"/>
        <v>46597</v>
      </c>
      <c r="Y224" s="385">
        <f t="shared" si="88"/>
        <v>29.507577184691801</v>
      </c>
      <c r="Z224" s="385">
        <f t="shared" si="89"/>
        <v>31.851085114118277</v>
      </c>
      <c r="AA224" s="386">
        <f t="shared" si="90"/>
        <v>36.183948307507904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0.11974545056738853</v>
      </c>
      <c r="AD224" s="231">
        <f>(INDEX(Models!$BJ224:$BT224,,AH224)*(1-AF224)+INDEX(Models!$BJ224:$BT224,,AH224+1)*AF224-ERP_i)*AE224*Ramure*Pc/MaxiM</f>
        <v>5.4192764931719018E-4</v>
      </c>
      <c r="AE224" s="305">
        <f t="shared" si="92"/>
        <v>0.7</v>
      </c>
      <c r="AF224" s="177">
        <f t="shared" si="93"/>
        <v>0.35223190098134083</v>
      </c>
      <c r="AG224" s="810">
        <f t="shared" si="99"/>
        <v>2</v>
      </c>
      <c r="AH224" s="176">
        <f t="shared" si="94"/>
        <v>8</v>
      </c>
      <c r="AI224" s="225">
        <f t="shared" si="95"/>
        <v>2.3522319009813408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49.629948446604999</v>
      </c>
      <c r="C225" s="840"/>
      <c r="D225" s="393">
        <f t="shared" si="77"/>
        <v>53.572832832657603</v>
      </c>
      <c r="E225" s="385">
        <f t="shared" si="75"/>
        <v>55.51842885746079</v>
      </c>
      <c r="F225" s="385">
        <f t="shared" si="78"/>
        <v>55.522506692801358</v>
      </c>
      <c r="G225" s="110">
        <f t="shared" si="76"/>
        <v>0.92779123455333856</v>
      </c>
      <c r="H225" s="414" t="b">
        <f>Wh_hp&gt;='2026'!Maxi_hp</f>
        <v>0</v>
      </c>
      <c r="I225" s="390">
        <f>IF(H225,Wh_hp,'2026'!Maxi_hp)</f>
        <v>55.52287215107318</v>
      </c>
      <c r="J225" s="85">
        <f>IF(H225,An,'2026'!An_max)</f>
        <v>2025</v>
      </c>
      <c r="K225" s="197">
        <f t="shared" si="79"/>
        <v>46598</v>
      </c>
      <c r="L225" s="147">
        <f>IF(t&lt;Tvie,1-EXP((T0-t)*PertePVj)+'2026'!Pspv,1-EXP((T0-t)*PertePVj)+Pspv)</f>
        <v>7.3598579309195111E-2</v>
      </c>
      <c r="M225" s="844"/>
      <c r="N225" s="844"/>
      <c r="O225" s="48">
        <f>IF(t&lt;Tnet,'2026'!Resal+('2026'!Salim-'2026'!Resal)*(1-EXP(('2026'!Tnet-t)/('2026'!Tau_j))),Resal+(Salim-Resal)*(1-EXP((Tnet-t)/(Tau_j))))*Salcycl</f>
        <v>3.5044147769353405E-2</v>
      </c>
      <c r="P225" s="169">
        <f>(INDEX(Models!$BJ225:$BT225,,T225)*(1-R225)+INDEX(Models!$BJ225:$BT225,,T225+1)*R225-ERP_i)*Q225*Ramure*Pc/MaxiM</f>
        <v>8.1891342514355141E-5</v>
      </c>
      <c r="Q225" s="305">
        <f t="shared" si="80"/>
        <v>0.7</v>
      </c>
      <c r="R225" s="177">
        <f t="shared" si="81"/>
        <v>0.5339260747196628</v>
      </c>
      <c r="S225" s="810">
        <f t="shared" si="82"/>
        <v>-1</v>
      </c>
      <c r="T225" s="176">
        <f t="shared" si="83"/>
        <v>5</v>
      </c>
      <c r="U225" s="251">
        <f t="shared" si="84"/>
        <v>-0.4660739252803372</v>
      </c>
      <c r="V225" s="383">
        <f t="shared" si="85"/>
        <v>53.492129869721666</v>
      </c>
      <c r="W225" s="402">
        <f t="shared" si="86"/>
        <v>49.629948446604999</v>
      </c>
      <c r="X225" s="157">
        <f t="shared" si="87"/>
        <v>46598</v>
      </c>
      <c r="Y225" s="385">
        <f t="shared" si="88"/>
        <v>45.250401641359112</v>
      </c>
      <c r="Z225" s="385">
        <f t="shared" si="89"/>
        <v>48.845350007793066</v>
      </c>
      <c r="AA225" s="386">
        <f t="shared" si="90"/>
        <v>55.494772515945172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0.11982070034148799</v>
      </c>
      <c r="AD225" s="231">
        <f>(INDEX(Models!$BJ225:$BT225,,AH225)*(1-AF225)+INDEX(Models!$BJ225:$BT225,,AH225+1)*AF225-ERP_i)*AE225*Ramure*Pc/MaxiM</f>
        <v>5.5695946172368803E-4</v>
      </c>
      <c r="AE225" s="305">
        <f t="shared" si="92"/>
        <v>0.7</v>
      </c>
      <c r="AF225" s="177">
        <f t="shared" si="93"/>
        <v>0.35391612781884696</v>
      </c>
      <c r="AG225" s="810">
        <f t="shared" si="99"/>
        <v>2</v>
      </c>
      <c r="AH225" s="176">
        <f t="shared" si="94"/>
        <v>8</v>
      </c>
      <c r="AI225" s="225">
        <f t="shared" si="95"/>
        <v>2.353916127818847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52.87984013057244</v>
      </c>
      <c r="C226" s="840"/>
      <c r="D226" s="393">
        <f t="shared" si="77"/>
        <v>57.082242718184069</v>
      </c>
      <c r="E226" s="385">
        <f t="shared" si="75"/>
        <v>59.165610675748873</v>
      </c>
      <c r="F226" s="385">
        <f t="shared" si="78"/>
        <v>59.170497614764642</v>
      </c>
      <c r="G226" s="110">
        <f t="shared" si="76"/>
        <v>0.99175539146015745</v>
      </c>
      <c r="H226" s="414" t="b">
        <f>Wh_hp&gt;='2026'!Maxi_hp</f>
        <v>0</v>
      </c>
      <c r="I226" s="390">
        <f>IF(H226,Wh_hp,'2026'!Maxi_hp)</f>
        <v>59.170543131038947</v>
      </c>
      <c r="J226" s="85">
        <f>IF(H226,An,'2026'!An_max)</f>
        <v>2025</v>
      </c>
      <c r="K226" s="197">
        <f t="shared" si="79"/>
        <v>46599</v>
      </c>
      <c r="L226" s="147">
        <f>IF(t&lt;Tvie,1-EXP((T0-t)*PertePVj)+'2026'!Pspv,1-EXP((T0-t)*PertePVj)+Pspv)</f>
        <v>7.362013802363998E-2</v>
      </c>
      <c r="M226" s="844"/>
      <c r="N226" s="844"/>
      <c r="O226" s="48">
        <f>IF(t&lt;Tnet,'2026'!Resal+('2026'!Salim-'2026'!Resal)*(1-EXP(('2026'!Tnet-t)/('2026'!Tau_j))),Resal+(Salim-Resal)*(1-EXP((Tnet-t)/(Tau_j))))*Salcycl</f>
        <v>3.5212481266905044E-2</v>
      </c>
      <c r="P226" s="169">
        <f>(INDEX(Models!$BJ226:$BT226,,T226)*(1-R226)+INDEX(Models!$BJ226:$BT226,,T226+1)*R226-ERP_i)*Q226*Ramure*Pc/MaxiM</f>
        <v>8.3575035997736054E-5</v>
      </c>
      <c r="Q226" s="305">
        <f t="shared" si="80"/>
        <v>0.7</v>
      </c>
      <c r="R226" s="177">
        <f t="shared" si="81"/>
        <v>0.53555765157204127</v>
      </c>
      <c r="S226" s="810">
        <f t="shared" si="82"/>
        <v>-1</v>
      </c>
      <c r="T226" s="176">
        <f t="shared" si="83"/>
        <v>5</v>
      </c>
      <c r="U226" s="251">
        <f t="shared" si="84"/>
        <v>-0.46444234842795873</v>
      </c>
      <c r="V226" s="383">
        <f t="shared" si="85"/>
        <v>53.319385541658718</v>
      </c>
      <c r="W226" s="402">
        <f t="shared" si="86"/>
        <v>52.87984013057244</v>
      </c>
      <c r="X226" s="157">
        <f t="shared" si="87"/>
        <v>46599</v>
      </c>
      <c r="Y226" s="385">
        <f t="shared" si="88"/>
        <v>48.214966640668919</v>
      </c>
      <c r="Z226" s="385">
        <f t="shared" si="89"/>
        <v>52.046648054077949</v>
      </c>
      <c r="AA226" s="386">
        <f t="shared" si="90"/>
        <v>59.136894831821884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0.11989548653015566</v>
      </c>
      <c r="AD226" s="231">
        <f>(INDEX(Models!$BJ226:$BT226,,AH226)*(1-AF226)+INDEX(Models!$BJ226:$BT226,,AH226+1)*AF226-ERP_i)*AE226*Ramure*Pc/MaxiM</f>
        <v>5.7466520146855118E-4</v>
      </c>
      <c r="AE226" s="305">
        <f t="shared" si="92"/>
        <v>0.7</v>
      </c>
      <c r="AF226" s="177">
        <f t="shared" si="93"/>
        <v>0.35554770467122498</v>
      </c>
      <c r="AG226" s="810">
        <f t="shared" si="99"/>
        <v>2</v>
      </c>
      <c r="AH226" s="176">
        <f t="shared" si="94"/>
        <v>8</v>
      </c>
      <c r="AI226" s="225">
        <f t="shared" si="95"/>
        <v>2.355547704671225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52.562143495480399</v>
      </c>
      <c r="C227" s="840"/>
      <c r="D227" s="393">
        <f t="shared" si="77"/>
        <v>56.740618918112339</v>
      </c>
      <c r="E227" s="385">
        <f t="shared" si="75"/>
        <v>58.821763621730142</v>
      </c>
      <c r="F227" s="385">
        <f t="shared" si="78"/>
        <v>58.826708437427051</v>
      </c>
      <c r="G227" s="110">
        <f t="shared" si="76"/>
        <v>0.98906127970515401</v>
      </c>
      <c r="H227" s="414" t="b">
        <f>Wh_hp&gt;='2026'!Maxi_hp</f>
        <v>0</v>
      </c>
      <c r="I227" s="390">
        <f>IF(H227,Wh_hp,'2026'!Maxi_hp)</f>
        <v>58.826769949813105</v>
      </c>
      <c r="J227" s="85">
        <f>IF(H227,An,'2026'!An_max)</f>
        <v>2025</v>
      </c>
      <c r="K227" s="197">
        <f t="shared" si="79"/>
        <v>46600</v>
      </c>
      <c r="L227" s="147">
        <f>IF(t&lt;Tvie,1-EXP((T0-t)*PertePVj)+'2026'!Pspv,1-EXP((T0-t)*PertePVj)+Pspv)</f>
        <v>7.3641696236382059E-2</v>
      </c>
      <c r="M227" s="844"/>
      <c r="N227" s="844"/>
      <c r="O227" s="48">
        <f>IF(t&lt;Tnet,'2026'!Resal+('2026'!Salim-'2026'!Resal)*(1-EXP(('2026'!Tnet-t)/('2026'!Tau_j))),Resal+(Salim-Resal)*(1-EXP((Tnet-t)/(Tau_j))))*Salcycl</f>
        <v>3.5380522029247297E-2</v>
      </c>
      <c r="P227" s="169">
        <f>(INDEX(Models!$BJ227:$BT227,,T227)*(1-R227)+INDEX(Models!$BJ227:$BT227,,T227+1)*R227-ERP_i)*Q227*Ramure*Pc/MaxiM</f>
        <v>8.5391555015694586E-5</v>
      </c>
      <c r="Q227" s="305">
        <f t="shared" si="80"/>
        <v>0.7</v>
      </c>
      <c r="R227" s="177">
        <f t="shared" si="81"/>
        <v>0.53713769535497669</v>
      </c>
      <c r="S227" s="810">
        <f t="shared" si="82"/>
        <v>-1</v>
      </c>
      <c r="T227" s="176">
        <f t="shared" si="83"/>
        <v>5</v>
      </c>
      <c r="U227" s="251">
        <f t="shared" si="84"/>
        <v>-0.46286230464502337</v>
      </c>
      <c r="V227" s="383">
        <f t="shared" si="85"/>
        <v>53.143394082940212</v>
      </c>
      <c r="W227" s="402">
        <f t="shared" si="86"/>
        <v>52.562143495480399</v>
      </c>
      <c r="X227" s="157">
        <f t="shared" si="87"/>
        <v>46600</v>
      </c>
      <c r="Y227" s="385">
        <f t="shared" si="88"/>
        <v>47.928834197536112</v>
      </c>
      <c r="Z227" s="385">
        <f t="shared" si="89"/>
        <v>51.738980481753501</v>
      </c>
      <c r="AA227" s="386">
        <f t="shared" si="90"/>
        <v>58.792280460168584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0.11996983146781744</v>
      </c>
      <c r="AD227" s="231">
        <f>(INDEX(Models!$BJ227:$BT227,,AH227)*(1-AF227)+INDEX(Models!$BJ227:$BT227,,AH227+1)*AF227-ERP_i)*AE227*Ramure*Pc/MaxiM</f>
        <v>5.9453348604785806E-4</v>
      </c>
      <c r="AE227" s="305">
        <f t="shared" si="92"/>
        <v>0.7</v>
      </c>
      <c r="AF227" s="177">
        <f t="shared" si="93"/>
        <v>0.35712774845416062</v>
      </c>
      <c r="AG227" s="810">
        <f t="shared" si="99"/>
        <v>2</v>
      </c>
      <c r="AH227" s="176">
        <f t="shared" si="94"/>
        <v>8</v>
      </c>
      <c r="AI227" s="225">
        <f t="shared" si="95"/>
        <v>2.3571277484541606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52.322916020805863</v>
      </c>
      <c r="C228" s="840"/>
      <c r="D228" s="393">
        <f t="shared" si="77"/>
        <v>56.48368829561327</v>
      </c>
      <c r="E228" s="385">
        <f t="shared" si="75"/>
        <v>58.565594123631676</v>
      </c>
      <c r="F228" s="385">
        <f t="shared" si="78"/>
        <v>58.570621335518133</v>
      </c>
      <c r="G228" s="110">
        <f t="shared" si="76"/>
        <v>0.9878896104451611</v>
      </c>
      <c r="H228" s="414" t="b">
        <f>Wh_hp&gt;='2026'!Maxi_hp</f>
        <v>0</v>
      </c>
      <c r="I228" s="390">
        <f>IF(H228,Wh_hp,'2026'!Maxi_hp)</f>
        <v>58.570690865844924</v>
      </c>
      <c r="J228" s="85">
        <f>IF(H228,An,'2026'!An_max)</f>
        <v>2025</v>
      </c>
      <c r="K228" s="197">
        <f t="shared" si="79"/>
        <v>46601</v>
      </c>
      <c r="L228" s="147">
        <f>IF(t&lt;Tvie,1-EXP((T0-t)*PertePVj)+'2026'!Pspv,1-EXP((T0-t)*PertePVj)+Pspv)</f>
        <v>7.3663253947433005E-2</v>
      </c>
      <c r="M228" s="844"/>
      <c r="N228" s="844"/>
      <c r="O228" s="48">
        <f>IF(t&lt;Tnet,'2026'!Resal+('2026'!Salim-'2026'!Resal)*(1-EXP(('2026'!Tnet-t)/('2026'!Tau_j))),Resal+(Salim-Resal)*(1-EXP((Tnet-t)/(Tau_j))))*Salcycl</f>
        <v>3.5548274702439063E-2</v>
      </c>
      <c r="P228" s="169">
        <f>(INDEX(Models!$BJ228:$BT228,,T228)*(1-R228)+INDEX(Models!$BJ228:$BT228,,T228+1)*R228-ERP_i)*Q228*Ramure*Pc/MaxiM</f>
        <v>8.7342517688526573E-5</v>
      </c>
      <c r="Q228" s="305">
        <f t="shared" si="80"/>
        <v>0.7</v>
      </c>
      <c r="R228" s="177">
        <f t="shared" si="81"/>
        <v>0.53866733782268605</v>
      </c>
      <c r="S228" s="810">
        <f t="shared" si="82"/>
        <v>-1</v>
      </c>
      <c r="T228" s="176">
        <f t="shared" si="83"/>
        <v>5</v>
      </c>
      <c r="U228" s="251">
        <f t="shared" si="84"/>
        <v>-0.46133266217731395</v>
      </c>
      <c r="V228" s="383">
        <f t="shared" si="85"/>
        <v>52.964254717064144</v>
      </c>
      <c r="W228" s="402">
        <f t="shared" si="86"/>
        <v>52.322916020805863</v>
      </c>
      <c r="X228" s="157">
        <f t="shared" si="87"/>
        <v>46601</v>
      </c>
      <c r="Y228" s="385">
        <f t="shared" si="88"/>
        <v>47.714081854699799</v>
      </c>
      <c r="Z228" s="385">
        <f t="shared" si="89"/>
        <v>51.508354880690611</v>
      </c>
      <c r="AA228" s="386">
        <f t="shared" si="90"/>
        <v>58.535131890997313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0.12004375463596448</v>
      </c>
      <c r="AD228" s="231">
        <f>(INDEX(Models!$BJ228:$BT228,,AH228)*(1-AF228)+INDEX(Models!$BJ228:$BT228,,AH228+1)*AF228-ERP_i)*AE228*Ramure*Pc/MaxiM</f>
        <v>6.1659176215844453E-4</v>
      </c>
      <c r="AE228" s="305">
        <f t="shared" si="92"/>
        <v>0.7</v>
      </c>
      <c r="AF228" s="177">
        <f t="shared" si="93"/>
        <v>0.35865739092186999</v>
      </c>
      <c r="AG228" s="810">
        <f t="shared" si="99"/>
        <v>2</v>
      </c>
      <c r="AH228" s="176">
        <f t="shared" si="94"/>
        <v>8</v>
      </c>
      <c r="AI228" s="225">
        <f t="shared" si="95"/>
        <v>2.35865739092187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48.070776936238595</v>
      </c>
      <c r="C229" s="840"/>
      <c r="D229" s="393">
        <f t="shared" si="77"/>
        <v>51.894622386868697</v>
      </c>
      <c r="E229" s="385">
        <f t="shared" si="75"/>
        <v>53.816726780448207</v>
      </c>
      <c r="F229" s="385">
        <f t="shared" si="78"/>
        <v>53.820926217927585</v>
      </c>
      <c r="G229" s="110">
        <f t="shared" si="76"/>
        <v>0.91073032540106991</v>
      </c>
      <c r="H229" s="414" t="b">
        <f>Wh_hp&gt;='2026'!Maxi_hp</f>
        <v>0</v>
      </c>
      <c r="I229" s="390">
        <f>IF(H229,Wh_hp,'2026'!Maxi_hp)</f>
        <v>56.763758259198227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7.3684811156804586E-2</v>
      </c>
      <c r="M229" s="844"/>
      <c r="N229" s="844"/>
      <c r="O229" s="48">
        <f>IF(t&lt;Tnet,'2026'!Resal+('2026'!Salim-'2026'!Resal)*(1-EXP(('2026'!Tnet-t)/('2026'!Tau_j))),Resal+(Salim-Resal)*(1-EXP((Tnet-t)/(Tau_j))))*Salcycl</f>
        <v>3.5715743200454467E-2</v>
      </c>
      <c r="P229" s="169">
        <f>(INDEX(Models!$BJ229:$BT229,,T229)*(1-R229)+INDEX(Models!$BJ229:$BT229,,T229+1)*R229-ERP_i)*Q229*Ramure*Pc/MaxiM</f>
        <v>8.9429565696502215E-5</v>
      </c>
      <c r="Q229" s="305">
        <f t="shared" si="80"/>
        <v>0.7</v>
      </c>
      <c r="R229" s="177">
        <f t="shared" si="81"/>
        <v>0.54014772208086437</v>
      </c>
      <c r="S229" s="810">
        <f t="shared" si="82"/>
        <v>-1</v>
      </c>
      <c r="T229" s="176">
        <f t="shared" si="83"/>
        <v>5</v>
      </c>
      <c r="U229" s="251">
        <f t="shared" si="84"/>
        <v>-0.45985227791913558</v>
      </c>
      <c r="V229" s="383">
        <f t="shared" si="85"/>
        <v>52.782066633492491</v>
      </c>
      <c r="W229" s="402">
        <f t="shared" si="86"/>
        <v>48.070776936238595</v>
      </c>
      <c r="X229" s="157">
        <f t="shared" si="87"/>
        <v>46602</v>
      </c>
      <c r="Y229" s="385">
        <f t="shared" si="88"/>
        <v>43.84214981365318</v>
      </c>
      <c r="Z229" s="385">
        <f t="shared" si="89"/>
        <v>47.329624237733064</v>
      </c>
      <c r="AA229" s="386">
        <f t="shared" si="90"/>
        <v>53.790832312300104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0.12011727271767055</v>
      </c>
      <c r="AD229" s="231">
        <f>(INDEX(Models!$BJ229:$BT229,,AH229)*(1-AF229)+INDEX(Models!$BJ229:$BT229,,AH229+1)*AF229-ERP_i)*AE229*Ramure*Pc/MaxiM</f>
        <v>6.4086795519492266E-4</v>
      </c>
      <c r="AE229" s="305">
        <f t="shared" si="92"/>
        <v>0.7</v>
      </c>
      <c r="AF229" s="177">
        <f t="shared" si="93"/>
        <v>0.36013777518004852</v>
      </c>
      <c r="AG229" s="810">
        <f t="shared" si="99"/>
        <v>2</v>
      </c>
      <c r="AH229" s="176">
        <f t="shared" si="94"/>
        <v>8</v>
      </c>
      <c r="AI229" s="225">
        <f t="shared" si="95"/>
        <v>2.3601377751800485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47.832852917221309</v>
      </c>
      <c r="C230" s="840"/>
      <c r="D230" s="393">
        <f t="shared" si="77"/>
        <v>51.63897414143581</v>
      </c>
      <c r="E230" s="385">
        <f t="shared" si="75"/>
        <v>53.560896063591294</v>
      </c>
      <c r="F230" s="385">
        <f t="shared" si="78"/>
        <v>53.565170278787356</v>
      </c>
      <c r="G230" s="110">
        <f t="shared" si="76"/>
        <v>0.90941213708796487</v>
      </c>
      <c r="H230" s="414" t="b">
        <f>Wh_hp&gt;='2026'!Maxi_hp</f>
        <v>0</v>
      </c>
      <c r="I230" s="390">
        <f>IF(H230,Wh_hp,'2026'!Maxi_hp)</f>
        <v>53.565671650071039</v>
      </c>
      <c r="J230" s="85">
        <f>IF(H230,An,'2026'!An_max)</f>
        <v>2025</v>
      </c>
      <c r="K230" s="197">
        <f t="shared" si="79"/>
        <v>46603</v>
      </c>
      <c r="L230" s="147">
        <f>IF(t&lt;Tvie,1-EXP((T0-t)*PertePVj)+'2026'!Pspv,1-EXP((T0-t)*PertePVj)+Pspv)</f>
        <v>7.3706367864508349E-2</v>
      </c>
      <c r="M230" s="844"/>
      <c r="N230" s="844"/>
      <c r="O230" s="48">
        <f>IF(t&lt;Tnet,'2026'!Resal+('2026'!Salim-'2026'!Resal)*(1-EXP(('2026'!Tnet-t)/('2026'!Tau_j))),Resal+(Salim-Resal)*(1-EXP((Tnet-t)/(Tau_j))))*Salcycl</f>
        <v>3.5882930708882148E-2</v>
      </c>
      <c r="P230" s="169">
        <f>(INDEX(Models!$BJ230:$BT230,,T230)*(1-R230)+INDEX(Models!$BJ230:$BT230,,T230+1)*R230-ERP_i)*Q230*Ramure*Pc/MaxiM</f>
        <v>9.1654363977478E-5</v>
      </c>
      <c r="Q230" s="305">
        <f t="shared" si="80"/>
        <v>0.7</v>
      </c>
      <c r="R230" s="177">
        <f t="shared" si="81"/>
        <v>0.5415799993086059</v>
      </c>
      <c r="S230" s="810">
        <f t="shared" si="82"/>
        <v>-1</v>
      </c>
      <c r="T230" s="176">
        <f t="shared" si="83"/>
        <v>5</v>
      </c>
      <c r="U230" s="251">
        <f t="shared" si="84"/>
        <v>-0.4584200006913941</v>
      </c>
      <c r="V230" s="383">
        <f t="shared" si="85"/>
        <v>52.596928981194779</v>
      </c>
      <c r="W230" s="402">
        <f t="shared" si="86"/>
        <v>47.832852917221309</v>
      </c>
      <c r="X230" s="157">
        <f t="shared" si="87"/>
        <v>46603</v>
      </c>
      <c r="Y230" s="385">
        <f t="shared" si="88"/>
        <v>43.628215755162095</v>
      </c>
      <c r="Z230" s="385">
        <f t="shared" si="89"/>
        <v>47.099768627989953</v>
      </c>
      <c r="AA230" s="386">
        <f t="shared" si="90"/>
        <v>53.534047150942449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0.12019039966865691</v>
      </c>
      <c r="AD230" s="231">
        <f>(INDEX(Models!$BJ230:$BT230,,AH230)*(1-AF230)+INDEX(Models!$BJ230:$BT230,,AH230+1)*AF230-ERP_i)*AE230*Ramure*Pc/MaxiM</f>
        <v>6.6739046977400812E-4</v>
      </c>
      <c r="AE230" s="305">
        <f t="shared" si="92"/>
        <v>0.7</v>
      </c>
      <c r="AF230" s="177">
        <f t="shared" si="93"/>
        <v>0.36157005240778961</v>
      </c>
      <c r="AG230" s="810">
        <f t="shared" si="99"/>
        <v>2</v>
      </c>
      <c r="AH230" s="176">
        <f t="shared" si="94"/>
        <v>8</v>
      </c>
      <c r="AI230" s="225">
        <f t="shared" si="95"/>
        <v>2.3615700524077896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45.767949483876343</v>
      </c>
      <c r="C231" s="840"/>
      <c r="D231" s="393">
        <f t="shared" si="77"/>
        <v>49.410913567648763</v>
      </c>
      <c r="E231" s="385">
        <f t="shared" si="75"/>
        <v>51.258784532956291</v>
      </c>
      <c r="F231" s="385">
        <f t="shared" si="78"/>
        <v>51.262731724249385</v>
      </c>
      <c r="G231" s="110">
        <f t="shared" si="76"/>
        <v>0.87327028026935727</v>
      </c>
      <c r="H231" s="414" t="b">
        <f>Wh_hp&gt;='2026'!Maxi_hp</f>
        <v>0</v>
      </c>
      <c r="I231" s="390">
        <f>IF(H231,Wh_hp,'2026'!Maxi_hp)</f>
        <v>59.003544823424903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7.3727924070556061E-2</v>
      </c>
      <c r="M231" s="844"/>
      <c r="N231" s="844"/>
      <c r="O231" s="48">
        <f>IF(t&lt;Tnet,'2026'!Resal+('2026'!Salim-'2026'!Resal)*(1-EXP(('2026'!Tnet-t)/('2026'!Tau_j))),Resal+(Salim-Resal)*(1-EXP((Tnet-t)/(Tau_j))))*Salcycl</f>
        <v>3.6049839693710645E-2</v>
      </c>
      <c r="P231" s="169">
        <f>(INDEX(Models!$BJ231:$BT231,,T231)*(1-R231)+INDEX(Models!$BJ231:$BT231,,T231+1)*R231-ERP_i)*Q231*Ramure*Pc/MaxiM</f>
        <v>9.4018600201234979E-5</v>
      </c>
      <c r="Q231" s="305">
        <f t="shared" si="80"/>
        <v>0.7</v>
      </c>
      <c r="R231" s="177">
        <f t="shared" si="81"/>
        <v>0.54296532568751976</v>
      </c>
      <c r="S231" s="810">
        <f t="shared" si="82"/>
        <v>-1</v>
      </c>
      <c r="T231" s="176">
        <f t="shared" si="83"/>
        <v>5</v>
      </c>
      <c r="U231" s="251">
        <f t="shared" si="84"/>
        <v>-0.45703467431248024</v>
      </c>
      <c r="V231" s="383">
        <f t="shared" si="85"/>
        <v>52.408940870492948</v>
      </c>
      <c r="W231" s="402">
        <f t="shared" si="86"/>
        <v>45.767949483876343</v>
      </c>
      <c r="X231" s="157">
        <f t="shared" si="87"/>
        <v>46604</v>
      </c>
      <c r="Y231" s="385">
        <f t="shared" si="88"/>
        <v>41.748936145167583</v>
      </c>
      <c r="Z231" s="385">
        <f t="shared" si="89"/>
        <v>45.072001229526094</v>
      </c>
      <c r="AA231" s="386">
        <f t="shared" si="90"/>
        <v>51.233503593424174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0.12026314680319675</v>
      </c>
      <c r="AD231" s="231">
        <f>(INDEX(Models!$BJ231:$BT231,,AH231)*(1-AF231)+INDEX(Models!$BJ231:$BT231,,AH231+1)*AF231-ERP_i)*AE231*Ramure*Pc/MaxiM</f>
        <v>6.9618818614038515E-4</v>
      </c>
      <c r="AE231" s="305">
        <f t="shared" si="92"/>
        <v>0.7</v>
      </c>
      <c r="AF231" s="177">
        <f t="shared" si="93"/>
        <v>0.3629553787867037</v>
      </c>
      <c r="AG231" s="810">
        <f t="shared" si="99"/>
        <v>2</v>
      </c>
      <c r="AH231" s="176">
        <f t="shared" si="94"/>
        <v>8</v>
      </c>
      <c r="AI231" s="225">
        <f t="shared" si="95"/>
        <v>2.3629553787867037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47.943666491421936</v>
      </c>
      <c r="C232" s="840"/>
      <c r="D232" s="393">
        <f t="shared" si="77"/>
        <v>51.761014374138867</v>
      </c>
      <c r="E232" s="385">
        <f t="shared" si="75"/>
        <v>53.706058327199074</v>
      </c>
      <c r="F232" s="385">
        <f t="shared" si="78"/>
        <v>53.710636424080228</v>
      </c>
      <c r="G232" s="110">
        <f t="shared" si="76"/>
        <v>0.91813053715791793</v>
      </c>
      <c r="H232" s="414" t="b">
        <f>Wh_hp&gt;='2026'!Maxi_hp</f>
        <v>0</v>
      </c>
      <c r="I232" s="390">
        <f>IF(H232,Wh_hp,'2026'!Maxi_hp)</f>
        <v>58.033046610049119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7.374947977495927E-2</v>
      </c>
      <c r="M232" s="844"/>
      <c r="N232" s="844"/>
      <c r="O232" s="48">
        <f>IF(t&lt;Tnet,'2026'!Resal+('2026'!Salim-'2026'!Resal)*(1-EXP(('2026'!Tnet-t)/('2026'!Tau_j))),Resal+(Salim-Resal)*(1-EXP((Tnet-t)/(Tau_j))))*Salcycl</f>
        <v>3.6216471914773757E-2</v>
      </c>
      <c r="P232" s="169">
        <f>(INDEX(Models!$BJ232:$BT232,,T232)*(1-R232)+INDEX(Models!$BJ232:$BT232,,T232+1)*R232-ERP_i)*Q232*Ramure*Pc/MaxiM</f>
        <v>9.6523984044547139E-5</v>
      </c>
      <c r="Q232" s="305">
        <f t="shared" si="80"/>
        <v>0.7</v>
      </c>
      <c r="R232" s="177">
        <f t="shared" si="81"/>
        <v>0.54430485953514496</v>
      </c>
      <c r="S232" s="810">
        <f t="shared" si="82"/>
        <v>-1</v>
      </c>
      <c r="T232" s="176">
        <f t="shared" si="83"/>
        <v>5</v>
      </c>
      <c r="U232" s="251">
        <f t="shared" si="84"/>
        <v>-0.45569514046485504</v>
      </c>
      <c r="V232" s="383">
        <f t="shared" si="85"/>
        <v>52.218201369925097</v>
      </c>
      <c r="W232" s="402">
        <f t="shared" si="86"/>
        <v>47.943666491421936</v>
      </c>
      <c r="X232" s="157">
        <f t="shared" si="87"/>
        <v>46605</v>
      </c>
      <c r="Y232" s="385">
        <f t="shared" si="88"/>
        <v>43.734765974490635</v>
      </c>
      <c r="Z232" s="385">
        <f t="shared" si="89"/>
        <v>47.216994775738307</v>
      </c>
      <c r="AA232" s="386">
        <f t="shared" si="90"/>
        <v>53.67614130676931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0.1203355228930441</v>
      </c>
      <c r="AD232" s="231">
        <f>(INDEX(Models!$BJ232:$BT232,,AH232)*(1-AF232)+INDEX(Models!$BJ232:$BT232,,AH232+1)*AF232-ERP_i)*AE232*Ramure*Pc/MaxiM</f>
        <v>7.272904526424409E-4</v>
      </c>
      <c r="AE232" s="305">
        <f t="shared" si="92"/>
        <v>0.7</v>
      </c>
      <c r="AF232" s="177">
        <f t="shared" si="93"/>
        <v>0.36429491263432912</v>
      </c>
      <c r="AG232" s="810">
        <f t="shared" si="99"/>
        <v>2</v>
      </c>
      <c r="AH232" s="176">
        <f t="shared" si="94"/>
        <v>8</v>
      </c>
      <c r="AI232" s="225">
        <f t="shared" si="95"/>
        <v>2.3642949126343291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50.805476594096746</v>
      </c>
      <c r="C233" s="840"/>
      <c r="D233" s="393">
        <f t="shared" si="77"/>
        <v>54.851962649295018</v>
      </c>
      <c r="E233" s="385">
        <f t="shared" ref="E233:E296" si="100">Wh_pvt/(1-Psa)</f>
        <v>56.922981727990361</v>
      </c>
      <c r="F233" s="385">
        <f t="shared" si="78"/>
        <v>56.928438372189454</v>
      </c>
      <c r="G233" s="110">
        <f t="shared" ref="G233:G296" si="101">+Wh_hp/MaxiM</f>
        <v>0.97655587079117978</v>
      </c>
      <c r="H233" s="414" t="b">
        <f>Wh_hp&gt;='2026'!Maxi_hp</f>
        <v>0</v>
      </c>
      <c r="I233" s="390">
        <f>IF(H233,Wh_hp,'2026'!Maxi_hp)</f>
        <v>56.928588355876919</v>
      </c>
      <c r="J233" s="85">
        <f>IF(H233,An,'2026'!An_max)</f>
        <v>2025</v>
      </c>
      <c r="K233" s="197">
        <f t="shared" si="79"/>
        <v>46606</v>
      </c>
      <c r="L233" s="147">
        <f>IF(t&lt;Tvie,1-EXP((T0-t)*PertePVj)+'2026'!Pspv,1-EXP((T0-t)*PertePVj)+Pspv)</f>
        <v>7.3771034977729855E-2</v>
      </c>
      <c r="M233" s="844"/>
      <c r="N233" s="844"/>
      <c r="O233" s="48">
        <f>IF(t&lt;Tnet,'2026'!Resal+('2026'!Salim-'2026'!Resal)*(1-EXP(('2026'!Tnet-t)/('2026'!Tau_j))),Resal+(Salim-Resal)*(1-EXP((Tnet-t)/(Tau_j))))*Salcycl</f>
        <v>3.6382828443383808E-2</v>
      </c>
      <c r="P233" s="169">
        <f>(INDEX(Models!$BJ233:$BT233,,T233)*(1-R233)+INDEX(Models!$BJ233:$BT233,,T233+1)*R233-ERP_i)*Q233*Ramure*Pc/MaxiM</f>
        <v>9.917190526454295E-5</v>
      </c>
      <c r="Q233" s="305">
        <f t="shared" si="80"/>
        <v>0.7</v>
      </c>
      <c r="R233" s="177">
        <f t="shared" si="81"/>
        <v>0.54559975863879584</v>
      </c>
      <c r="S233" s="810">
        <f t="shared" si="82"/>
        <v>-1</v>
      </c>
      <c r="T233" s="176">
        <f t="shared" si="83"/>
        <v>5</v>
      </c>
      <c r="U233" s="251">
        <f t="shared" si="84"/>
        <v>-0.45440024136120416</v>
      </c>
      <c r="V233" s="383">
        <f t="shared" si="85"/>
        <v>52.02498840483269</v>
      </c>
      <c r="W233" s="402">
        <f t="shared" si="86"/>
        <v>50.805476594096746</v>
      </c>
      <c r="X233" s="157">
        <f t="shared" si="87"/>
        <v>46606</v>
      </c>
      <c r="Y233" s="385">
        <f t="shared" si="88"/>
        <v>46.345726774187675</v>
      </c>
      <c r="Z233" s="385">
        <f t="shared" si="89"/>
        <v>50.037008692632867</v>
      </c>
      <c r="AA233" s="386">
        <f t="shared" si="90"/>
        <v>56.886581732520185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0.12040753427748399</v>
      </c>
      <c r="AD233" s="231">
        <f>(INDEX(Models!$BJ233:$BT233,,AH233)*(1-AF233)+INDEX(Models!$BJ233:$BT233,,AH233+1)*AF233-ERP_i)*AE233*Ramure*Pc/MaxiM</f>
        <v>7.6072445857214429E-4</v>
      </c>
      <c r="AE233" s="305">
        <f t="shared" si="92"/>
        <v>0.7</v>
      </c>
      <c r="AF233" s="177">
        <f t="shared" si="93"/>
        <v>0.36558981173797989</v>
      </c>
      <c r="AG233" s="810">
        <f t="shared" si="99"/>
        <v>2</v>
      </c>
      <c r="AH233" s="176">
        <f t="shared" si="94"/>
        <v>8</v>
      </c>
      <c r="AI233" s="225">
        <f t="shared" si="95"/>
        <v>2.3655898117379799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51.100027990609426</v>
      </c>
      <c r="C234" s="840"/>
      <c r="D234" s="393">
        <f t="shared" si="77"/>
        <v>55.171257993814578</v>
      </c>
      <c r="E234" s="385">
        <f t="shared" si="100"/>
        <v>57.264202146160535</v>
      </c>
      <c r="F234" s="385">
        <f t="shared" si="78"/>
        <v>57.269939550928797</v>
      </c>
      <c r="G234" s="110">
        <f t="shared" si="101"/>
        <v>0.98592598202804194</v>
      </c>
      <c r="H234" s="414" t="b">
        <f>Wh_hp&gt;='2026'!Maxi_hp</f>
        <v>0</v>
      </c>
      <c r="I234" s="390">
        <f>IF(H234,Wh_hp,'2026'!Maxi_hp)</f>
        <v>57.2700330333167</v>
      </c>
      <c r="J234" s="85">
        <f>IF(H234,An,'2026'!An_max)</f>
        <v>2025</v>
      </c>
      <c r="K234" s="197">
        <f t="shared" si="79"/>
        <v>46607</v>
      </c>
      <c r="L234" s="147">
        <f>IF(t&lt;Tvie,1-EXP((T0-t)*PertePVj)+'2026'!Pspv,1-EXP((T0-t)*PertePVj)+Pspv)</f>
        <v>7.3792589678879361E-2</v>
      </c>
      <c r="M234" s="844"/>
      <c r="N234" s="844"/>
      <c r="O234" s="48">
        <f>IF(t&lt;Tnet,'2026'!Resal+('2026'!Salim-'2026'!Resal)*(1-EXP(('2026'!Tnet-t)/('2026'!Tau_j))),Resal+(Salim-Resal)*(1-EXP((Tnet-t)/(Tau_j))))*Salcycl</f>
        <v>3.6548909683644076E-2</v>
      </c>
      <c r="P234" s="169">
        <f>(INDEX(Models!$BJ234:$BT234,,T234)*(1-R234)+INDEX(Models!$BJ234:$BT234,,T234+1)*R234-ERP_i)*Q234*Ramure*Pc/MaxiM</f>
        <v>1.0223704031646814E-4</v>
      </c>
      <c r="Q234" s="305">
        <f t="shared" si="80"/>
        <v>0.7</v>
      </c>
      <c r="R234" s="177">
        <f t="shared" si="81"/>
        <v>0.54685117778513304</v>
      </c>
      <c r="S234" s="810">
        <f t="shared" si="82"/>
        <v>-1</v>
      </c>
      <c r="T234" s="176">
        <f t="shared" si="83"/>
        <v>5</v>
      </c>
      <c r="U234" s="251">
        <f t="shared" si="84"/>
        <v>-0.45314882221486696</v>
      </c>
      <c r="V234" s="383">
        <f t="shared" si="85"/>
        <v>51.829370447635519</v>
      </c>
      <c r="W234" s="402">
        <f t="shared" si="86"/>
        <v>51.100027990609426</v>
      </c>
      <c r="X234" s="157">
        <f t="shared" si="87"/>
        <v>46607</v>
      </c>
      <c r="Y234" s="385">
        <f t="shared" si="88"/>
        <v>46.6166817299301</v>
      </c>
      <c r="Z234" s="385">
        <f t="shared" si="89"/>
        <v>50.330715572409282</v>
      </c>
      <c r="AA234" s="386">
        <f t="shared" si="90"/>
        <v>57.225155690499555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0.12047918498253878</v>
      </c>
      <c r="AD234" s="231">
        <f>(INDEX(Models!$BJ234:$BT234,,AH234)*(1-AF234)+INDEX(Models!$BJ234:$BT234,,AH234+1)*AF234-ERP_i)*AE234*Ramure*Pc/MaxiM</f>
        <v>7.9802097449361089E-4</v>
      </c>
      <c r="AE234" s="305">
        <f t="shared" si="92"/>
        <v>0.7</v>
      </c>
      <c r="AF234" s="177">
        <f t="shared" si="93"/>
        <v>0.36684123088431697</v>
      </c>
      <c r="AG234" s="810">
        <f t="shared" si="99"/>
        <v>2</v>
      </c>
      <c r="AH234" s="176">
        <f t="shared" si="94"/>
        <v>8</v>
      </c>
      <c r="AI234" s="225">
        <f t="shared" si="95"/>
        <v>2.366841230884317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48.835885197737056</v>
      </c>
      <c r="C235" s="840"/>
      <c r="D235" s="393">
        <f t="shared" si="77"/>
        <v>52.727953979170202</v>
      </c>
      <c r="E235" s="385">
        <f t="shared" si="100"/>
        <v>54.737630504648948</v>
      </c>
      <c r="F235" s="385">
        <f t="shared" si="78"/>
        <v>54.742970593275174</v>
      </c>
      <c r="G235" s="110">
        <f t="shared" si="101"/>
        <v>0.94585308164001791</v>
      </c>
      <c r="H235" s="414" t="b">
        <f>Wh_hp&gt;='2026'!Maxi_hp</f>
        <v>0</v>
      </c>
      <c r="I235" s="390">
        <f>IF(H235,Wh_hp,'2026'!Maxi_hp)</f>
        <v>54.743326361399731</v>
      </c>
      <c r="J235" s="85">
        <f>IF(H235,An,'2026'!An_max)</f>
        <v>2025</v>
      </c>
      <c r="K235" s="197">
        <f t="shared" si="79"/>
        <v>46608</v>
      </c>
      <c r="L235" s="147">
        <f>IF(t&lt;Tvie,1-EXP((T0-t)*PertePVj)+'2026'!Pspv,1-EXP((T0-t)*PertePVj)+Pspv)</f>
        <v>7.3814143878419447E-2</v>
      </c>
      <c r="M235" s="844"/>
      <c r="N235" s="844"/>
      <c r="O235" s="48">
        <f>IF(t&lt;Tnet,'2026'!Resal+('2026'!Salim-'2026'!Resal)*(1-EXP(('2026'!Tnet-t)/('2026'!Tau_j))),Resal+(Salim-Resal)*(1-EXP((Tnet-t)/(Tau_j))))*Salcycl</f>
        <v>3.671471539689794E-2</v>
      </c>
      <c r="P235" s="169">
        <f>(INDEX(Models!$BJ235:$BT235,,T235)*(1-R235)+INDEX(Models!$BJ235:$BT235,,T235+1)*R235-ERP_i)*Q235*Ramure*Pc/MaxiM</f>
        <v>1.0572536836760088E-4</v>
      </c>
      <c r="Q235" s="305">
        <f t="shared" si="80"/>
        <v>0.7</v>
      </c>
      <c r="R235" s="177">
        <f t="shared" si="81"/>
        <v>0.5480602664800357</v>
      </c>
      <c r="S235" s="810">
        <f t="shared" si="82"/>
        <v>-1</v>
      </c>
      <c r="T235" s="176">
        <f t="shared" si="83"/>
        <v>5</v>
      </c>
      <c r="U235" s="251">
        <f t="shared" si="84"/>
        <v>-0.4519397335199643</v>
      </c>
      <c r="V235" s="383">
        <f t="shared" si="85"/>
        <v>51.631153692611008</v>
      </c>
      <c r="W235" s="402">
        <f t="shared" si="86"/>
        <v>48.835885197737056</v>
      </c>
      <c r="X235" s="157">
        <f t="shared" si="87"/>
        <v>46608</v>
      </c>
      <c r="Y235" s="385">
        <f t="shared" si="88"/>
        <v>44.555500688422548</v>
      </c>
      <c r="Z235" s="385">
        <f t="shared" si="89"/>
        <v>48.106436082925605</v>
      </c>
      <c r="AA235" s="386">
        <f t="shared" si="90"/>
        <v>54.700622169277288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0.12055047684732416</v>
      </c>
      <c r="AD235" s="231">
        <f>(INDEX(Models!$BJ235:$BT235,,AH235)*(1-AF235)+INDEX(Models!$BJ235:$BT235,,AH235+1)*AF235-ERP_i)*AE235*Ramure*Pc/MaxiM</f>
        <v>8.384322883656513E-4</v>
      </c>
      <c r="AE235" s="305">
        <f t="shared" si="92"/>
        <v>0.7</v>
      </c>
      <c r="AF235" s="177">
        <f t="shared" si="93"/>
        <v>0.36805031957921974</v>
      </c>
      <c r="AG235" s="810">
        <f t="shared" si="99"/>
        <v>2</v>
      </c>
      <c r="AH235" s="176">
        <f t="shared" si="94"/>
        <v>8</v>
      </c>
      <c r="AI235" s="225">
        <f t="shared" si="95"/>
        <v>2.3680503195792197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45.70863702527398</v>
      </c>
      <c r="C236" s="840"/>
      <c r="D236" s="393">
        <f t="shared" si="77"/>
        <v>49.352622321613005</v>
      </c>
      <c r="E236" s="385">
        <f t="shared" si="100"/>
        <v>51.242456663879175</v>
      </c>
      <c r="F236" s="385">
        <f t="shared" si="78"/>
        <v>51.247182575917314</v>
      </c>
      <c r="G236" s="110">
        <f t="shared" si="101"/>
        <v>0.88873638026565716</v>
      </c>
      <c r="H236" s="414" t="b">
        <f>Wh_hp&gt;='2026'!Maxi_hp</f>
        <v>0</v>
      </c>
      <c r="I236" s="390">
        <f>IF(H236,Wh_hp,'2026'!Maxi_hp)</f>
        <v>51.247892530119145</v>
      </c>
      <c r="J236" s="85">
        <f>IF(H236,An,'2026'!An_max)</f>
        <v>2025</v>
      </c>
      <c r="K236" s="197">
        <f t="shared" si="79"/>
        <v>46609</v>
      </c>
      <c r="L236" s="147">
        <f>IF(t&lt;Tvie,1-EXP((T0-t)*PertePVj)+'2026'!Pspv,1-EXP((T0-t)*PertePVj)+Pspv)</f>
        <v>7.3835697576361881E-2</v>
      </c>
      <c r="M236" s="844"/>
      <c r="N236" s="844"/>
      <c r="O236" s="48">
        <f>IF(t&lt;Tnet,'2026'!Resal+('2026'!Salim-'2026'!Resal)*(1-EXP(('2026'!Tnet-t)/('2026'!Tau_j))),Resal+(Salim-Resal)*(1-EXP((Tnet-t)/(Tau_j))))*Salcycl</f>
        <v>3.6880244728748825E-2</v>
      </c>
      <c r="P236" s="169">
        <f>(INDEX(Models!$BJ236:$BT236,,T236)*(1-R236)+INDEX(Models!$BJ236:$BT236,,T236+1)*R236-ERP_i)*Q236*Ramure*Pc/MaxiM</f>
        <v>1.0964311906076036E-4</v>
      </c>
      <c r="Q236" s="305">
        <f t="shared" si="80"/>
        <v>0.7</v>
      </c>
      <c r="R236" s="177">
        <f t="shared" si="81"/>
        <v>0.54922816685275344</v>
      </c>
      <c r="S236" s="810">
        <f t="shared" si="82"/>
        <v>-1</v>
      </c>
      <c r="T236" s="176">
        <f t="shared" si="83"/>
        <v>5</v>
      </c>
      <c r="U236" s="251">
        <f t="shared" si="84"/>
        <v>-0.45077183314724656</v>
      </c>
      <c r="V236" s="383">
        <f t="shared" si="85"/>
        <v>51.430144514999462</v>
      </c>
      <c r="W236" s="402">
        <f t="shared" si="86"/>
        <v>45.70863702527398</v>
      </c>
      <c r="X236" s="157">
        <f t="shared" si="87"/>
        <v>46609</v>
      </c>
      <c r="Y236" s="385">
        <f t="shared" si="88"/>
        <v>41.707256989573239</v>
      </c>
      <c r="Z236" s="385">
        <f t="shared" si="89"/>
        <v>45.032244149802985</v>
      </c>
      <c r="AA236" s="386">
        <f t="shared" si="90"/>
        <v>51.209165931778166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0.12062140965553302</v>
      </c>
      <c r="AD236" s="231">
        <f>(INDEX(Models!$BJ236:$BT236,,AH236)*(1-AF236)+INDEX(Models!$BJ236:$BT236,,AH236+1)*AF236-ERP_i)*AE236*Ramure*Pc/MaxiM</f>
        <v>8.8200190904939347E-4</v>
      </c>
      <c r="AE236" s="305">
        <f t="shared" si="92"/>
        <v>0.7</v>
      </c>
      <c r="AF236" s="177">
        <f t="shared" si="93"/>
        <v>0.3692182199519376</v>
      </c>
      <c r="AG236" s="810">
        <f t="shared" si="99"/>
        <v>2</v>
      </c>
      <c r="AH236" s="176">
        <f t="shared" si="94"/>
        <v>8</v>
      </c>
      <c r="AI236" s="225">
        <f t="shared" si="95"/>
        <v>2.3692182199519376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44.288024971851371</v>
      </c>
      <c r="C237" s="840"/>
      <c r="D237" s="393">
        <f t="shared" si="77"/>
        <v>47.819869030775934</v>
      </c>
      <c r="E237" s="385">
        <f t="shared" si="100"/>
        <v>49.659530999605998</v>
      </c>
      <c r="F237" s="385">
        <f t="shared" si="78"/>
        <v>49.664097106843968</v>
      </c>
      <c r="G237" s="110">
        <f t="shared" si="101"/>
        <v>0.86453985865989869</v>
      </c>
      <c r="H237" s="414" t="b">
        <f>Wh_hp&gt;='2026'!Maxi_hp</f>
        <v>0</v>
      </c>
      <c r="I237" s="390">
        <f>IF(H237,Wh_hp,'2026'!Maxi_hp)</f>
        <v>49.664967973125641</v>
      </c>
      <c r="J237" s="85">
        <f>IF(H237,An,'2026'!An_max)</f>
        <v>2025</v>
      </c>
      <c r="K237" s="197">
        <f t="shared" si="79"/>
        <v>46610</v>
      </c>
      <c r="L237" s="147">
        <f>IF(t&lt;Tvie,1-EXP((T0-t)*PertePVj)+'2026'!Pspv,1-EXP((T0-t)*PertePVj)+Pspv)</f>
        <v>7.3857250772718208E-2</v>
      </c>
      <c r="M237" s="844"/>
      <c r="N237" s="844"/>
      <c r="O237" s="48">
        <f>IF(t&lt;Tnet,'2026'!Resal+('2026'!Salim-'2026'!Resal)*(1-EXP(('2026'!Tnet-t)/('2026'!Tau_j))),Resal+(Salim-Resal)*(1-EXP((Tnet-t)/(Tau_j))))*Salcycl</f>
        <v>3.7045496238066723E-2</v>
      </c>
      <c r="P237" s="169">
        <f>(INDEX(Models!$BJ237:$BT237,,T237)*(1-R237)+INDEX(Models!$BJ237:$BT237,,T237+1)*R237-ERP_i)*Q237*Ramure*Pc/MaxiM</f>
        <v>1.1399671098447633E-4</v>
      </c>
      <c r="Q237" s="305">
        <f t="shared" si="80"/>
        <v>0.7</v>
      </c>
      <c r="R237" s="177">
        <f t="shared" si="81"/>
        <v>0.55035601173782744</v>
      </c>
      <c r="S237" s="810">
        <f t="shared" si="82"/>
        <v>-1</v>
      </c>
      <c r="T237" s="176">
        <f t="shared" si="83"/>
        <v>5</v>
      </c>
      <c r="U237" s="251">
        <f t="shared" si="84"/>
        <v>-0.44964398826217256</v>
      </c>
      <c r="V237" s="383">
        <f t="shared" si="85"/>
        <v>51.226149473002501</v>
      </c>
      <c r="W237" s="402">
        <f t="shared" si="86"/>
        <v>44.288024971851371</v>
      </c>
      <c r="X237" s="157">
        <f t="shared" si="87"/>
        <v>46610</v>
      </c>
      <c r="Y237" s="385">
        <f t="shared" si="88"/>
        <v>40.414393954259765</v>
      </c>
      <c r="Z237" s="385">
        <f t="shared" si="89"/>
        <v>43.637326954164593</v>
      </c>
      <c r="AA237" s="386">
        <f t="shared" si="90"/>
        <v>49.626895268386491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0.12069198127003115</v>
      </c>
      <c r="AD237" s="231">
        <f>(INDEX(Models!$BJ237:$BT237,,AH237)*(1-AF237)+INDEX(Models!$BJ237:$BT237,,AH237+1)*AF237-ERP_i)*AE237*Ramure*Pc/MaxiM</f>
        <v>9.2877521392093713E-4</v>
      </c>
      <c r="AE237" s="305">
        <f t="shared" si="92"/>
        <v>0.7</v>
      </c>
      <c r="AF237" s="177">
        <f t="shared" si="93"/>
        <v>0.37034606483701138</v>
      </c>
      <c r="AG237" s="810">
        <f t="shared" si="99"/>
        <v>2</v>
      </c>
      <c r="AH237" s="176">
        <f t="shared" si="94"/>
        <v>8</v>
      </c>
      <c r="AI237" s="225">
        <f t="shared" si="95"/>
        <v>2.3703460648370114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45.433996534397785</v>
      </c>
      <c r="C238" s="840"/>
      <c r="D238" s="393">
        <f t="shared" si="77"/>
        <v>49.058370226820955</v>
      </c>
      <c r="E238" s="385">
        <f t="shared" si="100"/>
        <v>50.954407575674637</v>
      </c>
      <c r="F238" s="385">
        <f t="shared" si="78"/>
        <v>50.959514509472484</v>
      </c>
      <c r="G238" s="110">
        <f t="shared" si="101"/>
        <v>0.89051479647468201</v>
      </c>
      <c r="H238" s="414" t="b">
        <f>Wh_hp&gt;='2026'!Maxi_hp</f>
        <v>0</v>
      </c>
      <c r="I238" s="390">
        <f>IF(H238,Wh_hp,'2026'!Maxi_hp)</f>
        <v>50.960266835429124</v>
      </c>
      <c r="J238" s="85">
        <f>IF(H238,An,'2026'!An_max)</f>
        <v>2025</v>
      </c>
      <c r="K238" s="197">
        <f t="shared" si="79"/>
        <v>46611</v>
      </c>
      <c r="L238" s="147">
        <f>IF(t&lt;Tvie,1-EXP((T0-t)*PertePVj)+'2026'!Pspv,1-EXP((T0-t)*PertePVj)+Pspv)</f>
        <v>7.3878803467500198E-2</v>
      </c>
      <c r="M238" s="844"/>
      <c r="N238" s="844"/>
      <c r="O238" s="48">
        <f>IF(t&lt;Tnet,'2026'!Resal+('2026'!Salim-'2026'!Resal)*(1-EXP(('2026'!Tnet-t)/('2026'!Tau_j))),Resal+(Salim-Resal)*(1-EXP((Tnet-t)/(Tau_j))))*Salcycl</f>
        <v>3.7210467927387671E-2</v>
      </c>
      <c r="P238" s="169">
        <f>(INDEX(Models!$BJ238:$BT238,,T238)*(1-R238)+INDEX(Models!$BJ238:$BT238,,T238+1)*R238-ERP_i)*Q238*Ramure*Pc/MaxiM</f>
        <v>1.1879277675664361E-4</v>
      </c>
      <c r="Q238" s="305">
        <f t="shared" si="80"/>
        <v>0.7</v>
      </c>
      <c r="R238" s="177">
        <f t="shared" si="81"/>
        <v>0.55144492292788028</v>
      </c>
      <c r="S238" s="810">
        <f t="shared" si="82"/>
        <v>-1</v>
      </c>
      <c r="T238" s="176">
        <f t="shared" si="83"/>
        <v>5</v>
      </c>
      <c r="U238" s="251">
        <f t="shared" si="84"/>
        <v>-0.44855507707211972</v>
      </c>
      <c r="V238" s="383">
        <f t="shared" si="85"/>
        <v>51.018975305344</v>
      </c>
      <c r="W238" s="402">
        <f t="shared" si="86"/>
        <v>45.433996534397785</v>
      </c>
      <c r="X238" s="157">
        <f t="shared" si="87"/>
        <v>46611</v>
      </c>
      <c r="Y238" s="385">
        <f t="shared" si="88"/>
        <v>41.461088944737739</v>
      </c>
      <c r="Z238" s="385">
        <f t="shared" si="89"/>
        <v>44.768534723071497</v>
      </c>
      <c r="AA238" s="386">
        <f t="shared" si="90"/>
        <v>50.917435647419886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0.12076218776858164</v>
      </c>
      <c r="AD238" s="231">
        <f>(INDEX(Models!$BJ238:$BT238,,AH238)*(1-AF238)+INDEX(Models!$BJ238:$BT238,,AH238+1)*AF238-ERP_i)*AE238*Ramure*Pc/MaxiM</f>
        <v>9.7879962103569577E-4</v>
      </c>
      <c r="AE238" s="305">
        <f t="shared" si="92"/>
        <v>0.7</v>
      </c>
      <c r="AF238" s="177">
        <f t="shared" si="93"/>
        <v>0.37143497602706432</v>
      </c>
      <c r="AG238" s="810">
        <f t="shared" si="99"/>
        <v>2</v>
      </c>
      <c r="AH238" s="176">
        <f t="shared" si="94"/>
        <v>8</v>
      </c>
      <c r="AI238" s="225">
        <f t="shared" si="95"/>
        <v>2.3714349760270643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33.194694181868151</v>
      </c>
      <c r="C239" s="840"/>
      <c r="D239" s="393">
        <f t="shared" si="77"/>
        <v>35.843544897969032</v>
      </c>
      <c r="E239" s="385">
        <f t="shared" si="100"/>
        <v>37.235216989071176</v>
      </c>
      <c r="F239" s="385">
        <f t="shared" si="78"/>
        <v>37.237548403792196</v>
      </c>
      <c r="G239" s="110">
        <f t="shared" si="101"/>
        <v>0.65329032287781696</v>
      </c>
      <c r="H239" s="414" t="b">
        <f>Wh_hp&gt;='2026'!Maxi_hp</f>
        <v>0</v>
      </c>
      <c r="I239" s="390">
        <f>IF(H239,Wh_hp,'2026'!Maxi_hp)</f>
        <v>49.519418885775274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7.3900355660719508E-2</v>
      </c>
      <c r="M239" s="844"/>
      <c r="N239" s="844"/>
      <c r="O239" s="48">
        <f>IF(t&lt;Tnet,'2026'!Resal+('2026'!Salim-'2026'!Resal)*(1-EXP(('2026'!Tnet-t)/('2026'!Tau_j))),Resal+(Salim-Resal)*(1-EXP((Tnet-t)/(Tau_j))))*Salcycl</f>
        <v>3.7375157274109866E-2</v>
      </c>
      <c r="P239" s="169">
        <f>(INDEX(Models!$BJ239:$BT239,,T239)*(1-R239)+INDEX(Models!$BJ239:$BT239,,T239+1)*R239-ERP_i)*Q239*Ramure*Pc/MaxiM</f>
        <v>1.2403818886819358E-4</v>
      </c>
      <c r="Q239" s="305">
        <f t="shared" si="80"/>
        <v>0.7</v>
      </c>
      <c r="R239" s="177">
        <f t="shared" si="81"/>
        <v>0.55249600959007517</v>
      </c>
      <c r="S239" s="810">
        <f t="shared" si="82"/>
        <v>-1</v>
      </c>
      <c r="T239" s="176">
        <f t="shared" si="83"/>
        <v>5</v>
      </c>
      <c r="U239" s="251">
        <f t="shared" si="84"/>
        <v>-0.44750399040992483</v>
      </c>
      <c r="V239" s="383">
        <f t="shared" si="85"/>
        <v>50.808428927750157</v>
      </c>
      <c r="W239" s="402">
        <f t="shared" si="86"/>
        <v>33.194694181868151</v>
      </c>
      <c r="X239" s="157">
        <f t="shared" si="87"/>
        <v>46612</v>
      </c>
      <c r="Y239" s="385">
        <f t="shared" si="88"/>
        <v>30.302910565829858</v>
      </c>
      <c r="Z239" s="385">
        <f t="shared" si="89"/>
        <v>32.721004430845305</v>
      </c>
      <c r="AA239" s="386">
        <f t="shared" si="90"/>
        <v>37.218148645541426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0.12083202357876707</v>
      </c>
      <c r="AD239" s="231">
        <f>(INDEX(Models!$BJ239:$BT239,,AH239)*(1-AF239)+INDEX(Models!$BJ239:$BT239,,AH239+1)*AF239-ERP_i)*AE239*Ramure*Pc/MaxiM</f>
        <v>1.032124767940119E-3</v>
      </c>
      <c r="AE239" s="305">
        <f t="shared" si="92"/>
        <v>0.7</v>
      </c>
      <c r="AF239" s="177">
        <f t="shared" si="93"/>
        <v>0.37248606268925899</v>
      </c>
      <c r="AG239" s="810">
        <f t="shared" si="99"/>
        <v>2</v>
      </c>
      <c r="AH239" s="176">
        <f t="shared" si="94"/>
        <v>8</v>
      </c>
      <c r="AI239" s="225">
        <f t="shared" si="95"/>
        <v>2.372486062689259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32.537438724821563</v>
      </c>
      <c r="C240" s="840"/>
      <c r="D240" s="393">
        <f t="shared" si="77"/>
        <v>35.134659790729536</v>
      </c>
      <c r="E240" s="385">
        <f t="shared" si="100"/>
        <v>36.505043092259569</v>
      </c>
      <c r="F240" s="385">
        <f t="shared" si="78"/>
        <v>36.507371098059359</v>
      </c>
      <c r="G240" s="110">
        <f t="shared" si="101"/>
        <v>0.6430621793058553</v>
      </c>
      <c r="H240" s="414" t="b">
        <f>Wh_hp&gt;='2026'!Maxi_hp</f>
        <v>0</v>
      </c>
      <c r="I240" s="390">
        <f>IF(H240,Wh_hp,'2026'!Maxi_hp)</f>
        <v>56.438545472421865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7.3921907352387795E-2</v>
      </c>
      <c r="M240" s="844"/>
      <c r="N240" s="844"/>
      <c r="O240" s="48">
        <f>IF(t&lt;Tnet,'2026'!Resal+('2026'!Salim-'2026'!Resal)*(1-EXP(('2026'!Tnet-t)/('2026'!Tau_j))),Resal+(Salim-Resal)*(1-EXP((Tnet-t)/(Tau_j))))*Salcycl</f>
        <v>3.753956126189608E-2</v>
      </c>
      <c r="P240" s="169">
        <f>(INDEX(Models!$BJ240:$BT240,,T240)*(1-R240)+INDEX(Models!$BJ240:$BT240,,T240+1)*R240-ERP_i)*Q240*Ramure*Pc/MaxiM</f>
        <v>1.3009922011575551E-4</v>
      </c>
      <c r="Q240" s="305">
        <f t="shared" si="80"/>
        <v>0.7</v>
      </c>
      <c r="R240" s="177">
        <f t="shared" si="81"/>
        <v>0.55351036683883437</v>
      </c>
      <c r="S240" s="810">
        <f t="shared" si="82"/>
        <v>-1</v>
      </c>
      <c r="T240" s="176">
        <f t="shared" si="83"/>
        <v>5</v>
      </c>
      <c r="U240" s="251">
        <f t="shared" si="84"/>
        <v>-0.44648963316116569</v>
      </c>
      <c r="V240" s="383">
        <f t="shared" si="85"/>
        <v>50.594299259903764</v>
      </c>
      <c r="W240" s="402">
        <f t="shared" si="86"/>
        <v>32.537438724821563</v>
      </c>
      <c r="X240" s="157">
        <f t="shared" si="87"/>
        <v>46613</v>
      </c>
      <c r="Y240" s="385">
        <f t="shared" si="88"/>
        <v>29.705269248553687</v>
      </c>
      <c r="Z240" s="385">
        <f t="shared" si="89"/>
        <v>32.076419347776351</v>
      </c>
      <c r="AA240" s="386">
        <f t="shared" si="90"/>
        <v>36.487855088791612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0.12090148161025702</v>
      </c>
      <c r="AD240" s="231">
        <f>(INDEX(Models!$BJ240:$BT240,,AH240)*(1-AF240)+INDEX(Models!$BJ240:$BT240,,AH240+1)*AF240-ERP_i)*AE240*Ramure*Pc/MaxiM</f>
        <v>1.0906405756114241E-3</v>
      </c>
      <c r="AE240" s="305">
        <f t="shared" si="92"/>
        <v>0.7</v>
      </c>
      <c r="AF240" s="177">
        <f t="shared" si="93"/>
        <v>0.37350041993801808</v>
      </c>
      <c r="AG240" s="810">
        <f t="shared" si="99"/>
        <v>2</v>
      </c>
      <c r="AH240" s="176">
        <f t="shared" si="94"/>
        <v>8</v>
      </c>
      <c r="AI240" s="225">
        <f t="shared" si="95"/>
        <v>2.3735004199380181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39.342173527672294</v>
      </c>
      <c r="C241" s="840"/>
      <c r="D241" s="393">
        <f t="shared" si="77"/>
        <v>42.483554476871596</v>
      </c>
      <c r="E241" s="385">
        <f t="shared" si="100"/>
        <v>44.148100159476016</v>
      </c>
      <c r="F241" s="385">
        <f t="shared" si="78"/>
        <v>44.152252193865323</v>
      </c>
      <c r="G241" s="110">
        <f t="shared" si="101"/>
        <v>0.78093092582982471</v>
      </c>
      <c r="H241" s="414" t="b">
        <f>Wh_hp&gt;='2026'!Maxi_hp</f>
        <v>0</v>
      </c>
      <c r="I241" s="390">
        <f>IF(H241,Wh_hp,'2026'!Maxi_hp)</f>
        <v>49.907980603306648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7.3943458542516716E-2</v>
      </c>
      <c r="M241" s="844"/>
      <c r="N241" s="844"/>
      <c r="O241" s="48">
        <f>IF(t&lt;Tnet,'2026'!Resal+('2026'!Salim-'2026'!Resal)*(1-EXP(('2026'!Tnet-t)/('2026'!Tau_j))),Resal+(Salim-Resal)*(1-EXP((Tnet-t)/(Tau_j))))*Salcycl</f>
        <v>3.7703676411704856E-2</v>
      </c>
      <c r="P241" s="169">
        <f>(INDEX(Models!$BJ241:$BT241,,T241)*(1-R241)+INDEX(Models!$BJ241:$BT241,,T241+1)*R241-ERP_i)*Q241*Ramure*Pc/MaxiM</f>
        <v>1.3686525504255016E-4</v>
      </c>
      <c r="Q241" s="305">
        <f t="shared" si="80"/>
        <v>0.7</v>
      </c>
      <c r="R241" s="177">
        <f t="shared" si="81"/>
        <v>0.55448907445726647</v>
      </c>
      <c r="S241" s="810">
        <f t="shared" si="82"/>
        <v>-1</v>
      </c>
      <c r="T241" s="176">
        <f t="shared" si="83"/>
        <v>5</v>
      </c>
      <c r="U241" s="251">
        <f t="shared" si="84"/>
        <v>-0.44551092554273353</v>
      </c>
      <c r="V241" s="383">
        <f t="shared" si="85"/>
        <v>50.376399743826553</v>
      </c>
      <c r="W241" s="402">
        <f t="shared" si="86"/>
        <v>39.342173527672294</v>
      </c>
      <c r="X241" s="157">
        <f t="shared" si="87"/>
        <v>46614</v>
      </c>
      <c r="Y241" s="385">
        <f t="shared" si="88"/>
        <v>35.912824594811511</v>
      </c>
      <c r="Z241" s="385">
        <f t="shared" si="89"/>
        <v>38.780380016850543</v>
      </c>
      <c r="AA241" s="386">
        <f t="shared" si="90"/>
        <v>44.117270662643328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0.12097055338266524</v>
      </c>
      <c r="AD241" s="231">
        <f>(INDEX(Models!$BJ241:$BT241,,AH241)*(1-AF241)+INDEX(Models!$BJ241:$BT241,,AH241+1)*AF241-ERP_i)*AE241*Ramure*Pc/MaxiM</f>
        <v>1.1531109195055472E-3</v>
      </c>
      <c r="AE241" s="305">
        <f t="shared" si="92"/>
        <v>0.7</v>
      </c>
      <c r="AF241" s="177">
        <f t="shared" si="93"/>
        <v>0.3744791275564503</v>
      </c>
      <c r="AG241" s="810">
        <f t="shared" si="99"/>
        <v>2</v>
      </c>
      <c r="AH241" s="176">
        <f t="shared" si="94"/>
        <v>8</v>
      </c>
      <c r="AI241" s="225">
        <f t="shared" si="95"/>
        <v>2.3744791275564503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33.825714752983906</v>
      </c>
      <c r="C242" s="840"/>
      <c r="D242" s="393">
        <f t="shared" si="77"/>
        <v>36.527469361496365</v>
      </c>
      <c r="E242" s="385">
        <f t="shared" si="100"/>
        <v>37.965113242084442</v>
      </c>
      <c r="F242" s="385">
        <f t="shared" si="78"/>
        <v>37.968044813100683</v>
      </c>
      <c r="G242" s="110">
        <f t="shared" si="101"/>
        <v>0.67438451508862562</v>
      </c>
      <c r="H242" s="414" t="b">
        <f>Wh_hp&gt;='2026'!Maxi_hp</f>
        <v>0</v>
      </c>
      <c r="I242" s="390">
        <f>IF(H242,Wh_hp,'2026'!Maxi_hp)</f>
        <v>54.750781223498663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7.396500923111804E-2</v>
      </c>
      <c r="M242" s="844"/>
      <c r="N242" s="844"/>
      <c r="O242" s="48">
        <f>IF(t&lt;Tnet,'2026'!Resal+('2026'!Salim-'2026'!Resal)*(1-EXP(('2026'!Tnet-t)/('2026'!Tau_j))),Resal+(Salim-Resal)*(1-EXP((Tnet-t)/(Tau_j))))*Salcycl</f>
        <v>3.7867498811894544E-2</v>
      </c>
      <c r="P242" s="169">
        <f>(INDEX(Models!$BJ242:$BT242,,T242)*(1-R242)+INDEX(Models!$BJ242:$BT242,,T242+1)*R242-ERP_i)*Q242*Ramure*Pc/MaxiM</f>
        <v>1.4434768497677064E-4</v>
      </c>
      <c r="Q242" s="305">
        <f t="shared" si="80"/>
        <v>0.7</v>
      </c>
      <c r="R242" s="177">
        <f t="shared" si="81"/>
        <v>0.55543319575968142</v>
      </c>
      <c r="S242" s="810">
        <f t="shared" si="82"/>
        <v>-1</v>
      </c>
      <c r="T242" s="176">
        <f t="shared" si="83"/>
        <v>5</v>
      </c>
      <c r="U242" s="251">
        <f t="shared" si="84"/>
        <v>-0.44456680424031852</v>
      </c>
      <c r="V242" s="383">
        <f t="shared" si="85"/>
        <v>50.154537793502854</v>
      </c>
      <c r="W242" s="402">
        <f t="shared" si="86"/>
        <v>33.825714752983906</v>
      </c>
      <c r="X242" s="157">
        <f t="shared" si="87"/>
        <v>46615</v>
      </c>
      <c r="Y242" s="385">
        <f t="shared" si="88"/>
        <v>30.883869778777335</v>
      </c>
      <c r="Z242" s="385">
        <f t="shared" si="89"/>
        <v>33.350650986886166</v>
      </c>
      <c r="AA242" s="386">
        <f t="shared" si="90"/>
        <v>37.943275846695919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0.12103922914736091</v>
      </c>
      <c r="AD242" s="231">
        <f>(INDEX(Models!$BJ242:$BT242,,AH242)*(1-AF242)+INDEX(Models!$BJ242:$BT242,,AH242+1)*AF242-ERP_i)*AE242*Ramure*Pc/MaxiM</f>
        <v>1.219599641279708E-3</v>
      </c>
      <c r="AE242" s="305">
        <f t="shared" si="92"/>
        <v>0.7</v>
      </c>
      <c r="AF242" s="177">
        <f t="shared" si="93"/>
        <v>0.37542324885886558</v>
      </c>
      <c r="AG242" s="810">
        <f t="shared" si="99"/>
        <v>2</v>
      </c>
      <c r="AH242" s="176">
        <f t="shared" si="94"/>
        <v>8</v>
      </c>
      <c r="AI242" s="225">
        <f t="shared" si="95"/>
        <v>2.3754232488588656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28.164293672805233</v>
      </c>
      <c r="C243" s="840"/>
      <c r="D243" s="393">
        <f t="shared" si="77"/>
        <v>30.414562509060492</v>
      </c>
      <c r="E243" s="385">
        <f t="shared" si="100"/>
        <v>31.61698898042647</v>
      </c>
      <c r="F243" s="385">
        <f t="shared" si="78"/>
        <v>31.618808845734826</v>
      </c>
      <c r="G243" s="110">
        <f t="shared" si="101"/>
        <v>0.56403869564199038</v>
      </c>
      <c r="H243" s="414" t="b">
        <f>Wh_hp&gt;='2026'!Maxi_hp</f>
        <v>0</v>
      </c>
      <c r="I243" s="390">
        <f>IF(H243,Wh_hp,'2026'!Maxi_hp)</f>
        <v>54.337378968983657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7.3986559418203202E-2</v>
      </c>
      <c r="M243" s="844"/>
      <c r="N243" s="844"/>
      <c r="O243" s="48">
        <f>IF(t&lt;Tnet,'2026'!Resal+('2026'!Salim-'2026'!Resal)*(1-EXP(('2026'!Tnet-t)/('2026'!Tau_j))),Resal+(Salim-Resal)*(1-EXP((Tnet-t)/(Tau_j))))*Salcycl</f>
        <v>3.803102414687172E-2</v>
      </c>
      <c r="P243" s="169">
        <f>(INDEX(Models!$BJ243:$BT243,,T243)*(1-R243)+INDEX(Models!$BJ243:$BT243,,T243+1)*R243-ERP_i)*Q243*Ramure*Pc/MaxiM</f>
        <v>1.52558377446722E-4</v>
      </c>
      <c r="Q243" s="305">
        <f t="shared" si="80"/>
        <v>0.7</v>
      </c>
      <c r="R243" s="177">
        <f t="shared" si="81"/>
        <v>0.55634377658756362</v>
      </c>
      <c r="S243" s="810">
        <f t="shared" si="82"/>
        <v>-1</v>
      </c>
      <c r="T243" s="176">
        <f t="shared" si="83"/>
        <v>5</v>
      </c>
      <c r="U243" s="251">
        <f t="shared" si="84"/>
        <v>-0.44365622341243638</v>
      </c>
      <c r="V243" s="383">
        <f t="shared" si="85"/>
        <v>49.928520991974231</v>
      </c>
      <c r="W243" s="402">
        <f t="shared" si="86"/>
        <v>28.164293672805233</v>
      </c>
      <c r="X243" s="157">
        <f t="shared" si="87"/>
        <v>46616</v>
      </c>
      <c r="Y243" s="385">
        <f t="shared" si="88"/>
        <v>25.72095623423068</v>
      </c>
      <c r="Z243" s="385">
        <f t="shared" si="89"/>
        <v>27.776007460616</v>
      </c>
      <c r="AA243" s="386">
        <f t="shared" si="90"/>
        <v>31.603418390148953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0.12110749800173486</v>
      </c>
      <c r="AD243" s="231">
        <f>(INDEX(Models!$BJ243:$BT243,,AH243)*(1-AF243)+INDEX(Models!$BJ243:$BT243,,AH243+1)*AF243-ERP_i)*AE243*Ramure*Pc/MaxiM</f>
        <v>1.2901740153899535E-3</v>
      </c>
      <c r="AE243" s="305">
        <f t="shared" si="92"/>
        <v>0.7</v>
      </c>
      <c r="AF243" s="177">
        <f t="shared" si="93"/>
        <v>0.37633382968674756</v>
      </c>
      <c r="AG243" s="810">
        <f t="shared" si="99"/>
        <v>2</v>
      </c>
      <c r="AH243" s="176">
        <f t="shared" si="94"/>
        <v>8</v>
      </c>
      <c r="AI243" s="225">
        <f t="shared" si="95"/>
        <v>2.3763338296867476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35.060893305127891</v>
      </c>
      <c r="C244" s="840"/>
      <c r="D244" s="393">
        <f t="shared" si="77"/>
        <v>37.863067322538228</v>
      </c>
      <c r="E244" s="385">
        <f t="shared" si="100"/>
        <v>39.366646781776403</v>
      </c>
      <c r="F244" s="385">
        <f t="shared" si="78"/>
        <v>39.370330069320474</v>
      </c>
      <c r="G244" s="110">
        <f t="shared" si="101"/>
        <v>0.70542878408498244</v>
      </c>
      <c r="H244" s="414" t="b">
        <f>Wh_hp&gt;='2026'!Maxi_hp</f>
        <v>0</v>
      </c>
      <c r="I244" s="390">
        <f>IF(H244,Wh_hp,'2026'!Maxi_hp)</f>
        <v>54.641783425949193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7.4008109103784192E-2</v>
      </c>
      <c r="M244" s="844"/>
      <c r="N244" s="844"/>
      <c r="O244" s="48">
        <f>IF(t&lt;Tnet,'2026'!Resal+('2026'!Salim-'2026'!Resal)*(1-EXP(('2026'!Tnet-t)/('2026'!Tau_j))),Resal+(Salim-Resal)*(1-EXP((Tnet-t)/(Tau_j))))*Salcycl</f>
        <v>3.8194247723791618E-2</v>
      </c>
      <c r="P244" s="169">
        <f>(INDEX(Models!$BJ244:$BT244,,T244)*(1-R244)+INDEX(Models!$BJ244:$BT244,,T244+1)*R244-ERP_i)*Q244*Ramure*Pc/MaxiM</f>
        <v>1.6150972366355755E-4</v>
      </c>
      <c r="Q244" s="305">
        <f t="shared" si="80"/>
        <v>0.7</v>
      </c>
      <c r="R244" s="177">
        <f t="shared" si="81"/>
        <v>0.55722184443141454</v>
      </c>
      <c r="S244" s="810">
        <f t="shared" si="82"/>
        <v>-1</v>
      </c>
      <c r="T244" s="176">
        <f t="shared" si="83"/>
        <v>5</v>
      </c>
      <c r="U244" s="251">
        <f t="shared" si="84"/>
        <v>-0.44277815556858552</v>
      </c>
      <c r="V244" s="383">
        <f t="shared" si="85"/>
        <v>49.69815708765524</v>
      </c>
      <c r="W244" s="402">
        <f t="shared" si="86"/>
        <v>35.060893305127891</v>
      </c>
      <c r="X244" s="157">
        <f t="shared" si="87"/>
        <v>46617</v>
      </c>
      <c r="Y244" s="385">
        <f t="shared" si="88"/>
        <v>32.013633627245802</v>
      </c>
      <c r="Z244" s="385">
        <f t="shared" si="89"/>
        <v>34.572261314579755</v>
      </c>
      <c r="AA244" s="386">
        <f t="shared" si="90"/>
        <v>39.339202917997412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0.12117534799457792</v>
      </c>
      <c r="AD244" s="231">
        <f>(INDEX(Models!$BJ244:$BT244,,AH244)*(1-AF244)+INDEX(Models!$BJ244:$BT244,,AH244+1)*AF244-ERP_i)*AE244*Ramure*Pc/MaxiM</f>
        <v>1.3649050063226809E-3</v>
      </c>
      <c r="AE244" s="305">
        <f t="shared" si="92"/>
        <v>0.7</v>
      </c>
      <c r="AF244" s="177">
        <f t="shared" si="93"/>
        <v>0.37721189753059825</v>
      </c>
      <c r="AG244" s="810">
        <f t="shared" si="99"/>
        <v>2</v>
      </c>
      <c r="AH244" s="176">
        <f t="shared" si="94"/>
        <v>8</v>
      </c>
      <c r="AI244" s="225">
        <f t="shared" si="95"/>
        <v>2.3772118975305983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41.866265913340541</v>
      </c>
      <c r="C245" s="840"/>
      <c r="D245" s="393">
        <f t="shared" si="77"/>
        <v>45.213398342682808</v>
      </c>
      <c r="E245" s="385">
        <f t="shared" si="100"/>
        <v>47.016830650047694</v>
      </c>
      <c r="F245" s="385">
        <f t="shared" si="78"/>
        <v>47.023115200106496</v>
      </c>
      <c r="G245" s="110">
        <f t="shared" si="101"/>
        <v>0.84637967680149262</v>
      </c>
      <c r="H245" s="414" t="b">
        <f>Wh_hp&gt;='2026'!Maxi_hp</f>
        <v>0</v>
      </c>
      <c r="I245" s="390">
        <f>IF(H245,Wh_hp,'2026'!Maxi_hp)</f>
        <v>47.024504451636645</v>
      </c>
      <c r="J245" s="85">
        <f>IF(H245,An,'2026'!An_max)</f>
        <v>2025</v>
      </c>
      <c r="K245" s="197">
        <f t="shared" si="79"/>
        <v>46618</v>
      </c>
      <c r="L245" s="147">
        <f>IF(t&lt;Tvie,1-EXP((T0-t)*PertePVj)+'2026'!Pspv,1-EXP((T0-t)*PertePVj)+Pspv)</f>
        <v>7.4029658287872446E-2</v>
      </c>
      <c r="M245" s="844"/>
      <c r="N245" s="844"/>
      <c r="O245" s="48">
        <f>IF(t&lt;Tnet,'2026'!Resal+('2026'!Salim-'2026'!Resal)*(1-EXP(('2026'!Tnet-t)/('2026'!Tau_j))),Resal+(Salim-Resal)*(1-EXP((Tnet-t)/(Tau_j))))*Salcycl</f>
        <v>3.8357164496859886E-2</v>
      </c>
      <c r="P245" s="169">
        <f>(INDEX(Models!$BJ245:$BT245,,T245)*(1-R245)+INDEX(Models!$BJ245:$BT245,,T245+1)*R245-ERP_i)*Q245*Ramure*Pc/MaxiM</f>
        <v>1.7121468825375576E-4</v>
      </c>
      <c r="Q245" s="305">
        <f t="shared" si="80"/>
        <v>0.7</v>
      </c>
      <c r="R245" s="177">
        <f t="shared" si="81"/>
        <v>0.55806840767096588</v>
      </c>
      <c r="S245" s="810">
        <f t="shared" si="82"/>
        <v>-1</v>
      </c>
      <c r="T245" s="176">
        <f t="shared" si="83"/>
        <v>5</v>
      </c>
      <c r="U245" s="251">
        <f t="shared" si="84"/>
        <v>-0.44193159232903406</v>
      </c>
      <c r="V245" s="383">
        <f t="shared" si="85"/>
        <v>49.463253995653247</v>
      </c>
      <c r="W245" s="402">
        <f t="shared" si="86"/>
        <v>41.866265913340541</v>
      </c>
      <c r="X245" s="157">
        <f t="shared" si="87"/>
        <v>46618</v>
      </c>
      <c r="Y245" s="385">
        <f t="shared" si="88"/>
        <v>38.21973156252443</v>
      </c>
      <c r="Z245" s="385">
        <f t="shared" si="89"/>
        <v>41.27533014918793</v>
      </c>
      <c r="AA245" s="386">
        <f t="shared" si="90"/>
        <v>46.970117072842271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0.12124276622139862</v>
      </c>
      <c r="AD245" s="231">
        <f>(INDEX(Models!$BJ245:$BT245,,AH245)*(1-AF245)+INDEX(Models!$BJ245:$BT245,,AH245+1)*AF245-ERP_i)*AE245*Ramure*Pc/MaxiM</f>
        <v>1.4438675406630581E-3</v>
      </c>
      <c r="AE245" s="305">
        <f t="shared" si="92"/>
        <v>0.7</v>
      </c>
      <c r="AF245" s="177">
        <f t="shared" si="93"/>
        <v>0.37805846077014982</v>
      </c>
      <c r="AG245" s="810">
        <f t="shared" si="99"/>
        <v>2</v>
      </c>
      <c r="AH245" s="176">
        <f t="shared" si="94"/>
        <v>8</v>
      </c>
      <c r="AI245" s="225">
        <f t="shared" si="95"/>
        <v>2.3780584607701498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46.993992551876488</v>
      </c>
      <c r="C246" s="840"/>
      <c r="D246" s="393">
        <f t="shared" si="77"/>
        <v>50.752258554300269</v>
      </c>
      <c r="E246" s="385">
        <f t="shared" si="100"/>
        <v>52.785545581320839</v>
      </c>
      <c r="F246" s="385">
        <f t="shared" si="78"/>
        <v>52.794516963888626</v>
      </c>
      <c r="G246" s="110">
        <f t="shared" si="101"/>
        <v>0.95469289265621393</v>
      </c>
      <c r="H246" s="414" t="b">
        <f>Wh_hp&gt;='2026'!Maxi_hp</f>
        <v>0</v>
      </c>
      <c r="I246" s="390">
        <f>IF(H246,Wh_hp,'2026'!Maxi_hp)</f>
        <v>52.79500410272982</v>
      </c>
      <c r="J246" s="85">
        <f>IF(H246,An,'2026'!An_max)</f>
        <v>2025</v>
      </c>
      <c r="K246" s="197">
        <f t="shared" si="79"/>
        <v>46619</v>
      </c>
      <c r="L246" s="147">
        <f>IF(t&lt;Tvie,1-EXP((T0-t)*PertePVj)+'2026'!Pspv,1-EXP((T0-t)*PertePVj)+Pspv)</f>
        <v>7.4051206970479622E-2</v>
      </c>
      <c r="M246" s="844"/>
      <c r="N246" s="844"/>
      <c r="O246" s="48">
        <f>IF(t&lt;Tnet,'2026'!Resal+('2026'!Salim-'2026'!Resal)*(1-EXP(('2026'!Tnet-t)/('2026'!Tau_j))),Resal+(Salim-Resal)*(1-EXP((Tnet-t)/(Tau_j))))*Salcycl</f>
        <v>3.8519769088833491E-2</v>
      </c>
      <c r="P246" s="169">
        <f>(INDEX(Models!$BJ246:$BT246,,T246)*(1-R246)+INDEX(Models!$BJ246:$BT246,,T246+1)*R246-ERP_i)*Q246*Ramure*Pc/MaxiM</f>
        <v>1.8168686154681042E-4</v>
      </c>
      <c r="Q246" s="305">
        <f t="shared" si="80"/>
        <v>0.7</v>
      </c>
      <c r="R246" s="177">
        <f t="shared" si="81"/>
        <v>0.55888445492639416</v>
      </c>
      <c r="S246" s="810">
        <f t="shared" si="82"/>
        <v>-1</v>
      </c>
      <c r="T246" s="176">
        <f t="shared" si="83"/>
        <v>5</v>
      </c>
      <c r="U246" s="251">
        <f t="shared" si="84"/>
        <v>-0.44111554507360584</v>
      </c>
      <c r="V246" s="383">
        <f t="shared" si="85"/>
        <v>49.223619791000381</v>
      </c>
      <c r="W246" s="402">
        <f t="shared" si="86"/>
        <v>46.993992551876488</v>
      </c>
      <c r="X246" s="157">
        <f t="shared" si="87"/>
        <v>46619</v>
      </c>
      <c r="Y246" s="385">
        <f t="shared" si="88"/>
        <v>42.893437068018812</v>
      </c>
      <c r="Z246" s="385">
        <f t="shared" si="89"/>
        <v>46.323767999826444</v>
      </c>
      <c r="AA246" s="386">
        <f t="shared" si="90"/>
        <v>52.719109396175241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0.12130973890869211</v>
      </c>
      <c r="AD246" s="231">
        <f>(INDEX(Models!$BJ246:$BT246,,AH246)*(1-AF246)+INDEX(Models!$BJ246:$BT246,,AH246+1)*AF246-ERP_i)*AE246*Ramure*Pc/MaxiM</f>
        <v>1.5271407958813584E-3</v>
      </c>
      <c r="AE246" s="305">
        <f t="shared" si="92"/>
        <v>0.7</v>
      </c>
      <c r="AF246" s="177">
        <f t="shared" si="93"/>
        <v>0.3788745080255782</v>
      </c>
      <c r="AG246" s="810">
        <f t="shared" si="99"/>
        <v>2</v>
      </c>
      <c r="AH246" s="176">
        <f t="shared" si="94"/>
        <v>8</v>
      </c>
      <c r="AI246" s="225">
        <f t="shared" si="95"/>
        <v>2.3788745080255782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30.174608291111081</v>
      </c>
      <c r="C247" s="840"/>
      <c r="D247" s="393">
        <f t="shared" si="77"/>
        <v>32.588530534115641</v>
      </c>
      <c r="E247" s="385">
        <f t="shared" si="100"/>
        <v>33.899846279841633</v>
      </c>
      <c r="F247" s="385">
        <f t="shared" si="78"/>
        <v>33.902799682398793</v>
      </c>
      <c r="G247" s="110">
        <f t="shared" si="101"/>
        <v>0.61599495128796755</v>
      </c>
      <c r="H247" s="414" t="b">
        <f>Wh_hp&gt;='2026'!Maxi_hp</f>
        <v>0</v>
      </c>
      <c r="I247" s="390">
        <f>IF(H247,Wh_hp,'2026'!Maxi_hp)</f>
        <v>52.989538136778435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7.4072755151617597E-2</v>
      </c>
      <c r="M247" s="844"/>
      <c r="N247" s="844"/>
      <c r="O247" s="48">
        <f>IF(t&lt;Tnet,'2026'!Resal+('2026'!Salim-'2026'!Resal)*(1-EXP(('2026'!Tnet-t)/('2026'!Tau_j))),Resal+(Salim-Resal)*(1-EXP((Tnet-t)/(Tau_j))))*Salcycl</f>
        <v>3.8682055809372756E-2</v>
      </c>
      <c r="P247" s="169">
        <f>(INDEX(Models!$BJ247:$BT247,,T247)*(1-R247)+INDEX(Models!$BJ247:$BT247,,T247+1)*R247-ERP_i)*Q247*Ramure*Pc/MaxiM</f>
        <v>1.9293693747848132E-4</v>
      </c>
      <c r="Q247" s="305">
        <f t="shared" si="80"/>
        <v>0.7</v>
      </c>
      <c r="R247" s="177">
        <f t="shared" si="81"/>
        <v>0.5596709545133256</v>
      </c>
      <c r="S247" s="810">
        <f t="shared" si="82"/>
        <v>-1</v>
      </c>
      <c r="T247" s="176">
        <f t="shared" si="83"/>
        <v>5</v>
      </c>
      <c r="U247" s="251">
        <f t="shared" si="84"/>
        <v>-0.44032904548667445</v>
      </c>
      <c r="V247" s="383">
        <f t="shared" si="85"/>
        <v>48.979970986555131</v>
      </c>
      <c r="W247" s="402">
        <f t="shared" si="86"/>
        <v>30.174608291111081</v>
      </c>
      <c r="X247" s="157">
        <f t="shared" si="87"/>
        <v>46620</v>
      </c>
      <c r="Y247" s="385">
        <f t="shared" si="88"/>
        <v>27.561230716986692</v>
      </c>
      <c r="Z247" s="385">
        <f t="shared" si="89"/>
        <v>29.766086774452518</v>
      </c>
      <c r="AA247" s="386">
        <f t="shared" si="90"/>
        <v>33.878081288842715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0.12137625148636821</v>
      </c>
      <c r="AD247" s="231">
        <f>(INDEX(Models!$BJ247:$BT247,,AH247)*(1-AF247)+INDEX(Models!$BJ247:$BT247,,AH247+1)*AF247-ERP_i)*AE247*Ramure*Pc/MaxiM</f>
        <v>1.6147785680408046E-3</v>
      </c>
      <c r="AE247" s="305">
        <f t="shared" si="92"/>
        <v>0.7</v>
      </c>
      <c r="AF247" s="177">
        <f t="shared" si="93"/>
        <v>0.37966100761250932</v>
      </c>
      <c r="AG247" s="810">
        <f t="shared" si="99"/>
        <v>2</v>
      </c>
      <c r="AH247" s="176">
        <f t="shared" si="94"/>
        <v>8</v>
      </c>
      <c r="AI247" s="225">
        <f t="shared" si="95"/>
        <v>2.3796610076125093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25.845745533338736</v>
      </c>
      <c r="C248" s="840"/>
      <c r="D248" s="393">
        <f t="shared" si="77"/>
        <v>27.914015015105345</v>
      </c>
      <c r="E248" s="385">
        <f t="shared" si="100"/>
        <v>29.04212797643731</v>
      </c>
      <c r="F248" s="385">
        <f t="shared" si="78"/>
        <v>29.044093454907195</v>
      </c>
      <c r="G248" s="110">
        <f t="shared" si="101"/>
        <v>0.53028100258721311</v>
      </c>
      <c r="H248" s="414" t="b">
        <f>Wh_hp&gt;='2026'!Maxi_hp</f>
        <v>0</v>
      </c>
      <c r="I248" s="390">
        <f>IF(H248,Wh_hp,'2026'!Maxi_hp)</f>
        <v>55.477484592844142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7.4094302831297809E-2</v>
      </c>
      <c r="M248" s="844"/>
      <c r="N248" s="844"/>
      <c r="O248" s="48">
        <f>IF(t&lt;Tnet,'2026'!Resal+('2026'!Salim-'2026'!Resal)*(1-EXP(('2026'!Tnet-t)/('2026'!Tau_j))),Resal+(Salim-Resal)*(1-EXP((Tnet-t)/(Tau_j))))*Salcycl</f>
        <v>3.8844018669955342E-2</v>
      </c>
      <c r="P248" s="169">
        <f>(INDEX(Models!$BJ248:$BT248,,T248)*(1-R248)+INDEX(Models!$BJ248:$BT248,,T248+1)*R248-ERP_i)*Q248*Ramure*Pc/MaxiM</f>
        <v>2.0564227842096141E-4</v>
      </c>
      <c r="Q248" s="305">
        <f t="shared" si="80"/>
        <v>0.7</v>
      </c>
      <c r="R248" s="177">
        <f t="shared" si="81"/>
        <v>0.56042885399462028</v>
      </c>
      <c r="S248" s="810">
        <f t="shared" si="82"/>
        <v>-1</v>
      </c>
      <c r="T248" s="176">
        <f t="shared" si="83"/>
        <v>5</v>
      </c>
      <c r="U248" s="251">
        <f t="shared" si="84"/>
        <v>-0.43957114600537972</v>
      </c>
      <c r="V248" s="383">
        <f t="shared" si="85"/>
        <v>48.732991050161694</v>
      </c>
      <c r="W248" s="402">
        <f t="shared" si="86"/>
        <v>25.845745533338736</v>
      </c>
      <c r="X248" s="157">
        <f t="shared" si="87"/>
        <v>46621</v>
      </c>
      <c r="Y248" s="385">
        <f t="shared" si="88"/>
        <v>23.612967020299671</v>
      </c>
      <c r="Z248" s="385">
        <f t="shared" si="89"/>
        <v>25.502561537859652</v>
      </c>
      <c r="AA248" s="386">
        <f t="shared" si="90"/>
        <v>29.027759028609413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0.12144228864775153</v>
      </c>
      <c r="AD248" s="231">
        <f>(INDEX(Models!$BJ248:$BT248,,AH248)*(1-AF248)+INDEX(Models!$BJ248:$BT248,,AH248+1)*AF248-ERP_i)*AE248*Ramure*Pc/MaxiM</f>
        <v>1.7090233711787779E-3</v>
      </c>
      <c r="AE248" s="305">
        <f t="shared" si="92"/>
        <v>0.7</v>
      </c>
      <c r="AF248" s="177">
        <f t="shared" si="93"/>
        <v>0.38041890709380421</v>
      </c>
      <c r="AG248" s="810">
        <f t="shared" si="99"/>
        <v>2</v>
      </c>
      <c r="AH248" s="176">
        <f t="shared" si="94"/>
        <v>8</v>
      </c>
      <c r="AI248" s="225">
        <f t="shared" si="95"/>
        <v>2.3804189070938042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47.228591261538185</v>
      </c>
      <c r="C249" s="840"/>
      <c r="D249" s="393">
        <f t="shared" si="77"/>
        <v>51.009179995169383</v>
      </c>
      <c r="E249" s="385">
        <f t="shared" si="100"/>
        <v>53.079583734516383</v>
      </c>
      <c r="F249" s="385">
        <f t="shared" si="78"/>
        <v>53.090808351779117</v>
      </c>
      <c r="G249" s="110">
        <f t="shared" si="101"/>
        <v>0.97412894209169221</v>
      </c>
      <c r="H249" s="414" t="b">
        <f>Wh_hp&gt;='2026'!Maxi_hp</f>
        <v>0</v>
      </c>
      <c r="I249" s="390">
        <f>IF(H249,Wh_hp,'2026'!Maxi_hp)</f>
        <v>53.091144196835963</v>
      </c>
      <c r="J249" s="85">
        <f>IF(H249,An,'2026'!An_max)</f>
        <v>2025</v>
      </c>
      <c r="K249" s="197">
        <f t="shared" si="79"/>
        <v>46622</v>
      </c>
      <c r="L249" s="147">
        <f>IF(t&lt;Tvie,1-EXP((T0-t)*PertePVj)+'2026'!Pspv,1-EXP((T0-t)*PertePVj)+Pspv)</f>
        <v>7.4115850009532136E-2</v>
      </c>
      <c r="M249" s="844"/>
      <c r="N249" s="844"/>
      <c r="O249" s="48">
        <f>IF(t&lt;Tnet,'2026'!Resal+('2026'!Salim-'2026'!Resal)*(1-EXP(('2026'!Tnet-t)/('2026'!Tau_j))),Resal+(Salim-Resal)*(1-EXP((Tnet-t)/(Tau_j))))*Salcycl</f>
        <v>3.9005651395127017E-2</v>
      </c>
      <c r="P249" s="169">
        <f>(INDEX(Models!$BJ249:$BT249,,T249)*(1-R249)+INDEX(Models!$BJ249:$BT249,,T249+1)*R249-ERP_i)*Q249*Ramure*Pc/MaxiM</f>
        <v>2.1953419647009046E-4</v>
      </c>
      <c r="Q249" s="305">
        <f t="shared" si="80"/>
        <v>0.7</v>
      </c>
      <c r="R249" s="177">
        <f t="shared" si="81"/>
        <v>0.56115907982212931</v>
      </c>
      <c r="S249" s="810">
        <f t="shared" si="82"/>
        <v>-1</v>
      </c>
      <c r="T249" s="176">
        <f t="shared" si="83"/>
        <v>5</v>
      </c>
      <c r="U249" s="251">
        <f t="shared" si="84"/>
        <v>-0.43884092017787069</v>
      </c>
      <c r="V249" s="383">
        <f t="shared" si="85"/>
        <v>48.482501708760289</v>
      </c>
      <c r="W249" s="402">
        <f t="shared" si="86"/>
        <v>47.228591261538185</v>
      </c>
      <c r="X249" s="157">
        <f t="shared" si="87"/>
        <v>46622</v>
      </c>
      <c r="Y249" s="385">
        <f t="shared" si="88"/>
        <v>43.107899948518586</v>
      </c>
      <c r="Z249" s="385">
        <f t="shared" si="89"/>
        <v>46.558632577264</v>
      </c>
      <c r="AA249" s="386">
        <f t="shared" si="90"/>
        <v>52.998346940628942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0.12150783439677823</v>
      </c>
      <c r="AD249" s="231">
        <f>(INDEX(Models!$BJ249:$BT249,,AH249)*(1-AF249)+INDEX(Models!$BJ249:$BT249,,AH249+1)*AF249-ERP_i)*AE249*Ramure*Pc/MaxiM</f>
        <v>1.8083860791173354E-3</v>
      </c>
      <c r="AE249" s="305">
        <f t="shared" si="92"/>
        <v>0.7</v>
      </c>
      <c r="AF249" s="177">
        <f t="shared" si="93"/>
        <v>0.38114913292131325</v>
      </c>
      <c r="AG249" s="810">
        <f t="shared" si="99"/>
        <v>2</v>
      </c>
      <c r="AH249" s="176">
        <f t="shared" si="94"/>
        <v>8</v>
      </c>
      <c r="AI249" s="225">
        <f t="shared" si="95"/>
        <v>2.3811491329213132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42.074294229804323</v>
      </c>
      <c r="C250" s="840"/>
      <c r="D250" s="393">
        <f t="shared" si="77"/>
        <v>45.443345566847789</v>
      </c>
      <c r="E250" s="385">
        <f t="shared" si="100"/>
        <v>47.295776769225782</v>
      </c>
      <c r="F250" s="385">
        <f t="shared" si="78"/>
        <v>47.304852824179477</v>
      </c>
      <c r="G250" s="110">
        <f t="shared" si="101"/>
        <v>0.87236093887048993</v>
      </c>
      <c r="H250" s="414" t="b">
        <f>Wh_hp&gt;='2026'!Maxi_hp</f>
        <v>0</v>
      </c>
      <c r="I250" s="390">
        <f>IF(H250,Wh_hp,'2026'!Maxi_hp)</f>
        <v>52.284492274475099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7.4137396686332124E-2</v>
      </c>
      <c r="M250" s="844"/>
      <c r="N250" s="844"/>
      <c r="O250" s="48">
        <f>IF(t&lt;Tnet,'2026'!Resal+('2026'!Salim-'2026'!Resal)*(1-EXP(('2026'!Tnet-t)/('2026'!Tau_j))),Resal+(Salim-Resal)*(1-EXP((Tnet-t)/(Tau_j))))*Salcycl</f>
        <v>3.9166947429930481E-2</v>
      </c>
      <c r="P250" s="169">
        <f>(INDEX(Models!$BJ250:$BT250,,T250)*(1-R250)+INDEX(Models!$BJ250:$BT250,,T250+1)*R250-ERP_i)*Q250*Ramure*Pc/MaxiM</f>
        <v>2.3463411468030538E-4</v>
      </c>
      <c r="Q250" s="305">
        <f t="shared" si="80"/>
        <v>0.7</v>
      </c>
      <c r="R250" s="177">
        <f t="shared" si="81"/>
        <v>0.56186253706186062</v>
      </c>
      <c r="S250" s="810">
        <f t="shared" si="82"/>
        <v>-1</v>
      </c>
      <c r="T250" s="176">
        <f t="shared" si="83"/>
        <v>5</v>
      </c>
      <c r="U250" s="251">
        <f t="shared" si="84"/>
        <v>-0.43813746293813932</v>
      </c>
      <c r="V250" s="383">
        <f t="shared" si="85"/>
        <v>48.228310609615498</v>
      </c>
      <c r="W250" s="402">
        <f t="shared" si="86"/>
        <v>42.074294229804323</v>
      </c>
      <c r="X250" s="157">
        <f t="shared" si="87"/>
        <v>46623</v>
      </c>
      <c r="Y250" s="385">
        <f t="shared" si="88"/>
        <v>38.412988818495236</v>
      </c>
      <c r="Z250" s="385">
        <f t="shared" si="89"/>
        <v>41.488865281970476</v>
      </c>
      <c r="AA250" s="386">
        <f t="shared" si="90"/>
        <v>47.230856110188711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0.12157287208223111</v>
      </c>
      <c r="AD250" s="231">
        <f>(INDEX(Models!$BJ250:$BT250,,AH250)*(1-AF250)+INDEX(Models!$BJ250:$BT250,,AH250+1)*AF250-ERP_i)*AE250*Ramure*Pc/MaxiM</f>
        <v>1.9129625773590554E-3</v>
      </c>
      <c r="AE250" s="305">
        <f t="shared" si="92"/>
        <v>0.7</v>
      </c>
      <c r="AF250" s="177">
        <f t="shared" si="93"/>
        <v>0.38185259016104478</v>
      </c>
      <c r="AG250" s="810">
        <f t="shared" si="99"/>
        <v>2</v>
      </c>
      <c r="AH250" s="176">
        <f t="shared" si="94"/>
        <v>8</v>
      </c>
      <c r="AI250" s="225">
        <f t="shared" si="95"/>
        <v>2.3818525901610448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33.512289308787771</v>
      </c>
      <c r="C251" s="840"/>
      <c r="D251" s="393">
        <f t="shared" si="77"/>
        <v>36.196590171073098</v>
      </c>
      <c r="E251" s="385">
        <f t="shared" si="100"/>
        <v>37.678402619313538</v>
      </c>
      <c r="F251" s="385">
        <f t="shared" si="78"/>
        <v>37.683787953886515</v>
      </c>
      <c r="G251" s="110">
        <f t="shared" si="101"/>
        <v>0.69853054048654117</v>
      </c>
      <c r="H251" s="414" t="b">
        <f>Wh_hp&gt;='2026'!Maxi_hp</f>
        <v>0</v>
      </c>
      <c r="I251" s="390">
        <f>IF(H251,Wh_hp,'2026'!Maxi_hp)</f>
        <v>49.886993974579291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7.4158942861709432E-2</v>
      </c>
      <c r="M251" s="844"/>
      <c r="N251" s="844"/>
      <c r="O251" s="48">
        <f>IF(t&lt;Tnet,'2026'!Resal+('2026'!Salim-'2026'!Resal)*(1-EXP(('2026'!Tnet-t)/('2026'!Tau_j))),Resal+(Salim-Resal)*(1-EXP((Tnet-t)/(Tau_j))))*Salcycl</f>
        <v>3.9327899943424741E-2</v>
      </c>
      <c r="P251" s="169">
        <f>(INDEX(Models!$BJ251:$BT251,,T251)*(1-R251)+INDEX(Models!$BJ251:$BT251,,T251+1)*R251-ERP_i)*Q251*Ramure*Pc/MaxiM</f>
        <v>2.50964505991563E-4</v>
      </c>
      <c r="Q251" s="305">
        <f t="shared" si="80"/>
        <v>0.7</v>
      </c>
      <c r="R251" s="177">
        <f t="shared" si="81"/>
        <v>0.56254010919623232</v>
      </c>
      <c r="S251" s="810">
        <f t="shared" si="82"/>
        <v>-1</v>
      </c>
      <c r="T251" s="176">
        <f t="shared" si="83"/>
        <v>5</v>
      </c>
      <c r="U251" s="251">
        <f t="shared" si="84"/>
        <v>-0.43745989080376763</v>
      </c>
      <c r="V251" s="383">
        <f t="shared" si="85"/>
        <v>47.970225560352475</v>
      </c>
      <c r="W251" s="402">
        <f t="shared" si="86"/>
        <v>33.512289308787771</v>
      </c>
      <c r="X251" s="157">
        <f t="shared" si="87"/>
        <v>46624</v>
      </c>
      <c r="Y251" s="385">
        <f t="shared" si="88"/>
        <v>30.610067222672821</v>
      </c>
      <c r="Z251" s="385">
        <f t="shared" si="89"/>
        <v>33.061902998000953</v>
      </c>
      <c r="AA251" s="386">
        <f t="shared" si="90"/>
        <v>37.640380420943359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0.12163738441907215</v>
      </c>
      <c r="AD251" s="231">
        <f>(INDEX(Models!$BJ251:$BT251,,AH251)*(1-AF251)+INDEX(Models!$BJ251:$BT251,,AH251+1)*AF251-ERP_i)*AE251*Ramure*Pc/MaxiM</f>
        <v>2.0228548317238466E-3</v>
      </c>
      <c r="AE251" s="305">
        <f t="shared" si="92"/>
        <v>0.7</v>
      </c>
      <c r="AF251" s="177">
        <f t="shared" si="93"/>
        <v>0.38253016229541625</v>
      </c>
      <c r="AG251" s="810">
        <f t="shared" si="99"/>
        <v>2</v>
      </c>
      <c r="AH251" s="176">
        <f t="shared" si="94"/>
        <v>8</v>
      </c>
      <c r="AI251" s="225">
        <f t="shared" si="95"/>
        <v>2.3825301622954163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42.034067859698432</v>
      </c>
      <c r="C252" s="840"/>
      <c r="D252" s="393">
        <f t="shared" si="77"/>
        <v>45.402011233501838</v>
      </c>
      <c r="E252" s="385">
        <f t="shared" si="100"/>
        <v>47.26857650316726</v>
      </c>
      <c r="F252" s="385">
        <f t="shared" si="78"/>
        <v>47.279116047762734</v>
      </c>
      <c r="G252" s="110">
        <f t="shared" si="101"/>
        <v>0.8810283704996259</v>
      </c>
      <c r="H252" s="414" t="b">
        <f>Wh_hp&gt;='2026'!Maxi_hp</f>
        <v>0</v>
      </c>
      <c r="I252" s="390">
        <f>IF(H252,Wh_hp,'2026'!Maxi_hp)</f>
        <v>51.84257425367344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7.4180488535675715E-2</v>
      </c>
      <c r="M252" s="844"/>
      <c r="N252" s="844"/>
      <c r="O252" s="48">
        <f>IF(t&lt;Tnet,'2026'!Resal+('2026'!Salim-'2026'!Resal)*(1-EXP(('2026'!Tnet-t)/('2026'!Tau_j))),Resal+(Salim-Resal)*(1-EXP((Tnet-t)/(Tau_j))))*Salcycl</f>
        <v>3.9488501828278136E-2</v>
      </c>
      <c r="P252" s="169">
        <f>(INDEX(Models!$BJ252:$BT252,,T252)*(1-R252)+INDEX(Models!$BJ252:$BT252,,T252+1)*R252-ERP_i)*Q252*Ramure*Pc/MaxiM</f>
        <v>2.6854875610620382E-4</v>
      </c>
      <c r="Q252" s="305">
        <f t="shared" si="80"/>
        <v>0.7</v>
      </c>
      <c r="R252" s="177">
        <f t="shared" si="81"/>
        <v>0.56319265799735529</v>
      </c>
      <c r="S252" s="810">
        <f t="shared" si="82"/>
        <v>-1</v>
      </c>
      <c r="T252" s="176">
        <f t="shared" si="83"/>
        <v>5</v>
      </c>
      <c r="U252" s="251">
        <f t="shared" si="84"/>
        <v>-0.43680734200264471</v>
      </c>
      <c r="V252" s="383">
        <f t="shared" si="85"/>
        <v>47.708054532590943</v>
      </c>
      <c r="W252" s="402">
        <f t="shared" si="86"/>
        <v>42.034067859698432</v>
      </c>
      <c r="X252" s="157">
        <f t="shared" si="87"/>
        <v>46625</v>
      </c>
      <c r="Y252" s="385">
        <f t="shared" si="88"/>
        <v>38.376589884873482</v>
      </c>
      <c r="Z252" s="385">
        <f t="shared" si="89"/>
        <v>41.45148099565872</v>
      </c>
      <c r="AA252" s="386">
        <f t="shared" si="90"/>
        <v>47.195200813194226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0.12170135349714935</v>
      </c>
      <c r="AD252" s="231">
        <f>(INDEX(Models!$BJ252:$BT252,,AH252)*(1-AF252)+INDEX(Models!$BJ252:$BT252,,AH252+1)*AF252-ERP_i)*AE252*Ramure*Pc/MaxiM</f>
        <v>2.1381694111724083E-3</v>
      </c>
      <c r="AE252" s="305">
        <f t="shared" si="92"/>
        <v>0.7</v>
      </c>
      <c r="AF252" s="177">
        <f t="shared" si="93"/>
        <v>0.38318271109653912</v>
      </c>
      <c r="AG252" s="810">
        <f t="shared" si="99"/>
        <v>2</v>
      </c>
      <c r="AH252" s="176">
        <f t="shared" si="94"/>
        <v>8</v>
      </c>
      <c r="AI252" s="225">
        <f t="shared" si="95"/>
        <v>2.3831827110965391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46.569440604769092</v>
      </c>
      <c r="C253" s="840"/>
      <c r="D253" s="393">
        <f t="shared" si="77"/>
        <v>50.301947401441076</v>
      </c>
      <c r="E253" s="385">
        <f t="shared" si="100"/>
        <v>52.378697040305809</v>
      </c>
      <c r="F253" s="385">
        <f t="shared" si="78"/>
        <v>52.393360011593074</v>
      </c>
      <c r="G253" s="110">
        <f t="shared" si="101"/>
        <v>0.98160861849103054</v>
      </c>
      <c r="H253" s="414" t="b">
        <f>Wh_hp&gt;='2026'!Maxi_hp</f>
        <v>0</v>
      </c>
      <c r="I253" s="390">
        <f>IF(H253,Wh_hp,'2026'!Maxi_hp)</f>
        <v>52.393666156290735</v>
      </c>
      <c r="J253" s="85">
        <f>IF(H253,An,'2026'!An_max)</f>
        <v>2025</v>
      </c>
      <c r="K253" s="197">
        <f t="shared" si="79"/>
        <v>46626</v>
      </c>
      <c r="L253" s="147">
        <f>IF(t&lt;Tvie,1-EXP((T0-t)*PertePVj)+'2026'!Pspv,1-EXP((T0-t)*PertePVj)+Pspv)</f>
        <v>7.4202033708242743E-2</v>
      </c>
      <c r="M253" s="844"/>
      <c r="N253" s="844"/>
      <c r="O253" s="48">
        <f>IF(t&lt;Tnet,'2026'!Resal+('2026'!Salim-'2026'!Resal)*(1-EXP(('2026'!Tnet-t)/('2026'!Tau_j))),Resal+(Salim-Resal)*(1-EXP((Tnet-t)/(Tau_j))))*Salcycl</f>
        <v>3.9648745696492974E-2</v>
      </c>
      <c r="P253" s="169">
        <f>(INDEX(Models!$BJ253:$BT253,,T253)*(1-R253)+INDEX(Models!$BJ253:$BT253,,T253+1)*R253-ERP_i)*Q253*Ramure*Pc/MaxiM</f>
        <v>2.8741139183043393E-4</v>
      </c>
      <c r="Q253" s="305">
        <f t="shared" si="80"/>
        <v>0.7</v>
      </c>
      <c r="R253" s="177">
        <f t="shared" si="81"/>
        <v>0.56382102346555307</v>
      </c>
      <c r="S253" s="810">
        <f t="shared" si="82"/>
        <v>-1</v>
      </c>
      <c r="T253" s="176">
        <f t="shared" si="83"/>
        <v>5</v>
      </c>
      <c r="U253" s="251">
        <f t="shared" si="84"/>
        <v>-0.43617897653444693</v>
      </c>
      <c r="V253" s="383">
        <f t="shared" si="85"/>
        <v>47.441605658486679</v>
      </c>
      <c r="W253" s="402">
        <f t="shared" si="86"/>
        <v>46.569440604769092</v>
      </c>
      <c r="X253" s="157">
        <f t="shared" si="87"/>
        <v>46626</v>
      </c>
      <c r="Y253" s="385">
        <f t="shared" si="88"/>
        <v>42.50567983497001</v>
      </c>
      <c r="Z253" s="385">
        <f t="shared" si="89"/>
        <v>45.912479161327852</v>
      </c>
      <c r="AA253" s="386">
        <f t="shared" si="90"/>
        <v>52.278110819133339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0.12176476077776929</v>
      </c>
      <c r="AD253" s="231">
        <f>(INDEX(Models!$BJ253:$BT253,,AH253)*(1-AF253)+INDEX(Models!$BJ253:$BT253,,AH253+1)*AF253-ERP_i)*AE253*Ramure*Pc/MaxiM</f>
        <v>2.2590190053065752E-3</v>
      </c>
      <c r="AE253" s="305">
        <f t="shared" si="92"/>
        <v>0.7</v>
      </c>
      <c r="AF253" s="177">
        <f t="shared" si="93"/>
        <v>0.3838110765647369</v>
      </c>
      <c r="AG253" s="810">
        <f t="shared" si="99"/>
        <v>2</v>
      </c>
      <c r="AH253" s="176">
        <f t="shared" si="94"/>
        <v>8</v>
      </c>
      <c r="AI253" s="225">
        <f t="shared" si="95"/>
        <v>2.3838110765647369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44.27877038747426</v>
      </c>
      <c r="C254" s="840"/>
      <c r="D254" s="393">
        <f t="shared" si="77"/>
        <v>47.828794678054102</v>
      </c>
      <c r="E254" s="385">
        <f t="shared" si="100"/>
        <v>49.811731147695617</v>
      </c>
      <c r="F254" s="385">
        <f t="shared" si="78"/>
        <v>49.825735098050515</v>
      </c>
      <c r="G254" s="110">
        <f t="shared" si="101"/>
        <v>0.93866760067601396</v>
      </c>
      <c r="H254" s="414" t="b">
        <f>Wh_hp&gt;='2026'!Maxi_hp</f>
        <v>0</v>
      </c>
      <c r="I254" s="390">
        <f>IF(H254,Wh_hp,'2026'!Maxi_hp)</f>
        <v>52.208096554658312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7.4223578379422173E-2</v>
      </c>
      <c r="M254" s="844"/>
      <c r="N254" s="844"/>
      <c r="O254" s="48">
        <f>IF(t&lt;Tnet,'2026'!Resal+('2026'!Salim-'2026'!Resal)*(1-EXP(('2026'!Tnet-t)/('2026'!Tau_j))),Resal+(Salim-Resal)*(1-EXP((Tnet-t)/(Tau_j))))*Salcycl</f>
        <v>3.9808623871391897E-2</v>
      </c>
      <c r="P254" s="169">
        <f>(INDEX(Models!$BJ254:$BT254,,T254)*(1-R254)+INDEX(Models!$BJ254:$BT254,,T254+1)*R254-ERP_i)*Q254*Ramure*Pc/MaxiM</f>
        <v>3.0803692369145099E-4</v>
      </c>
      <c r="Q254" s="305">
        <f t="shared" si="80"/>
        <v>0.7</v>
      </c>
      <c r="R254" s="177">
        <f t="shared" si="81"/>
        <v>0.56442602382760088</v>
      </c>
      <c r="S254" s="810">
        <f t="shared" si="82"/>
        <v>-1</v>
      </c>
      <c r="T254" s="176">
        <f t="shared" si="83"/>
        <v>5</v>
      </c>
      <c r="U254" s="251">
        <f t="shared" si="84"/>
        <v>-0.43557397617239907</v>
      </c>
      <c r="V254" s="383">
        <f t="shared" si="85"/>
        <v>47.170665581578866</v>
      </c>
      <c r="W254" s="402">
        <f t="shared" si="86"/>
        <v>44.27877038747426</v>
      </c>
      <c r="X254" s="157">
        <f t="shared" si="87"/>
        <v>46627</v>
      </c>
      <c r="Y254" s="385">
        <f t="shared" si="88"/>
        <v>40.419751384199081</v>
      </c>
      <c r="Z254" s="385">
        <f t="shared" si="89"/>
        <v>43.660381103078898</v>
      </c>
      <c r="AA254" s="386">
        <f t="shared" si="90"/>
        <v>49.717322544722585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0.12182758707883448</v>
      </c>
      <c r="AD254" s="231">
        <f>(INDEX(Models!$BJ254:$BT254,,AH254)*(1-AF254)+INDEX(Models!$BJ254:$BT254,,AH254+1)*AF254-ERP_i)*AE254*Ramure*Pc/MaxiM</f>
        <v>2.3846892177097441E-3</v>
      </c>
      <c r="AE254" s="305">
        <f t="shared" si="92"/>
        <v>0.7</v>
      </c>
      <c r="AF254" s="177">
        <f t="shared" si="93"/>
        <v>0.38441607692678481</v>
      </c>
      <c r="AG254" s="810">
        <f t="shared" si="99"/>
        <v>2</v>
      </c>
      <c r="AH254" s="176">
        <f t="shared" si="94"/>
        <v>8</v>
      </c>
      <c r="AI254" s="225">
        <f t="shared" si="95"/>
        <v>2.3844160769267848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31.145899451595643</v>
      </c>
      <c r="C255" s="840"/>
      <c r="D255" s="393">
        <f t="shared" si="77"/>
        <v>33.64378650357343</v>
      </c>
      <c r="E255" s="385">
        <f t="shared" si="100"/>
        <v>35.044447479294305</v>
      </c>
      <c r="F255" s="385">
        <f t="shared" si="78"/>
        <v>35.050466120133756</v>
      </c>
      <c r="G255" s="110">
        <f t="shared" si="101"/>
        <v>0.66405642176801127</v>
      </c>
      <c r="H255" s="414" t="b">
        <f>Wh_hp&gt;='2026'!Maxi_hp</f>
        <v>0</v>
      </c>
      <c r="I255" s="390">
        <f>IF(H255,Wh_hp,'2026'!Maxi_hp)</f>
        <v>51.532555468070449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7.4245122549225551E-2</v>
      </c>
      <c r="M255" s="844"/>
      <c r="N255" s="844"/>
      <c r="O255" s="48">
        <f>IF(t&lt;Tnet,'2026'!Resal+('2026'!Salim-'2026'!Resal)*(1-EXP(('2026'!Tnet-t)/('2026'!Tau_j))),Resal+(Salim-Resal)*(1-EXP((Tnet-t)/(Tau_j))))*Salcycl</f>
        <v>3.9968128376069993E-2</v>
      </c>
      <c r="P255" s="169">
        <f>(INDEX(Models!$BJ255:$BT255,,T255)*(1-R255)+INDEX(Models!$BJ255:$BT255,,T255+1)*R255-ERP_i)*Q255*Ramure*Pc/MaxiM</f>
        <v>3.3007186197569441E-4</v>
      </c>
      <c r="Q255" s="305">
        <f t="shared" si="80"/>
        <v>0.7</v>
      </c>
      <c r="R255" s="177">
        <f t="shared" si="81"/>
        <v>0.56500845558943658</v>
      </c>
      <c r="S255" s="810">
        <f t="shared" si="82"/>
        <v>-1</v>
      </c>
      <c r="T255" s="176">
        <f t="shared" si="83"/>
        <v>5</v>
      </c>
      <c r="U255" s="251">
        <f t="shared" si="84"/>
        <v>-0.43499154441056337</v>
      </c>
      <c r="V255" s="383">
        <f t="shared" si="85"/>
        <v>46.895060980398341</v>
      </c>
      <c r="W255" s="402">
        <f t="shared" si="86"/>
        <v>31.145899451595643</v>
      </c>
      <c r="X255" s="157">
        <f t="shared" si="87"/>
        <v>46628</v>
      </c>
      <c r="Y255" s="385">
        <f t="shared" si="88"/>
        <v>28.455787491733563</v>
      </c>
      <c r="Z255" s="385">
        <f t="shared" si="89"/>
        <v>30.737928780987335</v>
      </c>
      <c r="AA255" s="386">
        <f t="shared" si="90"/>
        <v>35.004637482033729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0.12188981254944573</v>
      </c>
      <c r="AD255" s="231">
        <f>(INDEX(Models!$BJ255:$BT255,,AH255)*(1-AF255)+INDEX(Models!$BJ255:$BT255,,AH255+1)*AF255-ERP_i)*AE255*Ramure*Pc/MaxiM</f>
        <v>2.5133155994844537E-3</v>
      </c>
      <c r="AE255" s="305">
        <f t="shared" si="92"/>
        <v>0.7</v>
      </c>
      <c r="AF255" s="177">
        <f t="shared" si="93"/>
        <v>0.38499850868862051</v>
      </c>
      <c r="AG255" s="810">
        <f t="shared" si="99"/>
        <v>2</v>
      </c>
      <c r="AH255" s="176">
        <f t="shared" si="94"/>
        <v>8</v>
      </c>
      <c r="AI255" s="225">
        <f t="shared" si="95"/>
        <v>2.3849985086886205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44.12786332242689</v>
      </c>
      <c r="C256" s="840"/>
      <c r="D256" s="393">
        <f t="shared" si="77"/>
        <v>47.668007310626379</v>
      </c>
      <c r="E256" s="385">
        <f t="shared" si="100"/>
        <v>49.660756966216738</v>
      </c>
      <c r="F256" s="385">
        <f t="shared" si="78"/>
        <v>49.676981602027581</v>
      </c>
      <c r="G256" s="110">
        <f t="shared" si="101"/>
        <v>0.94662774179992815</v>
      </c>
      <c r="H256" s="414" t="b">
        <f>Wh_hp&gt;='2026'!Maxi_hp</f>
        <v>0</v>
      </c>
      <c r="I256" s="390">
        <f>IF(H256,Wh_hp,'2026'!Maxi_hp)</f>
        <v>50.059646058487751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7.4266666217664645E-2</v>
      </c>
      <c r="M256" s="844"/>
      <c r="N256" s="844"/>
      <c r="O256" s="48">
        <f>IF(t&lt;Tnet,'2026'!Resal+('2026'!Salim-'2026'!Resal)*(1-EXP(('2026'!Tnet-t)/('2026'!Tau_j))),Resal+(Salim-Resal)*(1-EXP((Tnet-t)/(Tau_j))))*Salcycl</f>
        <v>4.0127250918587321E-2</v>
      </c>
      <c r="P256" s="169">
        <f>(INDEX(Models!$BJ256:$BT256,,T256)*(1-R256)+INDEX(Models!$BJ256:$BT256,,T256+1)*R256-ERP_i)*Q256*Ramure*Pc/MaxiM</f>
        <v>3.5354632574855594E-4</v>
      </c>
      <c r="Q256" s="305">
        <f t="shared" si="80"/>
        <v>0.7</v>
      </c>
      <c r="R256" s="177">
        <f t="shared" si="81"/>
        <v>0.56556909363837637</v>
      </c>
      <c r="S256" s="810">
        <f t="shared" si="82"/>
        <v>-1</v>
      </c>
      <c r="T256" s="176">
        <f t="shared" si="83"/>
        <v>5</v>
      </c>
      <c r="U256" s="251">
        <f t="shared" si="84"/>
        <v>-0.43443090636162363</v>
      </c>
      <c r="V256" s="383">
        <f t="shared" si="85"/>
        <v>46.614600460569633</v>
      </c>
      <c r="W256" s="402">
        <f t="shared" si="86"/>
        <v>44.12786332242689</v>
      </c>
      <c r="X256" s="157">
        <f t="shared" si="87"/>
        <v>46629</v>
      </c>
      <c r="Y256" s="385">
        <f t="shared" si="88"/>
        <v>40.280716870668101</v>
      </c>
      <c r="Z256" s="385">
        <f t="shared" si="89"/>
        <v>43.512224741967835</v>
      </c>
      <c r="AA256" s="386">
        <f t="shared" si="90"/>
        <v>49.555600414747097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0.12195141663505771</v>
      </c>
      <c r="AD256" s="231">
        <f>(INDEX(Models!$BJ256:$BT256,,AH256)*(1-AF256)+INDEX(Models!$BJ256:$BT256,,AH256+1)*AF256-ERP_i)*AE256*Ramure*Pc/MaxiM</f>
        <v>2.644982191177838E-3</v>
      </c>
      <c r="AE256" s="305">
        <f t="shared" si="92"/>
        <v>0.7</v>
      </c>
      <c r="AF256" s="177">
        <f t="shared" si="93"/>
        <v>0.38555914673756053</v>
      </c>
      <c r="AG256" s="810">
        <f t="shared" si="99"/>
        <v>2</v>
      </c>
      <c r="AH256" s="176">
        <f t="shared" si="94"/>
        <v>8</v>
      </c>
      <c r="AI256" s="225">
        <f t="shared" si="95"/>
        <v>2.3855591467375605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23.413353984281159</v>
      </c>
      <c r="C257" s="840"/>
      <c r="D257" s="393">
        <f t="shared" si="77"/>
        <v>25.292271548923576</v>
      </c>
      <c r="E257" s="385">
        <f t="shared" si="100"/>
        <v>26.353967012664214</v>
      </c>
      <c r="F257" s="385">
        <f t="shared" si="78"/>
        <v>26.356893798371118</v>
      </c>
      <c r="G257" s="110">
        <f t="shared" si="101"/>
        <v>0.50523526440570465</v>
      </c>
      <c r="H257" s="414" t="b">
        <f>Wh_hp&gt;='2026'!Maxi_hp</f>
        <v>0</v>
      </c>
      <c r="I257" s="390">
        <f>IF(H257,Wh_hp,'2026'!Maxi_hp)</f>
        <v>49.645877215409939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7.4288209384751114E-2</v>
      </c>
      <c r="M257" s="844"/>
      <c r="N257" s="844"/>
      <c r="O257" s="48">
        <f>IF(t&lt;Tnet,'2026'!Resal+('2026'!Salim-'2026'!Resal)*(1-EXP(('2026'!Tnet-t)/('2026'!Tau_j))),Resal+(Salim-Resal)*(1-EXP((Tnet-t)/(Tau_j))))*Salcycl</f>
        <v>4.0285982874246118E-2</v>
      </c>
      <c r="P257" s="169">
        <f>(INDEX(Models!$BJ257:$BT257,,T257)*(1-R257)+INDEX(Models!$BJ257:$BT257,,T257+1)*R257-ERP_i)*Q257*Ramure*Pc/MaxiM</f>
        <v>3.784920886478334E-4</v>
      </c>
      <c r="Q257" s="305">
        <f t="shared" si="80"/>
        <v>0.7</v>
      </c>
      <c r="R257" s="177">
        <f t="shared" si="81"/>
        <v>0.56610869139013653</v>
      </c>
      <c r="S257" s="810">
        <f t="shared" si="82"/>
        <v>-1</v>
      </c>
      <c r="T257" s="176">
        <f t="shared" si="83"/>
        <v>5</v>
      </c>
      <c r="U257" s="251">
        <f t="shared" si="84"/>
        <v>-0.43389130860986347</v>
      </c>
      <c r="V257" s="383">
        <f t="shared" si="85"/>
        <v>46.329092782564892</v>
      </c>
      <c r="W257" s="402">
        <f t="shared" si="86"/>
        <v>23.413353984281159</v>
      </c>
      <c r="X257" s="157">
        <f t="shared" si="87"/>
        <v>46630</v>
      </c>
      <c r="Y257" s="385">
        <f t="shared" si="88"/>
        <v>21.404450456780594</v>
      </c>
      <c r="Z257" s="385">
        <f t="shared" si="89"/>
        <v>23.122153864492439</v>
      </c>
      <c r="AA257" s="386">
        <f t="shared" si="90"/>
        <v>26.33539845667643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0.12201237803445432</v>
      </c>
      <c r="AD257" s="231">
        <f>(INDEX(Models!$BJ257:$BT257,,AH257)*(1-AF257)+INDEX(Models!$BJ257:$BT257,,AH257+1)*AF257-ERP_i)*AE257*Ramure*Pc/MaxiM</f>
        <v>2.7797787706259117E-3</v>
      </c>
      <c r="AE257" s="305">
        <f t="shared" si="92"/>
        <v>0.7</v>
      </c>
      <c r="AF257" s="177">
        <f t="shared" si="93"/>
        <v>0.38609874448932047</v>
      </c>
      <c r="AG257" s="810">
        <f t="shared" si="99"/>
        <v>2</v>
      </c>
      <c r="AH257" s="176">
        <f t="shared" si="94"/>
        <v>8</v>
      </c>
      <c r="AI257" s="225">
        <f t="shared" si="95"/>
        <v>2.3860987444893205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38.513314128479102</v>
      </c>
      <c r="C258" s="840"/>
      <c r="D258" s="393">
        <f t="shared" si="77"/>
        <v>41.604969063668925</v>
      </c>
      <c r="E258" s="385">
        <f t="shared" si="100"/>
        <v>43.358577022212771</v>
      </c>
      <c r="F258" s="385">
        <f t="shared" si="78"/>
        <v>43.372039172942642</v>
      </c>
      <c r="G258" s="110">
        <f t="shared" si="101"/>
        <v>0.83646946509145359</v>
      </c>
      <c r="H258" s="414" t="b">
        <f>Wh_hp&gt;='2026'!Maxi_hp</f>
        <v>0</v>
      </c>
      <c r="I258" s="390">
        <f>IF(H258,Wh_hp,'2026'!Maxi_hp)</f>
        <v>49.265411804235086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7.4309752050496725E-2</v>
      </c>
      <c r="M258" s="844"/>
      <c r="N258" s="844"/>
      <c r="O258" s="48">
        <f>IF(t&lt;Tnet,'2026'!Resal+('2026'!Salim-'2026'!Resal)*(1-EXP(('2026'!Tnet-t)/('2026'!Tau_j))),Resal+(Salim-Resal)*(1-EXP((Tnet-t)/(Tau_j))))*Salcycl</f>
        <v>4.0444315265361845E-2</v>
      </c>
      <c r="P258" s="169">
        <f>(INDEX(Models!$BJ258:$BT258,,T258)*(1-R258)+INDEX(Models!$BJ258:$BT258,,T258+1)*R258-ERP_i)*Q258*Ramure*Pc/MaxiM</f>
        <v>4.0494271473391012E-4</v>
      </c>
      <c r="Q258" s="305">
        <f t="shared" si="80"/>
        <v>0.7</v>
      </c>
      <c r="R258" s="177">
        <f t="shared" si="81"/>
        <v>0.56662798097623379</v>
      </c>
      <c r="S258" s="810">
        <f t="shared" si="82"/>
        <v>-1</v>
      </c>
      <c r="T258" s="176">
        <f t="shared" si="83"/>
        <v>5</v>
      </c>
      <c r="U258" s="251">
        <f t="shared" si="84"/>
        <v>-0.43337201902376626</v>
      </c>
      <c r="V258" s="383">
        <f t="shared" si="85"/>
        <v>46.038346862428838</v>
      </c>
      <c r="W258" s="402">
        <f t="shared" si="86"/>
        <v>38.513314128479102</v>
      </c>
      <c r="X258" s="157">
        <f t="shared" si="87"/>
        <v>46631</v>
      </c>
      <c r="Y258" s="385">
        <f t="shared" si="88"/>
        <v>35.169137200112097</v>
      </c>
      <c r="Z258" s="385">
        <f t="shared" si="89"/>
        <v>37.992338450162201</v>
      </c>
      <c r="AA258" s="386">
        <f t="shared" si="90"/>
        <v>43.275038096136967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0.12207267464996954</v>
      </c>
      <c r="AD258" s="231">
        <f>(INDEX(Models!$BJ258:$BT258,,AH258)*(1-AF258)+INDEX(Models!$BJ258:$BT258,,AH258+1)*AF258-ERP_i)*AE258*Ramure*Pc/MaxiM</f>
        <v>2.9178011865993734E-3</v>
      </c>
      <c r="AE258" s="305">
        <f t="shared" si="92"/>
        <v>0.7</v>
      </c>
      <c r="AF258" s="177">
        <f t="shared" si="93"/>
        <v>0.3866180340754175</v>
      </c>
      <c r="AG258" s="810">
        <f t="shared" si="99"/>
        <v>2</v>
      </c>
      <c r="AH258" s="176">
        <f t="shared" si="94"/>
        <v>8</v>
      </c>
      <c r="AI258" s="225">
        <f t="shared" si="95"/>
        <v>2.3866180340754175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37.690174901339354</v>
      </c>
      <c r="C259" s="840"/>
      <c r="D259" s="393">
        <f t="shared" si="77"/>
        <v>40.716699901152218</v>
      </c>
      <c r="E259" s="385">
        <f t="shared" si="100"/>
        <v>42.439852942366187</v>
      </c>
      <c r="F259" s="385">
        <f t="shared" si="78"/>
        <v>42.453610595873421</v>
      </c>
      <c r="G259" s="110">
        <f t="shared" si="101"/>
        <v>0.82388021286910074</v>
      </c>
      <c r="H259" s="414" t="b">
        <f>Wh_hp&gt;='2026'!Maxi_hp</f>
        <v>0</v>
      </c>
      <c r="I259" s="390">
        <f>IF(H259,Wh_hp,'2026'!Maxi_hp)</f>
        <v>50.515118630968004</v>
      </c>
      <c r="J259" s="85">
        <f>IF(H259,An,'2026'!An_max)</f>
        <v>2019</v>
      </c>
      <c r="K259" s="197">
        <f t="shared" si="79"/>
        <v>46632</v>
      </c>
      <c r="L259" s="147">
        <f>IF(t&lt;Tvie,1-EXP((T0-t)*PertePVj)+'2026'!Pspv,1-EXP((T0-t)*PertePVj)+Pspv)</f>
        <v>7.4331294214912913E-2</v>
      </c>
      <c r="M259" s="844"/>
      <c r="N259" s="844"/>
      <c r="O259" s="48">
        <f>IF(t&lt;Tnet,'2026'!Resal+('2026'!Salim-'2026'!Resal)*(1-EXP(('2026'!Tnet-t)/('2026'!Tau_j))),Resal+(Salim-Resal)*(1-EXP((Tnet-t)/(Tau_j))))*Salcycl</f>
        <v>4.0602238738999256E-2</v>
      </c>
      <c r="P259" s="169">
        <f>(INDEX(Models!$BJ259:$BT259,,T259)*(1-R259)+INDEX(Models!$BJ259:$BT259,,T259+1)*R259-ERP_i)*Q259*Ramure*Pc/MaxiM</f>
        <v>4.3293370330672046E-4</v>
      </c>
      <c r="Q259" s="305">
        <f t="shared" si="80"/>
        <v>0.7</v>
      </c>
      <c r="R259" s="177">
        <f t="shared" si="81"/>
        <v>0.56712767346759896</v>
      </c>
      <c r="S259" s="810">
        <f t="shared" si="82"/>
        <v>-1</v>
      </c>
      <c r="T259" s="176">
        <f t="shared" si="83"/>
        <v>5</v>
      </c>
      <c r="U259" s="251">
        <f t="shared" si="84"/>
        <v>-0.43287232653240099</v>
      </c>
      <c r="V259" s="383">
        <f t="shared" si="85"/>
        <v>45.742171780230144</v>
      </c>
      <c r="W259" s="402">
        <f t="shared" si="86"/>
        <v>37.690174901339354</v>
      </c>
      <c r="X259" s="157">
        <f t="shared" si="87"/>
        <v>46632</v>
      </c>
      <c r="Y259" s="385">
        <f t="shared" si="88"/>
        <v>34.41943024501203</v>
      </c>
      <c r="Z259" s="385">
        <f t="shared" si="89"/>
        <v>37.183314105687401</v>
      </c>
      <c r="AA259" s="386">
        <f t="shared" si="90"/>
        <v>42.35639767607865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0.12213228353252553</v>
      </c>
      <c r="AD259" s="231">
        <f>(INDEX(Models!$BJ259:$BT259,,AH259)*(1-AF259)+INDEX(Models!$BJ259:$BT259,,AH259+1)*AF259-ERP_i)*AE259*Ramure*Pc/MaxiM</f>
        <v>3.059151718995754E-3</v>
      </c>
      <c r="AE259" s="305">
        <f t="shared" si="92"/>
        <v>0.7</v>
      </c>
      <c r="AF259" s="177">
        <f t="shared" si="93"/>
        <v>0.38711772656678312</v>
      </c>
      <c r="AG259" s="810">
        <f t="shared" si="99"/>
        <v>2</v>
      </c>
      <c r="AH259" s="176">
        <f t="shared" si="94"/>
        <v>8</v>
      </c>
      <c r="AI259" s="225">
        <f t="shared" si="95"/>
        <v>2.3871177265667831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35.532795054477745</v>
      </c>
      <c r="C260" s="840"/>
      <c r="D260" s="393">
        <f t="shared" si="77"/>
        <v>38.386975547191298</v>
      </c>
      <c r="E260" s="385">
        <f t="shared" si="100"/>
        <v>40.018103169463998</v>
      </c>
      <c r="F260" s="385">
        <f t="shared" si="78"/>
        <v>40.030850719212047</v>
      </c>
      <c r="G260" s="110">
        <f t="shared" si="101"/>
        <v>0.78185255310961022</v>
      </c>
      <c r="H260" s="414" t="b">
        <f>Wh_hp&gt;='2026'!Maxi_hp</f>
        <v>0</v>
      </c>
      <c r="I260" s="390">
        <f>IF(H260,Wh_hp,'2026'!Maxi_hp)</f>
        <v>52.304535343399913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7.4352835878011447E-2</v>
      </c>
      <c r="M260" s="844"/>
      <c r="N260" s="844"/>
      <c r="O260" s="48">
        <f>IF(t&lt;Tnet,'2026'!Resal+('2026'!Salim-'2026'!Resal)*(1-EXP(('2026'!Tnet-t)/('2026'!Tau_j))),Resal+(Salim-Resal)*(1-EXP((Tnet-t)/(Tau_j))))*Salcycl</f>
        <v>4.0759743543200659E-2</v>
      </c>
      <c r="P260" s="169">
        <f>(INDEX(Models!$BJ260:$BT260,,T260)*(1-R260)+INDEX(Models!$BJ260:$BT260,,T260+1)*R260-ERP_i)*Q260*Ramure*Pc/MaxiM</f>
        <v>4.6250264392180341E-4</v>
      </c>
      <c r="Q260" s="305">
        <f t="shared" si="80"/>
        <v>0.7</v>
      </c>
      <c r="R260" s="177">
        <f t="shared" si="81"/>
        <v>0.5676084591304994</v>
      </c>
      <c r="S260" s="810">
        <f t="shared" si="82"/>
        <v>-1</v>
      </c>
      <c r="T260" s="176">
        <f t="shared" si="83"/>
        <v>5</v>
      </c>
      <c r="U260" s="251">
        <f t="shared" si="84"/>
        <v>-0.4323915408695006</v>
      </c>
      <c r="V260" s="383">
        <f t="shared" si="85"/>
        <v>45.440376763781913</v>
      </c>
      <c r="W260" s="402">
        <f t="shared" si="86"/>
        <v>35.532795054477745</v>
      </c>
      <c r="X260" s="157">
        <f t="shared" si="87"/>
        <v>46633</v>
      </c>
      <c r="Y260" s="385">
        <f t="shared" si="88"/>
        <v>32.454963891121928</v>
      </c>
      <c r="Z260" s="385">
        <f t="shared" si="89"/>
        <v>35.061916839454362</v>
      </c>
      <c r="AA260" s="386">
        <f t="shared" si="90"/>
        <v>39.942543380156962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0.12219118082318325</v>
      </c>
      <c r="AD260" s="231">
        <f>(INDEX(Models!$BJ260:$BT260,,AH260)*(1-AF260)+INDEX(Models!$BJ260:$BT260,,AH260+1)*AF260-ERP_i)*AE260*Ramure*Pc/MaxiM</f>
        <v>3.203939470557581E-3</v>
      </c>
      <c r="AE260" s="305">
        <f t="shared" si="92"/>
        <v>0.7</v>
      </c>
      <c r="AF260" s="177">
        <f t="shared" si="93"/>
        <v>0.38759851222968322</v>
      </c>
      <c r="AG260" s="810">
        <f t="shared" si="99"/>
        <v>2</v>
      </c>
      <c r="AH260" s="176">
        <f t="shared" si="94"/>
        <v>8</v>
      </c>
      <c r="AI260" s="225">
        <f t="shared" si="95"/>
        <v>2.3875985122296832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41.740345007691992</v>
      </c>
      <c r="C261" s="840"/>
      <c r="D261" s="393">
        <f t="shared" si="77"/>
        <v>45.094197883377866</v>
      </c>
      <c r="E261" s="385">
        <f t="shared" si="100"/>
        <v>47.018025965147523</v>
      </c>
      <c r="F261" s="385">
        <f t="shared" si="78"/>
        <v>47.03875528619168</v>
      </c>
      <c r="G261" s="110">
        <f t="shared" si="101"/>
        <v>0.92479277234515689</v>
      </c>
      <c r="H261" s="414" t="b">
        <f>Wh_hp&gt;='2026'!Maxi_hp</f>
        <v>0</v>
      </c>
      <c r="I261" s="390">
        <f>IF(H261,Wh_hp,'2026'!Maxi_hp)</f>
        <v>50.854678643962053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7.4374377039803985E-2</v>
      </c>
      <c r="M261" s="844"/>
      <c r="N261" s="844"/>
      <c r="O261" s="48">
        <f>IF(t&lt;Tnet,'2026'!Resal+('2026'!Salim-'2026'!Resal)*(1-EXP(('2026'!Tnet-t)/('2026'!Tau_j))),Resal+(Salim-Resal)*(1-EXP((Tnet-t)/(Tau_j))))*Salcycl</f>
        <v>4.0916819502284152E-2</v>
      </c>
      <c r="P261" s="169">
        <f>(INDEX(Models!$BJ261:$BT261,,T261)*(1-R261)+INDEX(Models!$BJ261:$BT261,,T261+1)*R261-ERP_i)*Q261*Ramure*Pc/MaxiM</f>
        <v>4.9369327312224326E-4</v>
      </c>
      <c r="Q261" s="305">
        <f t="shared" si="80"/>
        <v>0.7</v>
      </c>
      <c r="R261" s="177">
        <f t="shared" si="81"/>
        <v>0.56807100771111085</v>
      </c>
      <c r="S261" s="810">
        <f t="shared" si="82"/>
        <v>-1</v>
      </c>
      <c r="T261" s="176">
        <f t="shared" si="83"/>
        <v>5</v>
      </c>
      <c r="U261" s="251">
        <f t="shared" si="84"/>
        <v>-0.4319289922888892</v>
      </c>
      <c r="V261" s="383">
        <f t="shared" si="85"/>
        <v>45.132415324389406</v>
      </c>
      <c r="W261" s="402">
        <f t="shared" si="86"/>
        <v>41.740345007691992</v>
      </c>
      <c r="X261" s="157">
        <f t="shared" si="87"/>
        <v>46634</v>
      </c>
      <c r="Y261" s="385">
        <f t="shared" si="88"/>
        <v>38.10314587421928</v>
      </c>
      <c r="Z261" s="385">
        <f t="shared" si="89"/>
        <v>41.164748391864471</v>
      </c>
      <c r="AA261" s="386">
        <f t="shared" si="90"/>
        <v>46.897997742619864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0.12224934169300671</v>
      </c>
      <c r="AD261" s="231">
        <f>(INDEX(Models!$BJ261:$BT261,,AH261)*(1-AF261)+INDEX(Models!$BJ261:$BT261,,AH261+1)*AF261-ERP_i)*AE261*Ramure*Pc/MaxiM</f>
        <v>3.3523072103807316E-3</v>
      </c>
      <c r="AE261" s="305">
        <f t="shared" si="92"/>
        <v>0.7</v>
      </c>
      <c r="AF261" s="177">
        <f t="shared" si="93"/>
        <v>0.38806106081029457</v>
      </c>
      <c r="AG261" s="810">
        <f t="shared" si="99"/>
        <v>2</v>
      </c>
      <c r="AH261" s="176">
        <f t="shared" si="94"/>
        <v>8</v>
      </c>
      <c r="AI261" s="225">
        <f t="shared" si="95"/>
        <v>2.3880610608102946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36.384699188184221</v>
      </c>
      <c r="C262" s="840"/>
      <c r="D262" s="393">
        <f t="shared" si="77"/>
        <v>39.309138630617404</v>
      </c>
      <c r="E262" s="385">
        <f t="shared" si="100"/>
        <v>40.992856935955935</v>
      </c>
      <c r="F262" s="385">
        <f t="shared" si="78"/>
        <v>41.008626397103676</v>
      </c>
      <c r="G262" s="110">
        <f t="shared" si="101"/>
        <v>0.81171460375927329</v>
      </c>
      <c r="H262" s="414" t="b">
        <f>Wh_hp&gt;='2026'!Maxi_hp</f>
        <v>0</v>
      </c>
      <c r="I262" s="390">
        <f>IF(H262,Wh_hp,'2026'!Maxi_hp)</f>
        <v>50.429886494595955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7.4395917700302294E-2</v>
      </c>
      <c r="M262" s="844"/>
      <c r="N262" s="844"/>
      <c r="O262" s="48">
        <f>IF(t&lt;Tnet,'2026'!Resal+('2026'!Salim-'2026'!Resal)*(1-EXP(('2026'!Tnet-t)/('2026'!Tau_j))),Resal+(Salim-Resal)*(1-EXP((Tnet-t)/(Tau_j))))*Salcycl</f>
        <v>4.1073455991834026E-2</v>
      </c>
      <c r="P262" s="169">
        <f>(INDEX(Models!$BJ262:$BT262,,T262)*(1-R262)+INDEX(Models!$BJ262:$BT262,,T262+1)*R262-ERP_i)*Q262*Ramure*Pc/MaxiM</f>
        <v>5.2591362948118997E-4</v>
      </c>
      <c r="Q262" s="305">
        <f t="shared" si="80"/>
        <v>0.7</v>
      </c>
      <c r="R262" s="177">
        <f t="shared" si="81"/>
        <v>0.56851596874532828</v>
      </c>
      <c r="S262" s="810">
        <f t="shared" si="82"/>
        <v>-1</v>
      </c>
      <c r="T262" s="176">
        <f t="shared" si="83"/>
        <v>5</v>
      </c>
      <c r="U262" s="251">
        <f t="shared" si="84"/>
        <v>-0.43148403125467172</v>
      </c>
      <c r="V262" s="383">
        <f t="shared" si="85"/>
        <v>44.818158016937041</v>
      </c>
      <c r="W262" s="402">
        <f t="shared" si="86"/>
        <v>36.384699188184221</v>
      </c>
      <c r="X262" s="157">
        <f t="shared" si="87"/>
        <v>46635</v>
      </c>
      <c r="Y262" s="385">
        <f t="shared" si="88"/>
        <v>33.229985824524242</v>
      </c>
      <c r="Z262" s="385">
        <f t="shared" si="89"/>
        <v>35.9008635117113</v>
      </c>
      <c r="AA262" s="386">
        <f t="shared" si="90"/>
        <v>40.903656390493488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0.12230674028312291</v>
      </c>
      <c r="AD262" s="231">
        <f>(INDEX(Models!$BJ262:$BT262,,AH262)*(1-AF262)+INDEX(Models!$BJ262:$BT262,,AH262+1)*AF262-ERP_i)*AE262*Ramure*Pc/MaxiM</f>
        <v>3.5007637005361287E-3</v>
      </c>
      <c r="AE262" s="305">
        <f t="shared" si="92"/>
        <v>0.7</v>
      </c>
      <c r="AF262" s="177">
        <f t="shared" si="93"/>
        <v>0.38850602184451244</v>
      </c>
      <c r="AG262" s="810">
        <f t="shared" si="99"/>
        <v>2</v>
      </c>
      <c r="AH262" s="176">
        <f t="shared" si="94"/>
        <v>8</v>
      </c>
      <c r="AI262" s="225">
        <f t="shared" si="95"/>
        <v>2.3885060218445124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42.150475335388606</v>
      </c>
      <c r="C263" s="840"/>
      <c r="D263" s="393">
        <f t="shared" si="77"/>
        <v>45.539401853790729</v>
      </c>
      <c r="E263" s="385">
        <f t="shared" si="100"/>
        <v>47.497715662281585</v>
      </c>
      <c r="F263" s="385">
        <f t="shared" si="78"/>
        <v>47.522254776167095</v>
      </c>
      <c r="G263" s="110">
        <f t="shared" si="101"/>
        <v>0.94720375324628914</v>
      </c>
      <c r="H263" s="414" t="b">
        <f>Wh_hp&gt;='2026'!Maxi_hp</f>
        <v>0</v>
      </c>
      <c r="I263" s="390">
        <f>IF(H263,Wh_hp,'2026'!Maxi_hp)</f>
        <v>52.380979169463878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7.4417457859517921E-2</v>
      </c>
      <c r="M263" s="844"/>
      <c r="N263" s="844"/>
      <c r="O263" s="48">
        <f>IF(t&lt;Tnet,'2026'!Resal+('2026'!Salim-'2026'!Resal)*(1-EXP(('2026'!Tnet-t)/('2026'!Tau_j))),Resal+(Salim-Resal)*(1-EXP((Tnet-t)/(Tau_j))))*Salcycl</f>
        <v>4.1229641914042103E-2</v>
      </c>
      <c r="P263" s="169">
        <f>(INDEX(Models!$BJ263:$BT263,,T263)*(1-R263)+INDEX(Models!$BJ263:$BT263,,T263+1)*R263-ERP_i)*Q263*Ramure*Pc/MaxiM</f>
        <v>5.584600162552402E-4</v>
      </c>
      <c r="Q263" s="305">
        <f t="shared" si="80"/>
        <v>0.7</v>
      </c>
      <c r="R263" s="177">
        <f t="shared" si="81"/>
        <v>0.56894397189063362</v>
      </c>
      <c r="S263" s="810">
        <f t="shared" si="82"/>
        <v>-1</v>
      </c>
      <c r="T263" s="176">
        <f t="shared" si="83"/>
        <v>5</v>
      </c>
      <c r="U263" s="251">
        <f t="shared" si="84"/>
        <v>-0.43105602810936638</v>
      </c>
      <c r="V263" s="383">
        <f t="shared" si="85"/>
        <v>44.498029280440676</v>
      </c>
      <c r="W263" s="402">
        <f t="shared" si="86"/>
        <v>42.150475335388606</v>
      </c>
      <c r="X263" s="157">
        <f t="shared" si="87"/>
        <v>46636</v>
      </c>
      <c r="Y263" s="385">
        <f t="shared" si="88"/>
        <v>38.47334866152358</v>
      </c>
      <c r="Z263" s="385">
        <f t="shared" si="89"/>
        <v>41.566631726383854</v>
      </c>
      <c r="AA263" s="386">
        <f t="shared" si="90"/>
        <v>47.362005346587665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0.12236334964692022</v>
      </c>
      <c r="AD263" s="231">
        <f>(INDEX(Models!$BJ263:$BT263,,AH263)*(1-AF263)+INDEX(Models!$BJ263:$BT263,,AH263+1)*AF263-ERP_i)*AE263*Ramure*Pc/MaxiM</f>
        <v>3.6469490897420324E-3</v>
      </c>
      <c r="AE263" s="305">
        <f t="shared" si="92"/>
        <v>0.7</v>
      </c>
      <c r="AF263" s="177">
        <f t="shared" si="93"/>
        <v>0.38893402498981766</v>
      </c>
      <c r="AG263" s="810">
        <f t="shared" si="99"/>
        <v>2</v>
      </c>
      <c r="AH263" s="176">
        <f t="shared" si="94"/>
        <v>8</v>
      </c>
      <c r="AI263" s="225">
        <f t="shared" si="95"/>
        <v>2.3889340249898177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34.451218534311998</v>
      </c>
      <c r="C264" s="840"/>
      <c r="D264" s="393">
        <f t="shared" si="77"/>
        <v>37.221985846321338</v>
      </c>
      <c r="E264" s="385">
        <f t="shared" si="100"/>
        <v>38.828935542482569</v>
      </c>
      <c r="F264" s="385">
        <f t="shared" si="78"/>
        <v>38.844684335387662</v>
      </c>
      <c r="G264" s="110">
        <f t="shared" si="101"/>
        <v>0.77978092220160578</v>
      </c>
      <c r="H264" s="414" t="b">
        <f>Wh_hp&gt;='2026'!Maxi_hp</f>
        <v>0</v>
      </c>
      <c r="I264" s="390">
        <f>IF(H264,Wh_hp,'2026'!Maxi_hp)</f>
        <v>46.142327737727975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7.4438997517462635E-2</v>
      </c>
      <c r="M264" s="844"/>
      <c r="N264" s="844"/>
      <c r="O264" s="48">
        <f>IF(t&lt;Tnet,'2026'!Resal+('2026'!Salim-'2026'!Resal)*(1-EXP(('2026'!Tnet-t)/('2026'!Tau_j))),Resal+(Salim-Resal)*(1-EXP((Tnet-t)/(Tau_j))))*Salcycl</f>
        <v>4.1385365674087904E-2</v>
      </c>
      <c r="P264" s="169">
        <f>(INDEX(Models!$BJ264:$BT264,,T264)*(1-R264)+INDEX(Models!$BJ264:$BT264,,T264+1)*R264-ERP_i)*Q264*Ramure*Pc/MaxiM</f>
        <v>5.9134299366661906E-4</v>
      </c>
      <c r="Q264" s="305">
        <f t="shared" si="80"/>
        <v>0.7</v>
      </c>
      <c r="R264" s="177">
        <f t="shared" si="81"/>
        <v>0.56935562727706368</v>
      </c>
      <c r="S264" s="810">
        <f t="shared" si="82"/>
        <v>-1</v>
      </c>
      <c r="T264" s="176">
        <f t="shared" si="83"/>
        <v>5</v>
      </c>
      <c r="U264" s="251">
        <f t="shared" si="84"/>
        <v>-0.43064437272293632</v>
      </c>
      <c r="V264" s="383">
        <f t="shared" si="85"/>
        <v>44.172420765902757</v>
      </c>
      <c r="W264" s="402">
        <f t="shared" si="86"/>
        <v>34.451218534311998</v>
      </c>
      <c r="X264" s="157">
        <f t="shared" si="87"/>
        <v>46637</v>
      </c>
      <c r="Y264" s="385">
        <f t="shared" si="88"/>
        <v>31.469770426273243</v>
      </c>
      <c r="Z264" s="385">
        <f t="shared" si="89"/>
        <v>34.000752345728813</v>
      </c>
      <c r="AA264" s="386">
        <f t="shared" si="90"/>
        <v>38.74372603278082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0.12241914169636145</v>
      </c>
      <c r="AD264" s="231">
        <f>(INDEX(Models!$BJ264:$BT264,,AH264)*(1-AF264)+INDEX(Models!$BJ264:$BT264,,AH264+1)*AF264-ERP_i)*AE264*Ramure*Pc/MaxiM</f>
        <v>3.7908292564898388E-3</v>
      </c>
      <c r="AE264" s="305">
        <f t="shared" si="92"/>
        <v>0.7</v>
      </c>
      <c r="AF264" s="177">
        <f t="shared" si="93"/>
        <v>0.38934568037624739</v>
      </c>
      <c r="AG264" s="810">
        <f t="shared" si="99"/>
        <v>2</v>
      </c>
      <c r="AH264" s="176">
        <f t="shared" si="94"/>
        <v>8</v>
      </c>
      <c r="AI264" s="225">
        <f t="shared" si="95"/>
        <v>2.3893456803762474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32.340090095284211</v>
      </c>
      <c r="C265" s="840"/>
      <c r="D265" s="393">
        <f t="shared" si="77"/>
        <v>34.941881331642719</v>
      </c>
      <c r="E265" s="385">
        <f t="shared" si="100"/>
        <v>36.456298393293466</v>
      </c>
      <c r="F265" s="385">
        <f t="shared" si="78"/>
        <v>36.470540013518018</v>
      </c>
      <c r="G265" s="110">
        <f t="shared" si="101"/>
        <v>0.73748279673771788</v>
      </c>
      <c r="H265" s="414" t="b">
        <f>Wh_hp&gt;='2026'!Maxi_hp</f>
        <v>0</v>
      </c>
      <c r="I265" s="390">
        <f>IF(H265,Wh_hp,'2026'!Maxi_hp)</f>
        <v>44.813483820108679</v>
      </c>
      <c r="J265" s="85">
        <f>IF(H265,An,'2026'!An_max)</f>
        <v>2019</v>
      </c>
      <c r="K265" s="197">
        <f t="shared" si="79"/>
        <v>46638</v>
      </c>
      <c r="L265" s="147">
        <f>IF(t&lt;Tvie,1-EXP((T0-t)*PertePVj)+'2026'!Pspv,1-EXP((T0-t)*PertePVj)+Pspv)</f>
        <v>7.4460536674147981E-2</v>
      </c>
      <c r="M265" s="844"/>
      <c r="N265" s="844"/>
      <c r="O265" s="48">
        <f>IF(t&lt;Tnet,'2026'!Resal+('2026'!Salim-'2026'!Resal)*(1-EXP(('2026'!Tnet-t)/('2026'!Tau_j))),Resal+(Salim-Resal)*(1-EXP((Tnet-t)/(Tau_j))))*Salcycl</f>
        <v>4.1540615158266826E-2</v>
      </c>
      <c r="P265" s="169">
        <f>(INDEX(Models!$BJ265:$BT265,,T265)*(1-R265)+INDEX(Models!$BJ265:$BT265,,T265+1)*R265-ERP_i)*Q265*Ramure*Pc/MaxiM</f>
        <v>6.2457245161010922E-4</v>
      </c>
      <c r="Q265" s="305">
        <f t="shared" si="80"/>
        <v>0.7</v>
      </c>
      <c r="R265" s="177">
        <f t="shared" si="81"/>
        <v>0.56975152587454037</v>
      </c>
      <c r="S265" s="810">
        <f t="shared" si="82"/>
        <v>-1</v>
      </c>
      <c r="T265" s="176">
        <f t="shared" si="83"/>
        <v>5</v>
      </c>
      <c r="U265" s="251">
        <f t="shared" si="84"/>
        <v>-0.43024847412545963</v>
      </c>
      <c r="V265" s="383">
        <f t="shared" si="85"/>
        <v>43.841723827981554</v>
      </c>
      <c r="W265" s="402">
        <f t="shared" si="86"/>
        <v>32.340090095284211</v>
      </c>
      <c r="X265" s="157">
        <f t="shared" si="87"/>
        <v>46638</v>
      </c>
      <c r="Y265" s="385">
        <f t="shared" si="88"/>
        <v>29.547994762742888</v>
      </c>
      <c r="Z265" s="385">
        <f t="shared" si="89"/>
        <v>31.925159254219732</v>
      </c>
      <c r="AA265" s="386">
        <f t="shared" si="90"/>
        <v>36.380873529642308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0.12247408715439893</v>
      </c>
      <c r="AD265" s="231">
        <f>(INDEX(Models!$BJ265:$BT265,,AH265)*(1-AF265)+INDEX(Models!$BJ265:$BT265,,AH265+1)*AF265-ERP_i)*AE265*Ramure*Pc/MaxiM</f>
        <v>3.932362665095902E-3</v>
      </c>
      <c r="AE265" s="305">
        <f t="shared" si="92"/>
        <v>0.7</v>
      </c>
      <c r="AF265" s="177">
        <f t="shared" si="93"/>
        <v>0.38974157897372441</v>
      </c>
      <c r="AG265" s="810">
        <f t="shared" si="99"/>
        <v>2</v>
      </c>
      <c r="AH265" s="176">
        <f t="shared" si="94"/>
        <v>8</v>
      </c>
      <c r="AI265" s="225">
        <f t="shared" si="95"/>
        <v>2.3897415789737244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23.981741840410024</v>
      </c>
      <c r="C266" s="840"/>
      <c r="D266" s="393">
        <f t="shared" si="77"/>
        <v>25.911698953804866</v>
      </c>
      <c r="E266" s="385">
        <f t="shared" si="100"/>
        <v>27.039104634609142</v>
      </c>
      <c r="F266" s="385">
        <f t="shared" si="78"/>
        <v>27.045492977381365</v>
      </c>
      <c r="G266" s="110">
        <f t="shared" si="101"/>
        <v>0.55099155934120281</v>
      </c>
      <c r="H266" s="414" t="b">
        <f>Wh_hp&gt;='2026'!Maxi_hp</f>
        <v>0</v>
      </c>
      <c r="I266" s="390">
        <f>IF(H266,Wh_hp,'2026'!Maxi_hp)</f>
        <v>47.032768626922746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7.4482075329585729E-2</v>
      </c>
      <c r="M266" s="844"/>
      <c r="N266" s="844"/>
      <c r="O266" s="48">
        <f>IF(t&lt;Tnet,'2026'!Resal+('2026'!Salim-'2026'!Resal)*(1-EXP(('2026'!Tnet-t)/('2026'!Tau_j))),Resal+(Salim-Resal)*(1-EXP((Tnet-t)/(Tau_j))))*Salcycl</f>
        <v>4.1695377714587305E-2</v>
      </c>
      <c r="P266" s="169">
        <f>(INDEX(Models!$BJ266:$BT266,,T266)*(1-R266)+INDEX(Models!$BJ266:$BT266,,T266+1)*R266-ERP_i)*Q266*Ramure*Pc/MaxiM</f>
        <v>6.5815755443352213E-4</v>
      </c>
      <c r="Q266" s="305">
        <f t="shared" si="80"/>
        <v>0.7</v>
      </c>
      <c r="R266" s="177">
        <f t="shared" si="81"/>
        <v>0.5701322398740245</v>
      </c>
      <c r="S266" s="810">
        <f t="shared" si="82"/>
        <v>-1</v>
      </c>
      <c r="T266" s="176">
        <f t="shared" si="83"/>
        <v>5</v>
      </c>
      <c r="U266" s="251">
        <f t="shared" si="84"/>
        <v>-0.4298677601259755</v>
      </c>
      <c r="V266" s="383">
        <f t="shared" si="85"/>
        <v>43.506329527335026</v>
      </c>
      <c r="W266" s="402">
        <f t="shared" si="86"/>
        <v>23.981741840410024</v>
      </c>
      <c r="X266" s="157">
        <f t="shared" si="87"/>
        <v>46639</v>
      </c>
      <c r="Y266" s="385">
        <f t="shared" si="88"/>
        <v>21.931980907882433</v>
      </c>
      <c r="Z266" s="385">
        <f t="shared" si="89"/>
        <v>23.696981250463214</v>
      </c>
      <c r="AA266" s="386">
        <f t="shared" si="90"/>
        <v>27.0059733533488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0.12252815551546359</v>
      </c>
      <c r="AD266" s="231">
        <f>(INDEX(Models!$BJ266:$BT266,,AH266)*(1-AF266)+INDEX(Models!$BJ266:$BT266,,AH266+1)*AF266-ERP_i)*AE266*Ramure*Pc/MaxiM</f>
        <v>4.0715002361015719E-3</v>
      </c>
      <c r="AE266" s="305">
        <f t="shared" si="92"/>
        <v>0.7</v>
      </c>
      <c r="AF266" s="177">
        <f t="shared" si="93"/>
        <v>0.39012229297320822</v>
      </c>
      <c r="AG266" s="810">
        <f t="shared" si="99"/>
        <v>2</v>
      </c>
      <c r="AH266" s="176">
        <f t="shared" si="94"/>
        <v>8</v>
      </c>
      <c r="AI266" s="225">
        <f t="shared" si="95"/>
        <v>2.3901222929732082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41.950607818502057</v>
      </c>
      <c r="C267" s="840"/>
      <c r="D267" s="393">
        <f t="shared" si="77"/>
        <v>45.327684072775341</v>
      </c>
      <c r="E267" s="385">
        <f t="shared" si="100"/>
        <v>47.30748530871054</v>
      </c>
      <c r="F267" s="385">
        <f t="shared" si="78"/>
        <v>47.338930379883287</v>
      </c>
      <c r="G267" s="110">
        <f t="shared" si="101"/>
        <v>0.97180252257199584</v>
      </c>
      <c r="H267" s="414" t="b">
        <f>Wh_hp&gt;='2026'!Maxi_hp</f>
        <v>0</v>
      </c>
      <c r="I267" s="390">
        <f>IF(H267,Wh_hp,'2026'!Maxi_hp)</f>
        <v>47.3399372151653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7.4503613483787423E-2</v>
      </c>
      <c r="M267" s="844"/>
      <c r="N267" s="844"/>
      <c r="O267" s="48">
        <f>IF(t&lt;Tnet,'2026'!Resal+('2026'!Salim-'2026'!Resal)*(1-EXP(('2026'!Tnet-t)/('2026'!Tau_j))),Resal+(Salim-Resal)*(1-EXP((Tnet-t)/(Tau_j))))*Salcycl</f>
        <v>4.1849640136561318E-2</v>
      </c>
      <c r="P267" s="169">
        <f>(INDEX(Models!$BJ267:$BT267,,T267)*(1-R267)+INDEX(Models!$BJ267:$BT267,,T267+1)*R267-ERP_i)*Q267*Ramure*Pc/MaxiM</f>
        <v>6.9210668039751562E-4</v>
      </c>
      <c r="Q267" s="305">
        <f t="shared" si="80"/>
        <v>0.7</v>
      </c>
      <c r="R267" s="177">
        <f t="shared" si="81"/>
        <v>0.57049832308015636</v>
      </c>
      <c r="S267" s="810">
        <f t="shared" si="82"/>
        <v>-1</v>
      </c>
      <c r="T267" s="176">
        <f t="shared" si="83"/>
        <v>5</v>
      </c>
      <c r="U267" s="251">
        <f t="shared" si="84"/>
        <v>-0.42950167691984359</v>
      </c>
      <c r="V267" s="383">
        <f t="shared" si="85"/>
        <v>43.166628639291311</v>
      </c>
      <c r="W267" s="402">
        <f t="shared" si="86"/>
        <v>41.950607818502057</v>
      </c>
      <c r="X267" s="157">
        <f t="shared" si="87"/>
        <v>46640</v>
      </c>
      <c r="Y267" s="385">
        <f t="shared" si="88"/>
        <v>38.28621661350644</v>
      </c>
      <c r="Z267" s="385">
        <f t="shared" si="89"/>
        <v>41.368304805191968</v>
      </c>
      <c r="AA267" s="386">
        <f t="shared" si="90"/>
        <v>47.147736323787534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0.12258131501595888</v>
      </c>
      <c r="AD267" s="231">
        <f>(INDEX(Models!$BJ267:$BT267,,AH267)*(1-AF267)+INDEX(Models!$BJ267:$BT267,,AH267+1)*AF267-ERP_i)*AE267*Ramure*Pc/MaxiM</f>
        <v>4.2081852112596926E-3</v>
      </c>
      <c r="AE267" s="305">
        <f t="shared" si="92"/>
        <v>0.7</v>
      </c>
      <c r="AF267" s="177">
        <f t="shared" si="93"/>
        <v>0.39048837617934051</v>
      </c>
      <c r="AG267" s="810">
        <f t="shared" si="99"/>
        <v>2</v>
      </c>
      <c r="AH267" s="176">
        <f t="shared" si="94"/>
        <v>8</v>
      </c>
      <c r="AI267" s="225">
        <f t="shared" si="95"/>
        <v>2.3904883761793405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40.708673884547089</v>
      </c>
      <c r="C268" s="840"/>
      <c r="D268" s="393">
        <f t="shared" si="77"/>
        <v>43.986796545092218</v>
      </c>
      <c r="E268" s="385">
        <f t="shared" si="100"/>
        <v>45.915398889718475</v>
      </c>
      <c r="F268" s="385">
        <f t="shared" si="78"/>
        <v>45.946369341423349</v>
      </c>
      <c r="G268" s="110">
        <f t="shared" si="101"/>
        <v>0.95057631245215823</v>
      </c>
      <c r="H268" s="414" t="b">
        <f>Wh_hp&gt;='2026'!Maxi_hp</f>
        <v>0</v>
      </c>
      <c r="I268" s="390">
        <f>IF(H268,Wh_hp,'2026'!Maxi_hp)</f>
        <v>47.199084138700862</v>
      </c>
      <c r="J268" s="85">
        <f>IF(H268,An,'2026'!An_max)</f>
        <v>2019</v>
      </c>
      <c r="K268" s="197">
        <f t="shared" si="79"/>
        <v>46641</v>
      </c>
      <c r="L268" s="147">
        <f>IF(t&lt;Tvie,1-EXP((T0-t)*PertePVj)+'2026'!Pspv,1-EXP((T0-t)*PertePVj)+Pspv)</f>
        <v>7.4525151136764944E-2</v>
      </c>
      <c r="M268" s="844"/>
      <c r="N268" s="844"/>
      <c r="O268" s="48">
        <f>IF(t&lt;Tnet,'2026'!Resal+('2026'!Salim-'2026'!Resal)*(1-EXP(('2026'!Tnet-t)/('2026'!Tau_j))),Resal+(Salim-Resal)*(1-EXP((Tnet-t)/(Tau_j))))*Salcycl</f>
        <v>4.2003388650906671E-2</v>
      </c>
      <c r="P268" s="169">
        <f>(INDEX(Models!$BJ268:$BT268,,T268)*(1-R268)+INDEX(Models!$BJ268:$BT268,,T268+1)*R268-ERP_i)*Q268*Ramure*Pc/MaxiM</f>
        <v>7.2520977887863031E-4</v>
      </c>
      <c r="Q268" s="305">
        <f t="shared" si="80"/>
        <v>0.7</v>
      </c>
      <c r="R268" s="177">
        <f t="shared" si="81"/>
        <v>0.57085031131322572</v>
      </c>
      <c r="S268" s="810">
        <f t="shared" si="82"/>
        <v>-1</v>
      </c>
      <c r="T268" s="176">
        <f t="shared" si="83"/>
        <v>5</v>
      </c>
      <c r="U268" s="251">
        <f t="shared" si="84"/>
        <v>-0.42914968868677422</v>
      </c>
      <c r="V268" s="383">
        <f t="shared" si="85"/>
        <v>42.823063826702715</v>
      </c>
      <c r="W268" s="402">
        <f t="shared" si="86"/>
        <v>40.708673884547089</v>
      </c>
      <c r="X268" s="157">
        <f t="shared" si="87"/>
        <v>46641</v>
      </c>
      <c r="Y268" s="385">
        <f t="shared" si="88"/>
        <v>37.157191003608681</v>
      </c>
      <c r="Z268" s="385">
        <f t="shared" si="89"/>
        <v>40.149325558926883</v>
      </c>
      <c r="AA268" s="386">
        <f t="shared" si="90"/>
        <v>45.761180819534566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0.12263353261662532</v>
      </c>
      <c r="AD268" s="231">
        <f>(INDEX(Models!$BJ268:$BT268,,AH268)*(1-AF268)+INDEX(Models!$BJ268:$BT268,,AH268+1)*AF268-ERP_i)*AE268*Ramure*Pc/MaxiM</f>
        <v>4.3364084027444055E-3</v>
      </c>
      <c r="AE268" s="305">
        <f t="shared" si="92"/>
        <v>0.7</v>
      </c>
      <c r="AF268" s="177">
        <f t="shared" si="93"/>
        <v>0.39084036441240988</v>
      </c>
      <c r="AG268" s="810">
        <f t="shared" si="99"/>
        <v>2</v>
      </c>
      <c r="AH268" s="176">
        <f t="shared" si="94"/>
        <v>8</v>
      </c>
      <c r="AI268" s="225">
        <f t="shared" si="95"/>
        <v>2.3908403644124099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28.910222060835089</v>
      </c>
      <c r="C269" s="840"/>
      <c r="D269" s="393">
        <f t="shared" si="77"/>
        <v>31.238984933092404</v>
      </c>
      <c r="E269" s="385">
        <f t="shared" si="100"/>
        <v>32.613875319992388</v>
      </c>
      <c r="F269" s="385">
        <f t="shared" si="78"/>
        <v>32.627304224260364</v>
      </c>
      <c r="G269" s="110">
        <f t="shared" si="101"/>
        <v>0.68038896985235431</v>
      </c>
      <c r="H269" s="414" t="b">
        <f>Wh_hp&gt;='2026'!Maxi_hp</f>
        <v>0</v>
      </c>
      <c r="I269" s="390">
        <f>IF(H269,Wh_hp,'2026'!Maxi_hp)</f>
        <v>47.524500971153024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7.4546688288529728E-2</v>
      </c>
      <c r="M269" s="844"/>
      <c r="N269" s="844"/>
      <c r="O269" s="48">
        <f>IF(t&lt;Tnet,'2026'!Resal+('2026'!Salim-'2026'!Resal)*(1-EXP(('2026'!Tnet-t)/('2026'!Tau_j))),Resal+(Salim-Resal)*(1-EXP((Tnet-t)/(Tau_j))))*Salcycl</f>
        <v>4.215660890986403E-2</v>
      </c>
      <c r="P269" s="169">
        <f>(INDEX(Models!$BJ269:$BT269,,T269)*(1-R269)+INDEX(Models!$BJ269:$BT269,,T269+1)*R269-ERP_i)*Q269*Ramure*Pc/MaxiM</f>
        <v>7.5693940730826794E-4</v>
      </c>
      <c r="Q269" s="305">
        <f t="shared" si="80"/>
        <v>0.7</v>
      </c>
      <c r="R269" s="177">
        <f t="shared" si="81"/>
        <v>0.57118872281849531</v>
      </c>
      <c r="S269" s="810">
        <f t="shared" si="82"/>
        <v>-1</v>
      </c>
      <c r="T269" s="176">
        <f t="shared" si="83"/>
        <v>5</v>
      </c>
      <c r="U269" s="251">
        <f t="shared" si="84"/>
        <v>-0.42881127718150464</v>
      </c>
      <c r="V269" s="383">
        <f t="shared" si="85"/>
        <v>42.476046722555367</v>
      </c>
      <c r="W269" s="402">
        <f t="shared" si="86"/>
        <v>28.910222060835089</v>
      </c>
      <c r="X269" s="157">
        <f t="shared" si="87"/>
        <v>46642</v>
      </c>
      <c r="Y269" s="385">
        <f t="shared" si="88"/>
        <v>26.426376109718053</v>
      </c>
      <c r="Z269" s="385">
        <f t="shared" si="89"/>
        <v>28.555061368624759</v>
      </c>
      <c r="AA269" s="386">
        <f t="shared" si="90"/>
        <v>32.548234115085997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0.12268477399855046</v>
      </c>
      <c r="AD269" s="231">
        <f>(INDEX(Models!$BJ269:$BT269,,AH269)*(1-AF269)+INDEX(Models!$BJ269:$BT269,,AH269+1)*AF269-ERP_i)*AE269*Ramure*Pc/MaxiM</f>
        <v>4.4568998616656072E-3</v>
      </c>
      <c r="AE269" s="305">
        <f t="shared" si="92"/>
        <v>0.7</v>
      </c>
      <c r="AF269" s="177">
        <f t="shared" si="93"/>
        <v>0.39117877591767947</v>
      </c>
      <c r="AG269" s="810">
        <f t="shared" si="99"/>
        <v>2</v>
      </c>
      <c r="AH269" s="176">
        <f t="shared" si="94"/>
        <v>8</v>
      </c>
      <c r="AI269" s="225">
        <f t="shared" si="95"/>
        <v>2.3911787759176795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13.582739310974601</v>
      </c>
      <c r="C270" s="840"/>
      <c r="D270" s="393">
        <f t="shared" si="77"/>
        <v>14.677191422437019</v>
      </c>
      <c r="E270" s="385">
        <f t="shared" si="100"/>
        <v>15.325606908062259</v>
      </c>
      <c r="F270" s="385">
        <f t="shared" si="78"/>
        <v>15.325993549158863</v>
      </c>
      <c r="G270" s="110">
        <f t="shared" si="101"/>
        <v>0.32218580343231618</v>
      </c>
      <c r="H270" s="414" t="b">
        <f>Wh_hp&gt;='2026'!Maxi_hp</f>
        <v>0</v>
      </c>
      <c r="I270" s="390">
        <f>IF(H270,Wh_hp,'2026'!Maxi_hp)</f>
        <v>45.574582062693615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7.4568224939093541E-2</v>
      </c>
      <c r="M270" s="844"/>
      <c r="N270" s="844"/>
      <c r="O270" s="48">
        <f>IF(t&lt;Tnet,'2026'!Resal+('2026'!Salim-'2026'!Resal)*(1-EXP(('2026'!Tnet-t)/('2026'!Tau_j))),Resal+(Salim-Resal)*(1-EXP((Tnet-t)/(Tau_j))))*Salcycl</f>
        <v>4.2309285988806802E-2</v>
      </c>
      <c r="P270" s="169">
        <f>(INDEX(Models!$BJ270:$BT270,,T270)*(1-R270)+INDEX(Models!$BJ270:$BT270,,T270+1)*R270-ERP_i)*Q270*Ramure*Pc/MaxiM</f>
        <v>7.872611925945855E-4</v>
      </c>
      <c r="Q270" s="305">
        <f t="shared" si="80"/>
        <v>0.7</v>
      </c>
      <c r="R270" s="177">
        <f t="shared" si="81"/>
        <v>0.57151405868106342</v>
      </c>
      <c r="S270" s="810">
        <f t="shared" si="82"/>
        <v>-1</v>
      </c>
      <c r="T270" s="176">
        <f t="shared" si="83"/>
        <v>5</v>
      </c>
      <c r="U270" s="251">
        <f t="shared" si="84"/>
        <v>-0.42848594131893658</v>
      </c>
      <c r="V270" s="383">
        <f t="shared" si="85"/>
        <v>42.125967079669806</v>
      </c>
      <c r="W270" s="402">
        <f t="shared" si="86"/>
        <v>13.582739310974601</v>
      </c>
      <c r="X270" s="157">
        <f t="shared" si="87"/>
        <v>46643</v>
      </c>
      <c r="Y270" s="385">
        <f t="shared" si="88"/>
        <v>12.440569124461232</v>
      </c>
      <c r="Z270" s="385">
        <f t="shared" si="89"/>
        <v>13.442988948204709</v>
      </c>
      <c r="AA270" s="386">
        <f t="shared" si="90"/>
        <v>15.323749383571899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0.12273500357448375</v>
      </c>
      <c r="AD270" s="231">
        <f>(INDEX(Models!$BJ270:$BT270,,AH270)*(1-AF270)+INDEX(Models!$BJ270:$BT270,,AH270+1)*AF270-ERP_i)*AE270*Ramure*Pc/MaxiM</f>
        <v>4.5694689258047299E-3</v>
      </c>
      <c r="AE270" s="305">
        <f t="shared" si="92"/>
        <v>0.7</v>
      </c>
      <c r="AF270" s="177">
        <f t="shared" si="93"/>
        <v>0.39150411178024758</v>
      </c>
      <c r="AG270" s="810">
        <f t="shared" si="99"/>
        <v>2</v>
      </c>
      <c r="AH270" s="176">
        <f t="shared" si="94"/>
        <v>8</v>
      </c>
      <c r="AI270" s="225">
        <f t="shared" si="95"/>
        <v>2.3915041117802476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32.333900075374665</v>
      </c>
      <c r="C271" s="840"/>
      <c r="D271" s="393">
        <f t="shared" ref="D271:D334" si="102">Wh/(1-Ppv)</f>
        <v>34.940071673948424</v>
      </c>
      <c r="E271" s="385">
        <f t="shared" si="100"/>
        <v>36.489465630032512</v>
      </c>
      <c r="F271" s="385">
        <f t="shared" ref="F271:F334" si="103">Wh_sa/(1-Pvg*MEDIAN((-Sdif+Wh/Env_an)/Csdif,0,1))</f>
        <v>36.509643859633861</v>
      </c>
      <c r="G271" s="110">
        <f t="shared" si="101"/>
        <v>0.77383024778039167</v>
      </c>
      <c r="H271" s="414" t="b">
        <f>Wh_hp&gt;='2026'!Maxi_hp</f>
        <v>0</v>
      </c>
      <c r="I271" s="390">
        <f>IF(H271,Wh_hp,'2026'!Maxi_hp)</f>
        <v>44.733439415558536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7.4589761088467932E-2</v>
      </c>
      <c r="M271" s="844"/>
      <c r="N271" s="844"/>
      <c r="O271" s="48">
        <f>IF(t&lt;Tnet,'2026'!Resal+('2026'!Salim-'2026'!Resal)*(1-EXP(('2026'!Tnet-t)/('2026'!Tau_j))),Resal+(Salim-Resal)*(1-EXP((Tnet-t)/(Tau_j))))*Salcycl</f>
        <v>4.24614043897883E-2</v>
      </c>
      <c r="P271" s="169">
        <f>(INDEX(Models!$BJ271:$BT271,,T271)*(1-R271)+INDEX(Models!$BJ271:$BT271,,T271+1)*R271-ERP_i)*Q271*Ramure*Pc/MaxiM</f>
        <v>8.1613828233808401E-4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0.57182680324461188</v>
      </c>
      <c r="S271" s="810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-0.42817319675538812</v>
      </c>
      <c r="V271" s="383">
        <f t="shared" ref="V271:V334" si="110">MaxiM*(1-Ppv)*(1-Pvg)*(1-Psa)</f>
        <v>41.773214337618825</v>
      </c>
      <c r="W271" s="402">
        <f t="shared" ref="W271:W334" si="111">Wh*(A271&gt;Tmaj)</f>
        <v>32.333900075374665</v>
      </c>
      <c r="X271" s="157">
        <f t="shared" ref="X271:X334" si="112">t</f>
        <v>46644</v>
      </c>
      <c r="Y271" s="385">
        <f t="shared" ref="Y271:Y334" si="113">Wh_pvt_s*(1-Ppv)</f>
        <v>29.544154728716478</v>
      </c>
      <c r="Z271" s="385">
        <f t="shared" ref="Z271:Z334" si="114">Wh_sa_s*(1-Psa_s)</f>
        <v>31.925467740087171</v>
      </c>
      <c r="AA271" s="386">
        <f t="shared" ref="AA271:AA334" si="115">Wh_hp*(1-Pvg_s*MEDIAN((-Sdif+Wh/Env_an)/Csdif,0,1))</f>
        <v>36.39408589835795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0.12278418451697935</v>
      </c>
      <c r="AD271" s="231">
        <f>(INDEX(Models!$BJ271:$BT271,,AH271)*(1-AF271)+INDEX(Models!$BJ271:$BT271,,AH271+1)*AF271-ERP_i)*AE271*Ramure*Pc/MaxiM</f>
        <v>4.6739123247902959E-3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0.39181685634379582</v>
      </c>
      <c r="AG271" s="810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2.3918168563437958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36.856274296840866</v>
      </c>
      <c r="C272" s="840"/>
      <c r="D272" s="393">
        <f t="shared" si="102"/>
        <v>39.827884398057947</v>
      </c>
      <c r="E272" s="385">
        <f t="shared" si="100"/>
        <v>41.600608987769832</v>
      </c>
      <c r="F272" s="385">
        <f t="shared" si="103"/>
        <v>41.630199928095912</v>
      </c>
      <c r="G272" s="110">
        <f t="shared" si="101"/>
        <v>0.88973926706983975</v>
      </c>
      <c r="H272" s="414" t="b">
        <f>Wh_hp&gt;='2026'!Maxi_hp</f>
        <v>0</v>
      </c>
      <c r="I272" s="390">
        <f>IF(H272,Wh_hp,'2026'!Maxi_hp)</f>
        <v>45.524121434792207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7.4611296736664778E-2</v>
      </c>
      <c r="M272" s="844"/>
      <c r="N272" s="844"/>
      <c r="O272" s="48">
        <f>IF(t&lt;Tnet,'2026'!Resal+('2026'!Salim-'2026'!Resal)*(1-EXP(('2026'!Tnet-t)/('2026'!Tau_j))),Resal+(Salim-Resal)*(1-EXP((Tnet-t)/(Tau_j))))*Salcycl</f>
        <v>4.2612948051627075E-2</v>
      </c>
      <c r="P272" s="169">
        <f>(INDEX(Models!$BJ272:$BT272,,T272)*(1-R272)+INDEX(Models!$BJ272:$BT272,,T272+1)*R272-ERP_i)*Q272*Ramure*Pc/MaxiM</f>
        <v>8.4353136199397506E-4</v>
      </c>
      <c r="Q272" s="305">
        <f t="shared" si="105"/>
        <v>0.7</v>
      </c>
      <c r="R272" s="177">
        <f t="shared" si="106"/>
        <v>0.57212742453253029</v>
      </c>
      <c r="S272" s="810">
        <f t="shared" si="107"/>
        <v>-1</v>
      </c>
      <c r="T272" s="176">
        <f t="shared" si="108"/>
        <v>5</v>
      </c>
      <c r="U272" s="251">
        <f t="shared" si="109"/>
        <v>-0.42787257546746965</v>
      </c>
      <c r="V272" s="383">
        <f t="shared" si="110"/>
        <v>41.418177627550314</v>
      </c>
      <c r="W272" s="402">
        <f t="shared" si="111"/>
        <v>36.856274296840866</v>
      </c>
      <c r="X272" s="157">
        <f t="shared" si="112"/>
        <v>46645</v>
      </c>
      <c r="Y272" s="385">
        <f t="shared" si="113"/>
        <v>33.656285322865976</v>
      </c>
      <c r="Z272" s="385">
        <f t="shared" si="114"/>
        <v>36.369889976156863</v>
      </c>
      <c r="AA272" s="386">
        <f t="shared" si="115"/>
        <v>41.462868613766894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0.12283227880472819</v>
      </c>
      <c r="AD272" s="231">
        <f>(INDEX(Models!$BJ272:$BT272,,AH272)*(1-AF272)+INDEX(Models!$BJ272:$BT272,,AH272+1)*AF272-ERP_i)*AE272*Ramure*Pc/MaxiM</f>
        <v>4.7700144005151995E-3</v>
      </c>
      <c r="AE272" s="305">
        <f t="shared" si="117"/>
        <v>0.7</v>
      </c>
      <c r="AF272" s="177">
        <f t="shared" si="118"/>
        <v>0.39211747763171445</v>
      </c>
      <c r="AG272" s="810">
        <f t="shared" ref="AG272:AG335" si="124">INDEX(Echel_vg,AH272)</f>
        <v>2</v>
      </c>
      <c r="AH272" s="176">
        <f t="shared" si="119"/>
        <v>8</v>
      </c>
      <c r="AI272" s="225">
        <f t="shared" si="120"/>
        <v>2.3921174776317145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31.619396395161324</v>
      </c>
      <c r="C273" s="840"/>
      <c r="D273" s="393">
        <f t="shared" si="102"/>
        <v>34.169568020795886</v>
      </c>
      <c r="E273" s="385">
        <f t="shared" si="100"/>
        <v>35.696071255460581</v>
      </c>
      <c r="F273" s="385">
        <f t="shared" si="103"/>
        <v>35.71692303739114</v>
      </c>
      <c r="G273" s="110">
        <f t="shared" si="101"/>
        <v>0.76983443352391268</v>
      </c>
      <c r="H273" s="414" t="b">
        <f>Wh_hp&gt;='2026'!Maxi_hp</f>
        <v>0</v>
      </c>
      <c r="I273" s="390">
        <f>IF(H273,Wh_hp,'2026'!Maxi_hp)</f>
        <v>41.220294819613947</v>
      </c>
      <c r="J273" s="85">
        <f>IF(H273,An,'2026'!An_max)</f>
        <v>2020</v>
      </c>
      <c r="K273" s="197">
        <f t="shared" si="104"/>
        <v>46646</v>
      </c>
      <c r="L273" s="147">
        <f>IF(t&lt;Tvie,1-EXP((T0-t)*PertePVj)+'2026'!Pspv,1-EXP((T0-t)*PertePVj)+Pspv)</f>
        <v>7.4632831883695627E-2</v>
      </c>
      <c r="M273" s="844"/>
      <c r="N273" s="844"/>
      <c r="O273" s="48">
        <f>IF(t&lt;Tnet,'2026'!Resal+('2026'!Salim-'2026'!Resal)*(1-EXP(('2026'!Tnet-t)/('2026'!Tau_j))),Resal+(Salim-Resal)*(1-EXP((Tnet-t)/(Tau_j))))*Salcycl</f>
        <v>4.2763900367079617E-2</v>
      </c>
      <c r="P273" s="169">
        <f>(INDEX(Models!$BJ273:$BT273,,T273)*(1-R273)+INDEX(Models!$BJ273:$BT273,,T273+1)*R273-ERP_i)*Q273*Ramure*Pc/MaxiM</f>
        <v>8.6939868138620089E-4</v>
      </c>
      <c r="Q273" s="305">
        <f t="shared" si="105"/>
        <v>0.7</v>
      </c>
      <c r="R273" s="177">
        <f t="shared" si="106"/>
        <v>0.5724163746700468</v>
      </c>
      <c r="S273" s="810">
        <f t="shared" si="107"/>
        <v>-1</v>
      </c>
      <c r="T273" s="176">
        <f t="shared" si="108"/>
        <v>5</v>
      </c>
      <c r="U273" s="251">
        <f t="shared" si="109"/>
        <v>-0.42758362532995314</v>
      </c>
      <c r="V273" s="383">
        <f t="shared" si="110"/>
        <v>41.061245769457209</v>
      </c>
      <c r="W273" s="402">
        <f t="shared" si="111"/>
        <v>31.619396395161324</v>
      </c>
      <c r="X273" s="157">
        <f t="shared" si="112"/>
        <v>46646</v>
      </c>
      <c r="Y273" s="385">
        <f t="shared" si="113"/>
        <v>28.895391421273036</v>
      </c>
      <c r="Z273" s="385">
        <f t="shared" si="114"/>
        <v>31.225866247333006</v>
      </c>
      <c r="AA273" s="386">
        <f t="shared" si="115"/>
        <v>35.600418928401808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0.12287924728826186</v>
      </c>
      <c r="AD273" s="231">
        <f>(INDEX(Models!$BJ273:$BT273,,AH273)*(1-AF273)+INDEX(Models!$BJ273:$BT273,,AH273+1)*AF273-ERP_i)*AE273*Ramure*Pc/MaxiM</f>
        <v>4.8575473822196468E-3</v>
      </c>
      <c r="AE273" s="305">
        <f t="shared" si="117"/>
        <v>0.7</v>
      </c>
      <c r="AF273" s="177">
        <f t="shared" si="118"/>
        <v>0.39240642776923096</v>
      </c>
      <c r="AG273" s="810">
        <f t="shared" si="124"/>
        <v>2</v>
      </c>
      <c r="AH273" s="176">
        <f t="shared" si="119"/>
        <v>8</v>
      </c>
      <c r="AI273" s="225">
        <f t="shared" si="120"/>
        <v>2.392406427769231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41.311083962354104</v>
      </c>
      <c r="C274" s="840"/>
      <c r="D274" s="393">
        <f t="shared" si="102"/>
        <v>44.643949750344092</v>
      </c>
      <c r="E274" s="385">
        <f t="shared" si="100"/>
        <v>46.645715371013452</v>
      </c>
      <c r="F274" s="385">
        <f t="shared" si="103"/>
        <v>46.687439753460581</v>
      </c>
      <c r="G274" s="110">
        <f t="shared" si="101"/>
        <v>1.014944342474754</v>
      </c>
      <c r="H274" s="414" t="b">
        <f>Wh_hp&gt;='2026'!Maxi_hp</f>
        <v>1</v>
      </c>
      <c r="I274" s="390">
        <f>IF(H274,Wh_hp,'2026'!Maxi_hp)</f>
        <v>46.687439753460581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7.4654366529572136E-2</v>
      </c>
      <c r="M274" s="844"/>
      <c r="N274" s="844"/>
      <c r="O274" s="48">
        <f>IF(t&lt;Tnet,'2026'!Resal+('2026'!Salim-'2026'!Resal)*(1-EXP(('2026'!Tnet-t)/('2026'!Tau_j))),Resal+(Salim-Resal)*(1-EXP((Tnet-t)/(Tau_j))))*Salcycl</f>
        <v>4.2914244207589082E-2</v>
      </c>
      <c r="P274" s="169">
        <f>(INDEX(Models!$BJ274:$BT274,,T274)*(1-R274)+INDEX(Models!$BJ274:$BT274,,T274+1)*R274-ERP_i)*Q274*Ramure*Pc/MaxiM</f>
        <v>8.9369609187098362E-4</v>
      </c>
      <c r="Q274" s="305">
        <f t="shared" si="105"/>
        <v>0.7</v>
      </c>
      <c r="R274" s="177">
        <f t="shared" si="106"/>
        <v>0.5726940903061255</v>
      </c>
      <c r="S274" s="810">
        <f t="shared" si="107"/>
        <v>-1</v>
      </c>
      <c r="T274" s="176">
        <f t="shared" si="108"/>
        <v>5</v>
      </c>
      <c r="U274" s="251">
        <f t="shared" si="109"/>
        <v>-0.4273059096938745</v>
      </c>
      <c r="V274" s="383">
        <f t="shared" si="110"/>
        <v>40.702807270815143</v>
      </c>
      <c r="W274" s="402">
        <f t="shared" si="111"/>
        <v>41.311083962354104</v>
      </c>
      <c r="X274" s="157">
        <f t="shared" si="112"/>
        <v>46647</v>
      </c>
      <c r="Y274" s="385">
        <f t="shared" si="113"/>
        <v>37.704365950520092</v>
      </c>
      <c r="Z274" s="385">
        <f t="shared" si="114"/>
        <v>40.746251548314078</v>
      </c>
      <c r="AA274" s="386">
        <f t="shared" si="115"/>
        <v>46.456977864785934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0.12292504977601103</v>
      </c>
      <c r="AD274" s="231">
        <f>(INDEX(Models!$BJ274:$BT274,,AH274)*(1-AF274)+INDEX(Models!$BJ274:$BT274,,AH274+1)*AF274-ERP_i)*AE274*Ramure*Pc/MaxiM</f>
        <v>4.9362717230079216E-3</v>
      </c>
      <c r="AE274" s="305">
        <f t="shared" si="117"/>
        <v>0.7</v>
      </c>
      <c r="AF274" s="177">
        <f t="shared" si="118"/>
        <v>0.39268414340530944</v>
      </c>
      <c r="AG274" s="810">
        <f t="shared" si="124"/>
        <v>2</v>
      </c>
      <c r="AH274" s="176">
        <f t="shared" si="119"/>
        <v>8</v>
      </c>
      <c r="AI274" s="225">
        <f t="shared" si="120"/>
        <v>2.3926841434053094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40.8332825626483</v>
      </c>
      <c r="C275" s="840"/>
      <c r="D275" s="393">
        <f t="shared" si="102"/>
        <v>44.128627572117161</v>
      </c>
      <c r="E275" s="385">
        <f t="shared" si="100"/>
        <v>46.114500674798002</v>
      </c>
      <c r="F275" s="385">
        <f t="shared" si="103"/>
        <v>46.156800921335289</v>
      </c>
      <c r="G275" s="110">
        <f t="shared" si="101"/>
        <v>1.0122234899029148</v>
      </c>
      <c r="H275" s="414" t="b">
        <f>Wh_hp&gt;='2026'!Maxi_hp</f>
        <v>1</v>
      </c>
      <c r="I275" s="390">
        <f>IF(H275,Wh_hp,'2026'!Maxi_hp)</f>
        <v>46.156800921335289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7.4675900674305962E-2</v>
      </c>
      <c r="M275" s="844"/>
      <c r="N275" s="844"/>
      <c r="O275" s="48">
        <f>IF(t&lt;Tnet,'2026'!Resal+('2026'!Salim-'2026'!Resal)*(1-EXP(('2026'!Tnet-t)/('2026'!Tau_j))),Resal+(Salim-Resal)*(1-EXP((Tnet-t)/(Tau_j))))*Salcycl</f>
        <v>4.306396195603051E-2</v>
      </c>
      <c r="P275" s="169">
        <f>(INDEX(Models!$BJ275:$BT275,,T275)*(1-R275)+INDEX(Models!$BJ275:$BT275,,T275+1)*R275-ERP_i)*Q275*Ramure*Pc/MaxiM</f>
        <v>9.1644667075992798E-4</v>
      </c>
      <c r="Q275" s="305">
        <f t="shared" si="105"/>
        <v>0.7</v>
      </c>
      <c r="R275" s="177">
        <f t="shared" si="106"/>
        <v>0.57296099303401182</v>
      </c>
      <c r="S275" s="810">
        <f t="shared" si="107"/>
        <v>-1</v>
      </c>
      <c r="T275" s="176">
        <f t="shared" si="108"/>
        <v>5</v>
      </c>
      <c r="U275" s="251">
        <f t="shared" si="109"/>
        <v>-0.42703900696598818</v>
      </c>
      <c r="V275" s="383">
        <f t="shared" si="110"/>
        <v>40.340184722017007</v>
      </c>
      <c r="W275" s="402">
        <f t="shared" si="111"/>
        <v>40.8332825626483</v>
      </c>
      <c r="X275" s="157">
        <f t="shared" si="112"/>
        <v>46648</v>
      </c>
      <c r="Y275" s="385">
        <f t="shared" si="113"/>
        <v>37.270440227287274</v>
      </c>
      <c r="Z275" s="385">
        <f t="shared" si="114"/>
        <v>40.278255212900149</v>
      </c>
      <c r="AA275" s="386">
        <f t="shared" si="115"/>
        <v>45.925725363745237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0.12296964514148595</v>
      </c>
      <c r="AD275" s="231">
        <f>(INDEX(Models!$BJ275:$BT275,,AH275)*(1-AF275)+INDEX(Models!$BJ275:$BT275,,AH275+1)*AF275-ERP_i)*AE275*Ramure*Pc/MaxiM</f>
        <v>5.0063165769194673E-3</v>
      </c>
      <c r="AE275" s="305">
        <f t="shared" si="117"/>
        <v>0.7</v>
      </c>
      <c r="AF275" s="177">
        <f t="shared" si="118"/>
        <v>0.39295104613319598</v>
      </c>
      <c r="AG275" s="810">
        <f t="shared" si="124"/>
        <v>2</v>
      </c>
      <c r="AH275" s="176">
        <f t="shared" si="119"/>
        <v>8</v>
      </c>
      <c r="AI275" s="225">
        <f t="shared" si="120"/>
        <v>2.392951046133196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39.247525550661308</v>
      </c>
      <c r="C276" s="840"/>
      <c r="D276" s="393">
        <f t="shared" si="102"/>
        <v>42.415883200031772</v>
      </c>
      <c r="E276" s="385">
        <f t="shared" si="100"/>
        <v>44.331585583752705</v>
      </c>
      <c r="F276" s="385">
        <f t="shared" si="103"/>
        <v>44.372069595331666</v>
      </c>
      <c r="G276" s="110">
        <f t="shared" si="101"/>
        <v>0.98187295145578624</v>
      </c>
      <c r="H276" s="414" t="b">
        <f>Wh_hp&gt;='2026'!Maxi_hp</f>
        <v>0</v>
      </c>
      <c r="I276" s="390">
        <f>IF(H276,Wh_hp,'2026'!Maxi_hp)</f>
        <v>44.372878316776635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7.4697434317908762E-2</v>
      </c>
      <c r="M276" s="844"/>
      <c r="N276" s="844"/>
      <c r="O276" s="48">
        <f>IF(t&lt;Tnet,'2026'!Resal+('2026'!Salim-'2026'!Resal)*(1-EXP(('2026'!Tnet-t)/('2026'!Tau_j))),Resal+(Salim-Resal)*(1-EXP((Tnet-t)/(Tau_j))))*Salcycl</f>
        <v>4.3213035547797506E-2</v>
      </c>
      <c r="P276" s="169">
        <f>(INDEX(Models!$BJ276:$BT276,,T276)*(1-R276)+INDEX(Models!$BJ276:$BT276,,T276+1)*R276-ERP_i)*Q276*Ramure*Pc/MaxiM</f>
        <v>9.365980949060333E-4</v>
      </c>
      <c r="Q276" s="305">
        <f t="shared" si="105"/>
        <v>0.7</v>
      </c>
      <c r="R276" s="177">
        <f t="shared" si="106"/>
        <v>0.57321748980942111</v>
      </c>
      <c r="S276" s="810">
        <f t="shared" si="107"/>
        <v>-1</v>
      </c>
      <c r="T276" s="176">
        <f t="shared" si="108"/>
        <v>5</v>
      </c>
      <c r="U276" s="251">
        <f t="shared" si="109"/>
        <v>-0.42678251019057889</v>
      </c>
      <c r="V276" s="383">
        <f t="shared" si="110"/>
        <v>39.971132688012212</v>
      </c>
      <c r="W276" s="402">
        <f t="shared" si="111"/>
        <v>39.247525550661308</v>
      </c>
      <c r="X276" s="157">
        <f t="shared" si="112"/>
        <v>46649</v>
      </c>
      <c r="Y276" s="385">
        <f t="shared" si="113"/>
        <v>35.829400046822634</v>
      </c>
      <c r="Z276" s="385">
        <f t="shared" si="114"/>
        <v>38.721820705652988</v>
      </c>
      <c r="AA276" s="386">
        <f t="shared" si="115"/>
        <v>44.153243238766564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0.12301299145211576</v>
      </c>
      <c r="AD276" s="231">
        <f>(INDEX(Models!$BJ276:$BT276,,AH276)*(1-AF276)+INDEX(Models!$BJ276:$BT276,,AH276+1)*AF276-ERP_i)*AE276*Ramure*Pc/MaxiM</f>
        <v>5.0625503916369649E-3</v>
      </c>
      <c r="AE276" s="305">
        <f t="shared" si="117"/>
        <v>0.7</v>
      </c>
      <c r="AF276" s="177">
        <f t="shared" si="118"/>
        <v>0.39320754290860505</v>
      </c>
      <c r="AG276" s="810">
        <f t="shared" si="124"/>
        <v>2</v>
      </c>
      <c r="AH276" s="176">
        <f t="shared" si="119"/>
        <v>8</v>
      </c>
      <c r="AI276" s="225">
        <f t="shared" si="120"/>
        <v>2.393207542908605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40.893727017660289</v>
      </c>
      <c r="C277" s="840"/>
      <c r="D277" s="393">
        <f t="shared" si="102"/>
        <v>44.196007028718363</v>
      </c>
      <c r="E277" s="385">
        <f t="shared" si="100"/>
        <v>46.19927439466835</v>
      </c>
      <c r="F277" s="385">
        <f t="shared" si="103"/>
        <v>46.243426743251511</v>
      </c>
      <c r="G277" s="110">
        <f t="shared" si="101"/>
        <v>1.0327586983116739</v>
      </c>
      <c r="H277" s="414" t="b">
        <f>Wh_hp&gt;='2026'!Maxi_hp</f>
        <v>1</v>
      </c>
      <c r="I277" s="390">
        <f>IF(H277,Wh_hp,'2026'!Maxi_hp)</f>
        <v>46.243426743251511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7.4718967460392194E-2</v>
      </c>
      <c r="M277" s="844"/>
      <c r="N277" s="844"/>
      <c r="O277" s="48">
        <f>IF(t&lt;Tnet,'2026'!Resal+('2026'!Salim-'2026'!Resal)*(1-EXP(('2026'!Tnet-t)/('2026'!Tau_j))),Resal+(Salim-Resal)*(1-EXP((Tnet-t)/(Tau_j))))*Salcycl</f>
        <v>4.3361446520492911E-2</v>
      </c>
      <c r="P277" s="169">
        <f>(INDEX(Models!$BJ277:$BT277,,T277)*(1-R277)+INDEX(Models!$BJ277:$BT277,,T277+1)*R277-ERP_i)*Q277*Ramure*Pc/MaxiM</f>
        <v>9.547810725251992E-4</v>
      </c>
      <c r="Q277" s="305">
        <f t="shared" si="105"/>
        <v>0.7</v>
      </c>
      <c r="R277" s="177">
        <f t="shared" si="106"/>
        <v>0.57346397336546806</v>
      </c>
      <c r="S277" s="810">
        <f t="shared" si="107"/>
        <v>-1</v>
      </c>
      <c r="T277" s="176">
        <f t="shared" si="108"/>
        <v>5</v>
      </c>
      <c r="U277" s="251">
        <f t="shared" si="109"/>
        <v>-0.42653602663453194</v>
      </c>
      <c r="V277" s="383">
        <f t="shared" si="110"/>
        <v>39.596594136183263</v>
      </c>
      <c r="W277" s="402">
        <f t="shared" si="111"/>
        <v>40.893727017660289</v>
      </c>
      <c r="X277" s="157">
        <f t="shared" si="112"/>
        <v>46650</v>
      </c>
      <c r="Y277" s="385">
        <f t="shared" si="113"/>
        <v>37.331177387332247</v>
      </c>
      <c r="Z277" s="385">
        <f t="shared" si="114"/>
        <v>40.345771797428732</v>
      </c>
      <c r="AA277" s="386">
        <f t="shared" si="115"/>
        <v>46.007188500170678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0.12305504612004146</v>
      </c>
      <c r="AD277" s="231">
        <f>(INDEX(Models!$BJ277:$BT277,,AH277)*(1-AF277)+INDEX(Models!$BJ277:$BT277,,AH277+1)*AF277-ERP_i)*AE277*Ramure*Pc/MaxiM</f>
        <v>5.1085799586707958E-3</v>
      </c>
      <c r="AE277" s="305">
        <f t="shared" si="117"/>
        <v>0.7</v>
      </c>
      <c r="AF277" s="177">
        <f t="shared" si="118"/>
        <v>0.393454026464652</v>
      </c>
      <c r="AG277" s="810">
        <f t="shared" si="124"/>
        <v>2</v>
      </c>
      <c r="AH277" s="176">
        <f t="shared" si="119"/>
        <v>8</v>
      </c>
      <c r="AI277" s="225">
        <f t="shared" si="120"/>
        <v>2.393454026464652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39.535538090574363</v>
      </c>
      <c r="C278" s="840"/>
      <c r="D278" s="393">
        <f t="shared" si="102"/>
        <v>42.729135010148852</v>
      </c>
      <c r="E278" s="385">
        <f t="shared" si="100"/>
        <v>44.672812264619353</v>
      </c>
      <c r="F278" s="385">
        <f t="shared" si="103"/>
        <v>44.716228492902516</v>
      </c>
      <c r="G278" s="110">
        <f t="shared" si="101"/>
        <v>1.0081085802943182</v>
      </c>
      <c r="H278" s="414" t="b">
        <f>Wh_hp&gt;='2026'!Maxi_hp</f>
        <v>1</v>
      </c>
      <c r="I278" s="390">
        <f>IF(H278,Wh_hp,'2026'!Maxi_hp)</f>
        <v>44.716228492902516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7.4740500101768026E-2</v>
      </c>
      <c r="M278" s="844"/>
      <c r="N278" s="844"/>
      <c r="O278" s="48">
        <f>IF(t&lt;Tnet,'2026'!Resal+('2026'!Salim-'2026'!Resal)*(1-EXP(('2026'!Tnet-t)/('2026'!Tau_j))),Resal+(Salim-Resal)*(1-EXP((Tnet-t)/(Tau_j))))*Salcycl</f>
        <v>4.3509176072397945E-2</v>
      </c>
      <c r="P278" s="169">
        <f>(INDEX(Models!$BJ278:$BT278,,T278)*(1-R278)+INDEX(Models!$BJ278:$BT278,,T278+1)*R278-ERP_i)*Q278*Ramure*Pc/MaxiM</f>
        <v>9.7092777603224011E-4</v>
      </c>
      <c r="Q278" s="305">
        <f t="shared" si="105"/>
        <v>0.7</v>
      </c>
      <c r="R278" s="177">
        <f t="shared" si="106"/>
        <v>0.57370082262353828</v>
      </c>
      <c r="S278" s="810">
        <f t="shared" si="107"/>
        <v>-1</v>
      </c>
      <c r="T278" s="176">
        <f t="shared" si="108"/>
        <v>5</v>
      </c>
      <c r="U278" s="251">
        <f t="shared" si="109"/>
        <v>-0.42629917737646178</v>
      </c>
      <c r="V278" s="383">
        <f t="shared" si="110"/>
        <v>39.2175395224113</v>
      </c>
      <c r="W278" s="402">
        <f t="shared" si="111"/>
        <v>39.535538090574363</v>
      </c>
      <c r="X278" s="157">
        <f t="shared" si="112"/>
        <v>46651</v>
      </c>
      <c r="Y278" s="385">
        <f t="shared" si="113"/>
        <v>36.094504975636632</v>
      </c>
      <c r="Z278" s="385">
        <f t="shared" si="114"/>
        <v>39.010142537965422</v>
      </c>
      <c r="AA278" s="386">
        <f t="shared" si="115"/>
        <v>44.486206165698135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0.12309576607490372</v>
      </c>
      <c r="AD278" s="231">
        <f>(INDEX(Models!$BJ278:$BT278,,AH278)*(1-AF278)+INDEX(Models!$BJ278:$BT278,,AH278+1)*AF278-ERP_i)*AE278*Ramure*Pc/MaxiM</f>
        <v>5.1440457962792663E-3</v>
      </c>
      <c r="AE278" s="305">
        <f t="shared" si="117"/>
        <v>0.7</v>
      </c>
      <c r="AF278" s="177">
        <f t="shared" si="118"/>
        <v>0.39369087572272221</v>
      </c>
      <c r="AG278" s="810">
        <f t="shared" si="124"/>
        <v>2</v>
      </c>
      <c r="AH278" s="176">
        <f t="shared" si="119"/>
        <v>8</v>
      </c>
      <c r="AI278" s="225">
        <f t="shared" si="120"/>
        <v>2.3936908757227222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37.794282821492232</v>
      </c>
      <c r="C279" s="840"/>
      <c r="D279" s="393">
        <f t="shared" si="102"/>
        <v>40.848175430020227</v>
      </c>
      <c r="E279" s="385">
        <f t="shared" si="100"/>
        <v>42.712856662142528</v>
      </c>
      <c r="F279" s="385">
        <f t="shared" si="103"/>
        <v>42.753355195536997</v>
      </c>
      <c r="G279" s="110">
        <f t="shared" si="101"/>
        <v>0.973166376251416</v>
      </c>
      <c r="H279" s="414" t="b">
        <f>Wh_hp&gt;='2026'!Maxi_hp</f>
        <v>0</v>
      </c>
      <c r="I279" s="390">
        <f>IF(H279,Wh_hp,'2026'!Maxi_hp)</f>
        <v>42.754558489031218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7.4762032242047805E-2</v>
      </c>
      <c r="M279" s="844"/>
      <c r="N279" s="844"/>
      <c r="O279" s="48">
        <f>IF(t&lt;Tnet,'2026'!Resal+('2026'!Salim-'2026'!Resal)*(1-EXP(('2026'!Tnet-t)/('2026'!Tau_j))),Resal+(Salim-Resal)*(1-EXP((Tnet-t)/(Tau_j))))*Salcycl</f>
        <v>4.3656205129801402E-2</v>
      </c>
      <c r="P279" s="169">
        <f>(INDEX(Models!$BJ279:$BT279,,T279)*(1-R279)+INDEX(Models!$BJ279:$BT279,,T279+1)*R279-ERP_i)*Q279*Ramure*Pc/MaxiM</f>
        <v>9.8496550664910285E-4</v>
      </c>
      <c r="Q279" s="305">
        <f t="shared" si="105"/>
        <v>0.7</v>
      </c>
      <c r="R279" s="177">
        <f t="shared" si="106"/>
        <v>0.57392840309938631</v>
      </c>
      <c r="S279" s="810">
        <f t="shared" si="107"/>
        <v>-1</v>
      </c>
      <c r="T279" s="176">
        <f t="shared" si="108"/>
        <v>5</v>
      </c>
      <c r="U279" s="251">
        <f t="shared" si="109"/>
        <v>-0.42607159690061369</v>
      </c>
      <c r="V279" s="383">
        <f t="shared" si="110"/>
        <v>38.834938538050537</v>
      </c>
      <c r="W279" s="402">
        <f t="shared" si="111"/>
        <v>37.794282821492232</v>
      </c>
      <c r="X279" s="157">
        <f t="shared" si="112"/>
        <v>46652</v>
      </c>
      <c r="Y279" s="385">
        <f t="shared" si="113"/>
        <v>34.513753826367484</v>
      </c>
      <c r="Z279" s="385">
        <f t="shared" si="114"/>
        <v>37.302569748625459</v>
      </c>
      <c r="AA279" s="386">
        <f t="shared" si="115"/>
        <v>42.540840769407986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0.12313510795840878</v>
      </c>
      <c r="AD279" s="231">
        <f>(INDEX(Models!$BJ279:$BT279,,AH279)*(1-AF279)+INDEX(Models!$BJ279:$BT279,,AH279+1)*AF279-ERP_i)*AE279*Ramure*Pc/MaxiM</f>
        <v>5.1685669049677668E-3</v>
      </c>
      <c r="AE279" s="305">
        <f t="shared" si="117"/>
        <v>0.7</v>
      </c>
      <c r="AF279" s="177">
        <f t="shared" si="118"/>
        <v>0.39391845619857024</v>
      </c>
      <c r="AG279" s="810">
        <f t="shared" si="124"/>
        <v>2</v>
      </c>
      <c r="AH279" s="176">
        <f t="shared" si="119"/>
        <v>8</v>
      </c>
      <c r="AI279" s="225">
        <f t="shared" si="120"/>
        <v>2.3939184561985702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23.722452112520859</v>
      </c>
      <c r="C280" s="840"/>
      <c r="D280" s="393">
        <f t="shared" si="102"/>
        <v>25.639894825080631</v>
      </c>
      <c r="E280" s="385">
        <f t="shared" si="100"/>
        <v>26.814434478054853</v>
      </c>
      <c r="F280" s="385">
        <f t="shared" si="103"/>
        <v>26.82654342163374</v>
      </c>
      <c r="G280" s="110">
        <f t="shared" si="101"/>
        <v>0.61663602266198492</v>
      </c>
      <c r="H280" s="414" t="b">
        <f>Wh_hp&gt;='2026'!Maxi_hp</f>
        <v>0</v>
      </c>
      <c r="I280" s="390">
        <f>IF(H280,Wh_hp,'2026'!Maxi_hp)</f>
        <v>39.201858465251448</v>
      </c>
      <c r="J280" s="85">
        <f>IF(H280,An,'2026'!An_max)</f>
        <v>2019</v>
      </c>
      <c r="K280" s="197">
        <f t="shared" si="104"/>
        <v>46653</v>
      </c>
      <c r="L280" s="147">
        <f>IF(t&lt;Tvie,1-EXP((T0-t)*PertePVj)+'2026'!Pspv,1-EXP((T0-t)*PertePVj)+Pspv)</f>
        <v>7.4783563881243187E-2</v>
      </c>
      <c r="M280" s="844"/>
      <c r="N280" s="844"/>
      <c r="O280" s="48">
        <f>IF(t&lt;Tnet,'2026'!Resal+('2026'!Salim-'2026'!Resal)*(1-EXP(('2026'!Tnet-t)/('2026'!Tau_j))),Resal+(Salim-Resal)*(1-EXP((Tnet-t)/(Tau_j))))*Salcycl</f>
        <v>4.3802514423172852E-2</v>
      </c>
      <c r="P280" s="169">
        <f>(INDEX(Models!$BJ280:$BT280,,T280)*(1-R280)+INDEX(Models!$BJ280:$BT280,,T280+1)*R280-ERP_i)*Q280*Ramure*Pc/MaxiM</f>
        <v>9.9682224530162782E-4</v>
      </c>
      <c r="Q280" s="305">
        <f t="shared" si="105"/>
        <v>0.7</v>
      </c>
      <c r="R280" s="177">
        <f t="shared" si="106"/>
        <v>0.57414706730383847</v>
      </c>
      <c r="S280" s="810">
        <f t="shared" si="107"/>
        <v>-1</v>
      </c>
      <c r="T280" s="176">
        <f t="shared" si="108"/>
        <v>5</v>
      </c>
      <c r="U280" s="251">
        <f t="shared" si="109"/>
        <v>-0.42585293269616148</v>
      </c>
      <c r="V280" s="383">
        <f t="shared" si="110"/>
        <v>38.449759909236484</v>
      </c>
      <c r="W280" s="402">
        <f t="shared" si="111"/>
        <v>23.722452112520859</v>
      </c>
      <c r="X280" s="157">
        <f t="shared" si="112"/>
        <v>46653</v>
      </c>
      <c r="Y280" s="385">
        <f t="shared" si="113"/>
        <v>21.71209506264152</v>
      </c>
      <c r="Z280" s="385">
        <f t="shared" si="114"/>
        <v>23.46704426666135</v>
      </c>
      <c r="AA280" s="386">
        <f t="shared" si="115"/>
        <v>26.76359763687341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0.12317302834019032</v>
      </c>
      <c r="AD280" s="231">
        <f>(INDEX(Models!$BJ280:$BT280,,AH280)*(1-AF280)+INDEX(Models!$BJ280:$BT280,,AH280+1)*AF280-ERP_i)*AE280*Ramure*Pc/MaxiM</f>
        <v>5.1817698289119453E-3</v>
      </c>
      <c r="AE280" s="305">
        <f t="shared" si="117"/>
        <v>0.7</v>
      </c>
      <c r="AF280" s="177">
        <f t="shared" si="118"/>
        <v>0.3941371204030224</v>
      </c>
      <c r="AG280" s="810">
        <f t="shared" si="124"/>
        <v>2</v>
      </c>
      <c r="AH280" s="176">
        <f t="shared" si="119"/>
        <v>8</v>
      </c>
      <c r="AI280" s="225">
        <f t="shared" si="120"/>
        <v>2.3941371204030224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15.439931234862444</v>
      </c>
      <c r="C281" s="840"/>
      <c r="D281" s="393">
        <f t="shared" si="102"/>
        <v>16.688301191180496</v>
      </c>
      <c r="E281" s="385">
        <f t="shared" si="100"/>
        <v>17.45543408457133</v>
      </c>
      <c r="F281" s="385">
        <f t="shared" si="103"/>
        <v>17.458085715975123</v>
      </c>
      <c r="G281" s="110">
        <f t="shared" si="101"/>
        <v>0.40529508336827302</v>
      </c>
      <c r="H281" s="414" t="b">
        <f>Wh_hp&gt;='2026'!Maxi_hp</f>
        <v>0</v>
      </c>
      <c r="I281" s="390">
        <f>IF(H281,Wh_hp,'2026'!Maxi_hp)</f>
        <v>36.19529357264706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7.480509501936583E-2</v>
      </c>
      <c r="M281" s="844"/>
      <c r="N281" s="844"/>
      <c r="O281" s="48">
        <f>IF(t&lt;Tnet,'2026'!Resal+('2026'!Salim-'2026'!Resal)*(1-EXP(('2026'!Tnet-t)/('2026'!Tau_j))),Resal+(Salim-Resal)*(1-EXP((Tnet-t)/(Tau_j))))*Salcycl</f>
        <v>4.3948084572064186E-2</v>
      </c>
      <c r="P281" s="169">
        <f>(INDEX(Models!$BJ281:$BT281,,T281)*(1-R281)+INDEX(Models!$BJ281:$BT281,,T281+1)*R281-ERP_i)*Q281*Ramure*Pc/MaxiM</f>
        <v>1.0064191712185029E-3</v>
      </c>
      <c r="Q281" s="305">
        <f t="shared" si="105"/>
        <v>0.7</v>
      </c>
      <c r="R281" s="177">
        <f t="shared" si="106"/>
        <v>0.57435715513754737</v>
      </c>
      <c r="S281" s="810">
        <f t="shared" si="107"/>
        <v>-1</v>
      </c>
      <c r="T281" s="176">
        <f t="shared" si="108"/>
        <v>5</v>
      </c>
      <c r="U281" s="251">
        <f t="shared" si="109"/>
        <v>-0.42564284486245263</v>
      </c>
      <c r="V281" s="383">
        <f t="shared" si="110"/>
        <v>38.062971705537123</v>
      </c>
      <c r="W281" s="402">
        <f t="shared" si="111"/>
        <v>15.439931234862444</v>
      </c>
      <c r="X281" s="157">
        <f t="shared" si="112"/>
        <v>46654</v>
      </c>
      <c r="Y281" s="385">
        <f t="shared" si="113"/>
        <v>14.150958008932289</v>
      </c>
      <c r="Z281" s="385">
        <f t="shared" si="114"/>
        <v>15.295110179220552</v>
      </c>
      <c r="AA281" s="386">
        <f t="shared" si="115"/>
        <v>17.444429312716188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0.12320948395422043</v>
      </c>
      <c r="AD281" s="231">
        <f>(INDEX(Models!$BJ281:$BT281,,AH281)*(1-AF281)+INDEX(Models!$BJ281:$BT281,,AH281+1)*AF281-ERP_i)*AE281*Ramure*Pc/MaxiM</f>
        <v>5.1832490858306308E-3</v>
      </c>
      <c r="AE281" s="305">
        <f t="shared" si="117"/>
        <v>0.7</v>
      </c>
      <c r="AF281" s="177">
        <f t="shared" si="118"/>
        <v>0.39434720823673119</v>
      </c>
      <c r="AG281" s="810">
        <f t="shared" si="124"/>
        <v>2</v>
      </c>
      <c r="AH281" s="176">
        <f t="shared" si="119"/>
        <v>8</v>
      </c>
      <c r="AI281" s="225">
        <f t="shared" si="120"/>
        <v>2.3943472082367312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31.506446557825541</v>
      </c>
      <c r="C282" s="840"/>
      <c r="D282" s="393">
        <f t="shared" si="102"/>
        <v>34.054640385841132</v>
      </c>
      <c r="E282" s="385">
        <f t="shared" si="100"/>
        <v>35.625470560579714</v>
      </c>
      <c r="F282" s="385">
        <f t="shared" si="103"/>
        <v>35.65314902291351</v>
      </c>
      <c r="G282" s="110">
        <f t="shared" si="101"/>
        <v>0.83605866649759142</v>
      </c>
      <c r="H282" s="414" t="b">
        <f>Wh_hp&gt;='2026'!Maxi_hp</f>
        <v>0</v>
      </c>
      <c r="I282" s="390">
        <f>IF(H282,Wh_hp,'2026'!Maxi_hp)</f>
        <v>35.659396613851193</v>
      </c>
      <c r="J282" s="85">
        <f>IF(H282,An,'2026'!An_max)</f>
        <v>2025</v>
      </c>
      <c r="K282" s="197">
        <f t="shared" si="104"/>
        <v>46655</v>
      </c>
      <c r="L282" s="147">
        <f>IF(t&lt;Tvie,1-EXP((T0-t)*PertePVj)+'2026'!Pspv,1-EXP((T0-t)*PertePVj)+Pspv)</f>
        <v>7.4826625656427503E-2</v>
      </c>
      <c r="M282" s="844"/>
      <c r="N282" s="844"/>
      <c r="O282" s="48">
        <f>IF(t&lt;Tnet,'2026'!Resal+('2026'!Salim-'2026'!Resal)*(1-EXP(('2026'!Tnet-t)/('2026'!Tau_j))),Resal+(Salim-Resal)*(1-EXP((Tnet-t)/(Tau_j))))*Salcycl</f>
        <v>4.4092896178520607E-2</v>
      </c>
      <c r="P282" s="169">
        <f>(INDEX(Models!$BJ282:$BT282,,T282)*(1-R282)+INDEX(Models!$BJ282:$BT282,,T282+1)*R282-ERP_i)*Q282*Ramure*Pc/MaxiM</f>
        <v>1.0133724385787907E-3</v>
      </c>
      <c r="Q282" s="305">
        <f t="shared" si="105"/>
        <v>0.7</v>
      </c>
      <c r="R282" s="177">
        <f t="shared" si="106"/>
        <v>0.574558994279322</v>
      </c>
      <c r="S282" s="810">
        <f t="shared" si="107"/>
        <v>-1</v>
      </c>
      <c r="T282" s="176">
        <f t="shared" si="108"/>
        <v>5</v>
      </c>
      <c r="U282" s="251">
        <f t="shared" si="109"/>
        <v>-0.425441005720678</v>
      </c>
      <c r="V282" s="383">
        <f t="shared" si="110"/>
        <v>37.675552593216345</v>
      </c>
      <c r="W282" s="402">
        <f t="shared" si="111"/>
        <v>31.506446557825541</v>
      </c>
      <c r="X282" s="157">
        <f t="shared" si="112"/>
        <v>46655</v>
      </c>
      <c r="Y282" s="385">
        <f t="shared" si="113"/>
        <v>28.805335531135512</v>
      </c>
      <c r="Z282" s="385">
        <f t="shared" si="114"/>
        <v>31.135067577548291</v>
      </c>
      <c r="AA282" s="386">
        <f t="shared" si="115"/>
        <v>35.51168502638086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0.12324443195475729</v>
      </c>
      <c r="AD282" s="231">
        <f>(INDEX(Models!$BJ282:$BT282,,AH282)*(1-AF282)+INDEX(Models!$BJ282:$BT282,,AH282+1)*AF282-ERP_i)*AE282*Ramure*Pc/MaxiM</f>
        <v>5.1793236708222411E-3</v>
      </c>
      <c r="AE282" s="305">
        <f t="shared" si="117"/>
        <v>0.7</v>
      </c>
      <c r="AF282" s="177">
        <f t="shared" si="118"/>
        <v>0.39454904737850605</v>
      </c>
      <c r="AG282" s="810">
        <f t="shared" si="124"/>
        <v>2</v>
      </c>
      <c r="AH282" s="176">
        <f t="shared" si="119"/>
        <v>8</v>
      </c>
      <c r="AI282" s="225">
        <f t="shared" si="120"/>
        <v>2.394549047378506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28.032713598348018</v>
      </c>
      <c r="C283" s="840"/>
      <c r="D283" s="393">
        <f t="shared" si="102"/>
        <v>30.300662290047608</v>
      </c>
      <c r="E283" s="385">
        <f t="shared" si="100"/>
        <v>31.70311057089339</v>
      </c>
      <c r="F283" s="385">
        <f t="shared" si="103"/>
        <v>31.723973457957655</v>
      </c>
      <c r="G283" s="110">
        <f t="shared" si="101"/>
        <v>0.75150890555339567</v>
      </c>
      <c r="H283" s="414" t="b">
        <f>Wh_hp&gt;='2026'!Maxi_hp</f>
        <v>0</v>
      </c>
      <c r="I283" s="390">
        <f>IF(H283,Wh_hp,'2026'!Maxi_hp)</f>
        <v>36.254189031669213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7.4848155792439863E-2</v>
      </c>
      <c r="M283" s="844"/>
      <c r="N283" s="844"/>
      <c r="O283" s="48">
        <f>IF(t&lt;Tnet,'2026'!Resal+('2026'!Salim-'2026'!Resal)*(1-EXP(('2026'!Tnet-t)/('2026'!Tau_j))),Resal+(Salim-Resal)*(1-EXP((Tnet-t)/(Tau_j))))*Salcycl</f>
        <v>4.4236929928679232E-2</v>
      </c>
      <c r="P283" s="169">
        <f>(INDEX(Models!$BJ283:$BT283,,T283)*(1-R283)+INDEX(Models!$BJ283:$BT283,,T283+1)*R283-ERP_i)*Q283*Ramure*Pc/MaxiM</f>
        <v>1.018960095900482E-3</v>
      </c>
      <c r="Q283" s="305">
        <f t="shared" si="105"/>
        <v>0.7</v>
      </c>
      <c r="R283" s="177">
        <f t="shared" si="106"/>
        <v>0.5747529005676244</v>
      </c>
      <c r="S283" s="810">
        <f t="shared" si="107"/>
        <v>-1</v>
      </c>
      <c r="T283" s="176">
        <f t="shared" si="108"/>
        <v>5</v>
      </c>
      <c r="U283" s="251">
        <f t="shared" si="109"/>
        <v>-0.42524709943237565</v>
      </c>
      <c r="V283" s="383">
        <f t="shared" si="110"/>
        <v>37.288417853664733</v>
      </c>
      <c r="W283" s="402">
        <f t="shared" si="111"/>
        <v>28.032713598348018</v>
      </c>
      <c r="X283" s="157">
        <f t="shared" si="112"/>
        <v>46656</v>
      </c>
      <c r="Y283" s="385">
        <f t="shared" si="113"/>
        <v>25.645386085690397</v>
      </c>
      <c r="Z283" s="385">
        <f t="shared" si="114"/>
        <v>27.720191281310132</v>
      </c>
      <c r="AA283" s="386">
        <f t="shared" si="115"/>
        <v>31.61798827025806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0.12327783019055803</v>
      </c>
      <c r="AD283" s="231">
        <f>(INDEX(Models!$BJ283:$BT283,,AH283)*(1-AF283)+INDEX(Models!$BJ283:$BT283,,AH283+1)*AF283-ERP_i)*AE283*Ramure*Pc/MaxiM</f>
        <v>5.176401362369268E-3</v>
      </c>
      <c r="AE283" s="305">
        <f t="shared" si="117"/>
        <v>0.7</v>
      </c>
      <c r="AF283" s="177">
        <f t="shared" si="118"/>
        <v>0.39474295366680812</v>
      </c>
      <c r="AG283" s="810">
        <f t="shared" si="124"/>
        <v>2</v>
      </c>
      <c r="AH283" s="176">
        <f t="shared" si="119"/>
        <v>8</v>
      </c>
      <c r="AI283" s="225">
        <f t="shared" si="120"/>
        <v>2.3947429536668081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16.818922695826981</v>
      </c>
      <c r="C284" s="840"/>
      <c r="D284" s="393">
        <f t="shared" si="102"/>
        <v>18.180057912811339</v>
      </c>
      <c r="E284" s="385">
        <f t="shared" si="100"/>
        <v>19.02436228230161</v>
      </c>
      <c r="F284" s="385">
        <f t="shared" si="103"/>
        <v>19.028694489043456</v>
      </c>
      <c r="G284" s="110">
        <f t="shared" si="101"/>
        <v>0.4554034475174692</v>
      </c>
      <c r="H284" s="414" t="b">
        <f>Wh_hp&gt;='2026'!Maxi_hp</f>
        <v>0</v>
      </c>
      <c r="I284" s="390">
        <f>IF(H284,Wh_hp,'2026'!Maxi_hp)</f>
        <v>33.919915372274694</v>
      </c>
      <c r="J284" s="85">
        <f>IF(H284,An,'2026'!An_max)</f>
        <v>2019</v>
      </c>
      <c r="K284" s="197">
        <f t="shared" si="104"/>
        <v>46657</v>
      </c>
      <c r="L284" s="147">
        <f>IF(t&lt;Tvie,1-EXP((T0-t)*PertePVj)+'2026'!Pspv,1-EXP((T0-t)*PertePVj)+Pspv)</f>
        <v>7.4869685427414345E-2</v>
      </c>
      <c r="M284" s="844"/>
      <c r="N284" s="844"/>
      <c r="O284" s="48">
        <f>IF(t&lt;Tnet,'2026'!Resal+('2026'!Salim-'2026'!Resal)*(1-EXP(('2026'!Tnet-t)/('2026'!Tau_j))),Resal+(Salim-Resal)*(1-EXP((Tnet-t)/(Tau_j))))*Salcycl</f>
        <v>4.4380166702130547E-2</v>
      </c>
      <c r="P284" s="169">
        <f>(INDEX(Models!$BJ284:$BT284,,T284)*(1-R284)+INDEX(Models!$BJ284:$BT284,,T284+1)*R284-ERP_i)*Q284*Ramure*Pc/MaxiM</f>
        <v>1.0231171388159503E-3</v>
      </c>
      <c r="Q284" s="305">
        <f t="shared" si="105"/>
        <v>0.7</v>
      </c>
      <c r="R284" s="177">
        <f t="shared" si="106"/>
        <v>0.57493917837487973</v>
      </c>
      <c r="S284" s="810">
        <f t="shared" si="107"/>
        <v>-1</v>
      </c>
      <c r="T284" s="176">
        <f t="shared" si="108"/>
        <v>5</v>
      </c>
      <c r="U284" s="251">
        <f t="shared" si="109"/>
        <v>-0.42506082162512027</v>
      </c>
      <c r="V284" s="383">
        <f t="shared" si="110"/>
        <v>36.902533626667328</v>
      </c>
      <c r="W284" s="402">
        <f t="shared" si="111"/>
        <v>16.818922695826981</v>
      </c>
      <c r="X284" s="157">
        <f t="shared" si="112"/>
        <v>46657</v>
      </c>
      <c r="Y284" s="385">
        <f t="shared" si="113"/>
        <v>15.415506419973154</v>
      </c>
      <c r="Z284" s="385">
        <f t="shared" si="114"/>
        <v>16.663064843027207</v>
      </c>
      <c r="AA284" s="386">
        <f t="shared" si="115"/>
        <v>19.006784556671768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0.12330963749583129</v>
      </c>
      <c r="AD284" s="231">
        <f>(INDEX(Models!$BJ284:$BT284,,AH284)*(1-AF284)+INDEX(Models!$BJ284:$BT284,,AH284+1)*AF284-ERP_i)*AE284*Ramure*Pc/MaxiM</f>
        <v>5.1743669348102419E-3</v>
      </c>
      <c r="AE284" s="305">
        <f t="shared" si="117"/>
        <v>0.7</v>
      </c>
      <c r="AF284" s="177">
        <f t="shared" si="118"/>
        <v>0.39492923147406378</v>
      </c>
      <c r="AG284" s="810">
        <f t="shared" si="124"/>
        <v>2</v>
      </c>
      <c r="AH284" s="176">
        <f t="shared" si="119"/>
        <v>8</v>
      </c>
      <c r="AI284" s="225">
        <f t="shared" si="120"/>
        <v>2.3949292314740638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18.982114278089057</v>
      </c>
      <c r="C285" s="840"/>
      <c r="D285" s="393">
        <f t="shared" si="102"/>
        <v>20.518791494438954</v>
      </c>
      <c r="E285" s="385">
        <f t="shared" si="100"/>
        <v>21.47491006072034</v>
      </c>
      <c r="F285" s="385">
        <f t="shared" si="103"/>
        <v>21.481828885872407</v>
      </c>
      <c r="G285" s="110">
        <f t="shared" si="101"/>
        <v>0.51942337552238049</v>
      </c>
      <c r="H285" s="414" t="b">
        <f>Wh_hp&gt;='2026'!Maxi_hp</f>
        <v>0</v>
      </c>
      <c r="I285" s="390">
        <f>IF(H285,Wh_hp,'2026'!Maxi_hp)</f>
        <v>35.820962356484351</v>
      </c>
      <c r="J285" s="85">
        <f>IF(H285,An,'2026'!An_max)</f>
        <v>2019</v>
      </c>
      <c r="K285" s="197">
        <f t="shared" si="104"/>
        <v>46658</v>
      </c>
      <c r="L285" s="147">
        <f>IF(t&lt;Tvie,1-EXP((T0-t)*PertePVj)+'2026'!Pspv,1-EXP((T0-t)*PertePVj)+Pspv)</f>
        <v>7.489121456136294E-2</v>
      </c>
      <c r="M285" s="844"/>
      <c r="N285" s="844"/>
      <c r="O285" s="48">
        <f>IF(t&lt;Tnet,'2026'!Resal+('2026'!Salim-'2026'!Resal)*(1-EXP(('2026'!Tnet-t)/('2026'!Tau_j))),Resal+(Salim-Resal)*(1-EXP((Tnet-t)/(Tau_j))))*Salcycl</f>
        <v>4.4522587688514602E-2</v>
      </c>
      <c r="P285" s="169">
        <f>(INDEX(Models!$BJ285:$BT285,,T285)*(1-R285)+INDEX(Models!$BJ285:$BT285,,T285+1)*R285-ERP_i)*Q285*Ramure*Pc/MaxiM</f>
        <v>1.0257762976518495E-3</v>
      </c>
      <c r="Q285" s="305">
        <f t="shared" si="105"/>
        <v>0.7</v>
      </c>
      <c r="R285" s="177">
        <f t="shared" si="106"/>
        <v>0.57511812097430903</v>
      </c>
      <c r="S285" s="810">
        <f t="shared" si="107"/>
        <v>-1</v>
      </c>
      <c r="T285" s="176">
        <f t="shared" si="108"/>
        <v>5</v>
      </c>
      <c r="U285" s="251">
        <f t="shared" si="109"/>
        <v>-0.42488187902569097</v>
      </c>
      <c r="V285" s="383">
        <f t="shared" si="110"/>
        <v>36.51886531771455</v>
      </c>
      <c r="W285" s="402">
        <f t="shared" si="111"/>
        <v>18.982114278089057</v>
      </c>
      <c r="X285" s="157">
        <f t="shared" si="112"/>
        <v>46658</v>
      </c>
      <c r="Y285" s="385">
        <f t="shared" si="113"/>
        <v>17.393595041635276</v>
      </c>
      <c r="Z285" s="385">
        <f t="shared" si="114"/>
        <v>18.801675343930675</v>
      </c>
      <c r="AA285" s="386">
        <f t="shared" si="115"/>
        <v>21.446936502997868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0.12333981399615909</v>
      </c>
      <c r="AD285" s="231">
        <f>(INDEX(Models!$BJ285:$BT285,,AH285)*(1-AF285)+INDEX(Models!$BJ285:$BT285,,AH285+1)*AF285-ERP_i)*AE285*Ramure*Pc/MaxiM</f>
        <v>5.1731007121353766E-3</v>
      </c>
      <c r="AE285" s="305">
        <f t="shared" si="117"/>
        <v>0.7</v>
      </c>
      <c r="AF285" s="177">
        <f t="shared" si="118"/>
        <v>0.39510817407349297</v>
      </c>
      <c r="AG285" s="810">
        <f t="shared" si="124"/>
        <v>2</v>
      </c>
      <c r="AH285" s="176">
        <f t="shared" si="119"/>
        <v>8</v>
      </c>
      <c r="AI285" s="225">
        <f t="shared" si="120"/>
        <v>2.395108174073493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22.386048506855129</v>
      </c>
      <c r="C286" s="840"/>
      <c r="D286" s="393">
        <f t="shared" si="102"/>
        <v>24.198850802629629</v>
      </c>
      <c r="E286" s="385">
        <f t="shared" si="100"/>
        <v>25.330203428973483</v>
      </c>
      <c r="F286" s="385">
        <f t="shared" si="103"/>
        <v>25.34207933624544</v>
      </c>
      <c r="G286" s="110">
        <f t="shared" si="101"/>
        <v>0.61910764256889828</v>
      </c>
      <c r="H286" s="414" t="b">
        <f>Wh_hp&gt;='2026'!Maxi_hp</f>
        <v>0</v>
      </c>
      <c r="I286" s="390">
        <f>IF(H286,Wh_hp,'2026'!Maxi_hp)</f>
        <v>39.441971628235159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7.4912743194296971E-2</v>
      </c>
      <c r="M286" s="844"/>
      <c r="N286" s="844"/>
      <c r="O286" s="48">
        <f>IF(t&lt;Tnet,'2026'!Resal+('2026'!Salim-'2026'!Resal)*(1-EXP(('2026'!Tnet-t)/('2026'!Tau_j))),Resal+(Salim-Resal)*(1-EXP((Tnet-t)/(Tau_j))))*Salcycl</f>
        <v>4.4664174510725664E-2</v>
      </c>
      <c r="P286" s="169">
        <f>(INDEX(Models!$BJ286:$BT286,,T286)*(1-R286)+INDEX(Models!$BJ286:$BT286,,T286+1)*R286-ERP_i)*Q286*Ramure*Pc/MaxiM</f>
        <v>1.0268684010177945E-3</v>
      </c>
      <c r="Q286" s="305">
        <f t="shared" si="105"/>
        <v>0.7</v>
      </c>
      <c r="R286" s="177">
        <f t="shared" si="106"/>
        <v>0.57529001089903731</v>
      </c>
      <c r="S286" s="810">
        <f t="shared" si="107"/>
        <v>-1</v>
      </c>
      <c r="T286" s="176">
        <f t="shared" si="108"/>
        <v>5</v>
      </c>
      <c r="U286" s="251">
        <f t="shared" si="109"/>
        <v>-0.42470998910096275</v>
      </c>
      <c r="V286" s="383">
        <f t="shared" si="110"/>
        <v>36.138377599892067</v>
      </c>
      <c r="W286" s="402">
        <f t="shared" si="111"/>
        <v>22.386048506855129</v>
      </c>
      <c r="X286" s="157">
        <f t="shared" si="112"/>
        <v>46659</v>
      </c>
      <c r="Y286" s="385">
        <f t="shared" si="113"/>
        <v>20.502920647752905</v>
      </c>
      <c r="Z286" s="385">
        <f t="shared" si="114"/>
        <v>22.163228924532849</v>
      </c>
      <c r="AA286" s="386">
        <f t="shared" si="115"/>
        <v>25.28225874818996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0.12336832142738891</v>
      </c>
      <c r="AD286" s="231">
        <f>(INDEX(Models!$BJ286:$BT286,,AH286)*(1-AF286)+INDEX(Models!$BJ286:$BT286,,AH286+1)*AF286-ERP_i)*AE286*Ramure*Pc/MaxiM</f>
        <v>5.1724782113716531E-3</v>
      </c>
      <c r="AE286" s="305">
        <f t="shared" si="117"/>
        <v>0.7</v>
      </c>
      <c r="AF286" s="177">
        <f t="shared" si="118"/>
        <v>0.39528006399822102</v>
      </c>
      <c r="AG286" s="810">
        <f t="shared" si="124"/>
        <v>2</v>
      </c>
      <c r="AH286" s="176">
        <f t="shared" si="119"/>
        <v>8</v>
      </c>
      <c r="AI286" s="225">
        <f t="shared" si="120"/>
        <v>2.395280063998221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25.6014919789564</v>
      </c>
      <c r="C287" s="840"/>
      <c r="D287" s="393">
        <f t="shared" si="102"/>
        <v>27.675322072151779</v>
      </c>
      <c r="E287" s="385">
        <f t="shared" si="100"/>
        <v>28.973476039784657</v>
      </c>
      <c r="F287" s="385">
        <f t="shared" si="103"/>
        <v>28.991153682007266</v>
      </c>
      <c r="G287" s="110">
        <f t="shared" si="101"/>
        <v>0.7155862706126761</v>
      </c>
      <c r="H287" s="414" t="b">
        <f>Wh_hp&gt;='2026'!Maxi_hp</f>
        <v>0</v>
      </c>
      <c r="I287" s="390">
        <f>IF(H287,Wh_hp,'2026'!Maxi_hp)</f>
        <v>33.387052918801814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7.493427132622843E-2</v>
      </c>
      <c r="M287" s="844"/>
      <c r="N287" s="844"/>
      <c r="O287" s="48">
        <f>IF(t&lt;Tnet,'2026'!Resal+('2026'!Salim-'2026'!Resal)*(1-EXP(('2026'!Tnet-t)/('2026'!Tau_j))),Resal+(Salim-Resal)*(1-EXP((Tnet-t)/(Tau_j))))*Salcycl</f>
        <v>4.4804909354001235E-2</v>
      </c>
      <c r="P287" s="169">
        <f>(INDEX(Models!$BJ287:$BT287,,T287)*(1-R287)+INDEX(Models!$BJ287:$BT287,,T287+1)*R287-ERP_i)*Q287*Ramure*Pc/MaxiM</f>
        <v>1.0263227989450476E-3</v>
      </c>
      <c r="Q287" s="305">
        <f t="shared" si="105"/>
        <v>0.7</v>
      </c>
      <c r="R287" s="177">
        <f t="shared" si="106"/>
        <v>0.57545512029328449</v>
      </c>
      <c r="S287" s="810">
        <f t="shared" si="107"/>
        <v>-1</v>
      </c>
      <c r="T287" s="176">
        <f t="shared" si="108"/>
        <v>5</v>
      </c>
      <c r="U287" s="251">
        <f t="shared" si="109"/>
        <v>-0.42454487970671556</v>
      </c>
      <c r="V287" s="383">
        <f t="shared" si="110"/>
        <v>35.762034419465948</v>
      </c>
      <c r="W287" s="402">
        <f t="shared" si="111"/>
        <v>25.6014919789564</v>
      </c>
      <c r="X287" s="157">
        <f t="shared" si="112"/>
        <v>46660</v>
      </c>
      <c r="Y287" s="385">
        <f t="shared" si="113"/>
        <v>23.437178337335144</v>
      </c>
      <c r="Z287" s="385">
        <f t="shared" si="114"/>
        <v>25.335689790320149</v>
      </c>
      <c r="AA287" s="386">
        <f t="shared" si="115"/>
        <v>28.902063482094508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0.12339512346527819</v>
      </c>
      <c r="AD287" s="231">
        <f>(INDEX(Models!$BJ287:$BT287,,AH287)*(1-AF287)+INDEX(Models!$BJ287:$BT287,,AH287+1)*AF287-ERP_i)*AE287*Ramure*Pc/MaxiM</f>
        <v>5.1723698319954495E-3</v>
      </c>
      <c r="AE287" s="305">
        <f t="shared" si="117"/>
        <v>0.7</v>
      </c>
      <c r="AF287" s="177">
        <f t="shared" si="118"/>
        <v>0.39544517339246843</v>
      </c>
      <c r="AG287" s="810">
        <f t="shared" si="124"/>
        <v>2</v>
      </c>
      <c r="AH287" s="176">
        <f t="shared" si="119"/>
        <v>8</v>
      </c>
      <c r="AI287" s="225">
        <f t="shared" si="120"/>
        <v>2.3954451733924684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32.16539467243048</v>
      </c>
      <c r="C288" s="840"/>
      <c r="D288" s="393">
        <f t="shared" si="102"/>
        <v>34.771738081455375</v>
      </c>
      <c r="E288" s="385">
        <f t="shared" si="100"/>
        <v>36.408091568840035</v>
      </c>
      <c r="F288" s="385">
        <f t="shared" si="103"/>
        <v>36.440550584471389</v>
      </c>
      <c r="G288" s="110">
        <f t="shared" si="101"/>
        <v>0.90874190984563397</v>
      </c>
      <c r="H288" s="414" t="b">
        <f>Wh_hp&gt;='2026'!Maxi_hp</f>
        <v>0</v>
      </c>
      <c r="I288" s="390">
        <f>IF(H288,Wh_hp,'2026'!Maxi_hp)</f>
        <v>39.381811318036526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7.495579895716864E-2</v>
      </c>
      <c r="M288" s="844"/>
      <c r="N288" s="844"/>
      <c r="O288" s="48">
        <f>IF(t&lt;Tnet,'2026'!Resal+('2026'!Salim-'2026'!Resal)*(1-EXP(('2026'!Tnet-t)/('2026'!Tau_j))),Resal+(Salim-Resal)*(1-EXP((Tnet-t)/(Tau_j))))*Salcycl</f>
        <v>4.494477510008061E-2</v>
      </c>
      <c r="P288" s="169">
        <f>(INDEX(Models!$BJ288:$BT288,,T288)*(1-R288)+INDEX(Models!$BJ288:$BT288,,T288+1)*R288-ERP_i)*Q288*Ramure*Pc/MaxiM</f>
        <v>1.0240678504700106E-3</v>
      </c>
      <c r="Q288" s="305">
        <f t="shared" si="105"/>
        <v>0.7</v>
      </c>
      <c r="R288" s="177">
        <f t="shared" si="106"/>
        <v>0.57561371125548311</v>
      </c>
      <c r="S288" s="810">
        <f t="shared" si="107"/>
        <v>-1</v>
      </c>
      <c r="T288" s="176">
        <f t="shared" si="108"/>
        <v>5</v>
      </c>
      <c r="U288" s="251">
        <f t="shared" si="109"/>
        <v>-0.42438628874451695</v>
      </c>
      <c r="V288" s="383">
        <f t="shared" si="110"/>
        <v>35.390798995829307</v>
      </c>
      <c r="W288" s="402">
        <f t="shared" si="111"/>
        <v>32.16539467243048</v>
      </c>
      <c r="X288" s="157">
        <f t="shared" si="112"/>
        <v>46661</v>
      </c>
      <c r="Y288" s="385">
        <f t="shared" si="113"/>
        <v>29.41578887538078</v>
      </c>
      <c r="Z288" s="385">
        <f t="shared" si="114"/>
        <v>31.799333309932042</v>
      </c>
      <c r="AA288" s="386">
        <f t="shared" si="115"/>
        <v>36.276597754548298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0.12342018606347681</v>
      </c>
      <c r="AD288" s="231">
        <f>(INDEX(Models!$BJ288:$BT288,,AH288)*(1-AF288)+INDEX(Models!$BJ288:$BT288,,AH288+1)*AF288-ERP_i)*AE288*Ramure*Pc/MaxiM</f>
        <v>5.1726406008332608E-3</v>
      </c>
      <c r="AE288" s="305">
        <f t="shared" si="117"/>
        <v>0.7</v>
      </c>
      <c r="AF288" s="177">
        <f t="shared" si="118"/>
        <v>0.39560376435466704</v>
      </c>
      <c r="AG288" s="810">
        <f t="shared" si="124"/>
        <v>2</v>
      </c>
      <c r="AH288" s="176">
        <f t="shared" si="119"/>
        <v>8</v>
      </c>
      <c r="AI288" s="225">
        <f t="shared" si="120"/>
        <v>2.395603764354667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33.886694612223302</v>
      </c>
      <c r="C289" s="840"/>
      <c r="D289" s="393">
        <f t="shared" si="102"/>
        <v>36.633366476176938</v>
      </c>
      <c r="E289" s="385">
        <f t="shared" si="100"/>
        <v>38.362910554565005</v>
      </c>
      <c r="F289" s="385">
        <f t="shared" si="103"/>
        <v>38.400267882345972</v>
      </c>
      <c r="G289" s="110">
        <f t="shared" si="101"/>
        <v>0.96751516479359811</v>
      </c>
      <c r="H289" s="414" t="b">
        <f>Wh_hp&gt;='2026'!Maxi_hp</f>
        <v>0</v>
      </c>
      <c r="I289" s="390">
        <f>IF(H289,Wh_hp,'2026'!Maxi_hp)</f>
        <v>38.401584312241624</v>
      </c>
      <c r="J289" s="85">
        <f>IF(H289,An,'2026'!An_max)</f>
        <v>2025</v>
      </c>
      <c r="K289" s="197">
        <f t="shared" si="104"/>
        <v>46662</v>
      </c>
      <c r="L289" s="147">
        <f>IF(t&lt;Tvie,1-EXP((T0-t)*PertePVj)+'2026'!Pspv,1-EXP((T0-t)*PertePVj)+Pspv)</f>
        <v>7.4977326087129481E-2</v>
      </c>
      <c r="M289" s="844"/>
      <c r="N289" s="844"/>
      <c r="O289" s="48">
        <f>IF(t&lt;Tnet,'2026'!Resal+('2026'!Salim-'2026'!Resal)*(1-EXP(('2026'!Tnet-t)/('2026'!Tau_j))),Resal+(Salim-Resal)*(1-EXP((Tnet-t)/(Tau_j))))*Salcycl</f>
        <v>4.5083755465531547E-2</v>
      </c>
      <c r="P289" s="169">
        <f>(INDEX(Models!$BJ289:$BT289,,T289)*(1-R289)+INDEX(Models!$BJ289:$BT289,,T289+1)*R289-ERP_i)*Q289*Ramure*Pc/MaxiM</f>
        <v>1.0201139001244721E-3</v>
      </c>
      <c r="Q289" s="305">
        <f t="shared" si="105"/>
        <v>0.7</v>
      </c>
      <c r="R289" s="177">
        <f t="shared" si="106"/>
        <v>0.57576603617320821</v>
      </c>
      <c r="S289" s="810">
        <f t="shared" si="107"/>
        <v>-1</v>
      </c>
      <c r="T289" s="176">
        <f t="shared" si="108"/>
        <v>5</v>
      </c>
      <c r="U289" s="251">
        <f t="shared" si="109"/>
        <v>-0.42423396382679185</v>
      </c>
      <c r="V289" s="383">
        <f t="shared" si="110"/>
        <v>35.022801025698399</v>
      </c>
      <c r="W289" s="402">
        <f t="shared" si="111"/>
        <v>33.886694612223302</v>
      </c>
      <c r="X289" s="157">
        <f t="shared" si="112"/>
        <v>46662</v>
      </c>
      <c r="Y289" s="385">
        <f t="shared" si="113"/>
        <v>30.982647424510027</v>
      </c>
      <c r="Z289" s="385">
        <f t="shared" si="114"/>
        <v>33.493932957829678</v>
      </c>
      <c r="AA289" s="386">
        <f t="shared" si="115"/>
        <v>38.210807984932885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0.12344347779725415</v>
      </c>
      <c r="AD289" s="231">
        <f>(INDEX(Models!$BJ289:$BT289,,AH289)*(1-AF289)+INDEX(Models!$BJ289:$BT289,,AH289+1)*AF289-ERP_i)*AE289*Ramure*Pc/MaxiM</f>
        <v>5.1735679811055037E-3</v>
      </c>
      <c r="AE289" s="305">
        <f t="shared" si="117"/>
        <v>0.7</v>
      </c>
      <c r="AF289" s="177">
        <f t="shared" si="118"/>
        <v>0.39575608927239214</v>
      </c>
      <c r="AG289" s="810">
        <f t="shared" si="124"/>
        <v>2</v>
      </c>
      <c r="AH289" s="176">
        <f t="shared" si="119"/>
        <v>8</v>
      </c>
      <c r="AI289" s="225">
        <f t="shared" si="120"/>
        <v>2.3957560892723921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33.250204984998334</v>
      </c>
      <c r="C290" s="840"/>
      <c r="D290" s="393">
        <f t="shared" si="102"/>
        <v>35.946122967125405</v>
      </c>
      <c r="E290" s="385">
        <f t="shared" si="100"/>
        <v>37.648664674394922</v>
      </c>
      <c r="F290" s="385">
        <f t="shared" si="103"/>
        <v>37.684806875134747</v>
      </c>
      <c r="G290" s="110">
        <f t="shared" si="101"/>
        <v>0.95939202540429047</v>
      </c>
      <c r="H290" s="414" t="b">
        <f>Wh_hp&gt;='2026'!Maxi_hp</f>
        <v>0</v>
      </c>
      <c r="I290" s="390">
        <f>IF(H290,Wh_hp,'2026'!Maxi_hp)</f>
        <v>37.686415036391168</v>
      </c>
      <c r="J290" s="85">
        <f>IF(H290,An,'2026'!An_max)</f>
        <v>2025</v>
      </c>
      <c r="K290" s="197">
        <f t="shared" si="104"/>
        <v>46663</v>
      </c>
      <c r="L290" s="147">
        <f>IF(t&lt;Tvie,1-EXP((T0-t)*PertePVj)+'2026'!Pspv,1-EXP((T0-t)*PertePVj)+Pspv)</f>
        <v>7.499885271612261E-2</v>
      </c>
      <c r="M290" s="844"/>
      <c r="N290" s="844"/>
      <c r="O290" s="48">
        <f>IF(t&lt;Tnet,'2026'!Resal+('2026'!Salim-'2026'!Resal)*(1-EXP(('2026'!Tnet-t)/('2026'!Tau_j))),Resal+(Salim-Resal)*(1-EXP((Tnet-t)/(Tau_j))))*Salcycl</f>
        <v>4.5221835143264028E-2</v>
      </c>
      <c r="P290" s="169">
        <f>(INDEX(Models!$BJ290:$BT290,,T290)*(1-R290)+INDEX(Models!$BJ290:$BT290,,T290+1)*R290-ERP_i)*Q290*Ramure*Pc/MaxiM</f>
        <v>1.0180411834851014E-3</v>
      </c>
      <c r="Q290" s="305">
        <f t="shared" si="105"/>
        <v>0.7</v>
      </c>
      <c r="R290" s="177">
        <f t="shared" si="106"/>
        <v>0.57591233804983855</v>
      </c>
      <c r="S290" s="810">
        <f t="shared" si="107"/>
        <v>-1</v>
      </c>
      <c r="T290" s="176">
        <f t="shared" si="108"/>
        <v>5</v>
      </c>
      <c r="U290" s="251">
        <f t="shared" si="109"/>
        <v>-0.4240876619501614</v>
      </c>
      <c r="V290" s="383">
        <f t="shared" si="110"/>
        <v>34.655533161454912</v>
      </c>
      <c r="W290" s="402">
        <f t="shared" si="111"/>
        <v>33.250204984998334</v>
      </c>
      <c r="X290" s="157">
        <f t="shared" si="112"/>
        <v>46663</v>
      </c>
      <c r="Y290" s="385">
        <f t="shared" si="113"/>
        <v>30.405313455664182</v>
      </c>
      <c r="Z290" s="385">
        <f t="shared" si="114"/>
        <v>32.870568371665996</v>
      </c>
      <c r="AA290" s="386">
        <f t="shared" si="115"/>
        <v>37.500575852113293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0.12346497021022093</v>
      </c>
      <c r="AD290" s="231">
        <f>(INDEX(Models!$BJ290:$BT290,,AH290)*(1-AF290)+INDEX(Models!$BJ290:$BT290,,AH290+1)*AF290-ERP_i)*AE290*Ramure*Pc/MaxiM</f>
        <v>5.1893566211301612E-3</v>
      </c>
      <c r="AE290" s="305">
        <f t="shared" si="117"/>
        <v>0.7</v>
      </c>
      <c r="AF290" s="177">
        <f t="shared" si="118"/>
        <v>0.39590239114902248</v>
      </c>
      <c r="AG290" s="810">
        <f t="shared" si="124"/>
        <v>2</v>
      </c>
      <c r="AH290" s="176">
        <f t="shared" si="119"/>
        <v>8</v>
      </c>
      <c r="AI290" s="225">
        <f t="shared" si="120"/>
        <v>2.3959023911490225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34.309341344205734</v>
      </c>
      <c r="C291" s="840"/>
      <c r="D291" s="393">
        <f t="shared" si="102"/>
        <v>37.091997012143153</v>
      </c>
      <c r="E291" s="385">
        <f t="shared" si="100"/>
        <v>38.854393442196546</v>
      </c>
      <c r="F291" s="385">
        <f t="shared" si="103"/>
        <v>38.894030832928976</v>
      </c>
      <c r="G291" s="110">
        <f t="shared" si="101"/>
        <v>1.0005889667390384</v>
      </c>
      <c r="H291" s="414" t="b">
        <f>Wh_hp&gt;='2026'!Maxi_hp</f>
        <v>1</v>
      </c>
      <c r="I291" s="390">
        <f>IF(H291,Wh_hp,'2026'!Maxi_hp)</f>
        <v>38.894030832928976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7.5020378844159685E-2</v>
      </c>
      <c r="M291" s="844"/>
      <c r="N291" s="844"/>
      <c r="O291" s="48">
        <f>IF(t&lt;Tnet,'2026'!Resal+('2026'!Salim-'2026'!Resal)*(1-EXP(('2026'!Tnet-t)/('2026'!Tau_j))),Resal+(Salim-Resal)*(1-EXP((Tnet-t)/(Tau_j))))*Salcycl</f>
        <v>4.5358999946178542E-2</v>
      </c>
      <c r="P291" s="169">
        <f>(INDEX(Models!$BJ291:$BT291,,T291)*(1-R291)+INDEX(Models!$BJ291:$BT291,,T291+1)*R291-ERP_i)*Q291*Ramure*Pc/MaxiM</f>
        <v>1.0191124417700712E-3</v>
      </c>
      <c r="Q291" s="305">
        <f t="shared" si="105"/>
        <v>0.7</v>
      </c>
      <c r="R291" s="177">
        <f t="shared" si="106"/>
        <v>0.57605285082290303</v>
      </c>
      <c r="S291" s="810">
        <f t="shared" si="107"/>
        <v>-1</v>
      </c>
      <c r="T291" s="176">
        <f t="shared" si="108"/>
        <v>5</v>
      </c>
      <c r="U291" s="251">
        <f t="shared" si="109"/>
        <v>-0.42394714917709703</v>
      </c>
      <c r="V291" s="383">
        <f t="shared" si="110"/>
        <v>34.289146177597097</v>
      </c>
      <c r="W291" s="402">
        <f t="shared" si="111"/>
        <v>34.309341344205734</v>
      </c>
      <c r="X291" s="157">
        <f t="shared" si="112"/>
        <v>46664</v>
      </c>
      <c r="Y291" s="385">
        <f t="shared" si="113"/>
        <v>31.368875848329527</v>
      </c>
      <c r="Z291" s="385">
        <f t="shared" si="114"/>
        <v>33.913045358914459</v>
      </c>
      <c r="AA291" s="386">
        <f t="shared" si="115"/>
        <v>38.690759837646787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0.12348463816116438</v>
      </c>
      <c r="AD291" s="231">
        <f>(INDEX(Models!$BJ291:$BT291,,AH291)*(1-AF291)+INDEX(Models!$BJ291:$BT291,,AH291+1)*AF291-ERP_i)*AE291*Ramure*Pc/MaxiM</f>
        <v>5.2262774243005865E-3</v>
      </c>
      <c r="AE291" s="305">
        <f t="shared" si="117"/>
        <v>0.7</v>
      </c>
      <c r="AF291" s="177">
        <f t="shared" si="118"/>
        <v>0.39604290392208696</v>
      </c>
      <c r="AG291" s="810">
        <f t="shared" si="124"/>
        <v>2</v>
      </c>
      <c r="AH291" s="176">
        <f t="shared" si="119"/>
        <v>8</v>
      </c>
      <c r="AI291" s="225">
        <f t="shared" si="120"/>
        <v>2.396042903922087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35.312578288249078</v>
      </c>
      <c r="C292" s="840"/>
      <c r="D292" s="393">
        <f t="shared" si="102"/>
        <v>38.17748983326949</v>
      </c>
      <c r="E292" s="385">
        <f t="shared" si="100"/>
        <v>39.997170586505433</v>
      </c>
      <c r="F292" s="385">
        <f t="shared" si="103"/>
        <v>40.038145696846783</v>
      </c>
      <c r="G292" s="110">
        <f t="shared" si="101"/>
        <v>1.0409371616866425</v>
      </c>
      <c r="H292" s="414" t="b">
        <f>Wh_hp&gt;='2026'!Maxi_hp</f>
        <v>1</v>
      </c>
      <c r="I292" s="390">
        <f>IF(H292,Wh_hp,'2026'!Maxi_hp)</f>
        <v>40.038145696846783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7.5041904471252141E-2</v>
      </c>
      <c r="M292" s="844"/>
      <c r="N292" s="844"/>
      <c r="O292" s="48">
        <f>IF(t&lt;Tnet,'2026'!Resal+('2026'!Salim-'2026'!Resal)*(1-EXP(('2026'!Tnet-t)/('2026'!Tau_j))),Resal+(Salim-Resal)*(1-EXP((Tnet-t)/(Tau_j))))*Salcycl</f>
        <v>4.549523695183285E-2</v>
      </c>
      <c r="P292" s="169">
        <f>(INDEX(Models!$BJ292:$BT292,,T292)*(1-R292)+INDEX(Models!$BJ292:$BT292,,T292+1)*R292-ERP_i)*Q292*Ramure*Pc/MaxiM</f>
        <v>1.0234017991641567E-3</v>
      </c>
      <c r="Q292" s="305">
        <f t="shared" si="105"/>
        <v>0.7</v>
      </c>
      <c r="R292" s="177">
        <f t="shared" si="106"/>
        <v>0.57618779967408829</v>
      </c>
      <c r="S292" s="810">
        <f t="shared" si="107"/>
        <v>-1</v>
      </c>
      <c r="T292" s="176">
        <f t="shared" si="108"/>
        <v>5</v>
      </c>
      <c r="U292" s="251">
        <f t="shared" si="109"/>
        <v>-0.42381220032591171</v>
      </c>
      <c r="V292" s="383">
        <f t="shared" si="110"/>
        <v>33.923832857529746</v>
      </c>
      <c r="W292" s="402">
        <f t="shared" si="111"/>
        <v>35.312578288249078</v>
      </c>
      <c r="X292" s="157">
        <f t="shared" si="112"/>
        <v>46665</v>
      </c>
      <c r="Y292" s="385">
        <f t="shared" si="113"/>
        <v>32.288320821016228</v>
      </c>
      <c r="Z292" s="385">
        <f t="shared" si="114"/>
        <v>34.907874180568975</v>
      </c>
      <c r="AA292" s="386">
        <f t="shared" si="115"/>
        <v>39.826551238535394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0.12350246016800985</v>
      </c>
      <c r="AD292" s="231">
        <f>(INDEX(Models!$BJ292:$BT292,,AH292)*(1-AF292)+INDEX(Models!$BJ292:$BT292,,AH292+1)*AF292-ERP_i)*AE292*Ramure*Pc/MaxiM</f>
        <v>5.2848216276922136E-3</v>
      </c>
      <c r="AE292" s="305">
        <f t="shared" si="117"/>
        <v>0.7</v>
      </c>
      <c r="AF292" s="177">
        <f t="shared" si="118"/>
        <v>0.39617785277327222</v>
      </c>
      <c r="AG292" s="810">
        <f t="shared" si="124"/>
        <v>2</v>
      </c>
      <c r="AH292" s="176">
        <f t="shared" si="119"/>
        <v>8</v>
      </c>
      <c r="AI292" s="225">
        <f t="shared" si="120"/>
        <v>2.3961778527732722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11.062114305390168</v>
      </c>
      <c r="C293" s="840"/>
      <c r="D293" s="393">
        <f t="shared" si="102"/>
        <v>11.959862610443947</v>
      </c>
      <c r="E293" s="385">
        <f t="shared" si="100"/>
        <v>12.531690340721163</v>
      </c>
      <c r="F293" s="385">
        <f t="shared" si="103"/>
        <v>12.532237139861095</v>
      </c>
      <c r="G293" s="110">
        <f t="shared" si="101"/>
        <v>0.32929863344921206</v>
      </c>
      <c r="H293" s="414" t="b">
        <f>Wh_hp&gt;='2026'!Maxi_hp</f>
        <v>0</v>
      </c>
      <c r="I293" s="390">
        <f>IF(H293,Wh_hp,'2026'!Maxi_hp)</f>
        <v>33.540700247739295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7.5063429597411968E-2</v>
      </c>
      <c r="M293" s="844"/>
      <c r="N293" s="844"/>
      <c r="O293" s="48">
        <f>IF(t&lt;Tnet,'2026'!Resal+('2026'!Salim-'2026'!Resal)*(1-EXP(('2026'!Tnet-t)/('2026'!Tau_j))),Resal+(Salim-Resal)*(1-EXP((Tnet-t)/(Tau_j))))*Salcycl</f>
        <v>4.5630534646957252E-2</v>
      </c>
      <c r="P293" s="169">
        <f>(INDEX(Models!$BJ293:$BT293,,T293)*(1-R293)+INDEX(Models!$BJ293:$BT293,,T293+1)*R293-ERP_i)*Q293*Ramure*Pc/MaxiM</f>
        <v>1.030984296065268E-3</v>
      </c>
      <c r="Q293" s="305">
        <f t="shared" si="105"/>
        <v>0.7</v>
      </c>
      <c r="R293" s="177">
        <f t="shared" si="106"/>
        <v>0.57631740133091958</v>
      </c>
      <c r="S293" s="810">
        <f t="shared" si="107"/>
        <v>-1</v>
      </c>
      <c r="T293" s="176">
        <f t="shared" si="108"/>
        <v>5</v>
      </c>
      <c r="U293" s="251">
        <f t="shared" si="109"/>
        <v>-0.42368259866908037</v>
      </c>
      <c r="V293" s="383">
        <f t="shared" si="110"/>
        <v>33.559785847105196</v>
      </c>
      <c r="W293" s="402">
        <f t="shared" si="111"/>
        <v>11.062114305390168</v>
      </c>
      <c r="X293" s="157">
        <f t="shared" si="112"/>
        <v>46666</v>
      </c>
      <c r="Y293" s="385">
        <f t="shared" si="113"/>
        <v>10.157450712507304</v>
      </c>
      <c r="Z293" s="385">
        <f t="shared" si="114"/>
        <v>10.98178084588673</v>
      </c>
      <c r="AA293" s="386">
        <f t="shared" si="115"/>
        <v>12.529391467842245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0.12351841874584178</v>
      </c>
      <c r="AD293" s="231">
        <f>(INDEX(Models!$BJ293:$BT293,,AH293)*(1-AF293)+INDEX(Models!$BJ293:$BT293,,AH293+1)*AF293-ERP_i)*AE293*Ramure*Pc/MaxiM</f>
        <v>5.365486060469259E-3</v>
      </c>
      <c r="AE293" s="305">
        <f t="shared" si="117"/>
        <v>0.7</v>
      </c>
      <c r="AF293" s="177">
        <f t="shared" si="118"/>
        <v>0.39630745443010351</v>
      </c>
      <c r="AG293" s="810">
        <f t="shared" si="124"/>
        <v>2</v>
      </c>
      <c r="AH293" s="176">
        <f t="shared" si="119"/>
        <v>8</v>
      </c>
      <c r="AI293" s="225">
        <f t="shared" si="120"/>
        <v>2.3963074544301035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24.654975308875219</v>
      </c>
      <c r="C294" s="840"/>
      <c r="D294" s="393">
        <f t="shared" si="102"/>
        <v>26.656475555713147</v>
      </c>
      <c r="E294" s="385">
        <f t="shared" si="100"/>
        <v>27.934913610693993</v>
      </c>
      <c r="F294" s="385">
        <f t="shared" si="103"/>
        <v>27.953332725086486</v>
      </c>
      <c r="G294" s="110">
        <f t="shared" si="101"/>
        <v>0.74239778277045709</v>
      </c>
      <c r="H294" s="414" t="b">
        <f>Wh_hp&gt;='2026'!Maxi_hp</f>
        <v>0</v>
      </c>
      <c r="I294" s="390">
        <f>IF(H294,Wh_hp,'2026'!Maxi_hp)</f>
        <v>37.78874890553454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7.5084954222650602E-2</v>
      </c>
      <c r="M294" s="844"/>
      <c r="N294" s="844"/>
      <c r="O294" s="48">
        <f>IF(t&lt;Tnet,'2026'!Resal+('2026'!Salim-'2026'!Resal)*(1-EXP(('2026'!Tnet-t)/('2026'!Tau_j))),Resal+(Salim-Resal)*(1-EXP((Tnet-t)/(Tau_j))))*Salcycl</f>
        <v>4.5764883070604487E-2</v>
      </c>
      <c r="P294" s="169">
        <f>(INDEX(Models!$BJ294:$BT294,,T294)*(1-R294)+INDEX(Models!$BJ294:$BT294,,T294+1)*R294-ERP_i)*Q294*Ramure*Pc/MaxiM</f>
        <v>1.0419356778277992E-3</v>
      </c>
      <c r="Q294" s="305">
        <f t="shared" si="105"/>
        <v>0.7</v>
      </c>
      <c r="R294" s="177">
        <f t="shared" si="106"/>
        <v>0.57644186436013789</v>
      </c>
      <c r="S294" s="810">
        <f t="shared" si="107"/>
        <v>-1</v>
      </c>
      <c r="T294" s="176">
        <f t="shared" si="108"/>
        <v>5</v>
      </c>
      <c r="U294" s="251">
        <f t="shared" si="109"/>
        <v>-0.42355813563986211</v>
      </c>
      <c r="V294" s="383">
        <f t="shared" si="110"/>
        <v>33.197197653906002</v>
      </c>
      <c r="W294" s="402">
        <f t="shared" si="111"/>
        <v>24.654975308875219</v>
      </c>
      <c r="X294" s="157">
        <f t="shared" si="112"/>
        <v>46667</v>
      </c>
      <c r="Y294" s="385">
        <f t="shared" si="113"/>
        <v>22.582221180975605</v>
      </c>
      <c r="Z294" s="385">
        <f t="shared" si="114"/>
        <v>24.415454461545995</v>
      </c>
      <c r="AA294" s="386">
        <f t="shared" si="115"/>
        <v>27.856656957667973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0.12353250073586931</v>
      </c>
      <c r="AD294" s="231">
        <f>(INDEX(Models!$BJ294:$BT294,,AH294)*(1-AF294)+INDEX(Models!$BJ294:$BT294,,AH294+1)*AF294-ERP_i)*AE294*Ramure*Pc/MaxiM</f>
        <v>5.4687716851239661E-3</v>
      </c>
      <c r="AE294" s="305">
        <f t="shared" si="117"/>
        <v>0.7</v>
      </c>
      <c r="AF294" s="177">
        <f t="shared" si="118"/>
        <v>0.3964319174593216</v>
      </c>
      <c r="AG294" s="810">
        <f t="shared" si="124"/>
        <v>2</v>
      </c>
      <c r="AH294" s="176">
        <f t="shared" si="119"/>
        <v>8</v>
      </c>
      <c r="AI294" s="225">
        <f t="shared" si="120"/>
        <v>2.3964319174593216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16.324863586174242</v>
      </c>
      <c r="C295" s="840"/>
      <c r="D295" s="393">
        <f t="shared" si="102"/>
        <v>17.650532957564188</v>
      </c>
      <c r="E295" s="385">
        <f t="shared" si="100"/>
        <v>18.499634237875732</v>
      </c>
      <c r="F295" s="385">
        <f t="shared" si="103"/>
        <v>18.505139941902403</v>
      </c>
      <c r="G295" s="110">
        <f t="shared" si="101"/>
        <v>0.49678228032076965</v>
      </c>
      <c r="H295" s="414" t="b">
        <f>Wh_hp&gt;='2026'!Maxi_hp</f>
        <v>0</v>
      </c>
      <c r="I295" s="390">
        <f>IF(H295,Wh_hp,'2026'!Maxi_hp)</f>
        <v>35.15889638578107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7.5106478346979699E-2</v>
      </c>
      <c r="M295" s="844"/>
      <c r="N295" s="844"/>
      <c r="O295" s="48">
        <f>IF(t&lt;Tnet,'2026'!Resal+('2026'!Salim-'2026'!Resal)*(1-EXP(('2026'!Tnet-t)/('2026'!Tau_j))),Resal+(Salim-Resal)*(1-EXP((Tnet-t)/(Tau_j))))*Salcycl</f>
        <v>4.5898273954687908E-2</v>
      </c>
      <c r="P295" s="169">
        <f>(INDEX(Models!$BJ295:$BT295,,T295)*(1-R295)+INDEX(Models!$BJ295:$BT295,,T295+1)*R295-ERP_i)*Q295*Ramure*Pc/MaxiM</f>
        <v>1.0563321711568156E-3</v>
      </c>
      <c r="Q295" s="305">
        <f t="shared" si="105"/>
        <v>0.7</v>
      </c>
      <c r="R295" s="177">
        <f t="shared" si="106"/>
        <v>0.57656138945282687</v>
      </c>
      <c r="S295" s="810">
        <f t="shared" si="107"/>
        <v>-1</v>
      </c>
      <c r="T295" s="176">
        <f t="shared" si="108"/>
        <v>5</v>
      </c>
      <c r="U295" s="251">
        <f t="shared" si="109"/>
        <v>-0.42343861054717313</v>
      </c>
      <c r="V295" s="383">
        <f t="shared" si="110"/>
        <v>32.836260649525705</v>
      </c>
      <c r="W295" s="402">
        <f t="shared" si="111"/>
        <v>16.324863586174242</v>
      </c>
      <c r="X295" s="157">
        <f t="shared" si="112"/>
        <v>46668</v>
      </c>
      <c r="Y295" s="385">
        <f t="shared" si="113"/>
        <v>14.977141423454437</v>
      </c>
      <c r="Z295" s="385">
        <f t="shared" si="114"/>
        <v>16.193368288153291</v>
      </c>
      <c r="AA295" s="386">
        <f t="shared" si="115"/>
        <v>18.475977319346587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0.12354469762219991</v>
      </c>
      <c r="AD295" s="231">
        <f>(INDEX(Models!$BJ295:$BT295,,AH295)*(1-AF295)+INDEX(Models!$BJ295:$BT295,,AH295+1)*AF295-ERP_i)*AE295*Ramure*Pc/MaxiM</f>
        <v>5.595182060601318E-3</v>
      </c>
      <c r="AE295" s="305">
        <f t="shared" si="117"/>
        <v>0.7</v>
      </c>
      <c r="AF295" s="177">
        <f t="shared" si="118"/>
        <v>0.39655144255201069</v>
      </c>
      <c r="AG295" s="810">
        <f t="shared" si="124"/>
        <v>2</v>
      </c>
      <c r="AH295" s="176">
        <f t="shared" si="119"/>
        <v>8</v>
      </c>
      <c r="AI295" s="225">
        <f t="shared" si="120"/>
        <v>2.3965514425520107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31.999094388073278</v>
      </c>
      <c r="C296" s="840"/>
      <c r="D296" s="393">
        <f t="shared" si="102"/>
        <v>34.598403299317475</v>
      </c>
      <c r="E296" s="385">
        <f t="shared" si="100"/>
        <v>36.267837267437223</v>
      </c>
      <c r="F296" s="385">
        <f t="shared" si="103"/>
        <v>36.306095711489874</v>
      </c>
      <c r="G296" s="110">
        <f t="shared" si="101"/>
        <v>0.98525953407976952</v>
      </c>
      <c r="H296" s="414" t="b">
        <f>Wh_hp&gt;='2026'!Maxi_hp</f>
        <v>0</v>
      </c>
      <c r="I296" s="390">
        <f>IF(H296,Wh_hp,'2026'!Maxi_hp)</f>
        <v>36.306686276620354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7.5128001970411029E-2</v>
      </c>
      <c r="M296" s="844"/>
      <c r="N296" s="844"/>
      <c r="O296" s="48">
        <f>IF(t&lt;Tnet,'2026'!Resal+('2026'!Salim-'2026'!Resal)*(1-EXP(('2026'!Tnet-t)/('2026'!Tau_j))),Resal+(Salim-Resal)*(1-EXP((Tnet-t)/(Tau_j))))*Salcycl</f>
        <v>4.6030700860639165E-2</v>
      </c>
      <c r="P296" s="169">
        <f>(INDEX(Models!$BJ296:$BT296,,T296)*(1-R296)+INDEX(Models!$BJ296:$BT296,,T296+1)*R296-ERP_i)*Q296*Ramure*Pc/MaxiM</f>
        <v>1.0764071192212502E-3</v>
      </c>
      <c r="Q296" s="305">
        <f t="shared" si="105"/>
        <v>0.7</v>
      </c>
      <c r="R296" s="177">
        <f t="shared" si="106"/>
        <v>0.57667616970135693</v>
      </c>
      <c r="S296" s="810">
        <f t="shared" si="107"/>
        <v>-1</v>
      </c>
      <c r="T296" s="176">
        <f t="shared" si="108"/>
        <v>5</v>
      </c>
      <c r="U296" s="251">
        <f t="shared" si="109"/>
        <v>-0.42332383029864307</v>
      </c>
      <c r="V296" s="383">
        <f t="shared" si="110"/>
        <v>32.477096946984261</v>
      </c>
      <c r="W296" s="402">
        <f t="shared" si="111"/>
        <v>31.999094388073278</v>
      </c>
      <c r="X296" s="157">
        <f t="shared" si="112"/>
        <v>46669</v>
      </c>
      <c r="Y296" s="385">
        <f t="shared" si="113"/>
        <v>29.264272158919127</v>
      </c>
      <c r="Z296" s="385">
        <f t="shared" si="114"/>
        <v>31.641429539726307</v>
      </c>
      <c r="AA296" s="386">
        <f t="shared" si="115"/>
        <v>36.102014102790278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0.12355500583329557</v>
      </c>
      <c r="AD296" s="231">
        <f>(INDEX(Models!$BJ296:$BT296,,AH296)*(1-AF296)+INDEX(Models!$BJ296:$BT296,,AH296+1)*AF296-ERP_i)*AE296*Ramure*Pc/MaxiM</f>
        <v>5.7418669772360924E-3</v>
      </c>
      <c r="AE296" s="305">
        <f t="shared" si="117"/>
        <v>0.7</v>
      </c>
      <c r="AF296" s="177">
        <f t="shared" si="118"/>
        <v>0.39666622280054087</v>
      </c>
      <c r="AG296" s="810">
        <f t="shared" si="124"/>
        <v>2</v>
      </c>
      <c r="AH296" s="176">
        <f t="shared" si="119"/>
        <v>8</v>
      </c>
      <c r="AI296" s="225">
        <f t="shared" si="120"/>
        <v>2.3966662228005409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25.688227284200924</v>
      </c>
      <c r="C297" s="840"/>
      <c r="D297" s="393">
        <f t="shared" si="102"/>
        <v>27.775546405793687</v>
      </c>
      <c r="E297" s="385">
        <f t="shared" ref="E297:E360" si="125">Wh_pvt/(1-Psa)</f>
        <v>29.119778248394372</v>
      </c>
      <c r="F297" s="385">
        <f t="shared" si="103"/>
        <v>29.142719782156327</v>
      </c>
      <c r="G297" s="110">
        <f t="shared" ref="G297:G360" si="126">+Wh_hp/MaxiM</f>
        <v>0.79950833407622257</v>
      </c>
      <c r="H297" s="414" t="b">
        <f>Wh_hp&gt;='2026'!Maxi_hp</f>
        <v>0</v>
      </c>
      <c r="I297" s="390">
        <f>IF(H297,Wh_hp,'2026'!Maxi_hp)</f>
        <v>30.260941693493162</v>
      </c>
      <c r="J297" s="85">
        <f>IF(H297,An,'2026'!An_max)</f>
        <v>2021</v>
      </c>
      <c r="K297" s="197">
        <f t="shared" si="104"/>
        <v>46670</v>
      </c>
      <c r="L297" s="147">
        <f>IF(t&lt;Tvie,1-EXP((T0-t)*PertePVj)+'2026'!Pspv,1-EXP((T0-t)*PertePVj)+Pspv)</f>
        <v>7.5149525092956249E-2</v>
      </c>
      <c r="M297" s="844"/>
      <c r="N297" s="844"/>
      <c r="O297" s="48">
        <f>IF(t&lt;Tnet,'2026'!Resal+('2026'!Salim-'2026'!Resal)*(1-EXP(('2026'!Tnet-t)/('2026'!Tau_j))),Resal+(Salim-Resal)*(1-EXP((Tnet-t)/(Tau_j))))*Salcycl</f>
        <v>4.6162159310907724E-2</v>
      </c>
      <c r="P297" s="169">
        <f>(INDEX(Models!$BJ297:$BT297,,T297)*(1-R297)+INDEX(Models!$BJ297:$BT297,,T297+1)*R297-ERP_i)*Q297*Ramure*Pc/MaxiM</f>
        <v>1.1026260067666703E-3</v>
      </c>
      <c r="Q297" s="305">
        <f t="shared" si="105"/>
        <v>0.7</v>
      </c>
      <c r="R297" s="177">
        <f t="shared" si="106"/>
        <v>0.5767863908682298</v>
      </c>
      <c r="S297" s="810">
        <f t="shared" si="107"/>
        <v>-1</v>
      </c>
      <c r="T297" s="176">
        <f t="shared" si="108"/>
        <v>5</v>
      </c>
      <c r="U297" s="251">
        <f t="shared" si="109"/>
        <v>-0.4232136091317702</v>
      </c>
      <c r="V297" s="383">
        <f t="shared" si="110"/>
        <v>32.119888449597902</v>
      </c>
      <c r="W297" s="402">
        <f t="shared" si="111"/>
        <v>25.688227284200924</v>
      </c>
      <c r="X297" s="157">
        <f t="shared" si="112"/>
        <v>46670</v>
      </c>
      <c r="Y297" s="385">
        <f t="shared" si="113"/>
        <v>23.52276540296457</v>
      </c>
      <c r="Z297" s="385">
        <f t="shared" si="114"/>
        <v>25.434128046837873</v>
      </c>
      <c r="AA297" s="386">
        <f t="shared" si="115"/>
        <v>29.019930056666109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0.12356342702502641</v>
      </c>
      <c r="AD297" s="231">
        <f>(INDEX(Models!$BJ297:$BT297,,AH297)*(1-AF297)+INDEX(Models!$BJ297:$BT297,,AH297+1)*AF297-ERP_i)*AE297*Ramure*Pc/MaxiM</f>
        <v>5.9015733688116967E-3</v>
      </c>
      <c r="AE297" s="305">
        <f t="shared" si="117"/>
        <v>0.7</v>
      </c>
      <c r="AF297" s="177">
        <f t="shared" si="118"/>
        <v>0.39677644396741396</v>
      </c>
      <c r="AG297" s="810">
        <f t="shared" si="124"/>
        <v>2</v>
      </c>
      <c r="AH297" s="176">
        <f t="shared" si="119"/>
        <v>8</v>
      </c>
      <c r="AI297" s="225">
        <f t="shared" si="120"/>
        <v>2.396776443967414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19.965749290215573</v>
      </c>
      <c r="C298" s="840"/>
      <c r="D298" s="393">
        <f t="shared" si="102"/>
        <v>21.588585911889545</v>
      </c>
      <c r="E298" s="385">
        <f t="shared" si="125"/>
        <v>22.636488899906176</v>
      </c>
      <c r="F298" s="385">
        <f t="shared" si="103"/>
        <v>22.64855555044635</v>
      </c>
      <c r="G298" s="110">
        <f t="shared" si="126"/>
        <v>0.62817014537344074</v>
      </c>
      <c r="H298" s="414" t="b">
        <f>Wh_hp&gt;='2026'!Maxi_hp</f>
        <v>0</v>
      </c>
      <c r="I298" s="390">
        <f>IF(H298,Wh_hp,'2026'!Maxi_hp)</f>
        <v>36.235632696328913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7.5171047714626904E-2</v>
      </c>
      <c r="M298" s="844"/>
      <c r="N298" s="844"/>
      <c r="O298" s="48">
        <f>IF(t&lt;Tnet,'2026'!Resal+('2026'!Salim-'2026'!Resal)*(1-EXP(('2026'!Tnet-t)/('2026'!Tau_j))),Resal+(Salim-Resal)*(1-EXP((Tnet-t)/(Tau_j))))*Salcycl</f>
        <v>4.6292646914026236E-2</v>
      </c>
      <c r="P298" s="169">
        <f>(INDEX(Models!$BJ298:$BT298,,T298)*(1-R298)+INDEX(Models!$BJ298:$BT298,,T298+1)*R298-ERP_i)*Q298*Ramure*Pc/MaxiM</f>
        <v>1.1351262815457968E-3</v>
      </c>
      <c r="Q298" s="305">
        <f t="shared" si="105"/>
        <v>0.7</v>
      </c>
      <c r="R298" s="177">
        <f t="shared" si="106"/>
        <v>0.57689223164692283</v>
      </c>
      <c r="S298" s="810">
        <f t="shared" si="107"/>
        <v>-1</v>
      </c>
      <c r="T298" s="176">
        <f t="shared" si="108"/>
        <v>5</v>
      </c>
      <c r="U298" s="251">
        <f t="shared" si="109"/>
        <v>-0.42310776835307717</v>
      </c>
      <c r="V298" s="383">
        <f t="shared" si="110"/>
        <v>31.764827873817325</v>
      </c>
      <c r="W298" s="402">
        <f t="shared" si="111"/>
        <v>19.965749290215573</v>
      </c>
      <c r="X298" s="157">
        <f t="shared" si="112"/>
        <v>46671</v>
      </c>
      <c r="Y298" s="385">
        <f t="shared" si="113"/>
        <v>18.305398378686483</v>
      </c>
      <c r="Z298" s="385">
        <f t="shared" si="114"/>
        <v>19.793279971881777</v>
      </c>
      <c r="AA298" s="386">
        <f t="shared" si="115"/>
        <v>22.583981900351489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0.12356996834230889</v>
      </c>
      <c r="AD298" s="231">
        <f>(INDEX(Models!$BJ298:$BT298,,AH298)*(1-AF298)+INDEX(Models!$BJ298:$BT298,,AH298+1)*AF298-ERP_i)*AE298*Ramure*Pc/MaxiM</f>
        <v>6.0745313767049131E-3</v>
      </c>
      <c r="AE298" s="305">
        <f t="shared" si="117"/>
        <v>0.7</v>
      </c>
      <c r="AF298" s="177">
        <f t="shared" si="118"/>
        <v>0.39688228474610687</v>
      </c>
      <c r="AG298" s="810">
        <f t="shared" si="124"/>
        <v>2</v>
      </c>
      <c r="AH298" s="176">
        <f t="shared" si="119"/>
        <v>8</v>
      </c>
      <c r="AI298" s="225">
        <f t="shared" si="120"/>
        <v>2.3968822847461069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24.079216872214712</v>
      </c>
      <c r="C299" s="840"/>
      <c r="D299" s="393">
        <f t="shared" si="102"/>
        <v>26.037006285654439</v>
      </c>
      <c r="E299" s="385">
        <f t="shared" si="125"/>
        <v>27.304542207826827</v>
      </c>
      <c r="F299" s="385">
        <f t="shared" si="103"/>
        <v>27.325925155488576</v>
      </c>
      <c r="G299" s="110">
        <f t="shared" si="126"/>
        <v>0.76625808977261856</v>
      </c>
      <c r="H299" s="414" t="b">
        <f>Wh_hp&gt;='2026'!Maxi_hp</f>
        <v>0</v>
      </c>
      <c r="I299" s="390">
        <f>IF(H299,Wh_hp,'2026'!Maxi_hp)</f>
        <v>34.453612542643434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7.5192569835434764E-2</v>
      </c>
      <c r="M299" s="844"/>
      <c r="N299" s="844"/>
      <c r="O299" s="48">
        <f>IF(t&lt;Tnet,'2026'!Resal+('2026'!Salim-'2026'!Resal)*(1-EXP(('2026'!Tnet-t)/('2026'!Tau_j))),Resal+(Salim-Resal)*(1-EXP((Tnet-t)/(Tau_j))))*Salcycl</f>
        <v>4.6422163481981027E-2</v>
      </c>
      <c r="P299" s="169">
        <f>(INDEX(Models!$BJ299:$BT299,,T299)*(1-R299)+INDEX(Models!$BJ299:$BT299,,T299+1)*R299-ERP_i)*Q299*Ramure*Pc/MaxiM</f>
        <v>1.1740448128477743E-3</v>
      </c>
      <c r="Q299" s="305">
        <f t="shared" si="105"/>
        <v>0.7</v>
      </c>
      <c r="R299" s="177">
        <f t="shared" si="106"/>
        <v>0.57699386391484397</v>
      </c>
      <c r="S299" s="810">
        <f t="shared" si="107"/>
        <v>-1</v>
      </c>
      <c r="T299" s="176">
        <f t="shared" si="108"/>
        <v>5</v>
      </c>
      <c r="U299" s="251">
        <f t="shared" si="109"/>
        <v>-0.42300613608515603</v>
      </c>
      <c r="V299" s="383">
        <f t="shared" si="110"/>
        <v>31.412107852777531</v>
      </c>
      <c r="W299" s="402">
        <f t="shared" si="111"/>
        <v>24.079216872214712</v>
      </c>
      <c r="X299" s="157">
        <f t="shared" si="112"/>
        <v>46672</v>
      </c>
      <c r="Y299" s="385">
        <f t="shared" si="113"/>
        <v>22.0559115761817</v>
      </c>
      <c r="Z299" s="385">
        <f t="shared" si="114"/>
        <v>23.849193742157706</v>
      </c>
      <c r="AA299" s="386">
        <f t="shared" si="115"/>
        <v>27.211893793721178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0.12357464265641732</v>
      </c>
      <c r="AD299" s="231">
        <f>(INDEX(Models!$BJ299:$BT299,,AH299)*(1-AF299)+INDEX(Models!$BJ299:$BT299,,AH299+1)*AF299-ERP_i)*AE299*Ramure*Pc/MaxiM</f>
        <v>6.2609669584738686E-3</v>
      </c>
      <c r="AE299" s="305">
        <f t="shared" si="117"/>
        <v>0.7</v>
      </c>
      <c r="AF299" s="177">
        <f t="shared" si="118"/>
        <v>0.39698391701402791</v>
      </c>
      <c r="AG299" s="810">
        <f t="shared" si="124"/>
        <v>2</v>
      </c>
      <c r="AH299" s="176">
        <f t="shared" si="119"/>
        <v>8</v>
      </c>
      <c r="AI299" s="225">
        <f t="shared" si="120"/>
        <v>2.3969839170140279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20.710545308301892</v>
      </c>
      <c r="C300" s="840"/>
      <c r="D300" s="393">
        <f t="shared" si="102"/>
        <v>22.39496203061239</v>
      </c>
      <c r="E300" s="385">
        <f t="shared" si="125"/>
        <v>23.48836198447167</v>
      </c>
      <c r="F300" s="385">
        <f t="shared" si="103"/>
        <v>23.503379246436825</v>
      </c>
      <c r="G300" s="110">
        <f t="shared" si="126"/>
        <v>0.666362959286947</v>
      </c>
      <c r="H300" s="414" t="b">
        <f>Wh_hp&gt;='2026'!Maxi_hp</f>
        <v>0</v>
      </c>
      <c r="I300" s="390">
        <f>IF(H300,Wh_hp,'2026'!Maxi_hp)</f>
        <v>34.605373713118908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7.5214091455391374E-2</v>
      </c>
      <c r="M300" s="844"/>
      <c r="N300" s="844"/>
      <c r="O300" s="48">
        <f>IF(t&lt;Tnet,'2026'!Resal+('2026'!Salim-'2026'!Resal)*(1-EXP(('2026'!Tnet-t)/('2026'!Tau_j))),Resal+(Salim-Resal)*(1-EXP((Tnet-t)/(Tau_j))))*Salcycl</f>
        <v>4.6550711138653812E-2</v>
      </c>
      <c r="P300" s="169">
        <f>(INDEX(Models!$BJ300:$BT300,,T300)*(1-R300)+INDEX(Models!$BJ300:$BT300,,T300+1)*R300-ERP_i)*Q300*Ramure*Pc/MaxiM</f>
        <v>1.2195174048311253E-3</v>
      </c>
      <c r="Q300" s="305">
        <f t="shared" si="105"/>
        <v>0.7</v>
      </c>
      <c r="R300" s="177">
        <f t="shared" si="106"/>
        <v>0.57709145297851938</v>
      </c>
      <c r="S300" s="810">
        <f t="shared" si="107"/>
        <v>-1</v>
      </c>
      <c r="T300" s="176">
        <f t="shared" si="108"/>
        <v>5</v>
      </c>
      <c r="U300" s="251">
        <f t="shared" si="109"/>
        <v>-0.42290854702148067</v>
      </c>
      <c r="V300" s="383">
        <f t="shared" si="110"/>
        <v>31.061920938004135</v>
      </c>
      <c r="W300" s="402">
        <f t="shared" si="111"/>
        <v>20.710545308301892</v>
      </c>
      <c r="X300" s="157">
        <f t="shared" si="112"/>
        <v>46673</v>
      </c>
      <c r="Y300" s="385">
        <f t="shared" si="113"/>
        <v>18.98507846160453</v>
      </c>
      <c r="Z300" s="385">
        <f t="shared" si="114"/>
        <v>20.529160626465959</v>
      </c>
      <c r="AA300" s="386">
        <f t="shared" si="115"/>
        <v>23.423816589671926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0.12357746877519026</v>
      </c>
      <c r="AD300" s="231">
        <f>(INDEX(Models!$BJ300:$BT300,,AH300)*(1-AF300)+INDEX(Models!$BJ300:$BT300,,AH300+1)*AF300-ERP_i)*AE300*Ramure*Pc/MaxiM</f>
        <v>6.4611008933945233E-3</v>
      </c>
      <c r="AE300" s="305">
        <f t="shared" si="117"/>
        <v>0.7</v>
      </c>
      <c r="AF300" s="177">
        <f t="shared" si="118"/>
        <v>0.39708150607770332</v>
      </c>
      <c r="AG300" s="810">
        <f t="shared" si="124"/>
        <v>2</v>
      </c>
      <c r="AH300" s="176">
        <f t="shared" si="119"/>
        <v>8</v>
      </c>
      <c r="AI300" s="225">
        <f t="shared" si="120"/>
        <v>2.3970815060777033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17.335174800612702</v>
      </c>
      <c r="C301" s="840"/>
      <c r="D301" s="393">
        <f t="shared" si="102"/>
        <v>18.745504299612101</v>
      </c>
      <c r="E301" s="385">
        <f t="shared" si="125"/>
        <v>19.663356231012067</v>
      </c>
      <c r="F301" s="385">
        <f t="shared" si="103"/>
        <v>19.672805613513724</v>
      </c>
      <c r="G301" s="110">
        <f t="shared" si="126"/>
        <v>0.563950993235658</v>
      </c>
      <c r="H301" s="414" t="b">
        <f>Wh_hp&gt;='2026'!Maxi_hp</f>
        <v>0</v>
      </c>
      <c r="I301" s="390">
        <f>IF(H301,Wh_hp,'2026'!Maxi_hp)</f>
        <v>35.94304448551074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7.5235612574508504E-2</v>
      </c>
      <c r="M301" s="844"/>
      <c r="N301" s="844"/>
      <c r="O301" s="48">
        <f>IF(t&lt;Tnet,'2026'!Resal+('2026'!Salim-'2026'!Resal)*(1-EXP(('2026'!Tnet-t)/('2026'!Tau_j))),Resal+(Salim-Resal)*(1-EXP((Tnet-t)/(Tau_j))))*Salcycl</f>
        <v>4.6678294418140864E-2</v>
      </c>
      <c r="P301" s="169">
        <f>(INDEX(Models!$BJ301:$BT301,,T301)*(1-R301)+INDEX(Models!$BJ301:$BT301,,T301+1)*R301-ERP_i)*Q301*Ramure*Pc/MaxiM</f>
        <v>1.2716782919828208E-3</v>
      </c>
      <c r="Q301" s="305">
        <f t="shared" si="105"/>
        <v>0.7</v>
      </c>
      <c r="R301" s="177">
        <f t="shared" si="106"/>
        <v>0.57718515781114399</v>
      </c>
      <c r="S301" s="810">
        <f t="shared" si="107"/>
        <v>-1</v>
      </c>
      <c r="T301" s="176">
        <f t="shared" si="108"/>
        <v>5</v>
      </c>
      <c r="U301" s="251">
        <f t="shared" si="109"/>
        <v>-0.42281484218885601</v>
      </c>
      <c r="V301" s="383">
        <f t="shared" si="110"/>
        <v>30.714459599277763</v>
      </c>
      <c r="W301" s="402">
        <f t="shared" si="111"/>
        <v>17.335174800612702</v>
      </c>
      <c r="X301" s="157">
        <f t="shared" si="112"/>
        <v>46674</v>
      </c>
      <c r="Y301" s="385">
        <f t="shared" si="113"/>
        <v>15.90428225629214</v>
      </c>
      <c r="Z301" s="385">
        <f t="shared" si="114"/>
        <v>17.198199317092055</v>
      </c>
      <c r="AA301" s="386">
        <f t="shared" si="115"/>
        <v>19.62320499925487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0.12357847162351396</v>
      </c>
      <c r="AD301" s="231">
        <f>(INDEX(Models!$BJ301:$BT301,,AH301)*(1-AF301)+INDEX(Models!$BJ301:$BT301,,AH301+1)*AF301-ERP_i)*AE301*Ramure*Pc/MaxiM</f>
        <v>6.6751477581652244E-3</v>
      </c>
      <c r="AE301" s="305">
        <f t="shared" si="117"/>
        <v>0.7</v>
      </c>
      <c r="AF301" s="177">
        <f t="shared" si="118"/>
        <v>0.39717521091032815</v>
      </c>
      <c r="AG301" s="810">
        <f t="shared" si="124"/>
        <v>2</v>
      </c>
      <c r="AH301" s="176">
        <f t="shared" si="119"/>
        <v>8</v>
      </c>
      <c r="AI301" s="225">
        <f t="shared" si="120"/>
        <v>2.3971752109103281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30.517556388338964</v>
      </c>
      <c r="C302" s="840"/>
      <c r="D302" s="393">
        <f t="shared" si="102"/>
        <v>33.001126565814864</v>
      </c>
      <c r="E302" s="385">
        <f t="shared" si="125"/>
        <v>34.621587197024766</v>
      </c>
      <c r="F302" s="385">
        <f t="shared" si="103"/>
        <v>34.66771812955794</v>
      </c>
      <c r="G302" s="110">
        <f t="shared" si="126"/>
        <v>1.004861395070501</v>
      </c>
      <c r="H302" s="414" t="b">
        <f>Wh_hp&gt;='2026'!Maxi_hp</f>
        <v>1</v>
      </c>
      <c r="I302" s="390">
        <f>IF(H302,Wh_hp,'2026'!Maxi_hp)</f>
        <v>34.66771812955794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7.5257133192797698E-2</v>
      </c>
      <c r="M302" s="844"/>
      <c r="N302" s="844"/>
      <c r="O302" s="48">
        <f>IF(t&lt;Tnet,'2026'!Resal+('2026'!Salim-'2026'!Resal)*(1-EXP(('2026'!Tnet-t)/('2026'!Tau_j))),Resal+(Salim-Resal)*(1-EXP((Tnet-t)/(Tau_j))))*Salcycl</f>
        <v>4.6804920351807541E-2</v>
      </c>
      <c r="P302" s="169">
        <f>(INDEX(Models!$BJ302:$BT302,,T302)*(1-R302)+INDEX(Models!$BJ302:$BT302,,T302+1)*R302-ERP_i)*Q302*Ramure*Pc/MaxiM</f>
        <v>1.3306596171336492E-3</v>
      </c>
      <c r="Q302" s="305">
        <f t="shared" si="105"/>
        <v>0.7</v>
      </c>
      <c r="R302" s="177">
        <f t="shared" si="106"/>
        <v>0.57727513128263674</v>
      </c>
      <c r="S302" s="810">
        <f t="shared" si="107"/>
        <v>-1</v>
      </c>
      <c r="T302" s="176">
        <f t="shared" si="108"/>
        <v>5</v>
      </c>
      <c r="U302" s="251">
        <f t="shared" si="109"/>
        <v>-0.42272486871736326</v>
      </c>
      <c r="V302" s="383">
        <f t="shared" si="110"/>
        <v>30.369916227300038</v>
      </c>
      <c r="W302" s="402">
        <f t="shared" si="111"/>
        <v>30.517556388338964</v>
      </c>
      <c r="X302" s="157">
        <f t="shared" si="112"/>
        <v>46675</v>
      </c>
      <c r="Y302" s="385">
        <f t="shared" si="113"/>
        <v>27.903019792385667</v>
      </c>
      <c r="Z302" s="385">
        <f t="shared" si="114"/>
        <v>30.17381457477423</v>
      </c>
      <c r="AA302" s="386">
        <f t="shared" si="115"/>
        <v>34.428395955405477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0.12357768239165522</v>
      </c>
      <c r="AD302" s="231">
        <f>(INDEX(Models!$BJ302:$BT302,,AH302)*(1-AF302)+INDEX(Models!$BJ302:$BT302,,AH302+1)*AF302-ERP_i)*AE302*Ramure*Pc/MaxiM</f>
        <v>6.9033148722994729E-3</v>
      </c>
      <c r="AE302" s="305">
        <f t="shared" si="117"/>
        <v>0.7</v>
      </c>
      <c r="AF302" s="177">
        <f t="shared" si="118"/>
        <v>0.3972651843818209</v>
      </c>
      <c r="AG302" s="810">
        <f t="shared" si="124"/>
        <v>2</v>
      </c>
      <c r="AH302" s="176">
        <f t="shared" si="119"/>
        <v>8</v>
      </c>
      <c r="AI302" s="225">
        <f t="shared" si="120"/>
        <v>2.3972651843818209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27.887994537237461</v>
      </c>
      <c r="C303" s="840"/>
      <c r="D303" s="393">
        <f t="shared" si="102"/>
        <v>30.15826836599965</v>
      </c>
      <c r="E303" s="385">
        <f t="shared" si="125"/>
        <v>31.643307738025531</v>
      </c>
      <c r="F303" s="385">
        <f t="shared" si="103"/>
        <v>31.683051718145805</v>
      </c>
      <c r="G303" s="110">
        <f t="shared" si="126"/>
        <v>0.92860073673420318</v>
      </c>
      <c r="H303" s="414" t="b">
        <f>Wh_hp&gt;='2026'!Maxi_hp</f>
        <v>0</v>
      </c>
      <c r="I303" s="390">
        <f>IF(H303,Wh_hp,'2026'!Maxi_hp)</f>
        <v>32.78605431375631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7.5278653310270616E-2</v>
      </c>
      <c r="M303" s="844"/>
      <c r="N303" s="844"/>
      <c r="O303" s="48">
        <f>IF(t&lt;Tnet,'2026'!Resal+('2026'!Salim-'2026'!Resal)*(1-EXP(('2026'!Tnet-t)/('2026'!Tau_j))),Resal+(Salim-Resal)*(1-EXP((Tnet-t)/(Tau_j))))*Salcycl</f>
        <v>4.6930598543000024E-2</v>
      </c>
      <c r="P303" s="169">
        <f>(INDEX(Models!$BJ303:$BT303,,T303)*(1-R303)+INDEX(Models!$BJ303:$BT303,,T303+1)*R303-ERP_i)*Q303*Ramure*Pc/MaxiM</f>
        <v>1.3966132687685475E-3</v>
      </c>
      <c r="Q303" s="305">
        <f t="shared" si="105"/>
        <v>0.7</v>
      </c>
      <c r="R303" s="177">
        <f t="shared" si="106"/>
        <v>0.57736152038234323</v>
      </c>
      <c r="S303" s="810">
        <f t="shared" si="107"/>
        <v>-1</v>
      </c>
      <c r="T303" s="176">
        <f t="shared" si="108"/>
        <v>5</v>
      </c>
      <c r="U303" s="251">
        <f t="shared" si="109"/>
        <v>-0.42263847961765683</v>
      </c>
      <c r="V303" s="383">
        <f t="shared" si="110"/>
        <v>30.028001357114885</v>
      </c>
      <c r="W303" s="402">
        <f t="shared" si="111"/>
        <v>27.887994537237461</v>
      </c>
      <c r="X303" s="157">
        <f t="shared" si="112"/>
        <v>46676</v>
      </c>
      <c r="Y303" s="385">
        <f t="shared" si="113"/>
        <v>25.512682411854353</v>
      </c>
      <c r="Z303" s="385">
        <f t="shared" si="114"/>
        <v>27.589589559258432</v>
      </c>
      <c r="AA303" s="386">
        <f t="shared" si="115"/>
        <v>31.479697548443141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0.12357513864923078</v>
      </c>
      <c r="AD303" s="231">
        <f>(INDEX(Models!$BJ303:$BT303,,AH303)*(1-AF303)+INDEX(Models!$BJ303:$BT303,,AH303+1)*AF303-ERP_i)*AE303*Ramure*Pc/MaxiM</f>
        <v>7.1459157036275686E-3</v>
      </c>
      <c r="AE303" s="305">
        <f t="shared" si="117"/>
        <v>0.7</v>
      </c>
      <c r="AF303" s="177">
        <f t="shared" si="118"/>
        <v>0.39735157348152716</v>
      </c>
      <c r="AG303" s="810">
        <f t="shared" si="124"/>
        <v>2</v>
      </c>
      <c r="AH303" s="176">
        <f t="shared" si="119"/>
        <v>8</v>
      </c>
      <c r="AI303" s="225">
        <f t="shared" si="120"/>
        <v>2.3973515734815272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18.023312206814744</v>
      </c>
      <c r="C304" s="840"/>
      <c r="D304" s="393">
        <f t="shared" si="102"/>
        <v>19.490986890160535</v>
      </c>
      <c r="E304" s="385">
        <f t="shared" si="125"/>
        <v>20.453430018995832</v>
      </c>
      <c r="F304" s="385">
        <f t="shared" si="103"/>
        <v>20.466579564565926</v>
      </c>
      <c r="G304" s="110">
        <f t="shared" si="126"/>
        <v>0.60658222867574274</v>
      </c>
      <c r="H304" s="414" t="b">
        <f>Wh_hp&gt;='2026'!Maxi_hp</f>
        <v>0</v>
      </c>
      <c r="I304" s="390">
        <f>IF(H304,Wh_hp,'2026'!Maxi_hp)</f>
        <v>30.316240270106746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7.5300172926939024E-2</v>
      </c>
      <c r="M304" s="844"/>
      <c r="N304" s="844"/>
      <c r="O304" s="48">
        <f>IF(t&lt;Tnet,'2026'!Resal+('2026'!Salim-'2026'!Resal)*(1-EXP(('2026'!Tnet-t)/('2026'!Tau_j))),Resal+(Salim-Resal)*(1-EXP((Tnet-t)/(Tau_j))))*Salcycl</f>
        <v>4.7055341228412144E-2</v>
      </c>
      <c r="P304" s="169">
        <f>(INDEX(Models!$BJ304:$BT304,,T304)*(1-R304)+INDEX(Models!$BJ304:$BT304,,T304+1)*R304-ERP_i)*Q304*Ramure*Pc/MaxiM</f>
        <v>1.4645685185561601E-3</v>
      </c>
      <c r="Q304" s="305">
        <f t="shared" si="105"/>
        <v>0.7</v>
      </c>
      <c r="R304" s="177">
        <f t="shared" si="106"/>
        <v>0.57744446643453906</v>
      </c>
      <c r="S304" s="810">
        <f t="shared" si="107"/>
        <v>-1</v>
      </c>
      <c r="T304" s="176">
        <f t="shared" si="108"/>
        <v>5</v>
      </c>
      <c r="U304" s="251">
        <f t="shared" si="109"/>
        <v>-0.42255553356546094</v>
      </c>
      <c r="V304" s="383">
        <f t="shared" si="110"/>
        <v>29.688449855871095</v>
      </c>
      <c r="W304" s="402">
        <f t="shared" si="111"/>
        <v>18.023312206814744</v>
      </c>
      <c r="X304" s="157">
        <f t="shared" si="112"/>
        <v>46677</v>
      </c>
      <c r="Y304" s="385">
        <f t="shared" si="113"/>
        <v>16.533090876437814</v>
      </c>
      <c r="Z304" s="385">
        <f t="shared" si="114"/>
        <v>17.879413829642175</v>
      </c>
      <c r="AA304" s="386">
        <f t="shared" si="115"/>
        <v>20.400296512134901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0.12357088442284192</v>
      </c>
      <c r="AD304" s="231">
        <f>(INDEX(Models!$BJ304:$BT304,,AH304)*(1-AF304)+INDEX(Models!$BJ304:$BT304,,AH304+1)*AF304-ERP_i)*AE304*Ramure*Pc/MaxiM</f>
        <v>7.3824659100818852E-3</v>
      </c>
      <c r="AE304" s="305">
        <f t="shared" si="117"/>
        <v>0.7</v>
      </c>
      <c r="AF304" s="177">
        <f t="shared" si="118"/>
        <v>0.39743451953372322</v>
      </c>
      <c r="AG304" s="810">
        <f t="shared" si="124"/>
        <v>2</v>
      </c>
      <c r="AH304" s="176">
        <f t="shared" si="119"/>
        <v>8</v>
      </c>
      <c r="AI304" s="225">
        <f t="shared" si="120"/>
        <v>2.3974345195337232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28.448181465102948</v>
      </c>
      <c r="C305" s="840"/>
      <c r="D305" s="393">
        <f t="shared" si="102"/>
        <v>30.765490247036443</v>
      </c>
      <c r="E305" s="385">
        <f t="shared" si="125"/>
        <v>32.288851232938036</v>
      </c>
      <c r="F305" s="385">
        <f t="shared" si="103"/>
        <v>32.336167391878902</v>
      </c>
      <c r="G305" s="110">
        <f t="shared" si="126"/>
        <v>0.9691628336485848</v>
      </c>
      <c r="H305" s="414" t="b">
        <f>Wh_hp&gt;='2026'!Maxi_hp</f>
        <v>0</v>
      </c>
      <c r="I305" s="390">
        <f>IF(H305,Wh_hp,'2026'!Maxi_hp)</f>
        <v>34.363592336640075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7.5321692042814581E-2</v>
      </c>
      <c r="M305" s="844"/>
      <c r="N305" s="844"/>
      <c r="O305" s="48">
        <f>IF(t&lt;Tnet,'2026'!Resal+('2026'!Salim-'2026'!Resal)*(1-EXP(('2026'!Tnet-t)/('2026'!Tau_j))),Resal+(Salim-Resal)*(1-EXP((Tnet-t)/(Tau_j))))*Salcycl</f>
        <v>4.7179163325191453E-2</v>
      </c>
      <c r="P305" s="169">
        <f>(INDEX(Models!$BJ305:$BT305,,T305)*(1-R305)+INDEX(Models!$BJ305:$BT305,,T305+1)*R305-ERP_i)*Q305*Ramure*Pc/MaxiM</f>
        <v>1.5305403478009776E-3</v>
      </c>
      <c r="Q305" s="305">
        <f t="shared" si="105"/>
        <v>0.7</v>
      </c>
      <c r="R305" s="177">
        <f t="shared" si="106"/>
        <v>0.57752410530689136</v>
      </c>
      <c r="S305" s="810">
        <f t="shared" si="107"/>
        <v>-1</v>
      </c>
      <c r="T305" s="176">
        <f t="shared" si="108"/>
        <v>5</v>
      </c>
      <c r="U305" s="251">
        <f t="shared" si="109"/>
        <v>-0.42247589469310859</v>
      </c>
      <c r="V305" s="383">
        <f t="shared" si="110"/>
        <v>29.351377926477671</v>
      </c>
      <c r="W305" s="402">
        <f t="shared" si="111"/>
        <v>28.448181465102948</v>
      </c>
      <c r="X305" s="157">
        <f t="shared" si="112"/>
        <v>46678</v>
      </c>
      <c r="Y305" s="385">
        <f t="shared" si="113"/>
        <v>26.015553284235441</v>
      </c>
      <c r="Z305" s="385">
        <f t="shared" si="114"/>
        <v>28.134707022282626</v>
      </c>
      <c r="AA305" s="386">
        <f t="shared" si="115"/>
        <v>32.101303652648156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0.12356497023566548</v>
      </c>
      <c r="AD305" s="231">
        <f>(INDEX(Models!$BJ305:$BT305,,AH305)*(1-AF305)+INDEX(Models!$BJ305:$BT305,,AH305+1)*AF305-ERP_i)*AE305*Ramure*Pc/MaxiM</f>
        <v>7.5971599803209919E-3</v>
      </c>
      <c r="AE305" s="305">
        <f t="shared" si="117"/>
        <v>0.7</v>
      </c>
      <c r="AF305" s="177">
        <f t="shared" si="118"/>
        <v>0.39751415840607551</v>
      </c>
      <c r="AG305" s="810">
        <f t="shared" si="124"/>
        <v>2</v>
      </c>
      <c r="AH305" s="176">
        <f t="shared" si="119"/>
        <v>8</v>
      </c>
      <c r="AI305" s="225">
        <f t="shared" si="120"/>
        <v>2.3975141584060755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14.297096766682875</v>
      </c>
      <c r="C306" s="840"/>
      <c r="D306" s="393">
        <f t="shared" si="102"/>
        <v>15.462057848356361</v>
      </c>
      <c r="E306" s="385">
        <f t="shared" si="125"/>
        <v>16.229759259188583</v>
      </c>
      <c r="F306" s="385">
        <f t="shared" si="103"/>
        <v>16.236886840115545</v>
      </c>
      <c r="G306" s="110">
        <f t="shared" si="126"/>
        <v>0.49214861756953582</v>
      </c>
      <c r="H306" s="414" t="b">
        <f>Wh_hp&gt;='2026'!Maxi_hp</f>
        <v>0</v>
      </c>
      <c r="I306" s="390">
        <f>IF(H306,Wh_hp,'2026'!Maxi_hp)</f>
        <v>32.663950512475992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7.5343210657908832E-2</v>
      </c>
      <c r="M306" s="844"/>
      <c r="N306" s="844"/>
      <c r="O306" s="48">
        <f>IF(t&lt;Tnet,'2026'!Resal+('2026'!Salim-'2026'!Resal)*(1-EXP(('2026'!Tnet-t)/('2026'!Tau_j))),Resal+(Salim-Resal)*(1-EXP((Tnet-t)/(Tau_j))))*Salcycl</f>
        <v>4.7302082462965904E-2</v>
      </c>
      <c r="P306" s="169">
        <f>(INDEX(Models!$BJ306:$BT306,,T306)*(1-R306)+INDEX(Models!$BJ306:$BT306,,T306+1)*R306-ERP_i)*Q306*Ramure*Pc/MaxiM</f>
        <v>1.5944639568239831E-3</v>
      </c>
      <c r="Q306" s="305">
        <f t="shared" si="105"/>
        <v>0.7</v>
      </c>
      <c r="R306" s="177">
        <f t="shared" si="106"/>
        <v>0.57760056761203549</v>
      </c>
      <c r="S306" s="810">
        <f t="shared" si="107"/>
        <v>-1</v>
      </c>
      <c r="T306" s="176">
        <f t="shared" si="108"/>
        <v>5</v>
      </c>
      <c r="U306" s="251">
        <f t="shared" si="109"/>
        <v>-0.42239943238796451</v>
      </c>
      <c r="V306" s="383">
        <f t="shared" si="110"/>
        <v>29.016782448704721</v>
      </c>
      <c r="W306" s="402">
        <f t="shared" si="111"/>
        <v>14.297096766682875</v>
      </c>
      <c r="X306" s="157">
        <f t="shared" si="112"/>
        <v>46679</v>
      </c>
      <c r="Y306" s="385">
        <f t="shared" si="113"/>
        <v>13.13029318665655</v>
      </c>
      <c r="Z306" s="385">
        <f t="shared" si="114"/>
        <v>14.200180367462584</v>
      </c>
      <c r="AA306" s="386">
        <f t="shared" si="115"/>
        <v>16.202066430722425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0.12355745310757749</v>
      </c>
      <c r="AD306" s="231">
        <f>(INDEX(Models!$BJ306:$BT306,,AH306)*(1-AF306)+INDEX(Models!$BJ306:$BT306,,AH306+1)*AF306-ERP_i)*AE306*Ramure*Pc/MaxiM</f>
        <v>7.7894433340157734E-3</v>
      </c>
      <c r="AE306" s="305">
        <f t="shared" si="117"/>
        <v>0.7</v>
      </c>
      <c r="AF306" s="177">
        <f t="shared" si="118"/>
        <v>0.39759062071121942</v>
      </c>
      <c r="AG306" s="810">
        <f t="shared" si="124"/>
        <v>2</v>
      </c>
      <c r="AH306" s="176">
        <f t="shared" si="119"/>
        <v>8</v>
      </c>
      <c r="AI306" s="225">
        <f t="shared" si="120"/>
        <v>2.3975906207112194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6.3012546296519041</v>
      </c>
      <c r="C307" s="840"/>
      <c r="D307" s="393">
        <f t="shared" si="102"/>
        <v>6.8148542736043956</v>
      </c>
      <c r="E307" s="385">
        <f t="shared" si="125"/>
        <v>7.1541327148140983</v>
      </c>
      <c r="F307" s="385">
        <f t="shared" si="103"/>
        <v>7.1541327148140983</v>
      </c>
      <c r="G307" s="110">
        <f t="shared" si="126"/>
        <v>0.21930948380939841</v>
      </c>
      <c r="H307" s="414" t="b">
        <f>Wh_hp&gt;='2026'!Maxi_hp</f>
        <v>0</v>
      </c>
      <c r="I307" s="390">
        <f>IF(H307,Wh_hp,'2026'!Maxi_hp)</f>
        <v>26.876972034227109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7.5364728772233436E-2</v>
      </c>
      <c r="M307" s="844"/>
      <c r="N307" s="844"/>
      <c r="O307" s="48">
        <f>IF(t&lt;Tnet,'2026'!Resal+('2026'!Salim-'2026'!Resal)*(1-EXP(('2026'!Tnet-t)/('2026'!Tau_j))),Resal+(Salim-Resal)*(1-EXP((Tnet-t)/(Tau_j))))*Salcycl</f>
        <v>4.7424119000079111E-2</v>
      </c>
      <c r="P307" s="169">
        <f>(INDEX(Models!$BJ307:$BT307,,T307)*(1-R307)+INDEX(Models!$BJ307:$BT307,,T307+1)*R307-ERP_i)*Q307*Ramure*Pc/MaxiM</f>
        <v>1.6562753614901423E-3</v>
      </c>
      <c r="Q307" s="305">
        <f t="shared" si="105"/>
        <v>0.7</v>
      </c>
      <c r="R307" s="177">
        <f t="shared" si="106"/>
        <v>0.57767397890243022</v>
      </c>
      <c r="S307" s="810">
        <f t="shared" si="107"/>
        <v>-1</v>
      </c>
      <c r="T307" s="176">
        <f t="shared" si="108"/>
        <v>5</v>
      </c>
      <c r="U307" s="251">
        <f t="shared" si="109"/>
        <v>-0.42232602109756978</v>
      </c>
      <c r="V307" s="383">
        <f t="shared" si="110"/>
        <v>28.684660177895811</v>
      </c>
      <c r="W307" s="402">
        <f t="shared" si="111"/>
        <v>6.3012546296519041</v>
      </c>
      <c r="X307" s="157">
        <f t="shared" si="112"/>
        <v>46680</v>
      </c>
      <c r="Y307" s="385">
        <f t="shared" si="113"/>
        <v>5.7976953167556946</v>
      </c>
      <c r="Z307" s="385">
        <f t="shared" si="114"/>
        <v>6.2702510894455603</v>
      </c>
      <c r="AA307" s="386">
        <f t="shared" si="115"/>
        <v>7.1541327148140983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0.1235483965146859</v>
      </c>
      <c r="AD307" s="231">
        <f>(INDEX(Models!$BJ307:$BT307,,AH307)*(1-AF307)+INDEX(Models!$BJ307:$BT307,,AH307+1)*AF307-ERP_i)*AE307*Ramure*Pc/MaxiM</f>
        <v>7.9587650056245161E-3</v>
      </c>
      <c r="AE307" s="305">
        <f t="shared" si="117"/>
        <v>0.7</v>
      </c>
      <c r="AF307" s="177">
        <f t="shared" si="118"/>
        <v>0.39766403200161404</v>
      </c>
      <c r="AG307" s="810">
        <f t="shared" si="124"/>
        <v>2</v>
      </c>
      <c r="AH307" s="176">
        <f t="shared" si="119"/>
        <v>8</v>
      </c>
      <c r="AI307" s="225">
        <f t="shared" si="120"/>
        <v>2.397664032001614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14.466265426980536</v>
      </c>
      <c r="C308" s="840"/>
      <c r="D308" s="393">
        <f t="shared" si="102"/>
        <v>15.645738959034199</v>
      </c>
      <c r="E308" s="385">
        <f t="shared" si="125"/>
        <v>16.426753832714777</v>
      </c>
      <c r="F308" s="385">
        <f t="shared" si="103"/>
        <v>16.435221653121989</v>
      </c>
      <c r="G308" s="110">
        <f t="shared" si="126"/>
        <v>0.50957090674228434</v>
      </c>
      <c r="H308" s="414" t="b">
        <f>Wh_hp&gt;='2026'!Maxi_hp</f>
        <v>0</v>
      </c>
      <c r="I308" s="390">
        <f>IF(H308,Wh_hp,'2026'!Maxi_hp)</f>
        <v>23.519569000870998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7.5386246385800049E-2</v>
      </c>
      <c r="M308" s="844"/>
      <c r="N308" s="844"/>
      <c r="O308" s="48">
        <f>IF(t&lt;Tnet,'2026'!Resal+('2026'!Salim-'2026'!Resal)*(1-EXP(('2026'!Tnet-t)/('2026'!Tau_j))),Resal+(Salim-Resal)*(1-EXP((Tnet-t)/(Tau_j))))*Salcycl</f>
        <v>4.7545296023438537E-2</v>
      </c>
      <c r="P308" s="169">
        <f>(INDEX(Models!$BJ308:$BT308,,T308)*(1-R308)+INDEX(Models!$BJ308:$BT308,,T308+1)*R308-ERP_i)*Q308*Ramure*Pc/MaxiM</f>
        <v>1.7159115052111794E-3</v>
      </c>
      <c r="Q308" s="305">
        <f t="shared" si="105"/>
        <v>0.7</v>
      </c>
      <c r="R308" s="177">
        <f t="shared" si="106"/>
        <v>0.57774445985865852</v>
      </c>
      <c r="S308" s="810">
        <f t="shared" si="107"/>
        <v>-1</v>
      </c>
      <c r="T308" s="176">
        <f t="shared" si="108"/>
        <v>5</v>
      </c>
      <c r="U308" s="251">
        <f t="shared" si="109"/>
        <v>-0.42225554014134153</v>
      </c>
      <c r="V308" s="383">
        <f t="shared" si="110"/>
        <v>28.355007748036883</v>
      </c>
      <c r="W308" s="402">
        <f t="shared" si="111"/>
        <v>14.466265426980536</v>
      </c>
      <c r="X308" s="157">
        <f t="shared" si="112"/>
        <v>46681</v>
      </c>
      <c r="Y308" s="385">
        <f t="shared" si="113"/>
        <v>13.286510234323295</v>
      </c>
      <c r="Z308" s="385">
        <f t="shared" si="114"/>
        <v>14.369795152178931</v>
      </c>
      <c r="AA308" s="386">
        <f t="shared" si="115"/>
        <v>16.395226519621509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0.12353787030746893</v>
      </c>
      <c r="AD308" s="231">
        <f>(INDEX(Models!$BJ308:$BT308,,AH308)*(1-AF308)+INDEX(Models!$BJ308:$BT308,,AH308+1)*AF308-ERP_i)*AE308*Ramure*Pc/MaxiM</f>
        <v>8.1045778518727442E-3</v>
      </c>
      <c r="AE308" s="305">
        <f t="shared" si="117"/>
        <v>0.7</v>
      </c>
      <c r="AF308" s="177">
        <f t="shared" si="118"/>
        <v>0.39773451295784223</v>
      </c>
      <c r="AG308" s="810">
        <f t="shared" si="124"/>
        <v>2</v>
      </c>
      <c r="AH308" s="176">
        <f t="shared" si="119"/>
        <v>8</v>
      </c>
      <c r="AI308" s="225">
        <f t="shared" si="120"/>
        <v>2.3977345129578422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27.405653360207154</v>
      </c>
      <c r="C309" s="840"/>
      <c r="D309" s="393">
        <f t="shared" si="102"/>
        <v>29.64079977992143</v>
      </c>
      <c r="E309" s="385">
        <f t="shared" si="125"/>
        <v>31.124362413128601</v>
      </c>
      <c r="F309" s="385">
        <f t="shared" si="103"/>
        <v>31.177897217892653</v>
      </c>
      <c r="G309" s="110">
        <f t="shared" si="126"/>
        <v>0.97774667873225474</v>
      </c>
      <c r="H309" s="414" t="b">
        <f>Wh_hp&gt;='2026'!Maxi_hp</f>
        <v>0</v>
      </c>
      <c r="I309" s="390">
        <f>IF(H309,Wh_hp,'2026'!Maxi_hp)</f>
        <v>31.179144018223443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7.5407763498620439E-2</v>
      </c>
      <c r="M309" s="844"/>
      <c r="N309" s="844"/>
      <c r="O309" s="48">
        <f>IF(t&lt;Tnet,'2026'!Resal+('2026'!Salim-'2026'!Resal)*(1-EXP(('2026'!Tnet-t)/('2026'!Tau_j))),Resal+(Salim-Resal)*(1-EXP((Tnet-t)/(Tau_j))))*Salcycl</f>
        <v>4.7665639331502779E-2</v>
      </c>
      <c r="P309" s="169">
        <f>(INDEX(Models!$BJ309:$BT309,,T309)*(1-R309)+INDEX(Models!$BJ309:$BT309,,T309+1)*R309-ERP_i)*Q309*Ramure*Pc/MaxiM</f>
        <v>1.7733103551427977E-3</v>
      </c>
      <c r="Q309" s="305">
        <f t="shared" si="105"/>
        <v>0.7</v>
      </c>
      <c r="R309" s="177">
        <f t="shared" si="106"/>
        <v>0.57781212647133517</v>
      </c>
      <c r="S309" s="810">
        <f t="shared" si="107"/>
        <v>-1</v>
      </c>
      <c r="T309" s="176">
        <f t="shared" si="108"/>
        <v>5</v>
      </c>
      <c r="U309" s="251">
        <f t="shared" si="109"/>
        <v>-0.42218787352866483</v>
      </c>
      <c r="V309" s="383">
        <f t="shared" si="110"/>
        <v>28.0278216778174</v>
      </c>
      <c r="W309" s="402">
        <f t="shared" si="111"/>
        <v>27.405653360207154</v>
      </c>
      <c r="X309" s="157">
        <f t="shared" si="112"/>
        <v>46682</v>
      </c>
      <c r="Y309" s="385">
        <f t="shared" si="113"/>
        <v>25.064723377298272</v>
      </c>
      <c r="Z309" s="385">
        <f t="shared" si="114"/>
        <v>27.108948558926034</v>
      </c>
      <c r="AA309" s="386">
        <f t="shared" si="115"/>
        <v>30.929550711835688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0.12352595058704301</v>
      </c>
      <c r="AD309" s="231">
        <f>(INDEX(Models!$BJ309:$BT309,,AH309)*(1-AF309)+INDEX(Models!$BJ309:$BT309,,AH309+1)*AF309-ERP_i)*AE309*Ramure*Pc/MaxiM</f>
        <v>8.2263385996335838E-3</v>
      </c>
      <c r="AE309" s="305">
        <f t="shared" si="117"/>
        <v>0.7</v>
      </c>
      <c r="AF309" s="177">
        <f t="shared" si="118"/>
        <v>0.39780217957051889</v>
      </c>
      <c r="AG309" s="810">
        <f t="shared" si="124"/>
        <v>2</v>
      </c>
      <c r="AH309" s="176">
        <f t="shared" si="119"/>
        <v>8</v>
      </c>
      <c r="AI309" s="225">
        <f t="shared" si="120"/>
        <v>2.3978021795705189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15.733532296374154</v>
      </c>
      <c r="C310" s="840"/>
      <c r="D310" s="393">
        <f t="shared" si="102"/>
        <v>17.017121522362348</v>
      </c>
      <c r="E310" s="385">
        <f t="shared" si="125"/>
        <v>17.871094965628323</v>
      </c>
      <c r="F310" s="385">
        <f t="shared" si="103"/>
        <v>17.883580428378959</v>
      </c>
      <c r="G310" s="110">
        <f t="shared" si="126"/>
        <v>0.56729166892965688</v>
      </c>
      <c r="H310" s="414" t="b">
        <f>Wh_hp&gt;='2026'!Maxi_hp</f>
        <v>0</v>
      </c>
      <c r="I310" s="390">
        <f>IF(H310,Wh_hp,'2026'!Maxi_hp)</f>
        <v>32.867779364445255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7.5429280110706154E-2</v>
      </c>
      <c r="M310" s="844"/>
      <c r="N310" s="844"/>
      <c r="O310" s="48">
        <f>IF(t&lt;Tnet,'2026'!Resal+('2026'!Salim-'2026'!Resal)*(1-EXP(('2026'!Tnet-t)/('2026'!Tau_j))),Resal+(Salim-Resal)*(1-EXP((Tnet-t)/(Tau_j))))*Salcycl</f>
        <v>4.7785177400065916E-2</v>
      </c>
      <c r="P310" s="169">
        <f>(INDEX(Models!$BJ310:$BT310,,T310)*(1-R310)+INDEX(Models!$BJ310:$BT310,,T310+1)*R310-ERP_i)*Q310*Ramure*Pc/MaxiM</f>
        <v>1.823998197521507E-3</v>
      </c>
      <c r="Q310" s="305">
        <f t="shared" si="105"/>
        <v>0.7</v>
      </c>
      <c r="R310" s="177">
        <f t="shared" si="106"/>
        <v>0.57787709021679268</v>
      </c>
      <c r="S310" s="810">
        <f t="shared" si="107"/>
        <v>-1</v>
      </c>
      <c r="T310" s="176">
        <f t="shared" si="108"/>
        <v>5</v>
      </c>
      <c r="U310" s="251">
        <f t="shared" si="109"/>
        <v>-0.42212290978320738</v>
      </c>
      <c r="V310" s="383">
        <f t="shared" si="110"/>
        <v>27.703220845464614</v>
      </c>
      <c r="W310" s="402">
        <f t="shared" si="111"/>
        <v>15.733532296374154</v>
      </c>
      <c r="X310" s="157">
        <f t="shared" si="112"/>
        <v>46683</v>
      </c>
      <c r="Y310" s="385">
        <f t="shared" si="113"/>
        <v>14.446285175285608</v>
      </c>
      <c r="Z310" s="385">
        <f t="shared" si="114"/>
        <v>15.624856881705464</v>
      </c>
      <c r="AA310" s="386">
        <f t="shared" si="115"/>
        <v>17.826678412828709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0.12351271953942568</v>
      </c>
      <c r="AD310" s="231">
        <f>(INDEX(Models!$BJ310:$BT310,,AH310)*(1-AF310)+INDEX(Models!$BJ310:$BT310,,AH310+1)*AF310-ERP_i)*AE310*Ramure*Pc/MaxiM</f>
        <v>8.3128015254140576E-3</v>
      </c>
      <c r="AE310" s="305">
        <f t="shared" si="117"/>
        <v>0.7</v>
      </c>
      <c r="AF310" s="177">
        <f t="shared" si="118"/>
        <v>0.39786714331597661</v>
      </c>
      <c r="AG310" s="810">
        <f t="shared" si="124"/>
        <v>2</v>
      </c>
      <c r="AH310" s="176">
        <f t="shared" si="119"/>
        <v>8</v>
      </c>
      <c r="AI310" s="225">
        <f t="shared" si="120"/>
        <v>2.3978671433159766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19.510215880688019</v>
      </c>
      <c r="C311" s="840"/>
      <c r="D311" s="393">
        <f t="shared" si="102"/>
        <v>21.102409478007843</v>
      </c>
      <c r="E311" s="385">
        <f t="shared" si="125"/>
        <v>22.164160103235986</v>
      </c>
      <c r="F311" s="385">
        <f t="shared" si="103"/>
        <v>22.188553507785571</v>
      </c>
      <c r="G311" s="110">
        <f t="shared" si="126"/>
        <v>0.71199241792338164</v>
      </c>
      <c r="H311" s="414" t="b">
        <f>Wh_hp&gt;='2026'!Maxi_hp</f>
        <v>0</v>
      </c>
      <c r="I311" s="390">
        <f>IF(H311,Wh_hp,'2026'!Maxi_hp)</f>
        <v>32.024891553571138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7.545079622206885E-2</v>
      </c>
      <c r="M311" s="844"/>
      <c r="N311" s="844"/>
      <c r="O311" s="48">
        <f>IF(t&lt;Tnet,'2026'!Resal+('2026'!Salim-'2026'!Resal)*(1-EXP(('2026'!Tnet-t)/('2026'!Tau_j))),Resal+(Salim-Resal)*(1-EXP((Tnet-t)/(Tau_j))))*Salcycl</f>
        <v>4.7903941330631736E-2</v>
      </c>
      <c r="P311" s="169">
        <f>(INDEX(Models!$BJ311:$BT311,,T311)*(1-R311)+INDEX(Models!$BJ311:$BT311,,T311+1)*R311-ERP_i)*Q311*Ramure*Pc/MaxiM</f>
        <v>1.8654198910249913E-3</v>
      </c>
      <c r="Q311" s="305">
        <f t="shared" si="105"/>
        <v>0.7</v>
      </c>
      <c r="R311" s="177">
        <f t="shared" si="106"/>
        <v>0.57793945822670678</v>
      </c>
      <c r="S311" s="810">
        <f t="shared" si="107"/>
        <v>-1</v>
      </c>
      <c r="T311" s="176">
        <f t="shared" si="108"/>
        <v>5</v>
      </c>
      <c r="U311" s="251">
        <f t="shared" si="109"/>
        <v>-0.42206054177329322</v>
      </c>
      <c r="V311" s="383">
        <f t="shared" si="110"/>
        <v>27.381265754634843</v>
      </c>
      <c r="W311" s="402">
        <f t="shared" si="111"/>
        <v>19.510215880688019</v>
      </c>
      <c r="X311" s="157">
        <f t="shared" si="112"/>
        <v>46684</v>
      </c>
      <c r="Y311" s="385">
        <f t="shared" si="113"/>
        <v>17.892250535601455</v>
      </c>
      <c r="Z311" s="385">
        <f t="shared" si="114"/>
        <v>19.352404893638329</v>
      </c>
      <c r="AA311" s="386">
        <f t="shared" si="115"/>
        <v>22.079140435098491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0.12349826522800496</v>
      </c>
      <c r="AD311" s="231">
        <f>(INDEX(Models!$BJ311:$BT311,,AH311)*(1-AF311)+INDEX(Models!$BJ311:$BT311,,AH311+1)*AF311-ERP_i)*AE311*Ramure*Pc/MaxiM</f>
        <v>8.3670699476889963E-3</v>
      </c>
      <c r="AE311" s="305">
        <f t="shared" si="117"/>
        <v>0.7</v>
      </c>
      <c r="AF311" s="177">
        <f t="shared" si="118"/>
        <v>0.39792951132589049</v>
      </c>
      <c r="AG311" s="810">
        <f t="shared" si="124"/>
        <v>2</v>
      </c>
      <c r="AH311" s="176">
        <f t="shared" si="119"/>
        <v>8</v>
      </c>
      <c r="AI311" s="225">
        <f t="shared" si="120"/>
        <v>2.3979295113258905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19.363753888362286</v>
      </c>
      <c r="C312" s="840"/>
      <c r="D312" s="393">
        <f t="shared" si="102"/>
        <v>20.944482394840616</v>
      </c>
      <c r="E312" s="385">
        <f t="shared" si="125"/>
        <v>22.001014330156504</v>
      </c>
      <c r="F312" s="385">
        <f t="shared" si="103"/>
        <v>22.025822585187449</v>
      </c>
      <c r="G312" s="110">
        <f t="shared" si="126"/>
        <v>0.7149819852145588</v>
      </c>
      <c r="H312" s="414" t="b">
        <f>Wh_hp&gt;='2026'!Maxi_hp</f>
        <v>0</v>
      </c>
      <c r="I312" s="390">
        <f>IF(H312,Wh_hp,'2026'!Maxi_hp)</f>
        <v>30.314275892312452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7.5472311832720185E-2</v>
      </c>
      <c r="M312" s="844"/>
      <c r="N312" s="844"/>
      <c r="O312" s="48">
        <f>IF(t&lt;Tnet,'2026'!Resal+('2026'!Salim-'2026'!Resal)*(1-EXP(('2026'!Tnet-t)/('2026'!Tau_j))),Resal+(Salim-Resal)*(1-EXP((Tnet-t)/(Tau_j))))*Salcycl</f>
        <v>4.8021964781310697E-2</v>
      </c>
      <c r="P312" s="169">
        <f>(INDEX(Models!$BJ312:$BT312,,T312)*(1-R312)+INDEX(Models!$BJ312:$BT312,,T312+1)*R312-ERP_i)*Q312*Ramure*Pc/MaxiM</f>
        <v>1.8973839214612039E-3</v>
      </c>
      <c r="Q312" s="305">
        <f t="shared" si="105"/>
        <v>0.7</v>
      </c>
      <c r="R312" s="177">
        <f t="shared" si="106"/>
        <v>0.57799933345183341</v>
      </c>
      <c r="S312" s="810">
        <f t="shared" si="107"/>
        <v>-1</v>
      </c>
      <c r="T312" s="176">
        <f t="shared" si="108"/>
        <v>5</v>
      </c>
      <c r="U312" s="251">
        <f t="shared" si="109"/>
        <v>-0.42200066654816665</v>
      </c>
      <c r="V312" s="383">
        <f t="shared" si="110"/>
        <v>27.061949637304217</v>
      </c>
      <c r="W312" s="402">
        <f t="shared" si="111"/>
        <v>19.363753888362286</v>
      </c>
      <c r="X312" s="157">
        <f t="shared" si="112"/>
        <v>46685</v>
      </c>
      <c r="Y312" s="385">
        <f t="shared" si="113"/>
        <v>17.760064697262244</v>
      </c>
      <c r="Z312" s="385">
        <f t="shared" si="114"/>
        <v>19.20987864892243</v>
      </c>
      <c r="AA312" s="386">
        <f t="shared" si="115"/>
        <v>21.91614271626112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0.1234826813447754</v>
      </c>
      <c r="AD312" s="231">
        <f>(INDEX(Models!$BJ312:$BT312,,AH312)*(1-AF312)+INDEX(Models!$BJ312:$BT312,,AH312+1)*AF312-ERP_i)*AE312*Ramure*Pc/MaxiM</f>
        <v>8.3885311380911265E-3</v>
      </c>
      <c r="AE312" s="305">
        <f t="shared" si="117"/>
        <v>0.7</v>
      </c>
      <c r="AF312" s="177">
        <f t="shared" si="118"/>
        <v>0.39798938655101734</v>
      </c>
      <c r="AG312" s="810">
        <f t="shared" si="124"/>
        <v>2</v>
      </c>
      <c r="AH312" s="176">
        <f t="shared" si="119"/>
        <v>8</v>
      </c>
      <c r="AI312" s="225">
        <f t="shared" si="120"/>
        <v>2.3979893865510173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11.506756412675417</v>
      </c>
      <c r="C313" s="840"/>
      <c r="D313" s="393">
        <f t="shared" si="102"/>
        <v>12.446381374201911</v>
      </c>
      <c r="E313" s="385">
        <f t="shared" si="125"/>
        <v>13.07584309702403</v>
      </c>
      <c r="F313" s="385">
        <f t="shared" si="103"/>
        <v>13.080514905273679</v>
      </c>
      <c r="G313" s="110">
        <f t="shared" si="126"/>
        <v>0.42956276382510539</v>
      </c>
      <c r="H313" s="414" t="b">
        <f>Wh_hp&gt;='2026'!Maxi_hp</f>
        <v>0</v>
      </c>
      <c r="I313" s="390">
        <f>IF(H313,Wh_hp,'2026'!Maxi_hp)</f>
        <v>30.638103345226707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7.5493826942671927E-2</v>
      </c>
      <c r="M313" s="844"/>
      <c r="N313" s="844"/>
      <c r="O313" s="48">
        <f>IF(t&lt;Tnet,'2026'!Resal+('2026'!Salim-'2026'!Resal)*(1-EXP(('2026'!Tnet-t)/('2026'!Tau_j))),Resal+(Salim-Resal)*(1-EXP((Tnet-t)/(Tau_j))))*Salcycl</f>
        <v>4.8139283880316741E-2</v>
      </c>
      <c r="P313" s="169">
        <f>(INDEX(Models!$BJ313:$BT313,,T313)*(1-R313)+INDEX(Models!$BJ313:$BT313,,T313+1)*R313-ERP_i)*Q313*Ramure*Pc/MaxiM</f>
        <v>1.9196835158058077E-3</v>
      </c>
      <c r="Q313" s="305">
        <f t="shared" si="105"/>
        <v>0.7</v>
      </c>
      <c r="R313" s="177">
        <f t="shared" si="106"/>
        <v>0.57805681482001692</v>
      </c>
      <c r="S313" s="810">
        <f t="shared" si="107"/>
        <v>-1</v>
      </c>
      <c r="T313" s="176">
        <f t="shared" si="108"/>
        <v>5</v>
      </c>
      <c r="U313" s="251">
        <f t="shared" si="109"/>
        <v>-0.42194318517998308</v>
      </c>
      <c r="V313" s="383">
        <f t="shared" si="110"/>
        <v>26.745266009571949</v>
      </c>
      <c r="W313" s="402">
        <f t="shared" si="111"/>
        <v>11.506756412675417</v>
      </c>
      <c r="X313" s="157">
        <f t="shared" si="112"/>
        <v>46686</v>
      </c>
      <c r="Y313" s="385">
        <f t="shared" si="113"/>
        <v>10.583420069516965</v>
      </c>
      <c r="Z313" s="385">
        <f t="shared" si="114"/>
        <v>11.447646730705706</v>
      </c>
      <c r="AA313" s="386">
        <f t="shared" si="115"/>
        <v>13.060129561096231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0.12346606692125157</v>
      </c>
      <c r="AD313" s="231">
        <f>(INDEX(Models!$BJ313:$BT313,,AH313)*(1-AF313)+INDEX(Models!$BJ313:$BT313,,AH313+1)*AF313-ERP_i)*AE313*Ramure*Pc/MaxiM</f>
        <v>8.3765015793227388E-3</v>
      </c>
      <c r="AE313" s="305">
        <f t="shared" si="117"/>
        <v>0.7</v>
      </c>
      <c r="AF313" s="177">
        <f t="shared" si="118"/>
        <v>0.39804686791920085</v>
      </c>
      <c r="AG313" s="810">
        <f t="shared" si="124"/>
        <v>2</v>
      </c>
      <c r="AH313" s="176">
        <f t="shared" si="119"/>
        <v>8</v>
      </c>
      <c r="AI313" s="225">
        <f t="shared" si="120"/>
        <v>2.3980468679192009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11.687173452136122</v>
      </c>
      <c r="C314" s="840"/>
      <c r="D314" s="393">
        <f t="shared" si="102"/>
        <v>12.64182519995023</v>
      </c>
      <c r="E314" s="385">
        <f t="shared" si="125"/>
        <v>13.282799119046901</v>
      </c>
      <c r="F314" s="385">
        <f t="shared" si="103"/>
        <v>13.28801361100856</v>
      </c>
      <c r="G314" s="110">
        <f t="shared" si="126"/>
        <v>0.44149217992232986</v>
      </c>
      <c r="H314" s="414" t="b">
        <f>Wh_hp&gt;='2026'!Maxi_hp</f>
        <v>0</v>
      </c>
      <c r="I314" s="390">
        <f>IF(H314,Wh_hp,'2026'!Maxi_hp)</f>
        <v>28.51542722480329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7.5515341551935511E-2</v>
      </c>
      <c r="M314" s="844"/>
      <c r="N314" s="844"/>
      <c r="O314" s="48">
        <f>IF(t&lt;Tnet,'2026'!Resal+('2026'!Salim-'2026'!Resal)*(1-EXP(('2026'!Tnet-t)/('2026'!Tau_j))),Resal+(Salim-Resal)*(1-EXP((Tnet-t)/(Tau_j))))*Salcycl</f>
        <v>4.8255937122285132E-2</v>
      </c>
      <c r="P314" s="169">
        <f>(INDEX(Models!$BJ314:$BT314,,T314)*(1-R314)+INDEX(Models!$BJ314:$BT314,,T314+1)*R314-ERP_i)*Q314*Ramure*Pc/MaxiM</f>
        <v>1.9321109653382346E-3</v>
      </c>
      <c r="Q314" s="305">
        <f t="shared" si="105"/>
        <v>0.7</v>
      </c>
      <c r="R314" s="177">
        <f t="shared" si="106"/>
        <v>0.57811199738863883</v>
      </c>
      <c r="S314" s="810">
        <f t="shared" si="107"/>
        <v>-1</v>
      </c>
      <c r="T314" s="176">
        <f t="shared" si="108"/>
        <v>5</v>
      </c>
      <c r="U314" s="251">
        <f t="shared" si="109"/>
        <v>-0.42188800261136122</v>
      </c>
      <c r="V314" s="383">
        <f t="shared" si="110"/>
        <v>26.431208278874472</v>
      </c>
      <c r="W314" s="402">
        <f t="shared" si="111"/>
        <v>11.687173452136122</v>
      </c>
      <c r="X314" s="157">
        <f t="shared" si="112"/>
        <v>46687</v>
      </c>
      <c r="Y314" s="385">
        <f t="shared" si="113"/>
        <v>10.749834616947163</v>
      </c>
      <c r="Z314" s="385">
        <f t="shared" si="114"/>
        <v>11.627921046297239</v>
      </c>
      <c r="AA314" s="386">
        <f t="shared" si="115"/>
        <v>13.265531336384965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0.12344852600031607</v>
      </c>
      <c r="AD314" s="231">
        <f>(INDEX(Models!$BJ314:$BT314,,AH314)*(1-AF314)+INDEX(Models!$BJ314:$BT314,,AH314+1)*AF314-ERP_i)*AE314*Ramure*Pc/MaxiM</f>
        <v>8.3302936595519919E-3</v>
      </c>
      <c r="AE314" s="305">
        <f t="shared" si="117"/>
        <v>0.7</v>
      </c>
      <c r="AF314" s="177">
        <f t="shared" si="118"/>
        <v>0.39810205048782255</v>
      </c>
      <c r="AG314" s="810">
        <f t="shared" si="124"/>
        <v>2</v>
      </c>
      <c r="AH314" s="176">
        <f t="shared" si="119"/>
        <v>8</v>
      </c>
      <c r="AI314" s="225">
        <f t="shared" si="120"/>
        <v>2.3981020504878225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15.817174874812142</v>
      </c>
      <c r="C315" s="840"/>
      <c r="D315" s="393">
        <f t="shared" si="102"/>
        <v>17.109578647522405</v>
      </c>
      <c r="E315" s="385">
        <f t="shared" si="125"/>
        <v>17.979271335755985</v>
      </c>
      <c r="F315" s="385">
        <f t="shared" si="103"/>
        <v>17.994466356503661</v>
      </c>
      <c r="G315" s="110">
        <f t="shared" si="126"/>
        <v>0.60490269459303958</v>
      </c>
      <c r="H315" s="414" t="b">
        <f>Wh_hp&gt;='2026'!Maxi_hp</f>
        <v>0</v>
      </c>
      <c r="I315" s="390">
        <f>IF(H315,Wh_hp,'2026'!Maxi_hp)</f>
        <v>29.596972349647235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7.5536855660522817E-2</v>
      </c>
      <c r="M315" s="844"/>
      <c r="N315" s="844"/>
      <c r="O315" s="48">
        <f>IF(t&lt;Tnet,'2026'!Resal+('2026'!Salim-'2026'!Resal)*(1-EXP(('2026'!Tnet-t)/('2026'!Tau_j))),Resal+(Salim-Resal)*(1-EXP((Tnet-t)/(Tau_j))))*Salcycl</f>
        <v>4.8371965247779147E-2</v>
      </c>
      <c r="P315" s="169">
        <f>(INDEX(Models!$BJ315:$BT315,,T315)*(1-R315)+INDEX(Models!$BJ315:$BT315,,T315+1)*R315-ERP_i)*Q315*Ramure*Pc/MaxiM</f>
        <v>1.9344571981978584E-3</v>
      </c>
      <c r="Q315" s="305">
        <f t="shared" si="105"/>
        <v>0.7</v>
      </c>
      <c r="R315" s="177">
        <f t="shared" si="106"/>
        <v>0.57816497249166443</v>
      </c>
      <c r="S315" s="810">
        <f t="shared" si="107"/>
        <v>-1</v>
      </c>
      <c r="T315" s="176">
        <f t="shared" si="108"/>
        <v>5</v>
      </c>
      <c r="U315" s="251">
        <f t="shared" si="109"/>
        <v>-0.42183502750833557</v>
      </c>
      <c r="V315" s="383">
        <f t="shared" si="110"/>
        <v>26.119769763195247</v>
      </c>
      <c r="W315" s="402">
        <f t="shared" si="111"/>
        <v>15.817174874812142</v>
      </c>
      <c r="X315" s="157">
        <f t="shared" si="112"/>
        <v>46688</v>
      </c>
      <c r="Y315" s="385">
        <f t="shared" si="113"/>
        <v>14.529424192727383</v>
      </c>
      <c r="Z315" s="385">
        <f t="shared" si="114"/>
        <v>15.716607288988856</v>
      </c>
      <c r="AA315" s="386">
        <f t="shared" si="115"/>
        <v>17.929669379622155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0.12343016727059899</v>
      </c>
      <c r="AD315" s="231">
        <f>(INDEX(Models!$BJ315:$BT315,,AH315)*(1-AF315)+INDEX(Models!$BJ315:$BT315,,AH315+1)*AF315-ERP_i)*AE315*Ramure*Pc/MaxiM</f>
        <v>8.249214030791473E-3</v>
      </c>
      <c r="AE315" s="305">
        <f t="shared" si="117"/>
        <v>0.7</v>
      </c>
      <c r="AF315" s="177">
        <f t="shared" si="118"/>
        <v>0.39815502559084859</v>
      </c>
      <c r="AG315" s="810">
        <f t="shared" si="124"/>
        <v>2</v>
      </c>
      <c r="AH315" s="176">
        <f t="shared" si="119"/>
        <v>8</v>
      </c>
      <c r="AI315" s="225">
        <f t="shared" si="120"/>
        <v>2.3981550255908486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22.265429568543585</v>
      </c>
      <c r="C316" s="840"/>
      <c r="D316" s="393">
        <f t="shared" si="102"/>
        <v>24.085273562294994</v>
      </c>
      <c r="E316" s="385">
        <f t="shared" si="125"/>
        <v>25.312616820239175</v>
      </c>
      <c r="F316" s="385">
        <f t="shared" si="103"/>
        <v>25.351873222738341</v>
      </c>
      <c r="G316" s="110">
        <f t="shared" si="126"/>
        <v>0.86230861304016371</v>
      </c>
      <c r="H316" s="414" t="b">
        <f>Wh_hp&gt;='2026'!Maxi_hp</f>
        <v>0</v>
      </c>
      <c r="I316" s="390">
        <f>IF(H316,Wh_hp,'2026'!Maxi_hp)</f>
        <v>26.808132600527212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7.555836926844528E-2</v>
      </c>
      <c r="M316" s="844"/>
      <c r="N316" s="844"/>
      <c r="O316" s="48">
        <f>IF(t&lt;Tnet,'2026'!Resal+('2026'!Salim-'2026'!Resal)*(1-EXP(('2026'!Tnet-t)/('2026'!Tau_j))),Resal+(Salim-Resal)*(1-EXP((Tnet-t)/(Tau_j))))*Salcycl</f>
        <v>4.848741110649743E-2</v>
      </c>
      <c r="P316" s="169">
        <f>(INDEX(Models!$BJ316:$BT316,,T316)*(1-R316)+INDEX(Models!$BJ316:$BT316,,T316+1)*R316-ERP_i)*Q316*Ramure*Pc/MaxiM</f>
        <v>1.9265112745105385E-3</v>
      </c>
      <c r="Q316" s="305">
        <f t="shared" si="105"/>
        <v>0.7</v>
      </c>
      <c r="R316" s="177">
        <f t="shared" si="106"/>
        <v>0.57821582788145331</v>
      </c>
      <c r="S316" s="810">
        <f t="shared" si="107"/>
        <v>-1</v>
      </c>
      <c r="T316" s="176">
        <f t="shared" si="108"/>
        <v>5</v>
      </c>
      <c r="U316" s="251">
        <f t="shared" si="109"/>
        <v>-0.42178417211854663</v>
      </c>
      <c r="V316" s="383">
        <f t="shared" si="110"/>
        <v>25.810943714994373</v>
      </c>
      <c r="W316" s="402">
        <f t="shared" si="111"/>
        <v>22.265429568543585</v>
      </c>
      <c r="X316" s="157">
        <f t="shared" si="112"/>
        <v>46689</v>
      </c>
      <c r="Y316" s="385">
        <f t="shared" si="113"/>
        <v>20.409734628883104</v>
      </c>
      <c r="Z316" s="385">
        <f t="shared" si="114"/>
        <v>22.077905137971673</v>
      </c>
      <c r="AA316" s="386">
        <f t="shared" si="115"/>
        <v>25.186156509952269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0.12341110366531612</v>
      </c>
      <c r="AD316" s="231">
        <f>(INDEX(Models!$BJ316:$BT316,,AH316)*(1-AF316)+INDEX(Models!$BJ316:$BT316,,AH316+1)*AF316-ERP_i)*AE316*Ramure*Pc/MaxiM</f>
        <v>8.1325617028704215E-3</v>
      </c>
      <c r="AE316" s="305">
        <f t="shared" si="117"/>
        <v>0.7</v>
      </c>
      <c r="AF316" s="177">
        <f t="shared" si="118"/>
        <v>0.39820588098063725</v>
      </c>
      <c r="AG316" s="810">
        <f t="shared" si="124"/>
        <v>2</v>
      </c>
      <c r="AH316" s="176">
        <f t="shared" si="119"/>
        <v>8</v>
      </c>
      <c r="AI316" s="225">
        <f t="shared" si="120"/>
        <v>2.3982058809806373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18.400057477155176</v>
      </c>
      <c r="C317" s="840"/>
      <c r="D317" s="393">
        <f t="shared" si="102"/>
        <v>19.904432115175542</v>
      </c>
      <c r="E317" s="385">
        <f t="shared" si="125"/>
        <v>20.921253565402967</v>
      </c>
      <c r="F317" s="385">
        <f t="shared" si="103"/>
        <v>20.945317235955088</v>
      </c>
      <c r="G317" s="110">
        <f t="shared" si="126"/>
        <v>0.72091830797717804</v>
      </c>
      <c r="H317" s="414" t="b">
        <f>Wh_hp&gt;='2026'!Maxi_hp</f>
        <v>0</v>
      </c>
      <c r="I317" s="390">
        <f>IF(H317,Wh_hp,'2026'!Maxi_hp)</f>
        <v>25.646872317786048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7.557988237571478E-2</v>
      </c>
      <c r="M317" s="844"/>
      <c r="N317" s="844"/>
      <c r="O317" s="48">
        <f>IF(t&lt;Tnet,'2026'!Resal+('2026'!Salim-'2026'!Resal)*(1-EXP(('2026'!Tnet-t)/('2026'!Tau_j))),Resal+(Salim-Resal)*(1-EXP((Tnet-t)/(Tau_j))))*Salcycl</f>
        <v>4.8602319504837121E-2</v>
      </c>
      <c r="P317" s="169">
        <f>(INDEX(Models!$BJ317:$BT317,,T317)*(1-R317)+INDEX(Models!$BJ317:$BT317,,T317+1)*R317-ERP_i)*Q317*Ramure*Pc/MaxiM</f>
        <v>1.9081375881630396E-3</v>
      </c>
      <c r="Q317" s="305">
        <f t="shared" si="105"/>
        <v>0.7</v>
      </c>
      <c r="R317" s="177">
        <f t="shared" si="106"/>
        <v>0.57826464786548759</v>
      </c>
      <c r="S317" s="810">
        <f t="shared" si="107"/>
        <v>-1</v>
      </c>
      <c r="T317" s="176">
        <f t="shared" si="108"/>
        <v>5</v>
      </c>
      <c r="U317" s="251">
        <f t="shared" si="109"/>
        <v>-0.42173535213451246</v>
      </c>
      <c r="V317" s="383">
        <f t="shared" si="110"/>
        <v>25.503681671586499</v>
      </c>
      <c r="W317" s="402">
        <f t="shared" si="111"/>
        <v>18.400057477155176</v>
      </c>
      <c r="X317" s="157">
        <f t="shared" si="112"/>
        <v>46690</v>
      </c>
      <c r="Y317" s="385">
        <f t="shared" si="113"/>
        <v>16.89158302578323</v>
      </c>
      <c r="Z317" s="385">
        <f t="shared" si="114"/>
        <v>18.272625945434612</v>
      </c>
      <c r="AA317" s="386">
        <f t="shared" si="115"/>
        <v>20.844681455159456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0.12339145192781123</v>
      </c>
      <c r="AD317" s="231">
        <f>(INDEX(Models!$BJ317:$BT317,,AH317)*(1-AF317)+INDEX(Models!$BJ317:$BT317,,AH317+1)*AF317-ERP_i)*AE317*Ramure*Pc/MaxiM</f>
        <v>7.979951173049997E-3</v>
      </c>
      <c r="AE317" s="305">
        <f t="shared" si="117"/>
        <v>0.7</v>
      </c>
      <c r="AF317" s="177">
        <f t="shared" si="118"/>
        <v>0.3982547009646713</v>
      </c>
      <c r="AG317" s="810">
        <f t="shared" si="124"/>
        <v>2</v>
      </c>
      <c r="AH317" s="176">
        <f t="shared" si="119"/>
        <v>8</v>
      </c>
      <c r="AI317" s="225">
        <f t="shared" si="120"/>
        <v>2.3982547009646713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17.390315612538821</v>
      </c>
      <c r="C318" s="840"/>
      <c r="D318" s="393">
        <f t="shared" si="102"/>
        <v>18.812572323393589</v>
      </c>
      <c r="E318" s="385">
        <f t="shared" si="125"/>
        <v>19.775994234176977</v>
      </c>
      <c r="F318" s="385">
        <f t="shared" si="103"/>
        <v>19.796726242232598</v>
      </c>
      <c r="G318" s="110">
        <f t="shared" si="126"/>
        <v>0.68959226359507519</v>
      </c>
      <c r="H318" s="414" t="b">
        <f>Wh_hp&gt;='2026'!Maxi_hp</f>
        <v>0</v>
      </c>
      <c r="I318" s="390">
        <f>IF(H318,Wh_hp,'2026'!Maxi_hp)</f>
        <v>29.156794138449072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7.5601394982342751E-2</v>
      </c>
      <c r="M318" s="844"/>
      <c r="N318" s="844"/>
      <c r="O318" s="48">
        <f>IF(t&lt;Tnet,'2026'!Resal+('2026'!Salim-'2026'!Resal)*(1-EXP(('2026'!Tnet-t)/('2026'!Tau_j))),Resal+(Salim-Resal)*(1-EXP((Tnet-t)/(Tau_j))))*Salcycl</f>
        <v>4.8716737038605976E-2</v>
      </c>
      <c r="P318" s="169">
        <f>(INDEX(Models!$BJ318:$BT318,,T318)*(1-R318)+INDEX(Models!$BJ318:$BT318,,T318+1)*R318-ERP_i)*Q318*Ramure*Pc/MaxiM</f>
        <v>1.8788655109108956E-3</v>
      </c>
      <c r="Q318" s="305">
        <f t="shared" si="105"/>
        <v>0.7</v>
      </c>
      <c r="R318" s="177">
        <f t="shared" si="106"/>
        <v>0.57831151343817622</v>
      </c>
      <c r="S318" s="810">
        <f t="shared" si="107"/>
        <v>-1</v>
      </c>
      <c r="T318" s="176">
        <f t="shared" si="108"/>
        <v>5</v>
      </c>
      <c r="U318" s="251">
        <f t="shared" si="109"/>
        <v>-0.42168848656182378</v>
      </c>
      <c r="V318" s="383">
        <f t="shared" si="110"/>
        <v>25.197263966909297</v>
      </c>
      <c r="W318" s="402">
        <f t="shared" si="111"/>
        <v>17.390315612538821</v>
      </c>
      <c r="X318" s="157">
        <f t="shared" si="112"/>
        <v>46691</v>
      </c>
      <c r="Y318" s="385">
        <f t="shared" si="113"/>
        <v>15.972639314867576</v>
      </c>
      <c r="Z318" s="385">
        <f t="shared" si="114"/>
        <v>17.27895220543142</v>
      </c>
      <c r="AA318" s="386">
        <f t="shared" si="115"/>
        <v>19.710685765886964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0.12337133214634857</v>
      </c>
      <c r="AD318" s="231">
        <f>(INDEX(Models!$BJ318:$BT318,,AH318)*(1-AF318)+INDEX(Models!$BJ318:$BT318,,AH318+1)*AF318-ERP_i)*AE318*Ramure*Pc/MaxiM</f>
        <v>7.797531387912374E-3</v>
      </c>
      <c r="AE318" s="305">
        <f t="shared" si="117"/>
        <v>0.7</v>
      </c>
      <c r="AF318" s="177">
        <f t="shared" si="118"/>
        <v>0.39830156653736015</v>
      </c>
      <c r="AG318" s="810">
        <f t="shared" si="124"/>
        <v>2</v>
      </c>
      <c r="AH318" s="176">
        <f t="shared" si="119"/>
        <v>8</v>
      </c>
      <c r="AI318" s="225">
        <f t="shared" si="120"/>
        <v>2.3983015665373602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17.470073040174761</v>
      </c>
      <c r="C319" s="840"/>
      <c r="D319" s="393">
        <f t="shared" si="102"/>
        <v>18.899292479378158</v>
      </c>
      <c r="E319" s="385">
        <f t="shared" si="125"/>
        <v>19.869536071086738</v>
      </c>
      <c r="F319" s="385">
        <f t="shared" si="103"/>
        <v>19.890593003269</v>
      </c>
      <c r="G319" s="110">
        <f t="shared" si="126"/>
        <v>0.70128233408115681</v>
      </c>
      <c r="H319" s="414" t="b">
        <f>Wh_hp&gt;='2026'!Maxi_hp</f>
        <v>0</v>
      </c>
      <c r="I319" s="390">
        <f>IF(H319,Wh_hp,'2026'!Maxi_hp)</f>
        <v>28.781907422136918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7.5622907088340963E-2</v>
      </c>
      <c r="M319" s="844"/>
      <c r="N319" s="844"/>
      <c r="O319" s="48">
        <f>IF(t&lt;Tnet,'2026'!Resal+('2026'!Salim-'2026'!Resal)*(1-EXP(('2026'!Tnet-t)/('2026'!Tau_j))),Resal+(Salim-Resal)*(1-EXP((Tnet-t)/(Tau_j))))*Salcycl</f>
        <v>4.8830711911811479E-2</v>
      </c>
      <c r="P319" s="169">
        <f>(INDEX(Models!$BJ319:$BT319,,T319)*(1-R319)+INDEX(Models!$BJ319:$BT319,,T319+1)*R319-ERP_i)*Q319*Ramure*Pc/MaxiM</f>
        <v>1.8441595177056027E-3</v>
      </c>
      <c r="Q319" s="305">
        <f t="shared" si="105"/>
        <v>0.7</v>
      </c>
      <c r="R319" s="177">
        <f t="shared" si="106"/>
        <v>0.57835650240788961</v>
      </c>
      <c r="S319" s="810">
        <f t="shared" si="107"/>
        <v>-1</v>
      </c>
      <c r="T319" s="176">
        <f t="shared" si="108"/>
        <v>5</v>
      </c>
      <c r="U319" s="251">
        <f t="shared" si="109"/>
        <v>-0.42164349759211039</v>
      </c>
      <c r="V319" s="383">
        <f t="shared" si="110"/>
        <v>24.89202212228993</v>
      </c>
      <c r="W319" s="402">
        <f t="shared" si="111"/>
        <v>17.470073040174761</v>
      </c>
      <c r="X319" s="157">
        <f t="shared" si="112"/>
        <v>46692</v>
      </c>
      <c r="Y319" s="385">
        <f t="shared" si="113"/>
        <v>16.048035913879744</v>
      </c>
      <c r="Z319" s="385">
        <f t="shared" si="114"/>
        <v>17.360919084797597</v>
      </c>
      <c r="AA319" s="386">
        <f t="shared" si="115"/>
        <v>19.803725842464363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0.12335086726098532</v>
      </c>
      <c r="AD319" s="231">
        <f>(INDEX(Models!$BJ319:$BT319,,AH319)*(1-AF319)+INDEX(Models!$BJ319:$BT319,,AH319+1)*AF319-ERP_i)*AE319*Ramure*Pc/MaxiM</f>
        <v>7.6077987043568539E-3</v>
      </c>
      <c r="AE319" s="305">
        <f t="shared" si="117"/>
        <v>0.7</v>
      </c>
      <c r="AF319" s="177">
        <f t="shared" si="118"/>
        <v>0.39834655550707332</v>
      </c>
      <c r="AG319" s="810">
        <f t="shared" si="124"/>
        <v>2</v>
      </c>
      <c r="AH319" s="176">
        <f t="shared" si="119"/>
        <v>8</v>
      </c>
      <c r="AI319" s="225">
        <f t="shared" si="120"/>
        <v>2.3983465555070733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23.670188273345513</v>
      </c>
      <c r="C320" s="840"/>
      <c r="D320" s="393">
        <f t="shared" si="102"/>
        <v>25.607232489357962</v>
      </c>
      <c r="E320" s="385">
        <f t="shared" si="125"/>
        <v>26.925060562569158</v>
      </c>
      <c r="F320" s="385">
        <f t="shared" si="103"/>
        <v>26.971117469114169</v>
      </c>
      <c r="G320" s="110">
        <f t="shared" si="126"/>
        <v>0.96256264160579785</v>
      </c>
      <c r="H320" s="414" t="b">
        <f>Wh_hp&gt;='2026'!Maxi_hp</f>
        <v>0</v>
      </c>
      <c r="I320" s="390">
        <f>IF(H320,Wh_hp,'2026'!Maxi_hp)</f>
        <v>26.972938710100351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7.5644418693720961E-2</v>
      </c>
      <c r="M320" s="844"/>
      <c r="N320" s="844"/>
      <c r="O320" s="48">
        <f>IF(t&lt;Tnet,'2026'!Resal+('2026'!Salim-'2026'!Resal)*(1-EXP(('2026'!Tnet-t)/('2026'!Tau_j))),Resal+(Salim-Resal)*(1-EXP((Tnet-t)/(Tau_j))))*Salcycl</f>
        <v>4.8944293742581989E-2</v>
      </c>
      <c r="P320" s="169">
        <f>(INDEX(Models!$BJ320:$BT320,,T320)*(1-R320)+INDEX(Models!$BJ320:$BT320,,T320+1)*R320-ERP_i)*Q320*Ramure*Pc/MaxiM</f>
        <v>1.8038735705423431E-3</v>
      </c>
      <c r="Q320" s="305">
        <f t="shared" si="105"/>
        <v>0.7</v>
      </c>
      <c r="R320" s="177">
        <f t="shared" si="106"/>
        <v>0.57839968951937282</v>
      </c>
      <c r="S320" s="810">
        <f t="shared" si="107"/>
        <v>-1</v>
      </c>
      <c r="T320" s="176">
        <f t="shared" si="108"/>
        <v>5</v>
      </c>
      <c r="U320" s="251">
        <f t="shared" si="109"/>
        <v>-0.42160031048062713</v>
      </c>
      <c r="V320" s="383">
        <f t="shared" si="110"/>
        <v>24.588432420936556</v>
      </c>
      <c r="W320" s="402">
        <f t="shared" si="111"/>
        <v>23.670188273345513</v>
      </c>
      <c r="X320" s="157">
        <f t="shared" si="112"/>
        <v>46693</v>
      </c>
      <c r="Y320" s="385">
        <f t="shared" si="113"/>
        <v>21.70284596554335</v>
      </c>
      <c r="Z320" s="385">
        <f t="shared" si="114"/>
        <v>23.47889319267523</v>
      </c>
      <c r="AA320" s="386">
        <f t="shared" si="115"/>
        <v>26.781911188469614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0.12333018254561416</v>
      </c>
      <c r="AD320" s="231">
        <f>(INDEX(Models!$BJ320:$BT320,,AH320)*(1-AF320)+INDEX(Models!$BJ320:$BT320,,AH320+1)*AF320-ERP_i)*AE320*Ramure*Pc/MaxiM</f>
        <v>7.4104892108147122E-3</v>
      </c>
      <c r="AE320" s="305">
        <f t="shared" si="117"/>
        <v>0.7</v>
      </c>
      <c r="AF320" s="177">
        <f t="shared" si="118"/>
        <v>0.39838974261855675</v>
      </c>
      <c r="AG320" s="810">
        <f t="shared" si="124"/>
        <v>2</v>
      </c>
      <c r="AH320" s="176">
        <f t="shared" si="119"/>
        <v>8</v>
      </c>
      <c r="AI320" s="225">
        <f t="shared" si="120"/>
        <v>2.3983897426185568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9.6367406282517809</v>
      </c>
      <c r="C321" s="840"/>
      <c r="D321" s="393">
        <f t="shared" si="102"/>
        <v>10.425603619858961</v>
      </c>
      <c r="E321" s="385">
        <f t="shared" si="125"/>
        <v>10.963443095214346</v>
      </c>
      <c r="F321" s="385">
        <f t="shared" si="103"/>
        <v>10.966108436942893</v>
      </c>
      <c r="G321" s="110">
        <f t="shared" si="126"/>
        <v>0.39618523514245818</v>
      </c>
      <c r="H321" s="414" t="b">
        <f>Wh_hp&gt;='2026'!Maxi_hp</f>
        <v>0</v>
      </c>
      <c r="I321" s="390">
        <f>IF(H321,Wh_hp,'2026'!Maxi_hp)</f>
        <v>25.62517790632015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7.5665929798494624E-2</v>
      </c>
      <c r="M321" s="844"/>
      <c r="N321" s="844"/>
      <c r="O321" s="48">
        <f>IF(t&lt;Tnet,'2026'!Resal+('2026'!Salim-'2026'!Resal)*(1-EXP(('2026'!Tnet-t)/('2026'!Tau_j))),Resal+(Salim-Resal)*(1-EXP((Tnet-t)/(Tau_j))))*Salcycl</f>
        <v>4.9057533357395489E-2</v>
      </c>
      <c r="P321" s="169">
        <f>(INDEX(Models!$BJ321:$BT321,,T321)*(1-R321)+INDEX(Models!$BJ321:$BT321,,T321+1)*R321-ERP_i)*Q321*Ramure*Pc/MaxiM</f>
        <v>1.7578584709788852E-3</v>
      </c>
      <c r="Q321" s="305">
        <f t="shared" si="105"/>
        <v>0.7</v>
      </c>
      <c r="R321" s="177">
        <f t="shared" si="106"/>
        <v>0.57844114657168744</v>
      </c>
      <c r="S321" s="810">
        <f t="shared" si="107"/>
        <v>-1</v>
      </c>
      <c r="T321" s="176">
        <f t="shared" si="108"/>
        <v>5</v>
      </c>
      <c r="U321" s="251">
        <f t="shared" si="109"/>
        <v>-0.42155885342831256</v>
      </c>
      <c r="V321" s="383">
        <f t="shared" si="110"/>
        <v>24.286970929418555</v>
      </c>
      <c r="W321" s="402">
        <f t="shared" si="111"/>
        <v>9.6367406282517809</v>
      </c>
      <c r="X321" s="157">
        <f t="shared" si="112"/>
        <v>46694</v>
      </c>
      <c r="Y321" s="385">
        <f t="shared" si="113"/>
        <v>8.8775874806306874</v>
      </c>
      <c r="Z321" s="385">
        <f t="shared" si="114"/>
        <v>9.6043062425421226</v>
      </c>
      <c r="AA321" s="386">
        <f t="shared" si="115"/>
        <v>10.955183388607695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0.12330940506850396</v>
      </c>
      <c r="AD321" s="231">
        <f>(INDEX(Models!$BJ321:$BT321,,AH321)*(1-AF321)+INDEX(Models!$BJ321:$BT321,,AH321+1)*AF321-ERP_i)*AE321*Ramure*Pc/MaxiM</f>
        <v>7.2053382709596847E-3</v>
      </c>
      <c r="AE321" s="305">
        <f t="shared" si="117"/>
        <v>0.7</v>
      </c>
      <c r="AF321" s="177">
        <f t="shared" si="118"/>
        <v>0.39843119967087137</v>
      </c>
      <c r="AG321" s="810">
        <f t="shared" si="124"/>
        <v>2</v>
      </c>
      <c r="AH321" s="176">
        <f t="shared" si="119"/>
        <v>8</v>
      </c>
      <c r="AI321" s="225">
        <f t="shared" si="120"/>
        <v>2.3984311996708714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15.958679048116567</v>
      </c>
      <c r="C322" s="840"/>
      <c r="D322" s="393">
        <f t="shared" si="102"/>
        <v>17.265457320052978</v>
      </c>
      <c r="E322" s="385">
        <f t="shared" si="125"/>
        <v>18.158310195090351</v>
      </c>
      <c r="F322" s="385">
        <f t="shared" si="103"/>
        <v>18.174489242250683</v>
      </c>
      <c r="G322" s="110">
        <f t="shared" si="126"/>
        <v>0.66473126575405783</v>
      </c>
      <c r="H322" s="414" t="b">
        <f>Wh_hp&gt;='2026'!Maxi_hp</f>
        <v>0</v>
      </c>
      <c r="I322" s="390">
        <f>IF(H322,Wh_hp,'2026'!Maxi_hp)</f>
        <v>21.931273937161258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7.5687440402673389E-2</v>
      </c>
      <c r="M322" s="844"/>
      <c r="N322" s="844"/>
      <c r="O322" s="48">
        <f>IF(t&lt;Tnet,'2026'!Resal+('2026'!Salim-'2026'!Resal)*(1-EXP(('2026'!Tnet-t)/('2026'!Tau_j))),Resal+(Salim-Resal)*(1-EXP((Tnet-t)/(Tau_j))))*Salcycl</f>
        <v>4.9170482574902925E-2</v>
      </c>
      <c r="P322" s="169">
        <f>(INDEX(Models!$BJ322:$BT322,,T322)*(1-R322)+INDEX(Models!$BJ322:$BT322,,T322+1)*R322-ERP_i)*Q322*Ramure*Pc/MaxiM</f>
        <v>1.7059624576018205E-3</v>
      </c>
      <c r="Q322" s="305">
        <f t="shared" si="105"/>
        <v>0.7</v>
      </c>
      <c r="R322" s="177">
        <f t="shared" si="106"/>
        <v>0.57848094253182536</v>
      </c>
      <c r="S322" s="810">
        <f t="shared" si="107"/>
        <v>-1</v>
      </c>
      <c r="T322" s="176">
        <f t="shared" si="108"/>
        <v>5</v>
      </c>
      <c r="U322" s="251">
        <f t="shared" si="109"/>
        <v>-0.42151905746817464</v>
      </c>
      <c r="V322" s="383">
        <f t="shared" si="110"/>
        <v>23.988113515318023</v>
      </c>
      <c r="W322" s="402">
        <f t="shared" si="111"/>
        <v>15.958679048116567</v>
      </c>
      <c r="X322" s="157">
        <f t="shared" si="112"/>
        <v>46695</v>
      </c>
      <c r="Y322" s="385">
        <f t="shared" si="113"/>
        <v>14.674057667094155</v>
      </c>
      <c r="Z322" s="385">
        <f t="shared" si="114"/>
        <v>15.875644569286017</v>
      </c>
      <c r="AA322" s="386">
        <f t="shared" si="115"/>
        <v>18.108177574220623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0.1232886631348762</v>
      </c>
      <c r="AD322" s="231">
        <f>(INDEX(Models!$BJ322:$BT322,,AH322)*(1-AF322)+INDEX(Models!$BJ322:$BT322,,AH322+1)*AF322-ERP_i)*AE322*Ramure*Pc/MaxiM</f>
        <v>6.9920814890514554E-3</v>
      </c>
      <c r="AE322" s="305">
        <f t="shared" si="117"/>
        <v>0.7</v>
      </c>
      <c r="AF322" s="177">
        <f t="shared" si="118"/>
        <v>0.39847099563100929</v>
      </c>
      <c r="AG322" s="810">
        <f t="shared" si="124"/>
        <v>2</v>
      </c>
      <c r="AH322" s="176">
        <f t="shared" si="119"/>
        <v>8</v>
      </c>
      <c r="AI322" s="225">
        <f t="shared" si="120"/>
        <v>2.3984709956310093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24.158357210033607</v>
      </c>
      <c r="C323" s="840"/>
      <c r="D323" s="393">
        <f t="shared" si="102"/>
        <v>26.137175322931068</v>
      </c>
      <c r="E323" s="385">
        <f t="shared" si="125"/>
        <v>27.492072463060477</v>
      </c>
      <c r="F323" s="385">
        <f t="shared" si="103"/>
        <v>27.537455067889493</v>
      </c>
      <c r="G323" s="110">
        <f t="shared" si="126"/>
        <v>1.0196697086355615</v>
      </c>
      <c r="H323" s="414" t="b">
        <f>Wh_hp&gt;='2026'!Maxi_hp</f>
        <v>1</v>
      </c>
      <c r="I323" s="390">
        <f>IF(H323,Wh_hp,'2026'!Maxi_hp)</f>
        <v>27.537455067889493</v>
      </c>
      <c r="J323" s="85">
        <f>IF(H323,An,'2026'!An_max)</f>
        <v>2027</v>
      </c>
      <c r="K323" s="197">
        <f t="shared" si="104"/>
        <v>46696</v>
      </c>
      <c r="L323" s="147">
        <f>IF(t&lt;Tvie,1-EXP((T0-t)*PertePVj)+'2026'!Pspv,1-EXP((T0-t)*PertePVj)+Pspv)</f>
        <v>7.5708950506268913E-2</v>
      </c>
      <c r="M323" s="844"/>
      <c r="N323" s="844"/>
      <c r="O323" s="48">
        <f>IF(t&lt;Tnet,'2026'!Resal+('2026'!Salim-'2026'!Resal)*(1-EXP(('2026'!Tnet-t)/('2026'!Tau_j))),Resal+(Salim-Resal)*(1-EXP((Tnet-t)/(Tau_j))))*Salcycl</f>
        <v>4.9283193980734115E-2</v>
      </c>
      <c r="P323" s="169">
        <f>(INDEX(Models!$BJ323:$BT323,,T323)*(1-R323)+INDEX(Models!$BJ323:$BT323,,T323+1)*R323-ERP_i)*Q323*Ramure*Pc/MaxiM</f>
        <v>1.6480319156992299E-3</v>
      </c>
      <c r="Q323" s="305">
        <f t="shared" si="105"/>
        <v>0.7</v>
      </c>
      <c r="R323" s="177">
        <f t="shared" si="106"/>
        <v>0.57851914364413681</v>
      </c>
      <c r="S323" s="810">
        <f t="shared" si="107"/>
        <v>-1</v>
      </c>
      <c r="T323" s="176">
        <f t="shared" si="108"/>
        <v>5</v>
      </c>
      <c r="U323" s="251">
        <f t="shared" si="109"/>
        <v>-0.42148085635586313</v>
      </c>
      <c r="V323" s="383">
        <f t="shared" si="110"/>
        <v>23.692335866640917</v>
      </c>
      <c r="W323" s="402">
        <f t="shared" si="111"/>
        <v>24.158357210033607</v>
      </c>
      <c r="X323" s="157">
        <f t="shared" si="112"/>
        <v>46696</v>
      </c>
      <c r="Y323" s="385">
        <f t="shared" si="113"/>
        <v>22.164043517426336</v>
      </c>
      <c r="Z323" s="385">
        <f t="shared" si="114"/>
        <v>23.979506811806104</v>
      </c>
      <c r="AA323" s="386">
        <f t="shared" si="115"/>
        <v>27.351013942920698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0.12326808571523708</v>
      </c>
      <c r="AD323" s="231">
        <f>(INDEX(Models!$BJ323:$BT323,,AH323)*(1-AF323)+INDEX(Models!$BJ323:$BT323,,AH323+1)*AF323-ERP_i)*AE323*Ramure*Pc/MaxiM</f>
        <v>6.7704558939506972E-3</v>
      </c>
      <c r="AE323" s="305">
        <f t="shared" si="117"/>
        <v>0.7</v>
      </c>
      <c r="AF323" s="177">
        <f t="shared" si="118"/>
        <v>0.39850919674332097</v>
      </c>
      <c r="AG323" s="810">
        <f t="shared" si="124"/>
        <v>2</v>
      </c>
      <c r="AH323" s="176">
        <f t="shared" si="119"/>
        <v>8</v>
      </c>
      <c r="AI323" s="225">
        <f t="shared" si="120"/>
        <v>2.398509196743321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23.549310762564843</v>
      </c>
      <c r="C324" s="840"/>
      <c r="D324" s="393">
        <f t="shared" si="102"/>
        <v>25.478834632318947</v>
      </c>
      <c r="E324" s="385">
        <f t="shared" si="125"/>
        <v>26.802777125031042</v>
      </c>
      <c r="F324" s="385">
        <f t="shared" si="103"/>
        <v>26.845351396055364</v>
      </c>
      <c r="G324" s="110">
        <f t="shared" si="126"/>
        <v>1.0063779322927231</v>
      </c>
      <c r="H324" s="414" t="b">
        <f>Wh_hp&gt;='2026'!Maxi_hp</f>
        <v>1</v>
      </c>
      <c r="I324" s="390">
        <f>IF(H324,Wh_hp,'2026'!Maxi_hp)</f>
        <v>26.845351396055364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7.5730460109292963E-2</v>
      </c>
      <c r="M324" s="844"/>
      <c r="N324" s="844"/>
      <c r="O324" s="48">
        <f>IF(t&lt;Tnet,'2026'!Resal+('2026'!Salim-'2026'!Resal)*(1-EXP(('2026'!Tnet-t)/('2026'!Tau_j))),Resal+(Salim-Resal)*(1-EXP((Tnet-t)/(Tau_j))))*Salcycl</f>
        <v>4.9395720694765936E-2</v>
      </c>
      <c r="P324" s="169">
        <f>(INDEX(Models!$BJ324:$BT324,,T324)*(1-R324)+INDEX(Models!$BJ324:$BT324,,T324+1)*R324-ERP_i)*Q324*Ramure*Pc/MaxiM</f>
        <v>1.5859085022286801E-3</v>
      </c>
      <c r="Q324" s="305">
        <f t="shared" si="105"/>
        <v>0.7</v>
      </c>
      <c r="R324" s="177">
        <f t="shared" si="106"/>
        <v>0.57855581353571228</v>
      </c>
      <c r="S324" s="810">
        <f t="shared" si="107"/>
        <v>-1</v>
      </c>
      <c r="T324" s="176">
        <f t="shared" si="108"/>
        <v>5</v>
      </c>
      <c r="U324" s="251">
        <f t="shared" si="109"/>
        <v>-0.42144418646428777</v>
      </c>
      <c r="V324" s="383">
        <f t="shared" si="110"/>
        <v>23.400066721370742</v>
      </c>
      <c r="W324" s="402">
        <f t="shared" si="111"/>
        <v>23.549310762564843</v>
      </c>
      <c r="X324" s="157">
        <f t="shared" si="112"/>
        <v>46697</v>
      </c>
      <c r="Y324" s="385">
        <f t="shared" si="113"/>
        <v>21.611813350162983</v>
      </c>
      <c r="Z324" s="385">
        <f t="shared" si="114"/>
        <v>23.38258745681323</v>
      </c>
      <c r="AA324" s="386">
        <f t="shared" si="115"/>
        <v>26.669550993436435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0.1232478018633366</v>
      </c>
      <c r="AD324" s="231">
        <f>(INDEX(Models!$BJ324:$BT324,,AH324)*(1-AF324)+INDEX(Models!$BJ324:$BT324,,AH324+1)*AF324-ERP_i)*AE324*Ramure*Pc/MaxiM</f>
        <v>6.5486348092564173E-3</v>
      </c>
      <c r="AE324" s="305">
        <f t="shared" si="117"/>
        <v>0.7</v>
      </c>
      <c r="AF324" s="177">
        <f t="shared" si="118"/>
        <v>0.39854586663489622</v>
      </c>
      <c r="AG324" s="810">
        <f t="shared" si="124"/>
        <v>2</v>
      </c>
      <c r="AH324" s="176">
        <f t="shared" si="119"/>
        <v>8</v>
      </c>
      <c r="AI324" s="225">
        <f t="shared" si="120"/>
        <v>2.3985458666348962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21.574750276949612</v>
      </c>
      <c r="C325" s="840"/>
      <c r="D325" s="393">
        <f t="shared" si="102"/>
        <v>23.343030829667697</v>
      </c>
      <c r="E325" s="385">
        <f t="shared" si="125"/>
        <v>24.558895479132296</v>
      </c>
      <c r="F325" s="385">
        <f t="shared" si="103"/>
        <v>24.592823634654639</v>
      </c>
      <c r="G325" s="110">
        <f t="shared" si="126"/>
        <v>0.93336497984050304</v>
      </c>
      <c r="H325" s="414" t="b">
        <f>Wh_hp&gt;='2026'!Maxi_hp</f>
        <v>0</v>
      </c>
      <c r="I325" s="390">
        <f>IF(H325,Wh_hp,'2026'!Maxi_hp)</f>
        <v>24.595322347800277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7.5751969211757086E-2</v>
      </c>
      <c r="M325" s="844"/>
      <c r="N325" s="844"/>
      <c r="O325" s="48">
        <f>IF(t&lt;Tnet,'2026'!Resal+('2026'!Salim-'2026'!Resal)*(1-EXP(('2026'!Tnet-t)/('2026'!Tau_j))),Resal+(Salim-Resal)*(1-EXP((Tnet-t)/(Tau_j))))*Salcycl</f>
        <v>4.9508116132409866E-2</v>
      </c>
      <c r="P325" s="169">
        <f>(INDEX(Models!$BJ325:$BT325,,T325)*(1-R325)+INDEX(Models!$BJ325:$BT325,,T325+1)*R325-ERP_i)*Q325*Ramure*Pc/MaxiM</f>
        <v>1.5244143645351776E-3</v>
      </c>
      <c r="Q325" s="305">
        <f t="shared" si="105"/>
        <v>0.7</v>
      </c>
      <c r="R325" s="177">
        <f t="shared" si="106"/>
        <v>0.57859101331784912</v>
      </c>
      <c r="S325" s="810">
        <f t="shared" si="107"/>
        <v>-1</v>
      </c>
      <c r="T325" s="176">
        <f t="shared" si="108"/>
        <v>5</v>
      </c>
      <c r="U325" s="251">
        <f t="shared" si="109"/>
        <v>-0.42140898668215088</v>
      </c>
      <c r="V325" s="383">
        <f t="shared" si="110"/>
        <v>23.11166799860089</v>
      </c>
      <c r="W325" s="402">
        <f t="shared" si="111"/>
        <v>21.574750276949612</v>
      </c>
      <c r="X325" s="157">
        <f t="shared" si="112"/>
        <v>46698</v>
      </c>
      <c r="Y325" s="385">
        <f t="shared" si="113"/>
        <v>19.814594561648704</v>
      </c>
      <c r="Z325" s="385">
        <f t="shared" si="114"/>
        <v>21.438611608130635</v>
      </c>
      <c r="AA325" s="386">
        <f t="shared" si="115"/>
        <v>24.451750448405264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0.12322794012774435</v>
      </c>
      <c r="AD325" s="231">
        <f>(INDEX(Models!$BJ325:$BT325,,AH325)*(1-AF325)+INDEX(Models!$BJ325:$BT325,,AH325+1)*AF325-ERP_i)*AE325*Ramure*Pc/MaxiM</f>
        <v>6.33851113502673E-3</v>
      </c>
      <c r="AE325" s="305">
        <f t="shared" si="117"/>
        <v>0.7</v>
      </c>
      <c r="AF325" s="177">
        <f t="shared" si="118"/>
        <v>0.39858106641703284</v>
      </c>
      <c r="AG325" s="810">
        <f t="shared" si="124"/>
        <v>2</v>
      </c>
      <c r="AH325" s="176">
        <f t="shared" si="119"/>
        <v>8</v>
      </c>
      <c r="AI325" s="225">
        <f t="shared" si="120"/>
        <v>2.3985810664170328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15.941415843911109</v>
      </c>
      <c r="C326" s="840"/>
      <c r="D326" s="393">
        <f t="shared" si="102"/>
        <v>17.248386040903153</v>
      </c>
      <c r="E326" s="385">
        <f t="shared" si="125"/>
        <v>18.148944541359612</v>
      </c>
      <c r="F326" s="385">
        <f t="shared" si="103"/>
        <v>18.164072377205763</v>
      </c>
      <c r="G326" s="110">
        <f t="shared" si="126"/>
        <v>0.69789820163550997</v>
      </c>
      <c r="H326" s="414" t="b">
        <f>Wh_hp&gt;='2026'!Maxi_hp</f>
        <v>0</v>
      </c>
      <c r="I326" s="390">
        <f>IF(H326,Wh_hp,'2026'!Maxi_hp)</f>
        <v>19.495056583324676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7.5773477813673051E-2</v>
      </c>
      <c r="M326" s="844"/>
      <c r="N326" s="844"/>
      <c r="O326" s="48">
        <f>IF(t&lt;Tnet,'2026'!Resal+('2026'!Salim-'2026'!Resal)*(1-EXP(('2026'!Tnet-t)/('2026'!Tau_j))),Resal+(Salim-Resal)*(1-EXP((Tnet-t)/(Tau_j))))*Salcycl</f>
        <v>4.9620433761543306E-2</v>
      </c>
      <c r="P326" s="169">
        <f>(INDEX(Models!$BJ326:$BT326,,T326)*(1-R326)+INDEX(Models!$BJ326:$BT326,,T326+1)*R326-ERP_i)*Q326*Ramure*Pc/MaxiM</f>
        <v>1.4635540667497582E-3</v>
      </c>
      <c r="Q326" s="305">
        <f t="shared" si="105"/>
        <v>0.7</v>
      </c>
      <c r="R326" s="177">
        <f t="shared" si="106"/>
        <v>0.57862480168374186</v>
      </c>
      <c r="S326" s="810">
        <f t="shared" si="107"/>
        <v>-1</v>
      </c>
      <c r="T326" s="176">
        <f t="shared" si="108"/>
        <v>5</v>
      </c>
      <c r="U326" s="251">
        <f t="shared" si="109"/>
        <v>-0.42137519831625808</v>
      </c>
      <c r="V326" s="383">
        <f t="shared" si="110"/>
        <v>22.82761728270475</v>
      </c>
      <c r="W326" s="402">
        <f t="shared" si="111"/>
        <v>15.941415843911109</v>
      </c>
      <c r="X326" s="157">
        <f t="shared" si="112"/>
        <v>46699</v>
      </c>
      <c r="Y326" s="385">
        <f t="shared" si="113"/>
        <v>14.667893936567673</v>
      </c>
      <c r="Z326" s="385">
        <f t="shared" si="114"/>
        <v>15.870453383949286</v>
      </c>
      <c r="AA326" s="386">
        <f t="shared" si="115"/>
        <v>18.100603963568094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0.12320862796111855</v>
      </c>
      <c r="AD326" s="231">
        <f>(INDEX(Models!$BJ326:$BT326,,AH326)*(1-AF326)+INDEX(Models!$BJ326:$BT326,,AH326+1)*AF326-ERP_i)*AE326*Ramure*Pc/MaxiM</f>
        <v>6.1403002937262486E-3</v>
      </c>
      <c r="AE326" s="305">
        <f t="shared" si="117"/>
        <v>0.7</v>
      </c>
      <c r="AF326" s="177">
        <f t="shared" si="118"/>
        <v>0.39861485478292602</v>
      </c>
      <c r="AG326" s="810">
        <f t="shared" si="124"/>
        <v>2</v>
      </c>
      <c r="AH326" s="176">
        <f t="shared" si="119"/>
        <v>8</v>
      </c>
      <c r="AI326" s="225">
        <f t="shared" si="120"/>
        <v>2.398614854782926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8.5313563062376954</v>
      </c>
      <c r="C327" s="840"/>
      <c r="D327" s="393">
        <f t="shared" si="102"/>
        <v>9.2310214467777616</v>
      </c>
      <c r="E327" s="385">
        <f t="shared" si="125"/>
        <v>9.7141317055399838</v>
      </c>
      <c r="F327" s="385">
        <f t="shared" si="103"/>
        <v>9.7156579245377568</v>
      </c>
      <c r="G327" s="110">
        <f t="shared" si="126"/>
        <v>0.37788603568808221</v>
      </c>
      <c r="H327" s="414" t="b">
        <f>Wh_hp&gt;='2026'!Maxi_hp</f>
        <v>0</v>
      </c>
      <c r="I327" s="390">
        <f>IF(H327,Wh_hp,'2026'!Maxi_hp)</f>
        <v>19.997041581744018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7.5794985915052293E-2</v>
      </c>
      <c r="M327" s="844"/>
      <c r="N327" s="844"/>
      <c r="O327" s="48">
        <f>IF(t&lt;Tnet,'2026'!Resal+('2026'!Salim-'2026'!Resal)*(1-EXP(('2026'!Tnet-t)/('2026'!Tau_j))),Resal+(Salim-Resal)*(1-EXP((Tnet-t)/(Tau_j))))*Salcycl</f>
        <v>4.9732726856760986E-2</v>
      </c>
      <c r="P327" s="169">
        <f>(INDEX(Models!$BJ327:$BT327,,T327)*(1-R327)+INDEX(Models!$BJ327:$BT327,,T327+1)*R327-ERP_i)*Q327*Ramure*Pc/MaxiM</f>
        <v>1.4033349815891485E-3</v>
      </c>
      <c r="Q327" s="305">
        <f t="shared" si="105"/>
        <v>0.7</v>
      </c>
      <c r="R327" s="177">
        <f t="shared" si="106"/>
        <v>0.57865723500251753</v>
      </c>
      <c r="S327" s="810">
        <f t="shared" si="107"/>
        <v>-1</v>
      </c>
      <c r="T327" s="176">
        <f t="shared" si="108"/>
        <v>5</v>
      </c>
      <c r="U327" s="251">
        <f t="shared" si="109"/>
        <v>-0.42134276499748247</v>
      </c>
      <c r="V327" s="383">
        <f t="shared" si="110"/>
        <v>22.548391999321975</v>
      </c>
      <c r="W327" s="402">
        <f t="shared" si="111"/>
        <v>8.5313563062376954</v>
      </c>
      <c r="X327" s="157">
        <f t="shared" si="112"/>
        <v>46700</v>
      </c>
      <c r="Y327" s="385">
        <f t="shared" si="113"/>
        <v>7.8678573097953377</v>
      </c>
      <c r="Z327" s="385">
        <f t="shared" si="114"/>
        <v>8.5131082280323671</v>
      </c>
      <c r="AA327" s="386">
        <f t="shared" si="115"/>
        <v>9.7091823107908191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0.12318999113129546</v>
      </c>
      <c r="AD327" s="231">
        <f>(INDEX(Models!$BJ327:$BT327,,AH327)*(1-AF327)+INDEX(Models!$BJ327:$BT327,,AH327+1)*AF327-ERP_i)*AE327*Ramure*Pc/MaxiM</f>
        <v>5.9542276118933982E-3</v>
      </c>
      <c r="AE327" s="305">
        <f t="shared" si="117"/>
        <v>0.7</v>
      </c>
      <c r="AF327" s="177">
        <f t="shared" si="118"/>
        <v>0.39864728810170158</v>
      </c>
      <c r="AG327" s="810">
        <f t="shared" si="124"/>
        <v>2</v>
      </c>
      <c r="AH327" s="176">
        <f t="shared" si="119"/>
        <v>8</v>
      </c>
      <c r="AI327" s="225">
        <f t="shared" si="120"/>
        <v>2.3986472881017016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18.07648922636313</v>
      </c>
      <c r="C328" s="840"/>
      <c r="D328" s="393">
        <f t="shared" si="102"/>
        <v>19.559415526827795</v>
      </c>
      <c r="E328" s="385">
        <f t="shared" si="125"/>
        <v>20.585500807902914</v>
      </c>
      <c r="F328" s="385">
        <f t="shared" si="103"/>
        <v>20.605735131182609</v>
      </c>
      <c r="G328" s="110">
        <f t="shared" si="126"/>
        <v>0.81124010310380168</v>
      </c>
      <c r="H328" s="414" t="b">
        <f>Wh_hp&gt;='2026'!Maxi_hp</f>
        <v>0</v>
      </c>
      <c r="I328" s="390">
        <f>IF(H328,Wh_hp,'2026'!Maxi_hp)</f>
        <v>20.610981620956125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7.5816493515906691E-2</v>
      </c>
      <c r="M328" s="844"/>
      <c r="N328" s="844"/>
      <c r="O328" s="48">
        <f>IF(t&lt;Tnet,'2026'!Resal+('2026'!Salim-'2026'!Resal)*(1-EXP(('2026'!Tnet-t)/('2026'!Tau_j))),Resal+(Salim-Resal)*(1-EXP((Tnet-t)/(Tau_j))))*Salcycl</f>
        <v>4.9845048252661298E-2</v>
      </c>
      <c r="P328" s="169">
        <f>(INDEX(Models!$BJ328:$BT328,,T328)*(1-R328)+INDEX(Models!$BJ328:$BT328,,T328+1)*R328-ERP_i)*Q328*Ramure*Pc/MaxiM</f>
        <v>1.3437674209883087E-3</v>
      </c>
      <c r="Q328" s="305">
        <f t="shared" si="105"/>
        <v>0.7</v>
      </c>
      <c r="R328" s="177">
        <f t="shared" si="106"/>
        <v>0.57868836740974561</v>
      </c>
      <c r="S328" s="810">
        <f t="shared" si="107"/>
        <v>-1</v>
      </c>
      <c r="T328" s="176">
        <f t="shared" si="108"/>
        <v>5</v>
      </c>
      <c r="U328" s="251">
        <f t="shared" si="109"/>
        <v>-0.42131163259025434</v>
      </c>
      <c r="V328" s="383">
        <f t="shared" si="110"/>
        <v>22.274469417608266</v>
      </c>
      <c r="W328" s="402">
        <f t="shared" si="111"/>
        <v>18.07648922636313</v>
      </c>
      <c r="X328" s="157">
        <f t="shared" si="112"/>
        <v>46701</v>
      </c>
      <c r="Y328" s="385">
        <f t="shared" si="113"/>
        <v>16.627319064433305</v>
      </c>
      <c r="Z328" s="385">
        <f t="shared" si="114"/>
        <v>17.991360966491655</v>
      </c>
      <c r="AA328" s="386">
        <f t="shared" si="115"/>
        <v>20.518692501482864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0.12317215313834266</v>
      </c>
      <c r="AD328" s="231">
        <f>(INDEX(Models!$BJ328:$BT328,,AH328)*(1-AF328)+INDEX(Models!$BJ328:$BT328,,AH328+1)*AF328-ERP_i)*AE328*Ramure*Pc/MaxiM</f>
        <v>5.7805269003008159E-3</v>
      </c>
      <c r="AE328" s="305">
        <f t="shared" si="117"/>
        <v>0.7</v>
      </c>
      <c r="AF328" s="177">
        <f t="shared" si="118"/>
        <v>0.39867842050892977</v>
      </c>
      <c r="AG328" s="810">
        <f t="shared" si="124"/>
        <v>2</v>
      </c>
      <c r="AH328" s="176">
        <f t="shared" si="119"/>
        <v>8</v>
      </c>
      <c r="AI328" s="225">
        <f t="shared" si="120"/>
        <v>2.3986784205089298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21.295950307841508</v>
      </c>
      <c r="C329" s="840"/>
      <c r="D329" s="393">
        <f t="shared" si="102"/>
        <v>23.043525185023871</v>
      </c>
      <c r="E329" s="385">
        <f t="shared" si="125"/>
        <v>24.255255922378041</v>
      </c>
      <c r="F329" s="385">
        <f t="shared" si="103"/>
        <v>24.285019962073822</v>
      </c>
      <c r="G329" s="110">
        <f t="shared" si="126"/>
        <v>0.96766204017585467</v>
      </c>
      <c r="H329" s="414" t="b">
        <f>Wh_hp&gt;='2026'!Maxi_hp</f>
        <v>0</v>
      </c>
      <c r="I329" s="390">
        <f>IF(H329,Wh_hp,'2026'!Maxi_hp)</f>
        <v>24.286034457287091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7.5838000616247792E-2</v>
      </c>
      <c r="M329" s="844"/>
      <c r="N329" s="844"/>
      <c r="O329" s="48">
        <f>IF(t&lt;Tnet,'2026'!Resal+('2026'!Salim-'2026'!Resal)*(1-EXP(('2026'!Tnet-t)/('2026'!Tau_j))),Resal+(Salim-Resal)*(1-EXP((Tnet-t)/(Tau_j))))*Salcycl</f>
        <v>4.9957450097907197E-2</v>
      </c>
      <c r="P329" s="169">
        <f>(INDEX(Models!$BJ329:$BT329,,T329)*(1-R329)+INDEX(Models!$BJ329:$BT329,,T329+1)*R329-ERP_i)*Q329*Ramure*Pc/MaxiM</f>
        <v>1.2848647770497511E-3</v>
      </c>
      <c r="Q329" s="305">
        <f t="shared" si="105"/>
        <v>0.7</v>
      </c>
      <c r="R329" s="177">
        <f t="shared" si="106"/>
        <v>0.57871825089454343</v>
      </c>
      <c r="S329" s="810">
        <f t="shared" si="107"/>
        <v>-1</v>
      </c>
      <c r="T329" s="176">
        <f t="shared" si="108"/>
        <v>5</v>
      </c>
      <c r="U329" s="251">
        <f t="shared" si="109"/>
        <v>-0.42128174910545663</v>
      </c>
      <c r="V329" s="383">
        <f t="shared" si="110"/>
        <v>22.006326646607263</v>
      </c>
      <c r="W329" s="402">
        <f t="shared" si="111"/>
        <v>21.295950307841508</v>
      </c>
      <c r="X329" s="157">
        <f t="shared" si="112"/>
        <v>46702</v>
      </c>
      <c r="Y329" s="385">
        <f t="shared" si="113"/>
        <v>19.573796811838083</v>
      </c>
      <c r="Z329" s="385">
        <f t="shared" si="114"/>
        <v>21.180049412213705</v>
      </c>
      <c r="AA329" s="386">
        <f t="shared" si="115"/>
        <v>24.154845018159016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0.1231552346417016</v>
      </c>
      <c r="AD329" s="231">
        <f>(INDEX(Models!$BJ329:$BT329,,AH329)*(1-AF329)+INDEX(Models!$BJ329:$BT329,,AH329+1)*AF329-ERP_i)*AE329*Ramure*Pc/MaxiM</f>
        <v>5.6194388261841047E-3</v>
      </c>
      <c r="AE329" s="305">
        <f t="shared" si="117"/>
        <v>0.7</v>
      </c>
      <c r="AF329" s="177">
        <f t="shared" si="118"/>
        <v>0.39870830399372714</v>
      </c>
      <c r="AG329" s="810">
        <f t="shared" si="124"/>
        <v>2</v>
      </c>
      <c r="AH329" s="176">
        <f t="shared" si="119"/>
        <v>8</v>
      </c>
      <c r="AI329" s="225">
        <f t="shared" si="120"/>
        <v>2.3987083039937271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21.096973745263465</v>
      </c>
      <c r="C330" s="840"/>
      <c r="D330" s="393">
        <f t="shared" si="102"/>
        <v>22.828751591341067</v>
      </c>
      <c r="E330" s="385">
        <f t="shared" si="125"/>
        <v>24.032035199961577</v>
      </c>
      <c r="F330" s="385">
        <f t="shared" si="103"/>
        <v>24.060293181705283</v>
      </c>
      <c r="G330" s="110">
        <f t="shared" si="126"/>
        <v>0.97017311222382885</v>
      </c>
      <c r="H330" s="414" t="b">
        <f>Wh_hp&gt;='2026'!Maxi_hp</f>
        <v>0</v>
      </c>
      <c r="I330" s="390">
        <f>IF(H330,Wh_hp,'2026'!Maxi_hp)</f>
        <v>24.061180208278799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7.5859507216087252E-2</v>
      </c>
      <c r="M330" s="844"/>
      <c r="N330" s="844"/>
      <c r="O330" s="48">
        <f>IF(t&lt;Tnet,'2026'!Resal+('2026'!Salim-'2026'!Resal)*(1-EXP(('2026'!Tnet-t)/('2026'!Tau_j))),Resal+(Salim-Resal)*(1-EXP((Tnet-t)/(Tau_j))))*Salcycl</f>
        <v>5.0069983611809664E-2</v>
      </c>
      <c r="P330" s="169">
        <f>(INDEX(Models!$BJ330:$BT330,,T330)*(1-R330)+INDEX(Models!$BJ330:$BT330,,T330+1)*R330-ERP_i)*Q330*Ramure*Pc/MaxiM</f>
        <v>1.2266436691933127E-3</v>
      </c>
      <c r="Q330" s="305">
        <f t="shared" si="105"/>
        <v>0.7</v>
      </c>
      <c r="R330" s="177">
        <f t="shared" si="106"/>
        <v>0.57874693538339395</v>
      </c>
      <c r="S330" s="810">
        <f t="shared" si="107"/>
        <v>-1</v>
      </c>
      <c r="T330" s="176">
        <f t="shared" si="108"/>
        <v>5</v>
      </c>
      <c r="U330" s="251">
        <f t="shared" si="109"/>
        <v>-0.42125306461660605</v>
      </c>
      <c r="V330" s="383">
        <f t="shared" si="110"/>
        <v>21.744440637875467</v>
      </c>
      <c r="W330" s="402">
        <f t="shared" si="111"/>
        <v>21.096973745263465</v>
      </c>
      <c r="X330" s="157">
        <f t="shared" si="112"/>
        <v>46703</v>
      </c>
      <c r="Y330" s="385">
        <f t="shared" si="113"/>
        <v>19.39494145248274</v>
      </c>
      <c r="Z330" s="385">
        <f t="shared" si="114"/>
        <v>20.987005335148499</v>
      </c>
      <c r="AA330" s="386">
        <f t="shared" si="115"/>
        <v>23.934253868723012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0.12313935290148907</v>
      </c>
      <c r="AD330" s="231">
        <f>(INDEX(Models!$BJ330:$BT330,,AH330)*(1-AF330)+INDEX(Models!$BJ330:$BT330,,AH330+1)*AF330-ERP_i)*AE330*Ramure*Pc/MaxiM</f>
        <v>5.4712090460458896E-3</v>
      </c>
      <c r="AE330" s="305">
        <f t="shared" si="117"/>
        <v>0.7</v>
      </c>
      <c r="AF330" s="177">
        <f t="shared" si="118"/>
        <v>0.39873698848257799</v>
      </c>
      <c r="AG330" s="810">
        <f t="shared" si="124"/>
        <v>2</v>
      </c>
      <c r="AH330" s="176">
        <f t="shared" si="119"/>
        <v>8</v>
      </c>
      <c r="AI330" s="225">
        <f t="shared" si="120"/>
        <v>2.398736988482578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20.143454110503406</v>
      </c>
      <c r="C331" s="840"/>
      <c r="D331" s="393">
        <f t="shared" si="102"/>
        <v>21.797468075806485</v>
      </c>
      <c r="E331" s="385">
        <f t="shared" si="125"/>
        <v>22.949116687287443</v>
      </c>
      <c r="F331" s="385">
        <f t="shared" si="103"/>
        <v>22.973579492681694</v>
      </c>
      <c r="G331" s="110">
        <f t="shared" si="126"/>
        <v>0.93738060915006327</v>
      </c>
      <c r="H331" s="414" t="b">
        <f>Wh_hp&gt;='2026'!Maxi_hp</f>
        <v>0</v>
      </c>
      <c r="I331" s="390">
        <f>IF(H331,Wh_hp,'2026'!Maxi_hp)</f>
        <v>24.534938344101679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7.5881013315436729E-2</v>
      </c>
      <c r="M331" s="844"/>
      <c r="N331" s="844"/>
      <c r="O331" s="48">
        <f>IF(t&lt;Tnet,'2026'!Resal+('2026'!Salim-'2026'!Resal)*(1-EXP(('2026'!Tnet-t)/('2026'!Tau_j))),Resal+(Salim-Resal)*(1-EXP((Tnet-t)/(Tau_j))))*Salcycl</f>
        <v>5.018269884517642E-2</v>
      </c>
      <c r="P331" s="169">
        <f>(INDEX(Models!$BJ331:$BT331,,T331)*(1-R331)+INDEX(Models!$BJ331:$BT331,,T331+1)*R331-ERP_i)*Q331*Ramure*Pc/MaxiM</f>
        <v>1.1692570862276504E-3</v>
      </c>
      <c r="Q331" s="305">
        <f t="shared" si="105"/>
        <v>0.7</v>
      </c>
      <c r="R331" s="177">
        <f t="shared" si="106"/>
        <v>0.57877446882079453</v>
      </c>
      <c r="S331" s="810">
        <f t="shared" si="107"/>
        <v>-1</v>
      </c>
      <c r="T331" s="176">
        <f t="shared" si="108"/>
        <v>5</v>
      </c>
      <c r="U331" s="251">
        <f t="shared" si="109"/>
        <v>-0.42122553117920547</v>
      </c>
      <c r="V331" s="383">
        <f t="shared" si="110"/>
        <v>21.48684111517338</v>
      </c>
      <c r="W331" s="402">
        <f t="shared" si="111"/>
        <v>20.143454110503406</v>
      </c>
      <c r="X331" s="157">
        <f t="shared" si="112"/>
        <v>46704</v>
      </c>
      <c r="Y331" s="385">
        <f t="shared" si="113"/>
        <v>18.525869591488739</v>
      </c>
      <c r="Z331" s="385">
        <f t="shared" si="114"/>
        <v>20.047060885474824</v>
      </c>
      <c r="AA331" s="386">
        <f t="shared" si="115"/>
        <v>22.861926986451028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0.1231246212379392</v>
      </c>
      <c r="AD331" s="231">
        <f>(INDEX(Models!$BJ331:$BT331,,AH331)*(1-AF331)+INDEX(Models!$BJ331:$BT331,,AH331+1)*AF331-ERP_i)*AE331*Ramure*Pc/MaxiM</f>
        <v>5.3366930734763205E-3</v>
      </c>
      <c r="AE331" s="305">
        <f t="shared" si="117"/>
        <v>0.7</v>
      </c>
      <c r="AF331" s="177">
        <f t="shared" si="118"/>
        <v>0.39876452191997824</v>
      </c>
      <c r="AG331" s="810">
        <f t="shared" si="124"/>
        <v>2</v>
      </c>
      <c r="AH331" s="176">
        <f t="shared" si="119"/>
        <v>8</v>
      </c>
      <c r="AI331" s="225">
        <f t="shared" si="120"/>
        <v>2.3987645219199782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8.0910234831053067</v>
      </c>
      <c r="C332" s="840"/>
      <c r="D332" s="393">
        <f t="shared" si="102"/>
        <v>8.7555952144782658</v>
      </c>
      <c r="E332" s="385">
        <f t="shared" si="125"/>
        <v>9.2192850999207696</v>
      </c>
      <c r="F332" s="385">
        <f t="shared" si="103"/>
        <v>9.2204759513722561</v>
      </c>
      <c r="G332" s="110">
        <f t="shared" si="126"/>
        <v>0.38070869263560631</v>
      </c>
      <c r="H332" s="414" t="b">
        <f>Wh_hp&gt;='2026'!Maxi_hp</f>
        <v>0</v>
      </c>
      <c r="I332" s="390">
        <f>IF(H332,Wh_hp,'2026'!Maxi_hp)</f>
        <v>18.564263652887913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7.5902518914307771E-2</v>
      </c>
      <c r="M332" s="844"/>
      <c r="N332" s="844"/>
      <c r="O332" s="48">
        <f>IF(t&lt;Tnet,'2026'!Resal+('2026'!Salim-'2026'!Resal)*(1-EXP(('2026'!Tnet-t)/('2026'!Tau_j))),Resal+(Salim-Resal)*(1-EXP((Tnet-t)/(Tau_j))))*Salcycl</f>
        <v>5.0295644447147847E-2</v>
      </c>
      <c r="P332" s="169">
        <f>(INDEX(Models!$BJ332:$BT332,,T332)*(1-R332)+INDEX(Models!$BJ332:$BT332,,T332+1)*R332-ERP_i)*Q332*Ramure*Pc/MaxiM</f>
        <v>1.1149743173933153E-3</v>
      </c>
      <c r="Q332" s="305">
        <f t="shared" si="105"/>
        <v>0.7</v>
      </c>
      <c r="R332" s="177">
        <f t="shared" si="106"/>
        <v>0.57880089724684392</v>
      </c>
      <c r="S332" s="810">
        <f t="shared" si="107"/>
        <v>-1</v>
      </c>
      <c r="T332" s="176">
        <f t="shared" si="108"/>
        <v>5</v>
      </c>
      <c r="U332" s="251">
        <f t="shared" si="109"/>
        <v>-0.42119910275315614</v>
      </c>
      <c r="V332" s="383">
        <f t="shared" si="110"/>
        <v>21.23157759500079</v>
      </c>
      <c r="W332" s="402">
        <f t="shared" si="111"/>
        <v>8.0910234831053067</v>
      </c>
      <c r="X332" s="157">
        <f t="shared" si="112"/>
        <v>46705</v>
      </c>
      <c r="Y332" s="385">
        <f t="shared" si="113"/>
        <v>7.4671169963179667</v>
      </c>
      <c r="Z332" s="385">
        <f t="shared" si="114"/>
        <v>8.0804429718227269</v>
      </c>
      <c r="AA332" s="386">
        <f t="shared" si="115"/>
        <v>9.2148998794074366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0.12311114851284305</v>
      </c>
      <c r="AD332" s="231">
        <f>(INDEX(Models!$BJ332:$BT332,,AH332)*(1-AF332)+INDEX(Models!$BJ332:$BT332,,AH332+1)*AF332-ERP_i)*AE332*Ramure*Pc/MaxiM</f>
        <v>5.2207830161788218E-3</v>
      </c>
      <c r="AE332" s="305">
        <f t="shared" si="117"/>
        <v>0.7</v>
      </c>
      <c r="AF332" s="177">
        <f t="shared" si="118"/>
        <v>0.39879095034602763</v>
      </c>
      <c r="AG332" s="810">
        <f t="shared" si="124"/>
        <v>2</v>
      </c>
      <c r="AH332" s="176">
        <f t="shared" si="119"/>
        <v>8</v>
      </c>
      <c r="AI332" s="225">
        <f t="shared" si="120"/>
        <v>2.3987909503460276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10.904787646468479</v>
      </c>
      <c r="C333" s="840"/>
      <c r="D333" s="393">
        <f t="shared" si="102"/>
        <v>11.800747914496689</v>
      </c>
      <c r="E333" s="385">
        <f t="shared" si="125"/>
        <v>12.427188407582772</v>
      </c>
      <c r="F333" s="385">
        <f t="shared" si="103"/>
        <v>12.431342177206679</v>
      </c>
      <c r="G333" s="110">
        <f t="shared" si="126"/>
        <v>0.51941040226831448</v>
      </c>
      <c r="H333" s="414" t="b">
        <f>Wh_hp&gt;='2026'!Maxi_hp</f>
        <v>0</v>
      </c>
      <c r="I333" s="390">
        <f>IF(H333,Wh_hp,'2026'!Maxi_hp)</f>
        <v>23.679818202153843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7.5924024012712255E-2</v>
      </c>
      <c r="M333" s="844"/>
      <c r="N333" s="844"/>
      <c r="O333" s="48">
        <f>IF(t&lt;Tnet,'2026'!Resal+('2026'!Salim-'2026'!Resal)*(1-EXP(('2026'!Tnet-t)/('2026'!Tau_j))),Resal+(Salim-Resal)*(1-EXP((Tnet-t)/(Tau_j))))*Salcycl</f>
        <v>5.0408867439705282E-2</v>
      </c>
      <c r="P333" s="169">
        <f>(INDEX(Models!$BJ333:$BT333,,T333)*(1-R333)+INDEX(Models!$BJ333:$BT333,,T333+1)*R333-ERP_i)*Q333*Ramure*Pc/MaxiM</f>
        <v>1.0641785510859198E-3</v>
      </c>
      <c r="Q333" s="305">
        <f t="shared" si="105"/>
        <v>0.7</v>
      </c>
      <c r="R333" s="177">
        <f t="shared" si="106"/>
        <v>0.57882626487187994</v>
      </c>
      <c r="S333" s="810">
        <f t="shared" si="107"/>
        <v>-1</v>
      </c>
      <c r="T333" s="176">
        <f t="shared" si="108"/>
        <v>5</v>
      </c>
      <c r="U333" s="251">
        <f t="shared" si="109"/>
        <v>-0.42117373512812006</v>
      </c>
      <c r="V333" s="383">
        <f t="shared" si="110"/>
        <v>20.979217952347749</v>
      </c>
      <c r="W333" s="402">
        <f t="shared" si="111"/>
        <v>10.904787646468479</v>
      </c>
      <c r="X333" s="157">
        <f t="shared" si="112"/>
        <v>46706</v>
      </c>
      <c r="Y333" s="385">
        <f t="shared" si="113"/>
        <v>10.057221453870413</v>
      </c>
      <c r="Z333" s="385">
        <f t="shared" si="114"/>
        <v>10.88354390246454</v>
      </c>
      <c r="AA333" s="386">
        <f t="shared" si="115"/>
        <v>12.41137184471088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0.12309903863668589</v>
      </c>
      <c r="AD333" s="231">
        <f>(INDEX(Models!$BJ333:$BT333,,AH333)*(1-AF333)+INDEX(Models!$BJ333:$BT333,,AH333+1)*AF333-ERP_i)*AE333*Ramure*Pc/MaxiM</f>
        <v>5.1163163642419553E-3</v>
      </c>
      <c r="AE333" s="305">
        <f t="shared" si="117"/>
        <v>0.7</v>
      </c>
      <c r="AF333" s="177">
        <f t="shared" si="118"/>
        <v>0.39881631797106376</v>
      </c>
      <c r="AG333" s="810">
        <f t="shared" si="124"/>
        <v>2</v>
      </c>
      <c r="AH333" s="176">
        <f t="shared" si="119"/>
        <v>8</v>
      </c>
      <c r="AI333" s="225">
        <f t="shared" si="120"/>
        <v>2.3988163179710638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20.688672641537721</v>
      </c>
      <c r="C334" s="840"/>
      <c r="D334" s="393">
        <f t="shared" si="102"/>
        <v>22.389018485492308</v>
      </c>
      <c r="E334" s="385">
        <f t="shared" si="125"/>
        <v>23.580354915241806</v>
      </c>
      <c r="F334" s="385">
        <f t="shared" si="103"/>
        <v>23.604289735956197</v>
      </c>
      <c r="G334" s="110">
        <f t="shared" si="126"/>
        <v>0.99798725187936776</v>
      </c>
      <c r="H334" s="414" t="b">
        <f>Wh_hp&gt;='2026'!Maxi_hp</f>
        <v>0</v>
      </c>
      <c r="I334" s="390">
        <f>IF(H334,Wh_hp,'2026'!Maxi_hp)</f>
        <v>23.604339023131274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7.5945528610661506E-2</v>
      </c>
      <c r="M334" s="844"/>
      <c r="N334" s="844"/>
      <c r="O334" s="48">
        <f>IF(t&lt;Tnet,'2026'!Resal+('2026'!Salim-'2026'!Resal)*(1-EXP(('2026'!Tnet-t)/('2026'!Tau_j))),Resal+(Salim-Resal)*(1-EXP((Tnet-t)/(Tau_j))))*Salcycl</f>
        <v>5.0522413001487271E-2</v>
      </c>
      <c r="P334" s="169">
        <f>(INDEX(Models!$BJ334:$BT334,,T334)*(1-R334)+INDEX(Models!$BJ334:$BT334,,T334+1)*R334-ERP_i)*Q334*Ramure*Pc/MaxiM</f>
        <v>1.0169227806126771E-3</v>
      </c>
      <c r="Q334" s="305">
        <f t="shared" si="105"/>
        <v>0.7</v>
      </c>
      <c r="R334" s="177">
        <f t="shared" si="106"/>
        <v>0.57885061414827166</v>
      </c>
      <c r="S334" s="810">
        <f t="shared" si="107"/>
        <v>-1</v>
      </c>
      <c r="T334" s="176">
        <f t="shared" si="108"/>
        <v>5</v>
      </c>
      <c r="U334" s="251">
        <f t="shared" si="109"/>
        <v>-0.4211493858517284</v>
      </c>
      <c r="V334" s="383">
        <f t="shared" si="110"/>
        <v>20.730337121014273</v>
      </c>
      <c r="W334" s="402">
        <f t="shared" si="111"/>
        <v>20.688672641537721</v>
      </c>
      <c r="X334" s="157">
        <f t="shared" si="112"/>
        <v>46707</v>
      </c>
      <c r="Y334" s="385">
        <f t="shared" si="113"/>
        <v>19.031082000128862</v>
      </c>
      <c r="Z334" s="385">
        <f t="shared" si="114"/>
        <v>20.595194968880097</v>
      </c>
      <c r="AA334" s="386">
        <f t="shared" si="115"/>
        <v>23.486055762616708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0.12308839010499403</v>
      </c>
      <c r="AD334" s="231">
        <f>(INDEX(Models!$BJ334:$BT334,,AH334)*(1-AF334)+INDEX(Models!$BJ334:$BT334,,AH334+1)*AF334-ERP_i)*AE334*Ramure*Pc/MaxiM</f>
        <v>5.0234268460168366E-3</v>
      </c>
      <c r="AE334" s="305">
        <f t="shared" si="117"/>
        <v>0.7</v>
      </c>
      <c r="AF334" s="177">
        <f t="shared" si="118"/>
        <v>0.39884066724745537</v>
      </c>
      <c r="AG334" s="810">
        <f t="shared" si="124"/>
        <v>2</v>
      </c>
      <c r="AH334" s="176">
        <f t="shared" si="119"/>
        <v>8</v>
      </c>
      <c r="AI334" s="225">
        <f t="shared" si="120"/>
        <v>2.3988406672474554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12.075345578083807</v>
      </c>
      <c r="C335" s="840"/>
      <c r="D335" s="393">
        <f t="shared" ref="D335:D379" si="127">Wh/(1-Ppv)</f>
        <v>13.068089565542648</v>
      </c>
      <c r="E335" s="385">
        <f t="shared" si="125"/>
        <v>13.765103826403148</v>
      </c>
      <c r="F335" s="385">
        <f t="shared" ref="F335:F379" si="128">Wh_sa/(1-Pvg*MEDIAN((-Sdif+Wh/Env_an)/Csdif,0,1))</f>
        <v>13.77064590632278</v>
      </c>
      <c r="G335" s="110">
        <f t="shared" si="126"/>
        <v>0.58912129690127935</v>
      </c>
      <c r="H335" s="414" t="b">
        <f>Wh_hp&gt;='2026'!Maxi_hp</f>
        <v>0</v>
      </c>
      <c r="I335" s="390">
        <f>IF(H335,Wh_hp,'2026'!Maxi_hp)</f>
        <v>21.890995839338444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7.5967032708167515E-2</v>
      </c>
      <c r="M335" s="844"/>
      <c r="N335" s="844"/>
      <c r="O335" s="48">
        <f>IF(t&lt;Tnet,'2026'!Resal+('2026'!Salim-'2026'!Resal)*(1-EXP(('2026'!Tnet-t)/('2026'!Tau_j))),Resal+(Salim-Resal)*(1-EXP((Tnet-t)/(Tau_j))))*Salcycl</f>
        <v>5.063632426248342E-2</v>
      </c>
      <c r="P335" s="169">
        <f>(INDEX(Models!$BJ335:$BT335,,T335)*(1-R335)+INDEX(Models!$BJ335:$BT335,,T335+1)*R335-ERP_i)*Q335*Ramure*Pc/MaxiM</f>
        <v>9.7326500000321549E-4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0.57887398583946692</v>
      </c>
      <c r="S335" s="810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-0.42112601416053302</v>
      </c>
      <c r="V335" s="383">
        <f t="shared" ref="V335:V379" si="135">MaxiM*(1-Ppv)*(1-Pvg)*(1-Psa)</f>
        <v>20.485509777430728</v>
      </c>
      <c r="W335" s="402">
        <f t="shared" ref="W335:W379" si="136">Wh*(A335&gt;Tmaj)</f>
        <v>12.075345578083807</v>
      </c>
      <c r="X335" s="157">
        <f t="shared" ref="X335:X379" si="137">t</f>
        <v>46708</v>
      </c>
      <c r="Y335" s="385">
        <f t="shared" ref="Y335:Y379" si="138">Wh_pvt_s*(1-Ppv)</f>
        <v>11.135600319284032</v>
      </c>
      <c r="Z335" s="385">
        <f t="shared" ref="Z335:Z379" si="139">Wh_sa_s*(1-Psa_s)</f>
        <v>12.05108552773868</v>
      </c>
      <c r="AA335" s="386">
        <f t="shared" ref="AA335:AA379" si="140">Wh_hp*(1-Pvg_s*MEDIAN((-Sdif+Wh/Env_an)/Csdif,0,1))</f>
        <v>13.74250313263293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0.12307929556718172</v>
      </c>
      <c r="AD335" s="231">
        <f>(INDEX(Models!$BJ335:$BT335,,AH335)*(1-AF335)+INDEX(Models!$BJ335:$BT335,,AH335+1)*AF335-ERP_i)*AE335*Ramure*Pc/MaxiM</f>
        <v>4.9422558015294379E-3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0.39886403893865108</v>
      </c>
      <c r="AG335" s="810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2.3988640389386511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12.763625326781424</v>
      </c>
      <c r="C336" s="840"/>
      <c r="D336" s="393">
        <f t="shared" si="127"/>
        <v>13.813275947621587</v>
      </c>
      <c r="E336" s="385">
        <f t="shared" si="125"/>
        <v>14.551788560954964</v>
      </c>
      <c r="F336" s="385">
        <f t="shared" si="128"/>
        <v>14.558202424514944</v>
      </c>
      <c r="G336" s="110">
        <f t="shared" si="126"/>
        <v>0.63013773049960464</v>
      </c>
      <c r="H336" s="414" t="b">
        <f>Wh_hp&gt;='2026'!Maxi_hp</f>
        <v>0</v>
      </c>
      <c r="I336" s="390">
        <f>IF(H336,Wh_hp,'2026'!Maxi_hp)</f>
        <v>21.900036147132251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7.5988536305241605E-2</v>
      </c>
      <c r="M336" s="844"/>
      <c r="N336" s="844"/>
      <c r="O336" s="48">
        <f>IF(t&lt;Tnet,'2026'!Resal+('2026'!Salim-'2026'!Resal)*(1-EXP(('2026'!Tnet-t)/('2026'!Tau_j))),Resal+(Salim-Resal)*(1-EXP((Tnet-t)/(Tau_j))))*Salcycl</f>
        <v>5.0750642111096707E-2</v>
      </c>
      <c r="P336" s="169">
        <f>(INDEX(Models!$BJ336:$BT336,,T336)*(1-R336)+INDEX(Models!$BJ336:$BT336,,T336+1)*R336-ERP_i)*Q336*Ramure*Pc/MaxiM</f>
        <v>9.3326769266024643E-4</v>
      </c>
      <c r="Q336" s="305">
        <f t="shared" si="130"/>
        <v>0.7</v>
      </c>
      <c r="R336" s="177">
        <f t="shared" si="131"/>
        <v>0.57889641908639766</v>
      </c>
      <c r="S336" s="810">
        <f t="shared" si="132"/>
        <v>-1</v>
      </c>
      <c r="T336" s="176">
        <f t="shared" si="133"/>
        <v>5</v>
      </c>
      <c r="U336" s="251">
        <f t="shared" si="134"/>
        <v>-0.42110358091360234</v>
      </c>
      <c r="V336" s="383">
        <f t="shared" si="135"/>
        <v>20.245310335296455</v>
      </c>
      <c r="W336" s="402">
        <f t="shared" si="136"/>
        <v>12.763625326781424</v>
      </c>
      <c r="X336" s="157">
        <f t="shared" si="137"/>
        <v>46709</v>
      </c>
      <c r="Y336" s="385">
        <f t="shared" si="138"/>
        <v>11.769254113610062</v>
      </c>
      <c r="Z336" s="385">
        <f t="shared" si="139"/>
        <v>12.737129977315913</v>
      </c>
      <c r="AA336" s="386">
        <f t="shared" si="140"/>
        <v>14.524713173881823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0.12307184143094287</v>
      </c>
      <c r="AD336" s="231">
        <f>(INDEX(Models!$BJ336:$BT336,,AH336)*(1-AF336)+INDEX(Models!$BJ336:$BT336,,AH336+1)*AF336-ERP_i)*AE336*Ramure*Pc/MaxiM</f>
        <v>4.8729498803685165E-3</v>
      </c>
      <c r="AE336" s="305">
        <f t="shared" si="142"/>
        <v>0.7</v>
      </c>
      <c r="AF336" s="177">
        <f t="shared" si="143"/>
        <v>0.39888647218558138</v>
      </c>
      <c r="AG336" s="810">
        <f t="shared" ref="AG336:AG379" si="149">INDEX(Echel_vg,AH336)</f>
        <v>2</v>
      </c>
      <c r="AH336" s="176">
        <f t="shared" si="144"/>
        <v>8</v>
      </c>
      <c r="AI336" s="225">
        <f t="shared" si="145"/>
        <v>2.3988864721855814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7.0807506473205768</v>
      </c>
      <c r="C337" s="840"/>
      <c r="D337" s="393">
        <f t="shared" si="127"/>
        <v>7.6632333134195134</v>
      </c>
      <c r="E337" s="385">
        <f t="shared" si="125"/>
        <v>8.0739163380093686</v>
      </c>
      <c r="F337" s="385">
        <f t="shared" si="128"/>
        <v>8.0744735671937669</v>
      </c>
      <c r="G337" s="110">
        <f t="shared" si="126"/>
        <v>0.35356206094933079</v>
      </c>
      <c r="H337" s="414" t="b">
        <f>Wh_hp&gt;='2026'!Maxi_hp</f>
        <v>0</v>
      </c>
      <c r="I337" s="390">
        <f>IF(H337,Wh_hp,'2026'!Maxi_hp)</f>
        <v>22.404148660513918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7.6010039401895657E-2</v>
      </c>
      <c r="M337" s="844"/>
      <c r="N337" s="844"/>
      <c r="O337" s="48">
        <f>IF(t&lt;Tnet,'2026'!Resal+('2026'!Salim-'2026'!Resal)*(1-EXP(('2026'!Tnet-t)/('2026'!Tau_j))),Resal+(Salim-Resal)*(1-EXP((Tnet-t)/(Tau_j))))*Salcycl</f>
        <v>5.0865405014973053E-2</v>
      </c>
      <c r="P337" s="169">
        <f>(INDEX(Models!$BJ337:$BT337,,T337)*(1-R337)+INDEX(Models!$BJ337:$BT337,,T337+1)*R337-ERP_i)*Q337*Ramure*Pc/MaxiM</f>
        <v>8.9699721918741894E-4</v>
      </c>
      <c r="Q337" s="305">
        <f t="shared" si="130"/>
        <v>0.7</v>
      </c>
      <c r="R337" s="177">
        <f t="shared" si="131"/>
        <v>0.57891795147133407</v>
      </c>
      <c r="S337" s="810">
        <f t="shared" si="132"/>
        <v>-1</v>
      </c>
      <c r="T337" s="176">
        <f t="shared" si="133"/>
        <v>5</v>
      </c>
      <c r="U337" s="251">
        <f t="shared" si="134"/>
        <v>-0.42108204852866593</v>
      </c>
      <c r="V337" s="383">
        <f t="shared" si="135"/>
        <v>20.010312931267617</v>
      </c>
      <c r="W337" s="402">
        <f t="shared" si="136"/>
        <v>7.0807506473205768</v>
      </c>
      <c r="X337" s="157">
        <f t="shared" si="137"/>
        <v>46710</v>
      </c>
      <c r="Y337" s="385">
        <f t="shared" si="138"/>
        <v>6.5401452040862127</v>
      </c>
      <c r="Z337" s="385">
        <f t="shared" si="139"/>
        <v>7.0781561304548557</v>
      </c>
      <c r="AA337" s="386">
        <f t="shared" si="140"/>
        <v>8.0714820022706064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0.12306610750495579</v>
      </c>
      <c r="AD337" s="231">
        <f>(INDEX(Models!$BJ337:$BT337,,AH337)*(1-AF337)+INDEX(Models!$BJ337:$BT337,,AH337+1)*AF337-ERP_i)*AE337*Ramure*Pc/MaxiM</f>
        <v>4.8156584260509745E-3</v>
      </c>
      <c r="AE337" s="305">
        <f t="shared" si="142"/>
        <v>0.7</v>
      </c>
      <c r="AF337" s="177">
        <f t="shared" si="143"/>
        <v>0.39890800457051778</v>
      </c>
      <c r="AG337" s="810">
        <f t="shared" si="149"/>
        <v>2</v>
      </c>
      <c r="AH337" s="176">
        <f t="shared" si="144"/>
        <v>8</v>
      </c>
      <c r="AI337" s="225">
        <f t="shared" si="145"/>
        <v>2.3989080045705178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13.102765107567604</v>
      </c>
      <c r="C338" s="840"/>
      <c r="D338" s="393">
        <f t="shared" si="127"/>
        <v>14.180965804723655</v>
      </c>
      <c r="E338" s="385">
        <f t="shared" si="125"/>
        <v>14.9427572658476</v>
      </c>
      <c r="F338" s="385">
        <f t="shared" si="128"/>
        <v>14.949451405097022</v>
      </c>
      <c r="G338" s="110">
        <f t="shared" si="126"/>
        <v>0.6621122142489001</v>
      </c>
      <c r="H338" s="414" t="b">
        <f>Wh_hp&gt;='2026'!Maxi_hp</f>
        <v>0</v>
      </c>
      <c r="I338" s="390">
        <f>IF(H338,Wh_hp,'2026'!Maxi_hp)</f>
        <v>23.081621560560357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7.6031541998141217E-2</v>
      </c>
      <c r="M338" s="844"/>
      <c r="N338" s="844"/>
      <c r="O338" s="48">
        <f>IF(t&lt;Tnet,'2026'!Resal+('2026'!Salim-'2026'!Resal)*(1-EXP(('2026'!Tnet-t)/('2026'!Tau_j))),Resal+(Salim-Resal)*(1-EXP((Tnet-t)/(Tau_j))))*Salcycl</f>
        <v>5.0980648856891853E-2</v>
      </c>
      <c r="P338" s="169">
        <f>(INDEX(Models!$BJ338:$BT338,,T338)*(1-R338)+INDEX(Models!$BJ338:$BT338,,T338+1)*R338-ERP_i)*Q338*Ramure*Pc/MaxiM</f>
        <v>8.6495381816012104E-4</v>
      </c>
      <c r="Q338" s="305">
        <f t="shared" si="130"/>
        <v>0.7</v>
      </c>
      <c r="R338" s="177">
        <f t="shared" si="131"/>
        <v>0.57893861907928534</v>
      </c>
      <c r="S338" s="810">
        <f t="shared" si="132"/>
        <v>-1</v>
      </c>
      <c r="T338" s="176">
        <f t="shared" si="133"/>
        <v>5</v>
      </c>
      <c r="U338" s="251">
        <f t="shared" si="134"/>
        <v>-0.42106138092071466</v>
      </c>
      <c r="V338" s="383">
        <f t="shared" si="135"/>
        <v>19.781082890804111</v>
      </c>
      <c r="W338" s="402">
        <f t="shared" si="136"/>
        <v>13.102765107567604</v>
      </c>
      <c r="X338" s="157">
        <f t="shared" si="137"/>
        <v>46711</v>
      </c>
      <c r="Y338" s="385">
        <f t="shared" si="138"/>
        <v>12.083058546768795</v>
      </c>
      <c r="Z338" s="385">
        <f t="shared" si="139"/>
        <v>13.077349602278833</v>
      </c>
      <c r="AA338" s="386">
        <f t="shared" si="140"/>
        <v>14.912516150437543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0.12306216668237219</v>
      </c>
      <c r="AD338" s="231">
        <f>(INDEX(Models!$BJ338:$BT338,,AH338)*(1-AF338)+INDEX(Models!$BJ338:$BT338,,AH338+1)*AF338-ERP_i)*AE338*Ramure*Pc/MaxiM</f>
        <v>4.7724267978421333E-3</v>
      </c>
      <c r="AE338" s="305">
        <f t="shared" si="142"/>
        <v>0.7</v>
      </c>
      <c r="AF338" s="177">
        <f t="shared" si="143"/>
        <v>0.39892867217846906</v>
      </c>
      <c r="AG338" s="810">
        <f t="shared" si="149"/>
        <v>2</v>
      </c>
      <c r="AH338" s="176">
        <f t="shared" si="144"/>
        <v>8</v>
      </c>
      <c r="AI338" s="225">
        <f t="shared" si="145"/>
        <v>2.3989286721784691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3.0676669045158822</v>
      </c>
      <c r="C339" s="840"/>
      <c r="D339" s="393">
        <f t="shared" si="127"/>
        <v>3.3201764288597815</v>
      </c>
      <c r="E339" s="385">
        <f t="shared" si="125"/>
        <v>3.4989607507094092</v>
      </c>
      <c r="F339" s="385">
        <f t="shared" si="128"/>
        <v>3.4989607507094092</v>
      </c>
      <c r="G339" s="110">
        <f t="shared" si="126"/>
        <v>0.15671685304244184</v>
      </c>
      <c r="H339" s="414" t="b">
        <f>Wh_hp&gt;='2026'!Maxi_hp</f>
        <v>0</v>
      </c>
      <c r="I339" s="390">
        <f>IF(H339,Wh_hp,'2026'!Maxi_hp)</f>
        <v>22.83442232679824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7.6053044093990052E-2</v>
      </c>
      <c r="M339" s="844"/>
      <c r="N339" s="844"/>
      <c r="O339" s="48">
        <f>IF(t&lt;Tnet,'2026'!Resal+('2026'!Salim-'2026'!Resal)*(1-EXP(('2026'!Tnet-t)/('2026'!Tau_j))),Resal+(Salim-Resal)*(1-EXP((Tnet-t)/(Tau_j))))*Salcycl</f>
        <v>5.1096406786895143E-2</v>
      </c>
      <c r="P339" s="169">
        <f>(INDEX(Models!$BJ339:$BT339,,T339)*(1-R339)+INDEX(Models!$BJ339:$BT339,,T339+1)*R339-ERP_i)*Q339*Ramure*Pc/MaxiM</f>
        <v>8.3498811795926643E-4</v>
      </c>
      <c r="Q339" s="305">
        <f t="shared" si="130"/>
        <v>0.7</v>
      </c>
      <c r="R339" s="177">
        <f t="shared" si="131"/>
        <v>0.57895845655703337</v>
      </c>
      <c r="S339" s="810">
        <f t="shared" si="132"/>
        <v>-1</v>
      </c>
      <c r="T339" s="176">
        <f t="shared" si="133"/>
        <v>5</v>
      </c>
      <c r="U339" s="251">
        <f t="shared" si="134"/>
        <v>-0.42104154344296663</v>
      </c>
      <c r="V339" s="383">
        <f t="shared" si="135"/>
        <v>19.558237544947808</v>
      </c>
      <c r="W339" s="402">
        <f t="shared" si="136"/>
        <v>3.0676669045158822</v>
      </c>
      <c r="X339" s="157">
        <f t="shared" si="137"/>
        <v>46712</v>
      </c>
      <c r="Y339" s="385">
        <f t="shared" si="138"/>
        <v>2.8350188309499922</v>
      </c>
      <c r="Z339" s="385">
        <f t="shared" si="139"/>
        <v>3.068378344479755</v>
      </c>
      <c r="AA339" s="386">
        <f t="shared" si="140"/>
        <v>3.4989607507094092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0.12306008466724132</v>
      </c>
      <c r="AD339" s="231">
        <f>(INDEX(Models!$BJ339:$BT339,,AH339)*(1-AF339)+INDEX(Models!$BJ339:$BT339,,AH339+1)*AF339-ERP_i)*AE339*Ramure*Pc/MaxiM</f>
        <v>4.7340208283175476E-3</v>
      </c>
      <c r="AE339" s="305">
        <f t="shared" si="142"/>
        <v>0.7</v>
      </c>
      <c r="AF339" s="177">
        <f t="shared" si="143"/>
        <v>0.39894850965621753</v>
      </c>
      <c r="AG339" s="810">
        <f t="shared" si="149"/>
        <v>2</v>
      </c>
      <c r="AH339" s="176">
        <f t="shared" si="144"/>
        <v>8</v>
      </c>
      <c r="AI339" s="225">
        <f t="shared" si="145"/>
        <v>2.3989485096562175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7.2667089307700792</v>
      </c>
      <c r="C340" s="840"/>
      <c r="D340" s="393">
        <f t="shared" si="127"/>
        <v>7.8650381336150739</v>
      </c>
      <c r="E340" s="385">
        <f t="shared" si="125"/>
        <v>8.2895694419406798</v>
      </c>
      <c r="F340" s="385">
        <f t="shared" si="128"/>
        <v>8.2902929626030701</v>
      </c>
      <c r="G340" s="110">
        <f t="shared" si="126"/>
        <v>0.37541857918228616</v>
      </c>
      <c r="H340" s="414" t="b">
        <f>Wh_hp&gt;='2026'!Maxi_hp</f>
        <v>0</v>
      </c>
      <c r="I340" s="390">
        <f>IF(H340,Wh_hp,'2026'!Maxi_hp)</f>
        <v>22.832707218785405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7.6074545689453599E-2</v>
      </c>
      <c r="M340" s="844"/>
      <c r="N340" s="844"/>
      <c r="O340" s="48">
        <f>IF(t&lt;Tnet,'2026'!Resal+('2026'!Salim-'2026'!Resal)*(1-EXP(('2026'!Tnet-t)/('2026'!Tau_j))),Resal+(Salim-Resal)*(1-EXP((Tnet-t)/(Tau_j))))*Salcycl</f>
        <v>5.1212709091706304E-2</v>
      </c>
      <c r="P340" s="169">
        <f>(INDEX(Models!$BJ340:$BT340,,T340)*(1-R340)+INDEX(Models!$BJ340:$BT340,,T340+1)*R340-ERP_i)*Q340*Ramure*Pc/MaxiM</f>
        <v>8.0713478401054891E-4</v>
      </c>
      <c r="Q340" s="305">
        <f t="shared" si="130"/>
        <v>0.7</v>
      </c>
      <c r="R340" s="177">
        <f t="shared" si="131"/>
        <v>0.57897749716988822</v>
      </c>
      <c r="S340" s="810">
        <f t="shared" si="132"/>
        <v>-1</v>
      </c>
      <c r="T340" s="176">
        <f t="shared" si="133"/>
        <v>5</v>
      </c>
      <c r="U340" s="251">
        <f t="shared" si="134"/>
        <v>-0.42102250283011172</v>
      </c>
      <c r="V340" s="383">
        <f t="shared" si="135"/>
        <v>19.342349719746366</v>
      </c>
      <c r="W340" s="402">
        <f t="shared" si="136"/>
        <v>7.2667089307700792</v>
      </c>
      <c r="X340" s="157">
        <f t="shared" si="137"/>
        <v>46713</v>
      </c>
      <c r="Y340" s="385">
        <f t="shared" si="138"/>
        <v>6.7136074889487869</v>
      </c>
      <c r="Z340" s="385">
        <f t="shared" si="139"/>
        <v>7.2663952028019718</v>
      </c>
      <c r="AA340" s="386">
        <f t="shared" si="140"/>
        <v>8.2860794784230603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0.12305991974568255</v>
      </c>
      <c r="AD340" s="231">
        <f>(INDEX(Models!$BJ340:$BT340,,AH340)*(1-AF340)+INDEX(Models!$BJ340:$BT340,,AH340+1)*AF340-ERP_i)*AE340*Ramure*Pc/MaxiM</f>
        <v>4.7004181364031731E-3</v>
      </c>
      <c r="AE340" s="305">
        <f t="shared" si="142"/>
        <v>0.7</v>
      </c>
      <c r="AF340" s="177">
        <f t="shared" si="143"/>
        <v>0.39896755026907238</v>
      </c>
      <c r="AG340" s="810">
        <f t="shared" si="149"/>
        <v>2</v>
      </c>
      <c r="AH340" s="176">
        <f t="shared" si="144"/>
        <v>8</v>
      </c>
      <c r="AI340" s="225">
        <f t="shared" si="145"/>
        <v>2.3989675502690724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11.619604745143686</v>
      </c>
      <c r="C341" s="840"/>
      <c r="D341" s="393">
        <f t="shared" si="127"/>
        <v>12.576637111145653</v>
      </c>
      <c r="E341" s="385">
        <f t="shared" si="125"/>
        <v>13.257119529466056</v>
      </c>
      <c r="F341" s="385">
        <f t="shared" si="128"/>
        <v>13.261668523998077</v>
      </c>
      <c r="G341" s="110">
        <f t="shared" si="126"/>
        <v>0.60700918321993025</v>
      </c>
      <c r="H341" s="414" t="b">
        <f>Wh_hp&gt;='2026'!Maxi_hp</f>
        <v>0</v>
      </c>
      <c r="I341" s="390">
        <f>IF(H341,Wh_hp,'2026'!Maxi_hp)</f>
        <v>22.481417216990419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7.6096046784543625E-2</v>
      </c>
      <c r="M341" s="844"/>
      <c r="N341" s="844"/>
      <c r="O341" s="48">
        <f>IF(t&lt;Tnet,'2026'!Resal+('2026'!Salim-'2026'!Resal)*(1-EXP(('2026'!Tnet-t)/('2026'!Tau_j))),Resal+(Salim-Resal)*(1-EXP((Tnet-t)/(Tau_j))))*Salcycl</f>
        <v>5.1329583082352408E-2</v>
      </c>
      <c r="P341" s="169">
        <f>(INDEX(Models!$BJ341:$BT341,,T341)*(1-R341)+INDEX(Models!$BJ341:$BT341,,T341+1)*R341-ERP_i)*Q341*Ramure*Pc/MaxiM</f>
        <v>7.814250704295954E-4</v>
      </c>
      <c r="Q341" s="305">
        <f t="shared" si="130"/>
        <v>0.7</v>
      </c>
      <c r="R341" s="177">
        <f t="shared" si="131"/>
        <v>0.57899577285624804</v>
      </c>
      <c r="S341" s="810">
        <f t="shared" si="132"/>
        <v>-1</v>
      </c>
      <c r="T341" s="176">
        <f t="shared" si="133"/>
        <v>5</v>
      </c>
      <c r="U341" s="251">
        <f t="shared" si="134"/>
        <v>-0.42100422714375196</v>
      </c>
      <c r="V341" s="383">
        <f t="shared" si="135"/>
        <v>19.133992045666687</v>
      </c>
      <c r="W341" s="402">
        <f t="shared" si="136"/>
        <v>11.619604745143686</v>
      </c>
      <c r="X341" s="157">
        <f t="shared" si="137"/>
        <v>46714</v>
      </c>
      <c r="Y341" s="385">
        <f t="shared" si="138"/>
        <v>10.7226596120718</v>
      </c>
      <c r="Z341" s="385">
        <f t="shared" si="139"/>
        <v>11.605816356509573</v>
      </c>
      <c r="AA341" s="386">
        <f t="shared" si="140"/>
        <v>13.234473457998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0.12306172260326527</v>
      </c>
      <c r="AD341" s="231">
        <f>(INDEX(Models!$BJ341:$BT341,,AH341)*(1-AF341)+INDEX(Models!$BJ341:$BT341,,AH341+1)*AF341-ERP_i)*AE341*Ramure*Pc/MaxiM</f>
        <v>4.6715612021207224E-3</v>
      </c>
      <c r="AE341" s="305">
        <f t="shared" si="142"/>
        <v>0.7</v>
      </c>
      <c r="AF341" s="177">
        <f t="shared" si="143"/>
        <v>0.39898582595543175</v>
      </c>
      <c r="AG341" s="810">
        <f t="shared" si="149"/>
        <v>2</v>
      </c>
      <c r="AH341" s="176">
        <f t="shared" si="144"/>
        <v>8</v>
      </c>
      <c r="AI341" s="225">
        <f t="shared" si="145"/>
        <v>2.3989858259554317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11.699399906641572</v>
      </c>
      <c r="C342" s="840"/>
      <c r="D342" s="393">
        <f t="shared" si="127"/>
        <v>12.663299182114029</v>
      </c>
      <c r="E342" s="385">
        <f t="shared" si="125"/>
        <v>13.35012370387394</v>
      </c>
      <c r="F342" s="385">
        <f t="shared" si="128"/>
        <v>13.354720485260602</v>
      </c>
      <c r="G342" s="110">
        <f t="shared" si="126"/>
        <v>0.61765717301370127</v>
      </c>
      <c r="H342" s="414" t="b">
        <f>Wh_hp&gt;='2026'!Maxi_hp</f>
        <v>0</v>
      </c>
      <c r="I342" s="390">
        <f>IF(H342,Wh_hp,'2026'!Maxi_hp)</f>
        <v>21.083338860152271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7.6117547379271677E-2</v>
      </c>
      <c r="M342" s="844"/>
      <c r="N342" s="844"/>
      <c r="O342" s="48">
        <f>IF(t&lt;Tnet,'2026'!Resal+('2026'!Salim-'2026'!Resal)*(1-EXP(('2026'!Tnet-t)/('2026'!Tau_j))),Resal+(Salim-Resal)*(1-EXP((Tnet-t)/(Tau_j))))*Salcycl</f>
        <v>5.1447053000760502E-2</v>
      </c>
      <c r="P342" s="169">
        <f>(INDEX(Models!$BJ342:$BT342,,T342)*(1-R342)+INDEX(Models!$BJ342:$BT342,,T342+1)*R342-ERP_i)*Q342*Ramure*Pc/MaxiM</f>
        <v>7.5789485362080626E-4</v>
      </c>
      <c r="Q342" s="305">
        <f t="shared" si="130"/>
        <v>0.7</v>
      </c>
      <c r="R342" s="177">
        <f t="shared" si="131"/>
        <v>0.57901331428004643</v>
      </c>
      <c r="S342" s="810">
        <f t="shared" si="132"/>
        <v>-1</v>
      </c>
      <c r="T342" s="176">
        <f t="shared" si="133"/>
        <v>5</v>
      </c>
      <c r="U342" s="251">
        <f t="shared" si="134"/>
        <v>-0.42098668571995357</v>
      </c>
      <c r="V342" s="383">
        <f t="shared" si="135"/>
        <v>18.933736780568204</v>
      </c>
      <c r="W342" s="402">
        <f t="shared" si="136"/>
        <v>11.699399906641572</v>
      </c>
      <c r="X342" s="157">
        <f t="shared" si="137"/>
        <v>46715</v>
      </c>
      <c r="Y342" s="385">
        <f t="shared" si="138"/>
        <v>10.796948701282661</v>
      </c>
      <c r="Z342" s="385">
        <f t="shared" si="139"/>
        <v>11.686496123674099</v>
      </c>
      <c r="AA342" s="386">
        <f t="shared" si="140"/>
        <v>13.32653306028809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0.12306553618969066</v>
      </c>
      <c r="AD342" s="231">
        <f>(INDEX(Models!$BJ342:$BT342,,AH342)*(1-AF342)+INDEX(Models!$BJ342:$BT342,,AH342+1)*AF342-ERP_i)*AE342*Ramure*Pc/MaxiM</f>
        <v>4.6474048962778019E-3</v>
      </c>
      <c r="AE342" s="305">
        <f t="shared" si="142"/>
        <v>0.7</v>
      </c>
      <c r="AF342" s="177">
        <f t="shared" si="143"/>
        <v>0.39900336737923059</v>
      </c>
      <c r="AG342" s="810">
        <f t="shared" si="149"/>
        <v>2</v>
      </c>
      <c r="AH342" s="176">
        <f t="shared" si="144"/>
        <v>8</v>
      </c>
      <c r="AI342" s="225">
        <f t="shared" si="145"/>
        <v>2.3990033673792306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4.7599780990018123</v>
      </c>
      <c r="C343" s="840"/>
      <c r="D343" s="393">
        <f t="shared" si="127"/>
        <v>5.152266784287594</v>
      </c>
      <c r="E343" s="385">
        <f t="shared" si="125"/>
        <v>5.4323886660955836</v>
      </c>
      <c r="F343" s="385">
        <f t="shared" si="128"/>
        <v>5.4323886660955836</v>
      </c>
      <c r="G343" s="110">
        <f t="shared" si="126"/>
        <v>0.25378467808095589</v>
      </c>
      <c r="H343" s="414" t="b">
        <f>Wh_hp&gt;='2026'!Maxi_hp</f>
        <v>0</v>
      </c>
      <c r="I343" s="390">
        <f>IF(H343,Wh_hp,'2026'!Maxi_hp)</f>
        <v>19.914924416032331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7.6139047473649635E-2</v>
      </c>
      <c r="M343" s="844"/>
      <c r="N343" s="844"/>
      <c r="O343" s="48">
        <f>IF(t&lt;Tnet,'2026'!Resal+('2026'!Salim-'2026'!Resal)*(1-EXP(('2026'!Tnet-t)/('2026'!Tau_j))),Resal+(Salim-Resal)*(1-EXP((Tnet-t)/(Tau_j))))*Salcycl</f>
        <v>5.1565139945946074E-2</v>
      </c>
      <c r="P343" s="169">
        <f>(INDEX(Models!$BJ343:$BT343,,T343)*(1-R343)+INDEX(Models!$BJ343:$BT343,,T343+1)*R343-ERP_i)*Q343*Ramure*Pc/MaxiM</f>
        <v>7.3658413530901527E-4</v>
      </c>
      <c r="Q343" s="305">
        <f t="shared" si="130"/>
        <v>0.7</v>
      </c>
      <c r="R343" s="177">
        <f t="shared" si="131"/>
        <v>0.57903015088116438</v>
      </c>
      <c r="S343" s="810">
        <f t="shared" si="132"/>
        <v>-1</v>
      </c>
      <c r="T343" s="176">
        <f t="shared" si="133"/>
        <v>5</v>
      </c>
      <c r="U343" s="251">
        <f t="shared" si="134"/>
        <v>-0.42096984911883567</v>
      </c>
      <c r="V343" s="383">
        <f t="shared" si="135"/>
        <v>18.742155793709429</v>
      </c>
      <c r="W343" s="402">
        <f t="shared" si="136"/>
        <v>4.7599780990018123</v>
      </c>
      <c r="X343" s="157">
        <f t="shared" si="137"/>
        <v>46716</v>
      </c>
      <c r="Y343" s="385">
        <f t="shared" si="138"/>
        <v>4.401104521763803</v>
      </c>
      <c r="Z343" s="385">
        <f t="shared" si="139"/>
        <v>4.763817011346493</v>
      </c>
      <c r="AA343" s="386">
        <f t="shared" si="140"/>
        <v>5.4323886660955836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0.12307139563149339</v>
      </c>
      <c r="AD343" s="231">
        <f>(INDEX(Models!$BJ343:$BT343,,AH343)*(1-AF343)+INDEX(Models!$BJ343:$BT343,,AH343+1)*AF343-ERP_i)*AE343*Ramure*Pc/MaxiM</f>
        <v>4.6279188503607644E-3</v>
      </c>
      <c r="AE343" s="305">
        <f t="shared" si="142"/>
        <v>0.7</v>
      </c>
      <c r="AF343" s="177">
        <f t="shared" si="143"/>
        <v>0.39902020398034832</v>
      </c>
      <c r="AG343" s="810">
        <f t="shared" si="149"/>
        <v>2</v>
      </c>
      <c r="AH343" s="176">
        <f t="shared" si="144"/>
        <v>8</v>
      </c>
      <c r="AI343" s="225">
        <f t="shared" si="145"/>
        <v>2.3990202039803483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10.684024095012608</v>
      </c>
      <c r="C344" s="840"/>
      <c r="D344" s="393">
        <f t="shared" si="127"/>
        <v>11.564806050554562</v>
      </c>
      <c r="E344" s="385">
        <f t="shared" si="125"/>
        <v>12.195095691140246</v>
      </c>
      <c r="F344" s="385">
        <f t="shared" si="128"/>
        <v>12.198542479454801</v>
      </c>
      <c r="G344" s="110">
        <f t="shared" si="126"/>
        <v>0.57540294710365014</v>
      </c>
      <c r="H344" s="414" t="b">
        <f>Wh_hp&gt;='2026'!Maxi_hp</f>
        <v>0</v>
      </c>
      <c r="I344" s="390">
        <f>IF(H344,Wh_hp,'2026'!Maxi_hp)</f>
        <v>21.504267084607424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7.6160547067688933E-2</v>
      </c>
      <c r="M344" s="844"/>
      <c r="N344" s="844"/>
      <c r="O344" s="48">
        <f>IF(t&lt;Tnet,'2026'!Resal+('2026'!Salim-'2026'!Resal)*(1-EXP(('2026'!Tnet-t)/('2026'!Tau_j))),Resal+(Salim-Resal)*(1-EXP((Tnet-t)/(Tau_j))))*Salcycl</f>
        <v>5.1683861820255299E-2</v>
      </c>
      <c r="P344" s="169">
        <f>(INDEX(Models!$BJ344:$BT344,,T344)*(1-R344)+INDEX(Models!$BJ344:$BT344,,T344+1)*R344-ERP_i)*Q344*Ramure*Pc/MaxiM</f>
        <v>7.1753210156536517E-4</v>
      </c>
      <c r="Q344" s="305">
        <f t="shared" si="130"/>
        <v>0.7</v>
      </c>
      <c r="R344" s="177">
        <f t="shared" si="131"/>
        <v>0.57904631092388303</v>
      </c>
      <c r="S344" s="810">
        <f t="shared" si="132"/>
        <v>-1</v>
      </c>
      <c r="T344" s="176">
        <f t="shared" si="133"/>
        <v>5</v>
      </c>
      <c r="U344" s="251">
        <f t="shared" si="134"/>
        <v>-0.42095368907611697</v>
      </c>
      <c r="V344" s="383">
        <f t="shared" si="135"/>
        <v>18.55982065258052</v>
      </c>
      <c r="W344" s="402">
        <f t="shared" si="136"/>
        <v>10.684024095012608</v>
      </c>
      <c r="X344" s="157">
        <f t="shared" si="137"/>
        <v>46717</v>
      </c>
      <c r="Y344" s="385">
        <f t="shared" si="138"/>
        <v>9.8645006907694235</v>
      </c>
      <c r="Z344" s="385">
        <f t="shared" si="139"/>
        <v>10.677721826513277</v>
      </c>
      <c r="AA344" s="386">
        <f t="shared" si="140"/>
        <v>12.176382847164279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0.12307932819310288</v>
      </c>
      <c r="AD344" s="231">
        <f>(INDEX(Models!$BJ344:$BT344,,AH344)*(1-AF344)+INDEX(Models!$BJ344:$BT344,,AH344+1)*AF344-ERP_i)*AE344*Ramure*Pc/MaxiM</f>
        <v>4.6130618060272813E-3</v>
      </c>
      <c r="AE344" s="305">
        <f t="shared" si="142"/>
        <v>0.7</v>
      </c>
      <c r="AF344" s="177">
        <f t="shared" si="143"/>
        <v>0.39903636402306697</v>
      </c>
      <c r="AG344" s="810">
        <f t="shared" si="149"/>
        <v>2</v>
      </c>
      <c r="AH344" s="176">
        <f t="shared" si="144"/>
        <v>8</v>
      </c>
      <c r="AI344" s="225">
        <f t="shared" si="145"/>
        <v>2.399036364023067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12.039857974368948</v>
      </c>
      <c r="C345" s="840"/>
      <c r="D345" s="393">
        <f t="shared" si="127"/>
        <v>13.032717024324517</v>
      </c>
      <c r="E345" s="385">
        <f t="shared" si="125"/>
        <v>13.744738942347004</v>
      </c>
      <c r="F345" s="385">
        <f t="shared" si="128"/>
        <v>13.749624478971901</v>
      </c>
      <c r="G345" s="110">
        <f t="shared" si="126"/>
        <v>0.65465370456431538</v>
      </c>
      <c r="H345" s="414" t="b">
        <f>Wh_hp&gt;='2026'!Maxi_hp</f>
        <v>0</v>
      </c>
      <c r="I345" s="390">
        <f>IF(H345,Wh_hp,'2026'!Maxi_hp)</f>
        <v>18.227231813309963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7.6182046161401229E-2</v>
      </c>
      <c r="M345" s="844"/>
      <c r="N345" s="844"/>
      <c r="O345" s="48">
        <f>IF(t&lt;Tnet,'2026'!Resal+('2026'!Salim-'2026'!Resal)*(1-EXP(('2026'!Tnet-t)/('2026'!Tau_j))),Resal+(Salim-Resal)*(1-EXP((Tnet-t)/(Tau_j))))*Salcycl</f>
        <v>5.180323329596126E-2</v>
      </c>
      <c r="P345" s="169">
        <f>(INDEX(Models!$BJ345:$BT345,,T345)*(1-R345)+INDEX(Models!$BJ345:$BT345,,T345+1)*R345-ERP_i)*Q345*Ramure*Pc/MaxiM</f>
        <v>7.0087062150376602E-4</v>
      </c>
      <c r="Q345" s="305">
        <f t="shared" si="130"/>
        <v>0.7</v>
      </c>
      <c r="R345" s="177">
        <f t="shared" si="131"/>
        <v>0.57906182154345154</v>
      </c>
      <c r="S345" s="810">
        <f t="shared" si="132"/>
        <v>-1</v>
      </c>
      <c r="T345" s="176">
        <f t="shared" si="133"/>
        <v>5</v>
      </c>
      <c r="U345" s="251">
        <f t="shared" si="134"/>
        <v>-0.42093817845654852</v>
      </c>
      <c r="V345" s="383">
        <f t="shared" si="135"/>
        <v>18.384828572447503</v>
      </c>
      <c r="W345" s="402">
        <f t="shared" si="136"/>
        <v>12.039857974368948</v>
      </c>
      <c r="X345" s="157">
        <f t="shared" si="137"/>
        <v>46718</v>
      </c>
      <c r="Y345" s="385">
        <f t="shared" si="138"/>
        <v>11.112655231533591</v>
      </c>
      <c r="Z345" s="385">
        <f t="shared" si="139"/>
        <v>12.029053110906625</v>
      </c>
      <c r="AA345" s="386">
        <f t="shared" si="140"/>
        <v>13.717535710149559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0.1230893532862196</v>
      </c>
      <c r="AD345" s="231">
        <f>(INDEX(Models!$BJ345:$BT345,,AH345)*(1-AF345)+INDEX(Models!$BJ345:$BT345,,AH345+1)*AF345-ERP_i)*AE345*Ramure*Pc/MaxiM</f>
        <v>4.603399191235205E-3</v>
      </c>
      <c r="AE345" s="305">
        <f t="shared" si="142"/>
        <v>0.7</v>
      </c>
      <c r="AF345" s="177">
        <f t="shared" si="143"/>
        <v>0.39905187464263525</v>
      </c>
      <c r="AG345" s="810">
        <f t="shared" si="149"/>
        <v>2</v>
      </c>
      <c r="AH345" s="176">
        <f t="shared" si="144"/>
        <v>8</v>
      </c>
      <c r="AI345" s="225">
        <f t="shared" si="145"/>
        <v>2.3990518746426353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10.221628078879665</v>
      </c>
      <c r="C346" s="840"/>
      <c r="D346" s="393">
        <f t="shared" si="127"/>
        <v>11.064805478352429</v>
      </c>
      <c r="E346" s="385">
        <f t="shared" si="125"/>
        <v>11.670791064941067</v>
      </c>
      <c r="F346" s="385">
        <f t="shared" si="128"/>
        <v>11.673783544338171</v>
      </c>
      <c r="G346" s="110">
        <f t="shared" si="126"/>
        <v>0.56091724529452625</v>
      </c>
      <c r="H346" s="414" t="b">
        <f>Wh_hp&gt;='2026'!Maxi_hp</f>
        <v>0</v>
      </c>
      <c r="I346" s="390">
        <f>IF(H346,Wh_hp,'2026'!Maxi_hp)</f>
        <v>13.863925920515646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7.620354475479818E-2</v>
      </c>
      <c r="M346" s="844"/>
      <c r="N346" s="844"/>
      <c r="O346" s="48">
        <f>IF(t&lt;Tnet,'2026'!Resal+('2026'!Salim-'2026'!Resal)*(1-EXP(('2026'!Tnet-t)/('2026'!Tau_j))),Resal+(Salim-Resal)*(1-EXP((Tnet-t)/(Tau_j))))*Salcycl</f>
        <v>5.1923265802350974E-2</v>
      </c>
      <c r="P346" s="169">
        <f>(INDEX(Models!$BJ346:$BT346,,T346)*(1-R346)+INDEX(Models!$BJ346:$BT346,,T346+1)*R346-ERP_i)*Q346*Ramure*Pc/MaxiM</f>
        <v>6.8708827100401055E-4</v>
      </c>
      <c r="Q346" s="305">
        <f t="shared" si="130"/>
        <v>0.7</v>
      </c>
      <c r="R346" s="177">
        <f t="shared" si="131"/>
        <v>0.57907670879083928</v>
      </c>
      <c r="S346" s="810">
        <f t="shared" si="132"/>
        <v>-1</v>
      </c>
      <c r="T346" s="176">
        <f t="shared" si="133"/>
        <v>5</v>
      </c>
      <c r="U346" s="251">
        <f t="shared" si="134"/>
        <v>-0.42092329120916072</v>
      </c>
      <c r="V346" s="383">
        <f t="shared" si="135"/>
        <v>18.215207512419237</v>
      </c>
      <c r="W346" s="402">
        <f t="shared" si="136"/>
        <v>10.221628078879665</v>
      </c>
      <c r="X346" s="157">
        <f t="shared" si="137"/>
        <v>46719</v>
      </c>
      <c r="Y346" s="385">
        <f t="shared" si="138"/>
        <v>9.4404179867786624</v>
      </c>
      <c r="Z346" s="385">
        <f t="shared" si="139"/>
        <v>10.219153725019336</v>
      </c>
      <c r="AA346" s="386">
        <f t="shared" si="140"/>
        <v>11.653747293893604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0.1231014825270816</v>
      </c>
      <c r="AD346" s="231">
        <f>(INDEX(Models!$BJ346:$BT346,,AH346)*(1-AF346)+INDEX(Models!$BJ346:$BT346,,AH346+1)*AF346-ERP_i)*AE346*Ramure*Pc/MaxiM</f>
        <v>4.6004235446647926E-3</v>
      </c>
      <c r="AE346" s="305">
        <f t="shared" si="142"/>
        <v>0.7</v>
      </c>
      <c r="AF346" s="177">
        <f t="shared" si="143"/>
        <v>0.39906676189002344</v>
      </c>
      <c r="AG346" s="810">
        <f t="shared" si="149"/>
        <v>2</v>
      </c>
      <c r="AH346" s="176">
        <f t="shared" si="144"/>
        <v>8</v>
      </c>
      <c r="AI346" s="225">
        <f t="shared" si="145"/>
        <v>2.3990667618900234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13.735818094039875</v>
      </c>
      <c r="C347" s="840"/>
      <c r="D347" s="393">
        <f t="shared" si="127"/>
        <v>14.86922544034514</v>
      </c>
      <c r="E347" s="385">
        <f t="shared" si="125"/>
        <v>15.685564447174993</v>
      </c>
      <c r="F347" s="385">
        <f t="shared" si="128"/>
        <v>15.692527384501455</v>
      </c>
      <c r="G347" s="110">
        <f t="shared" si="126"/>
        <v>0.76074966974039138</v>
      </c>
      <c r="H347" s="414" t="b">
        <f>Wh_hp&gt;='2026'!Maxi_hp</f>
        <v>0</v>
      </c>
      <c r="I347" s="390">
        <f>IF(H347,Wh_hp,'2026'!Maxi_hp)</f>
        <v>20.020068183984399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7.6225042847891444E-2</v>
      </c>
      <c r="M347" s="844"/>
      <c r="N347" s="844"/>
      <c r="O347" s="48">
        <f>IF(t&lt;Tnet,'2026'!Resal+('2026'!Salim-'2026'!Resal)*(1-EXP(('2026'!Tnet-t)/('2026'!Tau_j))),Resal+(Salim-Resal)*(1-EXP((Tnet-t)/(Tau_j))))*Salcycl</f>
        <v>5.2043967533274109E-2</v>
      </c>
      <c r="P347" s="169">
        <f>(INDEX(Models!$BJ347:$BT347,,T347)*(1-R347)+INDEX(Models!$BJ347:$BT347,,T347+1)*R347-ERP_i)*Q347*Ramure*Pc/MaxiM</f>
        <v>6.738566020288246E-4</v>
      </c>
      <c r="Q347" s="305">
        <f t="shared" si="130"/>
        <v>0.7</v>
      </c>
      <c r="R347" s="177">
        <f t="shared" si="131"/>
        <v>0.57909099767574257</v>
      </c>
      <c r="S347" s="810">
        <f t="shared" si="132"/>
        <v>-1</v>
      </c>
      <c r="T347" s="176">
        <f t="shared" si="133"/>
        <v>5</v>
      </c>
      <c r="U347" s="251">
        <f t="shared" si="134"/>
        <v>-0.42090900232425743</v>
      </c>
      <c r="V347" s="383">
        <f t="shared" si="135"/>
        <v>18.051477365501349</v>
      </c>
      <c r="W347" s="402">
        <f t="shared" si="136"/>
        <v>13.735818094039875</v>
      </c>
      <c r="X347" s="157">
        <f t="shared" si="137"/>
        <v>46720</v>
      </c>
      <c r="Y347" s="385">
        <f t="shared" si="138"/>
        <v>12.673134108363096</v>
      </c>
      <c r="Z347" s="385">
        <f t="shared" si="139"/>
        <v>13.718854370584912</v>
      </c>
      <c r="AA347" s="386">
        <f t="shared" si="140"/>
        <v>15.644999780466518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0.1231157198408199</v>
      </c>
      <c r="AD347" s="231">
        <f>(INDEX(Models!$BJ347:$BT347,,AH347)*(1-AF347)+INDEX(Models!$BJ347:$BT347,,AH347+1)*AF347-ERP_i)*AE347*Ramure*Pc/MaxiM</f>
        <v>4.5996090810473426E-3</v>
      </c>
      <c r="AE347" s="305">
        <f t="shared" si="142"/>
        <v>0.7</v>
      </c>
      <c r="AF347" s="177">
        <f t="shared" si="143"/>
        <v>0.39908105077492628</v>
      </c>
      <c r="AG347" s="810">
        <f t="shared" si="149"/>
        <v>2</v>
      </c>
      <c r="AH347" s="176">
        <f t="shared" si="144"/>
        <v>8</v>
      </c>
      <c r="AI347" s="225">
        <f t="shared" si="145"/>
        <v>2.3990810507749263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3.8732771808782243</v>
      </c>
      <c r="C348" s="840"/>
      <c r="D348" s="393">
        <f t="shared" si="127"/>
        <v>4.1929771854126958</v>
      </c>
      <c r="E348" s="385">
        <f t="shared" si="125"/>
        <v>4.4237432726769352</v>
      </c>
      <c r="F348" s="385">
        <f t="shared" si="128"/>
        <v>4.4237432726769352</v>
      </c>
      <c r="G348" s="110">
        <f t="shared" si="126"/>
        <v>0.21631225480708371</v>
      </c>
      <c r="H348" s="414" t="b">
        <f>Wh_hp&gt;='2026'!Maxi_hp</f>
        <v>0</v>
      </c>
      <c r="I348" s="390">
        <f>IF(H348,Wh_hp,'2026'!Maxi_hp)</f>
        <v>19.556605009076051</v>
      </c>
      <c r="J348" s="85">
        <f>IF(H348,An,'2026'!An_max)</f>
        <v>2021</v>
      </c>
      <c r="K348" s="197">
        <f t="shared" si="129"/>
        <v>46721</v>
      </c>
      <c r="L348" s="147">
        <f>IF(t&lt;Tvie,1-EXP((T0-t)*PertePVj)+'2026'!Pspv,1-EXP((T0-t)*PertePVj)+Pspv)</f>
        <v>7.6246540440692789E-2</v>
      </c>
      <c r="M348" s="844"/>
      <c r="N348" s="844"/>
      <c r="O348" s="48">
        <f>IF(t&lt;Tnet,'2026'!Resal+('2026'!Salim-'2026'!Resal)*(1-EXP(('2026'!Tnet-t)/('2026'!Tau_j))),Resal+(Salim-Resal)*(1-EXP((Tnet-t)/(Tau_j))))*Salcycl</f>
        <v>5.2165343474960678E-2</v>
      </c>
      <c r="P348" s="169">
        <f>(INDEX(Models!$BJ348:$BT348,,T348)*(1-R348)+INDEX(Models!$BJ348:$BT348,,T348+1)*R348-ERP_i)*Q348*Ramure*Pc/MaxiM</f>
        <v>6.6117252794291391E-4</v>
      </c>
      <c r="Q348" s="305">
        <f t="shared" si="130"/>
        <v>0.7</v>
      </c>
      <c r="R348" s="177">
        <f t="shared" si="131"/>
        <v>0.57910471220790982</v>
      </c>
      <c r="S348" s="810">
        <f t="shared" si="132"/>
        <v>-1</v>
      </c>
      <c r="T348" s="176">
        <f t="shared" si="133"/>
        <v>5</v>
      </c>
      <c r="U348" s="251">
        <f t="shared" si="134"/>
        <v>-0.42089528779209018</v>
      </c>
      <c r="V348" s="383">
        <f t="shared" si="135"/>
        <v>17.894114597738284</v>
      </c>
      <c r="W348" s="402">
        <f t="shared" si="136"/>
        <v>3.8732771808782243</v>
      </c>
      <c r="X348" s="157">
        <f t="shared" si="137"/>
        <v>46721</v>
      </c>
      <c r="Y348" s="385">
        <f t="shared" si="138"/>
        <v>3.5832753666707546</v>
      </c>
      <c r="Z348" s="385">
        <f t="shared" si="139"/>
        <v>3.879038643471191</v>
      </c>
      <c r="AA348" s="386">
        <f t="shared" si="140"/>
        <v>4.4237432726769352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0.12313206161173258</v>
      </c>
      <c r="AD348" s="231">
        <f>(INDEX(Models!$BJ348:$BT348,,AH348)*(1-AF348)+INDEX(Models!$BJ348:$BT348,,AH348+1)*AF348-ERP_i)*AE348*Ramure*Pc/MaxiM</f>
        <v>4.6008617270812489E-3</v>
      </c>
      <c r="AE348" s="305">
        <f t="shared" si="142"/>
        <v>0.7</v>
      </c>
      <c r="AF348" s="177">
        <f t="shared" si="143"/>
        <v>0.39909476530709398</v>
      </c>
      <c r="AG348" s="810">
        <f t="shared" si="149"/>
        <v>2</v>
      </c>
      <c r="AH348" s="176">
        <f t="shared" si="144"/>
        <v>8</v>
      </c>
      <c r="AI348" s="225">
        <f t="shared" si="145"/>
        <v>2.399094765307094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3.6699854983715996</v>
      </c>
      <c r="C349" s="840"/>
      <c r="D349" s="393">
        <f t="shared" si="127"/>
        <v>3.9729982803356307</v>
      </c>
      <c r="E349" s="385">
        <f t="shared" si="125"/>
        <v>4.1921973616018811</v>
      </c>
      <c r="F349" s="385">
        <f t="shared" si="128"/>
        <v>4.1921973616018811</v>
      </c>
      <c r="G349" s="110">
        <f t="shared" si="126"/>
        <v>0.20670013433308046</v>
      </c>
      <c r="H349" s="414" t="b">
        <f>Wh_hp&gt;='2026'!Maxi_hp</f>
        <v>0</v>
      </c>
      <c r="I349" s="390">
        <f>IF(H349,Wh_hp,'2026'!Maxi_hp)</f>
        <v>20.229052187489842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7.6268037533213651E-2</v>
      </c>
      <c r="M349" s="844"/>
      <c r="N349" s="844"/>
      <c r="O349" s="48">
        <f>IF(t&lt;Tnet,'2026'!Resal+('2026'!Salim-'2026'!Resal)*(1-EXP(('2026'!Tnet-t)/('2026'!Tau_j))),Resal+(Salim-Resal)*(1-EXP((Tnet-t)/(Tau_j))))*Salcycl</f>
        <v>5.2287395453751329E-2</v>
      </c>
      <c r="P349" s="169">
        <f>(INDEX(Models!$BJ349:$BT349,,T349)*(1-R349)+INDEX(Models!$BJ349:$BT349,,T349+1)*R349-ERP_i)*Q349*Ramure*Pc/MaxiM</f>
        <v>6.4903325327394211E-4</v>
      </c>
      <c r="Q349" s="305">
        <f t="shared" si="130"/>
        <v>0.7</v>
      </c>
      <c r="R349" s="177">
        <f t="shared" si="131"/>
        <v>0.57911787543685023</v>
      </c>
      <c r="S349" s="810">
        <f t="shared" si="132"/>
        <v>-1</v>
      </c>
      <c r="T349" s="176">
        <f t="shared" si="133"/>
        <v>5</v>
      </c>
      <c r="U349" s="251">
        <f t="shared" si="134"/>
        <v>-0.42088212456314977</v>
      </c>
      <c r="V349" s="383">
        <f t="shared" si="135"/>
        <v>17.743595414573264</v>
      </c>
      <c r="W349" s="402">
        <f t="shared" si="136"/>
        <v>3.6699854983715996</v>
      </c>
      <c r="X349" s="157">
        <f t="shared" si="137"/>
        <v>46722</v>
      </c>
      <c r="Y349" s="385">
        <f t="shared" si="138"/>
        <v>3.3955704981395813</v>
      </c>
      <c r="Z349" s="385">
        <f t="shared" si="139"/>
        <v>3.6759261735101778</v>
      </c>
      <c r="AA349" s="386">
        <f t="shared" si="140"/>
        <v>4.1921973616018811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0.12315049687795014</v>
      </c>
      <c r="AD349" s="231">
        <f>(INDEX(Models!$BJ349:$BT349,,AH349)*(1-AF349)+INDEX(Models!$BJ349:$BT349,,AH349+1)*AF349-ERP_i)*AE349*Ramure*Pc/MaxiM</f>
        <v>4.6040792937792115E-3</v>
      </c>
      <c r="AE349" s="305">
        <f t="shared" si="142"/>
        <v>0.7</v>
      </c>
      <c r="AF349" s="177">
        <f t="shared" si="143"/>
        <v>0.39910792853603416</v>
      </c>
      <c r="AG349" s="810">
        <f t="shared" si="149"/>
        <v>2</v>
      </c>
      <c r="AH349" s="176">
        <f t="shared" si="144"/>
        <v>8</v>
      </c>
      <c r="AI349" s="225">
        <f t="shared" si="145"/>
        <v>2.3991079285360342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5.5439402254931007</v>
      </c>
      <c r="C350" s="840"/>
      <c r="D350" s="393">
        <f t="shared" si="127"/>
        <v>6.0018159697306315</v>
      </c>
      <c r="E350" s="385">
        <f t="shared" si="125"/>
        <v>6.3337696089423687</v>
      </c>
      <c r="F350" s="385">
        <f t="shared" si="128"/>
        <v>6.3338560648417763</v>
      </c>
      <c r="G350" s="110">
        <f t="shared" si="126"/>
        <v>0.31479303191135877</v>
      </c>
      <c r="H350" s="414" t="b">
        <f>Wh_hp&gt;='2026'!Maxi_hp</f>
        <v>0</v>
      </c>
      <c r="I350" s="390">
        <f>IF(H350,Wh_hp,'2026'!Maxi_hp)</f>
        <v>9.3592865081560959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7.6289534125465797E-2</v>
      </c>
      <c r="M350" s="844"/>
      <c r="N350" s="844"/>
      <c r="O350" s="48">
        <f>IF(t&lt;Tnet,'2026'!Resal+('2026'!Salim-'2026'!Resal)*(1-EXP(('2026'!Tnet-t)/('2026'!Tau_j))),Resal+(Salim-Resal)*(1-EXP((Tnet-t)/(Tau_j))))*Salcycl</f>
        <v>5.2410122203224309E-2</v>
      </c>
      <c r="P350" s="169">
        <f>(INDEX(Models!$BJ350:$BT350,,T350)*(1-R350)+INDEX(Models!$BJ350:$BT350,,T350+1)*R350-ERP_i)*Q350*Ramure*Pc/MaxiM</f>
        <v>6.3743621673614749E-4</v>
      </c>
      <c r="Q350" s="305">
        <f t="shared" si="130"/>
        <v>0.7</v>
      </c>
      <c r="R350" s="177">
        <f t="shared" si="131"/>
        <v>0.57913050948998779</v>
      </c>
      <c r="S350" s="810">
        <f t="shared" si="132"/>
        <v>-1</v>
      </c>
      <c r="T350" s="176">
        <f t="shared" si="133"/>
        <v>5</v>
      </c>
      <c r="U350" s="251">
        <f t="shared" si="134"/>
        <v>-0.42086949051001221</v>
      </c>
      <c r="V350" s="383">
        <f t="shared" si="135"/>
        <v>17.600395758656852</v>
      </c>
      <c r="W350" s="402">
        <f t="shared" si="136"/>
        <v>5.5439402254931007</v>
      </c>
      <c r="X350" s="157">
        <f t="shared" si="137"/>
        <v>46723</v>
      </c>
      <c r="Y350" s="385">
        <f t="shared" si="138"/>
        <v>5.1295124620883321</v>
      </c>
      <c r="Z350" s="385">
        <f t="shared" si="139"/>
        <v>5.5531604886948029</v>
      </c>
      <c r="AA350" s="386">
        <f t="shared" si="140"/>
        <v>6.3332309225956687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0.12317100756862259</v>
      </c>
      <c r="AD350" s="231">
        <f>(INDEX(Models!$BJ350:$BT350,,AH350)*(1-AF350)+INDEX(Models!$BJ350:$BT350,,AH350+1)*AF350-ERP_i)*AE350*Ramure*Pc/MaxiM</f>
        <v>4.6091511511454726E-3</v>
      </c>
      <c r="AE350" s="305">
        <f t="shared" si="142"/>
        <v>0.7</v>
      </c>
      <c r="AF350" s="177">
        <f t="shared" si="143"/>
        <v>0.39912056258917161</v>
      </c>
      <c r="AG350" s="810">
        <f t="shared" si="149"/>
        <v>2</v>
      </c>
      <c r="AH350" s="176">
        <f t="shared" si="144"/>
        <v>8</v>
      </c>
      <c r="AI350" s="225">
        <f t="shared" si="145"/>
        <v>2.3991205625891716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7.5327288065473361</v>
      </c>
      <c r="C351" s="840"/>
      <c r="D351" s="393">
        <f t="shared" si="127"/>
        <v>8.1550489969808133</v>
      </c>
      <c r="E351" s="385">
        <f t="shared" si="125"/>
        <v>8.6072163653190863</v>
      </c>
      <c r="F351" s="385">
        <f t="shared" si="128"/>
        <v>8.6082277873899642</v>
      </c>
      <c r="G351" s="110">
        <f t="shared" si="126"/>
        <v>0.43108495966715565</v>
      </c>
      <c r="H351" s="414" t="b">
        <f>Wh_hp&gt;='2026'!Maxi_hp</f>
        <v>0</v>
      </c>
      <c r="I351" s="390">
        <f>IF(H351,Wh_hp,'2026'!Maxi_hp)</f>
        <v>13.44927584857693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7.6311030217460885E-2</v>
      </c>
      <c r="M351" s="844"/>
      <c r="N351" s="844"/>
      <c r="O351" s="48">
        <f>IF(t&lt;Tnet,'2026'!Resal+('2026'!Salim-'2026'!Resal)*(1-EXP(('2026'!Tnet-t)/('2026'!Tau_j))),Resal+(Salim-Resal)*(1-EXP((Tnet-t)/(Tau_j))))*Salcycl</f>
        <v>5.2533519450049276E-2</v>
      </c>
      <c r="P351" s="169">
        <f>(INDEX(Models!$BJ351:$BT351,,T351)*(1-R351)+INDEX(Models!$BJ351:$BT351,,T351+1)*R351-ERP_i)*Q351*Ramure*Pc/MaxiM</f>
        <v>6.2637902500896239E-4</v>
      </c>
      <c r="Q351" s="305">
        <f t="shared" si="130"/>
        <v>0.7</v>
      </c>
      <c r="R351" s="177">
        <f t="shared" si="131"/>
        <v>0.57914263560931789</v>
      </c>
      <c r="S351" s="810">
        <f t="shared" si="132"/>
        <v>-1</v>
      </c>
      <c r="T351" s="176">
        <f t="shared" si="133"/>
        <v>5</v>
      </c>
      <c r="U351" s="251">
        <f t="shared" si="134"/>
        <v>-0.42085736439068211</v>
      </c>
      <c r="V351" s="383">
        <f t="shared" si="135"/>
        <v>17.464991298038754</v>
      </c>
      <c r="W351" s="402">
        <f t="shared" si="136"/>
        <v>7.5327288065473361</v>
      </c>
      <c r="X351" s="157">
        <f t="shared" si="137"/>
        <v>46724</v>
      </c>
      <c r="Y351" s="385">
        <f t="shared" si="138"/>
        <v>6.9657364276150693</v>
      </c>
      <c r="Z351" s="385">
        <f t="shared" si="139"/>
        <v>7.5412142566290346</v>
      </c>
      <c r="AA351" s="386">
        <f t="shared" si="140"/>
        <v>8.6007743421183864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0.12319356878143377</v>
      </c>
      <c r="AD351" s="231">
        <f>(INDEX(Models!$BJ351:$BT351,,AH351)*(1-AF351)+INDEX(Models!$BJ351:$BT351,,AH351+1)*AF351-ERP_i)*AE351*Ramure*Pc/MaxiM</f>
        <v>4.6159579829152348E-3</v>
      </c>
      <c r="AE351" s="305">
        <f t="shared" si="142"/>
        <v>0.7</v>
      </c>
      <c r="AF351" s="177">
        <f t="shared" si="143"/>
        <v>0.3991326887085016</v>
      </c>
      <c r="AG351" s="810">
        <f t="shared" si="149"/>
        <v>2</v>
      </c>
      <c r="AH351" s="176">
        <f t="shared" si="144"/>
        <v>8</v>
      </c>
      <c r="AI351" s="225">
        <f t="shared" si="145"/>
        <v>2.3991326887085016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14.015298322907883</v>
      </c>
      <c r="C352" s="840"/>
      <c r="D352" s="393">
        <f t="shared" si="127"/>
        <v>15.173532374501402</v>
      </c>
      <c r="E352" s="385">
        <f t="shared" si="125"/>
        <v>16.016945989588084</v>
      </c>
      <c r="F352" s="385">
        <f t="shared" si="128"/>
        <v>16.024119308368064</v>
      </c>
      <c r="G352" s="110">
        <f t="shared" si="126"/>
        <v>0.80822788702635706</v>
      </c>
      <c r="H352" s="414" t="b">
        <f>Wh_hp&gt;='2026'!Maxi_hp</f>
        <v>0</v>
      </c>
      <c r="I352" s="390">
        <f>IF(H352,Wh_hp,'2026'!Maxi_hp)</f>
        <v>16.02614043256126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7.6332525809210461E-2</v>
      </c>
      <c r="M352" s="844"/>
      <c r="N352" s="844"/>
      <c r="O352" s="48">
        <f>IF(t&lt;Tnet,'2026'!Resal+('2026'!Salim-'2026'!Resal)*(1-EXP(('2026'!Tnet-t)/('2026'!Tau_j))),Resal+(Salim-Resal)*(1-EXP((Tnet-t)/(Tau_j))))*Salcycl</f>
        <v>5.2657580017747847E-2</v>
      </c>
      <c r="P352" s="169">
        <f>(INDEX(Models!$BJ352:$BT352,,T352)*(1-R352)+INDEX(Models!$BJ352:$BT352,,T352+1)*R352-ERP_i)*Q352*Ramure*Pc/MaxiM</f>
        <v>6.1640890616310574E-4</v>
      </c>
      <c r="Q352" s="305">
        <f t="shared" si="130"/>
        <v>0.7</v>
      </c>
      <c r="R352" s="177">
        <f t="shared" si="131"/>
        <v>0.57915427418662579</v>
      </c>
      <c r="S352" s="810">
        <f t="shared" si="132"/>
        <v>-1</v>
      </c>
      <c r="T352" s="176">
        <f t="shared" si="133"/>
        <v>5</v>
      </c>
      <c r="U352" s="251">
        <f t="shared" si="134"/>
        <v>-0.42084572581337415</v>
      </c>
      <c r="V352" s="383">
        <f t="shared" si="135"/>
        <v>17.337847887588772</v>
      </c>
      <c r="W352" s="402">
        <f t="shared" si="136"/>
        <v>14.015298322907883</v>
      </c>
      <c r="X352" s="157">
        <f t="shared" si="137"/>
        <v>46725</v>
      </c>
      <c r="Y352" s="385">
        <f t="shared" si="138"/>
        <v>12.933615414224612</v>
      </c>
      <c r="Z352" s="385">
        <f t="shared" si="139"/>
        <v>14.002458434032818</v>
      </c>
      <c r="AA352" s="386">
        <f t="shared" si="140"/>
        <v>15.970287728500196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0.12321814909794246</v>
      </c>
      <c r="AD352" s="231">
        <f>(INDEX(Models!$BJ352:$BT352,,AH352)*(1-AF352)+INDEX(Models!$BJ352:$BT352,,AH352+1)*AF352-ERP_i)*AE352*Ramure*Pc/MaxiM</f>
        <v>4.6257898583848015E-3</v>
      </c>
      <c r="AE352" s="305">
        <f t="shared" si="142"/>
        <v>0.7</v>
      </c>
      <c r="AF352" s="177">
        <f t="shared" si="143"/>
        <v>0.39914432728580973</v>
      </c>
      <c r="AG352" s="810">
        <f t="shared" si="149"/>
        <v>2</v>
      </c>
      <c r="AH352" s="176">
        <f t="shared" si="144"/>
        <v>8</v>
      </c>
      <c r="AI352" s="225">
        <f t="shared" si="145"/>
        <v>2.3991443272858097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17.494388815049927</v>
      </c>
      <c r="C353" s="840"/>
      <c r="D353" s="393">
        <f t="shared" si="127"/>
        <v>18.940578112092471</v>
      </c>
      <c r="E353" s="385">
        <f t="shared" si="125"/>
        <v>19.996013578572938</v>
      </c>
      <c r="F353" s="385">
        <f t="shared" si="128"/>
        <v>20.008159739519453</v>
      </c>
      <c r="G353" s="110">
        <f t="shared" si="126"/>
        <v>1.0159668303817047</v>
      </c>
      <c r="H353" s="414" t="b">
        <f>Wh_hp&gt;='2026'!Maxi_hp</f>
        <v>1</v>
      </c>
      <c r="I353" s="390">
        <f>IF(H353,Wh_hp,'2026'!Maxi_hp)</f>
        <v>20.008159739519453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7.6354020900726183E-2</v>
      </c>
      <c r="M353" s="844"/>
      <c r="N353" s="844"/>
      <c r="O353" s="48">
        <f>IF(t&lt;Tnet,'2026'!Resal+('2026'!Salim-'2026'!Resal)*(1-EXP(('2026'!Tnet-t)/('2026'!Tau_j))),Resal+(Salim-Resal)*(1-EXP((Tnet-t)/(Tau_j))))*Salcycl</f>
        <v>5.2782293947401401E-2</v>
      </c>
      <c r="P353" s="169">
        <f>(INDEX(Models!$BJ353:$BT353,,T353)*(1-R353)+INDEX(Models!$BJ353:$BT353,,T353+1)*R353-ERP_i)*Q353*Ramure*Pc/MaxiM</f>
        <v>6.0706037459919311E-4</v>
      </c>
      <c r="Q353" s="305">
        <f t="shared" si="130"/>
        <v>0.7</v>
      </c>
      <c r="R353" s="177">
        <f t="shared" si="131"/>
        <v>0.57916544479732102</v>
      </c>
      <c r="S353" s="810">
        <f t="shared" si="132"/>
        <v>-1</v>
      </c>
      <c r="T353" s="176">
        <f t="shared" si="133"/>
        <v>5</v>
      </c>
      <c r="U353" s="251">
        <f t="shared" si="134"/>
        <v>-0.42083455520267898</v>
      </c>
      <c r="V353" s="383">
        <f t="shared" si="135"/>
        <v>17.219448796844269</v>
      </c>
      <c r="W353" s="402">
        <f t="shared" si="136"/>
        <v>17.494388815049927</v>
      </c>
      <c r="X353" s="157">
        <f t="shared" si="137"/>
        <v>46726</v>
      </c>
      <c r="Y353" s="385">
        <f t="shared" si="138"/>
        <v>16.127714024101227</v>
      </c>
      <c r="Z353" s="385">
        <f t="shared" si="139"/>
        <v>17.460925927300348</v>
      </c>
      <c r="AA353" s="386">
        <f t="shared" si="140"/>
        <v>19.915392749898025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0.1232447109339707</v>
      </c>
      <c r="AD353" s="231">
        <f>(INDEX(Models!$BJ353:$BT353,,AH353)*(1-AF353)+INDEX(Models!$BJ353:$BT353,,AH353+1)*AF353-ERP_i)*AE353*Ramure*Pc/MaxiM</f>
        <v>4.6364578666471421E-3</v>
      </c>
      <c r="AE353" s="305">
        <f t="shared" si="142"/>
        <v>0.7</v>
      </c>
      <c r="AF353" s="177">
        <f t="shared" si="143"/>
        <v>0.39915549789650484</v>
      </c>
      <c r="AG353" s="810">
        <f t="shared" si="149"/>
        <v>2</v>
      </c>
      <c r="AH353" s="176">
        <f t="shared" si="144"/>
        <v>8</v>
      </c>
      <c r="AI353" s="225">
        <f t="shared" si="145"/>
        <v>2.3991554978965048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9.4582972438844894</v>
      </c>
      <c r="C354" s="840"/>
      <c r="D354" s="393">
        <f t="shared" si="127"/>
        <v>10.240414153727178</v>
      </c>
      <c r="E354" s="385">
        <f t="shared" si="125"/>
        <v>10.812476881435739</v>
      </c>
      <c r="F354" s="385">
        <f t="shared" si="128"/>
        <v>10.814813640017903</v>
      </c>
      <c r="G354" s="110">
        <f t="shared" si="126"/>
        <v>0.55257348747288459</v>
      </c>
      <c r="H354" s="414" t="b">
        <f>Wh_hp&gt;='2026'!Maxi_hp</f>
        <v>0</v>
      </c>
      <c r="I354" s="390">
        <f>IF(H354,Wh_hp,'2026'!Maxi_hp)</f>
        <v>14.0527233412349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7.6375515492019708E-2</v>
      </c>
      <c r="M354" s="844"/>
      <c r="N354" s="844"/>
      <c r="O354" s="48">
        <f>IF(t&lt;Tnet,'2026'!Resal+('2026'!Salim-'2026'!Resal)*(1-EXP(('2026'!Tnet-t)/('2026'!Tau_j))),Resal+(Salim-Resal)*(1-EXP((Tnet-t)/(Tau_j))))*Salcycl</f>
        <v>5.290764863421369E-2</v>
      </c>
      <c r="P354" s="169">
        <f>(INDEX(Models!$BJ354:$BT354,,T354)*(1-R354)+INDEX(Models!$BJ354:$BT354,,T354+1)*R354-ERP_i)*Q354*Ramure*Pc/MaxiM</f>
        <v>5.9833143323689993E-4</v>
      </c>
      <c r="Q354" s="305">
        <f t="shared" si="130"/>
        <v>0.7</v>
      </c>
      <c r="R354" s="177">
        <f t="shared" si="131"/>
        <v>0.57917616623293933</v>
      </c>
      <c r="S354" s="810">
        <f t="shared" si="132"/>
        <v>-1</v>
      </c>
      <c r="T354" s="176">
        <f t="shared" si="133"/>
        <v>5</v>
      </c>
      <c r="U354" s="251">
        <f t="shared" si="134"/>
        <v>-0.42082383376706062</v>
      </c>
      <c r="V354" s="383">
        <f t="shared" si="135"/>
        <v>17.11026883511493</v>
      </c>
      <c r="W354" s="402">
        <f t="shared" si="136"/>
        <v>9.4582972438844894</v>
      </c>
      <c r="X354" s="157">
        <f t="shared" si="137"/>
        <v>46727</v>
      </c>
      <c r="Y354" s="385">
        <f t="shared" si="138"/>
        <v>8.7427732052464133</v>
      </c>
      <c r="Z354" s="385">
        <f t="shared" si="139"/>
        <v>9.4657226523219933</v>
      </c>
      <c r="AA354" s="386">
        <f t="shared" si="140"/>
        <v>10.796661822409385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0.12327321092200136</v>
      </c>
      <c r="AD354" s="231">
        <f>(INDEX(Models!$BJ354:$BT354,,AH354)*(1-AF354)+INDEX(Models!$BJ354:$BT354,,AH354+1)*AF354-ERP_i)*AE354*Ramure*Pc/MaxiM</f>
        <v>4.6478070642220776E-3</v>
      </c>
      <c r="AE354" s="305">
        <f t="shared" si="142"/>
        <v>0.7</v>
      </c>
      <c r="AF354" s="177">
        <f t="shared" si="143"/>
        <v>0.39916621933212326</v>
      </c>
      <c r="AG354" s="810">
        <f t="shared" si="149"/>
        <v>2</v>
      </c>
      <c r="AH354" s="176">
        <f t="shared" si="144"/>
        <v>8</v>
      </c>
      <c r="AI354" s="225">
        <f t="shared" si="145"/>
        <v>2.3991662193321233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15.610311508947923</v>
      </c>
      <c r="C355" s="840"/>
      <c r="D355" s="393">
        <f t="shared" si="127"/>
        <v>16.901538508338653</v>
      </c>
      <c r="E355" s="385">
        <f t="shared" si="125"/>
        <v>17.848087350885159</v>
      </c>
      <c r="F355" s="385">
        <f t="shared" si="128"/>
        <v>17.857387526046576</v>
      </c>
      <c r="G355" s="110">
        <f t="shared" si="126"/>
        <v>0.91760783613600994</v>
      </c>
      <c r="H355" s="414" t="b">
        <f>Wh_hp&gt;='2026'!Maxi_hp</f>
        <v>0</v>
      </c>
      <c r="I355" s="390">
        <f>IF(H355,Wh_hp,'2026'!Maxi_hp)</f>
        <v>17.858318351772528</v>
      </c>
      <c r="J355" s="85">
        <f>IF(H355,An,'2026'!An_max)</f>
        <v>2025</v>
      </c>
      <c r="K355" s="197">
        <f t="shared" si="129"/>
        <v>46728</v>
      </c>
      <c r="L355" s="147">
        <f>IF(t&lt;Tvie,1-EXP((T0-t)*PertePVj)+'2026'!Pspv,1-EXP((T0-t)*PertePVj)+Pspv)</f>
        <v>7.6397009583102804E-2</v>
      </c>
      <c r="M355" s="844"/>
      <c r="N355" s="844"/>
      <c r="O355" s="48">
        <f>IF(t&lt;Tnet,'2026'!Resal+('2026'!Salim-'2026'!Resal)*(1-EXP(('2026'!Tnet-t)/('2026'!Tau_j))),Resal+(Salim-Resal)*(1-EXP((Tnet-t)/(Tau_j))))*Salcycl</f>
        <v>5.3033628978712971E-2</v>
      </c>
      <c r="P355" s="169">
        <f>(INDEX(Models!$BJ355:$BT355,,T355)*(1-R355)+INDEX(Models!$BJ355:$BT355,,T355+1)*R355-ERP_i)*Q355*Ramure*Pc/MaxiM</f>
        <v>5.9021960577789888E-4</v>
      </c>
      <c r="Q355" s="305">
        <f t="shared" si="130"/>
        <v>0.7</v>
      </c>
      <c r="R355" s="177">
        <f t="shared" si="131"/>
        <v>0.57918645653236744</v>
      </c>
      <c r="S355" s="810">
        <f t="shared" si="132"/>
        <v>-1</v>
      </c>
      <c r="T355" s="176">
        <f t="shared" si="133"/>
        <v>5</v>
      </c>
      <c r="U355" s="251">
        <f t="shared" si="134"/>
        <v>-0.42081354346763256</v>
      </c>
      <c r="V355" s="383">
        <f t="shared" si="135"/>
        <v>17.010782503875458</v>
      </c>
      <c r="W355" s="402">
        <f t="shared" si="136"/>
        <v>15.610311508947923</v>
      </c>
      <c r="X355" s="157">
        <f t="shared" si="137"/>
        <v>46728</v>
      </c>
      <c r="Y355" s="385">
        <f t="shared" si="138"/>
        <v>14.400021238815896</v>
      </c>
      <c r="Z355" s="385">
        <f t="shared" si="139"/>
        <v>15.591137521453881</v>
      </c>
      <c r="AA355" s="386">
        <f t="shared" si="140"/>
        <v>17.78396435434891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0.12330360032232035</v>
      </c>
      <c r="AD355" s="231">
        <f>(INDEX(Models!$BJ355:$BT355,,AH355)*(1-AF355)+INDEX(Models!$BJ355:$BT355,,AH355+1)*AF355-ERP_i)*AE355*Ramure*Pc/MaxiM</f>
        <v>4.6596751891456716E-3</v>
      </c>
      <c r="AE355" s="305">
        <f t="shared" si="142"/>
        <v>0.7</v>
      </c>
      <c r="AF355" s="177">
        <f t="shared" si="143"/>
        <v>0.39917650963155138</v>
      </c>
      <c r="AG355" s="810">
        <f t="shared" si="149"/>
        <v>2</v>
      </c>
      <c r="AH355" s="176">
        <f t="shared" si="144"/>
        <v>8</v>
      </c>
      <c r="AI355" s="225">
        <f t="shared" si="145"/>
        <v>2.3991765096315514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3.9537928991202356</v>
      </c>
      <c r="C356" s="840"/>
      <c r="D356" s="393">
        <f t="shared" si="127"/>
        <v>4.2809355890171785</v>
      </c>
      <c r="E356" s="385">
        <f t="shared" si="125"/>
        <v>4.5212882563359971</v>
      </c>
      <c r="F356" s="385">
        <f t="shared" si="128"/>
        <v>4.5212882563359971</v>
      </c>
      <c r="G356" s="110">
        <f t="shared" si="126"/>
        <v>0.23351933024521537</v>
      </c>
      <c r="H356" s="414" t="b">
        <f>Wh_hp&gt;='2026'!Maxi_hp</f>
        <v>0</v>
      </c>
      <c r="I356" s="390">
        <f>IF(H356,Wh_hp,'2026'!Maxi_hp)</f>
        <v>14.230610193408706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7.6418503173986907E-2</v>
      </c>
      <c r="M356" s="844"/>
      <c r="N356" s="844"/>
      <c r="O356" s="48">
        <f>IF(t&lt;Tnet,'2026'!Resal+('2026'!Salim-'2026'!Resal)*(1-EXP(('2026'!Tnet-t)/('2026'!Tau_j))),Resal+(Salim-Resal)*(1-EXP((Tnet-t)/(Tau_j))))*Salcycl</f>
        <v>5.3160217551268776E-2</v>
      </c>
      <c r="P356" s="169">
        <f>(INDEX(Models!$BJ356:$BT356,,T356)*(1-R356)+INDEX(Models!$BJ356:$BT356,,T356+1)*R356-ERP_i)*Q356*Ramure*Pc/MaxiM</f>
        <v>5.8272178886866952E-4</v>
      </c>
      <c r="Q356" s="305">
        <f t="shared" si="130"/>
        <v>0.7</v>
      </c>
      <c r="R356" s="177">
        <f t="shared" si="131"/>
        <v>0.5791963330118346</v>
      </c>
      <c r="S356" s="810">
        <f t="shared" si="132"/>
        <v>-1</v>
      </c>
      <c r="T356" s="176">
        <f t="shared" si="133"/>
        <v>5</v>
      </c>
      <c r="U356" s="251">
        <f t="shared" si="134"/>
        <v>-0.42080366698816535</v>
      </c>
      <c r="V356" s="383">
        <f t="shared" si="135"/>
        <v>16.921463990582026</v>
      </c>
      <c r="W356" s="402">
        <f t="shared" si="136"/>
        <v>3.9537928991202356</v>
      </c>
      <c r="X356" s="157">
        <f t="shared" si="137"/>
        <v>46729</v>
      </c>
      <c r="Y356" s="385">
        <f t="shared" si="138"/>
        <v>3.660755127174065</v>
      </c>
      <c r="Z356" s="385">
        <f t="shared" si="139"/>
        <v>3.9636514371007245</v>
      </c>
      <c r="AA356" s="386">
        <f t="shared" si="140"/>
        <v>4.5212882563359971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0.12333582545943995</v>
      </c>
      <c r="AD356" s="231">
        <f>(INDEX(Models!$BJ356:$BT356,,AH356)*(1-AF356)+INDEX(Models!$BJ356:$BT356,,AH356+1)*AF356-ERP_i)*AE356*Ramure*Pc/MaxiM</f>
        <v>4.6718933031608826E-3</v>
      </c>
      <c r="AE356" s="305">
        <f t="shared" si="142"/>
        <v>0.7</v>
      </c>
      <c r="AF356" s="177">
        <f t="shared" si="143"/>
        <v>0.39918638611101853</v>
      </c>
      <c r="AG356" s="810">
        <f t="shared" si="149"/>
        <v>2</v>
      </c>
      <c r="AH356" s="176">
        <f t="shared" si="144"/>
        <v>8</v>
      </c>
      <c r="AI356" s="225">
        <f t="shared" si="145"/>
        <v>2.3991863861110185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4.8033834400447812</v>
      </c>
      <c r="C357" s="840"/>
      <c r="D357" s="393">
        <f t="shared" si="127"/>
        <v>5.200943545213752</v>
      </c>
      <c r="E357" s="385">
        <f t="shared" si="125"/>
        <v>5.4936878588850657</v>
      </c>
      <c r="F357" s="385">
        <f t="shared" si="128"/>
        <v>5.4936878588850657</v>
      </c>
      <c r="G357" s="110">
        <f t="shared" si="126"/>
        <v>0.28502512313796668</v>
      </c>
      <c r="H357" s="414" t="b">
        <f>Wh_hp&gt;='2026'!Maxi_hp</f>
        <v>0</v>
      </c>
      <c r="I357" s="390">
        <f>IF(H357,Wh_hp,'2026'!Maxi_hp)</f>
        <v>10.283678349894517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7.6439996264683785E-2</v>
      </c>
      <c r="M357" s="844"/>
      <c r="N357" s="844"/>
      <c r="O357" s="48">
        <f>IF(t&lt;Tnet,'2026'!Resal+('2026'!Salim-'2026'!Resal)*(1-EXP(('2026'!Tnet-t)/('2026'!Tau_j))),Resal+(Salim-Resal)*(1-EXP((Tnet-t)/(Tau_j))))*Salcycl</f>
        <v>5.3287394768498156E-2</v>
      </c>
      <c r="P357" s="169">
        <f>(INDEX(Models!$BJ357:$BT357,,T357)*(1-R357)+INDEX(Models!$BJ357:$BT357,,T357+1)*R357-ERP_i)*Q357*Ramure*Pc/MaxiM</f>
        <v>5.7583409920272015E-4</v>
      </c>
      <c r="Q357" s="305">
        <f t="shared" si="130"/>
        <v>0.7</v>
      </c>
      <c r="R357" s="177">
        <f t="shared" si="131"/>
        <v>0.5792058122937227</v>
      </c>
      <c r="S357" s="810">
        <f t="shared" si="132"/>
        <v>-1</v>
      </c>
      <c r="T357" s="176">
        <f t="shared" si="133"/>
        <v>5</v>
      </c>
      <c r="U357" s="251">
        <f t="shared" si="134"/>
        <v>-0.4207941877062773</v>
      </c>
      <c r="V357" s="383">
        <f t="shared" si="135"/>
        <v>16.842787173342309</v>
      </c>
      <c r="W357" s="402">
        <f t="shared" si="136"/>
        <v>4.8033834400447812</v>
      </c>
      <c r="X357" s="157">
        <f t="shared" si="137"/>
        <v>46730</v>
      </c>
      <c r="Y357" s="385">
        <f t="shared" si="138"/>
        <v>4.4478026669279407</v>
      </c>
      <c r="Z357" s="385">
        <f t="shared" si="139"/>
        <v>4.8159325316589179</v>
      </c>
      <c r="AA357" s="386">
        <f t="shared" si="140"/>
        <v>5.4936878588850657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0.12336982818017207</v>
      </c>
      <c r="AD357" s="231">
        <f>(INDEX(Models!$BJ357:$BT357,,AH357)*(1-AF357)+INDEX(Models!$BJ357:$BT357,,AH357+1)*AF357-ERP_i)*AE357*Ramure*Pc/MaxiM</f>
        <v>4.684286597792478E-3</v>
      </c>
      <c r="AE357" s="305">
        <f t="shared" si="142"/>
        <v>0.7</v>
      </c>
      <c r="AF357" s="177">
        <f t="shared" si="143"/>
        <v>0.39919586539290641</v>
      </c>
      <c r="AG357" s="810">
        <f t="shared" si="149"/>
        <v>2</v>
      </c>
      <c r="AH357" s="176">
        <f t="shared" si="144"/>
        <v>8</v>
      </c>
      <c r="AI357" s="225">
        <f t="shared" si="145"/>
        <v>2.3991958653929064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10.900014679565853</v>
      </c>
      <c r="C358" s="840"/>
      <c r="D358" s="393">
        <f t="shared" si="127"/>
        <v>11.802447378241402</v>
      </c>
      <c r="E358" s="385">
        <f t="shared" si="125"/>
        <v>12.468451446361673</v>
      </c>
      <c r="F358" s="385">
        <f t="shared" si="128"/>
        <v>12.472000822817906</v>
      </c>
      <c r="G358" s="110">
        <f t="shared" si="126"/>
        <v>0.64958337623884688</v>
      </c>
      <c r="H358" s="414" t="b">
        <f>Wh_hp&gt;='2026'!Maxi_hp</f>
        <v>0</v>
      </c>
      <c r="I358" s="390">
        <f>IF(H358,Wh_hp,'2026'!Maxi_hp)</f>
        <v>16.477677553533571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7.6461488855204984E-2</v>
      </c>
      <c r="M358" s="844"/>
      <c r="N358" s="844"/>
      <c r="O358" s="48">
        <f>IF(t&lt;Tnet,'2026'!Resal+('2026'!Salim-'2026'!Resal)*(1-EXP(('2026'!Tnet-t)/('2026'!Tau_j))),Resal+(Salim-Resal)*(1-EXP((Tnet-t)/(Tau_j))))*Salcycl</f>
        <v>5.3415139080050945E-2</v>
      </c>
      <c r="P358" s="169">
        <f>(INDEX(Models!$BJ358:$BT358,,T358)*(1-R358)+INDEX(Models!$BJ358:$BT358,,T358+1)*R358-ERP_i)*Q358*Ramure*Pc/MaxiM</f>
        <v>5.695517196755228E-4</v>
      </c>
      <c r="Q358" s="305">
        <f t="shared" si="130"/>
        <v>0.7</v>
      </c>
      <c r="R358" s="177">
        <f t="shared" si="131"/>
        <v>0.57921491033423833</v>
      </c>
      <c r="S358" s="810">
        <f t="shared" si="132"/>
        <v>-1</v>
      </c>
      <c r="T358" s="176">
        <f t="shared" si="133"/>
        <v>5</v>
      </c>
      <c r="U358" s="251">
        <f t="shared" si="134"/>
        <v>-0.42078508966576167</v>
      </c>
      <c r="V358" s="383">
        <f t="shared" si="135"/>
        <v>16.77522559933011</v>
      </c>
      <c r="W358" s="402">
        <f t="shared" si="136"/>
        <v>10.900014679565853</v>
      </c>
      <c r="X358" s="157">
        <f t="shared" si="137"/>
        <v>46731</v>
      </c>
      <c r="Y358" s="385">
        <f t="shared" si="138"/>
        <v>10.073246597012824</v>
      </c>
      <c r="Z358" s="385">
        <f t="shared" si="139"/>
        <v>10.907229612467685</v>
      </c>
      <c r="AA358" s="386">
        <f t="shared" si="140"/>
        <v>12.442731717954308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0.12340554632958631</v>
      </c>
      <c r="AD358" s="231">
        <f>(INDEX(Models!$BJ358:$BT358,,AH358)*(1-AF358)+INDEX(Models!$BJ358:$BT358,,AH358+1)*AF358-ERP_i)*AE358*Ramure*Pc/MaxiM</f>
        <v>4.69667537777059E-3</v>
      </c>
      <c r="AE358" s="305">
        <f t="shared" si="142"/>
        <v>0.7</v>
      </c>
      <c r="AF358" s="177">
        <f t="shared" si="143"/>
        <v>0.39920496343342204</v>
      </c>
      <c r="AG358" s="810">
        <f t="shared" si="149"/>
        <v>2</v>
      </c>
      <c r="AH358" s="176">
        <f t="shared" si="144"/>
        <v>8</v>
      </c>
      <c r="AI358" s="225">
        <f t="shared" si="145"/>
        <v>2.399204963433422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13.316344861821754</v>
      </c>
      <c r="C359" s="840"/>
      <c r="D359" s="393">
        <f t="shared" si="127"/>
        <v>14.419165632113605</v>
      </c>
      <c r="E359" s="385">
        <f t="shared" si="125"/>
        <v>15.234894073280474</v>
      </c>
      <c r="F359" s="385">
        <f t="shared" si="128"/>
        <v>15.24098851598465</v>
      </c>
      <c r="G359" s="110">
        <f t="shared" si="126"/>
        <v>0.79630176096961325</v>
      </c>
      <c r="H359" s="414" t="b">
        <f>Wh_hp&gt;='2026'!Maxi_hp</f>
        <v>0</v>
      </c>
      <c r="I359" s="390">
        <f>IF(H359,Wh_hp,'2026'!Maxi_hp)</f>
        <v>16.479573454056037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7.6482980945562273E-2</v>
      </c>
      <c r="M359" s="844"/>
      <c r="N359" s="844"/>
      <c r="O359" s="48">
        <f>IF(t&lt;Tnet,'2026'!Resal+('2026'!Salim-'2026'!Resal)*(1-EXP(('2026'!Tnet-t)/('2026'!Tau_j))),Resal+(Salim-Resal)*(1-EXP((Tnet-t)/(Tau_j))))*Salcycl</f>
        <v>5.3543427164191651E-2</v>
      </c>
      <c r="P359" s="169">
        <f>(INDEX(Models!$BJ359:$BT359,,T359)*(1-R359)+INDEX(Models!$BJ359:$BT359,,T359+1)*R359-ERP_i)*Q359*Ramure*Pc/MaxiM</f>
        <v>5.6384376108133442E-4</v>
      </c>
      <c r="Q359" s="305">
        <f t="shared" si="130"/>
        <v>0.7</v>
      </c>
      <c r="R359" s="177">
        <f t="shared" si="131"/>
        <v>0.57922364244999147</v>
      </c>
      <c r="S359" s="810">
        <f t="shared" si="132"/>
        <v>-1</v>
      </c>
      <c r="T359" s="176">
        <f t="shared" si="133"/>
        <v>5</v>
      </c>
      <c r="U359" s="251">
        <f t="shared" si="134"/>
        <v>-0.42077635755000858</v>
      </c>
      <c r="V359" s="383">
        <f t="shared" si="135"/>
        <v>16.71999376969648</v>
      </c>
      <c r="W359" s="402">
        <f t="shared" si="136"/>
        <v>13.316344861821754</v>
      </c>
      <c r="X359" s="157">
        <f t="shared" si="137"/>
        <v>46732</v>
      </c>
      <c r="Y359" s="385">
        <f t="shared" si="138"/>
        <v>12.296614606632696</v>
      </c>
      <c r="Z359" s="385">
        <f t="shared" si="139"/>
        <v>13.314984296903205</v>
      </c>
      <c r="AA359" s="386">
        <f t="shared" si="140"/>
        <v>15.190093735165826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0.12344291424098648</v>
      </c>
      <c r="AD359" s="231">
        <f>(INDEX(Models!$BJ359:$BT359,,AH359)*(1-AF359)+INDEX(Models!$BJ359:$BT359,,AH359+1)*AF359-ERP_i)*AE359*Ramure*Pc/MaxiM</f>
        <v>4.708667556531751E-3</v>
      </c>
      <c r="AE359" s="305">
        <f t="shared" si="142"/>
        <v>0.7</v>
      </c>
      <c r="AF359" s="177">
        <f t="shared" si="143"/>
        <v>0.39921369554917518</v>
      </c>
      <c r="AG359" s="810">
        <f t="shared" si="149"/>
        <v>2</v>
      </c>
      <c r="AH359" s="176">
        <f t="shared" si="144"/>
        <v>8</v>
      </c>
      <c r="AI359" s="225">
        <f t="shared" si="145"/>
        <v>2.3992136955491752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4.1828568656395104</v>
      </c>
      <c r="C360" s="840"/>
      <c r="D360" s="393">
        <f t="shared" si="127"/>
        <v>4.5293742538471724</v>
      </c>
      <c r="E360" s="385">
        <f t="shared" si="125"/>
        <v>4.7862637208850085</v>
      </c>
      <c r="F360" s="385">
        <f t="shared" si="128"/>
        <v>4.7862637208850085</v>
      </c>
      <c r="G360" s="110">
        <f t="shared" si="126"/>
        <v>0.25066989043022636</v>
      </c>
      <c r="H360" s="414" t="b">
        <f>Wh_hp&gt;='2026'!Maxi_hp</f>
        <v>0</v>
      </c>
      <c r="I360" s="390">
        <f>IF(H360,Wh_hp,'2026'!Maxi_hp)</f>
        <v>18.530251867552792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7.6504472535767198E-2</v>
      </c>
      <c r="M360" s="844"/>
      <c r="N360" s="844"/>
      <c r="O360" s="48">
        <f>IF(t&lt;Tnet,'2026'!Resal+('2026'!Salim-'2026'!Resal)*(1-EXP(('2026'!Tnet-t)/('2026'!Tau_j))),Resal+(Salim-Resal)*(1-EXP((Tnet-t)/(Tau_j))))*Salcycl</f>
        <v>5.3672234130537136E-2</v>
      </c>
      <c r="P360" s="169">
        <f>(INDEX(Models!$BJ360:$BT360,,T360)*(1-R360)+INDEX(Models!$BJ360:$BT360,,T360+1)*R360-ERP_i)*Q360*Ramure*Pc/MaxiM</f>
        <v>5.5870937123929832E-4</v>
      </c>
      <c r="Q360" s="305">
        <f t="shared" si="130"/>
        <v>0.7</v>
      </c>
      <c r="R360" s="177">
        <f t="shared" si="131"/>
        <v>0.57923202334352319</v>
      </c>
      <c r="S360" s="810">
        <f t="shared" si="132"/>
        <v>-1</v>
      </c>
      <c r="T360" s="176">
        <f t="shared" si="133"/>
        <v>5</v>
      </c>
      <c r="U360" s="251">
        <f t="shared" si="134"/>
        <v>-0.42076797665647681</v>
      </c>
      <c r="V360" s="383">
        <f t="shared" si="135"/>
        <v>16.677391357753706</v>
      </c>
      <c r="W360" s="402">
        <f t="shared" si="136"/>
        <v>4.1828568656395104</v>
      </c>
      <c r="X360" s="157">
        <f t="shared" si="137"/>
        <v>46733</v>
      </c>
      <c r="Y360" s="385">
        <f t="shared" si="138"/>
        <v>3.8742918029594224</v>
      </c>
      <c r="Z360" s="385">
        <f t="shared" si="139"/>
        <v>4.1952469586913885</v>
      </c>
      <c r="AA360" s="386">
        <f t="shared" si="140"/>
        <v>4.7862637208850085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0.12348186323597267</v>
      </c>
      <c r="AD360" s="231">
        <f>(INDEX(Models!$BJ360:$BT360,,AH360)*(1-AF360)+INDEX(Models!$BJ360:$BT360,,AH360+1)*AF360-ERP_i)*AE360*Ramure*Pc/MaxiM</f>
        <v>4.7201230932648755E-3</v>
      </c>
      <c r="AE360" s="305">
        <f t="shared" si="142"/>
        <v>0.7</v>
      </c>
      <c r="AF360" s="177">
        <f t="shared" si="143"/>
        <v>0.39922207644270724</v>
      </c>
      <c r="AG360" s="810">
        <f t="shared" si="149"/>
        <v>2</v>
      </c>
      <c r="AH360" s="176">
        <f t="shared" si="144"/>
        <v>8</v>
      </c>
      <c r="AI360" s="225">
        <f t="shared" si="145"/>
        <v>2.3992220764427072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5.1634161229044366</v>
      </c>
      <c r="C361" s="840"/>
      <c r="D361" s="393">
        <f t="shared" si="127"/>
        <v>5.5912953905856746</v>
      </c>
      <c r="E361" s="385">
        <f t="shared" ref="E361:E379" si="150">Wh_pvt/(1-Psa)</f>
        <v>5.9092205175694561</v>
      </c>
      <c r="F361" s="385">
        <f t="shared" si="128"/>
        <v>5.9092681224010288</v>
      </c>
      <c r="G361" s="110">
        <f t="shared" ref="G361:G379" si="151">+Wh_hp/MaxiM</f>
        <v>0.31001051598029633</v>
      </c>
      <c r="H361" s="414" t="b">
        <f>Wh_hp&gt;='2026'!Maxi_hp</f>
        <v>0</v>
      </c>
      <c r="I361" s="390">
        <f>IF(H361,Wh_hp,'2026'!Maxi_hp)</f>
        <v>19.130983394548689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7.6525963625831417E-2</v>
      </c>
      <c r="M361" s="844"/>
      <c r="N361" s="844"/>
      <c r="O361" s="48">
        <f>IF(t&lt;Tnet,'2026'!Resal+('2026'!Salim-'2026'!Resal)*(1-EXP(('2026'!Tnet-t)/('2026'!Tau_j))),Resal+(Salim-Resal)*(1-EXP((Tnet-t)/(Tau_j))))*Salcycl</f>
        <v>5.3801533728267154E-2</v>
      </c>
      <c r="P361" s="169">
        <f>(INDEX(Models!$BJ361:$BT361,,T361)*(1-R361)+INDEX(Models!$BJ361:$BT361,,T361+1)*R361-ERP_i)*Q361*Ramure*Pc/MaxiM</f>
        <v>5.5395469677246801E-4</v>
      </c>
      <c r="Q361" s="305">
        <f t="shared" si="130"/>
        <v>0.7</v>
      </c>
      <c r="R361" s="177">
        <f t="shared" si="131"/>
        <v>0.57924006712782394</v>
      </c>
      <c r="S361" s="810">
        <f t="shared" si="132"/>
        <v>-1</v>
      </c>
      <c r="T361" s="176">
        <f t="shared" si="133"/>
        <v>5</v>
      </c>
      <c r="U361" s="251">
        <f t="shared" si="134"/>
        <v>-0.42075993287217606</v>
      </c>
      <c r="V361" s="383">
        <f t="shared" si="135"/>
        <v>16.646523688213925</v>
      </c>
      <c r="W361" s="402">
        <f t="shared" si="136"/>
        <v>5.1634161229044366</v>
      </c>
      <c r="X361" s="157">
        <f t="shared" si="137"/>
        <v>46734</v>
      </c>
      <c r="Y361" s="385">
        <f t="shared" si="138"/>
        <v>4.7826585440222562</v>
      </c>
      <c r="Z361" s="385">
        <f t="shared" si="139"/>
        <v>5.1789853917283741</v>
      </c>
      <c r="AA361" s="386">
        <f t="shared" si="140"/>
        <v>5.9088617114789956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0.12352232213062457</v>
      </c>
      <c r="AD361" s="231">
        <f>(INDEX(Models!$BJ361:$BT361,,AH361)*(1-AF361)+INDEX(Models!$BJ361:$BT361,,AH361+1)*AF361-ERP_i)*AE361*Ramure*Pc/MaxiM</f>
        <v>4.7292098646866555E-3</v>
      </c>
      <c r="AE361" s="305">
        <f t="shared" si="142"/>
        <v>0.7</v>
      </c>
      <c r="AF361" s="177">
        <f t="shared" si="143"/>
        <v>0.3992301202270081</v>
      </c>
      <c r="AG361" s="810">
        <f t="shared" si="149"/>
        <v>2</v>
      </c>
      <c r="AH361" s="176">
        <f t="shared" si="144"/>
        <v>8</v>
      </c>
      <c r="AI361" s="225">
        <f t="shared" si="145"/>
        <v>2.3992301202270081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14.948479398692282</v>
      </c>
      <c r="C362" s="840"/>
      <c r="D362" s="393">
        <f t="shared" si="127"/>
        <v>16.187598883056221</v>
      </c>
      <c r="E362" s="385">
        <f t="shared" si="150"/>
        <v>17.110384117331758</v>
      </c>
      <c r="F362" s="385">
        <f t="shared" si="128"/>
        <v>17.118436163793856</v>
      </c>
      <c r="G362" s="110">
        <f t="shared" si="151"/>
        <v>0.89900465015251507</v>
      </c>
      <c r="H362" s="414" t="b">
        <f>Wh_hp&gt;='2026'!Maxi_hp</f>
        <v>0</v>
      </c>
      <c r="I362" s="390">
        <f>IF(H362,Wh_hp,'2026'!Maxi_hp)</f>
        <v>19.357739032195155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7.6547454215766586E-2</v>
      </c>
      <c r="M362" s="844"/>
      <c r="N362" s="844"/>
      <c r="O362" s="48">
        <f>IF(t&lt;Tnet,'2026'!Resal+('2026'!Salim-'2026'!Resal)*(1-EXP(('2026'!Tnet-t)/('2026'!Tau_j))),Resal+(Salim-Resal)*(1-EXP((Tnet-t)/(Tau_j))))*Salcycl</f>
        <v>5.393129855809671E-2</v>
      </c>
      <c r="P362" s="169">
        <f>(INDEX(Models!$BJ362:$BT362,,T362)*(1-R362)+INDEX(Models!$BJ362:$BT362,,T362+1)*R362-ERP_i)*Q362*Ramure*Pc/MaxiM</f>
        <v>5.4961471948746302E-4</v>
      </c>
      <c r="Q362" s="305">
        <f t="shared" si="130"/>
        <v>0.7</v>
      </c>
      <c r="R362" s="177">
        <f t="shared" si="131"/>
        <v>0.57924778734987936</v>
      </c>
      <c r="S362" s="810">
        <f t="shared" si="132"/>
        <v>-1</v>
      </c>
      <c r="T362" s="176">
        <f t="shared" si="133"/>
        <v>5</v>
      </c>
      <c r="U362" s="251">
        <f t="shared" si="134"/>
        <v>-0.42075221265012064</v>
      </c>
      <c r="V362" s="383">
        <f t="shared" si="135"/>
        <v>16.626492746465228</v>
      </c>
      <c r="W362" s="402">
        <f t="shared" si="136"/>
        <v>14.948479398692282</v>
      </c>
      <c r="X362" s="157">
        <f t="shared" si="137"/>
        <v>46735</v>
      </c>
      <c r="Y362" s="385">
        <f t="shared" si="138"/>
        <v>13.798595075727345</v>
      </c>
      <c r="Z362" s="385">
        <f t="shared" si="139"/>
        <v>14.942397569556775</v>
      </c>
      <c r="AA362" s="386">
        <f t="shared" si="140"/>
        <v>17.049050109628649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0.12356421774384477</v>
      </c>
      <c r="AD362" s="231">
        <f>(INDEX(Models!$BJ362:$BT362,,AH362)*(1-AF362)+INDEX(Models!$BJ362:$BT362,,AH362+1)*AF362-ERP_i)*AE362*Ramure*Pc/MaxiM</f>
        <v>4.7361371889577666E-3</v>
      </c>
      <c r="AE362" s="305">
        <f t="shared" si="142"/>
        <v>0.7</v>
      </c>
      <c r="AF362" s="177">
        <f t="shared" si="143"/>
        <v>0.39923784044906352</v>
      </c>
      <c r="AG362" s="810">
        <f t="shared" si="149"/>
        <v>2</v>
      </c>
      <c r="AH362" s="176">
        <f t="shared" si="144"/>
        <v>8</v>
      </c>
      <c r="AI362" s="225">
        <f t="shared" si="145"/>
        <v>2.3992378404490635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5.6480992234808536</v>
      </c>
      <c r="C363" s="840"/>
      <c r="D363" s="393">
        <f t="shared" si="127"/>
        <v>6.1164276300340692</v>
      </c>
      <c r="E363" s="385">
        <f t="shared" si="150"/>
        <v>6.4659886788466689</v>
      </c>
      <c r="F363" s="385">
        <f t="shared" si="128"/>
        <v>6.4661898733083838</v>
      </c>
      <c r="G363" s="110">
        <f t="shared" si="151"/>
        <v>0.3397361771725097</v>
      </c>
      <c r="H363" s="414" t="b">
        <f>Wh_hp&gt;='2026'!Maxi_hp</f>
        <v>0</v>
      </c>
      <c r="I363" s="390">
        <f>IF(H363,Wh_hp,'2026'!Maxi_hp)</f>
        <v>18.722199127908961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7.6568944305584363E-2</v>
      </c>
      <c r="M363" s="844"/>
      <c r="N363" s="844"/>
      <c r="O363" s="48">
        <f>IF(t&lt;Tnet,'2026'!Resal+('2026'!Salim-'2026'!Resal)*(1-EXP(('2026'!Tnet-t)/('2026'!Tau_j))),Resal+(Salim-Resal)*(1-EXP((Tnet-t)/(Tau_j))))*Salcycl</f>
        <v>5.4061500286287298E-2</v>
      </c>
      <c r="P363" s="169">
        <f>(INDEX(Models!$BJ363:$BT363,,T363)*(1-R363)+INDEX(Models!$BJ363:$BT363,,T363+1)*R363-ERP_i)*Q363*Ramure*Pc/MaxiM</f>
        <v>5.4572251649782303E-4</v>
      </c>
      <c r="Q363" s="305">
        <f t="shared" si="130"/>
        <v>0.7</v>
      </c>
      <c r="R363" s="177">
        <f t="shared" si="131"/>
        <v>0.57925519701328465</v>
      </c>
      <c r="S363" s="810">
        <f t="shared" si="132"/>
        <v>-1</v>
      </c>
      <c r="T363" s="176">
        <f t="shared" si="133"/>
        <v>5</v>
      </c>
      <c r="U363" s="251">
        <f t="shared" si="134"/>
        <v>-0.4207448029867154</v>
      </c>
      <c r="V363" s="383">
        <f t="shared" si="135"/>
        <v>16.616401069807541</v>
      </c>
      <c r="W363" s="402">
        <f t="shared" si="136"/>
        <v>5.6480992234808536</v>
      </c>
      <c r="X363" s="157">
        <f t="shared" si="137"/>
        <v>46736</v>
      </c>
      <c r="Y363" s="385">
        <f t="shared" si="138"/>
        <v>5.2315957659420462</v>
      </c>
      <c r="Z363" s="385">
        <f t="shared" si="139"/>
        <v>5.6653885893061195</v>
      </c>
      <c r="AA363" s="386">
        <f t="shared" si="140"/>
        <v>6.4644419370388357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0.1236074754039384</v>
      </c>
      <c r="AD363" s="231">
        <f>(INDEX(Models!$BJ363:$BT363,,AH363)*(1-AF363)+INDEX(Models!$BJ363:$BT363,,AH363+1)*AF363-ERP_i)*AE363*Ramure*Pc/MaxiM</f>
        <v>4.7411254343859306E-3</v>
      </c>
      <c r="AE363" s="305">
        <f t="shared" si="142"/>
        <v>0.7</v>
      </c>
      <c r="AF363" s="177">
        <f t="shared" si="143"/>
        <v>0.39924525011246859</v>
      </c>
      <c r="AG363" s="810">
        <f t="shared" si="149"/>
        <v>2</v>
      </c>
      <c r="AH363" s="176">
        <f t="shared" si="144"/>
        <v>8</v>
      </c>
      <c r="AI363" s="225">
        <f t="shared" si="145"/>
        <v>2.3992452501124686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5.0525220155177877</v>
      </c>
      <c r="C364" s="840"/>
      <c r="D364" s="393">
        <f t="shared" si="127"/>
        <v>5.4715937553379117</v>
      </c>
      <c r="E364" s="385">
        <f t="shared" si="150"/>
        <v>5.7851005604553354</v>
      </c>
      <c r="F364" s="385">
        <f t="shared" si="128"/>
        <v>5.7851188805194091</v>
      </c>
      <c r="G364" s="110">
        <f t="shared" si="151"/>
        <v>0.30392362770802878</v>
      </c>
      <c r="H364" s="414" t="b">
        <f>Wh_hp&gt;='2026'!Maxi_hp</f>
        <v>0</v>
      </c>
      <c r="I364" s="390">
        <f>IF(H364,Wh_hp,'2026'!Maxi_hp)</f>
        <v>18.52551005734108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7.6590433895296295E-2</v>
      </c>
      <c r="M364" s="844"/>
      <c r="N364" s="844"/>
      <c r="O364" s="48">
        <f>IF(t&lt;Tnet,'2026'!Resal+('2026'!Salim-'2026'!Resal)*(1-EXP(('2026'!Tnet-t)/('2026'!Tau_j))),Resal+(Salim-Resal)*(1-EXP((Tnet-t)/(Tau_j))))*Salcycl</f>
        <v>5.419210985897676E-2</v>
      </c>
      <c r="P364" s="169">
        <f>(INDEX(Models!$BJ364:$BT364,,T364)*(1-R364)+INDEX(Models!$BJ364:$BT364,,T364+1)*R364-ERP_i)*Q364*Ramure*Pc/MaxiM</f>
        <v>5.423092733586063E-4</v>
      </c>
      <c r="Q364" s="305">
        <f t="shared" si="130"/>
        <v>0.7</v>
      </c>
      <c r="R364" s="177">
        <f t="shared" si="131"/>
        <v>0.57926230859996075</v>
      </c>
      <c r="S364" s="810">
        <f t="shared" si="132"/>
        <v>-1</v>
      </c>
      <c r="T364" s="176">
        <f t="shared" si="133"/>
        <v>5</v>
      </c>
      <c r="U364" s="251">
        <f t="shared" si="134"/>
        <v>-0.42073769140003925</v>
      </c>
      <c r="V364" s="383">
        <f t="shared" si="135"/>
        <v>16.615351743260295</v>
      </c>
      <c r="W364" s="402">
        <f t="shared" si="136"/>
        <v>5.0525220155177877</v>
      </c>
      <c r="X364" s="157">
        <f t="shared" si="137"/>
        <v>46737</v>
      </c>
      <c r="Y364" s="385">
        <f t="shared" si="138"/>
        <v>4.6813511112114483</v>
      </c>
      <c r="Z364" s="385">
        <f t="shared" si="139"/>
        <v>5.0696367928688302</v>
      </c>
      <c r="AA364" s="386">
        <f t="shared" si="140"/>
        <v>5.7849586070645769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0.12365201944957699</v>
      </c>
      <c r="AD364" s="231">
        <f>(INDEX(Models!$BJ364:$BT364,,AH364)*(1-AF364)+INDEX(Models!$BJ364:$BT364,,AH364+1)*AF364-ERP_i)*AE364*Ramure*Pc/MaxiM</f>
        <v>4.7444037573460048E-3</v>
      </c>
      <c r="AE364" s="305">
        <f t="shared" si="142"/>
        <v>0.7</v>
      </c>
      <c r="AF364" s="177">
        <f t="shared" si="143"/>
        <v>0.39925236169914458</v>
      </c>
      <c r="AG364" s="810">
        <f t="shared" si="149"/>
        <v>2</v>
      </c>
      <c r="AH364" s="176">
        <f t="shared" si="144"/>
        <v>8</v>
      </c>
      <c r="AI364" s="225">
        <f t="shared" si="145"/>
        <v>2.3992523616991446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3.3674806171719336</v>
      </c>
      <c r="C365" s="840"/>
      <c r="D365" s="393">
        <f t="shared" si="127"/>
        <v>3.6468747008923286</v>
      </c>
      <c r="E365" s="385">
        <f t="shared" si="150"/>
        <v>3.8563643587794374</v>
      </c>
      <c r="F365" s="385">
        <f t="shared" si="128"/>
        <v>3.8563643587794374</v>
      </c>
      <c r="G365" s="110">
        <f t="shared" si="151"/>
        <v>0.20247704195489885</v>
      </c>
      <c r="H365" s="414" t="b">
        <f>Wh_hp&gt;='2026'!Maxi_hp</f>
        <v>0</v>
      </c>
      <c r="I365" s="390">
        <f>IF(H365,Wh_hp,'2026'!Maxi_hp)</f>
        <v>18.608834058846831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7.6611922984914149E-2</v>
      </c>
      <c r="M365" s="844"/>
      <c r="N365" s="844"/>
      <c r="O365" s="48">
        <f>IF(t&lt;Tnet,'2026'!Resal+('2026'!Salim-'2026'!Resal)*(1-EXP(('2026'!Tnet-t)/('2026'!Tau_j))),Resal+(Salim-Resal)*(1-EXP((Tnet-t)/(Tau_j))))*Salcycl</f>
        <v>5.4323097715127118E-2</v>
      </c>
      <c r="P365" s="169">
        <f>(INDEX(Models!$BJ365:$BT365,,T365)*(1-R365)+INDEX(Models!$BJ365:$BT365,,T365+1)*R365-ERP_i)*Q365*Ramure*Pc/MaxiM</f>
        <v>5.3940434634788771E-4</v>
      </c>
      <c r="Q365" s="305">
        <f t="shared" si="130"/>
        <v>0.7</v>
      </c>
      <c r="R365" s="177">
        <f t="shared" si="131"/>
        <v>0.57926913409101077</v>
      </c>
      <c r="S365" s="810">
        <f t="shared" si="132"/>
        <v>-1</v>
      </c>
      <c r="T365" s="176">
        <f t="shared" si="133"/>
        <v>5</v>
      </c>
      <c r="U365" s="251">
        <f t="shared" si="134"/>
        <v>-0.42073086590898928</v>
      </c>
      <c r="V365" s="383">
        <f t="shared" si="135"/>
        <v>16.622448406967937</v>
      </c>
      <c r="W365" s="402">
        <f t="shared" si="136"/>
        <v>3.3674806171719336</v>
      </c>
      <c r="X365" s="157">
        <f t="shared" si="137"/>
        <v>46738</v>
      </c>
      <c r="Y365" s="385">
        <f t="shared" si="138"/>
        <v>3.1204428855648105</v>
      </c>
      <c r="Z365" s="385">
        <f t="shared" si="139"/>
        <v>3.3793406729398678</v>
      </c>
      <c r="AA365" s="386">
        <f t="shared" si="140"/>
        <v>3.8563643587794374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0.12369777372139969</v>
      </c>
      <c r="AD365" s="231">
        <f>(INDEX(Models!$BJ365:$BT365,,AH365)*(1-AF365)+INDEX(Models!$BJ365:$BT365,,AH365+1)*AF365-ERP_i)*AE365*Ramure*Pc/MaxiM</f>
        <v>4.7462079850866448E-3</v>
      </c>
      <c r="AE365" s="305">
        <f t="shared" si="142"/>
        <v>0.7</v>
      </c>
      <c r="AF365" s="177">
        <f t="shared" si="143"/>
        <v>0.39925918719019471</v>
      </c>
      <c r="AG365" s="810">
        <f t="shared" si="149"/>
        <v>2</v>
      </c>
      <c r="AH365" s="176">
        <f t="shared" si="144"/>
        <v>8</v>
      </c>
      <c r="AI365" s="225">
        <f t="shared" si="145"/>
        <v>2.3992591871901947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15.467537390554936</v>
      </c>
      <c r="C366" s="840"/>
      <c r="D366" s="393">
        <f t="shared" si="127"/>
        <v>16.751242230812057</v>
      </c>
      <c r="E366" s="385">
        <f t="shared" si="150"/>
        <v>17.715954506150869</v>
      </c>
      <c r="F366" s="385">
        <f t="shared" si="128"/>
        <v>17.724519876803448</v>
      </c>
      <c r="G366" s="110">
        <f t="shared" si="151"/>
        <v>0.92966853435865493</v>
      </c>
      <c r="H366" s="414" t="b">
        <f>Wh_hp&gt;='2026'!Maxi_hp</f>
        <v>0</v>
      </c>
      <c r="I366" s="390">
        <f>IF(H366,Wh_hp,'2026'!Maxi_hp)</f>
        <v>18.946814090960533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7.6633411574449473E-2</v>
      </c>
      <c r="M366" s="844"/>
      <c r="N366" s="844"/>
      <c r="O366" s="48">
        <f>IF(t&lt;Tnet,'2026'!Resal+('2026'!Salim-'2026'!Resal)*(1-EXP(('2026'!Tnet-t)/('2026'!Tau_j))),Resal+(Salim-Resal)*(1-EXP((Tnet-t)/(Tau_j))))*Salcycl</f>
        <v>5.4454433996422219E-2</v>
      </c>
      <c r="P366" s="169">
        <f>(INDEX(Models!$BJ366:$BT366,,T366)*(1-R366)+INDEX(Models!$BJ366:$BT366,,T366+1)*R366-ERP_i)*Q366*Ramure*Pc/MaxiM</f>
        <v>5.3718407513940177E-4</v>
      </c>
      <c r="Q366" s="305">
        <f t="shared" si="130"/>
        <v>0.7</v>
      </c>
      <c r="R366" s="177">
        <f t="shared" si="131"/>
        <v>0.5792756849867462</v>
      </c>
      <c r="S366" s="810">
        <f t="shared" si="132"/>
        <v>-1</v>
      </c>
      <c r="T366" s="176">
        <f t="shared" si="133"/>
        <v>5</v>
      </c>
      <c r="U366" s="251">
        <f t="shared" si="134"/>
        <v>-0.42072431501325386</v>
      </c>
      <c r="V366" s="383">
        <f t="shared" si="135"/>
        <v>16.636792776300773</v>
      </c>
      <c r="W366" s="402">
        <f t="shared" si="136"/>
        <v>15.467537390554936</v>
      </c>
      <c r="X366" s="157">
        <f t="shared" si="137"/>
        <v>46739</v>
      </c>
      <c r="Y366" s="385">
        <f t="shared" si="138"/>
        <v>14.279770929883997</v>
      </c>
      <c r="Z366" s="385">
        <f t="shared" si="139"/>
        <v>15.464898891601328</v>
      </c>
      <c r="AA366" s="386">
        <f t="shared" si="140"/>
        <v>17.648849851935051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0.12374466204064115</v>
      </c>
      <c r="AD366" s="231">
        <f>(INDEX(Models!$BJ366:$BT366,,AH366)*(1-AF366)+INDEX(Models!$BJ366:$BT366,,AH366+1)*AF366-ERP_i)*AE366*Ramure*Pc/MaxiM</f>
        <v>4.745706166546221E-3</v>
      </c>
      <c r="AE366" s="305">
        <f t="shared" si="142"/>
        <v>0.7</v>
      </c>
      <c r="AF366" s="177">
        <f t="shared" si="143"/>
        <v>0.39926573808592991</v>
      </c>
      <c r="AG366" s="810">
        <f t="shared" si="149"/>
        <v>2</v>
      </c>
      <c r="AH366" s="176">
        <f t="shared" si="144"/>
        <v>8</v>
      </c>
      <c r="AI366" s="225">
        <f t="shared" si="145"/>
        <v>2.3992657380859299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12.813734940835879</v>
      </c>
      <c r="C367" s="840"/>
      <c r="D367" s="393">
        <f t="shared" si="127"/>
        <v>13.877514415977123</v>
      </c>
      <c r="E367" s="385">
        <f t="shared" si="150"/>
        <v>14.678771119059698</v>
      </c>
      <c r="F367" s="385">
        <f t="shared" si="128"/>
        <v>14.684038530935783</v>
      </c>
      <c r="G367" s="110">
        <f t="shared" si="151"/>
        <v>0.76911148980019317</v>
      </c>
      <c r="H367" s="414" t="b">
        <f>Wh_hp&gt;='2026'!Maxi_hp</f>
        <v>0</v>
      </c>
      <c r="I367" s="390">
        <f>IF(H367,Wh_hp,'2026'!Maxi_hp)</f>
        <v>18.60656481230383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7.6654899663913811E-2</v>
      </c>
      <c r="M367" s="844"/>
      <c r="N367" s="844"/>
      <c r="O367" s="48">
        <f>IF(t&lt;Tnet,'2026'!Resal+('2026'!Salim-'2026'!Resal)*(1-EXP(('2026'!Tnet-t)/('2026'!Tau_j))),Resal+(Salim-Resal)*(1-EXP((Tnet-t)/(Tau_j))))*Salcycl</f>
        <v>5.4586088752496577E-2</v>
      </c>
      <c r="P367" s="169">
        <f>(INDEX(Models!$BJ367:$BT367,,T367)*(1-R367)+INDEX(Models!$BJ367:$BT367,,T367+1)*R367-ERP_i)*Q367*Ramure*Pc/MaxiM</f>
        <v>5.3511617987793175E-4</v>
      </c>
      <c r="Q367" s="305">
        <f t="shared" si="130"/>
        <v>0.7</v>
      </c>
      <c r="R367" s="177">
        <f t="shared" si="131"/>
        <v>0.57928197232591905</v>
      </c>
      <c r="S367" s="810">
        <f t="shared" si="132"/>
        <v>-1</v>
      </c>
      <c r="T367" s="176">
        <f t="shared" si="133"/>
        <v>5</v>
      </c>
      <c r="U367" s="251">
        <f t="shared" si="134"/>
        <v>-0.4207180276740809</v>
      </c>
      <c r="V367" s="383">
        <f t="shared" si="135"/>
        <v>16.657498899993243</v>
      </c>
      <c r="W367" s="402">
        <f t="shared" si="136"/>
        <v>12.813734940835879</v>
      </c>
      <c r="X367" s="157">
        <f t="shared" si="137"/>
        <v>46740</v>
      </c>
      <c r="Y367" s="385">
        <f t="shared" si="138"/>
        <v>11.842238969522322</v>
      </c>
      <c r="Z367" s="385">
        <f t="shared" si="139"/>
        <v>12.825366122820052</v>
      </c>
      <c r="AA367" s="386">
        <f t="shared" si="140"/>
        <v>14.637363539437851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0.12379260867134205</v>
      </c>
      <c r="AD367" s="231">
        <f>(INDEX(Models!$BJ367:$BT367,,AH367)*(1-AF367)+INDEX(Models!$BJ367:$BT367,,AH367+1)*AF367-ERP_i)*AE367*Ramure*Pc/MaxiM</f>
        <v>4.741710679509974E-3</v>
      </c>
      <c r="AE367" s="305">
        <f t="shared" si="142"/>
        <v>0.7</v>
      </c>
      <c r="AF367" s="177">
        <f t="shared" si="143"/>
        <v>0.39927202542510321</v>
      </c>
      <c r="AG367" s="810">
        <f t="shared" si="149"/>
        <v>2</v>
      </c>
      <c r="AH367" s="176">
        <f t="shared" si="144"/>
        <v>8</v>
      </c>
      <c r="AI367" s="225">
        <f t="shared" si="145"/>
        <v>2.3992720254251032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4.5006426918894444</v>
      </c>
      <c r="C368" s="840"/>
      <c r="D368" s="393">
        <f t="shared" si="127"/>
        <v>4.8743935817920221</v>
      </c>
      <c r="E368" s="385">
        <f t="shared" si="150"/>
        <v>5.1565498417649094</v>
      </c>
      <c r="F368" s="385">
        <f t="shared" si="128"/>
        <v>5.1565498417649094</v>
      </c>
      <c r="G368" s="110">
        <f t="shared" si="151"/>
        <v>0.26961947006475762</v>
      </c>
      <c r="H368" s="414" t="b">
        <f>Wh_hp&gt;='2026'!Maxi_hp</f>
        <v>0</v>
      </c>
      <c r="I368" s="390">
        <f>IF(H368,Wh_hp,'2026'!Maxi_hp)</f>
        <v>19.171871090766793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7.6676387253319045E-2</v>
      </c>
      <c r="M368" s="844"/>
      <c r="N368" s="844"/>
      <c r="O368" s="48">
        <f>IF(t&lt;Tnet,'2026'!Resal+('2026'!Salim-'2026'!Resal)*(1-EXP(('2026'!Tnet-t)/('2026'!Tau_j))),Resal+(Salim-Resal)*(1-EXP((Tnet-t)/(Tau_j))))*Salcycl</f>
        <v>5.4718032139938498E-2</v>
      </c>
      <c r="P368" s="169">
        <f>(INDEX(Models!$BJ368:$BT368,,T368)*(1-R368)+INDEX(Models!$BJ368:$BT368,,T368+1)*R368-ERP_i)*Q368*Ramure*Pc/MaxiM</f>
        <v>5.3322821277708313E-4</v>
      </c>
      <c r="Q368" s="305">
        <f t="shared" si="130"/>
        <v>0.7</v>
      </c>
      <c r="R368" s="177">
        <f t="shared" si="131"/>
        <v>0.57928800670418978</v>
      </c>
      <c r="S368" s="810">
        <f t="shared" si="132"/>
        <v>-1</v>
      </c>
      <c r="T368" s="176">
        <f t="shared" si="133"/>
        <v>5</v>
      </c>
      <c r="U368" s="251">
        <f t="shared" si="134"/>
        <v>-0.42071199329581022</v>
      </c>
      <c r="V368" s="383">
        <f t="shared" si="135"/>
        <v>16.683672069936588</v>
      </c>
      <c r="W368" s="402">
        <f t="shared" si="136"/>
        <v>4.5006426918894444</v>
      </c>
      <c r="X368" s="157">
        <f t="shared" si="137"/>
        <v>46741</v>
      </c>
      <c r="Y368" s="385">
        <f t="shared" si="138"/>
        <v>4.1715343247588956</v>
      </c>
      <c r="Z368" s="385">
        <f t="shared" si="139"/>
        <v>4.5179547746531847</v>
      </c>
      <c r="AA368" s="386">
        <f t="shared" si="140"/>
        <v>5.1565498417649094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0.12384153876289411</v>
      </c>
      <c r="AD368" s="231">
        <f>(INDEX(Models!$BJ368:$BT368,,AH368)*(1-AF368)+INDEX(Models!$BJ368:$BT368,,AH368+1)*AF368-ERP_i)*AE368*Ramure*Pc/MaxiM</f>
        <v>4.734485653734642E-3</v>
      </c>
      <c r="AE368" s="305">
        <f t="shared" si="142"/>
        <v>0.7</v>
      </c>
      <c r="AF368" s="177">
        <f t="shared" si="143"/>
        <v>0.39927805980337361</v>
      </c>
      <c r="AG368" s="810">
        <f t="shared" si="149"/>
        <v>2</v>
      </c>
      <c r="AH368" s="176">
        <f t="shared" si="144"/>
        <v>8</v>
      </c>
      <c r="AI368" s="225">
        <f t="shared" si="145"/>
        <v>2.3992780598033736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16.043861874211036</v>
      </c>
      <c r="C369" s="840"/>
      <c r="D369" s="393">
        <f t="shared" si="127"/>
        <v>17.376611001289511</v>
      </c>
      <c r="E369" s="385">
        <f t="shared" si="150"/>
        <v>18.385034454497593</v>
      </c>
      <c r="F369" s="385">
        <f t="shared" si="128"/>
        <v>18.394251500631636</v>
      </c>
      <c r="G369" s="110">
        <f t="shared" si="151"/>
        <v>0.95985231022626716</v>
      </c>
      <c r="H369" s="414" t="b">
        <f>Wh_hp&gt;='2026'!Maxi_hp</f>
        <v>0</v>
      </c>
      <c r="I369" s="390">
        <f>IF(H369,Wh_hp,'2026'!Maxi_hp)</f>
        <v>18.394678456739303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7.6697874342676609E-2</v>
      </c>
      <c r="M369" s="844"/>
      <c r="N369" s="844"/>
      <c r="O369" s="48">
        <f>IF(t&lt;Tnet,'2026'!Resal+('2026'!Salim-'2026'!Resal)*(1-EXP(('2026'!Tnet-t)/('2026'!Tau_j))),Resal+(Salim-Resal)*(1-EXP((Tnet-t)/(Tau_j))))*Salcycl</f>
        <v>5.4850234613587505E-2</v>
      </c>
      <c r="P369" s="169">
        <f>(INDEX(Models!$BJ369:$BT369,,T369)*(1-R369)+INDEX(Models!$BJ369:$BT369,,T369+1)*R369-ERP_i)*Q369*Ramure*Pc/MaxiM</f>
        <v>5.3154701569064762E-4</v>
      </c>
      <c r="Q369" s="305">
        <f t="shared" si="130"/>
        <v>0.7</v>
      </c>
      <c r="R369" s="177">
        <f t="shared" si="131"/>
        <v>0.57929379829185934</v>
      </c>
      <c r="S369" s="810">
        <f t="shared" si="132"/>
        <v>-1</v>
      </c>
      <c r="T369" s="176">
        <f t="shared" si="133"/>
        <v>5</v>
      </c>
      <c r="U369" s="251">
        <f t="shared" si="134"/>
        <v>-0.42070620170814066</v>
      </c>
      <c r="V369" s="383">
        <f t="shared" si="135"/>
        <v>16.714418142538491</v>
      </c>
      <c r="W369" s="402">
        <f t="shared" si="136"/>
        <v>16.043861874211036</v>
      </c>
      <c r="X369" s="157">
        <f t="shared" si="137"/>
        <v>46742</v>
      </c>
      <c r="Y369" s="385">
        <f t="shared" si="138"/>
        <v>14.813082532664628</v>
      </c>
      <c r="Z369" s="385">
        <f t="shared" si="139"/>
        <v>16.043591930559892</v>
      </c>
      <c r="AA369" s="386">
        <f t="shared" si="140"/>
        <v>18.312331989193037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0.12389137876989308</v>
      </c>
      <c r="AD369" s="231">
        <f>(INDEX(Models!$BJ369:$BT369,,AH369)*(1-AF369)+INDEX(Models!$BJ369:$BT369,,AH369+1)*AF369-ERP_i)*AE369*Ramure*Pc/MaxiM</f>
        <v>4.7242979148366766E-3</v>
      </c>
      <c r="AE369" s="305">
        <f t="shared" si="142"/>
        <v>0.7</v>
      </c>
      <c r="AF369" s="177">
        <f t="shared" si="143"/>
        <v>0.3992838513910435</v>
      </c>
      <c r="AG369" s="810">
        <f t="shared" si="149"/>
        <v>2</v>
      </c>
      <c r="AH369" s="176">
        <f t="shared" si="144"/>
        <v>8</v>
      </c>
      <c r="AI369" s="225">
        <f t="shared" si="145"/>
        <v>2.3992838513910435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12.307307196861833</v>
      </c>
      <c r="C370" s="840"/>
      <c r="D370" s="393">
        <f t="shared" si="127"/>
        <v>13.329974306929415</v>
      </c>
      <c r="E370" s="385">
        <f t="shared" si="150"/>
        <v>14.105534198136414</v>
      </c>
      <c r="F370" s="385">
        <f t="shared" si="128"/>
        <v>14.110180379597553</v>
      </c>
      <c r="G370" s="110">
        <f t="shared" si="151"/>
        <v>0.73466772775579037</v>
      </c>
      <c r="H370" s="414" t="b">
        <f>Wh_hp&gt;='2026'!Maxi_hp</f>
        <v>0</v>
      </c>
      <c r="I370" s="390">
        <f>IF(H370,Wh_hp,'2026'!Maxi_hp)</f>
        <v>18.146352200038717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7.6719360931998271E-2</v>
      </c>
      <c r="M370" s="844"/>
      <c r="N370" s="844"/>
      <c r="O370" s="48">
        <f>IF(t&lt;Tnet,'2026'!Resal+('2026'!Salim-'2026'!Resal)*(1-EXP(('2026'!Tnet-t)/('2026'!Tau_j))),Resal+(Salim-Resal)*(1-EXP((Tnet-t)/(Tau_j))))*Salcycl</f>
        <v>5.4982667108734111E-2</v>
      </c>
      <c r="P370" s="169">
        <f>(INDEX(Models!$BJ370:$BT370,,T370)*(1-R370)+INDEX(Models!$BJ370:$BT370,,T370+1)*R370-ERP_i)*Q370*Ramure*Pc/MaxiM</f>
        <v>5.3009875300431722E-4</v>
      </c>
      <c r="Q370" s="305">
        <f t="shared" si="130"/>
        <v>0.7</v>
      </c>
      <c r="R370" s="177">
        <f t="shared" si="131"/>
        <v>0.57929935685089706</v>
      </c>
      <c r="S370" s="810">
        <f t="shared" si="132"/>
        <v>-1</v>
      </c>
      <c r="T370" s="176">
        <f t="shared" si="133"/>
        <v>5</v>
      </c>
      <c r="U370" s="251">
        <f t="shared" si="134"/>
        <v>-0.42070064314910288</v>
      </c>
      <c r="V370" s="383">
        <f t="shared" si="135"/>
        <v>16.748843543089681</v>
      </c>
      <c r="W370" s="402">
        <f t="shared" si="136"/>
        <v>12.307307196861833</v>
      </c>
      <c r="X370" s="157">
        <f t="shared" si="137"/>
        <v>46743</v>
      </c>
      <c r="Y370" s="385">
        <f t="shared" si="138"/>
        <v>11.379581001816019</v>
      </c>
      <c r="Z370" s="385">
        <f t="shared" si="139"/>
        <v>12.325159350577357</v>
      </c>
      <c r="AA370" s="386">
        <f t="shared" si="140"/>
        <v>14.06888602163847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0.12394205684651906</v>
      </c>
      <c r="AD370" s="231">
        <f>(INDEX(Models!$BJ370:$BT370,,AH370)*(1-AF370)+INDEX(Models!$BJ370:$BT370,,AH370+1)*AF370-ERP_i)*AE370*Ramure*Pc/MaxiM</f>
        <v>4.7114147054548444E-3</v>
      </c>
      <c r="AE370" s="305">
        <f t="shared" si="142"/>
        <v>0.7</v>
      </c>
      <c r="AF370" s="177">
        <f t="shared" si="143"/>
        <v>0.399289409950081</v>
      </c>
      <c r="AG370" s="810">
        <f t="shared" si="149"/>
        <v>2</v>
      </c>
      <c r="AH370" s="176">
        <f t="shared" si="144"/>
        <v>8</v>
      </c>
      <c r="AI370" s="225">
        <f t="shared" si="145"/>
        <v>2.399289409950081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12.947017346473425</v>
      </c>
      <c r="C371" s="840"/>
      <c r="D371" s="393">
        <f t="shared" si="127"/>
        <v>14.023167064959557</v>
      </c>
      <c r="E371" s="385">
        <f t="shared" si="150"/>
        <v>14.841141022773296</v>
      </c>
      <c r="F371" s="385">
        <f t="shared" si="128"/>
        <v>14.846427866027744</v>
      </c>
      <c r="G371" s="110">
        <f t="shared" si="151"/>
        <v>0.77116267142301032</v>
      </c>
      <c r="H371" s="414" t="b">
        <f>Wh_hp&gt;='2026'!Maxi_hp</f>
        <v>0</v>
      </c>
      <c r="I371" s="390">
        <f>IF(H371,Wh_hp,'2026'!Maxi_hp)</f>
        <v>16.298095724245826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7.6740847021295577E-2</v>
      </c>
      <c r="M371" s="844"/>
      <c r="N371" s="844"/>
      <c r="O371" s="48">
        <f>IF(t&lt;Tnet,'2026'!Resal+('2026'!Salim-'2026'!Resal)*(1-EXP(('2026'!Tnet-t)/('2026'!Tau_j))),Resal+(Salim-Resal)*(1-EXP((Tnet-t)/(Tau_j))))*Salcycl</f>
        <v>5.5115301212931178E-2</v>
      </c>
      <c r="P371" s="169">
        <f>(INDEX(Models!$BJ371:$BT371,,T371)*(1-R371)+INDEX(Models!$BJ371:$BT371,,T371+1)*R371-ERP_i)*Q371*Ramure*Pc/MaxiM</f>
        <v>5.2890630747033695E-4</v>
      </c>
      <c r="Q371" s="305">
        <f t="shared" si="130"/>
        <v>0.7</v>
      </c>
      <c r="R371" s="177">
        <f t="shared" si="131"/>
        <v>0.57929935685089706</v>
      </c>
      <c r="S371" s="810">
        <f t="shared" si="132"/>
        <v>-1</v>
      </c>
      <c r="T371" s="176">
        <f t="shared" si="133"/>
        <v>5</v>
      </c>
      <c r="U371" s="251">
        <f t="shared" si="134"/>
        <v>-0.42070064314910288</v>
      </c>
      <c r="V371" s="383">
        <f t="shared" si="135"/>
        <v>16.786055302380511</v>
      </c>
      <c r="W371" s="402">
        <f t="shared" si="136"/>
        <v>12.947017346473425</v>
      </c>
      <c r="X371" s="157">
        <f t="shared" si="137"/>
        <v>46744</v>
      </c>
      <c r="Y371" s="385">
        <f t="shared" si="138"/>
        <v>11.969543882499881</v>
      </c>
      <c r="Z371" s="385">
        <f t="shared" si="139"/>
        <v>12.964446487080716</v>
      </c>
      <c r="AA371" s="386">
        <f t="shared" si="140"/>
        <v>14.799486687176929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0.12399350321293164</v>
      </c>
      <c r="AD371" s="231">
        <f>(INDEX(Models!$BJ371:$BT371,,AH371)*(1-AF371)+INDEX(Models!$BJ371:$BT371,,AH371+1)*AF371-ERP_i)*AE371*Ramure*Pc/MaxiM</f>
        <v>4.6960888339945949E-3</v>
      </c>
      <c r="AE371" s="305">
        <f t="shared" si="142"/>
        <v>0.7</v>
      </c>
      <c r="AF371" s="177">
        <f t="shared" si="143"/>
        <v>0.399289409950081</v>
      </c>
      <c r="AG371" s="810">
        <f t="shared" si="149"/>
        <v>2</v>
      </c>
      <c r="AH371" s="176">
        <f t="shared" si="144"/>
        <v>8</v>
      </c>
      <c r="AI371" s="225">
        <f t="shared" si="145"/>
        <v>2.399289409950081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16.63516332211892</v>
      </c>
      <c r="C372" s="840"/>
      <c r="D372" s="393">
        <f t="shared" si="127"/>
        <v>18.018289233320722</v>
      </c>
      <c r="E372" s="385">
        <f t="shared" si="150"/>
        <v>19.071980073488643</v>
      </c>
      <c r="F372" s="385">
        <f t="shared" si="128"/>
        <v>19.081892716057318</v>
      </c>
      <c r="G372" s="110">
        <f t="shared" si="151"/>
        <v>0.98869910445892839</v>
      </c>
      <c r="H372" s="414" t="b">
        <f>Wh_hp&gt;='2026'!Maxi_hp</f>
        <v>0</v>
      </c>
      <c r="I372" s="390">
        <f>IF(H372,Wh_hp,'2026'!Maxi_hp)</f>
        <v>19.082016491633386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7.6762332610580186E-2</v>
      </c>
      <c r="M372" s="844"/>
      <c r="N372" s="844"/>
      <c r="O372" s="48">
        <f>IF(t&lt;Tnet,'2026'!Resal+('2026'!Salim-'2026'!Resal)*(1-EXP(('2026'!Tnet-t)/('2026'!Tau_j))),Resal+(Salim-Resal)*(1-EXP((Tnet-t)/(Tau_j))))*Salcycl</f>
        <v>5.5248109326237319E-2</v>
      </c>
      <c r="P372" s="169">
        <f>(INDEX(Models!$BJ372:$BT372,,T372)*(1-R372)+INDEX(Models!$BJ372:$BT372,,T372+1)*R372-ERP_i)*Q372*Ramure*Pc/MaxiM</f>
        <v>5.2799669642132217E-4</v>
      </c>
      <c r="Q372" s="305">
        <f t="shared" si="130"/>
        <v>0.7</v>
      </c>
      <c r="R372" s="177">
        <f t="shared" si="131"/>
        <v>0.57929935685089706</v>
      </c>
      <c r="S372" s="810">
        <f t="shared" si="132"/>
        <v>-1</v>
      </c>
      <c r="T372" s="176">
        <f t="shared" si="133"/>
        <v>5</v>
      </c>
      <c r="U372" s="251">
        <f t="shared" si="134"/>
        <v>-0.42070064314910288</v>
      </c>
      <c r="V372" s="383">
        <f t="shared" si="135"/>
        <v>16.82516094148388</v>
      </c>
      <c r="W372" s="402">
        <f t="shared" si="136"/>
        <v>16.63516332211892</v>
      </c>
      <c r="X372" s="157">
        <f t="shared" si="137"/>
        <v>46745</v>
      </c>
      <c r="Y372" s="385">
        <f t="shared" si="138"/>
        <v>15.36076044116002</v>
      </c>
      <c r="Z372" s="385">
        <f t="shared" si="139"/>
        <v>16.637926488197412</v>
      </c>
      <c r="AA372" s="386">
        <f t="shared" si="140"/>
        <v>18.994056593853443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0.12404565049145343</v>
      </c>
      <c r="AD372" s="231">
        <f>(INDEX(Models!$BJ372:$BT372,,AH372)*(1-AF372)+INDEX(Models!$BJ372:$BT372,,AH372+1)*AF372-ERP_i)*AE372*Ramure*Pc/MaxiM</f>
        <v>4.6785891883821392E-3</v>
      </c>
      <c r="AE372" s="305">
        <f t="shared" si="142"/>
        <v>0.7</v>
      </c>
      <c r="AF372" s="177">
        <f t="shared" si="143"/>
        <v>0.399289409950081</v>
      </c>
      <c r="AG372" s="810">
        <f t="shared" si="149"/>
        <v>2</v>
      </c>
      <c r="AH372" s="176">
        <f t="shared" si="144"/>
        <v>8</v>
      </c>
      <c r="AI372" s="225">
        <f t="shared" si="145"/>
        <v>2.399289409950081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9.5261741343353172</v>
      </c>
      <c r="C373" s="840"/>
      <c r="D373" s="393">
        <f t="shared" si="127"/>
        <v>10.318465292280127</v>
      </c>
      <c r="E373" s="385">
        <f t="shared" si="150"/>
        <v>10.923415684221846</v>
      </c>
      <c r="F373" s="385">
        <f t="shared" si="128"/>
        <v>10.925595295121797</v>
      </c>
      <c r="G373" s="110">
        <f t="shared" si="151"/>
        <v>0.56461929161716773</v>
      </c>
      <c r="H373" s="414" t="b">
        <f>Wh_hp&gt;='2026'!Maxi_hp</f>
        <v>0</v>
      </c>
      <c r="I373" s="390">
        <f>IF(H373,Wh_hp,'2026'!Maxi_hp)</f>
        <v>15.376095224212161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7.6783817699863866E-2</v>
      </c>
      <c r="M373" s="844"/>
      <c r="N373" s="844"/>
      <c r="O373" s="48">
        <f>IF(t&lt;Tnet,'2026'!Resal+('2026'!Salim-'2026'!Resal)*(1-EXP(('2026'!Tnet-t)/('2026'!Tau_j))),Resal+(Salim-Resal)*(1-EXP((Tnet-t)/(Tau_j))))*Salcycl</f>
        <v>5.5381064808833508E-2</v>
      </c>
      <c r="P373" s="169">
        <f>(INDEX(Models!$BJ373:$BT373,,T373)*(1-R373)+INDEX(Models!$BJ373:$BT373,,T373+1)*R373-ERP_i)*Q373*Ramure*Pc/MaxiM</f>
        <v>5.2735920225311988E-4</v>
      </c>
      <c r="Q373" s="305">
        <f t="shared" si="130"/>
        <v>0.7</v>
      </c>
      <c r="R373" s="177">
        <f t="shared" si="131"/>
        <v>0.57929935685089706</v>
      </c>
      <c r="S373" s="810">
        <f t="shared" si="132"/>
        <v>-1</v>
      </c>
      <c r="T373" s="176">
        <f t="shared" si="133"/>
        <v>5</v>
      </c>
      <c r="U373" s="251">
        <f t="shared" si="134"/>
        <v>-0.42070064314910288</v>
      </c>
      <c r="V373" s="383">
        <f t="shared" si="135"/>
        <v>16.866321022170176</v>
      </c>
      <c r="W373" s="402">
        <f t="shared" si="136"/>
        <v>9.5261741343353172</v>
      </c>
      <c r="X373" s="157">
        <f t="shared" si="137"/>
        <v>46746</v>
      </c>
      <c r="Y373" s="385">
        <f t="shared" si="138"/>
        <v>8.8193735929515622</v>
      </c>
      <c r="Z373" s="385">
        <f t="shared" si="139"/>
        <v>9.5528802051309771</v>
      </c>
      <c r="AA373" s="386">
        <f t="shared" si="140"/>
        <v>10.906339908572322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0.1240984340106193</v>
      </c>
      <c r="AD373" s="231">
        <f>(INDEX(Models!$BJ373:$BT373,,AH373)*(1-AF373)+INDEX(Models!$BJ373:$BT373,,AH373+1)*AF373-ERP_i)*AE373*Ramure*Pc/MaxiM</f>
        <v>4.658861492222206E-3</v>
      </c>
      <c r="AE373" s="305">
        <f t="shared" si="142"/>
        <v>0.7</v>
      </c>
      <c r="AF373" s="177">
        <f t="shared" si="143"/>
        <v>0.399289409950081</v>
      </c>
      <c r="AG373" s="810">
        <f t="shared" si="149"/>
        <v>2</v>
      </c>
      <c r="AH373" s="176">
        <f t="shared" si="144"/>
        <v>8</v>
      </c>
      <c r="AI373" s="225">
        <f t="shared" si="145"/>
        <v>2.399289409950081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16.202786769175194</v>
      </c>
      <c r="C374" s="840"/>
      <c r="D374" s="393">
        <f t="shared" si="127"/>
        <v>17.550779710229815</v>
      </c>
      <c r="E374" s="385">
        <f t="shared" si="150"/>
        <v>18.582363688888975</v>
      </c>
      <c r="F374" s="385">
        <f t="shared" si="128"/>
        <v>18.591574776664867</v>
      </c>
      <c r="G374" s="110">
        <f t="shared" si="151"/>
        <v>0.95811212555376346</v>
      </c>
      <c r="H374" s="414" t="b">
        <f>Wh_hp&gt;='2026'!Maxi_hp</f>
        <v>0</v>
      </c>
      <c r="I374" s="390">
        <f>IF(H374,Wh_hp,'2026'!Maxi_hp)</f>
        <v>18.592020372042303</v>
      </c>
      <c r="J374" s="85">
        <f>IF(H374,An,'2026'!An_max)</f>
        <v>2025</v>
      </c>
      <c r="K374" s="197">
        <f t="shared" si="129"/>
        <v>46747</v>
      </c>
      <c r="L374" s="147">
        <f>IF(t&lt;Tvie,1-EXP((T0-t)*PertePVj)+'2026'!Pspv,1-EXP((T0-t)*PertePVj)+Pspv)</f>
        <v>7.680530228915794E-2</v>
      </c>
      <c r="M374" s="844"/>
      <c r="N374" s="844"/>
      <c r="O374" s="48">
        <f>IF(t&lt;Tnet,'2026'!Resal+('2026'!Salim-'2026'!Resal)*(1-EXP(('2026'!Tnet-t)/('2026'!Tau_j))),Resal+(Salim-Resal)*(1-EXP((Tnet-t)/(Tau_j))))*Salcycl</f>
        <v>5.5514142115083986E-2</v>
      </c>
      <c r="P374" s="169">
        <f>(INDEX(Models!$BJ374:$BT374,,T374)*(1-R374)+INDEX(Models!$BJ374:$BT374,,T374+1)*R374-ERP_i)*Q374*Ramure*Pc/MaxiM</f>
        <v>5.2695430597548914E-4</v>
      </c>
      <c r="Q374" s="305">
        <f t="shared" si="130"/>
        <v>0.7</v>
      </c>
      <c r="R374" s="177">
        <f t="shared" si="131"/>
        <v>0.57929935685089706</v>
      </c>
      <c r="S374" s="810">
        <f t="shared" si="132"/>
        <v>-1</v>
      </c>
      <c r="T374" s="176">
        <f t="shared" si="133"/>
        <v>5</v>
      </c>
      <c r="U374" s="251">
        <f t="shared" si="134"/>
        <v>-0.42070064314910288</v>
      </c>
      <c r="V374" s="383">
        <f t="shared" si="135"/>
        <v>16.910626149424974</v>
      </c>
      <c r="W374" s="402">
        <f t="shared" si="136"/>
        <v>16.202786769175194</v>
      </c>
      <c r="X374" s="157">
        <f t="shared" si="137"/>
        <v>46747</v>
      </c>
      <c r="Y374" s="385">
        <f t="shared" si="138"/>
        <v>14.967213238556138</v>
      </c>
      <c r="Z374" s="385">
        <f t="shared" si="139"/>
        <v>16.21241247991232</v>
      </c>
      <c r="AA374" s="386">
        <f t="shared" si="140"/>
        <v>18.510527661329146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0.12415179207548362</v>
      </c>
      <c r="AD374" s="231">
        <f>(INDEX(Models!$BJ374:$BT374,,AH374)*(1-AF374)+INDEX(Models!$BJ374:$BT374,,AH374+1)*AF374-ERP_i)*AE374*Ramure*Pc/MaxiM</f>
        <v>4.6365996559966129E-3</v>
      </c>
      <c r="AE374" s="305">
        <f t="shared" si="142"/>
        <v>0.7</v>
      </c>
      <c r="AF374" s="177">
        <f t="shared" si="143"/>
        <v>0.399289409950081</v>
      </c>
      <c r="AG374" s="810">
        <f t="shared" si="149"/>
        <v>2</v>
      </c>
      <c r="AH374" s="176">
        <f t="shared" si="144"/>
        <v>8</v>
      </c>
      <c r="AI374" s="225">
        <f t="shared" si="145"/>
        <v>2.399289409950081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6.5840121874914148</v>
      </c>
      <c r="C375" s="840"/>
      <c r="D375" s="393">
        <f t="shared" si="127"/>
        <v>7.1319359036241163</v>
      </c>
      <c r="E375" s="385">
        <f t="shared" si="150"/>
        <v>7.5521953093968763</v>
      </c>
      <c r="F375" s="385">
        <f t="shared" si="128"/>
        <v>7.5526973483482944</v>
      </c>
      <c r="G375" s="110">
        <f t="shared" si="151"/>
        <v>0.38806207630392192</v>
      </c>
      <c r="H375" s="414" t="b">
        <f>Wh_hp&gt;='2026'!Maxi_hp</f>
        <v>0</v>
      </c>
      <c r="I375" s="390">
        <f>IF(H375,Wh_hp,'2026'!Maxi_hp)</f>
        <v>18.041116002865003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7.6826786378474399E-2</v>
      </c>
      <c r="M375" s="844"/>
      <c r="N375" s="844"/>
      <c r="O375" s="48">
        <f>IF(t&lt;Tnet,'2026'!Resal+('2026'!Salim-'2026'!Resal)*(1-EXP(('2026'!Tnet-t)/('2026'!Tau_j))),Resal+(Salim-Resal)*(1-EXP((Tnet-t)/(Tau_j))))*Salcycl</f>
        <v>5.5647316913248958E-2</v>
      </c>
      <c r="P375" s="169">
        <f>(INDEX(Models!$BJ375:$BT375,,T375)*(1-R375)+INDEX(Models!$BJ375:$BT375,,T375+1)*R375-ERP_i)*Q375*Ramure*Pc/MaxiM</f>
        <v>5.2730626968740225E-4</v>
      </c>
      <c r="Q375" s="305">
        <f t="shared" si="130"/>
        <v>0.7</v>
      </c>
      <c r="R375" s="177">
        <f t="shared" si="131"/>
        <v>0.57929935685089706</v>
      </c>
      <c r="S375" s="810">
        <f t="shared" si="132"/>
        <v>-1</v>
      </c>
      <c r="T375" s="176">
        <f t="shared" si="133"/>
        <v>5</v>
      </c>
      <c r="U375" s="251">
        <f t="shared" si="134"/>
        <v>-0.42070064314910288</v>
      </c>
      <c r="V375" s="383">
        <f t="shared" si="135"/>
        <v>16.958569893213348</v>
      </c>
      <c r="W375" s="402">
        <f t="shared" si="136"/>
        <v>6.5840121874914148</v>
      </c>
      <c r="X375" s="157">
        <f t="shared" si="137"/>
        <v>46748</v>
      </c>
      <c r="Y375" s="385">
        <f t="shared" si="138"/>
        <v>6.1028793507398582</v>
      </c>
      <c r="Z375" s="385">
        <f t="shared" si="139"/>
        <v>6.6107630298314337</v>
      </c>
      <c r="AA375" s="386">
        <f t="shared" si="140"/>
        <v>7.5483053209191269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0.12420566620290503</v>
      </c>
      <c r="AD375" s="231">
        <f>(INDEX(Models!$BJ375:$BT375,,AH375)*(1-AF375)+INDEX(Models!$BJ375:$BT375,,AH375+1)*AF375-ERP_i)*AE375*Ramure*Pc/MaxiM</f>
        <v>4.6130755263061613E-3</v>
      </c>
      <c r="AE375" s="305">
        <f t="shared" si="142"/>
        <v>0.7</v>
      </c>
      <c r="AF375" s="177">
        <f t="shared" si="143"/>
        <v>0.399289409950081</v>
      </c>
      <c r="AG375" s="810">
        <f t="shared" si="149"/>
        <v>2</v>
      </c>
      <c r="AH375" s="176">
        <f t="shared" si="144"/>
        <v>8</v>
      </c>
      <c r="AI375" s="225">
        <f t="shared" si="145"/>
        <v>2.399289409950081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15.667703564679687</v>
      </c>
      <c r="C376" s="840"/>
      <c r="D376" s="393">
        <f t="shared" si="127"/>
        <v>16.971970105210772</v>
      </c>
      <c r="E376" s="385">
        <f t="shared" si="150"/>
        <v>17.974603675261267</v>
      </c>
      <c r="F376" s="385">
        <f t="shared" si="128"/>
        <v>17.983031742488734</v>
      </c>
      <c r="G376" s="110">
        <f t="shared" si="151"/>
        <v>0.92099732097298093</v>
      </c>
      <c r="H376" s="414" t="b">
        <f>Wh_hp&gt;='2026'!Maxi_hp</f>
        <v>0</v>
      </c>
      <c r="I376" s="390">
        <f>IF(H376,Wh_hp,'2026'!Maxi_hp)</f>
        <v>17.983845121418753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7.6848269967824567E-2</v>
      </c>
      <c r="M376" s="844"/>
      <c r="N376" s="844"/>
      <c r="O376" s="48">
        <f>IF(t&lt;Tnet,'2026'!Resal+('2026'!Salim-'2026'!Resal)*(1-EXP(('2026'!Tnet-t)/('2026'!Tau_j))),Resal+(Salim-Resal)*(1-EXP((Tnet-t)/(Tau_j))))*Salcycl</f>
        <v>5.5780566190198388E-2</v>
      </c>
      <c r="P376" s="169">
        <f>(INDEX(Models!$BJ376:$BT376,,T376)*(1-R376)+INDEX(Models!$BJ376:$BT376,,T376+1)*R376-ERP_i)*Q376*Ramure*Pc/MaxiM</f>
        <v>5.2824452165811621E-4</v>
      </c>
      <c r="Q376" s="305">
        <f t="shared" si="130"/>
        <v>0.7</v>
      </c>
      <c r="R376" s="177">
        <f t="shared" si="131"/>
        <v>0.57929935685089706</v>
      </c>
      <c r="S376" s="810">
        <f t="shared" si="132"/>
        <v>-1</v>
      </c>
      <c r="T376" s="176">
        <f t="shared" si="133"/>
        <v>5</v>
      </c>
      <c r="U376" s="251">
        <f t="shared" si="134"/>
        <v>-0.42070064314910288</v>
      </c>
      <c r="V376" s="383">
        <f t="shared" si="135"/>
        <v>17.01065718566181</v>
      </c>
      <c r="W376" s="402">
        <f t="shared" si="136"/>
        <v>15.667703564679687</v>
      </c>
      <c r="X376" s="157">
        <f t="shared" si="137"/>
        <v>46749</v>
      </c>
      <c r="Y376" s="385">
        <f t="shared" si="138"/>
        <v>14.47902429991365</v>
      </c>
      <c r="Z376" s="385">
        <f t="shared" si="139"/>
        <v>15.684338585823806</v>
      </c>
      <c r="AA376" s="386">
        <f t="shared" si="140"/>
        <v>17.909811827117828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0.1242600013208604</v>
      </c>
      <c r="AD376" s="231">
        <f>(INDEX(Models!$BJ376:$BT376,,AH376)*(1-AF376)+INDEX(Models!$BJ376:$BT376,,AH376+1)*AF376-ERP_i)*AE376*Ramure*Pc/MaxiM</f>
        <v>4.5891920563834402E-3</v>
      </c>
      <c r="AE376" s="305">
        <f t="shared" si="142"/>
        <v>0.7</v>
      </c>
      <c r="AF376" s="177">
        <f t="shared" si="143"/>
        <v>0.399289409950081</v>
      </c>
      <c r="AG376" s="810">
        <f t="shared" si="149"/>
        <v>2</v>
      </c>
      <c r="AH376" s="176">
        <f t="shared" si="144"/>
        <v>8</v>
      </c>
      <c r="AI376" s="225">
        <f t="shared" si="145"/>
        <v>2.399289409950081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8.8668089042561427</v>
      </c>
      <c r="C377" s="840"/>
      <c r="D377" s="393">
        <f t="shared" si="127"/>
        <v>9.6051547802936987</v>
      </c>
      <c r="E377" s="385">
        <f t="shared" si="150"/>
        <v>10.174023807987908</v>
      </c>
      <c r="F377" s="385">
        <f t="shared" si="128"/>
        <v>10.175714257900482</v>
      </c>
      <c r="G377" s="110">
        <f t="shared" si="151"/>
        <v>0.51932862403305002</v>
      </c>
      <c r="H377" s="414" t="b">
        <f>Wh_hp&gt;='2026'!Maxi_hp</f>
        <v>0</v>
      </c>
      <c r="I377" s="390">
        <f>IF(H377,Wh_hp,'2026'!Maxi_hp)</f>
        <v>20.470863800267029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7.6869753057220325E-2</v>
      </c>
      <c r="M377" s="844"/>
      <c r="N377" s="844"/>
      <c r="O377" s="48">
        <f>IF(t&lt;Tnet,'2026'!Resal+('2026'!Salim-'2026'!Resal)*(1-EXP(('2026'!Tnet-t)/('2026'!Tau_j))),Resal+(Salim-Resal)*(1-EXP((Tnet-t)/(Tau_j))))*Salcycl</f>
        <v>5.5913868340623882E-2</v>
      </c>
      <c r="P377" s="169">
        <f>(INDEX(Models!$BJ377:$BT377,,T377)*(1-R377)+INDEX(Models!$BJ377:$BT377,,T377+1)*R377-ERP_i)*Q377*Ramure*Pc/MaxiM</f>
        <v>5.2974415614083969E-4</v>
      </c>
      <c r="Q377" s="305">
        <f t="shared" si="130"/>
        <v>0.7</v>
      </c>
      <c r="R377" s="177">
        <f t="shared" si="131"/>
        <v>0.57929935685089706</v>
      </c>
      <c r="S377" s="810">
        <f t="shared" si="132"/>
        <v>-1</v>
      </c>
      <c r="T377" s="176">
        <f t="shared" si="133"/>
        <v>5</v>
      </c>
      <c r="U377" s="251">
        <f t="shared" si="134"/>
        <v>-0.42070064314910288</v>
      </c>
      <c r="V377" s="383">
        <f t="shared" si="135"/>
        <v>17.067390135988827</v>
      </c>
      <c r="W377" s="402">
        <f t="shared" si="136"/>
        <v>8.8668089042561427</v>
      </c>
      <c r="X377" s="157">
        <f t="shared" si="137"/>
        <v>46750</v>
      </c>
      <c r="Y377" s="385">
        <f t="shared" si="138"/>
        <v>8.2139826223895209</v>
      </c>
      <c r="Z377" s="385">
        <f t="shared" si="139"/>
        <v>8.8979671607474327</v>
      </c>
      <c r="AA377" s="386">
        <f t="shared" si="140"/>
        <v>10.161147649116527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0.12431474593117675</v>
      </c>
      <c r="AD377" s="231">
        <f>(INDEX(Models!$BJ377:$BT377,,AH377)*(1-AF377)+INDEX(Models!$BJ377:$BT377,,AH377+1)*AF377-ERP_i)*AE377*Ramure*Pc/MaxiM</f>
        <v>4.5648059848985246E-3</v>
      </c>
      <c r="AE377" s="305">
        <f t="shared" si="142"/>
        <v>0.7</v>
      </c>
      <c r="AF377" s="177">
        <f t="shared" si="143"/>
        <v>0.399289409950081</v>
      </c>
      <c r="AG377" s="810">
        <f t="shared" si="149"/>
        <v>2</v>
      </c>
      <c r="AH377" s="176">
        <f t="shared" si="144"/>
        <v>8</v>
      </c>
      <c r="AI377" s="225">
        <f t="shared" si="145"/>
        <v>2.399289409950081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11.753582144249441</v>
      </c>
      <c r="C378" s="840"/>
      <c r="D378" s="393">
        <f t="shared" si="127"/>
        <v>12.732608115234695</v>
      </c>
      <c r="E378" s="385">
        <f t="shared" si="150"/>
        <v>13.488606802101865</v>
      </c>
      <c r="F378" s="385">
        <f t="shared" si="128"/>
        <v>13.492565079691724</v>
      </c>
      <c r="G378" s="110">
        <f t="shared" si="151"/>
        <v>0.68600581247737724</v>
      </c>
      <c r="H378" s="414" t="b">
        <f>Wh_hp&gt;='2026'!Maxi_hp</f>
        <v>0</v>
      </c>
      <c r="I378" s="390">
        <f>IF(H378,Wh_hp,'2026'!Maxi_hp)</f>
        <v>18.88344038484756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7.6891235646673217E-2</v>
      </c>
      <c r="M378" s="844"/>
      <c r="N378" s="844"/>
      <c r="O378" s="48">
        <f>IF(t&lt;Tnet,'2026'!Resal+('2026'!Salim-'2026'!Resal)*(1-EXP(('2026'!Tnet-t)/('2026'!Tau_j))),Resal+(Salim-Resal)*(1-EXP((Tnet-t)/(Tau_j))))*Salcycl</f>
        <v>5.6047203240394403E-2</v>
      </c>
      <c r="P378" s="169">
        <f>(INDEX(Models!$BJ378:$BT378,,T378)*(1-R378)+INDEX(Models!$BJ378:$BT378,,T378+1)*R378-ERP_i)*Q378*Ramure*Pc/MaxiM</f>
        <v>5.3177981714854622E-4</v>
      </c>
      <c r="Q378" s="305">
        <f t="shared" si="130"/>
        <v>0.7</v>
      </c>
      <c r="R378" s="177">
        <f t="shared" si="131"/>
        <v>0.57929935685089706</v>
      </c>
      <c r="S378" s="810">
        <f t="shared" si="132"/>
        <v>-1</v>
      </c>
      <c r="T378" s="176">
        <f t="shared" si="133"/>
        <v>5</v>
      </c>
      <c r="U378" s="251">
        <f t="shared" si="134"/>
        <v>-0.42070064314910288</v>
      </c>
      <c r="V378" s="383">
        <f t="shared" si="135"/>
        <v>17.129270491994998</v>
      </c>
      <c r="W378" s="402">
        <f t="shared" si="136"/>
        <v>11.753582144249441</v>
      </c>
      <c r="X378" s="157">
        <f t="shared" si="137"/>
        <v>46751</v>
      </c>
      <c r="Y378" s="385">
        <f t="shared" si="138"/>
        <v>10.878751652083698</v>
      </c>
      <c r="Z378" s="385">
        <f t="shared" si="139"/>
        <v>11.784907772709408</v>
      </c>
      <c r="AA378" s="386">
        <f t="shared" si="140"/>
        <v>13.458773436245032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0.12436985223540768</v>
      </c>
      <c r="AD378" s="231">
        <f>(INDEX(Models!$BJ378:$BT378,,AH378)*(1-AF378)+INDEX(Models!$BJ378:$BT378,,AH378+1)*AF378-ERP_i)*AE378*Ramure*Pc/MaxiM</f>
        <v>4.539781146038392E-3</v>
      </c>
      <c r="AE378" s="305">
        <f t="shared" si="142"/>
        <v>0.7</v>
      </c>
      <c r="AF378" s="177">
        <f t="shared" si="143"/>
        <v>0.399289409950081</v>
      </c>
      <c r="AG378" s="810">
        <f t="shared" si="149"/>
        <v>2</v>
      </c>
      <c r="AH378" s="176">
        <f t="shared" si="144"/>
        <v>8</v>
      </c>
      <c r="AI378" s="225">
        <f t="shared" si="145"/>
        <v>2.399289409950081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8.7479496907741972</v>
      </c>
      <c r="C379" s="840"/>
      <c r="D379" s="393">
        <f t="shared" si="127"/>
        <v>9.4768391449619802</v>
      </c>
      <c r="E379" s="385">
        <f t="shared" si="150"/>
        <v>10.040944979566635</v>
      </c>
      <c r="F379" s="385">
        <f t="shared" si="128"/>
        <v>10.042544782977435</v>
      </c>
      <c r="G379" s="110">
        <f t="shared" si="151"/>
        <v>0.50850557457536705</v>
      </c>
      <c r="H379" s="414" t="b">
        <f>Wh_hp&gt;='2026'!Maxi_hp</f>
        <v>0</v>
      </c>
      <c r="I379" s="390">
        <f>IF(H379,Wh_hp,'2026'!Maxi_hp)</f>
        <v>18.889316634056641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7.6912717736194791E-2</v>
      </c>
      <c r="M379" s="844"/>
      <c r="N379" s="844"/>
      <c r="O379" s="48">
        <f>IF(t&lt;Tnet,'2026'!Resal+('2026'!Salim-'2026'!Resal)*(1-EXP(('2026'!Tnet-t)/('2026'!Tau_j))),Resal+(Salim-Resal)*(1-EXP((Tnet-t)/(Tau_j))))*Salcycl</f>
        <v>5.618055230385325E-2</v>
      </c>
      <c r="P379" s="169">
        <f>(INDEX(Models!$BJ379:$BT379,,T379)*(1-R379)+INDEX(Models!$BJ379:$BT379,,T379+1)*R379-ERP_i)*Q379*Ramure*Pc/MaxiM</f>
        <v>5.3432558501181502E-4</v>
      </c>
      <c r="Q379" s="306">
        <f t="shared" si="130"/>
        <v>0.7</v>
      </c>
      <c r="R379" s="177">
        <f t="shared" si="131"/>
        <v>0.57929935685089706</v>
      </c>
      <c r="S379" s="810">
        <f t="shared" si="132"/>
        <v>-1</v>
      </c>
      <c r="T379" s="176">
        <f t="shared" si="133"/>
        <v>5</v>
      </c>
      <c r="U379" s="307">
        <f t="shared" si="134"/>
        <v>-0.42070064314910288</v>
      </c>
      <c r="V379" s="383">
        <f t="shared" si="135"/>
        <v>17.196799647857059</v>
      </c>
      <c r="W379" s="402">
        <f t="shared" si="136"/>
        <v>8.7479496907741972</v>
      </c>
      <c r="X379" s="157">
        <f t="shared" si="137"/>
        <v>46752</v>
      </c>
      <c r="Y379" s="385">
        <f t="shared" si="138"/>
        <v>8.1057815904412429</v>
      </c>
      <c r="Z379" s="385">
        <f t="shared" si="139"/>
        <v>8.7811648434397185</v>
      </c>
      <c r="AA379" s="386">
        <f t="shared" si="140"/>
        <v>10.029029624758065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0.12442527622391472</v>
      </c>
      <c r="AD379" s="231">
        <f>(INDEX(Models!$BJ379:$BT379,,AH379)*(1-AF379)+INDEX(Models!$BJ379:$BT379,,AH379+1)*AF379-ERP_i)*AE379*Ramure*Pc/MaxiM</f>
        <v>4.5139888897225396E-3</v>
      </c>
      <c r="AE379" s="306">
        <f t="shared" si="142"/>
        <v>0.7</v>
      </c>
      <c r="AF379" s="177">
        <f t="shared" si="143"/>
        <v>0.399289409950081</v>
      </c>
      <c r="AG379" s="810">
        <f t="shared" si="149"/>
        <v>2</v>
      </c>
      <c r="AH379" s="176">
        <f t="shared" si="144"/>
        <v>8</v>
      </c>
      <c r="AI379" s="222">
        <f t="shared" si="145"/>
        <v>2.399289409950081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/>
      <c r="B380" s="804"/>
      <c r="C380" s="841"/>
      <c r="D380" s="607"/>
      <c r="E380" s="387"/>
      <c r="F380" s="387"/>
      <c r="G380" s="608"/>
      <c r="H380" s="601" t="b">
        <f>Wh_hp&gt;='2026'!Maxi_hp</f>
        <v>0</v>
      </c>
      <c r="I380" s="602">
        <f>IF(H380,Wh_hp,'2026'!Maxi_hp)</f>
        <v>13.770822168887381</v>
      </c>
      <c r="J380" s="151">
        <f>IF(H380,An,'2026'!An_max)</f>
        <v>2024</v>
      </c>
      <c r="K380" s="234"/>
      <c r="L380" s="609"/>
      <c r="M380" s="845"/>
      <c r="N380" s="845"/>
      <c r="O380" s="610"/>
      <c r="P380" s="322"/>
      <c r="Q380" s="229"/>
      <c r="R380" s="229"/>
      <c r="S380" s="229"/>
      <c r="T380" s="229"/>
      <c r="U380" s="323"/>
      <c r="V380" s="397">
        <f>(V379+V15)/2</f>
        <v>16.932568978270325</v>
      </c>
      <c r="W380" s="803"/>
      <c r="X380" s="611"/>
      <c r="Y380" s="387"/>
      <c r="Z380" s="387"/>
      <c r="AA380" s="388"/>
      <c r="AB380" s="234"/>
      <c r="AC380" s="612"/>
      <c r="AD380" s="322"/>
      <c r="AE380" s="229"/>
      <c r="AF380" s="229"/>
      <c r="AG380" s="229"/>
      <c r="AH380" s="229"/>
      <c r="AI380" s="613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1.58101004258638</v>
      </c>
      <c r="C381" s="375"/>
      <c r="D381" s="373">
        <f>MIN(D15:D380)</f>
        <v>1.6986501916950825</v>
      </c>
      <c r="E381" s="373">
        <f>MIN(E15:E380)</f>
        <v>1.8830167457122875</v>
      </c>
      <c r="F381" s="374">
        <f>MIN(F15:F380)</f>
        <v>1.8830167457122875</v>
      </c>
      <c r="G381" s="125">
        <f>+MIN(G15:G380)</f>
        <v>8.9494350922589505E-2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6.9060115748831863E-2</v>
      </c>
      <c r="M381" s="846"/>
      <c r="N381" s="846"/>
      <c r="O381" s="47">
        <f t="shared" si="152"/>
        <v>1.8199148020337074E-2</v>
      </c>
      <c r="P381" s="168">
        <f t="shared" si="152"/>
        <v>4.6950954031174925E-5</v>
      </c>
      <c r="Q381" s="310">
        <f t="shared" si="152"/>
        <v>0.7</v>
      </c>
      <c r="R381" s="311">
        <f t="shared" si="152"/>
        <v>0.179300375279834</v>
      </c>
      <c r="S381" s="810">
        <f t="shared" si="152"/>
        <v>-1</v>
      </c>
      <c r="T381" s="176">
        <f t="shared" si="152"/>
        <v>5</v>
      </c>
      <c r="U381" s="252">
        <f>MIN(U15:U380)</f>
        <v>-0.820699624720166</v>
      </c>
      <c r="V381" s="57">
        <f>MIN(V15:V380)</f>
        <v>16.615351743260295</v>
      </c>
      <c r="W381" s="58"/>
      <c r="X381" s="112" t="s">
        <v>7</v>
      </c>
      <c r="Y381" s="373">
        <f>MIN(Y15:Y380)</f>
        <v>1.5016652929885779</v>
      </c>
      <c r="Z381" s="373">
        <f>MIN(Z15:Z380)</f>
        <v>1.6134015402103521</v>
      </c>
      <c r="AA381" s="373">
        <f>MIN(AA15:AA380)</f>
        <v>1.8830167457122875</v>
      </c>
      <c r="AB381" s="200" t="s">
        <v>7</v>
      </c>
      <c r="AC381" s="47">
        <f t="shared" ref="AC381:AH381" si="153">MIN(AC15:AC380)</f>
        <v>0.10839484125322439</v>
      </c>
      <c r="AD381" s="168">
        <f t="shared" si="153"/>
        <v>3.5656634595472803E-4</v>
      </c>
      <c r="AE381" s="310">
        <f t="shared" si="153"/>
        <v>0.7</v>
      </c>
      <c r="AF381" s="311">
        <f t="shared" si="153"/>
        <v>5.2416829845913782E-5</v>
      </c>
      <c r="AG381" s="810">
        <f t="shared" si="153"/>
        <v>1</v>
      </c>
      <c r="AH381" s="176">
        <f t="shared" si="153"/>
        <v>7</v>
      </c>
      <c r="AI381" s="226">
        <f>MIN(AI15:AI380)</f>
        <v>1.9992904283790178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28.327566288489265</v>
      </c>
      <c r="C382" s="375"/>
      <c r="D382" s="375">
        <f>AVERAGE(D15:D380)</f>
        <v>30.555647319751074</v>
      </c>
      <c r="E382" s="375">
        <f>AVERAGE(E15:E380)</f>
        <v>32.238395563862575</v>
      </c>
      <c r="F382" s="376">
        <f>AVERAGE(F15:F380)</f>
        <v>32.247011875655176</v>
      </c>
      <c r="G382" s="126">
        <f>AVERAGE(G15:G380)</f>
        <v>0.71323622750434335</v>
      </c>
      <c r="H382" s="94"/>
      <c r="I382" s="376">
        <f>AVERAGE(I15:I380)</f>
        <v>41.22314315710048</v>
      </c>
      <c r="J382" s="59">
        <f>AVERAGE(J15:J380)</f>
        <v>2021.3224043715848</v>
      </c>
      <c r="K382" s="200" t="s">
        <v>8</v>
      </c>
      <c r="L382" s="147">
        <f t="shared" ref="L382:V382" si="154">AVERAGE(L15:L380)</f>
        <v>7.2991944731209499E-2</v>
      </c>
      <c r="M382" s="844"/>
      <c r="N382" s="844"/>
      <c r="O382" s="48">
        <f t="shared" si="154"/>
        <v>5.9689974049896503E-2</v>
      </c>
      <c r="P382" s="169">
        <f t="shared" si="154"/>
        <v>5.1201679319387203E-4</v>
      </c>
      <c r="Q382" s="312">
        <f t="shared" si="154"/>
        <v>0.69999999999999529</v>
      </c>
      <c r="R382" s="177">
        <f t="shared" si="154"/>
        <v>0.40320725287914916</v>
      </c>
      <c r="S382" s="810">
        <f t="shared" si="154"/>
        <v>-1</v>
      </c>
      <c r="T382" s="176">
        <f t="shared" si="154"/>
        <v>5</v>
      </c>
      <c r="U382" s="251">
        <f>AVERAGE(U15:U380)</f>
        <v>-0.59679274712085117</v>
      </c>
      <c r="V382" s="59">
        <f t="shared" si="154"/>
        <v>38.286401506546596</v>
      </c>
      <c r="X382" s="112" t="s">
        <v>8</v>
      </c>
      <c r="Y382" s="375">
        <f>AVERAGE(Y15:Y380)</f>
        <v>26.104520600649106</v>
      </c>
      <c r="Z382" s="375">
        <f>AVERAGE(Z15:Z380)</f>
        <v>28.157171482027209</v>
      </c>
      <c r="AA382" s="375">
        <f>AVERAGE(AA15:AA380)</f>
        <v>32.194392533518922</v>
      </c>
      <c r="AB382" s="200" t="s">
        <v>8</v>
      </c>
      <c r="AC382" s="48">
        <f t="shared" ref="AC382:AH382" si="155">AVERAGE(AC15:AC380)</f>
        <v>0.12813013369327039</v>
      </c>
      <c r="AD382" s="169">
        <f t="shared" si="155"/>
        <v>3.1159166818434604E-3</v>
      </c>
      <c r="AE382" s="312">
        <f t="shared" si="155"/>
        <v>0.69999999999999529</v>
      </c>
      <c r="AF382" s="177">
        <f t="shared" si="155"/>
        <v>0.28073155255367571</v>
      </c>
      <c r="AG382" s="810">
        <f t="shared" si="155"/>
        <v>1.9424657534246574</v>
      </c>
      <c r="AH382" s="176">
        <f t="shared" si="155"/>
        <v>7.9424657534246572</v>
      </c>
      <c r="AI382" s="225">
        <f>AVERAGE(AI15:AI380)</f>
        <v>2.2231973059783292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59.223880075921365</v>
      </c>
      <c r="C383" s="377"/>
      <c r="D383" s="377">
        <f>MAX(D15:D380)</f>
        <v>63.83678754429333</v>
      </c>
      <c r="E383" s="377">
        <f>MAX(E15:E380)</f>
        <v>65.39051779774222</v>
      </c>
      <c r="F383" s="378">
        <f>MAX(F15:F380)</f>
        <v>65.39386312317626</v>
      </c>
      <c r="G383" s="127">
        <f>+MAX(G15:G380)</f>
        <v>1.0469751951243975</v>
      </c>
      <c r="H383" s="94"/>
      <c r="I383" s="378">
        <f>MAX(I15:I380)</f>
        <v>66.086546918529152</v>
      </c>
      <c r="J383" s="60">
        <f>MAX(J15:J380)</f>
        <v>2027</v>
      </c>
      <c r="K383" s="200" t="s">
        <v>9</v>
      </c>
      <c r="L383" s="148">
        <f t="shared" ref="L383:T383" si="156">MAX(L15:L380)</f>
        <v>7.6912717736194791E-2</v>
      </c>
      <c r="M383" s="847"/>
      <c r="N383" s="847"/>
      <c r="O383" s="49">
        <f t="shared" si="156"/>
        <v>0.10825996962288754</v>
      </c>
      <c r="P383" s="170">
        <f t="shared" si="156"/>
        <v>1.9344571981978584E-3</v>
      </c>
      <c r="Q383" s="313">
        <f t="shared" si="156"/>
        <v>0.7</v>
      </c>
      <c r="R383" s="314">
        <f t="shared" si="156"/>
        <v>0.57929935685089706</v>
      </c>
      <c r="S383" s="811">
        <f t="shared" si="156"/>
        <v>-1</v>
      </c>
      <c r="T383" s="233">
        <f t="shared" si="156"/>
        <v>5</v>
      </c>
      <c r="U383" s="253">
        <f>MAX(U15:U380)</f>
        <v>-0.42070064314910288</v>
      </c>
      <c r="V383" s="60">
        <f>MAX(V15:V380)</f>
        <v>58.115144567584103</v>
      </c>
      <c r="X383" s="112" t="s">
        <v>9</v>
      </c>
      <c r="Y383" s="377">
        <f>MAX(Y15:Y380)</f>
        <v>53.807227327035214</v>
      </c>
      <c r="Z383" s="377">
        <f>MAX(Z15:Z380)</f>
        <v>57.998235421592369</v>
      </c>
      <c r="AA383" s="377">
        <f>MAX(AA15:AA380)</f>
        <v>65.370458586102998</v>
      </c>
      <c r="AB383" s="200" t="s">
        <v>9</v>
      </c>
      <c r="AC383" s="49">
        <f t="shared" ref="AC383:AH383" si="157">MAX(AC15:AC380)</f>
        <v>0.14884789478904784</v>
      </c>
      <c r="AD383" s="170">
        <f t="shared" si="157"/>
        <v>8.3885311380911265E-3</v>
      </c>
      <c r="AE383" s="313">
        <f t="shared" si="157"/>
        <v>0.7</v>
      </c>
      <c r="AF383" s="314">
        <f t="shared" si="157"/>
        <v>0.99999944172682054</v>
      </c>
      <c r="AG383" s="811">
        <f t="shared" si="157"/>
        <v>2</v>
      </c>
      <c r="AH383" s="233">
        <f t="shared" si="157"/>
        <v>8</v>
      </c>
      <c r="AI383" s="227">
        <f>MAX(AI15:AI380)</f>
        <v>2.399289409950081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N51" sqref="A16:N51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3" customWidth="1"/>
    <col min="14" max="14" width="9.140625" style="633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8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5" customWidth="1"/>
    <col min="50" max="51" width="6.85546875" style="15" customWidth="1"/>
    <col min="52" max="16384" width="11.42578125" style="15"/>
  </cols>
  <sheetData>
    <row r="1" spans="1:49" ht="21.75" thickBot="1" x14ac:dyDescent="0.4">
      <c r="A1" s="660" t="str">
        <f>"Calcul Masques  "&amp;Station</f>
        <v>Calcul Masques  Crêche d'Escalquens</v>
      </c>
      <c r="B1" s="1214" t="str">
        <f>Station</f>
        <v>Crêche d'Escalquens</v>
      </c>
      <c r="C1" s="1215"/>
      <c r="D1" s="1215"/>
      <c r="E1" s="1215"/>
      <c r="F1" s="1216"/>
      <c r="H1" s="22" t="s">
        <v>281</v>
      </c>
      <c r="I1" s="1225">
        <v>44582</v>
      </c>
      <c r="J1" s="1226"/>
      <c r="K1" s="888"/>
      <c r="M1" s="790" t="s">
        <v>171</v>
      </c>
      <c r="N1" s="662"/>
      <c r="O1" s="663"/>
      <c r="P1" s="663"/>
      <c r="Q1" s="662"/>
      <c r="R1" s="662"/>
      <c r="S1" s="664"/>
      <c r="T1" s="665"/>
      <c r="U1" s="664"/>
      <c r="V1" s="1136"/>
      <c r="W1" s="1137"/>
      <c r="X1" s="1136"/>
      <c r="Y1" s="1127"/>
      <c r="Z1" s="1127"/>
      <c r="AA1" s="1127"/>
      <c r="AB1" s="1127"/>
      <c r="AC1" s="1127"/>
      <c r="AD1" s="1127"/>
      <c r="AE1" s="1127"/>
      <c r="AF1" s="1127"/>
      <c r="AG1" s="1127"/>
    </row>
    <row r="2" spans="1:49" s="6" customFormat="1" ht="12.75" customHeight="1" thickBot="1" x14ac:dyDescent="0.25">
      <c r="A2" s="572"/>
      <c r="C2" s="666"/>
      <c r="D2" s="667"/>
      <c r="E2" s="1033"/>
      <c r="F2" s="1033"/>
      <c r="G2" s="26"/>
      <c r="H2" s="25"/>
      <c r="L2" s="8"/>
      <c r="P2" s="1124"/>
      <c r="Q2" s="564"/>
      <c r="R2" s="564"/>
      <c r="S2" s="1119"/>
      <c r="T2" s="1119"/>
      <c r="U2" s="564"/>
      <c r="V2" s="564" t="s">
        <v>361</v>
      </c>
      <c r="W2" s="1138" t="s">
        <v>355</v>
      </c>
      <c r="X2" s="1139">
        <v>3.68</v>
      </c>
      <c r="Y2" s="1138" t="s">
        <v>356</v>
      </c>
      <c r="Z2" s="1139">
        <f>X2-1.7*0.3</f>
        <v>3.17</v>
      </c>
      <c r="AA2" s="1139"/>
      <c r="AB2" s="1139"/>
      <c r="AC2" s="564"/>
      <c r="AD2" s="564"/>
      <c r="AE2" s="564"/>
      <c r="AF2" s="564"/>
      <c r="AG2" s="564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8" t="s">
        <v>313</v>
      </c>
      <c r="B3" s="669"/>
      <c r="C3" s="669"/>
      <c r="E3" s="1034"/>
      <c r="F3" s="1035" t="s">
        <v>191</v>
      </c>
      <c r="G3" s="20"/>
      <c r="H3" s="22" t="s">
        <v>15</v>
      </c>
      <c r="I3" s="889">
        <v>0.3</v>
      </c>
      <c r="J3" s="890">
        <f>DEGREES(ATAN(I3))</f>
        <v>16.699244233993621</v>
      </c>
      <c r="K3" s="890"/>
      <c r="L3" s="561" t="s">
        <v>304</v>
      </c>
      <c r="M3" s="891" t="s">
        <v>285</v>
      </c>
      <c r="P3" s="1125"/>
      <c r="Q3" s="1125"/>
      <c r="R3" s="1125"/>
      <c r="S3" s="1126"/>
      <c r="T3" s="1126"/>
      <c r="U3" s="1127"/>
      <c r="V3" s="1139" t="s">
        <v>359</v>
      </c>
      <c r="W3" s="1140">
        <f>Z2-X5</f>
        <v>-0.60751919055491133</v>
      </c>
      <c r="X3" s="1139"/>
      <c r="Y3" s="1139" t="s">
        <v>360</v>
      </c>
      <c r="Z3" s="1140">
        <f>Z2-AA5</f>
        <v>2.7519429856907252</v>
      </c>
      <c r="AA3" s="1139"/>
      <c r="AB3" s="1139"/>
      <c r="AC3" s="1127"/>
      <c r="AD3" s="1127"/>
      <c r="AE3" s="1127"/>
      <c r="AF3" s="1127"/>
      <c r="AG3" s="1127"/>
    </row>
    <row r="4" spans="1:49" s="25" customFormat="1" ht="12" thickBot="1" x14ac:dyDescent="0.25">
      <c r="A4" s="670" t="s">
        <v>139</v>
      </c>
      <c r="B4" s="892" t="s">
        <v>140</v>
      </c>
      <c r="C4" s="892" t="s">
        <v>141</v>
      </c>
      <c r="D4" s="892" t="s">
        <v>142</v>
      </c>
      <c r="E4" s="893" t="s">
        <v>169</v>
      </c>
      <c r="F4" s="671" t="s">
        <v>190</v>
      </c>
      <c r="I4" s="6"/>
      <c r="J4" s="894"/>
      <c r="K4" s="894"/>
      <c r="L4" s="6"/>
      <c r="O4" s="894" t="s">
        <v>282</v>
      </c>
      <c r="P4" s="1128"/>
      <c r="Q4" s="1129"/>
      <c r="R4" s="564"/>
      <c r="S4" s="1128"/>
      <c r="T4" s="1119"/>
      <c r="U4" s="564"/>
      <c r="V4" s="978" t="s">
        <v>159</v>
      </c>
      <c r="W4" s="928">
        <v>2</v>
      </c>
      <c r="X4" s="927">
        <v>8.2817331557073075</v>
      </c>
      <c r="Y4" s="978" t="s">
        <v>159</v>
      </c>
      <c r="Z4" s="928">
        <v>1</v>
      </c>
      <c r="AA4" s="927">
        <v>4.8704310068285137</v>
      </c>
      <c r="AB4" s="1140">
        <f>+X4-AA4</f>
        <v>3.4113021488787938</v>
      </c>
      <c r="AC4" s="1128"/>
      <c r="AD4" s="1128"/>
      <c r="AE4" s="1128"/>
      <c r="AF4" s="1128"/>
      <c r="AG4" s="1128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2" t="s">
        <v>143</v>
      </c>
      <c r="B5" s="895">
        <v>2</v>
      </c>
      <c r="C5" s="896">
        <v>15</v>
      </c>
      <c r="D5" s="171">
        <f>+C5*B5</f>
        <v>30</v>
      </c>
      <c r="E5" s="897">
        <v>0.3</v>
      </c>
      <c r="F5" s="673">
        <f>+D5*E5</f>
        <v>9</v>
      </c>
      <c r="G5" s="633"/>
      <c r="H5" s="22" t="s">
        <v>283</v>
      </c>
      <c r="I5" s="891">
        <v>76</v>
      </c>
      <c r="J5" s="890"/>
      <c r="K5" s="890"/>
      <c r="L5" s="22" t="s">
        <v>284</v>
      </c>
      <c r="M5" s="891">
        <v>76</v>
      </c>
      <c r="N5" s="898">
        <f>+IF($M$3="G",Azi_pvG,Azi_pvD)</f>
        <v>76</v>
      </c>
      <c r="O5" s="899">
        <f>90-$J$3</f>
        <v>73.300755766006375</v>
      </c>
      <c r="P5" s="1130"/>
      <c r="Q5" s="1126"/>
      <c r="R5" s="1131"/>
      <c r="S5" s="1126"/>
      <c r="T5" s="1126"/>
      <c r="U5" s="1127"/>
      <c r="V5" s="978" t="s">
        <v>344</v>
      </c>
      <c r="W5" s="928">
        <v>2</v>
      </c>
      <c r="X5" s="927">
        <v>3.7775191905549113</v>
      </c>
      <c r="Y5" s="978" t="s">
        <v>344</v>
      </c>
      <c r="Z5" s="928">
        <v>1</v>
      </c>
      <c r="AA5" s="927">
        <v>0.41805701430927467</v>
      </c>
      <c r="AB5" s="1140">
        <f t="shared" ref="AB5:AB7" si="0">+X5-AA5</f>
        <v>3.3594621762456365</v>
      </c>
      <c r="AC5" s="1127"/>
      <c r="AD5" s="1132"/>
      <c r="AE5" s="1132"/>
      <c r="AF5" s="1127"/>
      <c r="AG5" s="1127"/>
    </row>
    <row r="6" spans="1:49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2"/>
      <c r="F6" s="598"/>
      <c r="G6" s="25"/>
      <c r="N6" s="18"/>
      <c r="P6" s="564"/>
      <c r="Q6" s="564"/>
      <c r="R6" s="1119"/>
      <c r="S6" s="1120"/>
      <c r="T6" s="1119"/>
      <c r="U6" s="564"/>
      <c r="V6" s="978" t="s">
        <v>345</v>
      </c>
      <c r="W6" s="928">
        <v>2</v>
      </c>
      <c r="X6" s="927">
        <v>5.5953189884043866</v>
      </c>
      <c r="Y6" s="978" t="s">
        <v>345</v>
      </c>
      <c r="Z6" s="928">
        <v>1</v>
      </c>
      <c r="AA6" s="927">
        <v>1.9683069995826803</v>
      </c>
      <c r="AB6" s="1140">
        <f t="shared" si="0"/>
        <v>3.6270119888217063</v>
      </c>
      <c r="AC6" s="564"/>
      <c r="AD6" s="1132"/>
      <c r="AE6" s="1132"/>
      <c r="AF6" s="564"/>
      <c r="AG6" s="564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4"/>
      <c r="F7" s="8"/>
      <c r="G7" s="26"/>
      <c r="H7" s="564"/>
      <c r="I7" s="564"/>
      <c r="M7" s="675" t="s">
        <v>144</v>
      </c>
      <c r="N7" s="26"/>
      <c r="O7" s="18"/>
      <c r="P7" s="18"/>
      <c r="S7" s="675" t="s">
        <v>144</v>
      </c>
      <c r="U7" s="26"/>
      <c r="V7" s="978" t="s">
        <v>347</v>
      </c>
      <c r="W7" s="928">
        <v>2</v>
      </c>
      <c r="X7" s="927">
        <v>5.5643814619884608</v>
      </c>
      <c r="Y7" s="978" t="s">
        <v>347</v>
      </c>
      <c r="Z7" s="928">
        <v>1</v>
      </c>
      <c r="AA7" s="927">
        <v>1.9027189550340844</v>
      </c>
      <c r="AB7" s="1140">
        <f t="shared" si="0"/>
        <v>3.6616625069543765</v>
      </c>
      <c r="AC7" s="564"/>
      <c r="AD7" s="564"/>
      <c r="AE7" s="564"/>
      <c r="AF7" s="564"/>
      <c r="AG7" s="564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8" t="s">
        <v>306</v>
      </c>
      <c r="D8" s="105"/>
      <c r="E8" s="900">
        <v>2.4700000000000002</v>
      </c>
      <c r="F8" s="677" t="s">
        <v>237</v>
      </c>
      <c r="H8" s="29"/>
      <c r="I8" s="31"/>
      <c r="L8" s="676" t="s">
        <v>172</v>
      </c>
      <c r="M8" s="29"/>
      <c r="O8" s="29"/>
      <c r="P8" s="34"/>
      <c r="R8" s="676" t="s">
        <v>173</v>
      </c>
      <c r="S8" s="29"/>
      <c r="U8" s="29"/>
      <c r="V8" s="29"/>
      <c r="Y8" s="676" t="s">
        <v>174</v>
      </c>
      <c r="Z8" s="677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8" t="s">
        <v>175</v>
      </c>
      <c r="B9" s="901" t="s">
        <v>176</v>
      </c>
      <c r="C9" s="901" t="s">
        <v>177</v>
      </c>
      <c r="D9" s="901" t="s">
        <v>180</v>
      </c>
      <c r="E9" s="902" t="s">
        <v>181</v>
      </c>
      <c r="F9" s="678" t="s">
        <v>178</v>
      </c>
      <c r="G9" s="678" t="s">
        <v>179</v>
      </c>
      <c r="H9" s="679" t="s">
        <v>147</v>
      </c>
      <c r="I9" s="680" t="s">
        <v>182</v>
      </c>
      <c r="L9" s="681" t="s">
        <v>149</v>
      </c>
      <c r="M9" s="689" t="s">
        <v>150</v>
      </c>
      <c r="N9" s="689" t="s">
        <v>151</v>
      </c>
      <c r="O9" s="689" t="s">
        <v>152</v>
      </c>
      <c r="P9" s="34"/>
      <c r="R9" s="681" t="s">
        <v>149</v>
      </c>
      <c r="S9" s="689" t="s">
        <v>150</v>
      </c>
      <c r="T9" s="689" t="s">
        <v>151</v>
      </c>
      <c r="U9" s="689" t="s">
        <v>152</v>
      </c>
      <c r="V9" s="559"/>
      <c r="W9" s="795" t="s">
        <v>354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1" t="s">
        <v>351</v>
      </c>
      <c r="B10" s="903">
        <v>0.85</v>
      </c>
      <c r="C10" s="904">
        <v>-5.36</v>
      </c>
      <c r="D10" s="903">
        <f>Hrm*B10/(B10-C10)</f>
        <v>0.33808373590982288</v>
      </c>
      <c r="E10" s="904">
        <f>+D10*C10/B10</f>
        <v>-2.1319162640901772</v>
      </c>
      <c r="F10" s="905">
        <f>DEGREES(ATAN2(H10,D10))</f>
        <v>0.17609807271589017</v>
      </c>
      <c r="G10" s="905">
        <f>DEGREES(ATAN2(H10,E10))</f>
        <v>-1.1103182172929817</v>
      </c>
      <c r="H10" s="555">
        <f>SQRT(POWER(N10-T$10,2)+POWER(M10-S$10,2))</f>
        <v>109.99955818093088</v>
      </c>
      <c r="I10" s="683">
        <f>(F10-G10)/(B10-C10)</f>
        <v>0.20715238164394076</v>
      </c>
      <c r="J10" s="43"/>
      <c r="K10" s="43"/>
      <c r="L10" s="792" t="str">
        <f>A10</f>
        <v>Poteaux But Nord ouest</v>
      </c>
      <c r="M10" s="906">
        <v>3198.05</v>
      </c>
      <c r="N10" s="907">
        <v>398.94</v>
      </c>
      <c r="O10" s="908">
        <v>171.13</v>
      </c>
      <c r="P10" s="822"/>
      <c r="Q10" s="822"/>
      <c r="R10" s="793" t="s">
        <v>348</v>
      </c>
      <c r="S10" s="906">
        <v>3304.07</v>
      </c>
      <c r="T10" s="907">
        <v>369.62</v>
      </c>
      <c r="U10" s="908">
        <v>169.69</v>
      </c>
      <c r="V10" s="684" t="s">
        <v>183</v>
      </c>
      <c r="W10" s="909">
        <f>1.6+U10-$O$12+2.75</f>
        <v>2.539999999999992</v>
      </c>
      <c r="X10" s="822" t="s">
        <v>85</v>
      </c>
      <c r="Y10" s="622" t="s">
        <v>335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1" t="s">
        <v>350</v>
      </c>
      <c r="B11" s="910">
        <v>10.08</v>
      </c>
      <c r="C11" s="911">
        <v>-10.76</v>
      </c>
      <c r="D11" s="910">
        <f>2.9*B11/(B11-C11)</f>
        <v>1.402687140115163</v>
      </c>
      <c r="E11" s="911">
        <f>+D11*C11/B11</f>
        <v>-1.4973128598848366</v>
      </c>
      <c r="F11" s="905">
        <f>DEGREES(ATAN2(H11,D11))</f>
        <v>3.1519833550491292</v>
      </c>
      <c r="G11" s="905">
        <f>DEGREES(ATAN2(H11,E11))</f>
        <v>-3.3641441651821009</v>
      </c>
      <c r="H11" s="555">
        <f>SQRT(POWER(N11-T$11,2)+POWER(M11-S$11,2))</f>
        <v>25.471886463314647</v>
      </c>
      <c r="I11" s="683">
        <f>(F11-G11)/(B11-C11)</f>
        <v>0.31267406527021258</v>
      </c>
      <c r="J11" s="117"/>
      <c r="K11" s="43"/>
      <c r="L11" s="792" t="s">
        <v>350</v>
      </c>
      <c r="M11" s="912">
        <v>3161.76</v>
      </c>
      <c r="N11" s="626">
        <v>366.24</v>
      </c>
      <c r="O11" s="913">
        <v>172.97</v>
      </c>
      <c r="P11" s="823"/>
      <c r="Q11" s="823"/>
      <c r="R11" s="794" t="s">
        <v>349</v>
      </c>
      <c r="S11" s="912">
        <v>3177.29</v>
      </c>
      <c r="T11" s="626">
        <v>346.05</v>
      </c>
      <c r="U11" s="913">
        <v>173.5</v>
      </c>
      <c r="V11" s="685" t="s">
        <v>184</v>
      </c>
      <c r="W11" s="914">
        <f>1.5+U11-$O$12-0.61</f>
        <v>2.89</v>
      </c>
      <c r="X11" s="823" t="s">
        <v>85</v>
      </c>
      <c r="Y11" s="623" t="s">
        <v>336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1" t="s">
        <v>352</v>
      </c>
      <c r="B12" s="915">
        <v>0.71</v>
      </c>
      <c r="C12" s="916">
        <v>-3.28</v>
      </c>
      <c r="D12" s="915">
        <f>2.15*B12/(B12-C12)</f>
        <v>0.38258145363408524</v>
      </c>
      <c r="E12" s="916">
        <f>+D12*C12/B12</f>
        <v>-1.7674185463659149</v>
      </c>
      <c r="F12" s="905">
        <f>DEGREES(ATAN2(H12,D12))</f>
        <v>0.47543533371406599</v>
      </c>
      <c r="G12" s="905">
        <f>DEGREES(ATAN2(H12,E12))</f>
        <v>-2.1953527456302422</v>
      </c>
      <c r="H12" s="555">
        <f>SQRT(POWER(N12-T$12,2)+POWER(M12-S$12,2))</f>
        <v>46.104691735223462</v>
      </c>
      <c r="I12" s="683">
        <f>(F12-G12)/(B12-C12)</f>
        <v>0.66937044595095441</v>
      </c>
      <c r="J12" s="117"/>
      <c r="K12" s="43"/>
      <c r="L12" s="792" t="str">
        <f>A12</f>
        <v>Porte fenêtre sous PV Ouest</v>
      </c>
      <c r="M12" s="917">
        <v>3162.43</v>
      </c>
      <c r="N12" s="918">
        <v>419.85</v>
      </c>
      <c r="O12" s="1134">
        <v>171.5</v>
      </c>
      <c r="P12" s="823"/>
      <c r="Q12" s="823"/>
      <c r="R12" s="794" t="s">
        <v>353</v>
      </c>
      <c r="S12" s="917">
        <v>3121.94</v>
      </c>
      <c r="T12" s="918">
        <v>397.8</v>
      </c>
      <c r="U12" s="1133">
        <v>173</v>
      </c>
      <c r="V12" s="685" t="s">
        <v>238</v>
      </c>
      <c r="W12" s="919">
        <f>1.5+U12-$O$12</f>
        <v>3</v>
      </c>
      <c r="X12" s="823" t="s">
        <v>85</v>
      </c>
      <c r="Y12" s="623" t="s">
        <v>337</v>
      </c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1"/>
      <c r="C13" s="1110" t="s">
        <v>332</v>
      </c>
      <c r="D13" s="10" t="e">
        <f>Hrm*B13/(B13-C13)</f>
        <v>#VALUE!</v>
      </c>
      <c r="E13" s="1111" t="e">
        <f>+D13*C13/B13</f>
        <v>#VALUE!</v>
      </c>
      <c r="F13" s="1115"/>
      <c r="G13" s="1115"/>
      <c r="H13" s="1116"/>
      <c r="I13" s="1117"/>
      <c r="J13" s="564"/>
      <c r="K13" s="564"/>
      <c r="L13" s="564"/>
      <c r="O13" s="18"/>
      <c r="P13" s="1118"/>
      <c r="Q13" s="564"/>
      <c r="R13" s="564"/>
      <c r="U13" s="796"/>
      <c r="V13" s="26"/>
      <c r="Y13" s="1119"/>
      <c r="Z13" s="1120"/>
      <c r="AA13" s="1121"/>
      <c r="AB13" s="1122"/>
      <c r="AC13" s="1123"/>
      <c r="AD13" s="1122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x14ac:dyDescent="0.25">
      <c r="A14" s="668" t="s">
        <v>162</v>
      </c>
      <c r="B14" s="688"/>
      <c r="C14" s="28"/>
      <c r="D14" s="675" t="s">
        <v>307</v>
      </c>
      <c r="E14" s="71"/>
      <c r="F14" s="82"/>
      <c r="G14" s="893" t="s">
        <v>186</v>
      </c>
      <c r="K14" s="1021" t="s">
        <v>308</v>
      </c>
      <c r="L14" s="1020">
        <f>+CHOOSE(N14,L16,L17,L18,L19)</f>
        <v>3.6857870889221136</v>
      </c>
      <c r="M14" s="136" t="s">
        <v>286</v>
      </c>
      <c r="N14" s="920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9" t="s">
        <v>149</v>
      </c>
      <c r="B15" s="690" t="s">
        <v>185</v>
      </c>
      <c r="C15" s="689" t="s">
        <v>145</v>
      </c>
      <c r="D15" s="689" t="s">
        <v>150</v>
      </c>
      <c r="E15" s="689" t="s">
        <v>151</v>
      </c>
      <c r="F15" s="1032" t="s">
        <v>287</v>
      </c>
      <c r="G15" s="1031" t="s">
        <v>187</v>
      </c>
      <c r="H15" s="689" t="s">
        <v>153</v>
      </c>
      <c r="I15" s="689" t="s">
        <v>155</v>
      </c>
      <c r="J15" s="689" t="s">
        <v>146</v>
      </c>
      <c r="K15" s="689" t="s">
        <v>147</v>
      </c>
      <c r="L15" s="689" t="s">
        <v>148</v>
      </c>
      <c r="M15" s="689" t="s">
        <v>154</v>
      </c>
      <c r="N15" s="691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2" t="s">
        <v>299</v>
      </c>
      <c r="B16" s="921">
        <v>3</v>
      </c>
      <c r="C16" s="981">
        <v>1.28</v>
      </c>
      <c r="D16" s="922">
        <v>3166.6783333333333</v>
      </c>
      <c r="E16" s="922">
        <v>407.86583333333328</v>
      </c>
      <c r="F16" s="994"/>
      <c r="G16" s="998"/>
      <c r="H16" s="998"/>
      <c r="I16" s="998"/>
      <c r="J16" s="1006">
        <f>IF(B16="",0,C16*CHOOSE(B16,Rata1,Rata2,Rata3))</f>
        <v>0.85679417081722165</v>
      </c>
      <c r="K16" s="1001">
        <f>IF(B16="",0,SQRT(+POWER(D16-CHOOSE(B16,$S$10,$S$11,$S$12),2)+POWER(E16-CHOOSE(B16,$T$10,$T$11,$T$12),2)))</f>
        <v>45.856727643159168</v>
      </c>
      <c r="L16" s="1000">
        <f>IF(B16="",0,K16*TAN(RADIANS(J16))+CHOOSE(B16,Hobs1,Hobs2,Hobs3))</f>
        <v>3.6857870889221136</v>
      </c>
      <c r="M16" s="1007"/>
      <c r="N16" s="1016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3" t="s">
        <v>300</v>
      </c>
      <c r="B17" s="923">
        <v>3</v>
      </c>
      <c r="C17" s="982">
        <v>1.26</v>
      </c>
      <c r="D17" s="924">
        <v>3165.5250000000001</v>
      </c>
      <c r="E17" s="924">
        <v>412.79750000000001</v>
      </c>
      <c r="F17" s="995"/>
      <c r="G17" s="985"/>
      <c r="H17" s="985"/>
      <c r="I17" s="985"/>
      <c r="J17" s="1008">
        <f>IF(B17="",0,C17*CHOOSE(B17,Rata1,Rata2,Rata3))</f>
        <v>0.84340676189820252</v>
      </c>
      <c r="K17" s="1003">
        <f>IF(B17="",0,SQRT(+POWER(D17-CHOOSE(B17,$S$10,$S$11,$S$12),2)+POWER(E17-CHOOSE(B17,$T$10,$T$11,$T$12),2)))</f>
        <v>46.093136487442507</v>
      </c>
      <c r="L17" s="1002">
        <f>IF(B17="",0,K17*TAN(RADIANS(J17))+CHOOSE(B17,Hobs1,Hobs2,Hobs3))</f>
        <v>3.6785503480384598</v>
      </c>
      <c r="M17" s="1009"/>
      <c r="N17" s="1017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3" t="s">
        <v>301</v>
      </c>
      <c r="B18" s="923">
        <v>3</v>
      </c>
      <c r="C18" s="982">
        <v>1.22</v>
      </c>
      <c r="D18" s="924">
        <v>3164.3716666666669</v>
      </c>
      <c r="E18" s="924">
        <v>417.72916666666663</v>
      </c>
      <c r="F18" s="996"/>
      <c r="G18" s="986"/>
      <c r="H18" s="986"/>
      <c r="I18" s="986"/>
      <c r="J18" s="1008">
        <f>IF(B18="",0,C18*CHOOSE(B18,Rata1,Rata2,Rata3))</f>
        <v>0.81663194406016437</v>
      </c>
      <c r="K18" s="1003">
        <f>IF(B18="",0,SQRT(+POWER(D18-CHOOSE(B18,$S$10,$S$11,$S$12),2)+POWER(E18-CHOOSE(B18,$T$10,$T$11,$T$12),2)))</f>
        <v>46.878758730782344</v>
      </c>
      <c r="L18" s="1002">
        <f>IF(B18="",0,K18*TAN(RADIANS(J18))+CHOOSE(B18,Hobs1,Hobs2,Hobs3))</f>
        <v>3.6682042679908804</v>
      </c>
      <c r="M18" s="1009"/>
      <c r="N18" s="1017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4"/>
      <c r="B19" s="971"/>
      <c r="C19" s="1011"/>
      <c r="D19" s="975"/>
      <c r="E19" s="976"/>
      <c r="F19" s="997"/>
      <c r="G19" s="987"/>
      <c r="H19" s="987"/>
      <c r="I19" s="987"/>
      <c r="J19" s="1010">
        <f>IF(B19="",0,C19*CHOOSE(B19,Rata1,Rata2,Rata3))</f>
        <v>0</v>
      </c>
      <c r="K19" s="1005">
        <f>IF(B19="",0,SQRT(+POWER(D19-CHOOSE(B19,$S$10,$S$11,$S$12),2)+POWER(E19-CHOOSE(B19,$T$10,$T$11,$T$12),2)))</f>
        <v>0</v>
      </c>
      <c r="L19" s="1004">
        <f>IF(B19="",0,K19*TAN(RADIANS(J19))+CHOOSE(B19,Hobs1,Hobs2,Hobs3))</f>
        <v>0</v>
      </c>
      <c r="M19" s="1012"/>
      <c r="N19" s="1018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5" t="s">
        <v>288</v>
      </c>
      <c r="B20" s="923"/>
      <c r="C20" s="982"/>
      <c r="D20" s="924"/>
      <c r="E20" s="924"/>
      <c r="F20" s="984"/>
      <c r="G20" s="1013">
        <f t="shared" ref="G20:G42" si="2">IF(AND(H20=H21,H20&gt;=Azi_pv_sel+90),"",P57-P56)</f>
        <v>90</v>
      </c>
      <c r="H20" s="988">
        <f>+Azi_pv_sel-270</f>
        <v>-194</v>
      </c>
      <c r="I20" s="989">
        <v>1</v>
      </c>
      <c r="J20" s="1008">
        <f t="shared" ref="J20:J42" si="3">IF(B20="",0,C20*CHOOSE(B20,Rata1,Rata2,Rata3))</f>
        <v>0</v>
      </c>
      <c r="K20" s="1003">
        <f t="shared" ref="K20:K42" si="4">IF(B20="",0,SQRT(+POWER(D20-CHOOSE(B20,$S$10,$S$11,$S$12),2)+POWER(E20-CHOOSE(B20,$T$10,$T$11,$T$12),2)))</f>
        <v>0</v>
      </c>
      <c r="L20" s="1002">
        <f t="shared" ref="L20:L42" si="5">IF(B20="",0,K20*TAN(RADIANS(J20))+CHOOSE(B20,Hobs1,Hobs2,Hobs3))</f>
        <v>0</v>
      </c>
      <c r="M20" s="1003">
        <f t="shared" ref="M20:M42" si="6">IF(B20="",0,SQRT(POWER($E20-CHOOSE($N$14,E$16,E$17,E$18,E$19),2)+POWER($D20-CHOOSE($N$14,D$16,D$17,D$18,D$19),2)))</f>
        <v>0</v>
      </c>
      <c r="N20" s="1014" t="str">
        <f t="shared" si="1"/>
        <v>Toiture D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5" t="s">
        <v>163</v>
      </c>
      <c r="B21" s="923"/>
      <c r="C21" s="982"/>
      <c r="D21" s="924"/>
      <c r="E21" s="924"/>
      <c r="F21" s="984"/>
      <c r="G21" s="1013">
        <f t="shared" ref="G21:G22" si="7">IF(AND(H21=H22,H21&gt;=Azi_pv_sel+90),"",P58-P57)</f>
        <v>68.502781310594003</v>
      </c>
      <c r="H21" s="990">
        <f>+Azi_pv_sel-180</f>
        <v>-104</v>
      </c>
      <c r="I21" s="991">
        <f>$J$3</f>
        <v>16.699244233993621</v>
      </c>
      <c r="J21" s="1008">
        <f t="shared" si="3"/>
        <v>0</v>
      </c>
      <c r="K21" s="1003">
        <f t="shared" si="4"/>
        <v>0</v>
      </c>
      <c r="L21" s="1002">
        <f t="shared" si="5"/>
        <v>0</v>
      </c>
      <c r="M21" s="1003">
        <f t="shared" si="6"/>
        <v>0</v>
      </c>
      <c r="N21" s="1014" t="str">
        <f t="shared" si="1"/>
        <v>Arrière PV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5" t="s">
        <v>358</v>
      </c>
      <c r="B22" s="923">
        <v>1</v>
      </c>
      <c r="C22" s="982">
        <v>30</v>
      </c>
      <c r="D22" s="924">
        <v>3241</v>
      </c>
      <c r="E22" s="924">
        <v>303.66000000000003</v>
      </c>
      <c r="F22" s="984"/>
      <c r="G22" s="1013">
        <f t="shared" si="7"/>
        <v>18.558216686433571</v>
      </c>
      <c r="H22" s="990">
        <f t="shared" ref="H22" si="8">DEGREES(ATAN2(CHOOSE($N$14,E$16,E$17,E$18,E$19)-$E22,CHOOSE($N$14,D$16,D$17,D$18,D$19)-$D22))</f>
        <v>-35.497218689406004</v>
      </c>
      <c r="I22" s="991">
        <f t="shared" ref="I22" si="9">DEGREES(ATAN2(M22,$L22-L$14))</f>
        <v>3.9294144933194453</v>
      </c>
      <c r="J22" s="1008">
        <f t="shared" si="3"/>
        <v>6.2145714493182229</v>
      </c>
      <c r="K22" s="1003">
        <f t="shared" si="4"/>
        <v>91.260870585372018</v>
      </c>
      <c r="L22" s="1002">
        <f t="shared" si="5"/>
        <v>12.477587170246164</v>
      </c>
      <c r="M22" s="1003">
        <f t="shared" si="6"/>
        <v>127.99439767742003</v>
      </c>
      <c r="N22" s="1014" t="str">
        <f t="shared" si="1"/>
        <v>Arbre 0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5" t="s">
        <v>156</v>
      </c>
      <c r="B23" s="923">
        <v>1</v>
      </c>
      <c r="C23" s="982">
        <v>22.58</v>
      </c>
      <c r="D23" s="924">
        <v>3187.68</v>
      </c>
      <c r="E23" s="924">
        <v>338.91</v>
      </c>
      <c r="F23" s="984"/>
      <c r="G23" s="1013">
        <f t="shared" ref="G23:G29" si="10">IF(AND(H23=H24,H23&gt;=Azi_pv_sel+90),"",P60-P59)</f>
        <v>17.744363830742362</v>
      </c>
      <c r="H23" s="990">
        <f t="shared" ref="H23:H25" si="11">DEGREES(ATAN2(CHOOSE($N$14,E$16,E$17,E$18,E$19)-$E23,CHOOSE($N$14,D$16,D$17,D$18,D$19)-$D23))</f>
        <v>-16.939002002972433</v>
      </c>
      <c r="I23" s="991">
        <f t="shared" ref="I23:I25" si="12">DEGREES(ATAN2(M23,$L23-L$14))</f>
        <v>6.8844084342591554</v>
      </c>
      <c r="J23" s="1008">
        <f t="shared" si="3"/>
        <v>4.6775007775201818</v>
      </c>
      <c r="K23" s="1003">
        <f t="shared" si="4"/>
        <v>120.37332013365784</v>
      </c>
      <c r="L23" s="1002">
        <f t="shared" si="5"/>
        <v>12.388901563598349</v>
      </c>
      <c r="M23" s="1003">
        <f t="shared" si="6"/>
        <v>72.083125303167918</v>
      </c>
      <c r="N23" s="1014" t="str">
        <f t="shared" si="1"/>
        <v>Arbre 1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5" t="s">
        <v>157</v>
      </c>
      <c r="B24" s="923">
        <v>1</v>
      </c>
      <c r="C24" s="982">
        <v>17.71</v>
      </c>
      <c r="D24" s="924">
        <v>3165.78</v>
      </c>
      <c r="E24" s="924">
        <v>343.96</v>
      </c>
      <c r="F24" s="984"/>
      <c r="G24" s="1013">
        <f t="shared" si="10"/>
        <v>12.159872799987552</v>
      </c>
      <c r="H24" s="990">
        <f t="shared" si="11"/>
        <v>0.80536182776992982</v>
      </c>
      <c r="I24" s="991">
        <f t="shared" si="12"/>
        <v>7.0220917593398786</v>
      </c>
      <c r="J24" s="1008">
        <f t="shared" si="3"/>
        <v>3.6686686789141909</v>
      </c>
      <c r="K24" s="1003">
        <f t="shared" si="4"/>
        <v>140.65048773466799</v>
      </c>
      <c r="L24" s="1002">
        <f t="shared" si="5"/>
        <v>11.558227557908152</v>
      </c>
      <c r="M24" s="1003">
        <f t="shared" si="6"/>
        <v>63.912147020778072</v>
      </c>
      <c r="N24" s="1014" t="str">
        <f t="shared" si="1"/>
        <v>Arbre 2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5" t="s">
        <v>158</v>
      </c>
      <c r="B25" s="923">
        <v>1</v>
      </c>
      <c r="C25" s="982">
        <v>16.440000000000001</v>
      </c>
      <c r="D25" s="924">
        <v>3156.54</v>
      </c>
      <c r="E25" s="924">
        <v>363.83</v>
      </c>
      <c r="F25" s="984" t="s">
        <v>135</v>
      </c>
      <c r="G25" s="1013">
        <f t="shared" si="10"/>
        <v>7.5010000000000012</v>
      </c>
      <c r="H25" s="990">
        <f t="shared" si="11"/>
        <v>12.965234627757482</v>
      </c>
      <c r="I25" s="991">
        <f t="shared" si="12"/>
        <v>9.5967338306185308</v>
      </c>
      <c r="J25" s="1008">
        <f t="shared" si="3"/>
        <v>3.4055851542263862</v>
      </c>
      <c r="K25" s="1003">
        <f t="shared" si="4"/>
        <v>147.64357419136147</v>
      </c>
      <c r="L25" s="1002">
        <f t="shared" si="5"/>
        <v>11.326087650942464</v>
      </c>
      <c r="M25" s="1003">
        <f t="shared" si="6"/>
        <v>45.187834868899017</v>
      </c>
      <c r="N25" s="1014" t="str">
        <f t="shared" si="1"/>
        <v>Arbre 3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5" t="s">
        <v>159</v>
      </c>
      <c r="B26" s="923">
        <v>1</v>
      </c>
      <c r="C26" s="982">
        <v>9.4499999999999993</v>
      </c>
      <c r="D26" s="924">
        <v>3155.61</v>
      </c>
      <c r="E26" s="924">
        <v>376.91</v>
      </c>
      <c r="F26" s="984"/>
      <c r="G26" s="1013">
        <f t="shared" si="10"/>
        <v>22.840864827683834</v>
      </c>
      <c r="H26" s="990">
        <f t="shared" ref="H26:H33" si="13">DEGREES(ATAN2(CHOOSE($N$14,E$16,E$17,E$18,E$19)-$E26,CHOOSE($N$14,D$16,D$17,D$18,D$19)-$D26))</f>
        <v>19.674633378424652</v>
      </c>
      <c r="I26" s="991">
        <f t="shared" ref="I26:I33" si="14">DEGREES(ATAN2(M26,$L26-L$14))</f>
        <v>6.8249612477004442</v>
      </c>
      <c r="J26" s="1008">
        <f t="shared" si="3"/>
        <v>1.9575900065352401</v>
      </c>
      <c r="K26" s="1003">
        <f t="shared" si="4"/>
        <v>148.6388768122257</v>
      </c>
      <c r="L26" s="1002">
        <f t="shared" si="5"/>
        <v>7.6204310068285137</v>
      </c>
      <c r="M26" s="1003">
        <f t="shared" si="6"/>
        <v>32.875091180693026</v>
      </c>
      <c r="N26" s="1014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5" t="s">
        <v>160</v>
      </c>
      <c r="B27" s="923">
        <v>1</v>
      </c>
      <c r="C27" s="982">
        <v>7.94</v>
      </c>
      <c r="D27" s="924">
        <v>3144.72</v>
      </c>
      <c r="E27" s="924">
        <v>384.57</v>
      </c>
      <c r="F27" s="984"/>
      <c r="G27" s="1013">
        <f t="shared" si="10"/>
        <v>17.658297967176836</v>
      </c>
      <c r="H27" s="990">
        <f t="shared" si="13"/>
        <v>43.307099455441318</v>
      </c>
      <c r="I27" s="991">
        <f t="shared" si="14"/>
        <v>6.1508999434704172</v>
      </c>
      <c r="J27" s="1008">
        <f t="shared" si="3"/>
        <v>1.6447899102528898</v>
      </c>
      <c r="K27" s="1003">
        <f t="shared" si="4"/>
        <v>160.04975788797719</v>
      </c>
      <c r="L27" s="1002">
        <f t="shared" si="5"/>
        <v>7.1358108357257661</v>
      </c>
      <c r="M27" s="1003">
        <f t="shared" si="6"/>
        <v>32.013501112377995</v>
      </c>
      <c r="N27" s="1014" t="str">
        <f t="shared" si="1"/>
        <v>Arbre 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5" t="s">
        <v>338</v>
      </c>
      <c r="B28" s="923">
        <v>1</v>
      </c>
      <c r="C28" s="982">
        <v>21.91</v>
      </c>
      <c r="D28" s="924">
        <v>3110.93</v>
      </c>
      <c r="E28" s="924">
        <v>376.92</v>
      </c>
      <c r="F28" s="984" t="s">
        <v>135</v>
      </c>
      <c r="G28" s="1013">
        <f t="shared" si="10"/>
        <v>7.5010000000000048</v>
      </c>
      <c r="H28" s="990">
        <f t="shared" si="13"/>
        <v>60.965397422618153</v>
      </c>
      <c r="I28" s="991">
        <f t="shared" si="14"/>
        <v>12.55252388802935</v>
      </c>
      <c r="J28" s="1008">
        <f t="shared" si="3"/>
        <v>4.5387086818187417</v>
      </c>
      <c r="K28" s="1003">
        <f t="shared" si="4"/>
        <v>193.27790768735088</v>
      </c>
      <c r="L28" s="1002">
        <f t="shared" si="5"/>
        <v>17.882694408116947</v>
      </c>
      <c r="M28" s="1003">
        <f t="shared" si="6"/>
        <v>63.761440307907861</v>
      </c>
      <c r="N28" s="1014" t="str">
        <f t="shared" si="1"/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5" t="s">
        <v>161</v>
      </c>
      <c r="B29" s="923">
        <v>1</v>
      </c>
      <c r="C29" s="982">
        <v>10.72</v>
      </c>
      <c r="D29" s="924">
        <v>3126.01</v>
      </c>
      <c r="E29" s="924">
        <v>385.66</v>
      </c>
      <c r="F29" s="984"/>
      <c r="G29" s="1013">
        <f t="shared" si="10"/>
        <v>9.4216230844099016</v>
      </c>
      <c r="H29" s="990">
        <f t="shared" si="13"/>
        <v>61.364457642339048</v>
      </c>
      <c r="I29" s="991">
        <f t="shared" si="14"/>
        <v>7.1188155389532408</v>
      </c>
      <c r="J29" s="1008">
        <f t="shared" si="3"/>
        <v>2.2206735312230452</v>
      </c>
      <c r="K29" s="1003">
        <f t="shared" si="4"/>
        <v>178.78099787169771</v>
      </c>
      <c r="L29" s="1002">
        <f t="shared" si="5"/>
        <v>9.4726772298911577</v>
      </c>
      <c r="M29" s="1003">
        <f t="shared" si="6"/>
        <v>46.335864836418708</v>
      </c>
      <c r="N29" s="1014" t="str">
        <f t="shared" si="1"/>
        <v>Arbre 6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5" t="s">
        <v>339</v>
      </c>
      <c r="B30" s="923">
        <v>1</v>
      </c>
      <c r="C30" s="982">
        <v>15.56</v>
      </c>
      <c r="D30" s="924">
        <v>3110.64</v>
      </c>
      <c r="E30" s="924">
        <v>395.84</v>
      </c>
      <c r="F30" s="984" t="s">
        <v>135</v>
      </c>
      <c r="G30" s="1013">
        <f t="shared" si="2"/>
        <v>7.5010000000000048</v>
      </c>
      <c r="H30" s="990">
        <f t="shared" si="13"/>
        <v>77.88802050702806</v>
      </c>
      <c r="I30" s="991">
        <f t="shared" si="14"/>
        <v>9.7487896197562272</v>
      </c>
      <c r="J30" s="1008">
        <f t="shared" si="3"/>
        <v>3.2232910583797185</v>
      </c>
      <c r="K30" s="1003">
        <f t="shared" si="4"/>
        <v>195.19900947494614</v>
      </c>
      <c r="L30" s="1002">
        <f t="shared" si="5"/>
        <v>13.532918263597677</v>
      </c>
      <c r="M30" s="1003">
        <f t="shared" si="6"/>
        <v>57.314182103026624</v>
      </c>
      <c r="N30" s="1014" t="str">
        <f t="shared" si="1"/>
        <v>Arbre 8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5" t="s">
        <v>340</v>
      </c>
      <c r="B31" s="923">
        <v>1</v>
      </c>
      <c r="C31" s="982">
        <v>14.15</v>
      </c>
      <c r="D31" s="924">
        <v>3120.72</v>
      </c>
      <c r="E31" s="924">
        <v>402.44</v>
      </c>
      <c r="F31" s="984"/>
      <c r="G31" s="1013">
        <f t="shared" si="2"/>
        <v>12.941877203385559</v>
      </c>
      <c r="H31" s="990">
        <f t="shared" si="13"/>
        <v>83.266836747274766</v>
      </c>
      <c r="I31" s="991">
        <f t="shared" si="14"/>
        <v>10.27796541487275</v>
      </c>
      <c r="J31" s="1008">
        <f t="shared" si="3"/>
        <v>2.9312062002617618</v>
      </c>
      <c r="K31" s="1003">
        <f t="shared" si="4"/>
        <v>186.26426093053959</v>
      </c>
      <c r="L31" s="1002">
        <f t="shared" si="5"/>
        <v>12.07745256621245</v>
      </c>
      <c r="M31" s="1003">
        <f t="shared" si="6"/>
        <v>46.277511494665553</v>
      </c>
      <c r="N31" s="1014" t="str">
        <f t="shared" si="1"/>
        <v>Arbre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5" t="s">
        <v>341</v>
      </c>
      <c r="B32" s="923">
        <v>1</v>
      </c>
      <c r="C32" s="983">
        <v>9.92</v>
      </c>
      <c r="D32" s="924">
        <v>3119.53</v>
      </c>
      <c r="E32" s="924">
        <v>414.77</v>
      </c>
      <c r="F32" s="984"/>
      <c r="G32" s="1013">
        <f t="shared" si="2"/>
        <v>12.894369389597898</v>
      </c>
      <c r="H32" s="990">
        <f t="shared" si="13"/>
        <v>98.330897710413623</v>
      </c>
      <c r="I32" s="991">
        <f t="shared" si="14"/>
        <v>6.7868956561429972</v>
      </c>
      <c r="J32" s="1008">
        <f t="shared" si="3"/>
        <v>2.0549516259078922</v>
      </c>
      <c r="K32" s="1003">
        <f t="shared" si="4"/>
        <v>189.98298371169977</v>
      </c>
      <c r="L32" s="1002">
        <f t="shared" si="5"/>
        <v>9.3567905179438036</v>
      </c>
      <c r="M32" s="1003">
        <f t="shared" si="6"/>
        <v>47.651157944715251</v>
      </c>
      <c r="N32" s="1014" t="str">
        <f t="shared" si="1"/>
        <v>Arbre 10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5" t="s">
        <v>342</v>
      </c>
      <c r="B33" s="923">
        <v>1</v>
      </c>
      <c r="C33" s="982">
        <v>9.56</v>
      </c>
      <c r="D33" s="924">
        <v>3092.9</v>
      </c>
      <c r="E33" s="924">
        <v>436.52</v>
      </c>
      <c r="F33" s="984"/>
      <c r="G33" s="1013">
        <f t="shared" si="2"/>
        <v>21.333600442806599</v>
      </c>
      <c r="H33" s="990">
        <f t="shared" si="13"/>
        <v>111.22526710001152</v>
      </c>
      <c r="I33" s="991">
        <f t="shared" si="14"/>
        <v>4.7047396286166077</v>
      </c>
      <c r="J33" s="1008">
        <f t="shared" si="3"/>
        <v>1.9803767685160738</v>
      </c>
      <c r="K33" s="1003">
        <f t="shared" si="4"/>
        <v>221.51383455667059</v>
      </c>
      <c r="L33" s="1002">
        <f t="shared" si="5"/>
        <v>10.199475672341148</v>
      </c>
      <c r="M33" s="1003">
        <f t="shared" si="6"/>
        <v>79.147354578694149</v>
      </c>
      <c r="N33" s="1014" t="str">
        <f t="shared" si="1"/>
        <v>Arbre 11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5" t="s">
        <v>343</v>
      </c>
      <c r="B34" s="923">
        <v>2</v>
      </c>
      <c r="C34" s="983">
        <v>12.4</v>
      </c>
      <c r="D34" s="924">
        <v>3105.73</v>
      </c>
      <c r="E34" s="924">
        <v>463.83</v>
      </c>
      <c r="F34" s="984"/>
      <c r="G34" s="1013">
        <f t="shared" si="2"/>
        <v>33.44113245718188</v>
      </c>
      <c r="H34" s="990">
        <f t="shared" ref="H34" si="15">DEGREES(ATAN2(CHOOSE($N$14,E$16,E$17,E$18,E$19)-$E34,CHOOSE($N$14,D$16,D$17,D$18,D$19)-$D34))</f>
        <v>132.55886754281812</v>
      </c>
      <c r="I34" s="991">
        <f t="shared" ref="I34" si="16">DEGREES(ATAN2(M34,$L34-L$14))</f>
        <v>5.8955224066596266</v>
      </c>
      <c r="J34" s="1008">
        <f t="shared" si="3"/>
        <v>3.8771584093506362</v>
      </c>
      <c r="K34" s="1003">
        <f t="shared" si="4"/>
        <v>137.81495564705591</v>
      </c>
      <c r="L34" s="1002">
        <f t="shared" si="5"/>
        <v>12.230085827147146</v>
      </c>
      <c r="M34" s="1003">
        <f t="shared" si="6"/>
        <v>82.744711533762384</v>
      </c>
      <c r="N34" s="1014" t="str">
        <f t="shared" si="1"/>
        <v>Arbre 12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5" t="s">
        <v>288</v>
      </c>
      <c r="B35" s="923"/>
      <c r="C35" s="977"/>
      <c r="D35" s="924"/>
      <c r="E35" s="924"/>
      <c r="F35" s="984"/>
      <c r="G35" s="1013">
        <f t="shared" si="2"/>
        <v>90</v>
      </c>
      <c r="H35" s="990">
        <f>Azi_pv_sel+90</f>
        <v>166</v>
      </c>
      <c r="I35" s="991">
        <f>1</f>
        <v>1</v>
      </c>
      <c r="J35" s="1008">
        <f t="shared" si="3"/>
        <v>0</v>
      </c>
      <c r="K35" s="1003">
        <f t="shared" si="4"/>
        <v>0</v>
      </c>
      <c r="L35" s="1002">
        <f t="shared" si="5"/>
        <v>0</v>
      </c>
      <c r="M35" s="1003">
        <f t="shared" si="6"/>
        <v>0</v>
      </c>
      <c r="N35" s="1014" t="str">
        <f t="shared" si="1"/>
        <v>Toiture D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5" t="s">
        <v>163</v>
      </c>
      <c r="B36" s="923"/>
      <c r="C36" s="977"/>
      <c r="D36" s="924"/>
      <c r="E36" s="924"/>
      <c r="F36" s="984"/>
      <c r="G36" s="1013" t="str">
        <f t="shared" si="2"/>
        <v/>
      </c>
      <c r="H36" s="990">
        <f>Azi_pv_sel+180</f>
        <v>256</v>
      </c>
      <c r="I36" s="991">
        <f>$J$3</f>
        <v>16.699244233993621</v>
      </c>
      <c r="J36" s="1008">
        <f t="shared" si="3"/>
        <v>0</v>
      </c>
      <c r="K36" s="1003">
        <f t="shared" si="4"/>
        <v>0</v>
      </c>
      <c r="L36" s="1002">
        <f t="shared" si="5"/>
        <v>0</v>
      </c>
      <c r="M36" s="1003">
        <f t="shared" si="6"/>
        <v>0</v>
      </c>
      <c r="N36" s="1014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5"/>
      <c r="B37" s="923"/>
      <c r="C37" s="977"/>
      <c r="D37" s="924"/>
      <c r="E37" s="924"/>
      <c r="F37" s="984"/>
      <c r="G37" s="1013" t="str">
        <f t="shared" si="2"/>
        <v/>
      </c>
      <c r="H37" s="990">
        <f t="shared" ref="H37:H43" si="17">H36</f>
        <v>256</v>
      </c>
      <c r="I37" s="991">
        <f t="shared" ref="I37:I43" si="18">I36</f>
        <v>16.699244233993621</v>
      </c>
      <c r="J37" s="1008">
        <f t="shared" si="3"/>
        <v>0</v>
      </c>
      <c r="K37" s="1003">
        <f t="shared" si="4"/>
        <v>0</v>
      </c>
      <c r="L37" s="1002">
        <f t="shared" si="5"/>
        <v>0</v>
      </c>
      <c r="M37" s="1003">
        <f t="shared" si="6"/>
        <v>0</v>
      </c>
      <c r="N37" s="1014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5"/>
      <c r="B38" s="923"/>
      <c r="C38" s="977"/>
      <c r="D38" s="924"/>
      <c r="E38" s="924"/>
      <c r="F38" s="984"/>
      <c r="G38" s="1013" t="str">
        <f t="shared" si="2"/>
        <v/>
      </c>
      <c r="H38" s="990">
        <f t="shared" si="17"/>
        <v>256</v>
      </c>
      <c r="I38" s="991">
        <f t="shared" si="18"/>
        <v>16.699244233993621</v>
      </c>
      <c r="J38" s="1008">
        <f t="shared" si="3"/>
        <v>0</v>
      </c>
      <c r="K38" s="1003">
        <f t="shared" si="4"/>
        <v>0</v>
      </c>
      <c r="L38" s="1002">
        <f t="shared" si="5"/>
        <v>0</v>
      </c>
      <c r="M38" s="1003">
        <f t="shared" si="6"/>
        <v>0</v>
      </c>
      <c r="N38" s="1014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5"/>
      <c r="B39" s="923"/>
      <c r="C39" s="977"/>
      <c r="D39" s="924"/>
      <c r="E39" s="924"/>
      <c r="F39" s="984"/>
      <c r="G39" s="1013" t="str">
        <f t="shared" si="2"/>
        <v/>
      </c>
      <c r="H39" s="990">
        <f t="shared" si="17"/>
        <v>256</v>
      </c>
      <c r="I39" s="991">
        <f t="shared" si="18"/>
        <v>16.699244233993621</v>
      </c>
      <c r="J39" s="1008">
        <f t="shared" si="3"/>
        <v>0</v>
      </c>
      <c r="K39" s="1003">
        <f t="shared" si="4"/>
        <v>0</v>
      </c>
      <c r="L39" s="1002">
        <f t="shared" si="5"/>
        <v>0</v>
      </c>
      <c r="M39" s="1003">
        <f t="shared" si="6"/>
        <v>0</v>
      </c>
      <c r="N39" s="1014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5"/>
      <c r="B40" s="923"/>
      <c r="C40" s="977"/>
      <c r="D40" s="924"/>
      <c r="E40" s="924"/>
      <c r="F40" s="984"/>
      <c r="G40" s="1013" t="str">
        <f t="shared" si="2"/>
        <v/>
      </c>
      <c r="H40" s="990">
        <f t="shared" si="17"/>
        <v>256</v>
      </c>
      <c r="I40" s="991">
        <f t="shared" si="18"/>
        <v>16.699244233993621</v>
      </c>
      <c r="J40" s="1008">
        <f t="shared" si="3"/>
        <v>0</v>
      </c>
      <c r="K40" s="1003">
        <f t="shared" si="4"/>
        <v>0</v>
      </c>
      <c r="L40" s="1002">
        <f t="shared" si="5"/>
        <v>0</v>
      </c>
      <c r="M40" s="1003">
        <f t="shared" si="6"/>
        <v>0</v>
      </c>
      <c r="N40" s="1014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5"/>
      <c r="B41" s="923"/>
      <c r="C41" s="977"/>
      <c r="D41" s="924"/>
      <c r="E41" s="924"/>
      <c r="F41" s="984"/>
      <c r="G41" s="1013" t="str">
        <f t="shared" si="2"/>
        <v/>
      </c>
      <c r="H41" s="990">
        <f t="shared" si="17"/>
        <v>256</v>
      </c>
      <c r="I41" s="991">
        <f t="shared" si="18"/>
        <v>16.699244233993621</v>
      </c>
      <c r="J41" s="1008">
        <f t="shared" si="3"/>
        <v>0</v>
      </c>
      <c r="K41" s="1003">
        <f t="shared" si="4"/>
        <v>0</v>
      </c>
      <c r="L41" s="1002">
        <f t="shared" si="5"/>
        <v>0</v>
      </c>
      <c r="M41" s="1003">
        <f t="shared" si="6"/>
        <v>0</v>
      </c>
      <c r="N41" s="1014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5"/>
      <c r="B42" s="923"/>
      <c r="C42" s="977"/>
      <c r="D42" s="924"/>
      <c r="E42" s="924"/>
      <c r="F42" s="984"/>
      <c r="G42" s="1013" t="str">
        <f t="shared" si="2"/>
        <v/>
      </c>
      <c r="H42" s="990">
        <f t="shared" si="17"/>
        <v>256</v>
      </c>
      <c r="I42" s="991">
        <f t="shared" si="18"/>
        <v>16.699244233993621</v>
      </c>
      <c r="J42" s="1008">
        <f t="shared" si="3"/>
        <v>0</v>
      </c>
      <c r="K42" s="1003">
        <f t="shared" si="4"/>
        <v>0</v>
      </c>
      <c r="L42" s="1002">
        <f t="shared" si="5"/>
        <v>0</v>
      </c>
      <c r="M42" s="1003">
        <f t="shared" si="6"/>
        <v>0</v>
      </c>
      <c r="N42" s="1014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9"/>
      <c r="B43" s="970"/>
      <c r="C43" s="979"/>
      <c r="D43" s="980"/>
      <c r="E43" s="980"/>
      <c r="F43" s="999"/>
      <c r="G43" s="1112"/>
      <c r="H43" s="992">
        <f t="shared" si="17"/>
        <v>256</v>
      </c>
      <c r="I43" s="993">
        <f t="shared" si="18"/>
        <v>16.699244233993621</v>
      </c>
      <c r="J43" s="1010"/>
      <c r="K43" s="1005"/>
      <c r="L43" s="1004"/>
      <c r="M43" s="1005"/>
      <c r="N43" s="1015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8" t="s">
        <v>188</v>
      </c>
      <c r="B44" s="926"/>
      <c r="C44" s="927"/>
      <c r="D44" s="624"/>
      <c r="E44" s="659"/>
      <c r="F44" s="978"/>
      <c r="G44" s="624"/>
      <c r="H44" s="928"/>
      <c r="I44" s="928"/>
      <c r="J44" s="927"/>
      <c r="K44" s="624"/>
      <c r="L44" s="926"/>
      <c r="M44" s="926"/>
      <c r="N44" s="1019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5"/>
      <c r="B45" s="923"/>
      <c r="C45" s="982"/>
      <c r="D45" s="924"/>
      <c r="E45" s="924"/>
      <c r="F45" s="984"/>
      <c r="G45" s="1013"/>
      <c r="H45" s="990"/>
      <c r="I45" s="991"/>
      <c r="J45" s="1008"/>
      <c r="K45" s="1003"/>
      <c r="L45" s="1002"/>
      <c r="M45" s="1003"/>
      <c r="N45" s="1014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5"/>
      <c r="B46" s="923"/>
      <c r="C46" s="982"/>
      <c r="D46" s="924"/>
      <c r="E46" s="924"/>
      <c r="F46" s="984"/>
      <c r="G46" s="1013"/>
      <c r="H46" s="990"/>
      <c r="I46" s="991"/>
      <c r="J46" s="1008"/>
      <c r="K46" s="1003"/>
      <c r="L46" s="1002"/>
      <c r="M46" s="1003"/>
      <c r="N46" s="1014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25"/>
      <c r="B47" s="923"/>
      <c r="C47" s="982"/>
      <c r="D47" s="924"/>
      <c r="E47" s="924"/>
      <c r="F47" s="984"/>
      <c r="G47" s="1013"/>
      <c r="H47" s="990"/>
      <c r="I47" s="991"/>
      <c r="J47" s="1008"/>
      <c r="K47" s="1003"/>
      <c r="L47" s="1002"/>
      <c r="M47" s="1003"/>
      <c r="N47" s="1014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5"/>
      <c r="B48" s="923"/>
      <c r="C48" s="982"/>
      <c r="D48" s="924"/>
      <c r="E48" s="924"/>
      <c r="F48" s="984"/>
      <c r="G48" s="1013"/>
      <c r="H48" s="990"/>
      <c r="I48" s="991"/>
      <c r="J48" s="1008"/>
      <c r="K48" s="1003"/>
      <c r="L48" s="1002"/>
      <c r="M48" s="1003"/>
      <c r="N48" s="1014"/>
      <c r="O48" s="697"/>
      <c r="P48" s="693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5"/>
      <c r="B49" s="923"/>
      <c r="C49" s="982"/>
      <c r="D49" s="924"/>
      <c r="E49" s="924"/>
      <c r="F49" s="984"/>
      <c r="G49" s="1013"/>
      <c r="H49" s="990"/>
      <c r="I49" s="991"/>
      <c r="J49" s="1008"/>
      <c r="K49" s="1003"/>
      <c r="L49" s="1002"/>
      <c r="M49" s="1003"/>
      <c r="N49" s="1014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5"/>
      <c r="B50" s="923"/>
      <c r="C50" s="982"/>
      <c r="D50" s="924"/>
      <c r="E50" s="924"/>
      <c r="F50" s="984"/>
      <c r="G50" s="1013"/>
      <c r="H50" s="990"/>
      <c r="I50" s="991"/>
      <c r="J50" s="1008"/>
      <c r="K50" s="1003"/>
      <c r="L50" s="1002"/>
      <c r="M50" s="1003"/>
      <c r="N50" s="1014"/>
      <c r="O50" s="697"/>
      <c r="P50" s="693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5"/>
      <c r="B51" s="923"/>
      <c r="C51" s="982"/>
      <c r="D51" s="924"/>
      <c r="E51" s="924"/>
      <c r="F51" s="984"/>
      <c r="G51" s="1013"/>
      <c r="H51" s="990"/>
      <c r="I51" s="991"/>
      <c r="J51" s="1008"/>
      <c r="K51" s="1003"/>
      <c r="L51" s="1002"/>
      <c r="M51" s="1003"/>
      <c r="N51" s="1014"/>
      <c r="O51" s="697"/>
      <c r="P51" s="693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60" t="s">
        <v>170</v>
      </c>
      <c r="C52" s="633"/>
      <c r="F52" s="15"/>
      <c r="K52" s="15"/>
      <c r="L52" s="633"/>
      <c r="M52" s="929"/>
      <c r="N52" s="41"/>
      <c r="O52" s="930"/>
      <c r="P52" s="21"/>
      <c r="R52" s="21"/>
      <c r="S52" s="342"/>
    </row>
    <row r="53" spans="1:51" s="36" customFormat="1" ht="15.75" x14ac:dyDescent="0.25">
      <c r="A53" s="695"/>
      <c r="B53" s="695" t="s">
        <v>199</v>
      </c>
      <c r="C53" s="1109">
        <v>1</v>
      </c>
      <c r="E53" s="693"/>
      <c r="G53" s="695" t="s">
        <v>333</v>
      </c>
      <c r="H53" s="1135">
        <f>I1</f>
        <v>44582</v>
      </c>
      <c r="L53" s="1036"/>
      <c r="P53" s="692" t="s">
        <v>289</v>
      </c>
      <c r="R53" s="693"/>
      <c r="V53" s="693"/>
      <c r="X53" s="693"/>
      <c r="Y53" s="699"/>
      <c r="Z53" s="693"/>
      <c r="AA53" s="692" t="s">
        <v>290</v>
      </c>
      <c r="AM53" s="82"/>
      <c r="AN53" s="1235" t="s">
        <v>323</v>
      </c>
      <c r="AO53" s="1236"/>
      <c r="AP53" s="1233" t="s">
        <v>324</v>
      </c>
      <c r="AQ53" s="1234"/>
      <c r="AR53" s="1233" t="s">
        <v>325</v>
      </c>
      <c r="AS53" s="1234"/>
      <c r="AT53" s="1233" t="s">
        <v>326</v>
      </c>
      <c r="AU53" s="1234"/>
      <c r="AV53" s="1233" t="s">
        <v>327</v>
      </c>
      <c r="AW53" s="1234"/>
    </row>
    <row r="54" spans="1:51" s="4" customFormat="1" x14ac:dyDescent="0.25">
      <c r="A54" s="717" t="str">
        <f>Station</f>
        <v>Crêche d'Escalquens</v>
      </c>
      <c r="B54" s="1224" t="s">
        <v>315</v>
      </c>
      <c r="C54" s="1221" t="str">
        <f>"Hauteur fonction de la croissance vue du champ PV "&amp;ZonePV</f>
        <v>Hauteur fonction de la croissance vue du champ PV 1</v>
      </c>
      <c r="D54" s="1222"/>
      <c r="E54" s="1222"/>
      <c r="F54" s="1222"/>
      <c r="G54" s="1222"/>
      <c r="H54" s="1222"/>
      <c r="I54" s="1222"/>
      <c r="J54" s="1222"/>
      <c r="K54" s="1222"/>
      <c r="L54" s="1222"/>
      <c r="M54" s="1223"/>
      <c r="O54" s="931" t="str">
        <f>Station</f>
        <v>Crêche d'Escalquens</v>
      </c>
      <c r="P54" s="932">
        <f>Azi_pv_sel</f>
        <v>76</v>
      </c>
      <c r="Q54" s="1221" t="str">
        <f>"Elevation vue du champ PV zone: "&amp;ZonePV</f>
        <v>Elevation vue du champ PV zone: 1</v>
      </c>
      <c r="R54" s="1222"/>
      <c r="S54" s="1222"/>
      <c r="T54" s="1222"/>
      <c r="U54" s="1222"/>
      <c r="V54" s="1222"/>
      <c r="W54" s="1222"/>
      <c r="X54" s="1222"/>
      <c r="Y54" s="1222"/>
      <c r="Z54" s="1223"/>
      <c r="AA54" s="933">
        <f>Ram_pv</f>
        <v>0.3</v>
      </c>
      <c r="AB54" s="2"/>
      <c r="AC54" s="2"/>
      <c r="AD54" s="28"/>
      <c r="AG54" s="934"/>
      <c r="AH54" s="935" t="s">
        <v>291</v>
      </c>
      <c r="AJ54" s="1231" t="s">
        <v>322</v>
      </c>
      <c r="AK54" s="1077"/>
      <c r="AL54" s="1077"/>
      <c r="AM54" s="1077"/>
      <c r="AN54" s="1229" t="s">
        <v>316</v>
      </c>
      <c r="AO54" s="1230"/>
      <c r="AP54" s="1227" t="s">
        <v>316</v>
      </c>
      <c r="AQ54" s="1228"/>
      <c r="AR54" s="1227" t="s">
        <v>316</v>
      </c>
      <c r="AS54" s="1228"/>
      <c r="AT54" s="1227" t="s">
        <v>316</v>
      </c>
      <c r="AU54" s="1228"/>
      <c r="AV54" s="1227" t="s">
        <v>316</v>
      </c>
      <c r="AW54" s="1228"/>
    </row>
    <row r="55" spans="1:51" s="19" customFormat="1" ht="13.5" thickBot="1" x14ac:dyDescent="0.25">
      <c r="A55" s="718" t="s">
        <v>314</v>
      </c>
      <c r="B55" s="1224"/>
      <c r="C55" s="700">
        <f>+D$55-$C$53</f>
        <v>-5</v>
      </c>
      <c r="D55" s="700">
        <f>+E$55-$C$53</f>
        <v>-4</v>
      </c>
      <c r="E55" s="700">
        <f>+F$55-$C$53</f>
        <v>-3</v>
      </c>
      <c r="F55" s="700">
        <f>+G$55-$C$53</f>
        <v>-2</v>
      </c>
      <c r="G55" s="700">
        <f>+H$55-$C$53</f>
        <v>-1</v>
      </c>
      <c r="H55" s="701">
        <v>0</v>
      </c>
      <c r="I55" s="700">
        <f>$C$53+H$55</f>
        <v>1</v>
      </c>
      <c r="J55" s="700">
        <f>$C$53+I$55</f>
        <v>2</v>
      </c>
      <c r="K55" s="700">
        <f>$C$53+J$55</f>
        <v>3</v>
      </c>
      <c r="L55" s="700">
        <f>$C$53+K$55</f>
        <v>4</v>
      </c>
      <c r="M55" s="700">
        <f>$C$53+L$55</f>
        <v>5</v>
      </c>
      <c r="N55" s="682" t="s">
        <v>154</v>
      </c>
      <c r="O55" s="682" t="str">
        <f>"zone "&amp;ZonePV</f>
        <v>zone 1</v>
      </c>
      <c r="P55" s="702" t="s">
        <v>153</v>
      </c>
      <c r="Q55" s="700">
        <f t="shared" ref="Q55:AA55" si="19">C55</f>
        <v>-5</v>
      </c>
      <c r="R55" s="700">
        <f t="shared" si="19"/>
        <v>-4</v>
      </c>
      <c r="S55" s="700">
        <f t="shared" si="19"/>
        <v>-3</v>
      </c>
      <c r="T55" s="700">
        <f t="shared" si="19"/>
        <v>-2</v>
      </c>
      <c r="U55" s="700">
        <f t="shared" si="19"/>
        <v>-1</v>
      </c>
      <c r="V55" s="701">
        <f t="shared" si="19"/>
        <v>0</v>
      </c>
      <c r="W55" s="700">
        <f t="shared" si="19"/>
        <v>1</v>
      </c>
      <c r="X55" s="700">
        <f t="shared" si="19"/>
        <v>2</v>
      </c>
      <c r="Y55" s="700">
        <f t="shared" si="19"/>
        <v>3</v>
      </c>
      <c r="Z55" s="700">
        <f t="shared" si="19"/>
        <v>4</v>
      </c>
      <c r="AA55" s="700">
        <f t="shared" si="19"/>
        <v>5</v>
      </c>
      <c r="AB55" s="124" t="s">
        <v>298</v>
      </c>
      <c r="AC55" s="937" t="s">
        <v>293</v>
      </c>
      <c r="AD55" s="936" t="s">
        <v>292</v>
      </c>
      <c r="AE55" s="937" t="s">
        <v>294</v>
      </c>
      <c r="AF55" s="938" t="s">
        <v>295</v>
      </c>
      <c r="AG55" s="939" t="s">
        <v>296</v>
      </c>
      <c r="AH55" s="940" t="s">
        <v>297</v>
      </c>
      <c r="AJ55" s="1232"/>
      <c r="AK55" s="82" t="s">
        <v>318</v>
      </c>
      <c r="AL55" s="82" t="s">
        <v>320</v>
      </c>
      <c r="AM55" s="82" t="s">
        <v>321</v>
      </c>
      <c r="AN55" s="1085" t="s">
        <v>319</v>
      </c>
      <c r="AO55" s="1086" t="s">
        <v>317</v>
      </c>
      <c r="AP55" s="1087" t="s">
        <v>319</v>
      </c>
      <c r="AQ55" s="1088" t="s">
        <v>317</v>
      </c>
      <c r="AR55" s="1087" t="s">
        <v>319</v>
      </c>
      <c r="AS55" s="1088" t="s">
        <v>317</v>
      </c>
      <c r="AT55" s="1087" t="s">
        <v>319</v>
      </c>
      <c r="AU55" s="1088" t="s">
        <v>317</v>
      </c>
      <c r="AV55" s="1087" t="s">
        <v>319</v>
      </c>
      <c r="AW55" s="1088" t="s">
        <v>317</v>
      </c>
    </row>
    <row r="56" spans="1:51" s="28" customFormat="1" ht="12.75" x14ac:dyDescent="0.2">
      <c r="A56" s="1037" t="str">
        <f t="shared" ref="A56:A79" si="20">A20</f>
        <v>Toiture D</v>
      </c>
      <c r="B56" s="1040">
        <v>1</v>
      </c>
      <c r="C56" s="1095">
        <f t="shared" ref="C56:M56" si="21">$L20+C$55*Rapous</f>
        <v>-5</v>
      </c>
      <c r="D56" s="1095">
        <f t="shared" si="21"/>
        <v>-4</v>
      </c>
      <c r="E56" s="1095">
        <f t="shared" si="21"/>
        <v>-3</v>
      </c>
      <c r="F56" s="1095">
        <f t="shared" si="21"/>
        <v>-2</v>
      </c>
      <c r="G56" s="1096">
        <f t="shared" si="21"/>
        <v>-1</v>
      </c>
      <c r="H56" s="1097">
        <f t="shared" si="21"/>
        <v>0</v>
      </c>
      <c r="I56" s="1098">
        <f t="shared" si="21"/>
        <v>1</v>
      </c>
      <c r="J56" s="1095">
        <f t="shared" si="21"/>
        <v>2</v>
      </c>
      <c r="K56" s="1095">
        <f t="shared" si="21"/>
        <v>3</v>
      </c>
      <c r="L56" s="1095">
        <f t="shared" si="21"/>
        <v>4</v>
      </c>
      <c r="M56" s="1096">
        <f t="shared" si="21"/>
        <v>5</v>
      </c>
      <c r="N56" s="697">
        <f t="shared" ref="N56:N79" si="22">$M20</f>
        <v>0</v>
      </c>
      <c r="O56" s="941" t="str">
        <f t="shared" ref="O56:O79" si="23">N20</f>
        <v>Toiture D</v>
      </c>
      <c r="P56" s="687">
        <f t="shared" ref="P56:P79" si="24">$H20+Azi_decal</f>
        <v>-194</v>
      </c>
      <c r="Q56" s="1099">
        <f t="shared" ref="Q56:Q79" si="25">MAX(IF($N56=0,$I20,DEGREES(ATAN2($N56,C56-H_pv))),Elev_F+0)</f>
        <v>1</v>
      </c>
      <c r="R56" s="697">
        <f t="shared" ref="R56:R79" si="26">MAX(IF($N56=0,$I20,DEGREES(ATAN2($N56,D56-H_pv))),Elev_F+0)</f>
        <v>1</v>
      </c>
      <c r="S56" s="697">
        <f t="shared" ref="S56:S79" si="27">MAX(IF($N56=0,$I20,DEGREES(ATAN2($N56,E56-H_pv))),Elev_F+0)</f>
        <v>1</v>
      </c>
      <c r="T56" s="697">
        <f t="shared" ref="T56:T79" si="28">MAX(IF($N56=0,$I20,DEGREES(ATAN2($N56,F56-H_pv))),Elev_F+0)</f>
        <v>1</v>
      </c>
      <c r="U56" s="957">
        <f t="shared" ref="U56:U79" si="29">MAX(IF($N56=0,$I20,DEGREES(ATAN2($N56,G56-H_pv))),Elev_F+0)</f>
        <v>1</v>
      </c>
      <c r="V56" s="1100">
        <f t="shared" ref="V56:V79" si="30">MAX(IF($N56=0,$I20,DEGREES(ATAN2($N56,H56-H_pv))),Elev_F+0)</f>
        <v>1</v>
      </c>
      <c r="W56" s="694">
        <f t="shared" ref="W56:W79" si="31">MAX(IF($N56=0,$I20,DEGREES(ATAN2($N56,I56-H_pv))),Elev_F+0)</f>
        <v>1</v>
      </c>
      <c r="X56" s="697">
        <f t="shared" ref="X56:X79" si="32">MAX(IF($N56=0,$I20,DEGREES(ATAN2($N56,J56-H_pv))),Elev_F+0)</f>
        <v>1</v>
      </c>
      <c r="Y56" s="697">
        <f t="shared" ref="Y56:Y79" si="33">MAX(IF($N56=0,$I20,DEGREES(ATAN2($N56,K56-H_pv))),Elev_F+0)</f>
        <v>1</v>
      </c>
      <c r="Z56" s="697">
        <f t="shared" ref="Z56:Z79" si="34">MAX(IF($N56=0,$I20,DEGREES(ATAN2($N56,L56-H_pv))),Elev_F+0)</f>
        <v>1</v>
      </c>
      <c r="AA56" s="957">
        <f t="shared" ref="AA56:AA79" si="35">MAX(IF($N56=0,$I20,DEGREES(ATAN2($N56,M56-H_pv))),Elev_F+0)</f>
        <v>1</v>
      </c>
      <c r="AB56" s="1064">
        <f t="shared" ref="AB56:AB78" si="36">(AA56+AA57)/2</f>
        <v>8.8496221169968106</v>
      </c>
      <c r="AC56" s="1065">
        <f>INDEX($AH$56:$AH$82,MATCH(AB56,$AG$56:$AG$82)+1)</f>
        <v>7.5010000000000003</v>
      </c>
      <c r="AD56" s="1066" t="b">
        <f t="shared" ref="AD56:AD79" si="37">G20&lt;AC56</f>
        <v>0</v>
      </c>
      <c r="AE56" s="1065">
        <f t="shared" ref="AE56:AE79" si="38">H21-H20</f>
        <v>90</v>
      </c>
      <c r="AF56" s="1067">
        <f>+IF(F15="D",AC55-AE55,IF(F20="G",AE56-AC56,0))</f>
        <v>0</v>
      </c>
      <c r="AG56" s="942">
        <v>-10</v>
      </c>
      <c r="AH56" s="943">
        <v>7.5</v>
      </c>
      <c r="AJ56" s="1078">
        <f>AM56+(INDEX($AO$56:$AO$79,$AK56+1)-AM56)/(INDEX($AN$56:$AN$79,AK56+1)-AL56)*($H20-AL56)</f>
        <v>1</v>
      </c>
      <c r="AK56" s="82">
        <f>MATCH($H20,$AN$56:$AN$79)</f>
        <v>1</v>
      </c>
      <c r="AL56" s="1079">
        <f>INDEX($AN$56:$AN$79,$AK56)</f>
        <v>-194</v>
      </c>
      <c r="AM56" s="1079">
        <f>INDEX($AO$56:$AO$79,$AK56)</f>
        <v>1</v>
      </c>
      <c r="AN56" s="1089">
        <f t="shared" ref="AN56:AN67" si="39">IF(AND(AX56=0,AX57=0),MAX(AN55,$H$43+1),AX56)</f>
        <v>-194</v>
      </c>
      <c r="AO56" s="1090">
        <f>IF(AND(AY56=0,AY57=0),$I$43,AY56)</f>
        <v>1</v>
      </c>
      <c r="AP56" s="1083">
        <v>-194</v>
      </c>
      <c r="AQ56" s="1084">
        <v>1</v>
      </c>
      <c r="AR56" s="1083">
        <v>-194</v>
      </c>
      <c r="AS56" s="1084">
        <v>1</v>
      </c>
      <c r="AT56" s="1083">
        <v>-194</v>
      </c>
      <c r="AU56" s="1084">
        <v>1</v>
      </c>
      <c r="AV56" s="1083">
        <f>$H$20</f>
        <v>-194</v>
      </c>
      <c r="AW56" s="1084">
        <f>AW57</f>
        <v>1</v>
      </c>
      <c r="AX56" s="28">
        <f t="shared" ref="AX56:AX79" si="40">CHOOSE(ZonePV,AP56,AR56,AT56,AV56)</f>
        <v>-194</v>
      </c>
      <c r="AY56" s="28">
        <f t="shared" ref="AY56:AY79" si="41">CHOOSE(ZonePV,AQ56,AS56,AU56,AW56)</f>
        <v>1</v>
      </c>
    </row>
    <row r="57" spans="1:51" s="28" customFormat="1" ht="12.75" x14ac:dyDescent="0.2">
      <c r="A57" s="1037" t="str">
        <f t="shared" si="20"/>
        <v>Arrière PV</v>
      </c>
      <c r="B57" s="1041">
        <v>1</v>
      </c>
      <c r="C57" s="1095">
        <f t="shared" ref="C57:M57" si="42">$L21+C$55*Rapous</f>
        <v>-5</v>
      </c>
      <c r="D57" s="1095">
        <f t="shared" si="42"/>
        <v>-4</v>
      </c>
      <c r="E57" s="1095">
        <f t="shared" si="42"/>
        <v>-3</v>
      </c>
      <c r="F57" s="1095">
        <f t="shared" si="42"/>
        <v>-2</v>
      </c>
      <c r="G57" s="1096">
        <f t="shared" si="42"/>
        <v>-1</v>
      </c>
      <c r="H57" s="1097">
        <f t="shared" si="42"/>
        <v>0</v>
      </c>
      <c r="I57" s="1098">
        <f t="shared" si="42"/>
        <v>1</v>
      </c>
      <c r="J57" s="1095">
        <f t="shared" si="42"/>
        <v>2</v>
      </c>
      <c r="K57" s="1095">
        <f t="shared" si="42"/>
        <v>3</v>
      </c>
      <c r="L57" s="1095">
        <f t="shared" si="42"/>
        <v>4</v>
      </c>
      <c r="M57" s="1096">
        <f t="shared" si="42"/>
        <v>5</v>
      </c>
      <c r="N57" s="697">
        <f t="shared" si="22"/>
        <v>0</v>
      </c>
      <c r="O57" s="941" t="str">
        <f t="shared" si="23"/>
        <v>Arrière PV</v>
      </c>
      <c r="P57" s="687">
        <f t="shared" si="24"/>
        <v>-104</v>
      </c>
      <c r="Q57" s="694">
        <f t="shared" si="25"/>
        <v>16.699244233993621</v>
      </c>
      <c r="R57" s="697">
        <f t="shared" si="26"/>
        <v>16.699244233993621</v>
      </c>
      <c r="S57" s="697">
        <f t="shared" si="27"/>
        <v>16.699244233993621</v>
      </c>
      <c r="T57" s="697">
        <f t="shared" si="28"/>
        <v>16.699244233993621</v>
      </c>
      <c r="U57" s="957">
        <f t="shared" si="29"/>
        <v>16.699244233993621</v>
      </c>
      <c r="V57" s="1100">
        <f t="shared" si="30"/>
        <v>16.699244233993621</v>
      </c>
      <c r="W57" s="694">
        <f t="shared" si="31"/>
        <v>16.699244233993621</v>
      </c>
      <c r="X57" s="697">
        <f t="shared" si="32"/>
        <v>16.699244233993621</v>
      </c>
      <c r="Y57" s="697">
        <f t="shared" si="33"/>
        <v>16.699244233993621</v>
      </c>
      <c r="Z57" s="697">
        <f t="shared" si="34"/>
        <v>16.699244233993621</v>
      </c>
      <c r="AA57" s="957">
        <f t="shared" si="35"/>
        <v>16.699244233993621</v>
      </c>
      <c r="AB57" s="1068">
        <f t="shared" si="36"/>
        <v>11.424658077936932</v>
      </c>
      <c r="AC57" s="1069">
        <f t="shared" ref="AC57:AC79" si="43">INDEX($AH$56:$AH$82,MATCH(AB57,$AG$56:$AG$82)+1)</f>
        <v>7.5010000000000003</v>
      </c>
      <c r="AD57" s="39" t="b">
        <f t="shared" si="37"/>
        <v>0</v>
      </c>
      <c r="AE57" s="1069">
        <f t="shared" si="38"/>
        <v>68.502781310594003</v>
      </c>
      <c r="AF57" s="1070">
        <f t="shared" ref="AF57:AF79" si="44">+IF(F20="D",AC56-AE56,IF(F21="G",AE57-AC57,0))</f>
        <v>0</v>
      </c>
      <c r="AG57" s="942">
        <v>22.98</v>
      </c>
      <c r="AH57" s="943">
        <v>7.5010000000000003</v>
      </c>
      <c r="AJ57" s="1078">
        <f t="shared" ref="AJ57:AJ79" si="45">AM57+(INDEX($AO$56:$AO$79,$AK57+1)-AM57)/(INDEX($AN$56:$AN$79,AK57+1)-AL57)*($H21-AL57)</f>
        <v>16.699244233993621</v>
      </c>
      <c r="AK57" s="82">
        <f t="shared" ref="AK57:AK79" si="46">MATCH($H21,$AN$56:$AN$79)</f>
        <v>2</v>
      </c>
      <c r="AL57" s="1079">
        <f t="shared" ref="AL57:AL79" si="47">INDEX($AN$56:$AN$79,$AK57)</f>
        <v>-104</v>
      </c>
      <c r="AM57" s="1079">
        <f t="shared" ref="AM57:AM79" si="48">INDEX($AO$56:$AO$79,$AK57)</f>
        <v>16.699244233993621</v>
      </c>
      <c r="AN57" s="1089">
        <f t="shared" si="39"/>
        <v>-104</v>
      </c>
      <c r="AO57" s="1090">
        <f t="shared" ref="AO57:AO79" si="49">IF(AND(AY57=0,AY58=0),$I$43,AY57)</f>
        <v>16.699244233993621</v>
      </c>
      <c r="AP57" s="1083">
        <v>-104</v>
      </c>
      <c r="AQ57" s="1084">
        <v>16.699244233993621</v>
      </c>
      <c r="AR57" s="1083">
        <v>-104</v>
      </c>
      <c r="AS57" s="1084">
        <v>16.699244233993621</v>
      </c>
      <c r="AT57" s="1083">
        <v>-104</v>
      </c>
      <c r="AU57" s="1084">
        <v>16.699244233993621</v>
      </c>
      <c r="AV57" s="1083">
        <f>$H$43</f>
        <v>256</v>
      </c>
      <c r="AW57" s="1084">
        <v>1</v>
      </c>
      <c r="AX57" s="28">
        <f t="shared" si="40"/>
        <v>-104</v>
      </c>
      <c r="AY57" s="28">
        <f t="shared" si="41"/>
        <v>16.699244233993621</v>
      </c>
    </row>
    <row r="58" spans="1:51" s="19" customFormat="1" ht="12.75" x14ac:dyDescent="0.2">
      <c r="A58" s="1037" t="str">
        <f t="shared" si="20"/>
        <v>Arbre 0</v>
      </c>
      <c r="B58" s="1041">
        <v>1</v>
      </c>
      <c r="C58" s="1095">
        <f t="shared" ref="C58:M58" si="50">$L22+C$55*Rapous</f>
        <v>7.4775871702461636</v>
      </c>
      <c r="D58" s="1095">
        <f t="shared" si="50"/>
        <v>8.4775871702461636</v>
      </c>
      <c r="E58" s="1095">
        <f t="shared" si="50"/>
        <v>9.4775871702461636</v>
      </c>
      <c r="F58" s="1095">
        <f t="shared" si="50"/>
        <v>10.477587170246164</v>
      </c>
      <c r="G58" s="1096">
        <f t="shared" si="50"/>
        <v>11.477587170246164</v>
      </c>
      <c r="H58" s="1097">
        <f t="shared" si="50"/>
        <v>12.477587170246164</v>
      </c>
      <c r="I58" s="1098">
        <f t="shared" si="50"/>
        <v>13.477587170246164</v>
      </c>
      <c r="J58" s="1095">
        <f t="shared" si="50"/>
        <v>14.477587170246164</v>
      </c>
      <c r="K58" s="1095">
        <f t="shared" si="50"/>
        <v>15.477587170246164</v>
      </c>
      <c r="L58" s="1095">
        <f t="shared" si="50"/>
        <v>16.477587170246164</v>
      </c>
      <c r="M58" s="1096">
        <f t="shared" si="50"/>
        <v>17.477587170246164</v>
      </c>
      <c r="N58" s="697">
        <f t="shared" si="22"/>
        <v>127.99439767742003</v>
      </c>
      <c r="O58" s="941" t="str">
        <f t="shared" si="23"/>
        <v>Arbre 0</v>
      </c>
      <c r="P58" s="687">
        <f t="shared" si="24"/>
        <v>-35.497218689406004</v>
      </c>
      <c r="Q58" s="694">
        <f t="shared" si="25"/>
        <v>4.7498898506284117</v>
      </c>
      <c r="R58" s="697">
        <f t="shared" si="26"/>
        <v>4.7498898506284117</v>
      </c>
      <c r="S58" s="697">
        <f t="shared" si="27"/>
        <v>4.7498898506284117</v>
      </c>
      <c r="T58" s="697">
        <f t="shared" si="28"/>
        <v>4.7498898506284117</v>
      </c>
      <c r="U58" s="957">
        <f t="shared" si="29"/>
        <v>4.7498898506284117</v>
      </c>
      <c r="V58" s="1100">
        <f t="shared" si="30"/>
        <v>4.7498898506284117</v>
      </c>
      <c r="W58" s="694">
        <f t="shared" si="31"/>
        <v>4.7498898506284117</v>
      </c>
      <c r="X58" s="697">
        <f t="shared" si="32"/>
        <v>4.8194734542403666</v>
      </c>
      <c r="Y58" s="697">
        <f t="shared" si="33"/>
        <v>5.2636570740722846</v>
      </c>
      <c r="Z58" s="697">
        <f t="shared" si="34"/>
        <v>5.7072071262521833</v>
      </c>
      <c r="AA58" s="957">
        <f t="shared" si="35"/>
        <v>6.1500719218802429</v>
      </c>
      <c r="AB58" s="1068">
        <f t="shared" si="36"/>
        <v>8.4568275233596797</v>
      </c>
      <c r="AC58" s="1069">
        <f t="shared" si="43"/>
        <v>7.5010000000000003</v>
      </c>
      <c r="AD58" s="39" t="b">
        <f t="shared" si="37"/>
        <v>0</v>
      </c>
      <c r="AE58" s="1069">
        <f t="shared" si="38"/>
        <v>18.558216686433571</v>
      </c>
      <c r="AF58" s="1070">
        <f t="shared" si="44"/>
        <v>0</v>
      </c>
      <c r="AG58" s="942">
        <v>23.38</v>
      </c>
      <c r="AH58" s="943">
        <v>7.5199999999999818</v>
      </c>
      <c r="AJ58" s="1078">
        <f t="shared" si="45"/>
        <v>4.7498898506284117</v>
      </c>
      <c r="AK58" s="82">
        <f t="shared" si="46"/>
        <v>2</v>
      </c>
      <c r="AL58" s="1079">
        <f t="shared" si="47"/>
        <v>-104</v>
      </c>
      <c r="AM58" s="1079">
        <f t="shared" si="48"/>
        <v>16.699244233993621</v>
      </c>
      <c r="AN58" s="1089">
        <f t="shared" si="39"/>
        <v>-14</v>
      </c>
      <c r="AO58" s="1090">
        <f t="shared" si="49"/>
        <v>1</v>
      </c>
      <c r="AP58" s="1083">
        <v>-14</v>
      </c>
      <c r="AQ58" s="1084">
        <v>1</v>
      </c>
      <c r="AR58" s="1083">
        <v>-14</v>
      </c>
      <c r="AS58" s="1084">
        <v>1</v>
      </c>
      <c r="AT58" s="1083">
        <v>-14</v>
      </c>
      <c r="AU58" s="1084">
        <v>1</v>
      </c>
      <c r="AV58" s="1083"/>
      <c r="AW58" s="1084"/>
      <c r="AX58" s="28">
        <f t="shared" si="40"/>
        <v>-14</v>
      </c>
      <c r="AY58" s="28">
        <f t="shared" si="41"/>
        <v>1</v>
      </c>
    </row>
    <row r="59" spans="1:51" s="19" customFormat="1" ht="12.75" x14ac:dyDescent="0.2">
      <c r="A59" s="1037" t="str">
        <f t="shared" si="20"/>
        <v>Arbre 1</v>
      </c>
      <c r="B59" s="1041">
        <v>1</v>
      </c>
      <c r="C59" s="1095">
        <f t="shared" ref="C59:M59" si="51">$L23+C$55*Rapous</f>
        <v>7.388901563598349</v>
      </c>
      <c r="D59" s="1095">
        <f t="shared" si="51"/>
        <v>8.388901563598349</v>
      </c>
      <c r="E59" s="1095">
        <f t="shared" si="51"/>
        <v>9.388901563598349</v>
      </c>
      <c r="F59" s="1095">
        <f t="shared" si="51"/>
        <v>10.388901563598349</v>
      </c>
      <c r="G59" s="1096">
        <f t="shared" si="51"/>
        <v>11.388901563598349</v>
      </c>
      <c r="H59" s="1097">
        <f t="shared" si="51"/>
        <v>12.388901563598349</v>
      </c>
      <c r="I59" s="1098">
        <f t="shared" si="51"/>
        <v>13.388901563598349</v>
      </c>
      <c r="J59" s="1095">
        <f t="shared" si="51"/>
        <v>14.388901563598349</v>
      </c>
      <c r="K59" s="1095">
        <f t="shared" si="51"/>
        <v>15.388901563598349</v>
      </c>
      <c r="L59" s="1095">
        <f t="shared" si="51"/>
        <v>16.388901563598349</v>
      </c>
      <c r="M59" s="1096">
        <f t="shared" si="51"/>
        <v>17.388901563598349</v>
      </c>
      <c r="N59" s="697">
        <f t="shared" si="22"/>
        <v>72.083125303167918</v>
      </c>
      <c r="O59" s="941" t="str">
        <f t="shared" si="23"/>
        <v>Arbre 1</v>
      </c>
      <c r="P59" s="687">
        <f t="shared" si="24"/>
        <v>-16.939002002972433</v>
      </c>
      <c r="Q59" s="694">
        <f t="shared" si="25"/>
        <v>2.9408612808185213</v>
      </c>
      <c r="R59" s="697">
        <f t="shared" si="26"/>
        <v>3.733012496019084</v>
      </c>
      <c r="S59" s="697">
        <f t="shared" si="27"/>
        <v>4.5237372331435619</v>
      </c>
      <c r="T59" s="697">
        <f t="shared" si="28"/>
        <v>5.3127390639304508</v>
      </c>
      <c r="U59" s="957">
        <f t="shared" si="29"/>
        <v>6.099725462267207</v>
      </c>
      <c r="V59" s="1100">
        <f t="shared" si="30"/>
        <v>6.8844084342591554</v>
      </c>
      <c r="W59" s="694">
        <f t="shared" si="31"/>
        <v>7.6665051231402241</v>
      </c>
      <c r="X59" s="697">
        <f t="shared" si="32"/>
        <v>8.4457383860124136</v>
      </c>
      <c r="Y59" s="697">
        <f t="shared" si="33"/>
        <v>9.2218373396841979</v>
      </c>
      <c r="Z59" s="697">
        <f t="shared" si="34"/>
        <v>9.9945378731830417</v>
      </c>
      <c r="AA59" s="957">
        <f t="shared" si="35"/>
        <v>10.763583124839117</v>
      </c>
      <c r="AB59" s="1068">
        <f t="shared" si="36"/>
        <v>11.075541917204472</v>
      </c>
      <c r="AC59" s="1069">
        <f t="shared" si="43"/>
        <v>7.5010000000000003</v>
      </c>
      <c r="AD59" s="39" t="b">
        <f t="shared" si="37"/>
        <v>0</v>
      </c>
      <c r="AE59" s="1069">
        <f t="shared" si="38"/>
        <v>17.744363830742362</v>
      </c>
      <c r="AF59" s="1070">
        <f t="shared" si="44"/>
        <v>0</v>
      </c>
      <c r="AG59" s="942">
        <v>24.23</v>
      </c>
      <c r="AH59" s="943">
        <v>7.6000000000000227</v>
      </c>
      <c r="AJ59" s="1078">
        <f t="shared" si="45"/>
        <v>1.5126678916540062</v>
      </c>
      <c r="AK59" s="82">
        <f t="shared" si="46"/>
        <v>2</v>
      </c>
      <c r="AL59" s="1079">
        <f t="shared" si="47"/>
        <v>-104</v>
      </c>
      <c r="AM59" s="1079">
        <f t="shared" si="48"/>
        <v>16.699244233993621</v>
      </c>
      <c r="AN59" s="1089">
        <f t="shared" si="39"/>
        <v>5.3221648969759707</v>
      </c>
      <c r="AO59" s="1090">
        <f t="shared" si="49"/>
        <v>-3.0975516078479006</v>
      </c>
      <c r="AP59" s="1083">
        <v>5.3221648969759707</v>
      </c>
      <c r="AQ59" s="1084">
        <v>-3.0975516078479006</v>
      </c>
      <c r="AR59" s="1083">
        <v>-1.049364704107258</v>
      </c>
      <c r="AS59" s="1084">
        <v>-2.0226615299130808</v>
      </c>
      <c r="AT59" s="1083">
        <v>-4.1816319978804897</v>
      </c>
      <c r="AU59" s="1084">
        <v>-1.4745199002523439</v>
      </c>
      <c r="AV59" s="1083"/>
      <c r="AW59" s="1084"/>
      <c r="AX59" s="28">
        <f t="shared" si="40"/>
        <v>5.3221648969759707</v>
      </c>
      <c r="AY59" s="28">
        <f t="shared" si="41"/>
        <v>-3.0975516078479006</v>
      </c>
    </row>
    <row r="60" spans="1:51" s="19" customFormat="1" ht="12.75" x14ac:dyDescent="0.2">
      <c r="A60" s="1037" t="str">
        <f t="shared" si="20"/>
        <v>Arbre 2</v>
      </c>
      <c r="B60" s="1041">
        <v>1</v>
      </c>
      <c r="C60" s="1095">
        <f t="shared" ref="C60:M60" si="52">$L24+C$55*Rapous</f>
        <v>6.5582275579081521</v>
      </c>
      <c r="D60" s="1095">
        <f t="shared" si="52"/>
        <v>7.5582275579081521</v>
      </c>
      <c r="E60" s="1095">
        <f t="shared" si="52"/>
        <v>8.5582275579081521</v>
      </c>
      <c r="F60" s="1095">
        <f t="shared" si="52"/>
        <v>9.5582275579081521</v>
      </c>
      <c r="G60" s="1096">
        <f t="shared" si="52"/>
        <v>10.558227557908152</v>
      </c>
      <c r="H60" s="1097">
        <f t="shared" si="52"/>
        <v>11.558227557908152</v>
      </c>
      <c r="I60" s="1098">
        <f t="shared" si="52"/>
        <v>12.558227557908152</v>
      </c>
      <c r="J60" s="1095">
        <f t="shared" si="52"/>
        <v>13.558227557908152</v>
      </c>
      <c r="K60" s="1095">
        <f t="shared" si="52"/>
        <v>14.558227557908152</v>
      </c>
      <c r="L60" s="1095">
        <f t="shared" si="52"/>
        <v>15.558227557908152</v>
      </c>
      <c r="M60" s="1096">
        <f t="shared" si="52"/>
        <v>16.558227557908154</v>
      </c>
      <c r="N60" s="697">
        <f t="shared" si="22"/>
        <v>63.912147020778072</v>
      </c>
      <c r="O60" s="941" t="str">
        <f t="shared" si="23"/>
        <v>Arbre 2</v>
      </c>
      <c r="P60" s="687">
        <f t="shared" si="24"/>
        <v>0.80536182776992982</v>
      </c>
      <c r="Q60" s="694">
        <f t="shared" si="25"/>
        <v>2.5733455269995726</v>
      </c>
      <c r="R60" s="697">
        <f t="shared" si="26"/>
        <v>3.4673155299344867</v>
      </c>
      <c r="S60" s="697">
        <f t="shared" si="27"/>
        <v>4.3595985948478342</v>
      </c>
      <c r="T60" s="697">
        <f t="shared" si="28"/>
        <v>5.2497681179543996</v>
      </c>
      <c r="U60" s="957">
        <f t="shared" si="29"/>
        <v>6.1374035914906777</v>
      </c>
      <c r="V60" s="1100">
        <f t="shared" si="30"/>
        <v>7.0220917593398786</v>
      </c>
      <c r="W60" s="694">
        <f t="shared" si="31"/>
        <v>7.9034277214296313</v>
      </c>
      <c r="X60" s="697">
        <f t="shared" si="32"/>
        <v>8.7810159799025254</v>
      </c>
      <c r="Y60" s="697">
        <f t="shared" si="33"/>
        <v>9.6544714208033007</v>
      </c>
      <c r="Z60" s="697">
        <f t="shared" si="34"/>
        <v>10.523420225832613</v>
      </c>
      <c r="AA60" s="957">
        <f t="shared" si="35"/>
        <v>11.387500709569828</v>
      </c>
      <c r="AB60" s="1068">
        <f t="shared" si="36"/>
        <v>13.507646103613268</v>
      </c>
      <c r="AC60" s="1069">
        <f t="shared" si="43"/>
        <v>7.5010000000000003</v>
      </c>
      <c r="AD60" s="39" t="b">
        <f t="shared" si="37"/>
        <v>0</v>
      </c>
      <c r="AE60" s="1069">
        <f t="shared" si="38"/>
        <v>12.159872799987552</v>
      </c>
      <c r="AF60" s="1070">
        <f t="shared" si="44"/>
        <v>0</v>
      </c>
      <c r="AG60" s="942">
        <v>25.31</v>
      </c>
      <c r="AH60" s="943">
        <v>7.7300000000000182</v>
      </c>
      <c r="AJ60" s="1078">
        <f t="shared" si="45"/>
        <v>-2.1396965342968972</v>
      </c>
      <c r="AK60" s="82">
        <f t="shared" si="46"/>
        <v>3</v>
      </c>
      <c r="AL60" s="1079">
        <f t="shared" si="47"/>
        <v>-14</v>
      </c>
      <c r="AM60" s="1079">
        <f t="shared" si="48"/>
        <v>1</v>
      </c>
      <c r="AN60" s="1089">
        <f t="shared" si="39"/>
        <v>54.612567039239572</v>
      </c>
      <c r="AO60" s="1090">
        <f t="shared" si="49"/>
        <v>8.3044314861352913</v>
      </c>
      <c r="AP60" s="1083">
        <v>54.612567039239572</v>
      </c>
      <c r="AQ60" s="1084">
        <v>8.3044314861352913</v>
      </c>
      <c r="AR60" s="1083">
        <v>31.18251321787411</v>
      </c>
      <c r="AS60" s="1084">
        <v>6.3241247511079273</v>
      </c>
      <c r="AT60" s="1083">
        <v>18.246862838365679</v>
      </c>
      <c r="AU60" s="1084">
        <v>4.7609444685019229</v>
      </c>
      <c r="AV60" s="1083"/>
      <c r="AW60" s="1084"/>
      <c r="AX60" s="28">
        <f t="shared" si="40"/>
        <v>54.612567039239572</v>
      </c>
      <c r="AY60" s="28">
        <f t="shared" si="41"/>
        <v>8.3044314861352913</v>
      </c>
    </row>
    <row r="61" spans="1:51" s="19" customFormat="1" ht="12.75" x14ac:dyDescent="0.2">
      <c r="A61" s="1037" t="str">
        <f t="shared" si="20"/>
        <v>Arbre 3</v>
      </c>
      <c r="B61" s="1041">
        <v>1</v>
      </c>
      <c r="C61" s="1095">
        <f t="shared" ref="C61:M61" si="53">$L25+C$55*Rapous</f>
        <v>6.3260876509424637</v>
      </c>
      <c r="D61" s="1095">
        <f t="shared" si="53"/>
        <v>7.3260876509424637</v>
      </c>
      <c r="E61" s="1095">
        <f t="shared" si="53"/>
        <v>8.3260876509424637</v>
      </c>
      <c r="F61" s="1095">
        <f t="shared" si="53"/>
        <v>9.3260876509424637</v>
      </c>
      <c r="G61" s="1096">
        <f t="shared" si="53"/>
        <v>10.326087650942464</v>
      </c>
      <c r="H61" s="1097">
        <f t="shared" si="53"/>
        <v>11.326087650942464</v>
      </c>
      <c r="I61" s="1098">
        <f t="shared" si="53"/>
        <v>12.326087650942464</v>
      </c>
      <c r="J61" s="1095">
        <f t="shared" si="53"/>
        <v>13.326087650942464</v>
      </c>
      <c r="K61" s="1095">
        <f t="shared" si="53"/>
        <v>14.326087650942464</v>
      </c>
      <c r="L61" s="1095">
        <f t="shared" si="53"/>
        <v>15.326087650942464</v>
      </c>
      <c r="M61" s="1096">
        <f t="shared" si="53"/>
        <v>16.326087650942462</v>
      </c>
      <c r="N61" s="697">
        <f t="shared" si="22"/>
        <v>45.187834868899017</v>
      </c>
      <c r="O61" s="941" t="str">
        <f t="shared" si="23"/>
        <v>Arbre 3</v>
      </c>
      <c r="P61" s="687">
        <f t="shared" si="24"/>
        <v>12.965234627757482</v>
      </c>
      <c r="Q61" s="694">
        <f t="shared" si="25"/>
        <v>3.3439591995806617</v>
      </c>
      <c r="R61" s="697">
        <f t="shared" si="26"/>
        <v>4.6057618560482014</v>
      </c>
      <c r="S61" s="697">
        <f t="shared" si="27"/>
        <v>5.8631038643158693</v>
      </c>
      <c r="T61" s="697">
        <f t="shared" si="28"/>
        <v>7.1148053837485632</v>
      </c>
      <c r="U61" s="957">
        <f t="shared" si="29"/>
        <v>8.3597186312960527</v>
      </c>
      <c r="V61" s="1100">
        <f t="shared" si="30"/>
        <v>9.5967338306185308</v>
      </c>
      <c r="W61" s="694">
        <f t="shared" si="31"/>
        <v>10.824784641743701</v>
      </c>
      <c r="X61" s="697">
        <f t="shared" si="32"/>
        <v>12.042853012650523</v>
      </c>
      <c r="Y61" s="697">
        <f t="shared" si="33"/>
        <v>13.249973408026756</v>
      </c>
      <c r="Z61" s="697">
        <f t="shared" si="34"/>
        <v>14.445236384725746</v>
      </c>
      <c r="AA61" s="957">
        <f t="shared" si="35"/>
        <v>15.627791497656707</v>
      </c>
      <c r="AB61" s="1068">
        <f t="shared" si="36"/>
        <v>15.416070014234656</v>
      </c>
      <c r="AC61" s="1069">
        <f t="shared" si="43"/>
        <v>7.5010000000000003</v>
      </c>
      <c r="AD61" s="39" t="b">
        <f t="shared" si="37"/>
        <v>0</v>
      </c>
      <c r="AE61" s="1069">
        <f t="shared" si="38"/>
        <v>6.7093987506671695</v>
      </c>
      <c r="AF61" s="1070">
        <f t="shared" si="44"/>
        <v>0</v>
      </c>
      <c r="AG61" s="942">
        <v>26.83</v>
      </c>
      <c r="AH61" s="943">
        <v>7.9000000000000057</v>
      </c>
      <c r="AJ61" s="1078">
        <f t="shared" si="45"/>
        <v>-1.3295369829117654</v>
      </c>
      <c r="AK61" s="82">
        <f t="shared" si="46"/>
        <v>4</v>
      </c>
      <c r="AL61" s="1079">
        <f t="shared" si="47"/>
        <v>5.3221648969759707</v>
      </c>
      <c r="AM61" s="1079">
        <f t="shared" si="48"/>
        <v>-3.0975516078479006</v>
      </c>
      <c r="AN61" s="1089">
        <f t="shared" si="39"/>
        <v>63.59282567395384</v>
      </c>
      <c r="AO61" s="1090">
        <f t="shared" si="49"/>
        <v>5.1534754837461936</v>
      </c>
      <c r="AP61" s="1083">
        <v>63.59282567395384</v>
      </c>
      <c r="AQ61" s="1084">
        <v>5.1534754837461936</v>
      </c>
      <c r="AR61" s="1083">
        <v>45.651851393882076</v>
      </c>
      <c r="AS61" s="1084">
        <v>4.5577738208969238</v>
      </c>
      <c r="AT61" s="1083">
        <v>32.557167585839409</v>
      </c>
      <c r="AU61" s="1084">
        <v>3.8475138968885392</v>
      </c>
      <c r="AV61" s="1083"/>
      <c r="AW61" s="1084"/>
      <c r="AX61" s="28">
        <f t="shared" si="40"/>
        <v>63.59282567395384</v>
      </c>
      <c r="AY61" s="28">
        <f t="shared" si="41"/>
        <v>5.1534754837461936</v>
      </c>
    </row>
    <row r="62" spans="1:51" s="19" customFormat="1" ht="12.75" x14ac:dyDescent="0.2">
      <c r="A62" s="1037" t="str">
        <f t="shared" si="20"/>
        <v>Arbre 4</v>
      </c>
      <c r="B62" s="1041">
        <v>1</v>
      </c>
      <c r="C62" s="1095">
        <f t="shared" ref="C62:M62" si="54">$L26+C$55*Rapous</f>
        <v>2.6204310068285137</v>
      </c>
      <c r="D62" s="1095">
        <f t="shared" si="54"/>
        <v>3.6204310068285137</v>
      </c>
      <c r="E62" s="1095">
        <f t="shared" si="54"/>
        <v>4.6204310068285137</v>
      </c>
      <c r="F62" s="1095">
        <f t="shared" si="54"/>
        <v>5.6204310068285137</v>
      </c>
      <c r="G62" s="1096">
        <f t="shared" si="54"/>
        <v>6.6204310068285137</v>
      </c>
      <c r="H62" s="1097">
        <f t="shared" si="54"/>
        <v>7.6204310068285137</v>
      </c>
      <c r="I62" s="1098">
        <f t="shared" si="54"/>
        <v>8.6204310068285146</v>
      </c>
      <c r="J62" s="1095">
        <f t="shared" si="54"/>
        <v>9.6204310068285146</v>
      </c>
      <c r="K62" s="1095">
        <f t="shared" si="54"/>
        <v>10.620431006828515</v>
      </c>
      <c r="L62" s="1095">
        <f t="shared" si="54"/>
        <v>11.620431006828515</v>
      </c>
      <c r="M62" s="1096">
        <f t="shared" si="54"/>
        <v>12.620431006828515</v>
      </c>
      <c r="N62" s="697">
        <f t="shared" si="22"/>
        <v>32.875091180693026</v>
      </c>
      <c r="O62" s="941" t="str">
        <f t="shared" si="23"/>
        <v>Arbre 4</v>
      </c>
      <c r="P62" s="687">
        <f t="shared" si="24"/>
        <v>20.466234627757483</v>
      </c>
      <c r="Q62" s="694">
        <f t="shared" si="25"/>
        <v>0.22249846011628849</v>
      </c>
      <c r="R62" s="697">
        <f t="shared" si="26"/>
        <v>0.22249846011628849</v>
      </c>
      <c r="S62" s="697">
        <f t="shared" si="27"/>
        <v>1.6284891970907642</v>
      </c>
      <c r="T62" s="697">
        <f t="shared" si="28"/>
        <v>3.3678762152422932</v>
      </c>
      <c r="U62" s="957">
        <f t="shared" si="29"/>
        <v>5.1010723527582522</v>
      </c>
      <c r="V62" s="1100">
        <f t="shared" si="30"/>
        <v>6.8249612477004442</v>
      </c>
      <c r="W62" s="694">
        <f t="shared" si="31"/>
        <v>8.5365270817046692</v>
      </c>
      <c r="X62" s="697">
        <f t="shared" si="32"/>
        <v>10.232884667502734</v>
      </c>
      <c r="Y62" s="697">
        <f t="shared" si="33"/>
        <v>11.911306156443828</v>
      </c>
      <c r="Z62" s="697">
        <f t="shared" si="34"/>
        <v>13.569243819478228</v>
      </c>
      <c r="AA62" s="957">
        <f t="shared" si="35"/>
        <v>15.204348530812602</v>
      </c>
      <c r="AB62" s="1068">
        <f t="shared" si="36"/>
        <v>14.995224291372448</v>
      </c>
      <c r="AC62" s="1069">
        <f t="shared" si="43"/>
        <v>7.5010000000000003</v>
      </c>
      <c r="AD62" s="39" t="b">
        <f t="shared" si="37"/>
        <v>0</v>
      </c>
      <c r="AE62" s="1069">
        <f t="shared" si="38"/>
        <v>23.632466077016666</v>
      </c>
      <c r="AF62" s="1070">
        <f t="shared" si="44"/>
        <v>0.79160124933283083</v>
      </c>
      <c r="AG62" s="942">
        <v>28.54</v>
      </c>
      <c r="AH62" s="943">
        <v>8.1200000000000045</v>
      </c>
      <c r="AJ62" s="1078">
        <f t="shared" si="45"/>
        <v>0.22249846011628849</v>
      </c>
      <c r="AK62" s="82">
        <f t="shared" si="46"/>
        <v>4</v>
      </c>
      <c r="AL62" s="1079">
        <f t="shared" si="47"/>
        <v>5.3221648969759707</v>
      </c>
      <c r="AM62" s="1079">
        <f t="shared" si="48"/>
        <v>-3.0975516078479006</v>
      </c>
      <c r="AN62" s="1089">
        <f t="shared" si="39"/>
        <v>82.897506652610019</v>
      </c>
      <c r="AO62" s="1090">
        <f t="shared" si="49"/>
        <v>-1.2100572734327308</v>
      </c>
      <c r="AP62" s="1083">
        <v>82.897506652610019</v>
      </c>
      <c r="AQ62" s="1084">
        <v>-1.2100572734327308</v>
      </c>
      <c r="AR62" s="1083">
        <v>67.993478476003531</v>
      </c>
      <c r="AS62" s="1084">
        <v>-1.1812278554743794</v>
      </c>
      <c r="AT62" s="1083">
        <v>54.184090589670774</v>
      </c>
      <c r="AU62" s="1084">
        <v>-1.0749730476428352</v>
      </c>
      <c r="AV62" s="1083"/>
      <c r="AW62" s="1084"/>
      <c r="AX62" s="28">
        <f t="shared" si="40"/>
        <v>82.897506652610019</v>
      </c>
      <c r="AY62" s="28">
        <f t="shared" si="41"/>
        <v>-1.2100572734327308</v>
      </c>
    </row>
    <row r="63" spans="1:51" s="19" customFormat="1" ht="12.75" x14ac:dyDescent="0.2">
      <c r="A63" s="1037" t="str">
        <f t="shared" si="20"/>
        <v>Arbre 5</v>
      </c>
      <c r="B63" s="1041">
        <v>1</v>
      </c>
      <c r="C63" s="1095">
        <f t="shared" ref="C63:M63" si="55">$L27+C$55*Rapous</f>
        <v>2.1358108357257661</v>
      </c>
      <c r="D63" s="1095">
        <f t="shared" si="55"/>
        <v>3.1358108357257661</v>
      </c>
      <c r="E63" s="1095">
        <f t="shared" si="55"/>
        <v>4.1358108357257661</v>
      </c>
      <c r="F63" s="1095">
        <f t="shared" si="55"/>
        <v>5.1358108357257661</v>
      </c>
      <c r="G63" s="1096">
        <f t="shared" si="55"/>
        <v>6.1358108357257661</v>
      </c>
      <c r="H63" s="1097">
        <f t="shared" si="55"/>
        <v>7.1358108357257661</v>
      </c>
      <c r="I63" s="1098">
        <f t="shared" si="55"/>
        <v>8.135810835725767</v>
      </c>
      <c r="J63" s="1095">
        <f t="shared" si="55"/>
        <v>9.135810835725767</v>
      </c>
      <c r="K63" s="1095">
        <f t="shared" si="55"/>
        <v>10.135810835725767</v>
      </c>
      <c r="L63" s="1095">
        <f t="shared" si="55"/>
        <v>11.135810835725767</v>
      </c>
      <c r="M63" s="1096">
        <f t="shared" si="55"/>
        <v>12.135810835725767</v>
      </c>
      <c r="N63" s="697">
        <f t="shared" si="22"/>
        <v>32.013501112377995</v>
      </c>
      <c r="O63" s="941" t="str">
        <f t="shared" si="23"/>
        <v>Arbre 5</v>
      </c>
      <c r="P63" s="687">
        <f t="shared" si="24"/>
        <v>43.307099455441318</v>
      </c>
      <c r="Q63" s="694">
        <f t="shared" si="25"/>
        <v>5.689221533333658</v>
      </c>
      <c r="R63" s="697">
        <f t="shared" si="26"/>
        <v>5.689221533333658</v>
      </c>
      <c r="S63" s="697">
        <f t="shared" si="27"/>
        <v>5.689221533333658</v>
      </c>
      <c r="T63" s="697">
        <f t="shared" si="28"/>
        <v>5.689221533333658</v>
      </c>
      <c r="U63" s="957">
        <f t="shared" si="29"/>
        <v>5.689221533333658</v>
      </c>
      <c r="V63" s="1100">
        <f t="shared" si="30"/>
        <v>6.1508999434704172</v>
      </c>
      <c r="W63" s="694">
        <f t="shared" si="31"/>
        <v>7.9136665917859945</v>
      </c>
      <c r="X63" s="697">
        <f t="shared" si="32"/>
        <v>9.6614883537590686</v>
      </c>
      <c r="Y63" s="697">
        <f t="shared" si="33"/>
        <v>11.39134841869534</v>
      </c>
      <c r="Z63" s="697">
        <f t="shared" si="34"/>
        <v>13.100422197061961</v>
      </c>
      <c r="AA63" s="957">
        <f t="shared" si="35"/>
        <v>14.786100051932294</v>
      </c>
      <c r="AB63" s="1068">
        <f t="shared" si="36"/>
        <v>15.770889284120925</v>
      </c>
      <c r="AC63" s="1069">
        <f t="shared" si="43"/>
        <v>7.5010000000000003</v>
      </c>
      <c r="AD63" s="39" t="b">
        <f t="shared" si="37"/>
        <v>0</v>
      </c>
      <c r="AE63" s="1069">
        <f t="shared" si="38"/>
        <v>17.658297967176836</v>
      </c>
      <c r="AF63" s="1070">
        <f t="shared" si="44"/>
        <v>0</v>
      </c>
      <c r="AG63" s="942">
        <v>30.6</v>
      </c>
      <c r="AH63" s="943">
        <v>8.3700000000000045</v>
      </c>
      <c r="AJ63" s="1078">
        <f t="shared" si="45"/>
        <v>5.689221533333658</v>
      </c>
      <c r="AK63" s="82">
        <f t="shared" si="46"/>
        <v>4</v>
      </c>
      <c r="AL63" s="1079">
        <f t="shared" si="47"/>
        <v>5.3221648969759707</v>
      </c>
      <c r="AM63" s="1079">
        <f t="shared" si="48"/>
        <v>-3.0975516078479006</v>
      </c>
      <c r="AN63" s="1089">
        <f t="shared" si="39"/>
        <v>166</v>
      </c>
      <c r="AO63" s="1090">
        <f t="shared" si="49"/>
        <v>1</v>
      </c>
      <c r="AP63" s="1083">
        <v>166</v>
      </c>
      <c r="AQ63" s="1084">
        <v>1</v>
      </c>
      <c r="AR63" s="1083">
        <v>166</v>
      </c>
      <c r="AS63" s="1084">
        <v>1</v>
      </c>
      <c r="AT63" s="1083">
        <v>166</v>
      </c>
      <c r="AU63" s="1084">
        <v>1</v>
      </c>
      <c r="AV63" s="1083"/>
      <c r="AW63" s="1084"/>
      <c r="AX63" s="28">
        <f t="shared" si="40"/>
        <v>166</v>
      </c>
      <c r="AY63" s="28">
        <f t="shared" si="41"/>
        <v>1</v>
      </c>
    </row>
    <row r="64" spans="1:51" s="19" customFormat="1" ht="12.75" x14ac:dyDescent="0.2">
      <c r="A64" s="1037" t="str">
        <f t="shared" si="20"/>
        <v>Arbre 7</v>
      </c>
      <c r="B64" s="1041">
        <v>1</v>
      </c>
      <c r="C64" s="1095">
        <f t="shared" ref="C64:M64" si="56">$L28+C$55*Rapous</f>
        <v>12.882694408116947</v>
      </c>
      <c r="D64" s="1095">
        <f t="shared" si="56"/>
        <v>13.882694408116947</v>
      </c>
      <c r="E64" s="1095">
        <f t="shared" si="56"/>
        <v>14.882694408116947</v>
      </c>
      <c r="F64" s="1095">
        <f t="shared" si="56"/>
        <v>15.882694408116947</v>
      </c>
      <c r="G64" s="1096">
        <f t="shared" si="56"/>
        <v>16.882694408116947</v>
      </c>
      <c r="H64" s="1097">
        <f t="shared" si="56"/>
        <v>17.882694408116947</v>
      </c>
      <c r="I64" s="1098">
        <f t="shared" si="56"/>
        <v>18.882694408116947</v>
      </c>
      <c r="J64" s="1095">
        <f t="shared" si="56"/>
        <v>19.882694408116947</v>
      </c>
      <c r="K64" s="1095">
        <f t="shared" si="56"/>
        <v>20.882694408116947</v>
      </c>
      <c r="L64" s="1095">
        <f t="shared" si="56"/>
        <v>21.882694408116947</v>
      </c>
      <c r="M64" s="1096">
        <f t="shared" si="56"/>
        <v>22.882694408116947</v>
      </c>
      <c r="N64" s="697">
        <f t="shared" si="22"/>
        <v>63.761440307907861</v>
      </c>
      <c r="O64" s="941" t="str">
        <f t="shared" si="23"/>
        <v>Arbre 7</v>
      </c>
      <c r="P64" s="687">
        <f t="shared" si="24"/>
        <v>60.965397422618153</v>
      </c>
      <c r="Q64" s="694">
        <f t="shared" si="25"/>
        <v>8.2076968142623628</v>
      </c>
      <c r="R64" s="697">
        <f t="shared" si="26"/>
        <v>9.0859633886449558</v>
      </c>
      <c r="S64" s="697">
        <f t="shared" si="27"/>
        <v>9.9599453393317976</v>
      </c>
      <c r="T64" s="697">
        <f t="shared" si="28"/>
        <v>10.829270373281052</v>
      </c>
      <c r="U64" s="957">
        <f t="shared" si="29"/>
        <v>11.693578723420272</v>
      </c>
      <c r="V64" s="1100">
        <f t="shared" si="30"/>
        <v>12.55252388802935</v>
      </c>
      <c r="W64" s="694">
        <f t="shared" si="31"/>
        <v>13.405773287113588</v>
      </c>
      <c r="X64" s="697">
        <f t="shared" si="32"/>
        <v>14.253008834133279</v>
      </c>
      <c r="Y64" s="697">
        <f t="shared" si="33"/>
        <v>15.093927422343874</v>
      </c>
      <c r="Z64" s="697">
        <f t="shared" si="34"/>
        <v>15.92824132585336</v>
      </c>
      <c r="AA64" s="957">
        <f t="shared" si="35"/>
        <v>16.755678516309555</v>
      </c>
      <c r="AB64" s="1068">
        <f t="shared" si="36"/>
        <v>14.930300551620217</v>
      </c>
      <c r="AC64" s="1069">
        <f t="shared" si="43"/>
        <v>7.5010000000000003</v>
      </c>
      <c r="AD64" s="39" t="b">
        <f t="shared" si="37"/>
        <v>0</v>
      </c>
      <c r="AE64" s="1069">
        <f t="shared" si="38"/>
        <v>0.39906021972089434</v>
      </c>
      <c r="AF64" s="1070">
        <f t="shared" si="44"/>
        <v>0</v>
      </c>
      <c r="AG64" s="942">
        <v>32.76</v>
      </c>
      <c r="AH64" s="943">
        <v>8.660000000000025</v>
      </c>
      <c r="AJ64" s="1078">
        <f t="shared" si="45"/>
        <v>6.0753766400658735</v>
      </c>
      <c r="AK64" s="82">
        <f t="shared" si="46"/>
        <v>5</v>
      </c>
      <c r="AL64" s="1079">
        <f t="shared" si="47"/>
        <v>54.612567039239572</v>
      </c>
      <c r="AM64" s="1079">
        <f t="shared" si="48"/>
        <v>8.3044314861352913</v>
      </c>
      <c r="AN64" s="1089">
        <f t="shared" si="39"/>
        <v>256</v>
      </c>
      <c r="AO64" s="1090">
        <f t="shared" si="49"/>
        <v>16.699244233993621</v>
      </c>
      <c r="AP64" s="1083">
        <v>256</v>
      </c>
      <c r="AQ64" s="1084">
        <v>16.699244233993621</v>
      </c>
      <c r="AR64" s="1083">
        <v>256</v>
      </c>
      <c r="AS64" s="1084">
        <v>16.699244233993621</v>
      </c>
      <c r="AT64" s="1083">
        <v>256</v>
      </c>
      <c r="AU64" s="1084">
        <v>16.699244233993621</v>
      </c>
      <c r="AV64" s="1083"/>
      <c r="AW64" s="1084"/>
      <c r="AX64" s="28">
        <f t="shared" si="40"/>
        <v>256</v>
      </c>
      <c r="AY64" s="28">
        <f t="shared" si="41"/>
        <v>16.699244233993621</v>
      </c>
    </row>
    <row r="65" spans="1:51" s="19" customFormat="1" ht="12.75" x14ac:dyDescent="0.2">
      <c r="A65" s="1037" t="str">
        <f t="shared" si="20"/>
        <v>Arbre 6</v>
      </c>
      <c r="B65" s="1041">
        <v>1</v>
      </c>
      <c r="C65" s="1095">
        <f t="shared" ref="C65:M65" si="57">$L29+C$55*Rapous</f>
        <v>4.4726772298911577</v>
      </c>
      <c r="D65" s="1095">
        <f t="shared" si="57"/>
        <v>5.4726772298911577</v>
      </c>
      <c r="E65" s="1095">
        <f t="shared" si="57"/>
        <v>6.4726772298911577</v>
      </c>
      <c r="F65" s="1095">
        <f t="shared" si="57"/>
        <v>7.4726772298911577</v>
      </c>
      <c r="G65" s="1096">
        <f t="shared" si="57"/>
        <v>8.4726772298911577</v>
      </c>
      <c r="H65" s="1097">
        <f t="shared" si="57"/>
        <v>9.4726772298911577</v>
      </c>
      <c r="I65" s="1098">
        <f t="shared" si="57"/>
        <v>10.472677229891158</v>
      </c>
      <c r="J65" s="1095">
        <f t="shared" si="57"/>
        <v>11.472677229891158</v>
      </c>
      <c r="K65" s="1095">
        <f t="shared" si="57"/>
        <v>12.472677229891158</v>
      </c>
      <c r="L65" s="1095">
        <f t="shared" si="57"/>
        <v>13.472677229891158</v>
      </c>
      <c r="M65" s="1096">
        <f t="shared" si="57"/>
        <v>14.472677229891158</v>
      </c>
      <c r="N65" s="697">
        <f t="shared" si="22"/>
        <v>46.335864836418708</v>
      </c>
      <c r="O65" s="941" t="str">
        <f t="shared" si="23"/>
        <v>Arbre 6</v>
      </c>
      <c r="P65" s="687">
        <f t="shared" si="24"/>
        <v>68.466397422618158</v>
      </c>
      <c r="Q65" s="694">
        <f t="shared" si="25"/>
        <v>5.9353560409058943</v>
      </c>
      <c r="R65" s="697">
        <f t="shared" si="26"/>
        <v>5.9353560409058943</v>
      </c>
      <c r="S65" s="697">
        <f t="shared" si="27"/>
        <v>5.9353560409058943</v>
      </c>
      <c r="T65" s="697">
        <f t="shared" si="28"/>
        <v>5.9353560409058943</v>
      </c>
      <c r="U65" s="957">
        <f t="shared" si="29"/>
        <v>5.9353560409058943</v>
      </c>
      <c r="V65" s="1100">
        <f t="shared" si="30"/>
        <v>7.1188155389532408</v>
      </c>
      <c r="W65" s="694">
        <f t="shared" si="31"/>
        <v>8.3329524141524391</v>
      </c>
      <c r="X65" s="697">
        <f t="shared" si="32"/>
        <v>9.5395999350258815</v>
      </c>
      <c r="Y65" s="697">
        <f t="shared" si="33"/>
        <v>10.737767601372948</v>
      </c>
      <c r="Z65" s="697">
        <f t="shared" si="34"/>
        <v>11.926508403716026</v>
      </c>
      <c r="AA65" s="957">
        <f t="shared" si="35"/>
        <v>13.104922586930881</v>
      </c>
      <c r="AB65" s="1068">
        <f t="shared" si="36"/>
        <v>13.814020831897935</v>
      </c>
      <c r="AC65" s="1069">
        <f t="shared" si="43"/>
        <v>7.5010000000000003</v>
      </c>
      <c r="AD65" s="39" t="b">
        <f t="shared" si="37"/>
        <v>0</v>
      </c>
      <c r="AE65" s="1069">
        <f t="shared" si="38"/>
        <v>16.523562864689012</v>
      </c>
      <c r="AF65" s="1070">
        <f t="shared" si="44"/>
        <v>7.101939780279106</v>
      </c>
      <c r="AG65" s="942">
        <v>35.270000000000003</v>
      </c>
      <c r="AH65" s="943">
        <v>9</v>
      </c>
      <c r="AJ65" s="1078">
        <f t="shared" si="45"/>
        <v>5.9353560409058943</v>
      </c>
      <c r="AK65" s="82">
        <f t="shared" si="46"/>
        <v>5</v>
      </c>
      <c r="AL65" s="1079">
        <f t="shared" si="47"/>
        <v>54.612567039239572</v>
      </c>
      <c r="AM65" s="1079">
        <f t="shared" si="48"/>
        <v>8.3044314861352913</v>
      </c>
      <c r="AN65" s="1089">
        <f t="shared" si="39"/>
        <v>257</v>
      </c>
      <c r="AO65" s="1090">
        <f t="shared" si="49"/>
        <v>16.699244233993621</v>
      </c>
      <c r="AP65" s="1083"/>
      <c r="AQ65" s="1084"/>
      <c r="AR65" s="1083"/>
      <c r="AS65" s="1084"/>
      <c r="AT65" s="1083"/>
      <c r="AU65" s="1084"/>
      <c r="AV65" s="1083"/>
      <c r="AW65" s="1084"/>
      <c r="AX65" s="28">
        <f t="shared" si="40"/>
        <v>0</v>
      </c>
      <c r="AY65" s="28">
        <f t="shared" si="41"/>
        <v>0</v>
      </c>
    </row>
    <row r="66" spans="1:51" s="19" customFormat="1" ht="12.75" x14ac:dyDescent="0.2">
      <c r="A66" s="1037" t="str">
        <f t="shared" si="20"/>
        <v>Arbre 8</v>
      </c>
      <c r="B66" s="1041">
        <v>1</v>
      </c>
      <c r="C66" s="1095">
        <f t="shared" ref="C66:M66" si="58">$L30+C$55*Rapous</f>
        <v>8.5329182635976775</v>
      </c>
      <c r="D66" s="1095">
        <f t="shared" si="58"/>
        <v>9.5329182635976775</v>
      </c>
      <c r="E66" s="1095">
        <f t="shared" si="58"/>
        <v>10.532918263597677</v>
      </c>
      <c r="F66" s="1095">
        <f t="shared" si="58"/>
        <v>11.532918263597677</v>
      </c>
      <c r="G66" s="1096">
        <f t="shared" si="58"/>
        <v>12.532918263597677</v>
      </c>
      <c r="H66" s="1097">
        <f t="shared" si="58"/>
        <v>13.532918263597677</v>
      </c>
      <c r="I66" s="1098">
        <f t="shared" si="58"/>
        <v>14.532918263597677</v>
      </c>
      <c r="J66" s="1095">
        <f t="shared" si="58"/>
        <v>15.532918263597677</v>
      </c>
      <c r="K66" s="1095">
        <f t="shared" si="58"/>
        <v>16.532918263597679</v>
      </c>
      <c r="L66" s="1095">
        <f t="shared" si="58"/>
        <v>17.532918263597679</v>
      </c>
      <c r="M66" s="1096">
        <f t="shared" si="58"/>
        <v>18.532918263597679</v>
      </c>
      <c r="N66" s="697">
        <f t="shared" si="22"/>
        <v>57.314182103026624</v>
      </c>
      <c r="O66" s="941" t="str">
        <f t="shared" si="23"/>
        <v>Arbre 8</v>
      </c>
      <c r="P66" s="687">
        <f t="shared" si="24"/>
        <v>77.88802050702806</v>
      </c>
      <c r="Q66" s="694">
        <f t="shared" si="25"/>
        <v>4.8340718434079228</v>
      </c>
      <c r="R66" s="697">
        <f t="shared" si="26"/>
        <v>5.825100601612986</v>
      </c>
      <c r="S66" s="697">
        <f t="shared" si="27"/>
        <v>6.812644481632991</v>
      </c>
      <c r="T66" s="697">
        <f t="shared" si="28"/>
        <v>7.796138509109876</v>
      </c>
      <c r="U66" s="957">
        <f t="shared" si="29"/>
        <v>8.7750318692560683</v>
      </c>
      <c r="V66" s="1100">
        <f t="shared" si="30"/>
        <v>9.7487896197562272</v>
      </c>
      <c r="W66" s="694">
        <f t="shared" si="31"/>
        <v>10.716894270494013</v>
      </c>
      <c r="X66" s="697">
        <f t="shared" si="32"/>
        <v>11.678847220130889</v>
      </c>
      <c r="Y66" s="697">
        <f t="shared" si="33"/>
        <v>12.634170041671736</v>
      </c>
      <c r="Z66" s="697">
        <f t="shared" si="34"/>
        <v>13.582405611295727</v>
      </c>
      <c r="AA66" s="957">
        <f t="shared" si="35"/>
        <v>14.523119076864988</v>
      </c>
      <c r="AB66" s="1068">
        <f t="shared" si="36"/>
        <v>15.331183515505629</v>
      </c>
      <c r="AC66" s="1069">
        <f t="shared" si="43"/>
        <v>7.5010000000000003</v>
      </c>
      <c r="AD66" s="39" t="b">
        <f t="shared" si="37"/>
        <v>0</v>
      </c>
      <c r="AE66" s="1069">
        <f t="shared" si="38"/>
        <v>5.3788162402467066</v>
      </c>
      <c r="AF66" s="1070">
        <f t="shared" si="44"/>
        <v>0</v>
      </c>
      <c r="AG66" s="942">
        <v>37.65</v>
      </c>
      <c r="AH66" s="943">
        <v>9.3500000000000227</v>
      </c>
      <c r="AJ66" s="1078">
        <f t="shared" si="45"/>
        <v>0.44125357802811838</v>
      </c>
      <c r="AK66" s="82">
        <f t="shared" si="46"/>
        <v>6</v>
      </c>
      <c r="AL66" s="1079">
        <f t="shared" si="47"/>
        <v>63.59282567395384</v>
      </c>
      <c r="AM66" s="1079">
        <f t="shared" si="48"/>
        <v>5.1534754837461936</v>
      </c>
      <c r="AN66" s="1089">
        <f t="shared" si="39"/>
        <v>257</v>
      </c>
      <c r="AO66" s="1090">
        <f t="shared" si="49"/>
        <v>16.699244233993621</v>
      </c>
      <c r="AP66" s="1083"/>
      <c r="AQ66" s="1084"/>
      <c r="AR66" s="1083"/>
      <c r="AS66" s="1084"/>
      <c r="AT66" s="1083"/>
      <c r="AU66" s="1084"/>
      <c r="AV66" s="1083"/>
      <c r="AW66" s="1084"/>
      <c r="AX66" s="28">
        <f t="shared" si="40"/>
        <v>0</v>
      </c>
      <c r="AY66" s="28">
        <f t="shared" si="41"/>
        <v>0</v>
      </c>
    </row>
    <row r="67" spans="1:51" s="19" customFormat="1" ht="12.75" x14ac:dyDescent="0.2">
      <c r="A67" s="1037" t="str">
        <f t="shared" si="20"/>
        <v>Arbre 9</v>
      </c>
      <c r="B67" s="1041">
        <v>1</v>
      </c>
      <c r="C67" s="1095">
        <f t="shared" ref="C67:M67" si="59">$L31+C$55*Rapous</f>
        <v>7.0774525662124503</v>
      </c>
      <c r="D67" s="1095">
        <f t="shared" si="59"/>
        <v>8.0774525662124503</v>
      </c>
      <c r="E67" s="1095">
        <f t="shared" si="59"/>
        <v>9.0774525662124503</v>
      </c>
      <c r="F67" s="1095">
        <f t="shared" si="59"/>
        <v>10.07745256621245</v>
      </c>
      <c r="G67" s="1096">
        <f t="shared" si="59"/>
        <v>11.07745256621245</v>
      </c>
      <c r="H67" s="1097">
        <f t="shared" si="59"/>
        <v>12.07745256621245</v>
      </c>
      <c r="I67" s="1098">
        <f t="shared" si="59"/>
        <v>13.07745256621245</v>
      </c>
      <c r="J67" s="1095">
        <f t="shared" si="59"/>
        <v>14.07745256621245</v>
      </c>
      <c r="K67" s="1095">
        <f t="shared" si="59"/>
        <v>15.07745256621245</v>
      </c>
      <c r="L67" s="1095">
        <f t="shared" si="59"/>
        <v>16.07745256621245</v>
      </c>
      <c r="M67" s="1096">
        <f t="shared" si="59"/>
        <v>17.07745256621245</v>
      </c>
      <c r="N67" s="697">
        <f t="shared" si="22"/>
        <v>46.277511494665553</v>
      </c>
      <c r="O67" s="941" t="str">
        <f t="shared" si="23"/>
        <v>Arbre 9</v>
      </c>
      <c r="P67" s="687">
        <f t="shared" si="24"/>
        <v>85.389020507028064</v>
      </c>
      <c r="Q67" s="694">
        <f t="shared" si="25"/>
        <v>4.19169681600797</v>
      </c>
      <c r="R67" s="697">
        <f t="shared" si="26"/>
        <v>5.4210477751762864</v>
      </c>
      <c r="S67" s="697">
        <f t="shared" si="27"/>
        <v>6.6454134804412464</v>
      </c>
      <c r="T67" s="697">
        <f t="shared" si="28"/>
        <v>7.8637137775370665</v>
      </c>
      <c r="U67" s="957">
        <f t="shared" si="29"/>
        <v>9.0749010879791214</v>
      </c>
      <c r="V67" s="1100">
        <f t="shared" si="30"/>
        <v>10.27796541487275</v>
      </c>
      <c r="W67" s="694">
        <f t="shared" si="31"/>
        <v>11.471938866393181</v>
      </c>
      <c r="X67" s="697">
        <f t="shared" si="32"/>
        <v>12.655899654165962</v>
      </c>
      <c r="Y67" s="697">
        <f t="shared" si="33"/>
        <v>13.828975535486341</v>
      </c>
      <c r="Z67" s="697">
        <f t="shared" si="34"/>
        <v>14.990346680139616</v>
      </c>
      <c r="AA67" s="957">
        <f t="shared" si="35"/>
        <v>16.139247954146267</v>
      </c>
      <c r="AB67" s="1068">
        <f t="shared" si="36"/>
        <v>14.380907433189815</v>
      </c>
      <c r="AC67" s="1069">
        <f t="shared" si="43"/>
        <v>7.5010000000000003</v>
      </c>
      <c r="AD67" s="39" t="b">
        <f t="shared" si="37"/>
        <v>0</v>
      </c>
      <c r="AE67" s="1069">
        <f t="shared" si="38"/>
        <v>15.064060963138857</v>
      </c>
      <c r="AF67" s="1070">
        <f t="shared" si="44"/>
        <v>2.1221837597532938</v>
      </c>
      <c r="AG67" s="942">
        <v>40.520000000000003</v>
      </c>
      <c r="AH67" s="943">
        <v>9.789999999999992</v>
      </c>
      <c r="AJ67" s="1078">
        <f t="shared" si="45"/>
        <v>-1.2002351774987456</v>
      </c>
      <c r="AK67" s="82">
        <f t="shared" si="46"/>
        <v>7</v>
      </c>
      <c r="AL67" s="1079">
        <f t="shared" si="47"/>
        <v>82.897506652610019</v>
      </c>
      <c r="AM67" s="1079">
        <f t="shared" si="48"/>
        <v>-1.2100572734327308</v>
      </c>
      <c r="AN67" s="1089">
        <f t="shared" si="39"/>
        <v>257</v>
      </c>
      <c r="AO67" s="1090">
        <f t="shared" si="49"/>
        <v>16.699244233993621</v>
      </c>
      <c r="AP67" s="1083"/>
      <c r="AQ67" s="1084"/>
      <c r="AR67" s="1083"/>
      <c r="AS67" s="1084"/>
      <c r="AT67" s="1083"/>
      <c r="AU67" s="1084"/>
      <c r="AV67" s="1083"/>
      <c r="AW67" s="1084"/>
      <c r="AX67" s="28">
        <f t="shared" si="40"/>
        <v>0</v>
      </c>
      <c r="AY67" s="28">
        <f t="shared" si="41"/>
        <v>0</v>
      </c>
    </row>
    <row r="68" spans="1:51" s="19" customFormat="1" ht="12.75" x14ac:dyDescent="0.2">
      <c r="A68" s="1037" t="str">
        <f t="shared" si="20"/>
        <v>Arbre 10</v>
      </c>
      <c r="B68" s="1041">
        <v>1</v>
      </c>
      <c r="C68" s="1095">
        <f t="shared" ref="C68:M68" si="60">$L32+C$55*Rapous</f>
        <v>4.3567905179438036</v>
      </c>
      <c r="D68" s="1095">
        <f t="shared" si="60"/>
        <v>5.3567905179438036</v>
      </c>
      <c r="E68" s="1095">
        <f t="shared" si="60"/>
        <v>6.3567905179438036</v>
      </c>
      <c r="F68" s="1095">
        <f t="shared" si="60"/>
        <v>7.3567905179438036</v>
      </c>
      <c r="G68" s="1096">
        <f t="shared" si="60"/>
        <v>8.3567905179438036</v>
      </c>
      <c r="H68" s="1097">
        <f t="shared" si="60"/>
        <v>9.3567905179438036</v>
      </c>
      <c r="I68" s="1098">
        <f t="shared" si="60"/>
        <v>10.356790517943804</v>
      </c>
      <c r="J68" s="1095">
        <f t="shared" si="60"/>
        <v>11.356790517943804</v>
      </c>
      <c r="K68" s="1095">
        <f t="shared" si="60"/>
        <v>12.356790517943804</v>
      </c>
      <c r="L68" s="1095">
        <f t="shared" si="60"/>
        <v>13.356790517943804</v>
      </c>
      <c r="M68" s="1096">
        <f t="shared" si="60"/>
        <v>14.356790517943804</v>
      </c>
      <c r="N68" s="697">
        <f t="shared" si="22"/>
        <v>47.651157944715251</v>
      </c>
      <c r="O68" s="941" t="str">
        <f t="shared" si="23"/>
        <v>Arbre 10</v>
      </c>
      <c r="P68" s="687">
        <f t="shared" si="24"/>
        <v>98.330897710413623</v>
      </c>
      <c r="Q68" s="694">
        <f t="shared" si="25"/>
        <v>0.80676158443268386</v>
      </c>
      <c r="R68" s="697">
        <f t="shared" si="26"/>
        <v>2.0083924903274823</v>
      </c>
      <c r="S68" s="697">
        <f t="shared" si="27"/>
        <v>3.2082587745674611</v>
      </c>
      <c r="T68" s="697">
        <f t="shared" si="28"/>
        <v>4.4053151484537265</v>
      </c>
      <c r="U68" s="957">
        <f t="shared" si="29"/>
        <v>5.5985310085614284</v>
      </c>
      <c r="V68" s="1100">
        <f t="shared" si="30"/>
        <v>6.7868956561429972</v>
      </c>
      <c r="W68" s="694">
        <f t="shared" si="31"/>
        <v>7.969423261226293</v>
      </c>
      <c r="X68" s="697">
        <f t="shared" si="32"/>
        <v>9.1451575128019744</v>
      </c>
      <c r="Y68" s="697">
        <f t="shared" si="33"/>
        <v>10.313175903770381</v>
      </c>
      <c r="Z68" s="697">
        <f t="shared" si="34"/>
        <v>11.472593607558727</v>
      </c>
      <c r="AA68" s="957">
        <f t="shared" si="35"/>
        <v>12.622566912233365</v>
      </c>
      <c r="AB68" s="1068">
        <f t="shared" si="36"/>
        <v>10.449707002959407</v>
      </c>
      <c r="AC68" s="1069">
        <f t="shared" si="43"/>
        <v>7.5010000000000003</v>
      </c>
      <c r="AD68" s="39" t="b">
        <f t="shared" si="37"/>
        <v>0</v>
      </c>
      <c r="AE68" s="1069">
        <f t="shared" si="38"/>
        <v>12.894369389597898</v>
      </c>
      <c r="AF68" s="1070">
        <f t="shared" si="44"/>
        <v>0</v>
      </c>
      <c r="AG68" s="942">
        <v>42.91</v>
      </c>
      <c r="AH68" s="943">
        <v>10.22999999999999</v>
      </c>
      <c r="AJ68" s="1078">
        <f t="shared" si="45"/>
        <v>-0.79961618090801689</v>
      </c>
      <c r="AK68" s="82">
        <f t="shared" si="46"/>
        <v>7</v>
      </c>
      <c r="AL68" s="1079">
        <f t="shared" si="47"/>
        <v>82.897506652610019</v>
      </c>
      <c r="AM68" s="1079">
        <f t="shared" si="48"/>
        <v>-1.2100572734327308</v>
      </c>
      <c r="AN68" s="1089">
        <f>IF(AND(AX68=0,AX69=0),MAX(AN67,$H$43+1),AX68)</f>
        <v>257</v>
      </c>
      <c r="AO68" s="1090">
        <f t="shared" si="49"/>
        <v>16.699244233993621</v>
      </c>
      <c r="AP68" s="1083"/>
      <c r="AQ68" s="1084"/>
      <c r="AR68" s="1083"/>
      <c r="AS68" s="1084"/>
      <c r="AT68" s="1083"/>
      <c r="AU68" s="1084"/>
      <c r="AV68" s="1083"/>
      <c r="AW68" s="1084"/>
      <c r="AX68" s="28">
        <f t="shared" si="40"/>
        <v>0</v>
      </c>
      <c r="AY68" s="28">
        <f t="shared" si="41"/>
        <v>0</v>
      </c>
    </row>
    <row r="69" spans="1:51" s="19" customFormat="1" ht="12.75" x14ac:dyDescent="0.2">
      <c r="A69" s="1037" t="str">
        <f t="shared" si="20"/>
        <v>Arbre 11</v>
      </c>
      <c r="B69" s="1041">
        <v>1</v>
      </c>
      <c r="C69" s="1095">
        <f t="shared" ref="C69:M69" si="61">$L33+C$55*Rapous</f>
        <v>5.1994756723411477</v>
      </c>
      <c r="D69" s="1095">
        <f t="shared" si="61"/>
        <v>6.1994756723411477</v>
      </c>
      <c r="E69" s="1095">
        <f t="shared" si="61"/>
        <v>7.1994756723411477</v>
      </c>
      <c r="F69" s="1095">
        <f t="shared" si="61"/>
        <v>8.1994756723411477</v>
      </c>
      <c r="G69" s="1096">
        <f t="shared" si="61"/>
        <v>9.1994756723411477</v>
      </c>
      <c r="H69" s="1097">
        <f t="shared" si="61"/>
        <v>10.199475672341148</v>
      </c>
      <c r="I69" s="1098">
        <f t="shared" si="61"/>
        <v>11.199475672341148</v>
      </c>
      <c r="J69" s="1095">
        <f t="shared" si="61"/>
        <v>12.199475672341148</v>
      </c>
      <c r="K69" s="1095">
        <f t="shared" si="61"/>
        <v>13.199475672341148</v>
      </c>
      <c r="L69" s="1095">
        <f t="shared" si="61"/>
        <v>14.199475672341148</v>
      </c>
      <c r="M69" s="1096">
        <f t="shared" si="61"/>
        <v>15.199475672341148</v>
      </c>
      <c r="N69" s="697">
        <f t="shared" si="22"/>
        <v>79.147354578694149</v>
      </c>
      <c r="O69" s="941" t="str">
        <f t="shared" si="23"/>
        <v>Arbre 11</v>
      </c>
      <c r="P69" s="687">
        <f t="shared" si="24"/>
        <v>111.22526710001152</v>
      </c>
      <c r="Q69" s="694">
        <f t="shared" si="25"/>
        <v>1.0956449035609972</v>
      </c>
      <c r="R69" s="697">
        <f t="shared" si="26"/>
        <v>1.8190797738270847</v>
      </c>
      <c r="S69" s="697">
        <f t="shared" si="27"/>
        <v>2.5419349350218012</v>
      </c>
      <c r="T69" s="697">
        <f t="shared" si="28"/>
        <v>3.2639813214444371</v>
      </c>
      <c r="U69" s="957">
        <f t="shared" si="29"/>
        <v>3.9849914065919703</v>
      </c>
      <c r="V69" s="1100">
        <f t="shared" si="30"/>
        <v>4.7047396286166077</v>
      </c>
      <c r="W69" s="694">
        <f t="shared" si="31"/>
        <v>5.4230028065195208</v>
      </c>
      <c r="X69" s="697">
        <f t="shared" si="32"/>
        <v>6.1395605451962103</v>
      </c>
      <c r="Y69" s="697">
        <f t="shared" si="33"/>
        <v>6.8541956275456428</v>
      </c>
      <c r="Z69" s="697">
        <f t="shared" si="34"/>
        <v>7.566694391966224</v>
      </c>
      <c r="AA69" s="957">
        <f t="shared" si="35"/>
        <v>8.276847093685447</v>
      </c>
      <c r="AB69" s="1068">
        <f t="shared" si="36"/>
        <v>8.7865125946488192</v>
      </c>
      <c r="AC69" s="1069">
        <f t="shared" si="43"/>
        <v>7.5010000000000003</v>
      </c>
      <c r="AD69" s="39" t="b">
        <f t="shared" si="37"/>
        <v>0</v>
      </c>
      <c r="AE69" s="1069">
        <f t="shared" si="38"/>
        <v>21.333600442806599</v>
      </c>
      <c r="AF69" s="1070">
        <f t="shared" si="44"/>
        <v>0</v>
      </c>
      <c r="AG69" s="942">
        <v>46.04</v>
      </c>
      <c r="AH69" s="943">
        <v>10.759999999999991</v>
      </c>
      <c r="AJ69" s="1078">
        <f t="shared" si="45"/>
        <v>-0.45669873393463778</v>
      </c>
      <c r="AK69" s="82">
        <f t="shared" si="46"/>
        <v>7</v>
      </c>
      <c r="AL69" s="1079">
        <f t="shared" si="47"/>
        <v>82.897506652610019</v>
      </c>
      <c r="AM69" s="1079">
        <f t="shared" si="48"/>
        <v>-1.2100572734327308</v>
      </c>
      <c r="AN69" s="1089">
        <f>IF(AND(AX69=0,AX70=0),MAX(AN68,$H$43+1),AX69)</f>
        <v>257</v>
      </c>
      <c r="AO69" s="1090">
        <f t="shared" si="49"/>
        <v>16.699244233993621</v>
      </c>
      <c r="AP69" s="1083"/>
      <c r="AQ69" s="1084"/>
      <c r="AR69" s="1083"/>
      <c r="AS69" s="1084"/>
      <c r="AT69" s="1083"/>
      <c r="AU69" s="1084"/>
      <c r="AV69" s="1083"/>
      <c r="AW69" s="1084"/>
      <c r="AX69" s="28">
        <f t="shared" si="40"/>
        <v>0</v>
      </c>
      <c r="AY69" s="28">
        <f t="shared" si="41"/>
        <v>0</v>
      </c>
    </row>
    <row r="70" spans="1:51" s="28" customFormat="1" ht="12.75" x14ac:dyDescent="0.2">
      <c r="A70" s="1038" t="str">
        <f t="shared" si="20"/>
        <v>Arbre 12</v>
      </c>
      <c r="B70" s="1041">
        <v>1</v>
      </c>
      <c r="C70" s="1095">
        <f t="shared" ref="C70:M70" si="62">$L34+C$55*Rapous</f>
        <v>7.2300858271471462</v>
      </c>
      <c r="D70" s="1095">
        <f t="shared" si="62"/>
        <v>8.2300858271471462</v>
      </c>
      <c r="E70" s="1095">
        <f t="shared" si="62"/>
        <v>9.2300858271471462</v>
      </c>
      <c r="F70" s="1095">
        <f t="shared" si="62"/>
        <v>10.230085827147146</v>
      </c>
      <c r="G70" s="1096">
        <f t="shared" si="62"/>
        <v>11.230085827147146</v>
      </c>
      <c r="H70" s="1097">
        <f t="shared" si="62"/>
        <v>12.230085827147146</v>
      </c>
      <c r="I70" s="1098">
        <f t="shared" si="62"/>
        <v>13.230085827147146</v>
      </c>
      <c r="J70" s="1095">
        <f t="shared" si="62"/>
        <v>14.230085827147146</v>
      </c>
      <c r="K70" s="1095">
        <f t="shared" si="62"/>
        <v>15.230085827147146</v>
      </c>
      <c r="L70" s="1095">
        <f t="shared" si="62"/>
        <v>16.230085827147146</v>
      </c>
      <c r="M70" s="1096">
        <f t="shared" si="62"/>
        <v>17.230085827147146</v>
      </c>
      <c r="N70" s="697">
        <f t="shared" si="22"/>
        <v>82.744711533762384</v>
      </c>
      <c r="O70" s="941" t="str">
        <f t="shared" si="23"/>
        <v>Arbre 12</v>
      </c>
      <c r="P70" s="687">
        <f t="shared" si="24"/>
        <v>132.55886754281812</v>
      </c>
      <c r="Q70" s="694">
        <f t="shared" si="25"/>
        <v>2.4527162474182806</v>
      </c>
      <c r="R70" s="697">
        <f t="shared" si="26"/>
        <v>3.1434980610532435</v>
      </c>
      <c r="S70" s="697">
        <f t="shared" si="27"/>
        <v>3.8333663504943005</v>
      </c>
      <c r="T70" s="697">
        <f t="shared" si="28"/>
        <v>4.5221233560967216</v>
      </c>
      <c r="U70" s="957">
        <f t="shared" si="29"/>
        <v>5.2095732387949818</v>
      </c>
      <c r="V70" s="1100">
        <f t="shared" si="30"/>
        <v>5.8955224066596266</v>
      </c>
      <c r="W70" s="694">
        <f t="shared" si="31"/>
        <v>6.5797798318844629</v>
      </c>
      <c r="X70" s="697">
        <f t="shared" si="32"/>
        <v>7.2621573569519056</v>
      </c>
      <c r="Y70" s="697">
        <f t="shared" si="33"/>
        <v>7.9424699888085435</v>
      </c>
      <c r="Z70" s="697">
        <f t="shared" si="34"/>
        <v>8.6205361799749074</v>
      </c>
      <c r="AA70" s="957">
        <f t="shared" si="35"/>
        <v>9.2961780956121896</v>
      </c>
      <c r="AB70" s="1068">
        <f t="shared" si="36"/>
        <v>5.1480890478060948</v>
      </c>
      <c r="AC70" s="1069">
        <f t="shared" si="43"/>
        <v>7.5010000000000003</v>
      </c>
      <c r="AD70" s="39" t="b">
        <f t="shared" si="37"/>
        <v>0</v>
      </c>
      <c r="AE70" s="1069">
        <f t="shared" si="38"/>
        <v>33.44113245718188</v>
      </c>
      <c r="AF70" s="1070">
        <f t="shared" si="44"/>
        <v>0</v>
      </c>
      <c r="AG70" s="942">
        <v>48.37</v>
      </c>
      <c r="AH70" s="943">
        <v>11.280000000000001</v>
      </c>
      <c r="AJ70" s="1078">
        <f t="shared" si="45"/>
        <v>0.11065462609078991</v>
      </c>
      <c r="AK70" s="82">
        <f t="shared" si="46"/>
        <v>7</v>
      </c>
      <c r="AL70" s="1079">
        <f t="shared" si="47"/>
        <v>82.897506652610019</v>
      </c>
      <c r="AM70" s="1079">
        <f t="shared" si="48"/>
        <v>-1.2100572734327308</v>
      </c>
      <c r="AN70" s="1089">
        <f t="shared" ref="AN70:AN79" si="63">IF(AND(AX70=0,AX71=0),MAX(AN69,$H$43+1),AX70)</f>
        <v>257</v>
      </c>
      <c r="AO70" s="1090">
        <f t="shared" si="49"/>
        <v>16.699244233993621</v>
      </c>
      <c r="AP70" s="1083"/>
      <c r="AQ70" s="1084"/>
      <c r="AR70" s="1083"/>
      <c r="AS70" s="1084"/>
      <c r="AT70" s="1083"/>
      <c r="AU70" s="1084"/>
      <c r="AV70" s="1083"/>
      <c r="AW70" s="1084"/>
      <c r="AX70" s="28">
        <f t="shared" si="40"/>
        <v>0</v>
      </c>
      <c r="AY70" s="28">
        <f t="shared" si="41"/>
        <v>0</v>
      </c>
    </row>
    <row r="71" spans="1:51" s="28" customFormat="1" ht="12.75" x14ac:dyDescent="0.2">
      <c r="A71" s="1038" t="str">
        <f t="shared" si="20"/>
        <v>Toiture D</v>
      </c>
      <c r="B71" s="1041">
        <v>1</v>
      </c>
      <c r="C71" s="1095">
        <f t="shared" ref="C71:M71" si="64">$L35+C$55*Rapous</f>
        <v>-5</v>
      </c>
      <c r="D71" s="1095">
        <f t="shared" si="64"/>
        <v>-4</v>
      </c>
      <c r="E71" s="1095">
        <f t="shared" si="64"/>
        <v>-3</v>
      </c>
      <c r="F71" s="1095">
        <f t="shared" si="64"/>
        <v>-2</v>
      </c>
      <c r="G71" s="1096">
        <f t="shared" si="64"/>
        <v>-1</v>
      </c>
      <c r="H71" s="1097">
        <f t="shared" si="64"/>
        <v>0</v>
      </c>
      <c r="I71" s="1098">
        <f t="shared" si="64"/>
        <v>1</v>
      </c>
      <c r="J71" s="1095">
        <f t="shared" si="64"/>
        <v>2</v>
      </c>
      <c r="K71" s="1095">
        <f t="shared" si="64"/>
        <v>3</v>
      </c>
      <c r="L71" s="1095">
        <f t="shared" si="64"/>
        <v>4</v>
      </c>
      <c r="M71" s="1096">
        <f t="shared" si="64"/>
        <v>5</v>
      </c>
      <c r="N71" s="697">
        <f t="shared" si="22"/>
        <v>0</v>
      </c>
      <c r="O71" s="941" t="str">
        <f t="shared" si="23"/>
        <v>Toiture D</v>
      </c>
      <c r="P71" s="687">
        <f t="shared" si="24"/>
        <v>166</v>
      </c>
      <c r="Q71" s="694">
        <f t="shared" si="25"/>
        <v>1</v>
      </c>
      <c r="R71" s="697">
        <f t="shared" si="26"/>
        <v>1</v>
      </c>
      <c r="S71" s="697">
        <f t="shared" si="27"/>
        <v>1</v>
      </c>
      <c r="T71" s="697">
        <f t="shared" si="28"/>
        <v>1</v>
      </c>
      <c r="U71" s="957">
        <f t="shared" si="29"/>
        <v>1</v>
      </c>
      <c r="V71" s="1100">
        <f t="shared" si="30"/>
        <v>1</v>
      </c>
      <c r="W71" s="694">
        <f t="shared" si="31"/>
        <v>1</v>
      </c>
      <c r="X71" s="697">
        <f t="shared" si="32"/>
        <v>1</v>
      </c>
      <c r="Y71" s="697">
        <f t="shared" si="33"/>
        <v>1</v>
      </c>
      <c r="Z71" s="697">
        <f t="shared" si="34"/>
        <v>1</v>
      </c>
      <c r="AA71" s="957">
        <f t="shared" si="35"/>
        <v>1</v>
      </c>
      <c r="AB71" s="1068">
        <f t="shared" si="36"/>
        <v>8.8496221169968106</v>
      </c>
      <c r="AC71" s="1069">
        <f t="shared" si="43"/>
        <v>7.5010000000000003</v>
      </c>
      <c r="AD71" s="39" t="b">
        <f t="shared" si="37"/>
        <v>0</v>
      </c>
      <c r="AE71" s="1069">
        <f t="shared" si="38"/>
        <v>90</v>
      </c>
      <c r="AF71" s="1070">
        <f t="shared" si="44"/>
        <v>0</v>
      </c>
      <c r="AG71" s="942">
        <v>51.52</v>
      </c>
      <c r="AH71" s="943">
        <v>11.930000000000007</v>
      </c>
      <c r="AJ71" s="1078">
        <f t="shared" si="45"/>
        <v>1</v>
      </c>
      <c r="AK71" s="82">
        <f t="shared" si="46"/>
        <v>8</v>
      </c>
      <c r="AL71" s="1079">
        <f t="shared" si="47"/>
        <v>166</v>
      </c>
      <c r="AM71" s="1079">
        <f t="shared" si="48"/>
        <v>1</v>
      </c>
      <c r="AN71" s="1089">
        <f t="shared" si="63"/>
        <v>257</v>
      </c>
      <c r="AO71" s="1090">
        <f t="shared" si="49"/>
        <v>16.699244233993621</v>
      </c>
      <c r="AP71" s="1083"/>
      <c r="AQ71" s="1084"/>
      <c r="AR71" s="1083"/>
      <c r="AS71" s="1084"/>
      <c r="AT71" s="1083"/>
      <c r="AU71" s="1084"/>
      <c r="AV71" s="1083"/>
      <c r="AW71" s="1084"/>
      <c r="AX71" s="28">
        <f t="shared" si="40"/>
        <v>0</v>
      </c>
      <c r="AY71" s="28">
        <f t="shared" si="41"/>
        <v>0</v>
      </c>
    </row>
    <row r="72" spans="1:51" s="28" customFormat="1" ht="12.75" x14ac:dyDescent="0.2">
      <c r="A72" s="1038" t="str">
        <f t="shared" si="20"/>
        <v>Arrière PV</v>
      </c>
      <c r="B72" s="1041">
        <v>1</v>
      </c>
      <c r="C72" s="1095">
        <f t="shared" ref="C72:M72" si="65">$L36+C$55*Rapous</f>
        <v>-5</v>
      </c>
      <c r="D72" s="1095">
        <f t="shared" si="65"/>
        <v>-4</v>
      </c>
      <c r="E72" s="1095">
        <f t="shared" si="65"/>
        <v>-3</v>
      </c>
      <c r="F72" s="1095">
        <f t="shared" si="65"/>
        <v>-2</v>
      </c>
      <c r="G72" s="1096">
        <f t="shared" si="65"/>
        <v>-1</v>
      </c>
      <c r="H72" s="1097">
        <f t="shared" si="65"/>
        <v>0</v>
      </c>
      <c r="I72" s="1098">
        <f t="shared" si="65"/>
        <v>1</v>
      </c>
      <c r="J72" s="1095">
        <f t="shared" si="65"/>
        <v>2</v>
      </c>
      <c r="K72" s="1095">
        <f t="shared" si="65"/>
        <v>3</v>
      </c>
      <c r="L72" s="1095">
        <f t="shared" si="65"/>
        <v>4</v>
      </c>
      <c r="M72" s="1096">
        <f t="shared" si="65"/>
        <v>5</v>
      </c>
      <c r="N72" s="697">
        <f t="shared" si="22"/>
        <v>0</v>
      </c>
      <c r="O72" s="941" t="str">
        <f t="shared" si="23"/>
        <v>Arrière PV</v>
      </c>
      <c r="P72" s="687">
        <f t="shared" si="24"/>
        <v>256</v>
      </c>
      <c r="Q72" s="694">
        <f t="shared" si="25"/>
        <v>16.699244233993621</v>
      </c>
      <c r="R72" s="697">
        <f t="shared" si="26"/>
        <v>16.699244233993621</v>
      </c>
      <c r="S72" s="697">
        <f t="shared" si="27"/>
        <v>16.699244233993621</v>
      </c>
      <c r="T72" s="697">
        <f t="shared" si="28"/>
        <v>16.699244233993621</v>
      </c>
      <c r="U72" s="957">
        <f t="shared" si="29"/>
        <v>16.699244233993621</v>
      </c>
      <c r="V72" s="1100">
        <f t="shared" si="30"/>
        <v>16.699244233993621</v>
      </c>
      <c r="W72" s="694">
        <f t="shared" si="31"/>
        <v>16.699244233993621</v>
      </c>
      <c r="X72" s="697">
        <f t="shared" si="32"/>
        <v>16.699244233993621</v>
      </c>
      <c r="Y72" s="697">
        <f t="shared" si="33"/>
        <v>16.699244233993621</v>
      </c>
      <c r="Z72" s="697">
        <f t="shared" si="34"/>
        <v>16.699244233993621</v>
      </c>
      <c r="AA72" s="957">
        <f t="shared" si="35"/>
        <v>16.699244233993621</v>
      </c>
      <c r="AB72" s="1068">
        <f t="shared" si="36"/>
        <v>16.699244233993621</v>
      </c>
      <c r="AC72" s="1069">
        <f t="shared" si="43"/>
        <v>7.5010000000000003</v>
      </c>
      <c r="AD72" s="39" t="b">
        <f t="shared" si="37"/>
        <v>0</v>
      </c>
      <c r="AE72" s="1069">
        <f t="shared" si="38"/>
        <v>0</v>
      </c>
      <c r="AF72" s="1070">
        <f t="shared" si="44"/>
        <v>0</v>
      </c>
      <c r="AG72" s="942">
        <v>53.73</v>
      </c>
      <c r="AH72" s="945">
        <v>12.530000000000001</v>
      </c>
      <c r="AJ72" s="1078">
        <f t="shared" si="45"/>
        <v>16.699244233993621</v>
      </c>
      <c r="AK72" s="82">
        <f t="shared" si="46"/>
        <v>9</v>
      </c>
      <c r="AL72" s="1079">
        <f t="shared" si="47"/>
        <v>256</v>
      </c>
      <c r="AM72" s="1079">
        <f t="shared" si="48"/>
        <v>16.699244233993621</v>
      </c>
      <c r="AN72" s="1089">
        <f t="shared" si="63"/>
        <v>257</v>
      </c>
      <c r="AO72" s="1090">
        <f t="shared" si="49"/>
        <v>16.699244233993621</v>
      </c>
      <c r="AP72" s="1083"/>
      <c r="AQ72" s="1084"/>
      <c r="AR72" s="1083"/>
      <c r="AS72" s="1084"/>
      <c r="AT72" s="1083"/>
      <c r="AU72" s="1084"/>
      <c r="AV72" s="1083"/>
      <c r="AW72" s="1084"/>
      <c r="AX72" s="28">
        <f t="shared" si="40"/>
        <v>0</v>
      </c>
      <c r="AY72" s="28">
        <f t="shared" si="41"/>
        <v>0</v>
      </c>
    </row>
    <row r="73" spans="1:51" s="28" customFormat="1" ht="12.75" x14ac:dyDescent="0.2">
      <c r="A73" s="1038">
        <f t="shared" si="20"/>
        <v>0</v>
      </c>
      <c r="B73" s="1041">
        <v>1</v>
      </c>
      <c r="C73" s="1095">
        <f t="shared" ref="C73:M73" si="66">$L37+C$55*Rapous</f>
        <v>-5</v>
      </c>
      <c r="D73" s="1095">
        <f t="shared" si="66"/>
        <v>-4</v>
      </c>
      <c r="E73" s="1095">
        <f t="shared" si="66"/>
        <v>-3</v>
      </c>
      <c r="F73" s="1095">
        <f t="shared" si="66"/>
        <v>-2</v>
      </c>
      <c r="G73" s="1096">
        <f t="shared" si="66"/>
        <v>-1</v>
      </c>
      <c r="H73" s="1097">
        <f t="shared" si="66"/>
        <v>0</v>
      </c>
      <c r="I73" s="1098">
        <f t="shared" si="66"/>
        <v>1</v>
      </c>
      <c r="J73" s="1095">
        <f t="shared" si="66"/>
        <v>2</v>
      </c>
      <c r="K73" s="1095">
        <f t="shared" si="66"/>
        <v>3</v>
      </c>
      <c r="L73" s="1095">
        <f t="shared" si="66"/>
        <v>4</v>
      </c>
      <c r="M73" s="1096">
        <f t="shared" si="66"/>
        <v>5</v>
      </c>
      <c r="N73" s="697">
        <f t="shared" si="22"/>
        <v>0</v>
      </c>
      <c r="O73" s="941">
        <f t="shared" si="23"/>
        <v>0</v>
      </c>
      <c r="P73" s="687">
        <f t="shared" si="24"/>
        <v>256</v>
      </c>
      <c r="Q73" s="694">
        <f t="shared" si="25"/>
        <v>16.699244233993621</v>
      </c>
      <c r="R73" s="697">
        <f t="shared" si="26"/>
        <v>16.699244233993621</v>
      </c>
      <c r="S73" s="697">
        <f t="shared" si="27"/>
        <v>16.699244233993621</v>
      </c>
      <c r="T73" s="697">
        <f t="shared" si="28"/>
        <v>16.699244233993621</v>
      </c>
      <c r="U73" s="957">
        <f t="shared" si="29"/>
        <v>16.699244233993621</v>
      </c>
      <c r="V73" s="1100">
        <f t="shared" si="30"/>
        <v>16.699244233993621</v>
      </c>
      <c r="W73" s="694">
        <f t="shared" si="31"/>
        <v>16.699244233993621</v>
      </c>
      <c r="X73" s="697">
        <f t="shared" si="32"/>
        <v>16.699244233993621</v>
      </c>
      <c r="Y73" s="697">
        <f t="shared" si="33"/>
        <v>16.699244233993621</v>
      </c>
      <c r="Z73" s="697">
        <f t="shared" si="34"/>
        <v>16.699244233993621</v>
      </c>
      <c r="AA73" s="957">
        <f t="shared" si="35"/>
        <v>16.699244233993621</v>
      </c>
      <c r="AB73" s="1068">
        <f t="shared" si="36"/>
        <v>16.699244233993621</v>
      </c>
      <c r="AC73" s="1069">
        <f t="shared" si="43"/>
        <v>7.5010000000000003</v>
      </c>
      <c r="AD73" s="39" t="b">
        <f t="shared" si="37"/>
        <v>0</v>
      </c>
      <c r="AE73" s="1069">
        <f t="shared" si="38"/>
        <v>0</v>
      </c>
      <c r="AF73" s="1070">
        <f t="shared" si="44"/>
        <v>0</v>
      </c>
      <c r="AG73" s="942">
        <v>56.67</v>
      </c>
      <c r="AH73" s="945">
        <v>13.370000000000005</v>
      </c>
      <c r="AJ73" s="1078">
        <f t="shared" si="45"/>
        <v>16.699244233993621</v>
      </c>
      <c r="AK73" s="82">
        <f t="shared" si="46"/>
        <v>9</v>
      </c>
      <c r="AL73" s="1079">
        <f t="shared" si="47"/>
        <v>256</v>
      </c>
      <c r="AM73" s="1079">
        <f t="shared" si="48"/>
        <v>16.699244233993621</v>
      </c>
      <c r="AN73" s="1089">
        <f t="shared" si="63"/>
        <v>257</v>
      </c>
      <c r="AO73" s="1090">
        <f t="shared" si="49"/>
        <v>16.699244233993621</v>
      </c>
      <c r="AP73" s="1083"/>
      <c r="AQ73" s="1084"/>
      <c r="AR73" s="1083"/>
      <c r="AS73" s="1084"/>
      <c r="AT73" s="1083"/>
      <c r="AU73" s="1084"/>
      <c r="AV73" s="1083"/>
      <c r="AW73" s="1084"/>
      <c r="AX73" s="28">
        <f t="shared" si="40"/>
        <v>0</v>
      </c>
      <c r="AY73" s="28">
        <f t="shared" si="41"/>
        <v>0</v>
      </c>
    </row>
    <row r="74" spans="1:51" s="28" customFormat="1" ht="12.75" x14ac:dyDescent="0.2">
      <c r="A74" s="1038">
        <f t="shared" si="20"/>
        <v>0</v>
      </c>
      <c r="B74" s="1041">
        <v>1</v>
      </c>
      <c r="C74" s="1095">
        <f t="shared" ref="C74:M74" si="67">$L38+C$55*Rapous</f>
        <v>-5</v>
      </c>
      <c r="D74" s="1095">
        <f t="shared" si="67"/>
        <v>-4</v>
      </c>
      <c r="E74" s="1095">
        <f t="shared" si="67"/>
        <v>-3</v>
      </c>
      <c r="F74" s="1095">
        <f t="shared" si="67"/>
        <v>-2</v>
      </c>
      <c r="G74" s="1096">
        <f t="shared" si="67"/>
        <v>-1</v>
      </c>
      <c r="H74" s="1097">
        <f t="shared" si="67"/>
        <v>0</v>
      </c>
      <c r="I74" s="1098">
        <f t="shared" si="67"/>
        <v>1</v>
      </c>
      <c r="J74" s="1095">
        <f t="shared" si="67"/>
        <v>2</v>
      </c>
      <c r="K74" s="1095">
        <f t="shared" si="67"/>
        <v>3</v>
      </c>
      <c r="L74" s="1095">
        <f t="shared" si="67"/>
        <v>4</v>
      </c>
      <c r="M74" s="1096">
        <f t="shared" si="67"/>
        <v>5</v>
      </c>
      <c r="N74" s="697">
        <f t="shared" si="22"/>
        <v>0</v>
      </c>
      <c r="O74" s="941">
        <f t="shared" si="23"/>
        <v>0</v>
      </c>
      <c r="P74" s="687">
        <f t="shared" si="24"/>
        <v>256</v>
      </c>
      <c r="Q74" s="694">
        <f t="shared" si="25"/>
        <v>16.699244233993621</v>
      </c>
      <c r="R74" s="697">
        <f t="shared" si="26"/>
        <v>16.699244233993621</v>
      </c>
      <c r="S74" s="697">
        <f t="shared" si="27"/>
        <v>16.699244233993621</v>
      </c>
      <c r="T74" s="697">
        <f t="shared" si="28"/>
        <v>16.699244233993621</v>
      </c>
      <c r="U74" s="957">
        <f t="shared" si="29"/>
        <v>16.699244233993621</v>
      </c>
      <c r="V74" s="1100">
        <f t="shared" si="30"/>
        <v>16.699244233993621</v>
      </c>
      <c r="W74" s="694">
        <f t="shared" si="31"/>
        <v>16.699244233993621</v>
      </c>
      <c r="X74" s="697">
        <f t="shared" si="32"/>
        <v>16.699244233993621</v>
      </c>
      <c r="Y74" s="697">
        <f t="shared" si="33"/>
        <v>16.699244233993621</v>
      </c>
      <c r="Z74" s="697">
        <f t="shared" si="34"/>
        <v>16.699244233993621</v>
      </c>
      <c r="AA74" s="957">
        <f t="shared" si="35"/>
        <v>16.699244233993621</v>
      </c>
      <c r="AB74" s="1068">
        <f t="shared" si="36"/>
        <v>16.699244233993621</v>
      </c>
      <c r="AC74" s="1069">
        <f t="shared" si="43"/>
        <v>7.5010000000000003</v>
      </c>
      <c r="AD74" s="39" t="b">
        <f t="shared" si="37"/>
        <v>0</v>
      </c>
      <c r="AE74" s="1069">
        <f t="shared" si="38"/>
        <v>0</v>
      </c>
      <c r="AF74" s="1070">
        <f t="shared" si="44"/>
        <v>0</v>
      </c>
      <c r="AG74" s="942">
        <v>58.66</v>
      </c>
      <c r="AH74" s="945">
        <v>13.969999999999999</v>
      </c>
      <c r="AJ74" s="1078">
        <f t="shared" si="45"/>
        <v>16.699244233993621</v>
      </c>
      <c r="AK74" s="82">
        <f t="shared" si="46"/>
        <v>9</v>
      </c>
      <c r="AL74" s="1079">
        <f t="shared" si="47"/>
        <v>256</v>
      </c>
      <c r="AM74" s="1079">
        <f t="shared" si="48"/>
        <v>16.699244233993621</v>
      </c>
      <c r="AN74" s="1089">
        <f t="shared" si="63"/>
        <v>257</v>
      </c>
      <c r="AO74" s="1090">
        <f t="shared" si="49"/>
        <v>16.699244233993621</v>
      </c>
      <c r="AP74" s="1083"/>
      <c r="AQ74" s="1084"/>
      <c r="AR74" s="1083"/>
      <c r="AS74" s="1084"/>
      <c r="AT74" s="1083"/>
      <c r="AU74" s="1084"/>
      <c r="AV74" s="1083"/>
      <c r="AW74" s="1084"/>
      <c r="AX74" s="28">
        <f t="shared" si="40"/>
        <v>0</v>
      </c>
      <c r="AY74" s="28">
        <f t="shared" si="41"/>
        <v>0</v>
      </c>
    </row>
    <row r="75" spans="1:51" s="28" customFormat="1" ht="12.75" x14ac:dyDescent="0.2">
      <c r="A75" s="1038">
        <f t="shared" si="20"/>
        <v>0</v>
      </c>
      <c r="B75" s="1041">
        <v>1</v>
      </c>
      <c r="C75" s="697">
        <f t="shared" ref="C75:M75" si="68">$L39+C$55*Rapous</f>
        <v>-5</v>
      </c>
      <c r="D75" s="697">
        <f t="shared" si="68"/>
        <v>-4</v>
      </c>
      <c r="E75" s="697">
        <f t="shared" si="68"/>
        <v>-3</v>
      </c>
      <c r="F75" s="697">
        <f t="shared" si="68"/>
        <v>-2</v>
      </c>
      <c r="G75" s="957">
        <f t="shared" si="68"/>
        <v>-1</v>
      </c>
      <c r="H75" s="1097">
        <f t="shared" si="68"/>
        <v>0</v>
      </c>
      <c r="I75" s="1098">
        <f t="shared" si="68"/>
        <v>1</v>
      </c>
      <c r="J75" s="1101">
        <f t="shared" si="68"/>
        <v>2</v>
      </c>
      <c r="K75" s="1095">
        <f t="shared" si="68"/>
        <v>3</v>
      </c>
      <c r="L75" s="1101">
        <f t="shared" si="68"/>
        <v>4</v>
      </c>
      <c r="M75" s="1096">
        <f t="shared" si="68"/>
        <v>5</v>
      </c>
      <c r="N75" s="697">
        <f t="shared" si="22"/>
        <v>0</v>
      </c>
      <c r="O75" s="941">
        <f t="shared" si="23"/>
        <v>0</v>
      </c>
      <c r="P75" s="697">
        <f t="shared" si="24"/>
        <v>256</v>
      </c>
      <c r="Q75" s="694">
        <f t="shared" si="25"/>
        <v>16.699244233993621</v>
      </c>
      <c r="R75" s="697">
        <f t="shared" si="26"/>
        <v>16.699244233993621</v>
      </c>
      <c r="S75" s="697">
        <f t="shared" si="27"/>
        <v>16.699244233993621</v>
      </c>
      <c r="T75" s="697">
        <f t="shared" si="28"/>
        <v>16.699244233993621</v>
      </c>
      <c r="U75" s="957">
        <f t="shared" si="29"/>
        <v>16.699244233993621</v>
      </c>
      <c r="V75" s="1100">
        <f t="shared" si="30"/>
        <v>16.699244233993621</v>
      </c>
      <c r="W75" s="694">
        <f t="shared" si="31"/>
        <v>16.699244233993621</v>
      </c>
      <c r="X75" s="697">
        <f t="shared" si="32"/>
        <v>16.699244233993621</v>
      </c>
      <c r="Y75" s="697">
        <f t="shared" si="33"/>
        <v>16.699244233993621</v>
      </c>
      <c r="Z75" s="697">
        <f t="shared" si="34"/>
        <v>16.699244233993621</v>
      </c>
      <c r="AA75" s="957">
        <f t="shared" si="35"/>
        <v>16.699244233993621</v>
      </c>
      <c r="AB75" s="1068">
        <f t="shared" si="36"/>
        <v>16.699244233993621</v>
      </c>
      <c r="AC75" s="1069">
        <f t="shared" si="43"/>
        <v>7.5010000000000003</v>
      </c>
      <c r="AD75" s="39" t="b">
        <f t="shared" si="37"/>
        <v>0</v>
      </c>
      <c r="AE75" s="1069">
        <f t="shared" si="38"/>
        <v>0</v>
      </c>
      <c r="AF75" s="1070">
        <f t="shared" si="44"/>
        <v>0</v>
      </c>
      <c r="AG75" s="942">
        <v>61.27</v>
      </c>
      <c r="AH75" s="945">
        <v>15.02000000000001</v>
      </c>
      <c r="AJ75" s="1078">
        <f t="shared" si="45"/>
        <v>16.699244233993621</v>
      </c>
      <c r="AK75" s="82">
        <f t="shared" si="46"/>
        <v>9</v>
      </c>
      <c r="AL75" s="1079">
        <f t="shared" si="47"/>
        <v>256</v>
      </c>
      <c r="AM75" s="1079">
        <f t="shared" si="48"/>
        <v>16.699244233993621</v>
      </c>
      <c r="AN75" s="1089">
        <f t="shared" si="63"/>
        <v>257</v>
      </c>
      <c r="AO75" s="1090">
        <f t="shared" si="49"/>
        <v>16.699244233993621</v>
      </c>
      <c r="AP75" s="1083"/>
      <c r="AQ75" s="1084"/>
      <c r="AR75" s="1083"/>
      <c r="AS75" s="1084"/>
      <c r="AT75" s="1083"/>
      <c r="AU75" s="1084"/>
      <c r="AV75" s="1083"/>
      <c r="AW75" s="1084"/>
      <c r="AX75" s="28">
        <f t="shared" si="40"/>
        <v>0</v>
      </c>
      <c r="AY75" s="28">
        <f t="shared" si="41"/>
        <v>0</v>
      </c>
    </row>
    <row r="76" spans="1:51" s="28" customFormat="1" ht="12.75" x14ac:dyDescent="0.2">
      <c r="A76" s="1038">
        <f t="shared" si="20"/>
        <v>0</v>
      </c>
      <c r="B76" s="1041">
        <v>1</v>
      </c>
      <c r="C76" s="697">
        <f t="shared" ref="C76:M76" si="69">$L40+C$55*Rapous</f>
        <v>-5</v>
      </c>
      <c r="D76" s="697">
        <f t="shared" si="69"/>
        <v>-4</v>
      </c>
      <c r="E76" s="697">
        <f t="shared" si="69"/>
        <v>-3</v>
      </c>
      <c r="F76" s="697">
        <f t="shared" si="69"/>
        <v>-2</v>
      </c>
      <c r="G76" s="957">
        <f t="shared" si="69"/>
        <v>-1</v>
      </c>
      <c r="H76" s="1097">
        <f t="shared" si="69"/>
        <v>0</v>
      </c>
      <c r="I76" s="1098">
        <f t="shared" si="69"/>
        <v>1</v>
      </c>
      <c r="J76" s="1101">
        <f t="shared" si="69"/>
        <v>2</v>
      </c>
      <c r="K76" s="1095">
        <f t="shared" si="69"/>
        <v>3</v>
      </c>
      <c r="L76" s="1101">
        <f t="shared" si="69"/>
        <v>4</v>
      </c>
      <c r="M76" s="1096">
        <f t="shared" si="69"/>
        <v>5</v>
      </c>
      <c r="N76" s="697">
        <f t="shared" si="22"/>
        <v>0</v>
      </c>
      <c r="O76" s="941">
        <f t="shared" si="23"/>
        <v>0</v>
      </c>
      <c r="P76" s="697">
        <f t="shared" si="24"/>
        <v>256</v>
      </c>
      <c r="Q76" s="694">
        <f t="shared" si="25"/>
        <v>16.699244233993621</v>
      </c>
      <c r="R76" s="697">
        <f t="shared" si="26"/>
        <v>16.699244233993621</v>
      </c>
      <c r="S76" s="697">
        <f t="shared" si="27"/>
        <v>16.699244233993621</v>
      </c>
      <c r="T76" s="697">
        <f t="shared" si="28"/>
        <v>16.699244233993621</v>
      </c>
      <c r="U76" s="957">
        <f t="shared" si="29"/>
        <v>16.699244233993621</v>
      </c>
      <c r="V76" s="1100">
        <f t="shared" si="30"/>
        <v>16.699244233993621</v>
      </c>
      <c r="W76" s="694">
        <f t="shared" si="31"/>
        <v>16.699244233993621</v>
      </c>
      <c r="X76" s="697">
        <f t="shared" si="32"/>
        <v>16.699244233993621</v>
      </c>
      <c r="Y76" s="697">
        <f t="shared" si="33"/>
        <v>16.699244233993621</v>
      </c>
      <c r="Z76" s="697">
        <f t="shared" si="34"/>
        <v>16.699244233993621</v>
      </c>
      <c r="AA76" s="957">
        <f t="shared" si="35"/>
        <v>16.699244233993621</v>
      </c>
      <c r="AB76" s="1068">
        <f t="shared" si="36"/>
        <v>16.699244233993621</v>
      </c>
      <c r="AC76" s="1069">
        <f t="shared" si="43"/>
        <v>7.5010000000000003</v>
      </c>
      <c r="AD76" s="39" t="b">
        <f t="shared" si="37"/>
        <v>0</v>
      </c>
      <c r="AE76" s="1069">
        <f t="shared" si="38"/>
        <v>0</v>
      </c>
      <c r="AF76" s="1070">
        <f t="shared" si="44"/>
        <v>0</v>
      </c>
      <c r="AG76" s="942">
        <v>62.95</v>
      </c>
      <c r="AH76" s="945">
        <v>15.569999999999993</v>
      </c>
      <c r="AJ76" s="1078">
        <f t="shared" si="45"/>
        <v>16.699244233993621</v>
      </c>
      <c r="AK76" s="82">
        <f t="shared" si="46"/>
        <v>9</v>
      </c>
      <c r="AL76" s="1079">
        <f t="shared" si="47"/>
        <v>256</v>
      </c>
      <c r="AM76" s="1079">
        <f t="shared" si="48"/>
        <v>16.699244233993621</v>
      </c>
      <c r="AN76" s="1089">
        <f t="shared" si="63"/>
        <v>257</v>
      </c>
      <c r="AO76" s="1090">
        <f t="shared" si="49"/>
        <v>16.699244233993621</v>
      </c>
      <c r="AP76" s="1083"/>
      <c r="AQ76" s="1084"/>
      <c r="AR76" s="1083"/>
      <c r="AS76" s="1084"/>
      <c r="AT76" s="1083"/>
      <c r="AU76" s="1084"/>
      <c r="AV76" s="1083"/>
      <c r="AW76" s="1084"/>
      <c r="AX76" s="28">
        <f t="shared" si="40"/>
        <v>0</v>
      </c>
      <c r="AY76" s="28">
        <f t="shared" si="41"/>
        <v>0</v>
      </c>
    </row>
    <row r="77" spans="1:51" s="28" customFormat="1" ht="12.75" x14ac:dyDescent="0.2">
      <c r="A77" s="1038">
        <f t="shared" si="20"/>
        <v>0</v>
      </c>
      <c r="B77" s="1041">
        <v>1</v>
      </c>
      <c r="C77" s="697">
        <f t="shared" ref="C77:M77" si="70">$L41+C$55*Rapous</f>
        <v>-5</v>
      </c>
      <c r="D77" s="697">
        <f t="shared" si="70"/>
        <v>-4</v>
      </c>
      <c r="E77" s="697">
        <f t="shared" si="70"/>
        <v>-3</v>
      </c>
      <c r="F77" s="697">
        <f t="shared" si="70"/>
        <v>-2</v>
      </c>
      <c r="G77" s="957">
        <f t="shared" si="70"/>
        <v>-1</v>
      </c>
      <c r="H77" s="1097">
        <f t="shared" si="70"/>
        <v>0</v>
      </c>
      <c r="I77" s="1098">
        <f t="shared" si="70"/>
        <v>1</v>
      </c>
      <c r="J77" s="1101">
        <f t="shared" si="70"/>
        <v>2</v>
      </c>
      <c r="K77" s="1095">
        <f t="shared" si="70"/>
        <v>3</v>
      </c>
      <c r="L77" s="1101">
        <f t="shared" si="70"/>
        <v>4</v>
      </c>
      <c r="M77" s="1096">
        <f t="shared" si="70"/>
        <v>5</v>
      </c>
      <c r="N77" s="697">
        <f t="shared" si="22"/>
        <v>0</v>
      </c>
      <c r="O77" s="941">
        <f t="shared" si="23"/>
        <v>0</v>
      </c>
      <c r="P77" s="697">
        <f t="shared" si="24"/>
        <v>256</v>
      </c>
      <c r="Q77" s="694">
        <f t="shared" si="25"/>
        <v>16.699244233993621</v>
      </c>
      <c r="R77" s="697">
        <f t="shared" si="26"/>
        <v>16.699244233993621</v>
      </c>
      <c r="S77" s="697">
        <f t="shared" si="27"/>
        <v>16.699244233993621</v>
      </c>
      <c r="T77" s="697">
        <f t="shared" si="28"/>
        <v>16.699244233993621</v>
      </c>
      <c r="U77" s="957">
        <f t="shared" si="29"/>
        <v>16.699244233993621</v>
      </c>
      <c r="V77" s="1100">
        <f t="shared" si="30"/>
        <v>16.699244233993621</v>
      </c>
      <c r="W77" s="694">
        <f t="shared" si="31"/>
        <v>16.699244233993621</v>
      </c>
      <c r="X77" s="697">
        <f t="shared" si="32"/>
        <v>16.699244233993621</v>
      </c>
      <c r="Y77" s="697">
        <f t="shared" si="33"/>
        <v>16.699244233993621</v>
      </c>
      <c r="Z77" s="697">
        <f t="shared" si="34"/>
        <v>16.699244233993621</v>
      </c>
      <c r="AA77" s="957">
        <f t="shared" si="35"/>
        <v>16.699244233993621</v>
      </c>
      <c r="AB77" s="1068">
        <f t="shared" si="36"/>
        <v>16.699244233993621</v>
      </c>
      <c r="AC77" s="1069">
        <f t="shared" si="43"/>
        <v>7.5010000000000003</v>
      </c>
      <c r="AD77" s="39" t="b">
        <f t="shared" si="37"/>
        <v>0</v>
      </c>
      <c r="AE77" s="1069">
        <f t="shared" si="38"/>
        <v>0</v>
      </c>
      <c r="AF77" s="1070">
        <f t="shared" si="44"/>
        <v>0</v>
      </c>
      <c r="AG77" s="942">
        <v>65.069999999999993</v>
      </c>
      <c r="AH77" s="945">
        <v>16.789999999999992</v>
      </c>
      <c r="AJ77" s="1078">
        <f t="shared" si="45"/>
        <v>16.699244233993621</v>
      </c>
      <c r="AK77" s="82">
        <f t="shared" si="46"/>
        <v>9</v>
      </c>
      <c r="AL77" s="1079">
        <f t="shared" si="47"/>
        <v>256</v>
      </c>
      <c r="AM77" s="1079">
        <f t="shared" si="48"/>
        <v>16.699244233993621</v>
      </c>
      <c r="AN77" s="1089">
        <f t="shared" si="63"/>
        <v>257</v>
      </c>
      <c r="AO77" s="1090">
        <f t="shared" si="49"/>
        <v>16.699244233993621</v>
      </c>
      <c r="AP77" s="1083"/>
      <c r="AQ77" s="1084"/>
      <c r="AR77" s="1083"/>
      <c r="AS77" s="1084"/>
      <c r="AT77" s="1083"/>
      <c r="AU77" s="1084"/>
      <c r="AV77" s="1083"/>
      <c r="AW77" s="1084"/>
      <c r="AX77" s="28">
        <f t="shared" si="40"/>
        <v>0</v>
      </c>
      <c r="AY77" s="28">
        <f t="shared" si="41"/>
        <v>0</v>
      </c>
    </row>
    <row r="78" spans="1:51" s="28" customFormat="1" ht="12.75" x14ac:dyDescent="0.2">
      <c r="A78" s="1038">
        <f t="shared" si="20"/>
        <v>0</v>
      </c>
      <c r="B78" s="1041">
        <v>1</v>
      </c>
      <c r="C78" s="697">
        <f t="shared" ref="C78:M78" si="71">$L42+C$55*Rapous</f>
        <v>-5</v>
      </c>
      <c r="D78" s="697">
        <f t="shared" si="71"/>
        <v>-4</v>
      </c>
      <c r="E78" s="697">
        <f t="shared" si="71"/>
        <v>-3</v>
      </c>
      <c r="F78" s="697">
        <f t="shared" si="71"/>
        <v>-2</v>
      </c>
      <c r="G78" s="957">
        <f t="shared" si="71"/>
        <v>-1</v>
      </c>
      <c r="H78" s="1097">
        <f t="shared" si="71"/>
        <v>0</v>
      </c>
      <c r="I78" s="1098">
        <f t="shared" si="71"/>
        <v>1</v>
      </c>
      <c r="J78" s="1101">
        <f t="shared" si="71"/>
        <v>2</v>
      </c>
      <c r="K78" s="1095">
        <f t="shared" si="71"/>
        <v>3</v>
      </c>
      <c r="L78" s="1101">
        <f t="shared" si="71"/>
        <v>4</v>
      </c>
      <c r="M78" s="1096">
        <f t="shared" si="71"/>
        <v>5</v>
      </c>
      <c r="N78" s="697">
        <f t="shared" si="22"/>
        <v>0</v>
      </c>
      <c r="O78" s="941">
        <f t="shared" si="23"/>
        <v>0</v>
      </c>
      <c r="P78" s="697">
        <f t="shared" si="24"/>
        <v>256</v>
      </c>
      <c r="Q78" s="694">
        <f t="shared" si="25"/>
        <v>16.699244233993621</v>
      </c>
      <c r="R78" s="697">
        <f t="shared" si="26"/>
        <v>16.699244233993621</v>
      </c>
      <c r="S78" s="697">
        <f t="shared" si="27"/>
        <v>16.699244233993621</v>
      </c>
      <c r="T78" s="697">
        <f t="shared" si="28"/>
        <v>16.699244233993621</v>
      </c>
      <c r="U78" s="957">
        <f t="shared" si="29"/>
        <v>16.699244233993621</v>
      </c>
      <c r="V78" s="1100">
        <f t="shared" si="30"/>
        <v>16.699244233993621</v>
      </c>
      <c r="W78" s="694">
        <f t="shared" si="31"/>
        <v>16.699244233993621</v>
      </c>
      <c r="X78" s="697">
        <f t="shared" si="32"/>
        <v>16.699244233993621</v>
      </c>
      <c r="Y78" s="697">
        <f t="shared" si="33"/>
        <v>16.699244233993621</v>
      </c>
      <c r="Z78" s="697">
        <f t="shared" si="34"/>
        <v>16.699244233993621</v>
      </c>
      <c r="AA78" s="957">
        <f t="shared" si="35"/>
        <v>16.699244233993621</v>
      </c>
      <c r="AB78" s="1068">
        <f t="shared" si="36"/>
        <v>16.699244233993621</v>
      </c>
      <c r="AC78" s="1069">
        <f t="shared" si="43"/>
        <v>7.5010000000000003</v>
      </c>
      <c r="AD78" s="39" t="b">
        <f t="shared" si="37"/>
        <v>0</v>
      </c>
      <c r="AE78" s="1069">
        <f t="shared" si="38"/>
        <v>0</v>
      </c>
      <c r="AF78" s="1070">
        <f t="shared" si="44"/>
        <v>0</v>
      </c>
      <c r="AG78" s="942">
        <v>66.36</v>
      </c>
      <c r="AH78" s="945">
        <v>17.259999999999991</v>
      </c>
      <c r="AJ78" s="1078">
        <f t="shared" si="45"/>
        <v>16.699244233993621</v>
      </c>
      <c r="AK78" s="82">
        <f t="shared" si="46"/>
        <v>9</v>
      </c>
      <c r="AL78" s="1079">
        <f t="shared" si="47"/>
        <v>256</v>
      </c>
      <c r="AM78" s="1079">
        <f t="shared" si="48"/>
        <v>16.699244233993621</v>
      </c>
      <c r="AN78" s="1089">
        <f t="shared" si="63"/>
        <v>257</v>
      </c>
      <c r="AO78" s="1090">
        <f t="shared" si="49"/>
        <v>16.699244233993621</v>
      </c>
      <c r="AP78" s="1083"/>
      <c r="AQ78" s="1084"/>
      <c r="AR78" s="1083"/>
      <c r="AS78" s="1084"/>
      <c r="AT78" s="1083"/>
      <c r="AU78" s="1084"/>
      <c r="AV78" s="1083"/>
      <c r="AW78" s="1084"/>
      <c r="AX78" s="28">
        <f t="shared" si="40"/>
        <v>0</v>
      </c>
      <c r="AY78" s="28">
        <f t="shared" si="41"/>
        <v>0</v>
      </c>
    </row>
    <row r="79" spans="1:51" s="28" customFormat="1" ht="13.5" thickBot="1" x14ac:dyDescent="0.25">
      <c r="A79" s="1039">
        <f t="shared" si="20"/>
        <v>0</v>
      </c>
      <c r="B79" s="1042">
        <v>1</v>
      </c>
      <c r="C79" s="706">
        <f t="shared" ref="C79:M79" si="72">$L43+C$55*Rapous</f>
        <v>-5</v>
      </c>
      <c r="D79" s="706">
        <f t="shared" si="72"/>
        <v>-4</v>
      </c>
      <c r="E79" s="706">
        <f t="shared" si="72"/>
        <v>-3</v>
      </c>
      <c r="F79" s="706">
        <f t="shared" si="72"/>
        <v>-2</v>
      </c>
      <c r="G79" s="963">
        <f t="shared" si="72"/>
        <v>-1</v>
      </c>
      <c r="H79" s="1102">
        <f t="shared" si="72"/>
        <v>0</v>
      </c>
      <c r="I79" s="1103">
        <f t="shared" si="72"/>
        <v>1</v>
      </c>
      <c r="J79" s="1104">
        <f t="shared" si="72"/>
        <v>2</v>
      </c>
      <c r="K79" s="1105">
        <f t="shared" si="72"/>
        <v>3</v>
      </c>
      <c r="L79" s="1104">
        <f t="shared" si="72"/>
        <v>4</v>
      </c>
      <c r="M79" s="1106">
        <f t="shared" si="72"/>
        <v>5</v>
      </c>
      <c r="N79" s="706">
        <f t="shared" si="22"/>
        <v>0</v>
      </c>
      <c r="O79" s="946">
        <f t="shared" si="23"/>
        <v>0</v>
      </c>
      <c r="P79" s="706">
        <f t="shared" si="24"/>
        <v>256</v>
      </c>
      <c r="Q79" s="962">
        <f t="shared" si="25"/>
        <v>16.699244233993621</v>
      </c>
      <c r="R79" s="706">
        <f t="shared" si="26"/>
        <v>16.699244233993621</v>
      </c>
      <c r="S79" s="706">
        <f t="shared" si="27"/>
        <v>16.699244233993621</v>
      </c>
      <c r="T79" s="706">
        <f t="shared" si="28"/>
        <v>16.699244233993621</v>
      </c>
      <c r="U79" s="963">
        <f t="shared" si="29"/>
        <v>16.699244233993621</v>
      </c>
      <c r="V79" s="1107">
        <f t="shared" si="30"/>
        <v>16.699244233993621</v>
      </c>
      <c r="W79" s="962">
        <f t="shared" si="31"/>
        <v>16.699244233993621</v>
      </c>
      <c r="X79" s="706">
        <f t="shared" si="32"/>
        <v>16.699244233993621</v>
      </c>
      <c r="Y79" s="706">
        <f t="shared" si="33"/>
        <v>16.699244233993621</v>
      </c>
      <c r="Z79" s="706">
        <f t="shared" si="34"/>
        <v>16.699244233993621</v>
      </c>
      <c r="AA79" s="963">
        <f t="shared" si="35"/>
        <v>16.699244233993621</v>
      </c>
      <c r="AB79" s="1071">
        <f>(AA79+Z80)/2</f>
        <v>8.3496221169968106</v>
      </c>
      <c r="AC79" s="1072">
        <f t="shared" si="43"/>
        <v>7.5010000000000003</v>
      </c>
      <c r="AD79" s="1073" t="b">
        <f t="shared" si="37"/>
        <v>1</v>
      </c>
      <c r="AE79" s="1072">
        <f t="shared" si="38"/>
        <v>-256</v>
      </c>
      <c r="AF79" s="1074">
        <f t="shared" si="44"/>
        <v>0</v>
      </c>
      <c r="AG79" s="942">
        <v>67.87</v>
      </c>
      <c r="AH79" s="945">
        <v>18.400000000000006</v>
      </c>
      <c r="AJ79" s="1080">
        <f t="shared" si="45"/>
        <v>16.699244233993621</v>
      </c>
      <c r="AK79" s="1081">
        <f t="shared" si="46"/>
        <v>9</v>
      </c>
      <c r="AL79" s="1082">
        <f t="shared" si="47"/>
        <v>256</v>
      </c>
      <c r="AM79" s="1082">
        <f t="shared" si="48"/>
        <v>16.699244233993621</v>
      </c>
      <c r="AN79" s="1091">
        <f t="shared" si="63"/>
        <v>257</v>
      </c>
      <c r="AO79" s="1092">
        <f t="shared" si="49"/>
        <v>16.699244233993621</v>
      </c>
      <c r="AP79" s="1093"/>
      <c r="AQ79" s="1094"/>
      <c r="AR79" s="1093"/>
      <c r="AS79" s="1094"/>
      <c r="AT79" s="1093"/>
      <c r="AU79" s="1094"/>
      <c r="AV79" s="1093"/>
      <c r="AW79" s="1094"/>
      <c r="AX79" s="28">
        <f t="shared" si="40"/>
        <v>0</v>
      </c>
      <c r="AY79" s="28">
        <f t="shared" si="41"/>
        <v>0</v>
      </c>
    </row>
    <row r="80" spans="1:51" s="19" customFormat="1" ht="12.75" x14ac:dyDescent="0.2">
      <c r="G80" s="31"/>
      <c r="H80" s="31"/>
      <c r="U80" s="29"/>
      <c r="W80" s="29"/>
      <c r="X80" s="703"/>
      <c r="Y80" s="29"/>
      <c r="AB80" s="1043"/>
      <c r="AC80" s="29"/>
      <c r="AG80" s="942">
        <v>68.69</v>
      </c>
      <c r="AH80" s="945">
        <v>18.659999999999997</v>
      </c>
      <c r="AJ80" s="944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61" t="s">
        <v>197</v>
      </c>
      <c r="F81" s="30"/>
      <c r="G81" s="29"/>
      <c r="H81" s="31"/>
      <c r="K81" s="30"/>
      <c r="Q81" s="29"/>
      <c r="R81" s="677"/>
      <c r="S81" s="29"/>
      <c r="U81" s="29"/>
      <c r="W81" s="29"/>
      <c r="X81" s="703"/>
      <c r="Y81" s="29"/>
      <c r="AB81" s="1043"/>
      <c r="AC81" s="29"/>
      <c r="AG81" s="942">
        <v>69.48</v>
      </c>
      <c r="AH81" s="945">
        <v>19.439999999999998</v>
      </c>
      <c r="AJ81" s="944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90" t="str">
        <f t="array" ref="A82:Z94">TRANSPOSE(O54:AA79)</f>
        <v>Crêche d'Escalquens</v>
      </c>
      <c r="B82" s="947" t="str">
        <v>zone 1</v>
      </c>
      <c r="C82" s="948" t="str">
        <v>Toiture D</v>
      </c>
      <c r="D82" s="948" t="str">
        <v>Arrière PV</v>
      </c>
      <c r="E82" s="948" t="str">
        <v>Arbre 0</v>
      </c>
      <c r="F82" s="948" t="str">
        <v>Arbre 1</v>
      </c>
      <c r="G82" s="948" t="str">
        <v>Arbre 2</v>
      </c>
      <c r="H82" s="948" t="str">
        <v>Arbre 3</v>
      </c>
      <c r="I82" s="948" t="str">
        <v>Arbre 4</v>
      </c>
      <c r="J82" s="948" t="str">
        <v>Arbre 5</v>
      </c>
      <c r="K82" s="948" t="str">
        <v>Arbre 7</v>
      </c>
      <c r="L82" s="948" t="str">
        <v>Arbre 6</v>
      </c>
      <c r="M82" s="948" t="str">
        <v>Arbre 8</v>
      </c>
      <c r="N82" s="948" t="str">
        <v>Arbre 9</v>
      </c>
      <c r="O82" s="948" t="str">
        <v>Arbre 10</v>
      </c>
      <c r="P82" s="948" t="str">
        <v>Arbre 11</v>
      </c>
      <c r="Q82" s="948" t="str">
        <v>Arbre 12</v>
      </c>
      <c r="R82" s="948" t="str">
        <v>Toiture D</v>
      </c>
      <c r="S82" s="948" t="str">
        <v>Arrière PV</v>
      </c>
      <c r="T82" s="948">
        <v>0</v>
      </c>
      <c r="U82" s="948">
        <v>0</v>
      </c>
      <c r="V82" s="948">
        <v>0</v>
      </c>
      <c r="W82" s="948">
        <v>0</v>
      </c>
      <c r="X82" s="948">
        <v>0</v>
      </c>
      <c r="Y82" s="948">
        <v>0</v>
      </c>
      <c r="Z82" s="948">
        <v>0</v>
      </c>
      <c r="AB82" s="1044"/>
      <c r="AG82" s="964">
        <v>69.760000000000005</v>
      </c>
      <c r="AH82" s="965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49">
        <v>76</v>
      </c>
      <c r="B83" s="950" t="str">
        <v>Azi.S / PV</v>
      </c>
      <c r="C83" s="951">
        <v>-194</v>
      </c>
      <c r="D83" s="704">
        <v>-104</v>
      </c>
      <c r="E83" s="704">
        <v>-35.497218689406004</v>
      </c>
      <c r="F83" s="704">
        <v>-16.939002002972433</v>
      </c>
      <c r="G83" s="704">
        <v>0.80536182776992982</v>
      </c>
      <c r="H83" s="704">
        <v>12.965234627757482</v>
      </c>
      <c r="I83" s="704">
        <v>20.466234627757483</v>
      </c>
      <c r="J83" s="704">
        <v>43.307099455441318</v>
      </c>
      <c r="K83" s="704">
        <v>60.965397422618153</v>
      </c>
      <c r="L83" s="704">
        <v>68.466397422618158</v>
      </c>
      <c r="M83" s="704">
        <v>77.88802050702806</v>
      </c>
      <c r="N83" s="704">
        <v>85.389020507028064</v>
      </c>
      <c r="O83" s="704">
        <v>98.330897710413623</v>
      </c>
      <c r="P83" s="704">
        <v>111.22526710001152</v>
      </c>
      <c r="Q83" s="704">
        <v>132.55886754281812</v>
      </c>
      <c r="R83" s="704">
        <v>166</v>
      </c>
      <c r="S83" s="704">
        <v>256</v>
      </c>
      <c r="T83" s="704">
        <v>256</v>
      </c>
      <c r="U83" s="704">
        <v>256</v>
      </c>
      <c r="V83" s="704">
        <v>256</v>
      </c>
      <c r="W83" s="704">
        <v>256</v>
      </c>
      <c r="X83" s="704">
        <v>256</v>
      </c>
      <c r="Y83" s="704">
        <v>256</v>
      </c>
      <c r="Z83" s="952">
        <v>256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3" t="str">
        <v>Elevation vue du champ PV zone: 1</v>
      </c>
      <c r="B84" s="954">
        <v>-5</v>
      </c>
      <c r="C84" s="824">
        <v>1</v>
      </c>
      <c r="D84" s="705">
        <v>16.699244233993621</v>
      </c>
      <c r="E84" s="705">
        <v>4.7498898506284117</v>
      </c>
      <c r="F84" s="705">
        <v>2.9408612808185213</v>
      </c>
      <c r="G84" s="705">
        <v>2.5733455269995726</v>
      </c>
      <c r="H84" s="705">
        <v>3.3439591995806617</v>
      </c>
      <c r="I84" s="705">
        <v>0.22249846011628849</v>
      </c>
      <c r="J84" s="705">
        <v>5.689221533333658</v>
      </c>
      <c r="K84" s="705">
        <v>8.2076968142623628</v>
      </c>
      <c r="L84" s="705">
        <v>5.9353560409058943</v>
      </c>
      <c r="M84" s="705">
        <v>4.8340718434079228</v>
      </c>
      <c r="N84" s="705">
        <v>4.19169681600797</v>
      </c>
      <c r="O84" s="705">
        <v>0.80676158443268386</v>
      </c>
      <c r="P84" s="705">
        <v>1.0956449035609972</v>
      </c>
      <c r="Q84" s="705">
        <v>2.4527162474182806</v>
      </c>
      <c r="R84" s="705">
        <v>1</v>
      </c>
      <c r="S84" s="705">
        <v>16.699244233993621</v>
      </c>
      <c r="T84" s="705">
        <v>16.699244233993621</v>
      </c>
      <c r="U84" s="705">
        <v>16.699244233993621</v>
      </c>
      <c r="V84" s="705">
        <v>16.699244233993621</v>
      </c>
      <c r="W84" s="705">
        <v>16.699244233993621</v>
      </c>
      <c r="X84" s="705">
        <v>16.699244233993621</v>
      </c>
      <c r="Y84" s="705">
        <v>16.699244233993621</v>
      </c>
      <c r="Z84" s="955">
        <v>16.699244233993621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6">
        <v>0</v>
      </c>
      <c r="B85" s="954">
        <v>-4</v>
      </c>
      <c r="C85" s="694">
        <v>1</v>
      </c>
      <c r="D85" s="697">
        <v>16.699244233993621</v>
      </c>
      <c r="E85" s="697">
        <v>4.7498898506284117</v>
      </c>
      <c r="F85" s="697">
        <v>3.733012496019084</v>
      </c>
      <c r="G85" s="697">
        <v>3.4673155299344867</v>
      </c>
      <c r="H85" s="697">
        <v>4.6057618560482014</v>
      </c>
      <c r="I85" s="697">
        <v>0.22249846011628849</v>
      </c>
      <c r="J85" s="697">
        <v>5.689221533333658</v>
      </c>
      <c r="K85" s="697">
        <v>9.0859633886449558</v>
      </c>
      <c r="L85" s="697">
        <v>5.9353560409058943</v>
      </c>
      <c r="M85" s="697">
        <v>5.825100601612986</v>
      </c>
      <c r="N85" s="697">
        <v>5.4210477751762864</v>
      </c>
      <c r="O85" s="697">
        <v>2.0083924903274823</v>
      </c>
      <c r="P85" s="697">
        <v>1.8190797738270847</v>
      </c>
      <c r="Q85" s="697">
        <v>3.1434980610532435</v>
      </c>
      <c r="R85" s="697">
        <v>1</v>
      </c>
      <c r="S85" s="697">
        <v>16.699244233993621</v>
      </c>
      <c r="T85" s="697">
        <v>16.699244233993621</v>
      </c>
      <c r="U85" s="697">
        <v>16.699244233993621</v>
      </c>
      <c r="V85" s="697">
        <v>16.699244233993621</v>
      </c>
      <c r="W85" s="697">
        <v>16.699244233993621</v>
      </c>
      <c r="X85" s="697">
        <v>16.699244233993621</v>
      </c>
      <c r="Y85" s="697">
        <v>16.699244233993621</v>
      </c>
      <c r="Z85" s="957">
        <v>16.699244233993621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6">
        <v>0</v>
      </c>
      <c r="B86" s="954">
        <v>-3</v>
      </c>
      <c r="C86" s="694">
        <v>1</v>
      </c>
      <c r="D86" s="697">
        <v>16.699244233993621</v>
      </c>
      <c r="E86" s="697">
        <v>4.7498898506284117</v>
      </c>
      <c r="F86" s="697">
        <v>4.5237372331435619</v>
      </c>
      <c r="G86" s="697">
        <v>4.3595985948478342</v>
      </c>
      <c r="H86" s="697">
        <v>5.8631038643158693</v>
      </c>
      <c r="I86" s="697">
        <v>1.6284891970907642</v>
      </c>
      <c r="J86" s="697">
        <v>5.689221533333658</v>
      </c>
      <c r="K86" s="697">
        <v>9.9599453393317976</v>
      </c>
      <c r="L86" s="697">
        <v>5.9353560409058943</v>
      </c>
      <c r="M86" s="697">
        <v>6.812644481632991</v>
      </c>
      <c r="N86" s="697">
        <v>6.6454134804412464</v>
      </c>
      <c r="O86" s="697">
        <v>3.2082587745674611</v>
      </c>
      <c r="P86" s="697">
        <v>2.5419349350218012</v>
      </c>
      <c r="Q86" s="697">
        <v>3.8333663504943005</v>
      </c>
      <c r="R86" s="697">
        <v>1</v>
      </c>
      <c r="S86" s="697">
        <v>16.699244233993621</v>
      </c>
      <c r="T86" s="697">
        <v>16.699244233993621</v>
      </c>
      <c r="U86" s="697">
        <v>16.699244233993621</v>
      </c>
      <c r="V86" s="697">
        <v>16.699244233993621</v>
      </c>
      <c r="W86" s="697">
        <v>16.699244233993621</v>
      </c>
      <c r="X86" s="697">
        <v>16.699244233993621</v>
      </c>
      <c r="Y86" s="697">
        <v>16.699244233993621</v>
      </c>
      <c r="Z86" s="957">
        <v>16.699244233993621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6">
        <v>0</v>
      </c>
      <c r="B87" s="954">
        <v>-2</v>
      </c>
      <c r="C87" s="694">
        <v>1</v>
      </c>
      <c r="D87" s="697">
        <v>16.699244233993621</v>
      </c>
      <c r="E87" s="697">
        <v>4.7498898506284117</v>
      </c>
      <c r="F87" s="697">
        <v>5.3127390639304508</v>
      </c>
      <c r="G87" s="697">
        <v>5.2497681179543996</v>
      </c>
      <c r="H87" s="697">
        <v>7.1148053837485632</v>
      </c>
      <c r="I87" s="697">
        <v>3.3678762152422932</v>
      </c>
      <c r="J87" s="697">
        <v>5.689221533333658</v>
      </c>
      <c r="K87" s="697">
        <v>10.829270373281052</v>
      </c>
      <c r="L87" s="697">
        <v>5.9353560409058943</v>
      </c>
      <c r="M87" s="697">
        <v>7.796138509109876</v>
      </c>
      <c r="N87" s="697">
        <v>7.8637137775370665</v>
      </c>
      <c r="O87" s="697">
        <v>4.4053151484537265</v>
      </c>
      <c r="P87" s="697">
        <v>3.2639813214444371</v>
      </c>
      <c r="Q87" s="697">
        <v>4.5221233560967216</v>
      </c>
      <c r="R87" s="697">
        <v>1</v>
      </c>
      <c r="S87" s="697">
        <v>16.699244233993621</v>
      </c>
      <c r="T87" s="697">
        <v>16.699244233993621</v>
      </c>
      <c r="U87" s="697">
        <v>16.699244233993621</v>
      </c>
      <c r="V87" s="697">
        <v>16.699244233993621</v>
      </c>
      <c r="W87" s="697">
        <v>16.699244233993621</v>
      </c>
      <c r="X87" s="697">
        <v>16.699244233993621</v>
      </c>
      <c r="Y87" s="697">
        <v>16.699244233993621</v>
      </c>
      <c r="Z87" s="957">
        <v>16.699244233993621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6">
        <v>0</v>
      </c>
      <c r="B88" s="958">
        <v>-1</v>
      </c>
      <c r="C88" s="694">
        <v>1</v>
      </c>
      <c r="D88" s="697">
        <v>16.699244233993621</v>
      </c>
      <c r="E88" s="697">
        <v>4.7498898506284117</v>
      </c>
      <c r="F88" s="697">
        <v>6.099725462267207</v>
      </c>
      <c r="G88" s="697">
        <v>6.1374035914906777</v>
      </c>
      <c r="H88" s="697">
        <v>8.3597186312960527</v>
      </c>
      <c r="I88" s="697">
        <v>5.1010723527582522</v>
      </c>
      <c r="J88" s="697">
        <v>5.689221533333658</v>
      </c>
      <c r="K88" s="697">
        <v>11.693578723420272</v>
      </c>
      <c r="L88" s="697">
        <v>5.9353560409058943</v>
      </c>
      <c r="M88" s="697">
        <v>8.7750318692560683</v>
      </c>
      <c r="N88" s="697">
        <v>9.0749010879791214</v>
      </c>
      <c r="O88" s="697">
        <v>5.5985310085614284</v>
      </c>
      <c r="P88" s="697">
        <v>3.9849914065919703</v>
      </c>
      <c r="Q88" s="697">
        <v>5.2095732387949818</v>
      </c>
      <c r="R88" s="697">
        <v>1</v>
      </c>
      <c r="S88" s="697">
        <v>16.699244233993621</v>
      </c>
      <c r="T88" s="697">
        <v>16.699244233993621</v>
      </c>
      <c r="U88" s="697">
        <v>16.699244233993621</v>
      </c>
      <c r="V88" s="697">
        <v>16.699244233993621</v>
      </c>
      <c r="W88" s="697">
        <v>16.699244233993621</v>
      </c>
      <c r="X88" s="697">
        <v>16.699244233993621</v>
      </c>
      <c r="Y88" s="697">
        <v>16.699244233993621</v>
      </c>
      <c r="Z88" s="957">
        <v>16.699244233993621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6">
        <v>0</v>
      </c>
      <c r="B89" s="954">
        <v>0</v>
      </c>
      <c r="C89" s="959">
        <v>1</v>
      </c>
      <c r="D89" s="686">
        <v>16.699244233993621</v>
      </c>
      <c r="E89" s="686">
        <v>4.7498898506284117</v>
      </c>
      <c r="F89" s="686">
        <v>6.8844084342591554</v>
      </c>
      <c r="G89" s="686">
        <v>7.0220917593398786</v>
      </c>
      <c r="H89" s="686">
        <v>9.5967338306185308</v>
      </c>
      <c r="I89" s="686">
        <v>6.8249612477004442</v>
      </c>
      <c r="J89" s="686">
        <v>6.1508999434704172</v>
      </c>
      <c r="K89" s="686">
        <v>12.55252388802935</v>
      </c>
      <c r="L89" s="686">
        <v>7.1188155389532408</v>
      </c>
      <c r="M89" s="686">
        <v>9.7487896197562272</v>
      </c>
      <c r="N89" s="686">
        <v>10.27796541487275</v>
      </c>
      <c r="O89" s="686">
        <v>6.7868956561429972</v>
      </c>
      <c r="P89" s="686">
        <v>4.7047396286166077</v>
      </c>
      <c r="Q89" s="686">
        <v>5.8955224066596266</v>
      </c>
      <c r="R89" s="686">
        <v>1</v>
      </c>
      <c r="S89" s="686">
        <v>16.699244233993621</v>
      </c>
      <c r="T89" s="686">
        <v>16.699244233993621</v>
      </c>
      <c r="U89" s="686">
        <v>16.699244233993621</v>
      </c>
      <c r="V89" s="686">
        <v>16.699244233993621</v>
      </c>
      <c r="W89" s="686">
        <v>16.699244233993621</v>
      </c>
      <c r="X89" s="686">
        <v>16.699244233993621</v>
      </c>
      <c r="Y89" s="686">
        <v>16.699244233993621</v>
      </c>
      <c r="Z89" s="696">
        <v>16.699244233993621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6">
        <v>0</v>
      </c>
      <c r="B90" s="960">
        <v>1</v>
      </c>
      <c r="C90" s="694">
        <v>1</v>
      </c>
      <c r="D90" s="697">
        <v>16.699244233993621</v>
      </c>
      <c r="E90" s="697">
        <v>4.7498898506284117</v>
      </c>
      <c r="F90" s="697">
        <v>7.6665051231402241</v>
      </c>
      <c r="G90" s="697">
        <v>7.9034277214296313</v>
      </c>
      <c r="H90" s="697">
        <v>10.824784641743701</v>
      </c>
      <c r="I90" s="697">
        <v>8.5365270817046692</v>
      </c>
      <c r="J90" s="697">
        <v>7.9136665917859945</v>
      </c>
      <c r="K90" s="697">
        <v>13.405773287113588</v>
      </c>
      <c r="L90" s="697">
        <v>8.3329524141524391</v>
      </c>
      <c r="M90" s="697">
        <v>10.716894270494013</v>
      </c>
      <c r="N90" s="697">
        <v>11.471938866393181</v>
      </c>
      <c r="O90" s="697">
        <v>7.969423261226293</v>
      </c>
      <c r="P90" s="697">
        <v>5.4230028065195208</v>
      </c>
      <c r="Q90" s="697">
        <v>6.5797798318844629</v>
      </c>
      <c r="R90" s="697">
        <v>1</v>
      </c>
      <c r="S90" s="697">
        <v>16.699244233993621</v>
      </c>
      <c r="T90" s="697">
        <v>16.699244233993621</v>
      </c>
      <c r="U90" s="697">
        <v>16.699244233993621</v>
      </c>
      <c r="V90" s="697">
        <v>16.699244233993621</v>
      </c>
      <c r="W90" s="697">
        <v>16.699244233993621</v>
      </c>
      <c r="X90" s="697">
        <v>16.699244233993621</v>
      </c>
      <c r="Y90" s="697">
        <v>16.699244233993621</v>
      </c>
      <c r="Z90" s="957">
        <v>16.699244233993621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6">
        <v>0</v>
      </c>
      <c r="B91" s="954">
        <v>2</v>
      </c>
      <c r="C91" s="694">
        <v>1</v>
      </c>
      <c r="D91" s="697">
        <v>16.699244233993621</v>
      </c>
      <c r="E91" s="697">
        <v>4.8194734542403666</v>
      </c>
      <c r="F91" s="697">
        <v>8.4457383860124136</v>
      </c>
      <c r="G91" s="697">
        <v>8.7810159799025254</v>
      </c>
      <c r="H91" s="697">
        <v>12.042853012650523</v>
      </c>
      <c r="I91" s="697">
        <v>10.232884667502734</v>
      </c>
      <c r="J91" s="697">
        <v>9.6614883537590686</v>
      </c>
      <c r="K91" s="697">
        <v>14.253008834133279</v>
      </c>
      <c r="L91" s="697">
        <v>9.5395999350258815</v>
      </c>
      <c r="M91" s="697">
        <v>11.678847220130889</v>
      </c>
      <c r="N91" s="697">
        <v>12.655899654165962</v>
      </c>
      <c r="O91" s="697">
        <v>9.1451575128019744</v>
      </c>
      <c r="P91" s="697">
        <v>6.1395605451962103</v>
      </c>
      <c r="Q91" s="697">
        <v>7.2621573569519056</v>
      </c>
      <c r="R91" s="697">
        <v>1</v>
      </c>
      <c r="S91" s="697">
        <v>16.699244233993621</v>
      </c>
      <c r="T91" s="697">
        <v>16.699244233993621</v>
      </c>
      <c r="U91" s="697">
        <v>16.699244233993621</v>
      </c>
      <c r="V91" s="697">
        <v>16.699244233993621</v>
      </c>
      <c r="W91" s="697">
        <v>16.699244233993621</v>
      </c>
      <c r="X91" s="697">
        <v>16.699244233993621</v>
      </c>
      <c r="Y91" s="697">
        <v>16.699244233993621</v>
      </c>
      <c r="Z91" s="957">
        <v>16.699244233993621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6">
        <v>0</v>
      </c>
      <c r="B92" s="954">
        <v>3</v>
      </c>
      <c r="C92" s="694">
        <v>1</v>
      </c>
      <c r="D92" s="697">
        <v>16.699244233993621</v>
      </c>
      <c r="E92" s="697">
        <v>5.2636570740722846</v>
      </c>
      <c r="F92" s="697">
        <v>9.2218373396841979</v>
      </c>
      <c r="G92" s="697">
        <v>9.6544714208033007</v>
      </c>
      <c r="H92" s="697">
        <v>13.249973408026756</v>
      </c>
      <c r="I92" s="697">
        <v>11.911306156443828</v>
      </c>
      <c r="J92" s="697">
        <v>11.39134841869534</v>
      </c>
      <c r="K92" s="697">
        <v>15.093927422343874</v>
      </c>
      <c r="L92" s="697">
        <v>10.737767601372948</v>
      </c>
      <c r="M92" s="697">
        <v>12.634170041671736</v>
      </c>
      <c r="N92" s="697">
        <v>13.828975535486341</v>
      </c>
      <c r="O92" s="697">
        <v>10.313175903770381</v>
      </c>
      <c r="P92" s="697">
        <v>6.8541956275456428</v>
      </c>
      <c r="Q92" s="697">
        <v>7.9424699888085435</v>
      </c>
      <c r="R92" s="697">
        <v>1</v>
      </c>
      <c r="S92" s="697">
        <v>16.699244233993621</v>
      </c>
      <c r="T92" s="697">
        <v>16.699244233993621</v>
      </c>
      <c r="U92" s="697">
        <v>16.699244233993621</v>
      </c>
      <c r="V92" s="697">
        <v>16.699244233993621</v>
      </c>
      <c r="W92" s="697">
        <v>16.699244233993621</v>
      </c>
      <c r="X92" s="697">
        <v>16.699244233993621</v>
      </c>
      <c r="Y92" s="697">
        <v>16.699244233993621</v>
      </c>
      <c r="Z92" s="957">
        <v>16.699244233993621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6">
        <v>0</v>
      </c>
      <c r="B93" s="954">
        <v>4</v>
      </c>
      <c r="C93" s="694">
        <v>1</v>
      </c>
      <c r="D93" s="697">
        <v>16.699244233993621</v>
      </c>
      <c r="E93" s="697">
        <v>5.7072071262521833</v>
      </c>
      <c r="F93" s="697">
        <v>9.9945378731830417</v>
      </c>
      <c r="G93" s="697">
        <v>10.523420225832613</v>
      </c>
      <c r="H93" s="697">
        <v>14.445236384725746</v>
      </c>
      <c r="I93" s="697">
        <v>13.569243819478228</v>
      </c>
      <c r="J93" s="697">
        <v>13.100422197061961</v>
      </c>
      <c r="K93" s="697">
        <v>15.92824132585336</v>
      </c>
      <c r="L93" s="697">
        <v>11.926508403716026</v>
      </c>
      <c r="M93" s="697">
        <v>13.582405611295727</v>
      </c>
      <c r="N93" s="697">
        <v>14.990346680139616</v>
      </c>
      <c r="O93" s="697">
        <v>11.472593607558727</v>
      </c>
      <c r="P93" s="697">
        <v>7.566694391966224</v>
      </c>
      <c r="Q93" s="697">
        <v>8.6205361799749074</v>
      </c>
      <c r="R93" s="697">
        <v>1</v>
      </c>
      <c r="S93" s="697">
        <v>16.699244233993621</v>
      </c>
      <c r="T93" s="697">
        <v>16.699244233993621</v>
      </c>
      <c r="U93" s="697">
        <v>16.699244233993621</v>
      </c>
      <c r="V93" s="697">
        <v>16.699244233993621</v>
      </c>
      <c r="W93" s="697">
        <v>16.699244233993621</v>
      </c>
      <c r="X93" s="697">
        <v>16.699244233993621</v>
      </c>
      <c r="Y93" s="697">
        <v>16.699244233993621</v>
      </c>
      <c r="Z93" s="957">
        <v>16.699244233993621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61">
        <v>0.3</v>
      </c>
      <c r="B94" s="954">
        <v>5</v>
      </c>
      <c r="C94" s="962">
        <v>1</v>
      </c>
      <c r="D94" s="706">
        <v>16.699244233993621</v>
      </c>
      <c r="E94" s="706">
        <v>6.1500719218802429</v>
      </c>
      <c r="F94" s="706">
        <v>10.763583124839117</v>
      </c>
      <c r="G94" s="706">
        <v>11.387500709569828</v>
      </c>
      <c r="H94" s="706">
        <v>15.627791497656707</v>
      </c>
      <c r="I94" s="706">
        <v>15.204348530812602</v>
      </c>
      <c r="J94" s="706">
        <v>14.786100051932294</v>
      </c>
      <c r="K94" s="706">
        <v>16.755678516309555</v>
      </c>
      <c r="L94" s="706">
        <v>13.104922586930881</v>
      </c>
      <c r="M94" s="706">
        <v>14.523119076864988</v>
      </c>
      <c r="N94" s="706">
        <v>16.139247954146267</v>
      </c>
      <c r="O94" s="706">
        <v>12.622566912233365</v>
      </c>
      <c r="P94" s="706">
        <v>8.276847093685447</v>
      </c>
      <c r="Q94" s="706">
        <v>9.2961780956121896</v>
      </c>
      <c r="R94" s="706">
        <v>1</v>
      </c>
      <c r="S94" s="706">
        <v>16.699244233993621</v>
      </c>
      <c r="T94" s="706">
        <v>16.699244233993621</v>
      </c>
      <c r="U94" s="706">
        <v>16.699244233993621</v>
      </c>
      <c r="V94" s="706">
        <v>16.699244233993621</v>
      </c>
      <c r="W94" s="706">
        <v>16.699244233993621</v>
      </c>
      <c r="X94" s="706">
        <v>16.699244233993621</v>
      </c>
      <c r="Y94" s="706">
        <v>16.699244233993621</v>
      </c>
      <c r="Z94" s="963">
        <v>16.699244233993621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76" customFormat="1" x14ac:dyDescent="0.25">
      <c r="A96" s="1108" t="s">
        <v>312</v>
      </c>
      <c r="F96" s="1027"/>
      <c r="G96" s="1028"/>
      <c r="H96" s="698"/>
      <c r="I96" s="1108" t="s">
        <v>311</v>
      </c>
      <c r="N96" s="1027"/>
      <c r="Q96" s="1108" t="s">
        <v>309</v>
      </c>
      <c r="V96" s="1027"/>
      <c r="W96" s="1028"/>
      <c r="X96" s="698"/>
      <c r="Y96" s="1108" t="s">
        <v>310</v>
      </c>
      <c r="AD96" s="1027"/>
      <c r="AH96" s="1029"/>
      <c r="AM96" s="1076"/>
      <c r="AN96" s="1076"/>
      <c r="AO96" s="1076"/>
      <c r="AP96" s="1076"/>
      <c r="AQ96" s="1076"/>
      <c r="AR96" s="1076"/>
      <c r="AS96" s="1076"/>
      <c r="AT96" s="1076"/>
      <c r="AU96" s="1076"/>
      <c r="AV96" s="1076"/>
      <c r="AW96" s="1076"/>
    </row>
    <row r="97" spans="1:49" s="19" customFormat="1" ht="12.75" x14ac:dyDescent="0.2">
      <c r="A97" s="1022" t="s">
        <v>288</v>
      </c>
      <c r="B97" s="1023"/>
      <c r="C97" s="1024"/>
      <c r="D97" s="1025"/>
      <c r="E97" s="1025"/>
      <c r="F97" s="1026"/>
      <c r="G97" s="29"/>
      <c r="H97" s="31"/>
      <c r="I97" s="1022" t="s">
        <v>288</v>
      </c>
      <c r="J97" s="1023"/>
      <c r="K97" s="1024"/>
      <c r="L97" s="1025"/>
      <c r="M97" s="1025"/>
      <c r="N97" s="1026"/>
      <c r="Q97" s="1022" t="s">
        <v>288</v>
      </c>
      <c r="R97" s="1023"/>
      <c r="S97" s="1024"/>
      <c r="T97" s="1025"/>
      <c r="U97" s="1025"/>
      <c r="V97" s="1026"/>
      <c r="W97" s="29"/>
      <c r="X97" s="703"/>
      <c r="Y97" s="1022"/>
      <c r="Z97" s="1023"/>
      <c r="AA97" s="1024"/>
      <c r="AB97" s="1025"/>
      <c r="AC97" s="1025"/>
      <c r="AD97" s="1026"/>
      <c r="AH97" s="1030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25" t="s">
        <v>163</v>
      </c>
      <c r="B98" s="923"/>
      <c r="C98" s="982"/>
      <c r="D98" s="924"/>
      <c r="E98" s="924"/>
      <c r="F98" s="984"/>
      <c r="G98" s="29"/>
      <c r="H98" s="31"/>
      <c r="I98" s="925" t="s">
        <v>163</v>
      </c>
      <c r="J98" s="923"/>
      <c r="K98" s="982"/>
      <c r="L98" s="924"/>
      <c r="M98" s="924"/>
      <c r="N98" s="984"/>
      <c r="Q98" s="925" t="s">
        <v>163</v>
      </c>
      <c r="R98" s="923"/>
      <c r="S98" s="982"/>
      <c r="T98" s="924"/>
      <c r="U98" s="924"/>
      <c r="V98" s="984"/>
      <c r="W98" s="29"/>
      <c r="X98" s="703"/>
      <c r="Y98" s="925"/>
      <c r="Z98" s="923"/>
      <c r="AA98" s="982"/>
      <c r="AB98" s="924"/>
      <c r="AC98" s="924"/>
      <c r="AD98" s="984"/>
      <c r="AH98" s="1030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5" t="s">
        <v>358</v>
      </c>
      <c r="B99" s="923">
        <v>1</v>
      </c>
      <c r="C99" s="982">
        <v>30</v>
      </c>
      <c r="D99" s="924">
        <v>3241</v>
      </c>
      <c r="E99" s="924">
        <v>303.66000000000003</v>
      </c>
      <c r="F99" s="984"/>
      <c r="G99" s="29"/>
      <c r="H99" s="31"/>
      <c r="I99" s="925" t="s">
        <v>358</v>
      </c>
      <c r="J99" s="923">
        <v>1</v>
      </c>
      <c r="K99" s="982">
        <v>30</v>
      </c>
      <c r="L99" s="924">
        <v>3241</v>
      </c>
      <c r="M99" s="924">
        <v>303.66000000000003</v>
      </c>
      <c r="N99" s="984"/>
      <c r="Q99" s="925" t="s">
        <v>358</v>
      </c>
      <c r="R99" s="923">
        <v>1</v>
      </c>
      <c r="S99" s="982">
        <v>30</v>
      </c>
      <c r="T99" s="924">
        <v>3241</v>
      </c>
      <c r="U99" s="924">
        <v>303.66000000000003</v>
      </c>
      <c r="V99" s="984"/>
      <c r="W99" s="29"/>
      <c r="X99" s="703"/>
      <c r="Y99" s="925"/>
      <c r="Z99" s="923"/>
      <c r="AA99" s="982"/>
      <c r="AB99" s="924"/>
      <c r="AC99" s="924"/>
      <c r="AD99" s="984"/>
      <c r="AH99" s="1030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5" t="s">
        <v>156</v>
      </c>
      <c r="B100" s="923">
        <v>1</v>
      </c>
      <c r="C100" s="982">
        <v>22.58</v>
      </c>
      <c r="D100" s="924">
        <v>3187.68</v>
      </c>
      <c r="E100" s="924">
        <v>338.91</v>
      </c>
      <c r="F100" s="984"/>
      <c r="G100" s="29"/>
      <c r="H100" s="31"/>
      <c r="I100" s="925" t="s">
        <v>156</v>
      </c>
      <c r="J100" s="923">
        <v>1</v>
      </c>
      <c r="K100" s="982">
        <v>22.58</v>
      </c>
      <c r="L100" s="924">
        <v>3187.68</v>
      </c>
      <c r="M100" s="924">
        <v>338.91</v>
      </c>
      <c r="N100" s="984"/>
      <c r="Q100" s="925" t="s">
        <v>156</v>
      </c>
      <c r="R100" s="923">
        <v>1</v>
      </c>
      <c r="S100" s="982">
        <v>22.58</v>
      </c>
      <c r="T100" s="924">
        <v>3187.68</v>
      </c>
      <c r="U100" s="924">
        <v>338.91</v>
      </c>
      <c r="V100" s="984"/>
      <c r="W100" s="29"/>
      <c r="X100" s="703"/>
      <c r="Y100" s="925"/>
      <c r="Z100" s="923"/>
      <c r="AA100" s="982"/>
      <c r="AB100" s="924"/>
      <c r="AC100" s="924"/>
      <c r="AD100" s="984"/>
      <c r="AH100" s="1030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5" t="s">
        <v>157</v>
      </c>
      <c r="B101" s="923">
        <v>1</v>
      </c>
      <c r="C101" s="982">
        <v>17.71</v>
      </c>
      <c r="D101" s="924">
        <v>3165.78</v>
      </c>
      <c r="E101" s="924">
        <v>343.96</v>
      </c>
      <c r="F101" s="984"/>
      <c r="G101" s="29"/>
      <c r="H101" s="31"/>
      <c r="I101" s="925" t="s">
        <v>157</v>
      </c>
      <c r="J101" s="923">
        <v>1</v>
      </c>
      <c r="K101" s="982">
        <v>17.71</v>
      </c>
      <c r="L101" s="924">
        <v>3165.78</v>
      </c>
      <c r="M101" s="924">
        <v>343.96</v>
      </c>
      <c r="N101" s="984"/>
      <c r="Q101" s="925" t="s">
        <v>157</v>
      </c>
      <c r="R101" s="923">
        <v>1</v>
      </c>
      <c r="S101" s="982">
        <v>17.71</v>
      </c>
      <c r="T101" s="924">
        <v>3165.78</v>
      </c>
      <c r="U101" s="924">
        <v>343.96</v>
      </c>
      <c r="V101" s="984"/>
      <c r="W101" s="29"/>
      <c r="X101" s="703"/>
      <c r="Y101" s="925"/>
      <c r="Z101" s="923"/>
      <c r="AA101" s="982"/>
      <c r="AB101" s="924"/>
      <c r="AC101" s="924"/>
      <c r="AD101" s="984"/>
      <c r="AH101" s="1030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5" t="s">
        <v>158</v>
      </c>
      <c r="B102" s="923">
        <v>1</v>
      </c>
      <c r="C102" s="982">
        <v>16.440000000000001</v>
      </c>
      <c r="D102" s="924">
        <v>3156.54</v>
      </c>
      <c r="E102" s="924">
        <v>363.83</v>
      </c>
      <c r="F102" s="984" t="s">
        <v>135</v>
      </c>
      <c r="G102" s="29"/>
      <c r="H102" s="31"/>
      <c r="I102" s="925" t="s">
        <v>158</v>
      </c>
      <c r="J102" s="923">
        <v>1</v>
      </c>
      <c r="K102" s="982">
        <v>16.440000000000001</v>
      </c>
      <c r="L102" s="924">
        <v>3156.54</v>
      </c>
      <c r="M102" s="924">
        <v>363.83</v>
      </c>
      <c r="N102" s="984" t="s">
        <v>135</v>
      </c>
      <c r="Q102" s="925" t="s">
        <v>158</v>
      </c>
      <c r="R102" s="923">
        <v>1</v>
      </c>
      <c r="S102" s="982">
        <v>16.440000000000001</v>
      </c>
      <c r="T102" s="924">
        <v>3156.54</v>
      </c>
      <c r="U102" s="924">
        <v>363.83</v>
      </c>
      <c r="V102" s="984" t="s">
        <v>135</v>
      </c>
      <c r="W102" s="29"/>
      <c r="X102" s="703"/>
      <c r="Y102" s="925"/>
      <c r="Z102" s="923"/>
      <c r="AA102" s="982"/>
      <c r="AB102" s="924"/>
      <c r="AC102" s="924"/>
      <c r="AD102" s="984"/>
      <c r="AH102" s="1030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5" t="s">
        <v>159</v>
      </c>
      <c r="B103" s="923">
        <v>1</v>
      </c>
      <c r="C103" s="982">
        <v>9.4499999999999993</v>
      </c>
      <c r="D103" s="924">
        <v>3155.61</v>
      </c>
      <c r="E103" s="924">
        <v>376.91</v>
      </c>
      <c r="F103" s="984"/>
      <c r="G103" s="29"/>
      <c r="H103" s="31"/>
      <c r="I103" s="925" t="s">
        <v>159</v>
      </c>
      <c r="J103" s="923">
        <v>1</v>
      </c>
      <c r="K103" s="982">
        <v>9.4499999999999993</v>
      </c>
      <c r="L103" s="924">
        <v>3155.61</v>
      </c>
      <c r="M103" s="924">
        <v>376.91</v>
      </c>
      <c r="N103" s="984"/>
      <c r="Q103" s="925" t="s">
        <v>159</v>
      </c>
      <c r="R103" s="923">
        <v>1</v>
      </c>
      <c r="S103" s="982">
        <v>9.4499999999999993</v>
      </c>
      <c r="T103" s="924">
        <v>3155.61</v>
      </c>
      <c r="U103" s="924">
        <v>376.91</v>
      </c>
      <c r="V103" s="984"/>
      <c r="W103" s="29"/>
      <c r="X103" s="703"/>
      <c r="Y103" s="925"/>
      <c r="Z103" s="923"/>
      <c r="AA103" s="982"/>
      <c r="AB103" s="924"/>
      <c r="AC103" s="924"/>
      <c r="AD103" s="984"/>
      <c r="AH103" s="1030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5" t="s">
        <v>160</v>
      </c>
      <c r="B104" s="923">
        <v>1</v>
      </c>
      <c r="C104" s="982">
        <v>7.94</v>
      </c>
      <c r="D104" s="924">
        <v>3144.72</v>
      </c>
      <c r="E104" s="924">
        <v>384.57</v>
      </c>
      <c r="F104" s="984"/>
      <c r="G104" s="29"/>
      <c r="H104" s="31"/>
      <c r="I104" s="925" t="s">
        <v>160</v>
      </c>
      <c r="J104" s="923">
        <v>1</v>
      </c>
      <c r="K104" s="982">
        <v>7.94</v>
      </c>
      <c r="L104" s="924">
        <v>3144.72</v>
      </c>
      <c r="M104" s="924">
        <v>384.57</v>
      </c>
      <c r="N104" s="984"/>
      <c r="Q104" s="925" t="s">
        <v>160</v>
      </c>
      <c r="R104" s="923">
        <v>1</v>
      </c>
      <c r="S104" s="982">
        <v>7.94</v>
      </c>
      <c r="T104" s="924">
        <v>3144.72</v>
      </c>
      <c r="U104" s="924">
        <v>384.57</v>
      </c>
      <c r="V104" s="984"/>
      <c r="W104" s="29"/>
      <c r="X104" s="703"/>
      <c r="Y104" s="925"/>
      <c r="Z104" s="923"/>
      <c r="AA104" s="982"/>
      <c r="AB104" s="924"/>
      <c r="AC104" s="924"/>
      <c r="AD104" s="984"/>
      <c r="AH104" s="1030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5" t="s">
        <v>338</v>
      </c>
      <c r="B105" s="923">
        <v>1</v>
      </c>
      <c r="C105" s="982">
        <v>21.91</v>
      </c>
      <c r="D105" s="924">
        <v>3110.93</v>
      </c>
      <c r="E105" s="924">
        <v>376.92</v>
      </c>
      <c r="F105" s="984" t="s">
        <v>135</v>
      </c>
      <c r="G105" s="29"/>
      <c r="H105" s="31"/>
      <c r="I105" s="925" t="s">
        <v>161</v>
      </c>
      <c r="J105" s="923">
        <v>1</v>
      </c>
      <c r="K105" s="982">
        <v>10.72</v>
      </c>
      <c r="L105" s="924">
        <v>3126.01</v>
      </c>
      <c r="M105" s="924">
        <v>385.66</v>
      </c>
      <c r="N105" s="984" t="s">
        <v>285</v>
      </c>
      <c r="Q105" s="925" t="s">
        <v>161</v>
      </c>
      <c r="R105" s="923">
        <v>1</v>
      </c>
      <c r="S105" s="982">
        <v>10.72</v>
      </c>
      <c r="T105" s="924">
        <v>3126.01</v>
      </c>
      <c r="U105" s="924">
        <v>385.66</v>
      </c>
      <c r="V105" s="984" t="s">
        <v>285</v>
      </c>
      <c r="W105" s="29"/>
      <c r="X105" s="703"/>
      <c r="Y105" s="925"/>
      <c r="Z105" s="923"/>
      <c r="AA105" s="982"/>
      <c r="AB105" s="924"/>
      <c r="AC105" s="924"/>
      <c r="AD105" s="984"/>
      <c r="AH105" s="1030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5" t="s">
        <v>161</v>
      </c>
      <c r="B106" s="923">
        <v>1</v>
      </c>
      <c r="C106" s="982">
        <v>10.72</v>
      </c>
      <c r="D106" s="924">
        <v>3126.01</v>
      </c>
      <c r="E106" s="924">
        <v>385.66</v>
      </c>
      <c r="F106" s="984"/>
      <c r="G106" s="29"/>
      <c r="H106" s="31"/>
      <c r="I106" s="925" t="s">
        <v>338</v>
      </c>
      <c r="J106" s="923">
        <v>1</v>
      </c>
      <c r="K106" s="982">
        <v>21.91</v>
      </c>
      <c r="L106" s="924">
        <v>3110.93</v>
      </c>
      <c r="M106" s="924">
        <v>376.92</v>
      </c>
      <c r="N106" s="984"/>
      <c r="Q106" s="925" t="s">
        <v>338</v>
      </c>
      <c r="R106" s="923">
        <v>1</v>
      </c>
      <c r="S106" s="982">
        <v>21.91</v>
      </c>
      <c r="T106" s="924">
        <v>3110.93</v>
      </c>
      <c r="U106" s="924">
        <v>376.92</v>
      </c>
      <c r="V106" s="984"/>
      <c r="W106" s="29"/>
      <c r="X106" s="703"/>
      <c r="Y106" s="925"/>
      <c r="Z106" s="923"/>
      <c r="AA106" s="982"/>
      <c r="AB106" s="924"/>
      <c r="AC106" s="924"/>
      <c r="AD106" s="984"/>
      <c r="AH106" s="1030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5" t="s">
        <v>339</v>
      </c>
      <c r="B107" s="923">
        <v>1</v>
      </c>
      <c r="C107" s="982">
        <v>15.56</v>
      </c>
      <c r="D107" s="924">
        <v>3110.64</v>
      </c>
      <c r="E107" s="924">
        <v>395.84</v>
      </c>
      <c r="F107" s="984" t="s">
        <v>135</v>
      </c>
      <c r="G107" s="29"/>
      <c r="H107" s="31"/>
      <c r="I107" s="925" t="s">
        <v>339</v>
      </c>
      <c r="J107" s="923">
        <v>1</v>
      </c>
      <c r="K107" s="982">
        <v>15.56</v>
      </c>
      <c r="L107" s="924">
        <v>3110.64</v>
      </c>
      <c r="M107" s="924">
        <v>395.84</v>
      </c>
      <c r="N107" s="984" t="s">
        <v>135</v>
      </c>
      <c r="Q107" s="925" t="s">
        <v>339</v>
      </c>
      <c r="R107" s="923">
        <v>1</v>
      </c>
      <c r="S107" s="982">
        <v>15.56</v>
      </c>
      <c r="T107" s="924">
        <v>3110.64</v>
      </c>
      <c r="U107" s="924">
        <v>395.84</v>
      </c>
      <c r="V107" s="984" t="s">
        <v>135</v>
      </c>
      <c r="W107" s="29"/>
      <c r="X107" s="703"/>
      <c r="Y107" s="925"/>
      <c r="Z107" s="923"/>
      <c r="AA107" s="982"/>
      <c r="AB107" s="924"/>
      <c r="AC107" s="924"/>
      <c r="AD107" s="984"/>
      <c r="AH107" s="1030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5" t="s">
        <v>340</v>
      </c>
      <c r="B108" s="923">
        <v>1</v>
      </c>
      <c r="C108" s="982">
        <v>14.15</v>
      </c>
      <c r="D108" s="924">
        <v>3120.72</v>
      </c>
      <c r="E108" s="924">
        <v>402.44</v>
      </c>
      <c r="F108" s="984"/>
      <c r="G108" s="29"/>
      <c r="H108" s="31"/>
      <c r="I108" s="925" t="s">
        <v>340</v>
      </c>
      <c r="J108" s="923">
        <v>1</v>
      </c>
      <c r="K108" s="982">
        <v>14.15</v>
      </c>
      <c r="L108" s="924">
        <v>3120.72</v>
      </c>
      <c r="M108" s="924">
        <v>402.44</v>
      </c>
      <c r="N108" s="984"/>
      <c r="Q108" s="925" t="s">
        <v>340</v>
      </c>
      <c r="R108" s="923">
        <v>1</v>
      </c>
      <c r="S108" s="982">
        <v>14.15</v>
      </c>
      <c r="T108" s="924">
        <v>3120.72</v>
      </c>
      <c r="U108" s="924">
        <v>402.44</v>
      </c>
      <c r="V108" s="984"/>
      <c r="W108" s="29"/>
      <c r="X108" s="703"/>
      <c r="Y108" s="925"/>
      <c r="Z108" s="923"/>
      <c r="AA108" s="982"/>
      <c r="AB108" s="924"/>
      <c r="AC108" s="924"/>
      <c r="AD108" s="984"/>
      <c r="AH108" s="1030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5" t="s">
        <v>341</v>
      </c>
      <c r="B109" s="923">
        <v>1</v>
      </c>
      <c r="C109" s="983">
        <v>9.92</v>
      </c>
      <c r="D109" s="924">
        <v>3119.53</v>
      </c>
      <c r="E109" s="924">
        <v>414.77</v>
      </c>
      <c r="F109" s="984"/>
      <c r="G109" s="29"/>
      <c r="H109" s="31"/>
      <c r="I109" s="925" t="s">
        <v>341</v>
      </c>
      <c r="J109" s="923">
        <v>1</v>
      </c>
      <c r="K109" s="983">
        <v>9.92</v>
      </c>
      <c r="L109" s="924">
        <v>3119.53</v>
      </c>
      <c r="M109" s="924">
        <v>414.77</v>
      </c>
      <c r="N109" s="984"/>
      <c r="Q109" s="925" t="s">
        <v>341</v>
      </c>
      <c r="R109" s="923">
        <v>1</v>
      </c>
      <c r="S109" s="983">
        <v>9.92</v>
      </c>
      <c r="T109" s="924">
        <v>3119.53</v>
      </c>
      <c r="U109" s="924">
        <v>414.77</v>
      </c>
      <c r="V109" s="984"/>
      <c r="W109" s="29"/>
      <c r="X109" s="703"/>
      <c r="Y109" s="925"/>
      <c r="Z109" s="923"/>
      <c r="AA109" s="983"/>
      <c r="AB109" s="924"/>
      <c r="AC109" s="924"/>
      <c r="AD109" s="984"/>
      <c r="AH109" s="1030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5" t="s">
        <v>342</v>
      </c>
      <c r="B110" s="923">
        <v>1</v>
      </c>
      <c r="C110" s="983">
        <v>9.56</v>
      </c>
      <c r="D110" s="924">
        <v>3092.9</v>
      </c>
      <c r="E110" s="924">
        <v>436.52</v>
      </c>
      <c r="F110" s="984"/>
      <c r="G110" s="29"/>
      <c r="H110" s="31"/>
      <c r="I110" s="925" t="s">
        <v>342</v>
      </c>
      <c r="J110" s="923">
        <v>1</v>
      </c>
      <c r="K110" s="983">
        <v>9.56</v>
      </c>
      <c r="L110" s="924">
        <v>3092.9</v>
      </c>
      <c r="M110" s="924">
        <v>436.52</v>
      </c>
      <c r="N110" s="984"/>
      <c r="Q110" s="925" t="s">
        <v>342</v>
      </c>
      <c r="R110" s="923">
        <v>1</v>
      </c>
      <c r="S110" s="983">
        <v>9.56</v>
      </c>
      <c r="T110" s="924">
        <v>3092.9</v>
      </c>
      <c r="U110" s="924">
        <v>436.52</v>
      </c>
      <c r="V110" s="984"/>
      <c r="W110" s="29"/>
      <c r="X110" s="703"/>
      <c r="Y110" s="925"/>
      <c r="Z110" s="923"/>
      <c r="AA110" s="983"/>
      <c r="AB110" s="924"/>
      <c r="AC110" s="924"/>
      <c r="AD110" s="984"/>
      <c r="AH110" s="1030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5" t="s">
        <v>343</v>
      </c>
      <c r="B111" s="923">
        <v>2</v>
      </c>
      <c r="C111" s="983">
        <v>12.4</v>
      </c>
      <c r="D111" s="924">
        <v>3105.73</v>
      </c>
      <c r="E111" s="924">
        <v>463.83</v>
      </c>
      <c r="F111" s="984"/>
      <c r="G111" s="29"/>
      <c r="H111" s="31"/>
      <c r="I111" s="925" t="s">
        <v>343</v>
      </c>
      <c r="J111" s="923">
        <v>2</v>
      </c>
      <c r="K111" s="983">
        <v>12.4</v>
      </c>
      <c r="L111" s="924">
        <v>3105.73</v>
      </c>
      <c r="M111" s="924">
        <v>463.83</v>
      </c>
      <c r="N111" s="984"/>
      <c r="Q111" s="925" t="s">
        <v>343</v>
      </c>
      <c r="R111" s="923">
        <v>2</v>
      </c>
      <c r="S111" s="983">
        <v>12.4</v>
      </c>
      <c r="T111" s="924">
        <v>3105.73</v>
      </c>
      <c r="U111" s="924">
        <v>463.83</v>
      </c>
      <c r="V111" s="984"/>
      <c r="W111" s="29"/>
      <c r="X111" s="703"/>
      <c r="Y111" s="925"/>
      <c r="Z111" s="923"/>
      <c r="AA111" s="983"/>
      <c r="AB111" s="924"/>
      <c r="AC111" s="924"/>
      <c r="AD111" s="984"/>
      <c r="AH111" s="1030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5" t="s">
        <v>288</v>
      </c>
      <c r="B112" s="923"/>
      <c r="C112" s="977"/>
      <c r="D112" s="924"/>
      <c r="E112" s="924"/>
      <c r="F112" s="984"/>
      <c r="G112" s="29"/>
      <c r="H112" s="31"/>
      <c r="I112" s="925" t="s">
        <v>288</v>
      </c>
      <c r="J112" s="923"/>
      <c r="K112" s="977"/>
      <c r="L112" s="924"/>
      <c r="M112" s="924"/>
      <c r="N112" s="984"/>
      <c r="Q112" s="925" t="s">
        <v>288</v>
      </c>
      <c r="R112" s="923"/>
      <c r="S112" s="977"/>
      <c r="T112" s="924"/>
      <c r="U112" s="924"/>
      <c r="V112" s="984"/>
      <c r="W112" s="29"/>
      <c r="X112" s="703"/>
      <c r="Y112" s="925"/>
      <c r="Z112" s="923"/>
      <c r="AA112" s="977"/>
      <c r="AB112" s="924"/>
      <c r="AC112" s="924"/>
      <c r="AD112" s="984"/>
      <c r="AH112" s="1030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5" t="s">
        <v>163</v>
      </c>
      <c r="B113" s="923"/>
      <c r="C113" s="977"/>
      <c r="D113" s="924"/>
      <c r="E113" s="924"/>
      <c r="F113" s="984"/>
      <c r="G113" s="29"/>
      <c r="H113" s="31"/>
      <c r="I113" s="925" t="s">
        <v>163</v>
      </c>
      <c r="J113" s="923"/>
      <c r="K113" s="977"/>
      <c r="L113" s="924"/>
      <c r="M113" s="924"/>
      <c r="N113" s="984"/>
      <c r="Q113" s="925" t="s">
        <v>163</v>
      </c>
      <c r="R113" s="923"/>
      <c r="S113" s="977"/>
      <c r="T113" s="924"/>
      <c r="U113" s="924"/>
      <c r="V113" s="984"/>
      <c r="W113" s="29"/>
      <c r="X113" s="703"/>
      <c r="Y113" s="925"/>
      <c r="Z113" s="923"/>
      <c r="AA113" s="977"/>
      <c r="AB113" s="924"/>
      <c r="AC113" s="924"/>
      <c r="AD113" s="984"/>
      <c r="AH113" s="1030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5"/>
      <c r="B114" s="923"/>
      <c r="C114" s="977"/>
      <c r="D114" s="924"/>
      <c r="E114" s="924"/>
      <c r="F114" s="984"/>
      <c r="G114" s="29"/>
      <c r="H114" s="31"/>
      <c r="I114" s="925"/>
      <c r="J114" s="923"/>
      <c r="K114" s="977"/>
      <c r="L114" s="924"/>
      <c r="M114" s="924"/>
      <c r="N114" s="984"/>
      <c r="Q114" s="925"/>
      <c r="R114" s="923"/>
      <c r="S114" s="977"/>
      <c r="T114" s="924"/>
      <c r="U114" s="924"/>
      <c r="V114" s="984"/>
      <c r="W114" s="29"/>
      <c r="X114" s="703"/>
      <c r="Y114" s="925"/>
      <c r="Z114" s="923"/>
      <c r="AA114" s="977"/>
      <c r="AB114" s="924"/>
      <c r="AC114" s="924"/>
      <c r="AD114" s="984"/>
      <c r="AH114" s="1030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5"/>
      <c r="B115" s="923"/>
      <c r="C115" s="977"/>
      <c r="D115" s="924"/>
      <c r="E115" s="924"/>
      <c r="F115" s="984"/>
      <c r="G115" s="29"/>
      <c r="H115" s="31"/>
      <c r="I115" s="925"/>
      <c r="J115" s="923"/>
      <c r="K115" s="977"/>
      <c r="L115" s="924"/>
      <c r="M115" s="924"/>
      <c r="N115" s="984"/>
      <c r="Q115" s="925"/>
      <c r="R115" s="923"/>
      <c r="S115" s="977"/>
      <c r="T115" s="924"/>
      <c r="U115" s="924"/>
      <c r="V115" s="984"/>
      <c r="W115" s="29"/>
      <c r="X115" s="703"/>
      <c r="Y115" s="925"/>
      <c r="Z115" s="923"/>
      <c r="AA115" s="977"/>
      <c r="AB115" s="924"/>
      <c r="AC115" s="924"/>
      <c r="AD115" s="984"/>
      <c r="AH115" s="1030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5"/>
      <c r="B116" s="923"/>
      <c r="C116" s="977"/>
      <c r="D116" s="924"/>
      <c r="E116" s="924"/>
      <c r="F116" s="984"/>
      <c r="G116" s="29"/>
      <c r="H116" s="31"/>
      <c r="I116" s="925"/>
      <c r="J116" s="923"/>
      <c r="K116" s="977"/>
      <c r="L116" s="924"/>
      <c r="M116" s="924"/>
      <c r="N116" s="984"/>
      <c r="Q116" s="925"/>
      <c r="R116" s="923"/>
      <c r="S116" s="977"/>
      <c r="T116" s="924"/>
      <c r="U116" s="924"/>
      <c r="V116" s="984"/>
      <c r="W116" s="29"/>
      <c r="X116" s="703"/>
      <c r="Y116" s="925"/>
      <c r="Z116" s="923"/>
      <c r="AA116" s="977"/>
      <c r="AB116" s="924"/>
      <c r="AC116" s="924"/>
      <c r="AD116" s="984"/>
      <c r="AH116" s="1030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5"/>
      <c r="B117" s="923"/>
      <c r="C117" s="977"/>
      <c r="D117" s="924"/>
      <c r="E117" s="924"/>
      <c r="F117" s="984"/>
      <c r="G117" s="29"/>
      <c r="H117" s="31"/>
      <c r="I117" s="925"/>
      <c r="J117" s="923"/>
      <c r="K117" s="977"/>
      <c r="L117" s="924"/>
      <c r="M117" s="924"/>
      <c r="N117" s="984"/>
      <c r="Q117" s="925"/>
      <c r="R117" s="923"/>
      <c r="S117" s="977"/>
      <c r="T117" s="924"/>
      <c r="U117" s="924"/>
      <c r="V117" s="984"/>
      <c r="W117" s="29"/>
      <c r="X117" s="703"/>
      <c r="Y117" s="925"/>
      <c r="Z117" s="923"/>
      <c r="AA117" s="977"/>
      <c r="AB117" s="924"/>
      <c r="AC117" s="924"/>
      <c r="AD117" s="984"/>
      <c r="AH117" s="1030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5"/>
      <c r="B118" s="923"/>
      <c r="C118" s="977"/>
      <c r="D118" s="924"/>
      <c r="E118" s="924"/>
      <c r="F118" s="984"/>
      <c r="G118" s="29"/>
      <c r="H118" s="31"/>
      <c r="I118" s="925"/>
      <c r="J118" s="923"/>
      <c r="K118" s="977"/>
      <c r="L118" s="924"/>
      <c r="M118" s="924"/>
      <c r="N118" s="984"/>
      <c r="Q118" s="925"/>
      <c r="R118" s="923"/>
      <c r="S118" s="977"/>
      <c r="T118" s="924"/>
      <c r="U118" s="924"/>
      <c r="V118" s="984"/>
      <c r="W118" s="29"/>
      <c r="X118" s="703"/>
      <c r="Y118" s="925"/>
      <c r="Z118" s="923"/>
      <c r="AA118" s="977"/>
      <c r="AB118" s="924"/>
      <c r="AC118" s="924"/>
      <c r="AD118" s="984"/>
      <c r="AH118" s="1030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5"/>
      <c r="B119" s="923"/>
      <c r="C119" s="977"/>
      <c r="D119" s="924"/>
      <c r="E119" s="924"/>
      <c r="F119" s="984"/>
      <c r="G119" s="29"/>
      <c r="H119" s="31"/>
      <c r="I119" s="925"/>
      <c r="J119" s="923"/>
      <c r="K119" s="977"/>
      <c r="L119" s="924"/>
      <c r="M119" s="924"/>
      <c r="N119" s="984"/>
      <c r="Q119" s="925"/>
      <c r="R119" s="923"/>
      <c r="S119" s="977"/>
      <c r="T119" s="924"/>
      <c r="U119" s="924"/>
      <c r="V119" s="984"/>
      <c r="W119" s="29"/>
      <c r="X119" s="703"/>
      <c r="Y119" s="925"/>
      <c r="Z119" s="923"/>
      <c r="AA119" s="977"/>
      <c r="AB119" s="924"/>
      <c r="AC119" s="924"/>
      <c r="AD119" s="984"/>
      <c r="AH119" s="1030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69"/>
      <c r="B120" s="970"/>
      <c r="C120" s="979"/>
      <c r="D120" s="980"/>
      <c r="E120" s="980"/>
      <c r="F120" s="999"/>
      <c r="G120" s="29"/>
      <c r="H120" s="31"/>
      <c r="I120" s="969"/>
      <c r="J120" s="970"/>
      <c r="K120" s="979"/>
      <c r="L120" s="980"/>
      <c r="M120" s="980"/>
      <c r="N120" s="999"/>
      <c r="Q120" s="969"/>
      <c r="R120" s="970"/>
      <c r="S120" s="979"/>
      <c r="T120" s="980"/>
      <c r="U120" s="980"/>
      <c r="V120" s="999"/>
      <c r="W120" s="29"/>
      <c r="X120" s="703"/>
      <c r="Y120" s="969"/>
      <c r="Z120" s="970"/>
      <c r="AA120" s="979"/>
      <c r="AB120" s="980"/>
      <c r="AC120" s="980"/>
      <c r="AD120" s="999"/>
      <c r="AH120" s="1030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76" customFormat="1" x14ac:dyDescent="0.25">
      <c r="A121" s="1108" t="s">
        <v>328</v>
      </c>
      <c r="F121" s="1027"/>
      <c r="G121" s="1028"/>
      <c r="H121" s="698"/>
      <c r="I121" s="1108" t="s">
        <v>329</v>
      </c>
      <c r="N121" s="1027"/>
      <c r="Q121" s="1108" t="s">
        <v>330</v>
      </c>
      <c r="V121" s="1027"/>
      <c r="W121" s="1028"/>
      <c r="X121" s="698"/>
      <c r="Y121" s="1108" t="s">
        <v>331</v>
      </c>
      <c r="AD121" s="1027"/>
      <c r="AH121" s="1029"/>
      <c r="AM121" s="1076"/>
      <c r="AN121" s="1076"/>
      <c r="AO121" s="1076"/>
      <c r="AP121" s="1076"/>
      <c r="AQ121" s="1076"/>
      <c r="AR121" s="1076"/>
      <c r="AS121" s="1076"/>
      <c r="AT121" s="1076"/>
      <c r="AU121" s="1076"/>
      <c r="AV121" s="1076"/>
      <c r="AW121" s="1076"/>
    </row>
    <row r="122" spans="1:49" s="19" customFormat="1" ht="12.75" x14ac:dyDescent="0.2">
      <c r="A122" s="1022" t="s">
        <v>288</v>
      </c>
      <c r="B122" s="1023"/>
      <c r="C122" s="1024"/>
      <c r="D122" s="1025"/>
      <c r="E122" s="1025"/>
      <c r="F122" s="1026"/>
      <c r="G122" s="29"/>
      <c r="H122" s="31"/>
      <c r="I122" s="1022" t="s">
        <v>288</v>
      </c>
      <c r="J122" s="1023"/>
      <c r="K122" s="1024"/>
      <c r="L122" s="1025"/>
      <c r="M122" s="1025"/>
      <c r="N122" s="1026"/>
      <c r="Q122" s="1022" t="s">
        <v>288</v>
      </c>
      <c r="R122" s="1023"/>
      <c r="S122" s="1024"/>
      <c r="T122" s="1025"/>
      <c r="U122" s="1025"/>
      <c r="V122" s="1026"/>
      <c r="W122" s="29"/>
      <c r="X122" s="703"/>
      <c r="Y122" s="1022"/>
      <c r="Z122" s="1023"/>
      <c r="AA122" s="1024"/>
      <c r="AB122" s="1025"/>
      <c r="AC122" s="1025"/>
      <c r="AD122" s="1026"/>
      <c r="AH122" s="1030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25" t="s">
        <v>163</v>
      </c>
      <c r="B123" s="923"/>
      <c r="C123" s="982"/>
      <c r="D123" s="924"/>
      <c r="E123" s="924"/>
      <c r="F123" s="984"/>
      <c r="G123" s="29"/>
      <c r="H123" s="31"/>
      <c r="I123" s="925" t="s">
        <v>163</v>
      </c>
      <c r="J123" s="923"/>
      <c r="K123" s="982"/>
      <c r="L123" s="924"/>
      <c r="M123" s="924"/>
      <c r="N123" s="984"/>
      <c r="Q123" s="925" t="s">
        <v>163</v>
      </c>
      <c r="R123" s="923"/>
      <c r="S123" s="982"/>
      <c r="T123" s="924"/>
      <c r="U123" s="924"/>
      <c r="V123" s="984"/>
      <c r="W123" s="29"/>
      <c r="X123" s="703"/>
      <c r="Y123" s="925"/>
      <c r="Z123" s="923"/>
      <c r="AA123" s="982"/>
      <c r="AB123" s="924"/>
      <c r="AC123" s="924"/>
      <c r="AD123" s="984"/>
      <c r="AH123" s="1030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5" t="s">
        <v>357</v>
      </c>
      <c r="B124" s="923"/>
      <c r="C124" s="982"/>
      <c r="D124" s="924"/>
      <c r="E124" s="924"/>
      <c r="F124" s="984"/>
      <c r="G124" s="29"/>
      <c r="H124" s="31"/>
      <c r="I124" s="925" t="s">
        <v>357</v>
      </c>
      <c r="J124" s="923"/>
      <c r="K124" s="982"/>
      <c r="L124" s="924"/>
      <c r="M124" s="924"/>
      <c r="N124" s="984"/>
      <c r="Q124" s="925" t="s">
        <v>357</v>
      </c>
      <c r="R124" s="923"/>
      <c r="S124" s="982"/>
      <c r="T124" s="924"/>
      <c r="U124" s="924"/>
      <c r="V124" s="984"/>
      <c r="W124" s="29"/>
      <c r="X124" s="703"/>
      <c r="Y124" s="925"/>
      <c r="Z124" s="923"/>
      <c r="AA124" s="982"/>
      <c r="AB124" s="924"/>
      <c r="AC124" s="924"/>
      <c r="AD124" s="984"/>
      <c r="AH124" s="1030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5" t="s">
        <v>344</v>
      </c>
      <c r="B125" s="923">
        <v>2</v>
      </c>
      <c r="C125" s="982">
        <v>0.95</v>
      </c>
      <c r="D125" s="924">
        <v>3165.79</v>
      </c>
      <c r="E125" s="924">
        <v>398.33</v>
      </c>
      <c r="F125" s="984"/>
      <c r="G125" s="29"/>
      <c r="H125" s="31"/>
      <c r="I125" s="925" t="s">
        <v>344</v>
      </c>
      <c r="J125" s="923">
        <v>2</v>
      </c>
      <c r="K125" s="982">
        <v>0.95</v>
      </c>
      <c r="L125" s="924">
        <v>3165.79</v>
      </c>
      <c r="M125" s="924">
        <v>398.33</v>
      </c>
      <c r="N125" s="984"/>
      <c r="Q125" s="925" t="s">
        <v>344</v>
      </c>
      <c r="R125" s="923">
        <v>2</v>
      </c>
      <c r="S125" s="982">
        <v>0.95</v>
      </c>
      <c r="T125" s="924">
        <v>3165.79</v>
      </c>
      <c r="U125" s="924">
        <v>398.33</v>
      </c>
      <c r="V125" s="984"/>
      <c r="W125" s="29"/>
      <c r="X125" s="703"/>
      <c r="Y125" s="925"/>
      <c r="Z125" s="923"/>
      <c r="AA125" s="982"/>
      <c r="AB125" s="924"/>
      <c r="AC125" s="924"/>
      <c r="AD125" s="984"/>
      <c r="AH125" s="1030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5" t="s">
        <v>345</v>
      </c>
      <c r="B126" s="923">
        <v>2</v>
      </c>
      <c r="C126" s="982">
        <v>6.46</v>
      </c>
      <c r="D126" s="924">
        <v>3159.42</v>
      </c>
      <c r="E126" s="924">
        <v>402.71</v>
      </c>
      <c r="F126" s="984"/>
      <c r="G126" s="29"/>
      <c r="H126" s="31"/>
      <c r="I126" s="925" t="s">
        <v>345</v>
      </c>
      <c r="J126" s="923">
        <v>2</v>
      </c>
      <c r="K126" s="982">
        <v>6.46</v>
      </c>
      <c r="L126" s="924">
        <v>3159.42</v>
      </c>
      <c r="M126" s="924">
        <v>402.71</v>
      </c>
      <c r="N126" s="984"/>
      <c r="Q126" s="925" t="s">
        <v>345</v>
      </c>
      <c r="R126" s="923">
        <v>2</v>
      </c>
      <c r="S126" s="982">
        <v>6.46</v>
      </c>
      <c r="T126" s="924">
        <v>3159.42</v>
      </c>
      <c r="U126" s="924">
        <v>402.71</v>
      </c>
      <c r="V126" s="984"/>
      <c r="W126" s="29"/>
      <c r="X126" s="703"/>
      <c r="Y126" s="925"/>
      <c r="Z126" s="923"/>
      <c r="AA126" s="982"/>
      <c r="AB126" s="924"/>
      <c r="AC126" s="924"/>
      <c r="AD126" s="984"/>
      <c r="AH126" s="1030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5" t="s">
        <v>347</v>
      </c>
      <c r="B127" s="923">
        <v>2</v>
      </c>
      <c r="C127" s="982">
        <v>6.28</v>
      </c>
      <c r="D127" s="924">
        <v>3154.08</v>
      </c>
      <c r="E127" s="924">
        <v>401.61</v>
      </c>
      <c r="F127" s="984"/>
      <c r="G127" s="29"/>
      <c r="H127" s="31"/>
      <c r="I127" s="925" t="s">
        <v>347</v>
      </c>
      <c r="J127" s="923">
        <v>2</v>
      </c>
      <c r="K127" s="982">
        <v>6.28</v>
      </c>
      <c r="L127" s="924">
        <v>3154.08</v>
      </c>
      <c r="M127" s="924">
        <v>401.61</v>
      </c>
      <c r="N127" s="984"/>
      <c r="Q127" s="925" t="s">
        <v>347</v>
      </c>
      <c r="R127" s="923">
        <v>2</v>
      </c>
      <c r="S127" s="982">
        <v>6.28</v>
      </c>
      <c r="T127" s="924">
        <v>3154.08</v>
      </c>
      <c r="U127" s="924">
        <v>401.61</v>
      </c>
      <c r="V127" s="984"/>
      <c r="W127" s="29"/>
      <c r="X127" s="703"/>
      <c r="Y127" s="925"/>
      <c r="Z127" s="923"/>
      <c r="AA127" s="982"/>
      <c r="AB127" s="924"/>
      <c r="AC127" s="924"/>
      <c r="AD127" s="984"/>
      <c r="AH127" s="1030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5" t="s">
        <v>346</v>
      </c>
      <c r="B128" s="923">
        <v>2</v>
      </c>
      <c r="C128" s="982">
        <v>1.06</v>
      </c>
      <c r="D128" s="924">
        <v>3147.37</v>
      </c>
      <c r="E128" s="924">
        <v>405.46</v>
      </c>
      <c r="F128" s="984"/>
      <c r="G128" s="29"/>
      <c r="H128" s="31"/>
      <c r="I128" s="925" t="s">
        <v>346</v>
      </c>
      <c r="J128" s="923">
        <v>2</v>
      </c>
      <c r="K128" s="982">
        <v>1.06</v>
      </c>
      <c r="L128" s="924">
        <v>3147.37</v>
      </c>
      <c r="M128" s="924">
        <v>405.46</v>
      </c>
      <c r="N128" s="984"/>
      <c r="Q128" s="925" t="s">
        <v>346</v>
      </c>
      <c r="R128" s="923">
        <v>2</v>
      </c>
      <c r="S128" s="982">
        <v>1.06</v>
      </c>
      <c r="T128" s="924">
        <v>3147.37</v>
      </c>
      <c r="U128" s="924">
        <v>405.46</v>
      </c>
      <c r="V128" s="984"/>
      <c r="W128" s="29"/>
      <c r="X128" s="703"/>
      <c r="Y128" s="925"/>
      <c r="Z128" s="923"/>
      <c r="AA128" s="982"/>
      <c r="AB128" s="924"/>
      <c r="AC128" s="924"/>
      <c r="AD128" s="984"/>
      <c r="AH128" s="1030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5" t="s">
        <v>288</v>
      </c>
      <c r="B129" s="923"/>
      <c r="C129" s="982"/>
      <c r="D129" s="924"/>
      <c r="E129" s="924"/>
      <c r="F129" s="984"/>
      <c r="G129" s="29"/>
      <c r="H129" s="31"/>
      <c r="I129" s="925" t="s">
        <v>288</v>
      </c>
      <c r="J129" s="923"/>
      <c r="K129" s="982"/>
      <c r="L129" s="924"/>
      <c r="M129" s="924"/>
      <c r="N129" s="984"/>
      <c r="Q129" s="925" t="s">
        <v>288</v>
      </c>
      <c r="R129" s="923"/>
      <c r="S129" s="982"/>
      <c r="T129" s="924"/>
      <c r="U129" s="924"/>
      <c r="V129" s="984"/>
      <c r="W129" s="29"/>
      <c r="X129" s="703"/>
      <c r="Y129" s="925"/>
      <c r="Z129" s="923"/>
      <c r="AA129" s="982"/>
      <c r="AB129" s="924"/>
      <c r="AC129" s="924"/>
      <c r="AD129" s="984"/>
      <c r="AH129" s="1030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5" t="s">
        <v>163</v>
      </c>
      <c r="B130" s="923"/>
      <c r="C130" s="982"/>
      <c r="D130" s="924"/>
      <c r="E130" s="924"/>
      <c r="F130" s="984"/>
      <c r="G130" s="29"/>
      <c r="H130" s="31"/>
      <c r="I130" s="925" t="s">
        <v>163</v>
      </c>
      <c r="J130" s="923"/>
      <c r="K130" s="982"/>
      <c r="L130" s="924"/>
      <c r="M130" s="924"/>
      <c r="N130" s="984"/>
      <c r="Q130" s="925" t="s">
        <v>163</v>
      </c>
      <c r="R130" s="923"/>
      <c r="S130" s="982"/>
      <c r="T130" s="924"/>
      <c r="U130" s="924"/>
      <c r="V130" s="984"/>
      <c r="W130" s="29"/>
      <c r="X130" s="703"/>
      <c r="Y130" s="925"/>
      <c r="Z130" s="923"/>
      <c r="AA130" s="982"/>
      <c r="AB130" s="924"/>
      <c r="AC130" s="924"/>
      <c r="AD130" s="984"/>
      <c r="AH130" s="1030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5"/>
      <c r="B131" s="923"/>
      <c r="C131" s="982"/>
      <c r="D131" s="924"/>
      <c r="E131" s="924"/>
      <c r="F131" s="984"/>
      <c r="G131" s="29"/>
      <c r="H131" s="31"/>
      <c r="I131" s="925"/>
      <c r="J131" s="923"/>
      <c r="K131" s="982"/>
      <c r="L131" s="924"/>
      <c r="M131" s="924"/>
      <c r="N131" s="984"/>
      <c r="Q131" s="925"/>
      <c r="R131" s="923"/>
      <c r="S131" s="982"/>
      <c r="T131" s="924"/>
      <c r="U131" s="924"/>
      <c r="V131" s="984"/>
      <c r="W131" s="29"/>
      <c r="X131" s="703"/>
      <c r="Y131" s="925"/>
      <c r="Z131" s="923"/>
      <c r="AA131" s="982"/>
      <c r="AB131" s="924"/>
      <c r="AC131" s="924"/>
      <c r="AD131" s="984"/>
      <c r="AH131" s="1030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5"/>
      <c r="B132" s="923"/>
      <c r="C132" s="982"/>
      <c r="D132" s="924"/>
      <c r="E132" s="924"/>
      <c r="F132" s="984"/>
      <c r="G132" s="29"/>
      <c r="H132" s="31"/>
      <c r="I132" s="925"/>
      <c r="J132" s="923"/>
      <c r="K132" s="982"/>
      <c r="L132" s="924"/>
      <c r="M132" s="924"/>
      <c r="N132" s="984"/>
      <c r="Q132" s="925"/>
      <c r="R132" s="923"/>
      <c r="S132" s="982"/>
      <c r="T132" s="924"/>
      <c r="U132" s="924"/>
      <c r="V132" s="984"/>
      <c r="W132" s="29"/>
      <c r="X132" s="703"/>
      <c r="Y132" s="925"/>
      <c r="Z132" s="923"/>
      <c r="AA132" s="982"/>
      <c r="AB132" s="924"/>
      <c r="AC132" s="924"/>
      <c r="AD132" s="984"/>
      <c r="AH132" s="1030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5"/>
      <c r="B133" s="923"/>
      <c r="C133" s="982"/>
      <c r="D133" s="924"/>
      <c r="E133" s="924"/>
      <c r="F133" s="984"/>
      <c r="G133" s="29"/>
      <c r="H133" s="31"/>
      <c r="I133" s="925"/>
      <c r="J133" s="923"/>
      <c r="K133" s="982"/>
      <c r="L133" s="924"/>
      <c r="M133" s="924"/>
      <c r="N133" s="984"/>
      <c r="Q133" s="925"/>
      <c r="R133" s="923"/>
      <c r="S133" s="982"/>
      <c r="T133" s="924"/>
      <c r="U133" s="924"/>
      <c r="V133" s="984"/>
      <c r="W133" s="29"/>
      <c r="X133" s="703"/>
      <c r="Y133" s="925"/>
      <c r="Z133" s="923"/>
      <c r="AA133" s="982"/>
      <c r="AB133" s="924"/>
      <c r="AC133" s="924"/>
      <c r="AD133" s="984"/>
      <c r="AH133" s="1030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5"/>
      <c r="B134" s="923"/>
      <c r="C134" s="983"/>
      <c r="D134" s="924"/>
      <c r="E134" s="924"/>
      <c r="F134" s="984"/>
      <c r="G134" s="29"/>
      <c r="H134" s="31"/>
      <c r="I134" s="925"/>
      <c r="J134" s="923"/>
      <c r="K134" s="983"/>
      <c r="L134" s="924"/>
      <c r="M134" s="924"/>
      <c r="N134" s="984"/>
      <c r="Q134" s="925"/>
      <c r="R134" s="923"/>
      <c r="S134" s="983"/>
      <c r="T134" s="924"/>
      <c r="U134" s="924"/>
      <c r="V134" s="984"/>
      <c r="W134" s="29"/>
      <c r="X134" s="703"/>
      <c r="Y134" s="925"/>
      <c r="Z134" s="923"/>
      <c r="AA134" s="983"/>
      <c r="AB134" s="924"/>
      <c r="AC134" s="924"/>
      <c r="AD134" s="984"/>
      <c r="AH134" s="1030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5"/>
      <c r="B135" s="923"/>
      <c r="C135" s="983"/>
      <c r="D135" s="924"/>
      <c r="E135" s="924"/>
      <c r="F135" s="984"/>
      <c r="G135" s="29"/>
      <c r="H135" s="31"/>
      <c r="I135" s="925"/>
      <c r="J135" s="923"/>
      <c r="K135" s="983"/>
      <c r="L135" s="924"/>
      <c r="M135" s="924"/>
      <c r="N135" s="984"/>
      <c r="Q135" s="925"/>
      <c r="R135" s="923"/>
      <c r="S135" s="983"/>
      <c r="T135" s="924"/>
      <c r="U135" s="924"/>
      <c r="V135" s="984"/>
      <c r="W135" s="29"/>
      <c r="X135" s="703"/>
      <c r="Y135" s="925"/>
      <c r="Z135" s="923"/>
      <c r="AA135" s="983"/>
      <c r="AB135" s="924"/>
      <c r="AC135" s="924"/>
      <c r="AD135" s="984"/>
      <c r="AH135" s="1030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5"/>
      <c r="B136" s="923"/>
      <c r="C136" s="983"/>
      <c r="D136" s="924"/>
      <c r="E136" s="924"/>
      <c r="F136" s="984"/>
      <c r="G136" s="29"/>
      <c r="H136" s="31"/>
      <c r="I136" s="925"/>
      <c r="J136" s="923"/>
      <c r="K136" s="983"/>
      <c r="L136" s="924"/>
      <c r="M136" s="924"/>
      <c r="N136" s="984"/>
      <c r="Q136" s="925"/>
      <c r="R136" s="923"/>
      <c r="S136" s="983"/>
      <c r="T136" s="924"/>
      <c r="U136" s="924"/>
      <c r="V136" s="984"/>
      <c r="W136" s="29"/>
      <c r="X136" s="703"/>
      <c r="Y136" s="925"/>
      <c r="Z136" s="923"/>
      <c r="AA136" s="983"/>
      <c r="AB136" s="924"/>
      <c r="AC136" s="924"/>
      <c r="AD136" s="984"/>
      <c r="AH136" s="1030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5"/>
      <c r="B137" s="923"/>
      <c r="C137" s="977"/>
      <c r="D137" s="924"/>
      <c r="E137" s="924"/>
      <c r="F137" s="984"/>
      <c r="G137" s="29"/>
      <c r="H137" s="31"/>
      <c r="I137" s="925"/>
      <c r="J137" s="923"/>
      <c r="K137" s="977"/>
      <c r="L137" s="924"/>
      <c r="M137" s="924"/>
      <c r="N137" s="984"/>
      <c r="Q137" s="925"/>
      <c r="R137" s="923"/>
      <c r="S137" s="977"/>
      <c r="T137" s="924"/>
      <c r="U137" s="924"/>
      <c r="V137" s="984"/>
      <c r="W137" s="29"/>
      <c r="X137" s="703"/>
      <c r="Y137" s="925"/>
      <c r="Z137" s="923"/>
      <c r="AA137" s="977"/>
      <c r="AB137" s="924"/>
      <c r="AC137" s="924"/>
      <c r="AD137" s="984"/>
      <c r="AH137" s="1030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5"/>
      <c r="B138" s="923"/>
      <c r="C138" s="977"/>
      <c r="D138" s="924"/>
      <c r="E138" s="924"/>
      <c r="F138" s="984"/>
      <c r="G138" s="29"/>
      <c r="H138" s="31"/>
      <c r="I138" s="925"/>
      <c r="J138" s="923"/>
      <c r="K138" s="977"/>
      <c r="L138" s="924"/>
      <c r="M138" s="924"/>
      <c r="N138" s="984"/>
      <c r="Q138" s="925"/>
      <c r="R138" s="923"/>
      <c r="S138" s="977"/>
      <c r="T138" s="924"/>
      <c r="U138" s="924"/>
      <c r="V138" s="984"/>
      <c r="W138" s="29"/>
      <c r="X138" s="703"/>
      <c r="Y138" s="925"/>
      <c r="Z138" s="923"/>
      <c r="AA138" s="977"/>
      <c r="AB138" s="924"/>
      <c r="AC138" s="924"/>
      <c r="AD138" s="984"/>
      <c r="AH138" s="1030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5"/>
      <c r="B139" s="923"/>
      <c r="C139" s="977"/>
      <c r="D139" s="924"/>
      <c r="E139" s="924"/>
      <c r="F139" s="984"/>
      <c r="G139" s="29"/>
      <c r="H139" s="31"/>
      <c r="I139" s="925"/>
      <c r="J139" s="923"/>
      <c r="K139" s="977"/>
      <c r="L139" s="924"/>
      <c r="M139" s="924"/>
      <c r="N139" s="984"/>
      <c r="Q139" s="925"/>
      <c r="R139" s="923"/>
      <c r="S139" s="977"/>
      <c r="T139" s="924"/>
      <c r="U139" s="924"/>
      <c r="V139" s="984"/>
      <c r="W139" s="29"/>
      <c r="X139" s="703"/>
      <c r="Y139" s="925"/>
      <c r="Z139" s="923"/>
      <c r="AA139" s="977"/>
      <c r="AB139" s="924"/>
      <c r="AC139" s="924"/>
      <c r="AD139" s="984"/>
      <c r="AH139" s="1030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5"/>
      <c r="B140" s="923"/>
      <c r="C140" s="977"/>
      <c r="D140" s="924"/>
      <c r="E140" s="924"/>
      <c r="F140" s="984"/>
      <c r="G140" s="29"/>
      <c r="H140" s="31"/>
      <c r="I140" s="925"/>
      <c r="J140" s="923"/>
      <c r="K140" s="977"/>
      <c r="L140" s="924"/>
      <c r="M140" s="924"/>
      <c r="N140" s="984"/>
      <c r="Q140" s="925"/>
      <c r="R140" s="923"/>
      <c r="S140" s="977"/>
      <c r="T140" s="924"/>
      <c r="U140" s="924"/>
      <c r="V140" s="984"/>
      <c r="W140" s="29"/>
      <c r="X140" s="703"/>
      <c r="Y140" s="925"/>
      <c r="Z140" s="923"/>
      <c r="AA140" s="977"/>
      <c r="AB140" s="924"/>
      <c r="AC140" s="924"/>
      <c r="AD140" s="984"/>
      <c r="AH140" s="1030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5"/>
      <c r="B141" s="923"/>
      <c r="C141" s="977"/>
      <c r="D141" s="924"/>
      <c r="E141" s="924"/>
      <c r="F141" s="984"/>
      <c r="G141" s="29"/>
      <c r="H141" s="31"/>
      <c r="I141" s="925"/>
      <c r="J141" s="923"/>
      <c r="K141" s="977"/>
      <c r="L141" s="924"/>
      <c r="M141" s="924"/>
      <c r="N141" s="984"/>
      <c r="Q141" s="925"/>
      <c r="R141" s="923"/>
      <c r="S141" s="977"/>
      <c r="T141" s="924"/>
      <c r="U141" s="924"/>
      <c r="V141" s="984"/>
      <c r="W141" s="29"/>
      <c r="X141" s="703"/>
      <c r="Y141" s="925"/>
      <c r="Z141" s="923"/>
      <c r="AA141" s="977"/>
      <c r="AB141" s="924"/>
      <c r="AC141" s="924"/>
      <c r="AD141" s="984"/>
      <c r="AH141" s="1030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5"/>
      <c r="B142" s="923"/>
      <c r="C142" s="977"/>
      <c r="D142" s="924"/>
      <c r="E142" s="924"/>
      <c r="F142" s="984"/>
      <c r="G142" s="29"/>
      <c r="H142" s="31"/>
      <c r="I142" s="925"/>
      <c r="J142" s="923"/>
      <c r="K142" s="977"/>
      <c r="L142" s="924"/>
      <c r="M142" s="924"/>
      <c r="N142" s="984"/>
      <c r="Q142" s="925"/>
      <c r="R142" s="923"/>
      <c r="S142" s="977"/>
      <c r="T142" s="924"/>
      <c r="U142" s="924"/>
      <c r="V142" s="984"/>
      <c r="W142" s="29"/>
      <c r="X142" s="703"/>
      <c r="Y142" s="925"/>
      <c r="Z142" s="923"/>
      <c r="AA142" s="977"/>
      <c r="AB142" s="924"/>
      <c r="AC142" s="924"/>
      <c r="AD142" s="984"/>
      <c r="AH142" s="1030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5"/>
      <c r="B143" s="923"/>
      <c r="C143" s="977"/>
      <c r="D143" s="924"/>
      <c r="E143" s="924"/>
      <c r="F143" s="984"/>
      <c r="G143" s="29"/>
      <c r="H143" s="31"/>
      <c r="I143" s="925"/>
      <c r="J143" s="923"/>
      <c r="K143" s="977"/>
      <c r="L143" s="924"/>
      <c r="M143" s="924"/>
      <c r="N143" s="984"/>
      <c r="Q143" s="925"/>
      <c r="R143" s="923"/>
      <c r="S143" s="977"/>
      <c r="T143" s="924"/>
      <c r="U143" s="924"/>
      <c r="V143" s="984"/>
      <c r="W143" s="29"/>
      <c r="X143" s="703"/>
      <c r="Y143" s="925"/>
      <c r="Z143" s="923"/>
      <c r="AA143" s="977"/>
      <c r="AB143" s="924"/>
      <c r="AC143" s="924"/>
      <c r="AD143" s="984"/>
      <c r="AH143" s="1030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5"/>
      <c r="B144" s="923"/>
      <c r="C144" s="977"/>
      <c r="D144" s="924"/>
      <c r="E144" s="924"/>
      <c r="F144" s="984"/>
      <c r="G144" s="29"/>
      <c r="H144" s="31"/>
      <c r="I144" s="925"/>
      <c r="J144" s="923"/>
      <c r="K144" s="977"/>
      <c r="L144" s="924"/>
      <c r="M144" s="924"/>
      <c r="N144" s="984"/>
      <c r="Q144" s="925"/>
      <c r="R144" s="923"/>
      <c r="S144" s="977"/>
      <c r="T144" s="924"/>
      <c r="U144" s="924"/>
      <c r="V144" s="984"/>
      <c r="W144" s="29"/>
      <c r="X144" s="703"/>
      <c r="Y144" s="925"/>
      <c r="Z144" s="923"/>
      <c r="AA144" s="977"/>
      <c r="AB144" s="924"/>
      <c r="AC144" s="924"/>
      <c r="AD144" s="984"/>
      <c r="AH144" s="1030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69"/>
      <c r="B145" s="970"/>
      <c r="C145" s="979"/>
      <c r="D145" s="980"/>
      <c r="E145" s="980"/>
      <c r="F145" s="999"/>
      <c r="G145" s="29"/>
      <c r="H145" s="31"/>
      <c r="I145" s="969"/>
      <c r="J145" s="970"/>
      <c r="K145" s="979"/>
      <c r="L145" s="980"/>
      <c r="M145" s="980"/>
      <c r="N145" s="999"/>
      <c r="Q145" s="969"/>
      <c r="R145" s="970"/>
      <c r="S145" s="979"/>
      <c r="T145" s="980"/>
      <c r="U145" s="980"/>
      <c r="V145" s="999"/>
      <c r="W145" s="29"/>
      <c r="X145" s="703"/>
      <c r="Y145" s="969"/>
      <c r="Z145" s="970"/>
      <c r="AA145" s="979"/>
      <c r="AB145" s="980"/>
      <c r="AC145" s="980"/>
      <c r="AD145" s="999"/>
      <c r="AH145" s="1030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6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AN53:AO53"/>
    <mergeCell ref="Q54:Z54"/>
    <mergeCell ref="B54:B55"/>
    <mergeCell ref="B1:F1"/>
    <mergeCell ref="I1:J1"/>
    <mergeCell ref="C54:M54"/>
  </mergeCells>
  <conditionalFormatting sqref="C82:Z94">
    <cfRule type="expression" dxfId="40" priority="2086" stopIfTrue="1">
      <formula>C$82=0</formula>
    </cfRule>
  </conditionalFormatting>
  <conditionalFormatting sqref="A16:N43">
    <cfRule type="expression" dxfId="39" priority="13" stopIfTrue="1">
      <formula>$B16=""</formula>
    </cfRule>
  </conditionalFormatting>
  <conditionalFormatting sqref="A56:A79 C56:AA79">
    <cfRule type="expression" dxfId="38" priority="2094" stopIfTrue="1">
      <formula>$N56=0</formula>
    </cfRule>
  </conditionalFormatting>
  <conditionalFormatting sqref="F20:G43">
    <cfRule type="expression" dxfId="37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6" t="s">
        <v>196</v>
      </c>
      <c r="B1" s="90"/>
      <c r="K1" s="4"/>
      <c r="L1" s="4"/>
      <c r="M1" s="4"/>
      <c r="N1" s="273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3">
        <v>1</v>
      </c>
      <c r="Z1" s="677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0" t="s">
        <v>75</v>
      </c>
      <c r="AN1" s="4"/>
      <c r="AO1" s="4"/>
      <c r="AT1" s="764"/>
      <c r="AY1" s="764"/>
      <c r="BC1" s="1246" t="s">
        <v>209</v>
      </c>
      <c r="BD1" s="1246"/>
      <c r="BE1" s="1246"/>
      <c r="BF1" s="808"/>
      <c r="BH1" s="734" t="s">
        <v>201</v>
      </c>
      <c r="BJ1" s="719"/>
      <c r="BK1" s="719"/>
      <c r="BL1" s="719"/>
      <c r="BM1" s="719"/>
      <c r="BN1" s="719"/>
      <c r="BO1" s="719"/>
      <c r="BP1" s="719"/>
      <c r="BQ1" s="719"/>
      <c r="BR1" s="573"/>
      <c r="BS1" s="574"/>
      <c r="BT1" s="461"/>
    </row>
    <row r="2" spans="1:84" s="4" customFormat="1" ht="12.75" customHeight="1" thickBot="1" x14ac:dyDescent="0.3">
      <c r="A2" s="1237" t="str">
        <f>'Réglage perte'!B2</f>
        <v>Crêche d'Escalquens</v>
      </c>
      <c r="B2" s="1238"/>
      <c r="C2" s="1238"/>
      <c r="D2" s="1239"/>
      <c r="I2" s="1193" t="s">
        <v>375</v>
      </c>
      <c r="J2" s="1194">
        <f>AVERAGEIF($BW$15:$CF$380,"&gt;0,97")</f>
        <v>0.99949644698367501</v>
      </c>
      <c r="L2" s="175">
        <v>43079</v>
      </c>
      <c r="M2" s="175">
        <v>43093</v>
      </c>
      <c r="N2" s="76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2"/>
      <c r="BC2" s="1246"/>
      <c r="BD2" s="1246"/>
      <c r="BE2" s="1246"/>
      <c r="BF2" s="808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240"/>
      <c r="B3" s="1241"/>
      <c r="C3" s="1241"/>
      <c r="D3" s="1242"/>
      <c r="E3" s="3"/>
      <c r="L3" s="756">
        <f>AL3</f>
        <v>192</v>
      </c>
      <c r="M3" s="760">
        <f>+AM3</f>
        <v>193</v>
      </c>
      <c r="N3" s="171">
        <v>207</v>
      </c>
      <c r="O3" s="171">
        <v>238</v>
      </c>
      <c r="P3" s="171">
        <v>282</v>
      </c>
      <c r="Q3" s="171">
        <v>335</v>
      </c>
      <c r="R3" s="171">
        <v>394</v>
      </c>
      <c r="S3" s="171">
        <v>457</v>
      </c>
      <c r="T3" s="171">
        <v>522</v>
      </c>
      <c r="U3" s="171">
        <v>573</v>
      </c>
      <c r="V3" s="171">
        <v>609</v>
      </c>
      <c r="W3" s="171">
        <v>631</v>
      </c>
      <c r="X3" s="171">
        <v>641</v>
      </c>
      <c r="Y3" s="171">
        <v>642</v>
      </c>
      <c r="Z3" s="171">
        <v>637</v>
      </c>
      <c r="AA3" s="171">
        <v>627</v>
      </c>
      <c r="AB3" s="171">
        <v>610</v>
      </c>
      <c r="AC3" s="171">
        <v>585</v>
      </c>
      <c r="AD3" s="171">
        <v>553</v>
      </c>
      <c r="AE3" s="171">
        <v>512</v>
      </c>
      <c r="AF3" s="171">
        <v>460</v>
      </c>
      <c r="AG3" s="171">
        <v>401</v>
      </c>
      <c r="AH3" s="171">
        <v>345</v>
      </c>
      <c r="AI3" s="171">
        <v>294</v>
      </c>
      <c r="AJ3" s="171">
        <v>248</v>
      </c>
      <c r="AK3" s="171">
        <v>212</v>
      </c>
      <c r="AL3" s="171">
        <v>192</v>
      </c>
      <c r="AM3" s="171">
        <v>193</v>
      </c>
      <c r="AN3" s="756">
        <f>+N3</f>
        <v>207</v>
      </c>
      <c r="AO3" s="757">
        <f>+O3</f>
        <v>238</v>
      </c>
      <c r="BC3" s="1246"/>
      <c r="BD3" s="1246"/>
      <c r="BE3" s="1246"/>
      <c r="BF3" s="808"/>
      <c r="BH3" s="28"/>
      <c r="BI3" s="6"/>
      <c r="BJ3" s="6"/>
      <c r="BK3" s="6"/>
      <c r="BL3" s="6"/>
      <c r="BM3" s="6"/>
      <c r="BN3" s="6"/>
      <c r="BO3" s="797" t="s">
        <v>239</v>
      </c>
      <c r="BP3" s="798">
        <v>0.3</v>
      </c>
      <c r="BQ3" s="799" t="s">
        <v>240</v>
      </c>
      <c r="BR3" s="800" t="s">
        <v>245</v>
      </c>
      <c r="BS3" s="566"/>
    </row>
    <row r="4" spans="1:84" s="4" customFormat="1" ht="12.75" customHeight="1" x14ac:dyDescent="0.25">
      <c r="A4" s="2"/>
      <c r="B4" s="418"/>
      <c r="E4" s="33"/>
      <c r="F4" s="569"/>
      <c r="K4" s="2"/>
      <c r="M4" s="635" t="s">
        <v>193</v>
      </c>
      <c r="N4" s="762">
        <f>MAX($BA15:$BA28)-1</f>
        <v>3.3313558019226974E-2</v>
      </c>
      <c r="O4" s="651">
        <f>MAX($BA29:$BA42)-1</f>
        <v>2.6607888918182443E-2</v>
      </c>
      <c r="P4" s="651">
        <f>MAX($BA43:$BA56)-1</f>
        <v>3.3026015425225763E-2</v>
      </c>
      <c r="Q4" s="651">
        <f>MAX(BA57:BA70)-1</f>
        <v>3.0697899391613825E-2</v>
      </c>
      <c r="R4" s="651">
        <f>MAX(BA71:BA84)-1</f>
        <v>2.819266074408544E-2</v>
      </c>
      <c r="S4" s="651">
        <f>MAX(BA85:BA98)-1</f>
        <v>3.3640441128968801E-2</v>
      </c>
      <c r="T4" s="651">
        <f>MAX(BA99:BA112)-1</f>
        <v>4.5921663578432081E-2</v>
      </c>
      <c r="U4" s="651">
        <f>MAX(BA113:BA126)-1</f>
        <v>2.0951688953959824E-2</v>
      </c>
      <c r="V4" s="651">
        <f>MAX(BA127:BA140)-1</f>
        <v>2.3621966487768153E-2</v>
      </c>
      <c r="W4" s="651">
        <f>MAX(BA141:BA154)-1</f>
        <v>4.0742578997360113E-2</v>
      </c>
      <c r="X4" s="651">
        <f>MAX(BA155:BA168)-1</f>
        <v>1.9607996987380361E-2</v>
      </c>
      <c r="Y4" s="651">
        <f>MAX(BA169:BA182)-1</f>
        <v>2.6997059506485455E-2</v>
      </c>
      <c r="Z4" s="651">
        <f>MAX(BA183:BA196)-1</f>
        <v>3.0136225648812243E-2</v>
      </c>
      <c r="AA4" s="651">
        <f>MAX(BA197:BA210)-1</f>
        <v>3.8508017004405204E-2</v>
      </c>
      <c r="AB4" s="651">
        <f>MAX(BA211:BA224)-1</f>
        <v>4.6975195124397739E-2</v>
      </c>
      <c r="AC4" s="651">
        <f>MAX(BA225:BA238)-1</f>
        <v>5.1364878876305475E-3</v>
      </c>
      <c r="AD4" s="651">
        <f>MAX(BA239:BA252)-1</f>
        <v>1.2896346604324149E-2</v>
      </c>
      <c r="AE4" s="651">
        <f>MAX(BA253:BA266)-1</f>
        <v>4.4046842931252161E-2</v>
      </c>
      <c r="AF4" s="651">
        <f>MAX(BA267:BA280)-1</f>
        <v>3.2758698311673884E-2</v>
      </c>
      <c r="AG4" s="651">
        <f>MAX(BA281:BA294)-1</f>
        <v>4.0937161686642742E-2</v>
      </c>
      <c r="AH4" s="651">
        <f>MAX(BA295:BA308)-1</f>
        <v>3.0362218574110811E-2</v>
      </c>
      <c r="AI4" s="651">
        <f>MAX(BA309:BA322)-1</f>
        <v>4.2610985218578978E-2</v>
      </c>
      <c r="AJ4" s="651">
        <f>MAX(BA323:BA336)-1</f>
        <v>1.96697086355615E-2</v>
      </c>
      <c r="AK4" s="651">
        <f>MAX(BA337:BA350)-1</f>
        <v>3.3958937474035666E-2</v>
      </c>
      <c r="AL4" s="651">
        <f>MAX(BA351:BA364)-1</f>
        <v>1.6605561388233436E-2</v>
      </c>
      <c r="AM4" s="651">
        <f>MAX(BA365:BA380)-1</f>
        <v>4.4752757469245896E-2</v>
      </c>
      <c r="AN4" s="639"/>
      <c r="AP4" s="569"/>
      <c r="AU4" s="569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241</v>
      </c>
      <c r="BP4" s="80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3" t="s">
        <v>192</v>
      </c>
      <c r="B5" s="1244"/>
      <c r="C5" s="1244"/>
      <c r="D5" s="1244"/>
      <c r="E5" s="1244"/>
      <c r="F5" s="1244"/>
      <c r="G5" s="1244"/>
      <c r="H5" s="1244"/>
      <c r="I5" s="1244"/>
      <c r="J5" s="1245"/>
      <c r="K5" s="89"/>
      <c r="N5" s="88"/>
      <c r="O5" s="88"/>
      <c r="P5" s="19"/>
      <c r="Q5" s="70"/>
      <c r="R5" s="70"/>
      <c r="S5" s="70"/>
      <c r="T5" s="70"/>
      <c r="U5" s="70"/>
      <c r="V5" s="636"/>
      <c r="W5" s="70"/>
      <c r="X5" s="70"/>
      <c r="Y5" s="70"/>
      <c r="Z5" s="70"/>
      <c r="AA5" s="70"/>
      <c r="AB5" s="70"/>
      <c r="AC5" s="70"/>
      <c r="AD5" s="70"/>
      <c r="AE5" s="637"/>
      <c r="AF5" s="19"/>
      <c r="AG5" s="19"/>
      <c r="AH5" s="71"/>
      <c r="AI5" s="650"/>
      <c r="AJ5" s="650"/>
      <c r="AK5" s="650"/>
      <c r="AL5" s="650"/>
      <c r="AM5" s="88"/>
      <c r="AN5" s="649"/>
      <c r="AP5" s="758"/>
      <c r="AQ5" s="758"/>
      <c r="AR5" s="758"/>
      <c r="AS5" s="758"/>
      <c r="AT5" s="765"/>
      <c r="AU5" s="758"/>
      <c r="AV5" s="758"/>
      <c r="AW5" s="758"/>
      <c r="AX5" s="758"/>
      <c r="AY5" s="765"/>
      <c r="AZ5" s="758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2.9672487263547875E-3</v>
      </c>
      <c r="B7" s="269">
        <f>'2019'!Dépas_env</f>
        <v>4.4752757469245896E-2</v>
      </c>
      <c r="C7" s="269">
        <f>'2020'!Dépas_env</f>
        <v>4.5921663578432081E-2</v>
      </c>
      <c r="D7" s="269">
        <f>'2021'!Dépas_env</f>
        <v>4.2610985218578978E-2</v>
      </c>
      <c r="E7" s="269">
        <f>'2022'!Dépas_env</f>
        <v>4.6975195124397739E-2</v>
      </c>
      <c r="F7" s="599">
        <f>'2023'!Dépas_env</f>
        <v>4.6975195124397517E-2</v>
      </c>
      <c r="G7" s="599">
        <f>'2024'!Dépas_env</f>
        <v>4.6975195124397517E-2</v>
      </c>
      <c r="H7" s="599">
        <f>'2025'!Dépas_env</f>
        <v>4.6975195124397517E-2</v>
      </c>
      <c r="I7" s="599">
        <f>'2026'!Dépas_env</f>
        <v>4.6975195124397517E-2</v>
      </c>
      <c r="J7" s="599">
        <f>'2027'!Dépas_env</f>
        <v>4.6975195124397517E-2</v>
      </c>
      <c r="K7" s="2"/>
      <c r="BA7" s="64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0"/>
      <c r="BC8" s="6"/>
      <c r="BD8" s="282"/>
      <c r="BE8" s="282"/>
      <c r="BF8" s="282"/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0"/>
      <c r="BB9" s="19"/>
      <c r="BC9" s="19"/>
      <c r="BD9" s="283"/>
      <c r="BE9" s="283"/>
      <c r="BF9" s="283"/>
      <c r="BH9" s="701">
        <f>PousHi*($A$6-BP13-INDEX(Croivg,MIN(MAX(BO13-DATE(BP13,1,1)+1,0),366)))</f>
        <v>-1.6007099697463862</v>
      </c>
      <c r="BI9" s="966" t="s">
        <v>302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1.25" x14ac:dyDescent="0.2">
      <c r="K10" s="7"/>
      <c r="BA10" s="649"/>
      <c r="BD10" s="282"/>
      <c r="BE10" s="282"/>
      <c r="BF10" s="282"/>
      <c r="BH10" s="1046">
        <f>MIN(MATCH(H_i,Echel_vg),10)</f>
        <v>4</v>
      </c>
      <c r="BI10" s="561"/>
      <c r="BO10" s="733"/>
      <c r="BP10" s="733"/>
      <c r="BQ10" s="61">
        <v>1</v>
      </c>
      <c r="BR10" s="61">
        <f t="shared" si="0"/>
        <v>1</v>
      </c>
    </row>
    <row r="11" spans="1:84" s="6" customFormat="1" ht="12.75" customHeight="1" x14ac:dyDescent="0.25">
      <c r="C11" s="561"/>
      <c r="D11" s="8"/>
      <c r="E11" s="8"/>
      <c r="J11" s="9"/>
      <c r="K11" s="7"/>
      <c r="L11" s="759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8" t="s">
        <v>231</v>
      </c>
      <c r="AT11" s="27"/>
      <c r="AU11" s="688" t="s">
        <v>232</v>
      </c>
      <c r="AY11" s="27"/>
      <c r="AZ11" s="770" t="s">
        <v>235</v>
      </c>
      <c r="BA11" s="640"/>
      <c r="BB11" s="19"/>
      <c r="BC11" s="15"/>
      <c r="BD11" s="1247" t="s">
        <v>251</v>
      </c>
      <c r="BE11" s="1248"/>
      <c r="BF11" s="1251" t="s">
        <v>246</v>
      </c>
      <c r="BH11" s="1047">
        <f>INDEX(Echel_vg,$BH$10)</f>
        <v>-2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9.3592865081560959</v>
      </c>
      <c r="C12" s="12">
        <f>+MIN(C15:C379)</f>
        <v>2018</v>
      </c>
      <c r="D12" s="1058"/>
      <c r="E12" s="12">
        <f t="shared" ref="E12:J12" si="1">+MIN(E15:E379)</f>
        <v>19.2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19.032974136354667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18.900807307095363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19.187156362086533</v>
      </c>
      <c r="AZ12" s="391">
        <f t="shared" si="3"/>
        <v>19.044244513218406</v>
      </c>
      <c r="BA12" s="638"/>
      <c r="BC12" s="15"/>
      <c r="BD12" s="1249"/>
      <c r="BE12" s="1250"/>
      <c r="BF12" s="1252"/>
      <c r="BH12" s="1048">
        <f>(H_i-BH11)/(INDEX(Echel_vg,$BH$10+1)-BH$11)</f>
        <v>0.39929003025361376</v>
      </c>
      <c r="BJ12" s="6"/>
      <c r="BK12" s="6"/>
      <c r="BL12" s="6"/>
      <c r="BN12" s="356" t="str">
        <f>Masques!B53</f>
        <v>Pas de calcul pousse en hauteur:</v>
      </c>
      <c r="BO12" s="1113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66.086546918529152</v>
      </c>
      <c r="C13" s="12">
        <f>+MAX(C15:C379)</f>
        <v>2022</v>
      </c>
      <c r="D13" s="1058"/>
      <c r="E13" s="12">
        <f t="shared" ref="E13:J13" si="4">+MAX(E15:E379)</f>
        <v>64.2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64.246355684314452</v>
      </c>
      <c r="K13" s="6"/>
      <c r="L13" s="773">
        <f>AL13</f>
        <v>192</v>
      </c>
      <c r="M13" s="773">
        <f>+AM13</f>
        <v>193</v>
      </c>
      <c r="N13" s="772">
        <f t="shared" ref="N13:AM13" si="5">Ajust_M*N3</f>
        <v>207</v>
      </c>
      <c r="O13" s="763">
        <f t="shared" si="5"/>
        <v>238</v>
      </c>
      <c r="P13" s="763">
        <f t="shared" si="5"/>
        <v>282</v>
      </c>
      <c r="Q13" s="763">
        <f t="shared" si="5"/>
        <v>335</v>
      </c>
      <c r="R13" s="763">
        <f t="shared" si="5"/>
        <v>394</v>
      </c>
      <c r="S13" s="763">
        <f t="shared" si="5"/>
        <v>457</v>
      </c>
      <c r="T13" s="763">
        <f t="shared" si="5"/>
        <v>522</v>
      </c>
      <c r="U13" s="763">
        <f t="shared" si="5"/>
        <v>573</v>
      </c>
      <c r="V13" s="763">
        <f t="shared" si="5"/>
        <v>609</v>
      </c>
      <c r="W13" s="763">
        <f t="shared" si="5"/>
        <v>631</v>
      </c>
      <c r="X13" s="763">
        <f t="shared" si="5"/>
        <v>641</v>
      </c>
      <c r="Y13" s="763">
        <f t="shared" si="5"/>
        <v>642</v>
      </c>
      <c r="Z13" s="763">
        <f t="shared" si="5"/>
        <v>637</v>
      </c>
      <c r="AA13" s="763">
        <f t="shared" si="5"/>
        <v>627</v>
      </c>
      <c r="AB13" s="763">
        <f t="shared" si="5"/>
        <v>610</v>
      </c>
      <c r="AC13" s="763">
        <f t="shared" si="5"/>
        <v>585</v>
      </c>
      <c r="AD13" s="763">
        <f t="shared" si="5"/>
        <v>553</v>
      </c>
      <c r="AE13" s="763">
        <f t="shared" si="5"/>
        <v>512</v>
      </c>
      <c r="AF13" s="763">
        <f t="shared" si="5"/>
        <v>460</v>
      </c>
      <c r="AG13" s="763">
        <f t="shared" si="5"/>
        <v>401</v>
      </c>
      <c r="AH13" s="763">
        <f t="shared" si="5"/>
        <v>345</v>
      </c>
      <c r="AI13" s="763">
        <f t="shared" si="5"/>
        <v>294</v>
      </c>
      <c r="AJ13" s="763">
        <f t="shared" si="5"/>
        <v>248</v>
      </c>
      <c r="AK13" s="763">
        <f t="shared" si="5"/>
        <v>212</v>
      </c>
      <c r="AL13" s="763">
        <f t="shared" si="5"/>
        <v>192</v>
      </c>
      <c r="AM13" s="763">
        <f t="shared" si="5"/>
        <v>193</v>
      </c>
      <c r="AN13" s="773">
        <f>+N13</f>
        <v>207</v>
      </c>
      <c r="AO13" s="773">
        <f>+O13</f>
        <v>238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64.318460732964539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64.221763393109924</v>
      </c>
      <c r="AZ13" s="391">
        <f t="shared" si="6"/>
        <v>64.270112063037232</v>
      </c>
      <c r="BA13" s="638"/>
      <c r="BC13" s="37"/>
      <c r="BD13" s="285" t="s">
        <v>49</v>
      </c>
      <c r="BE13" s="285" t="s">
        <v>48</v>
      </c>
      <c r="BF13" s="285" t="s">
        <v>249</v>
      </c>
      <c r="BH13" s="1049" t="s">
        <v>89</v>
      </c>
      <c r="BJ13" s="6"/>
      <c r="BN13" s="33" t="str">
        <f>Masques!G53</f>
        <v>Date de relevés hauteurs (ref. 0m):</v>
      </c>
      <c r="BO13" s="1114">
        <f>+Masques!I1</f>
        <v>44582</v>
      </c>
      <c r="BP13" s="800">
        <f>YEAR(BO13)</f>
        <v>2022</v>
      </c>
      <c r="BW13" s="676" t="s">
        <v>374</v>
      </c>
    </row>
    <row r="14" spans="1:84" ht="37.5" customHeight="1" thickBot="1" x14ac:dyDescent="0.3">
      <c r="A14" s="356" t="s">
        <v>114</v>
      </c>
      <c r="B14" s="1057" t="s">
        <v>3</v>
      </c>
      <c r="C14" s="1057" t="s">
        <v>13</v>
      </c>
      <c r="D14" s="1059"/>
      <c r="E14" s="174" t="s">
        <v>225</v>
      </c>
      <c r="F14" s="174" t="s">
        <v>221</v>
      </c>
      <c r="G14" s="174" t="s">
        <v>222</v>
      </c>
      <c r="H14" s="174" t="s">
        <v>223</v>
      </c>
      <c r="I14" s="743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221</v>
      </c>
      <c r="AQ14" s="174" t="s">
        <v>222</v>
      </c>
      <c r="AR14" s="174" t="s">
        <v>223</v>
      </c>
      <c r="AS14" s="743" t="s">
        <v>224</v>
      </c>
      <c r="AT14" s="766" t="s">
        <v>233</v>
      </c>
      <c r="AU14" s="174" t="s">
        <v>221</v>
      </c>
      <c r="AV14" s="174" t="s">
        <v>222</v>
      </c>
      <c r="AW14" s="174" t="s">
        <v>223</v>
      </c>
      <c r="AX14" s="743" t="s">
        <v>224</v>
      </c>
      <c r="AY14" s="766" t="s">
        <v>234</v>
      </c>
      <c r="AZ14" s="78" t="s">
        <v>236</v>
      </c>
      <c r="BA14" s="641" t="s">
        <v>194</v>
      </c>
      <c r="BB14" s="72"/>
      <c r="BC14" s="356" t="s">
        <v>114</v>
      </c>
      <c r="BD14" s="286" t="s">
        <v>19</v>
      </c>
      <c r="BE14" s="287" t="s">
        <v>21</v>
      </c>
      <c r="BF14" s="813" t="s">
        <v>250</v>
      </c>
      <c r="BH14" s="1050" t="s">
        <v>90</v>
      </c>
      <c r="BI14" s="1045" t="s">
        <v>303</v>
      </c>
      <c r="BJ14" s="720">
        <f>+Masques!C55</f>
        <v>-5</v>
      </c>
      <c r="BK14" s="720">
        <f>+Masques!D55</f>
        <v>-4</v>
      </c>
      <c r="BL14" s="720">
        <f>+Masques!E55</f>
        <v>-3</v>
      </c>
      <c r="BM14" s="721">
        <f>+Masques!F55</f>
        <v>-2</v>
      </c>
      <c r="BN14" s="721">
        <f>+Masques!G55</f>
        <v>-1</v>
      </c>
      <c r="BO14" s="722">
        <f>+Masques!H55</f>
        <v>0</v>
      </c>
      <c r="BP14" s="720">
        <f>+Masques!I55</f>
        <v>1</v>
      </c>
      <c r="BQ14" s="720">
        <f>+Masques!J55</f>
        <v>2</v>
      </c>
      <c r="BR14" s="720">
        <f>+Masques!K55</f>
        <v>3</v>
      </c>
      <c r="BS14" s="720">
        <f>+Masques!L55</f>
        <v>4</v>
      </c>
      <c r="BT14" s="720">
        <f>+Masques!M55</f>
        <v>5</v>
      </c>
      <c r="BU14" s="967" t="s">
        <v>200</v>
      </c>
      <c r="BW14" s="1185">
        <v>2018</v>
      </c>
      <c r="BX14" s="1185">
        <v>2019</v>
      </c>
      <c r="BY14" s="1185">
        <v>2020</v>
      </c>
      <c r="BZ14" s="1185">
        <v>2021</v>
      </c>
      <c r="CA14" s="1185">
        <v>2022</v>
      </c>
      <c r="CB14" s="1185">
        <v>2023</v>
      </c>
      <c r="CC14" s="1185">
        <v>2024</v>
      </c>
      <c r="CD14" s="1185">
        <v>2025</v>
      </c>
      <c r="CE14" s="1185">
        <v>2026</v>
      </c>
      <c r="CF14" s="1185">
        <v>2027</v>
      </c>
    </row>
    <row r="15" spans="1:84" s="6" customFormat="1" ht="11.25" x14ac:dyDescent="0.2">
      <c r="A15" s="11">
        <v>43101</v>
      </c>
      <c r="B15" s="379">
        <f>'2022'!Maxi_hp</f>
        <v>19.423010960329702</v>
      </c>
      <c r="C15" s="749">
        <f>'2022'!An_max</f>
        <v>2022</v>
      </c>
      <c r="D15" s="1060"/>
      <c r="E15" s="1055"/>
      <c r="F15" s="749">
        <f>INT(MATCH($A15,x.2m)/2)*2+1</f>
        <v>1</v>
      </c>
      <c r="G15" s="749">
        <f>INT((MATCH($A15,x.2m)+1)/2)*2</f>
        <v>2</v>
      </c>
      <c r="H15" s="750">
        <f t="shared" ref="H15:H78" si="7">INDEX(x.2m,F15)</f>
        <v>43093</v>
      </c>
      <c r="I15" s="751">
        <f t="shared" ref="I15:I78" si="8">($A15-H15)/(INDEX(x.2m,G15)-H15)</f>
        <v>0.53333333333333333</v>
      </c>
      <c r="J15" s="744">
        <f>((1-I15)*(INDEX(a.m,F15)*$A15*$A15+INDEX(b.m,F15)*$A15+INDEX(c.m,F15))+I15*(INDEX(a.m,G15)*$A15*$A15+INDEX(b.m,G15)*$A15+INDEX(c.m,G15)))/10</f>
        <v>19.837072797218958</v>
      </c>
      <c r="L15" s="753" t="s">
        <v>210</v>
      </c>
      <c r="M15" s="783">
        <f t="shared" ref="M15:AN15" si="9">L12</f>
        <v>43079</v>
      </c>
      <c r="N15" s="784">
        <f t="shared" si="9"/>
        <v>43093</v>
      </c>
      <c r="O15" s="774">
        <f t="shared" si="9"/>
        <v>43108</v>
      </c>
      <c r="P15" s="774">
        <f t="shared" si="9"/>
        <v>43122</v>
      </c>
      <c r="Q15" s="774">
        <f t="shared" si="9"/>
        <v>43136</v>
      </c>
      <c r="R15" s="774">
        <f t="shared" si="9"/>
        <v>43150</v>
      </c>
      <c r="S15" s="774">
        <f t="shared" si="9"/>
        <v>43164</v>
      </c>
      <c r="T15" s="774">
        <f t="shared" si="9"/>
        <v>43178</v>
      </c>
      <c r="U15" s="774">
        <f t="shared" si="9"/>
        <v>43192</v>
      </c>
      <c r="V15" s="774">
        <f t="shared" si="9"/>
        <v>43206</v>
      </c>
      <c r="W15" s="774">
        <f t="shared" si="9"/>
        <v>43220</v>
      </c>
      <c r="X15" s="774">
        <f t="shared" si="9"/>
        <v>43234</v>
      </c>
      <c r="Y15" s="774">
        <f t="shared" si="9"/>
        <v>43248</v>
      </c>
      <c r="Z15" s="774">
        <f t="shared" si="9"/>
        <v>43262</v>
      </c>
      <c r="AA15" s="774">
        <f t="shared" si="9"/>
        <v>43276</v>
      </c>
      <c r="AB15" s="774">
        <f t="shared" si="9"/>
        <v>43290</v>
      </c>
      <c r="AC15" s="774">
        <f t="shared" si="9"/>
        <v>43304</v>
      </c>
      <c r="AD15" s="774">
        <f t="shared" si="9"/>
        <v>43318</v>
      </c>
      <c r="AE15" s="774">
        <f t="shared" si="9"/>
        <v>43332</v>
      </c>
      <c r="AF15" s="774">
        <f t="shared" si="9"/>
        <v>43346</v>
      </c>
      <c r="AG15" s="774">
        <f t="shared" si="9"/>
        <v>43360</v>
      </c>
      <c r="AH15" s="774">
        <f t="shared" si="9"/>
        <v>43374</v>
      </c>
      <c r="AI15" s="774">
        <f t="shared" si="9"/>
        <v>43388</v>
      </c>
      <c r="AJ15" s="774">
        <f t="shared" si="9"/>
        <v>43402</v>
      </c>
      <c r="AK15" s="774">
        <f t="shared" si="9"/>
        <v>43416</v>
      </c>
      <c r="AL15" s="774">
        <f t="shared" si="9"/>
        <v>43430</v>
      </c>
      <c r="AM15" s="774">
        <f t="shared" si="9"/>
        <v>43444</v>
      </c>
      <c r="AN15" s="776">
        <f t="shared" si="9"/>
        <v>43458</v>
      </c>
      <c r="AO15" s="1054">
        <v>43101</v>
      </c>
      <c r="AP15" s="749">
        <f t="shared" ref="AP15:AP78" si="10">INT(MATCH($A15,x.2lg)/2)*2+1</f>
        <v>1</v>
      </c>
      <c r="AQ15" s="749">
        <f t="shared" ref="AQ15:AQ78" si="11">INT((MATCH($A15,x.2lg)+1)/2)*2</f>
        <v>2</v>
      </c>
      <c r="AR15" s="750">
        <f t="shared" ref="AR15:AR78" si="12">INDEX(x.2lg,AP15)</f>
        <v>43079</v>
      </c>
      <c r="AS15" s="751">
        <f t="shared" ref="AS15:AS78" si="13">($A15-AR15)/(INDEX(x.2lg,AQ15)-AR15)</f>
        <v>0.75862068965517238</v>
      </c>
      <c r="AT15" s="767">
        <f t="shared" ref="AT15:AT78" si="14">((1-AS15)*(INDEX(a.lg,AP15)*$A15*$A15+INDEX(b.lg,AP15)*$A15+INDEX(c.lg,AP15))+AS15*(INDEX(a.lg,AQ15)*$A15*$A15+INDEX(b.lg,AQ15)*$A15+INDEX(c.lg,AQ15)))/10</f>
        <v>19.730782069522757</v>
      </c>
      <c r="AU15" s="749">
        <f t="shared" ref="AU15:AU78" si="15">INT(MATCH($A15,x.2ld)/2)*2+1</f>
        <v>1</v>
      </c>
      <c r="AV15" s="749">
        <f t="shared" ref="AV15:AV78" si="16">INT((MATCH($A15,x.2ld)+1)/2)*2</f>
        <v>2</v>
      </c>
      <c r="AW15" s="750">
        <f t="shared" ref="AW15:AW78" si="17">INDEX(x.2ld,AU15)</f>
        <v>43093</v>
      </c>
      <c r="AX15" s="751">
        <f t="shared" ref="AX15:AX78" si="18">($A15-AW15)/(INDEX(x.2ld,AV15)-AW15)</f>
        <v>0.27586206896551724</v>
      </c>
      <c r="AY15" s="767">
        <f t="shared" ref="AY15:AY78" si="19">((1-AX15)*(INDEX(a.ld,AU15)*$A15*$A15+INDEX(b.ld,AU15)*$A15+INDEX(c.ld,AU15))+AX15*(INDEX(a.ld,AV15)*$A15*$A15+INDEX(b.ld,AV15)*$A15+INDEX(c.ld,AV15)))/10</f>
        <v>19.909862944843439</v>
      </c>
      <c r="AZ15" s="744">
        <f>(AY15+AT15)/2</f>
        <v>19.8203225071831</v>
      </c>
      <c r="BA15" s="642">
        <f t="shared" ref="BA15:BA78" si="20">+B15/J15</f>
        <v>0.97912686810589789</v>
      </c>
      <c r="BC15" s="11">
        <v>43101</v>
      </c>
      <c r="BD15" s="288">
        <f>[2]!FeuilCaduc*(1-Persistant)+Persistant</f>
        <v>0.70343372457146036</v>
      </c>
      <c r="BE15" s="289">
        <f>[2]!CroissVégét</f>
        <v>2.3909964587625958E-6</v>
      </c>
      <c r="BF15" s="814">
        <f>1+[2]!Salcycl*Ksac</f>
        <v>1.0005722874285767</v>
      </c>
      <c r="BH15" s="1051">
        <f t="shared" ref="BH15:BH78" si="21">INDEX($BJ15:$BT15,,$BH$10)*(1-Ratini)+INDEX($BJ15:$BT15,,$BH$10+1)*Ratini</f>
        <v>6.9575900257973326E-3</v>
      </c>
      <c r="BI15" s="11">
        <v>44197</v>
      </c>
      <c r="BJ15" s="820">
        <v>3.4840174365086281E-3</v>
      </c>
      <c r="BK15" s="723">
        <v>4.2682006555653483E-3</v>
      </c>
      <c r="BL15" s="723">
        <v>5.1932670308891711E-3</v>
      </c>
      <c r="BM15" s="723">
        <v>6.3380239087371436E-3</v>
      </c>
      <c r="BN15" s="723">
        <v>7.8896932971931101E-3</v>
      </c>
      <c r="BO15" s="724">
        <v>1.0432815165375454E-2</v>
      </c>
      <c r="BP15" s="723">
        <v>1.4676075258113874E-2</v>
      </c>
      <c r="BQ15" s="723">
        <v>2.2105543943224011E-2</v>
      </c>
      <c r="BR15" s="723">
        <v>3.4473361564523852E-2</v>
      </c>
      <c r="BS15" s="723">
        <v>5.4322551396947333E-2</v>
      </c>
      <c r="BT15" s="723">
        <v>7.9914330762636668E-2</v>
      </c>
      <c r="BW15" s="1186">
        <f>'2018'!R\Max</f>
        <v>0</v>
      </c>
      <c r="BX15" s="1187">
        <f>'2019'!R\Max</f>
        <v>8.5361539393356348E-2</v>
      </c>
      <c r="BY15" s="1187">
        <f>'2020'!R\Max</f>
        <v>0.67165331947644469</v>
      </c>
      <c r="BZ15" s="1187">
        <f>'2021'!R\Max</f>
        <v>0.40233956331980114</v>
      </c>
      <c r="CA15" s="1187">
        <f>'2022'!R\Max</f>
        <v>0.97912686810589789</v>
      </c>
      <c r="CB15" s="1187">
        <f>'2023'!R\Max</f>
        <v>0.97911579630797985</v>
      </c>
      <c r="CC15" s="1187">
        <f>'2024'!R\Max</f>
        <v>0.97910470847719722</v>
      </c>
      <c r="CD15" s="1187">
        <f>'2025'!R\Max</f>
        <v>0.97908945922506352</v>
      </c>
      <c r="CE15" s="1187">
        <f>'2026'!R\Max</f>
        <v>0.97914567411304543</v>
      </c>
      <c r="CF15" s="1188">
        <f>'2027'!R\Max</f>
        <v>0.97914046961007861</v>
      </c>
    </row>
    <row r="16" spans="1:84" s="6" customFormat="1" ht="11.25" x14ac:dyDescent="0.2">
      <c r="A16" s="11">
        <v>43102</v>
      </c>
      <c r="B16" s="380">
        <f>'2022'!Maxi_hp</f>
        <v>17.983399088358674</v>
      </c>
      <c r="C16" s="13">
        <f>'2022'!An_max</f>
        <v>2020</v>
      </c>
      <c r="D16" s="1061"/>
      <c r="E16" s="1056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3">
        <f t="shared" si="7"/>
        <v>43093</v>
      </c>
      <c r="I16" s="752">
        <f t="shared" si="8"/>
        <v>0.6</v>
      </c>
      <c r="J16" s="745">
        <f>((1-I16)*(INDEX(a.m,F16)*$A16*$A16+INDEX(b.m,F16)*$A16+INDEX(c.m,F16))+I16*(INDEX(a.m,G16)*$A16*$A16+INDEX(b.m,G16)*$A16+INDEX(c.m,G16)))/10</f>
        <v>19.932689654529092</v>
      </c>
      <c r="L16" s="754" t="s">
        <v>211</v>
      </c>
      <c r="M16" s="740">
        <f t="shared" ref="M16:AN16" si="24">L13</f>
        <v>192</v>
      </c>
      <c r="N16" s="779">
        <f t="shared" si="24"/>
        <v>193</v>
      </c>
      <c r="O16" s="741">
        <f t="shared" si="24"/>
        <v>207</v>
      </c>
      <c r="P16" s="741">
        <f t="shared" si="24"/>
        <v>238</v>
      </c>
      <c r="Q16" s="741">
        <f t="shared" si="24"/>
        <v>282</v>
      </c>
      <c r="R16" s="741">
        <f t="shared" si="24"/>
        <v>335</v>
      </c>
      <c r="S16" s="741">
        <f t="shared" si="24"/>
        <v>394</v>
      </c>
      <c r="T16" s="741">
        <f t="shared" si="24"/>
        <v>457</v>
      </c>
      <c r="U16" s="741">
        <f t="shared" si="24"/>
        <v>522</v>
      </c>
      <c r="V16" s="741">
        <f t="shared" si="24"/>
        <v>573</v>
      </c>
      <c r="W16" s="741">
        <f t="shared" si="24"/>
        <v>609</v>
      </c>
      <c r="X16" s="741">
        <f t="shared" si="24"/>
        <v>631</v>
      </c>
      <c r="Y16" s="741">
        <f t="shared" si="24"/>
        <v>641</v>
      </c>
      <c r="Z16" s="741">
        <f t="shared" si="24"/>
        <v>642</v>
      </c>
      <c r="AA16" s="741">
        <f t="shared" si="24"/>
        <v>637</v>
      </c>
      <c r="AB16" s="741">
        <f t="shared" si="24"/>
        <v>627</v>
      </c>
      <c r="AC16" s="741">
        <f t="shared" si="24"/>
        <v>610</v>
      </c>
      <c r="AD16" s="741">
        <f t="shared" si="24"/>
        <v>585</v>
      </c>
      <c r="AE16" s="741">
        <f t="shared" si="24"/>
        <v>553</v>
      </c>
      <c r="AF16" s="741">
        <f t="shared" si="24"/>
        <v>512</v>
      </c>
      <c r="AG16" s="741">
        <f t="shared" si="24"/>
        <v>460</v>
      </c>
      <c r="AH16" s="741">
        <f t="shared" si="24"/>
        <v>401</v>
      </c>
      <c r="AI16" s="741">
        <f t="shared" si="24"/>
        <v>345</v>
      </c>
      <c r="AJ16" s="741">
        <f t="shared" si="24"/>
        <v>294</v>
      </c>
      <c r="AK16" s="741">
        <f t="shared" si="24"/>
        <v>248</v>
      </c>
      <c r="AL16" s="741">
        <f t="shared" si="24"/>
        <v>212</v>
      </c>
      <c r="AM16" s="741">
        <f t="shared" si="24"/>
        <v>192</v>
      </c>
      <c r="AN16" s="777">
        <f t="shared" si="24"/>
        <v>193</v>
      </c>
      <c r="AO16" s="1054">
        <v>43102</v>
      </c>
      <c r="AP16" s="13">
        <f t="shared" si="10"/>
        <v>1</v>
      </c>
      <c r="AQ16" s="13">
        <f t="shared" si="11"/>
        <v>2</v>
      </c>
      <c r="AR16" s="173">
        <f t="shared" si="12"/>
        <v>43079</v>
      </c>
      <c r="AS16" s="752">
        <f t="shared" si="13"/>
        <v>0.7931034482758621</v>
      </c>
      <c r="AT16" s="768">
        <f t="shared" si="14"/>
        <v>19.848557928564219</v>
      </c>
      <c r="AU16" s="13">
        <f t="shared" si="15"/>
        <v>1</v>
      </c>
      <c r="AV16" s="13">
        <f t="shared" si="16"/>
        <v>2</v>
      </c>
      <c r="AW16" s="173">
        <f t="shared" si="17"/>
        <v>43093</v>
      </c>
      <c r="AX16" s="752">
        <f t="shared" si="18"/>
        <v>0.31034482758620691</v>
      </c>
      <c r="AY16" s="768">
        <f t="shared" si="19"/>
        <v>20.023386945447019</v>
      </c>
      <c r="AZ16" s="745">
        <f t="shared" ref="AZ16:AZ79" si="25">(AY16+AT16)/2</f>
        <v>19.935972437005617</v>
      </c>
      <c r="BA16" s="642">
        <f>+B16/J16</f>
        <v>0.90220634545787437</v>
      </c>
      <c r="BC16" s="11">
        <v>43102</v>
      </c>
      <c r="BD16" s="290">
        <f>[2]!FeuilCaduc*(1-Persistant)+Persistant</f>
        <v>0.70319368948827943</v>
      </c>
      <c r="BE16" s="291">
        <f>[2]!CroissVégét</f>
        <v>6.0820224447240291E-5</v>
      </c>
      <c r="BF16" s="815">
        <f>1+[2]!Salcycl*Ksac</f>
        <v>1.00053228158138</v>
      </c>
      <c r="BH16" s="1052">
        <f t="shared" si="21"/>
        <v>7.1228290988921E-3</v>
      </c>
      <c r="BI16" s="11">
        <v>44198</v>
      </c>
      <c r="BJ16" s="725">
        <v>3.577897387929057E-3</v>
      </c>
      <c r="BK16" s="725">
        <v>4.3779270019144549E-3</v>
      </c>
      <c r="BL16" s="725">
        <v>5.3225440000585628E-3</v>
      </c>
      <c r="BM16" s="725">
        <v>6.4929472374258522E-3</v>
      </c>
      <c r="BN16" s="725">
        <v>8.0704518424523572E-3</v>
      </c>
      <c r="BO16" s="726">
        <v>1.0636995548990115E-2</v>
      </c>
      <c r="BP16" s="725">
        <v>1.4898891407853538E-2</v>
      </c>
      <c r="BQ16" s="725">
        <v>2.2303824641089261E-2</v>
      </c>
      <c r="BR16" s="725">
        <v>3.455841333417696E-2</v>
      </c>
      <c r="BS16" s="725">
        <v>5.4223151509696317E-2</v>
      </c>
      <c r="BT16" s="725">
        <v>7.9601294289101135E-2</v>
      </c>
      <c r="BW16" s="1189">
        <f>'2018'!R\Max</f>
        <v>0</v>
      </c>
      <c r="BX16" s="1187">
        <f>'2019'!R\Max</f>
        <v>0.33583942037075842</v>
      </c>
      <c r="BY16" s="1187">
        <f>'2020'!R\Max</f>
        <v>0.90220634545787437</v>
      </c>
      <c r="BZ16" s="1187">
        <f>'2021'!R\Max</f>
        <v>0.2199914187737792</v>
      </c>
      <c r="CA16" s="1187">
        <f>'2022'!R\Max</f>
        <v>0.77154710780231439</v>
      </c>
      <c r="CB16" s="1187">
        <f>'2023'!R\Max</f>
        <v>0.77145170044262612</v>
      </c>
      <c r="CC16" s="1187">
        <f>'2024'!R\Max</f>
        <v>0.7713561791706337</v>
      </c>
      <c r="CD16" s="1187">
        <f>'2025'!R\Max</f>
        <v>0.77122547741904679</v>
      </c>
      <c r="CE16" s="1187">
        <f>'2026'!R\Max</f>
        <v>0.77171012775291925</v>
      </c>
      <c r="CF16" s="1188">
        <f>'2027'!R\Max</f>
        <v>0.7716649023067379</v>
      </c>
    </row>
    <row r="17" spans="1:84" s="6" customFormat="1" ht="11.25" x14ac:dyDescent="0.2">
      <c r="A17" s="11">
        <v>43103</v>
      </c>
      <c r="B17" s="380">
        <f>'2022'!Maxi_hp</f>
        <v>19.915594108485788</v>
      </c>
      <c r="C17" s="13">
        <f>'2022'!An_max</f>
        <v>2021</v>
      </c>
      <c r="D17" s="1061"/>
      <c r="E17" s="1056"/>
      <c r="F17" s="13">
        <f t="shared" si="22"/>
        <v>1</v>
      </c>
      <c r="G17" s="13">
        <f t="shared" si="23"/>
        <v>2</v>
      </c>
      <c r="H17" s="173">
        <f t="shared" si="7"/>
        <v>43093</v>
      </c>
      <c r="I17" s="752">
        <f t="shared" si="8"/>
        <v>0.66666666666666663</v>
      </c>
      <c r="J17" s="745">
        <f t="shared" ref="J17:J78" si="26">((1-I17)*(INDEX(a.m,F17)*$A17*$A17+INDEX(b.m,F17)*$A17+INDEX(c.m,F17))+I17*(INDEX(a.m,G17)*$A17*$A17+INDEX(b.m,G17)*$A17+INDEX(c.m,G17)))/10</f>
        <v>20.036562670270602</v>
      </c>
      <c r="L17" s="754" t="s">
        <v>212</v>
      </c>
      <c r="M17" s="780">
        <f t="shared" ref="M17:AN17" si="27">M12</f>
        <v>43093</v>
      </c>
      <c r="N17" s="736">
        <f t="shared" si="27"/>
        <v>43108</v>
      </c>
      <c r="O17" s="736">
        <f t="shared" si="27"/>
        <v>43122</v>
      </c>
      <c r="P17" s="736">
        <f t="shared" si="27"/>
        <v>43136</v>
      </c>
      <c r="Q17" s="736">
        <f t="shared" si="27"/>
        <v>43150</v>
      </c>
      <c r="R17" s="736">
        <f t="shared" si="27"/>
        <v>43164</v>
      </c>
      <c r="S17" s="736">
        <f t="shared" si="27"/>
        <v>43178</v>
      </c>
      <c r="T17" s="736">
        <f t="shared" si="27"/>
        <v>43192</v>
      </c>
      <c r="U17" s="736">
        <f t="shared" si="27"/>
        <v>43206</v>
      </c>
      <c r="V17" s="736">
        <f t="shared" si="27"/>
        <v>43220</v>
      </c>
      <c r="W17" s="736">
        <f t="shared" si="27"/>
        <v>43234</v>
      </c>
      <c r="X17" s="736">
        <f t="shared" si="27"/>
        <v>43248</v>
      </c>
      <c r="Y17" s="736">
        <f t="shared" si="27"/>
        <v>43262</v>
      </c>
      <c r="Z17" s="736">
        <f t="shared" si="27"/>
        <v>43276</v>
      </c>
      <c r="AA17" s="736">
        <f t="shared" si="27"/>
        <v>43290</v>
      </c>
      <c r="AB17" s="736">
        <f t="shared" si="27"/>
        <v>43304</v>
      </c>
      <c r="AC17" s="736">
        <f t="shared" si="27"/>
        <v>43318</v>
      </c>
      <c r="AD17" s="736">
        <f t="shared" si="27"/>
        <v>43332</v>
      </c>
      <c r="AE17" s="736">
        <f t="shared" si="27"/>
        <v>43346</v>
      </c>
      <c r="AF17" s="736">
        <f t="shared" si="27"/>
        <v>43360</v>
      </c>
      <c r="AG17" s="736">
        <f t="shared" si="27"/>
        <v>43374</v>
      </c>
      <c r="AH17" s="736">
        <f t="shared" si="27"/>
        <v>43388</v>
      </c>
      <c r="AI17" s="736">
        <f t="shared" si="27"/>
        <v>43402</v>
      </c>
      <c r="AJ17" s="736">
        <f t="shared" si="27"/>
        <v>43416</v>
      </c>
      <c r="AK17" s="736">
        <f t="shared" si="27"/>
        <v>43430</v>
      </c>
      <c r="AL17" s="736">
        <f t="shared" si="27"/>
        <v>43444</v>
      </c>
      <c r="AM17" s="778">
        <f t="shared" si="27"/>
        <v>43458</v>
      </c>
      <c r="AN17" s="785">
        <f t="shared" si="27"/>
        <v>43473</v>
      </c>
      <c r="AO17" s="1054">
        <v>43103</v>
      </c>
      <c r="AP17" s="13">
        <f t="shared" si="10"/>
        <v>1</v>
      </c>
      <c r="AQ17" s="13">
        <f t="shared" si="11"/>
        <v>2</v>
      </c>
      <c r="AR17" s="173">
        <f t="shared" si="12"/>
        <v>43079</v>
      </c>
      <c r="AS17" s="752">
        <f t="shared" si="13"/>
        <v>0.82758620689655171</v>
      </c>
      <c r="AT17" s="768">
        <f t="shared" si="14"/>
        <v>19.9734437184601</v>
      </c>
      <c r="AU17" s="13">
        <f t="shared" si="15"/>
        <v>1</v>
      </c>
      <c r="AV17" s="13">
        <f t="shared" si="16"/>
        <v>2</v>
      </c>
      <c r="AW17" s="173">
        <f t="shared" si="17"/>
        <v>43093</v>
      </c>
      <c r="AX17" s="752">
        <f t="shared" si="18"/>
        <v>0.34482758620689657</v>
      </c>
      <c r="AY17" s="768">
        <f t="shared" si="19"/>
        <v>20.144813432159093</v>
      </c>
      <c r="AZ17" s="745">
        <f t="shared" si="25"/>
        <v>20.059128575309597</v>
      </c>
      <c r="BA17" s="642">
        <f t="shared" si="20"/>
        <v>0.99396260906745737</v>
      </c>
      <c r="BC17" s="11">
        <v>43103</v>
      </c>
      <c r="BD17" s="290">
        <f>[2]!FeuilCaduc*(1-Persistant)+Persistant</f>
        <v>0.70296716093821521</v>
      </c>
      <c r="BE17" s="291">
        <f>[2]!CroissVégét</f>
        <v>1.216934154264056E-4</v>
      </c>
      <c r="BF17" s="815">
        <f>1+[2]!Salcycl*Ksac</f>
        <v>1.0004945268230359</v>
      </c>
      <c r="BH17" s="1052">
        <f t="shared" si="21"/>
        <v>7.3102467875739994E-3</v>
      </c>
      <c r="BI17" s="11">
        <v>44199</v>
      </c>
      <c r="BJ17" s="725">
        <v>3.6845532200801556E-3</v>
      </c>
      <c r="BK17" s="725">
        <v>4.50312132772382E-3</v>
      </c>
      <c r="BL17" s="725">
        <v>5.4701529447970347E-3</v>
      </c>
      <c r="BM17" s="725">
        <v>6.6688619531434365E-3</v>
      </c>
      <c r="BN17" s="725">
        <v>8.2751751236054671E-3</v>
      </c>
      <c r="BO17" s="726">
        <v>1.0869068967426902E-2</v>
      </c>
      <c r="BP17" s="725">
        <v>1.5154031647981285E-2</v>
      </c>
      <c r="BQ17" s="725">
        <v>2.2534324160616369E-2</v>
      </c>
      <c r="BR17" s="725">
        <v>3.4676471704466007E-2</v>
      </c>
      <c r="BS17" s="725">
        <v>5.4143633842840828E-2</v>
      </c>
      <c r="BT17" s="725">
        <v>7.928536824498239E-2</v>
      </c>
      <c r="BW17" s="1189">
        <f>'2018'!R\Max</f>
        <v>0</v>
      </c>
      <c r="BX17" s="1187">
        <f>'2019'!R\Max</f>
        <v>0.98274623565557651</v>
      </c>
      <c r="BY17" s="1187">
        <f>'2020'!R\Max</f>
        <v>0.41752193678319716</v>
      </c>
      <c r="BZ17" s="1187">
        <f>'2021'!R\Max</f>
        <v>0.99396260906745737</v>
      </c>
      <c r="CA17" s="1187">
        <f>'2022'!R\Max</f>
        <v>0.75873649887133665</v>
      </c>
      <c r="CB17" s="1187">
        <f>'2023'!R\Max</f>
        <v>0.75863742400653544</v>
      </c>
      <c r="CC17" s="1187">
        <f>'2024'!R\Max</f>
        <v>0.7585382351510902</v>
      </c>
      <c r="CD17" s="1187">
        <f>'2025'!R\Max</f>
        <v>0.75840326010155867</v>
      </c>
      <c r="CE17" s="1187">
        <f>'2026'!R\Max</f>
        <v>0.75890682054927905</v>
      </c>
      <c r="CF17" s="1188">
        <f>'2027'!R\Max</f>
        <v>0.75885945756554507</v>
      </c>
    </row>
    <row r="18" spans="1:84" s="6" customFormat="1" ht="11.25" x14ac:dyDescent="0.2">
      <c r="A18" s="11">
        <v>43104</v>
      </c>
      <c r="B18" s="380">
        <f>'2022'!Maxi_hp</f>
        <v>20.019430838359703</v>
      </c>
      <c r="C18" s="13">
        <f>'2022'!An_max</f>
        <v>2019</v>
      </c>
      <c r="D18" s="1061"/>
      <c r="E18" s="1056"/>
      <c r="F18" s="13">
        <f t="shared" si="22"/>
        <v>1</v>
      </c>
      <c r="G18" s="13">
        <f t="shared" si="23"/>
        <v>2</v>
      </c>
      <c r="H18" s="173">
        <f t="shared" si="7"/>
        <v>43093</v>
      </c>
      <c r="I18" s="752">
        <f t="shared" si="8"/>
        <v>0.73333333333333328</v>
      </c>
      <c r="J18" s="745">
        <f t="shared" si="26"/>
        <v>20.149269841015339</v>
      </c>
      <c r="L18" s="754" t="s">
        <v>213</v>
      </c>
      <c r="M18" s="779">
        <f t="shared" ref="M18:AN18" si="28">M13</f>
        <v>193</v>
      </c>
      <c r="N18" s="742">
        <f t="shared" si="28"/>
        <v>207</v>
      </c>
      <c r="O18" s="742">
        <f t="shared" si="28"/>
        <v>238</v>
      </c>
      <c r="P18" s="742">
        <f t="shared" si="28"/>
        <v>282</v>
      </c>
      <c r="Q18" s="742">
        <f t="shared" si="28"/>
        <v>335</v>
      </c>
      <c r="R18" s="742">
        <f t="shared" si="28"/>
        <v>394</v>
      </c>
      <c r="S18" s="742">
        <f t="shared" si="28"/>
        <v>457</v>
      </c>
      <c r="T18" s="742">
        <f t="shared" si="28"/>
        <v>522</v>
      </c>
      <c r="U18" s="742">
        <f t="shared" si="28"/>
        <v>573</v>
      </c>
      <c r="V18" s="742">
        <f t="shared" si="28"/>
        <v>609</v>
      </c>
      <c r="W18" s="742">
        <f t="shared" si="28"/>
        <v>631</v>
      </c>
      <c r="X18" s="742">
        <f t="shared" si="28"/>
        <v>641</v>
      </c>
      <c r="Y18" s="742">
        <f t="shared" si="28"/>
        <v>642</v>
      </c>
      <c r="Z18" s="742">
        <f t="shared" si="28"/>
        <v>637</v>
      </c>
      <c r="AA18" s="742">
        <f t="shared" si="28"/>
        <v>627</v>
      </c>
      <c r="AB18" s="742">
        <f t="shared" si="28"/>
        <v>610</v>
      </c>
      <c r="AC18" s="742">
        <f t="shared" si="28"/>
        <v>585</v>
      </c>
      <c r="AD18" s="742">
        <f t="shared" si="28"/>
        <v>553</v>
      </c>
      <c r="AE18" s="742">
        <f t="shared" si="28"/>
        <v>512</v>
      </c>
      <c r="AF18" s="742">
        <f t="shared" si="28"/>
        <v>460</v>
      </c>
      <c r="AG18" s="742">
        <f t="shared" si="28"/>
        <v>401</v>
      </c>
      <c r="AH18" s="742">
        <f t="shared" si="28"/>
        <v>345</v>
      </c>
      <c r="AI18" s="742">
        <f t="shared" si="28"/>
        <v>294</v>
      </c>
      <c r="AJ18" s="742">
        <f t="shared" si="28"/>
        <v>248</v>
      </c>
      <c r="AK18" s="742">
        <f t="shared" si="28"/>
        <v>212</v>
      </c>
      <c r="AL18" s="742">
        <f t="shared" si="28"/>
        <v>192</v>
      </c>
      <c r="AM18" s="777">
        <f t="shared" si="28"/>
        <v>193</v>
      </c>
      <c r="AN18" s="775">
        <f t="shared" si="28"/>
        <v>207</v>
      </c>
      <c r="AO18" s="1054">
        <v>43104</v>
      </c>
      <c r="AP18" s="13">
        <f t="shared" si="10"/>
        <v>1</v>
      </c>
      <c r="AQ18" s="13">
        <f t="shared" si="11"/>
        <v>2</v>
      </c>
      <c r="AR18" s="173">
        <f t="shared" si="12"/>
        <v>43079</v>
      </c>
      <c r="AS18" s="752">
        <f t="shared" si="13"/>
        <v>0.86206896551724133</v>
      </c>
      <c r="AT18" s="768">
        <f t="shared" si="14"/>
        <v>20.10531024311123</v>
      </c>
      <c r="AU18" s="13">
        <f t="shared" si="15"/>
        <v>1</v>
      </c>
      <c r="AV18" s="13">
        <f t="shared" si="16"/>
        <v>2</v>
      </c>
      <c r="AW18" s="173">
        <f t="shared" si="17"/>
        <v>43093</v>
      </c>
      <c r="AX18" s="752">
        <f t="shared" si="18"/>
        <v>0.37931034482758619</v>
      </c>
      <c r="AY18" s="768">
        <f t="shared" si="19"/>
        <v>20.274027071096775</v>
      </c>
      <c r="AZ18" s="745">
        <f t="shared" si="25"/>
        <v>20.189668657104001</v>
      </c>
      <c r="BA18" s="642">
        <f t="shared" si="20"/>
        <v>0.99355614353869348</v>
      </c>
      <c r="BC18" s="11">
        <v>43104</v>
      </c>
      <c r="BD18" s="290">
        <f>[2]!FeuilCaduc*(1-Persistant)+Persistant</f>
        <v>0.70275273415124884</v>
      </c>
      <c r="BE18" s="291">
        <f>[2]!CroissVégét</f>
        <v>1.8511247801664469E-4</v>
      </c>
      <c r="BF18" s="815">
        <f>1+[2]!Salcycl*Ksac</f>
        <v>1.0004587890252081</v>
      </c>
      <c r="BH18" s="1052">
        <f t="shared" si="21"/>
        <v>7.5198587201741399E-3</v>
      </c>
      <c r="BI18" s="11">
        <v>44200</v>
      </c>
      <c r="BJ18" s="725">
        <v>3.8039952683396315E-3</v>
      </c>
      <c r="BK18" s="725">
        <v>4.6437959824255724E-3</v>
      </c>
      <c r="BL18" s="725">
        <v>5.6361081483215121E-3</v>
      </c>
      <c r="BM18" s="725">
        <v>6.8657834686525416E-3</v>
      </c>
      <c r="BN18" s="725">
        <v>8.503879093294496E-3</v>
      </c>
      <c r="BO18" s="726">
        <v>1.1129050724839896E-2</v>
      </c>
      <c r="BP18" s="725">
        <v>1.5441506953228169E-2</v>
      </c>
      <c r="BQ18" s="725">
        <v>2.2797034036812627E-2</v>
      </c>
      <c r="BR18" s="725">
        <v>3.4827496588261758E-2</v>
      </c>
      <c r="BS18" s="725">
        <v>5.4083886773668162E-2</v>
      </c>
      <c r="BT18" s="725">
        <v>7.8966340552062933E-2</v>
      </c>
      <c r="BW18" s="1189">
        <f>'2018'!R\Max</f>
        <v>0</v>
      </c>
      <c r="BX18" s="1187">
        <f>'2019'!R\Max</f>
        <v>0.99355614353869348</v>
      </c>
      <c r="BY18" s="1187">
        <f>'2020'!R\Max</f>
        <v>0.31990745431230072</v>
      </c>
      <c r="BZ18" s="1187">
        <f>'2021'!R\Max</f>
        <v>0.82156156157673166</v>
      </c>
      <c r="CA18" s="1187">
        <f>'2022'!R\Max</f>
        <v>0.78160574956561868</v>
      </c>
      <c r="CB18" s="1187">
        <f>'2023'!R\Max</f>
        <v>0.78151331398811552</v>
      </c>
      <c r="CC18" s="1187">
        <f>'2024'!R\Max</f>
        <v>0.78142077255966846</v>
      </c>
      <c r="CD18" s="1187">
        <f>'2025'!R\Max</f>
        <v>0.78129560738224735</v>
      </c>
      <c r="CE18" s="1187">
        <f>'2026'!R\Max</f>
        <v>0.78176568567302629</v>
      </c>
      <c r="CF18" s="1188">
        <f>'2027'!R\Max</f>
        <v>0.78172110460609123</v>
      </c>
    </row>
    <row r="19" spans="1:84" s="6" customFormat="1" ht="11.25" x14ac:dyDescent="0.2">
      <c r="A19" s="11">
        <v>43105</v>
      </c>
      <c r="B19" s="380">
        <f>'2022'!Maxi_hp</f>
        <v>19.724952113879578</v>
      </c>
      <c r="C19" s="13">
        <f>'2022'!An_max</f>
        <v>2019</v>
      </c>
      <c r="D19" s="1061"/>
      <c r="E19" s="1056"/>
      <c r="F19" s="13">
        <f t="shared" si="22"/>
        <v>1</v>
      </c>
      <c r="G19" s="13">
        <f t="shared" si="23"/>
        <v>2</v>
      </c>
      <c r="H19" s="173">
        <f t="shared" si="7"/>
        <v>43093</v>
      </c>
      <c r="I19" s="752">
        <f t="shared" si="8"/>
        <v>0.8</v>
      </c>
      <c r="J19" s="745">
        <f t="shared" si="26"/>
        <v>20.271389162093403</v>
      </c>
      <c r="L19" s="754" t="s">
        <v>214</v>
      </c>
      <c r="M19" s="781">
        <f t="shared" ref="M19:AN19" si="29">N12</f>
        <v>43108</v>
      </c>
      <c r="N19" s="737">
        <f t="shared" si="29"/>
        <v>43122</v>
      </c>
      <c r="O19" s="737">
        <f t="shared" si="29"/>
        <v>43136</v>
      </c>
      <c r="P19" s="737">
        <f t="shared" si="29"/>
        <v>43150</v>
      </c>
      <c r="Q19" s="737">
        <f t="shared" si="29"/>
        <v>43164</v>
      </c>
      <c r="R19" s="737">
        <f t="shared" si="29"/>
        <v>43178</v>
      </c>
      <c r="S19" s="737">
        <f t="shared" si="29"/>
        <v>43192</v>
      </c>
      <c r="T19" s="737">
        <f t="shared" si="29"/>
        <v>43206</v>
      </c>
      <c r="U19" s="737">
        <f t="shared" si="29"/>
        <v>43220</v>
      </c>
      <c r="V19" s="737">
        <f t="shared" si="29"/>
        <v>43234</v>
      </c>
      <c r="W19" s="737">
        <f t="shared" si="29"/>
        <v>43248</v>
      </c>
      <c r="X19" s="737">
        <f t="shared" si="29"/>
        <v>43262</v>
      </c>
      <c r="Y19" s="737">
        <f t="shared" si="29"/>
        <v>43276</v>
      </c>
      <c r="Z19" s="737">
        <f t="shared" si="29"/>
        <v>43290</v>
      </c>
      <c r="AA19" s="737">
        <f t="shared" si="29"/>
        <v>43304</v>
      </c>
      <c r="AB19" s="737">
        <f t="shared" si="29"/>
        <v>43318</v>
      </c>
      <c r="AC19" s="737">
        <f t="shared" si="29"/>
        <v>43332</v>
      </c>
      <c r="AD19" s="737">
        <f t="shared" si="29"/>
        <v>43346</v>
      </c>
      <c r="AE19" s="737">
        <f t="shared" si="29"/>
        <v>43360</v>
      </c>
      <c r="AF19" s="737">
        <f t="shared" si="29"/>
        <v>43374</v>
      </c>
      <c r="AG19" s="737">
        <f t="shared" si="29"/>
        <v>43388</v>
      </c>
      <c r="AH19" s="737">
        <f t="shared" si="29"/>
        <v>43402</v>
      </c>
      <c r="AI19" s="737">
        <f t="shared" si="29"/>
        <v>43416</v>
      </c>
      <c r="AJ19" s="737">
        <f t="shared" si="29"/>
        <v>43430</v>
      </c>
      <c r="AK19" s="737">
        <f t="shared" si="29"/>
        <v>43444</v>
      </c>
      <c r="AL19" s="778">
        <f t="shared" si="29"/>
        <v>43458</v>
      </c>
      <c r="AM19" s="738">
        <f t="shared" si="29"/>
        <v>43473</v>
      </c>
      <c r="AN19" s="738">
        <f t="shared" si="29"/>
        <v>43487</v>
      </c>
      <c r="AO19" s="1054">
        <v>43105</v>
      </c>
      <c r="AP19" s="13">
        <f t="shared" si="10"/>
        <v>1</v>
      </c>
      <c r="AQ19" s="13">
        <f t="shared" si="11"/>
        <v>2</v>
      </c>
      <c r="AR19" s="173">
        <f t="shared" si="12"/>
        <v>43079</v>
      </c>
      <c r="AS19" s="752">
        <f t="shared" si="13"/>
        <v>0.89655172413793105</v>
      </c>
      <c r="AT19" s="768">
        <f t="shared" si="14"/>
        <v>20.244028325121981</v>
      </c>
      <c r="AU19" s="13">
        <f t="shared" si="15"/>
        <v>1</v>
      </c>
      <c r="AV19" s="13">
        <f t="shared" si="16"/>
        <v>2</v>
      </c>
      <c r="AW19" s="173">
        <f t="shared" si="17"/>
        <v>43093</v>
      </c>
      <c r="AX19" s="752">
        <f t="shared" si="18"/>
        <v>0.41379310344827586</v>
      </c>
      <c r="AY19" s="768">
        <f t="shared" si="19"/>
        <v>20.410912538345521</v>
      </c>
      <c r="AZ19" s="745">
        <f t="shared" si="25"/>
        <v>20.327470431733751</v>
      </c>
      <c r="BA19" s="642">
        <f t="shared" si="20"/>
        <v>0.97304392689398722</v>
      </c>
      <c r="BC19" s="11">
        <v>43105</v>
      </c>
      <c r="BD19" s="290">
        <f>[2]!FeuilCaduc*(1-Persistant)+Persistant</f>
        <v>0.70254918556632862</v>
      </c>
      <c r="BE19" s="291">
        <f>[2]!CroissVégét</f>
        <v>2.5118354313997834E-4</v>
      </c>
      <c r="BF19" s="815">
        <f>1+[2]!Salcycl*Ksac</f>
        <v>1.0004248642610547</v>
      </c>
      <c r="BH19" s="1052">
        <f t="shared" si="21"/>
        <v>7.7516789904747392E-3</v>
      </c>
      <c r="BI19" s="11">
        <v>44201</v>
      </c>
      <c r="BJ19" s="725">
        <v>3.9362329949399685E-3</v>
      </c>
      <c r="BK19" s="725">
        <v>4.799962298761052E-3</v>
      </c>
      <c r="BL19" s="725">
        <v>5.8204226973799953E-3</v>
      </c>
      <c r="BM19" s="725">
        <v>7.0837257581486445E-3</v>
      </c>
      <c r="BN19" s="725">
        <v>8.7565780252133549E-3</v>
      </c>
      <c r="BO19" s="726">
        <v>1.1416954240618043E-2</v>
      </c>
      <c r="BP19" s="725">
        <v>1.5761326267489481E-2</v>
      </c>
      <c r="BQ19" s="725">
        <v>2.3091944059465137E-2</v>
      </c>
      <c r="BR19" s="725">
        <v>3.5011447373265024E-2</v>
      </c>
      <c r="BS19" s="725">
        <v>5.4043800062405695E-2</v>
      </c>
      <c r="BT19" s="725">
        <v>7.8644002696586265E-2</v>
      </c>
      <c r="BW19" s="1189">
        <f>'2018'!R\Max</f>
        <v>0</v>
      </c>
      <c r="BX19" s="1187">
        <f>'2019'!R\Max</f>
        <v>0.97304392689398722</v>
      </c>
      <c r="BY19" s="1187">
        <f>'2020'!R\Max</f>
        <v>0.65540414164239147</v>
      </c>
      <c r="BZ19" s="1187">
        <f>'2021'!R\Max</f>
        <v>0.16805722430160586</v>
      </c>
      <c r="CA19" s="1187">
        <f>'2022'!R\Max</f>
        <v>0.66488559029744698</v>
      </c>
      <c r="CB19" s="1187">
        <f>'2023'!R\Max</f>
        <v>0.66476481152162992</v>
      </c>
      <c r="CC19" s="1187">
        <f>'2024'!R\Max</f>
        <v>0.66464391347611695</v>
      </c>
      <c r="CD19" s="1187">
        <f>'2025'!R\Max</f>
        <v>0.66448151519336351</v>
      </c>
      <c r="CE19" s="1187">
        <f>'2026'!R\Max</f>
        <v>0.66509604068036232</v>
      </c>
      <c r="CF19" s="1188">
        <f>'2027'!R\Max</f>
        <v>0.66503723187967556</v>
      </c>
    </row>
    <row r="20" spans="1:84" s="6" customFormat="1" ht="11.25" x14ac:dyDescent="0.2">
      <c r="A20" s="11">
        <v>43106</v>
      </c>
      <c r="B20" s="380">
        <f>'2022'!Maxi_hp</f>
        <v>19.527156693189088</v>
      </c>
      <c r="C20" s="13">
        <f>'2022'!An_max</f>
        <v>2020</v>
      </c>
      <c r="D20" s="1061"/>
      <c r="E20" s="1056"/>
      <c r="F20" s="13">
        <f t="shared" si="22"/>
        <v>1</v>
      </c>
      <c r="G20" s="13">
        <f t="shared" si="23"/>
        <v>2</v>
      </c>
      <c r="H20" s="173">
        <f t="shared" si="7"/>
        <v>43093</v>
      </c>
      <c r="I20" s="752">
        <f t="shared" si="8"/>
        <v>0.8666666666666667</v>
      </c>
      <c r="J20" s="745">
        <f t="shared" si="26"/>
        <v>20.403498631020387</v>
      </c>
      <c r="L20" s="754" t="s">
        <v>215</v>
      </c>
      <c r="M20" s="782">
        <f>N13</f>
        <v>207</v>
      </c>
      <c r="N20" s="742">
        <f t="shared" ref="N20:AN20" si="30">O13</f>
        <v>238</v>
      </c>
      <c r="O20" s="742">
        <f t="shared" si="30"/>
        <v>282</v>
      </c>
      <c r="P20" s="742">
        <f t="shared" si="30"/>
        <v>335</v>
      </c>
      <c r="Q20" s="742">
        <f t="shared" si="30"/>
        <v>394</v>
      </c>
      <c r="R20" s="742">
        <f t="shared" si="30"/>
        <v>457</v>
      </c>
      <c r="S20" s="742">
        <f t="shared" si="30"/>
        <v>522</v>
      </c>
      <c r="T20" s="742">
        <f t="shared" si="30"/>
        <v>573</v>
      </c>
      <c r="U20" s="742">
        <f t="shared" si="30"/>
        <v>609</v>
      </c>
      <c r="V20" s="742">
        <f t="shared" si="30"/>
        <v>631</v>
      </c>
      <c r="W20" s="742">
        <f t="shared" si="30"/>
        <v>641</v>
      </c>
      <c r="X20" s="742">
        <f t="shared" si="30"/>
        <v>642</v>
      </c>
      <c r="Y20" s="742">
        <f t="shared" si="30"/>
        <v>637</v>
      </c>
      <c r="Z20" s="742">
        <f t="shared" si="30"/>
        <v>627</v>
      </c>
      <c r="AA20" s="742">
        <f t="shared" si="30"/>
        <v>610</v>
      </c>
      <c r="AB20" s="742">
        <f t="shared" si="30"/>
        <v>585</v>
      </c>
      <c r="AC20" s="742">
        <f t="shared" si="30"/>
        <v>553</v>
      </c>
      <c r="AD20" s="742">
        <f t="shared" si="30"/>
        <v>512</v>
      </c>
      <c r="AE20" s="742">
        <f t="shared" si="30"/>
        <v>460</v>
      </c>
      <c r="AF20" s="742">
        <f t="shared" si="30"/>
        <v>401</v>
      </c>
      <c r="AG20" s="742">
        <f t="shared" si="30"/>
        <v>345</v>
      </c>
      <c r="AH20" s="742">
        <f t="shared" si="30"/>
        <v>294</v>
      </c>
      <c r="AI20" s="742">
        <f t="shared" si="30"/>
        <v>248</v>
      </c>
      <c r="AJ20" s="742">
        <f t="shared" si="30"/>
        <v>212</v>
      </c>
      <c r="AK20" s="742">
        <f t="shared" si="30"/>
        <v>192</v>
      </c>
      <c r="AL20" s="777">
        <f t="shared" si="30"/>
        <v>193</v>
      </c>
      <c r="AM20" s="775">
        <f t="shared" si="30"/>
        <v>207</v>
      </c>
      <c r="AN20" s="775">
        <f t="shared" si="30"/>
        <v>238</v>
      </c>
      <c r="AO20" s="1054">
        <v>43106</v>
      </c>
      <c r="AP20" s="13">
        <f t="shared" si="10"/>
        <v>1</v>
      </c>
      <c r="AQ20" s="13">
        <f t="shared" si="11"/>
        <v>2</v>
      </c>
      <c r="AR20" s="173">
        <f t="shared" si="12"/>
        <v>43079</v>
      </c>
      <c r="AS20" s="752">
        <f t="shared" si="13"/>
        <v>0.93103448275862066</v>
      </c>
      <c r="AT20" s="768">
        <f>((1-AS20)*(INDEX(a.lg,AP20)*$A20*$A20+INDEX(b.lg,AP20)*$A20+INDEX(c.lg,AP20))+AS20*(INDEX(a.lg,AQ20)*$A20*$A20+INDEX(b.lg,AQ20)*$A20+INDEX(c.lg,AQ20)))/10</f>
        <v>20.389468768547321</v>
      </c>
      <c r="AU20" s="13">
        <f t="shared" si="15"/>
        <v>1</v>
      </c>
      <c r="AV20" s="13">
        <f t="shared" si="16"/>
        <v>2</v>
      </c>
      <c r="AW20" s="173">
        <f t="shared" si="17"/>
        <v>43093</v>
      </c>
      <c r="AX20" s="752">
        <f t="shared" si="18"/>
        <v>0.44827586206896552</v>
      </c>
      <c r="AY20" s="768">
        <f t="shared" si="19"/>
        <v>20.555354498095554</v>
      </c>
      <c r="AZ20" s="745">
        <f t="shared" si="25"/>
        <v>20.472411633321435</v>
      </c>
      <c r="BA20" s="642">
        <f t="shared" si="20"/>
        <v>0.95704942795943071</v>
      </c>
      <c r="BC20" s="11">
        <v>43106</v>
      </c>
      <c r="BD20" s="290">
        <f>[2]!FeuilCaduc*(1-Persistant)+Persistant</f>
        <v>0.70235546695845996</v>
      </c>
      <c r="BE20" s="291">
        <f>[2]!CroissVégét</f>
        <v>3.2001713664140156E-4</v>
      </c>
      <c r="BF20" s="815">
        <f>1+[2]!Salcycl*Ksac</f>
        <v>1.00039257782641</v>
      </c>
      <c r="BH20" s="1052">
        <f t="shared" si="21"/>
        <v>8.0057195969010474E-3</v>
      </c>
      <c r="BI20" s="11">
        <v>44202</v>
      </c>
      <c r="BJ20" s="725">
        <v>4.0812746658128478E-3</v>
      </c>
      <c r="BK20" s="725">
        <v>4.9716302014418739E-3</v>
      </c>
      <c r="BL20" s="725">
        <v>6.0231080184538618E-3</v>
      </c>
      <c r="BM20" s="725">
        <v>7.322700826401924E-3</v>
      </c>
      <c r="BN20" s="725">
        <v>9.033283908241695E-3</v>
      </c>
      <c r="BO20" s="726">
        <v>1.1732790344228687E-2</v>
      </c>
      <c r="BP20" s="725">
        <v>1.6113495686672624E-2</v>
      </c>
      <c r="BQ20" s="725">
        <v>2.341904145911337E-2</v>
      </c>
      <c r="BR20" s="725">
        <v>3.5228282086849666E-2</v>
      </c>
      <c r="BS20" s="725">
        <v>5.4023264350159972E-2</v>
      </c>
      <c r="BT20" s="725">
        <v>7.831814980649994E-2</v>
      </c>
      <c r="BW20" s="1189">
        <f>'2018'!R\Max</f>
        <v>0</v>
      </c>
      <c r="BX20" s="1187">
        <f>'2019'!R\Max</f>
        <v>0.21715001216569538</v>
      </c>
      <c r="BY20" s="1187">
        <f>'2020'!R\Max</f>
        <v>0.95704942795943071</v>
      </c>
      <c r="BZ20" s="1187">
        <f>'2021'!R\Max</f>
        <v>0.37859573834208166</v>
      </c>
      <c r="CA20" s="1187">
        <f>'2022'!R\Max</f>
        <v>0.84892418246252266</v>
      </c>
      <c r="CB20" s="1187">
        <f>'2023'!R\Max</f>
        <v>0.84885454384343961</v>
      </c>
      <c r="CC20" s="1187">
        <f>'2024'!R\Max</f>
        <v>0.84878482472491412</v>
      </c>
      <c r="CD20" s="1187">
        <f>'2025'!R\Max</f>
        <v>0.84869183417230731</v>
      </c>
      <c r="CE20" s="1187">
        <f>'2026'!R\Max</f>
        <v>0.84904636564648972</v>
      </c>
      <c r="CF20" s="1188">
        <f>'2027'!R\Max</f>
        <v>0.84901214320263552</v>
      </c>
    </row>
    <row r="21" spans="1:84" s="6" customFormat="1" ht="11.25" x14ac:dyDescent="0.2">
      <c r="A21" s="11">
        <v>43107</v>
      </c>
      <c r="B21" s="380">
        <f>'2022'!Maxi_hp</f>
        <v>12.454416389518343</v>
      </c>
      <c r="C21" s="13">
        <f>'2022'!An_max</f>
        <v>2021</v>
      </c>
      <c r="D21" s="1061"/>
      <c r="E21" s="1056"/>
      <c r="F21" s="13">
        <f t="shared" si="22"/>
        <v>1</v>
      </c>
      <c r="G21" s="13">
        <f t="shared" si="23"/>
        <v>2</v>
      </c>
      <c r="H21" s="173">
        <f t="shared" si="7"/>
        <v>43093</v>
      </c>
      <c r="I21" s="752">
        <f t="shared" si="8"/>
        <v>0.93333333333333335</v>
      </c>
      <c r="J21" s="745">
        <f t="shared" si="26"/>
        <v>20.546176245361568</v>
      </c>
      <c r="L21" s="755" t="s">
        <v>216</v>
      </c>
      <c r="M21" s="739">
        <f>x.1m*x.1m-x.2m*x.2m</f>
        <v>-1206408</v>
      </c>
      <c r="N21" s="739">
        <f t="shared" ref="N21:AM21" si="31">x.1m*x.1m-x.2m*x.2m</f>
        <v>-1293015</v>
      </c>
      <c r="O21" s="739">
        <f t="shared" si="31"/>
        <v>-1207220</v>
      </c>
      <c r="P21" s="739">
        <f t="shared" si="31"/>
        <v>-1207612</v>
      </c>
      <c r="Q21" s="739">
        <f t="shared" si="31"/>
        <v>-1208004</v>
      </c>
      <c r="R21" s="739">
        <f t="shared" si="31"/>
        <v>-1208396</v>
      </c>
      <c r="S21" s="739">
        <f t="shared" si="31"/>
        <v>-1208788</v>
      </c>
      <c r="T21" s="739">
        <f t="shared" si="31"/>
        <v>-1209180</v>
      </c>
      <c r="U21" s="739">
        <f t="shared" si="31"/>
        <v>-1209572</v>
      </c>
      <c r="V21" s="739">
        <f t="shared" si="31"/>
        <v>-1209964</v>
      </c>
      <c r="W21" s="739">
        <f t="shared" si="31"/>
        <v>-1210356</v>
      </c>
      <c r="X21" s="739">
        <f t="shared" si="31"/>
        <v>-1210748</v>
      </c>
      <c r="Y21" s="739">
        <f t="shared" si="31"/>
        <v>-1211140</v>
      </c>
      <c r="Z21" s="739">
        <f t="shared" si="31"/>
        <v>-1211532</v>
      </c>
      <c r="AA21" s="739">
        <f t="shared" si="31"/>
        <v>-1211924</v>
      </c>
      <c r="AB21" s="739">
        <f t="shared" si="31"/>
        <v>-1212316</v>
      </c>
      <c r="AC21" s="739">
        <f t="shared" si="31"/>
        <v>-1212708</v>
      </c>
      <c r="AD21" s="739">
        <f t="shared" si="31"/>
        <v>-1213100</v>
      </c>
      <c r="AE21" s="739">
        <f t="shared" si="31"/>
        <v>-1213492</v>
      </c>
      <c r="AF21" s="739">
        <f t="shared" si="31"/>
        <v>-1213884</v>
      </c>
      <c r="AG21" s="739">
        <f t="shared" si="31"/>
        <v>-1214276</v>
      </c>
      <c r="AH21" s="739">
        <f t="shared" si="31"/>
        <v>-1214668</v>
      </c>
      <c r="AI21" s="739">
        <f t="shared" si="31"/>
        <v>-1215060</v>
      </c>
      <c r="AJ21" s="739">
        <f t="shared" si="31"/>
        <v>-1215452</v>
      </c>
      <c r="AK21" s="739">
        <f t="shared" si="31"/>
        <v>-1215844</v>
      </c>
      <c r="AL21" s="739">
        <f t="shared" si="31"/>
        <v>-1216236</v>
      </c>
      <c r="AM21" s="739">
        <f t="shared" si="31"/>
        <v>-1216628</v>
      </c>
      <c r="AN21" s="739">
        <f>x.1m*x.1m-x.2m*x.2m</f>
        <v>-1303965</v>
      </c>
      <c r="AO21" s="1054">
        <v>43107</v>
      </c>
      <c r="AP21" s="13">
        <f t="shared" si="10"/>
        <v>1</v>
      </c>
      <c r="AQ21" s="13">
        <f t="shared" si="11"/>
        <v>2</v>
      </c>
      <c r="AR21" s="173">
        <f t="shared" si="12"/>
        <v>43079</v>
      </c>
      <c r="AS21" s="752">
        <f t="shared" si="13"/>
        <v>0.96551724137931039</v>
      </c>
      <c r="AT21" s="768">
        <f t="shared" si="14"/>
        <v>20.541502388797959</v>
      </c>
      <c r="AU21" s="13">
        <f t="shared" si="15"/>
        <v>1</v>
      </c>
      <c r="AV21" s="13">
        <f t="shared" si="16"/>
        <v>2</v>
      </c>
      <c r="AW21" s="173">
        <f t="shared" si="17"/>
        <v>43093</v>
      </c>
      <c r="AX21" s="752">
        <f t="shared" si="18"/>
        <v>0.48275862068965519</v>
      </c>
      <c r="AY21" s="768">
        <f t="shared" si="19"/>
        <v>20.707237624402701</v>
      </c>
      <c r="AZ21" s="745">
        <f t="shared" si="25"/>
        <v>20.62437000660033</v>
      </c>
      <c r="BA21" s="642">
        <f t="shared" si="20"/>
        <v>0.60616711551522917</v>
      </c>
      <c r="BC21" s="11">
        <v>43107</v>
      </c>
      <c r="BD21" s="290">
        <f>[2]!FeuilCaduc*(1-Persistant)+Persistant</f>
        <v>0.70217069824539979</v>
      </c>
      <c r="BE21" s="291">
        <f>[2]!CroissVégét</f>
        <v>3.9172835876776901E-4</v>
      </c>
      <c r="BF21" s="815">
        <f>1+[2]!Salcycl*Ksac</f>
        <v>1.0003617830409</v>
      </c>
      <c r="BH21" s="1052">
        <f t="shared" si="21"/>
        <v>8.2819898818151157E-3</v>
      </c>
      <c r="BI21" s="11">
        <v>44203</v>
      </c>
      <c r="BJ21" s="725">
        <v>4.2391270274854528E-3</v>
      </c>
      <c r="BK21" s="725">
        <v>5.1588078158742098E-3</v>
      </c>
      <c r="BL21" s="725">
        <v>6.2441734140367428E-3</v>
      </c>
      <c r="BM21" s="725">
        <v>7.5827181779922603E-3</v>
      </c>
      <c r="BN21" s="725">
        <v>9.3340058406937414E-3</v>
      </c>
      <c r="BO21" s="726">
        <v>1.207656657021044E-2</v>
      </c>
      <c r="BP21" s="725">
        <v>1.6498017641750261E-2</v>
      </c>
      <c r="BQ21" s="725">
        <v>2.3778310093320352E-2</v>
      </c>
      <c r="BR21" s="725">
        <v>3.5477956561355467E-2</v>
      </c>
      <c r="BS21" s="725">
        <v>5.4022170657546151E-2</v>
      </c>
      <c r="BT21" s="725">
        <v>7.7988580729700233E-2</v>
      </c>
      <c r="BW21" s="1189">
        <f>'2018'!R\Max</f>
        <v>0</v>
      </c>
      <c r="BX21" s="1187">
        <f>'2019'!R\Max</f>
        <v>0.12765138606662679</v>
      </c>
      <c r="BY21" s="1187">
        <f>'2020'!R\Max</f>
        <v>0.3560127020640021</v>
      </c>
      <c r="BZ21" s="1187">
        <f>'2021'!R\Max</f>
        <v>0.60616711551522917</v>
      </c>
      <c r="CA21" s="1187">
        <f>'2022'!R\Max</f>
        <v>0.52350055564341114</v>
      </c>
      <c r="CB21" s="1187">
        <f>'2023'!R\Max</f>
        <v>0.52336485374202091</v>
      </c>
      <c r="CC21" s="1187">
        <f>'2024'!R\Max</f>
        <v>0.52322904743255327</v>
      </c>
      <c r="CD21" s="1187">
        <f>'2025'!R\Max</f>
        <v>0.52304940674063649</v>
      </c>
      <c r="CE21" s="1187">
        <f>'2026'!R\Max</f>
        <v>0.52374055474949044</v>
      </c>
      <c r="CF21" s="1188">
        <f>'2027'!R\Max</f>
        <v>0.52367315308368001</v>
      </c>
    </row>
    <row r="22" spans="1:84" s="6" customFormat="1" ht="11.25" x14ac:dyDescent="0.2">
      <c r="A22" s="11">
        <v>43108</v>
      </c>
      <c r="B22" s="380">
        <f>'2022'!Maxi_hp</f>
        <v>15.458337172992977</v>
      </c>
      <c r="C22" s="13">
        <f>'2022'!An_max</f>
        <v>2021</v>
      </c>
      <c r="D22" s="1061"/>
      <c r="E22" s="1056">
        <f>N$13/10</f>
        <v>20.7</v>
      </c>
      <c r="F22" s="13">
        <f t="shared" si="22"/>
        <v>3</v>
      </c>
      <c r="G22" s="13">
        <f t="shared" si="23"/>
        <v>2</v>
      </c>
      <c r="H22" s="173">
        <f t="shared" si="7"/>
        <v>43122</v>
      </c>
      <c r="I22" s="752">
        <f t="shared" si="8"/>
        <v>1</v>
      </c>
      <c r="J22" s="745">
        <f t="shared" si="26"/>
        <v>20.7</v>
      </c>
      <c r="L22" s="755" t="s">
        <v>217</v>
      </c>
      <c r="M22" s="739">
        <f t="shared" ref="M22:AM22" si="32">x.2m*x.2m-x.3m*x.3m</f>
        <v>-1293015</v>
      </c>
      <c r="N22" s="739">
        <f>x.2m*x.2m-x.3m*x.3m</f>
        <v>-1207220</v>
      </c>
      <c r="O22" s="739">
        <f t="shared" si="32"/>
        <v>-1207612</v>
      </c>
      <c r="P22" s="739">
        <f t="shared" si="32"/>
        <v>-1208004</v>
      </c>
      <c r="Q22" s="739">
        <f t="shared" si="32"/>
        <v>-1208396</v>
      </c>
      <c r="R22" s="739">
        <f t="shared" si="32"/>
        <v>-1208788</v>
      </c>
      <c r="S22" s="739">
        <f t="shared" si="32"/>
        <v>-1209180</v>
      </c>
      <c r="T22" s="739">
        <f t="shared" si="32"/>
        <v>-1209572</v>
      </c>
      <c r="U22" s="739">
        <f t="shared" si="32"/>
        <v>-1209964</v>
      </c>
      <c r="V22" s="739">
        <f t="shared" si="32"/>
        <v>-1210356</v>
      </c>
      <c r="W22" s="739">
        <f t="shared" si="32"/>
        <v>-1210748</v>
      </c>
      <c r="X22" s="739">
        <f t="shared" si="32"/>
        <v>-1211140</v>
      </c>
      <c r="Y22" s="739">
        <f t="shared" si="32"/>
        <v>-1211532</v>
      </c>
      <c r="Z22" s="739">
        <f t="shared" si="32"/>
        <v>-1211924</v>
      </c>
      <c r="AA22" s="739">
        <f t="shared" si="32"/>
        <v>-1212316</v>
      </c>
      <c r="AB22" s="739">
        <f t="shared" si="32"/>
        <v>-1212708</v>
      </c>
      <c r="AC22" s="739">
        <f t="shared" si="32"/>
        <v>-1213100</v>
      </c>
      <c r="AD22" s="739">
        <f t="shared" si="32"/>
        <v>-1213492</v>
      </c>
      <c r="AE22" s="739">
        <f t="shared" si="32"/>
        <v>-1213884</v>
      </c>
      <c r="AF22" s="739">
        <f t="shared" si="32"/>
        <v>-1214276</v>
      </c>
      <c r="AG22" s="739">
        <f t="shared" si="32"/>
        <v>-1214668</v>
      </c>
      <c r="AH22" s="739">
        <f t="shared" si="32"/>
        <v>-1215060</v>
      </c>
      <c r="AI22" s="739">
        <f t="shared" si="32"/>
        <v>-1215452</v>
      </c>
      <c r="AJ22" s="739">
        <f t="shared" si="32"/>
        <v>-1215844</v>
      </c>
      <c r="AK22" s="739">
        <f t="shared" si="32"/>
        <v>-1216236</v>
      </c>
      <c r="AL22" s="739">
        <f t="shared" si="32"/>
        <v>-1216628</v>
      </c>
      <c r="AM22" s="739">
        <f t="shared" si="32"/>
        <v>-1303965</v>
      </c>
      <c r="AN22" s="739">
        <f>x.2m*x.2m-x.3m*x.3m</f>
        <v>-1217440</v>
      </c>
      <c r="AO22" s="1054">
        <v>43108</v>
      </c>
      <c r="AP22" s="13">
        <f t="shared" si="10"/>
        <v>3</v>
      </c>
      <c r="AQ22" s="13">
        <f t="shared" si="11"/>
        <v>2</v>
      </c>
      <c r="AR22" s="173">
        <f t="shared" si="12"/>
        <v>43136</v>
      </c>
      <c r="AS22" s="752">
        <f t="shared" si="13"/>
        <v>1</v>
      </c>
      <c r="AT22" s="768">
        <f t="shared" si="14"/>
        <v>20.700000001490118</v>
      </c>
      <c r="AU22" s="13">
        <f t="shared" si="15"/>
        <v>1</v>
      </c>
      <c r="AV22" s="13">
        <f t="shared" si="16"/>
        <v>2</v>
      </c>
      <c r="AW22" s="173">
        <f t="shared" si="17"/>
        <v>43093</v>
      </c>
      <c r="AX22" s="752">
        <f t="shared" si="18"/>
        <v>0.51724137931034486</v>
      </c>
      <c r="AY22" s="768">
        <f t="shared" si="19"/>
        <v>20.866446586646909</v>
      </c>
      <c r="AZ22" s="745">
        <f t="shared" si="25"/>
        <v>20.783223294068513</v>
      </c>
      <c r="BA22" s="642">
        <f t="shared" si="20"/>
        <v>0.74677957357453995</v>
      </c>
      <c r="BC22" s="11">
        <v>43108</v>
      </c>
      <c r="BD22" s="290">
        <f>[2]!FeuilCaduc*(1-Persistant)+Persistant</f>
        <v>0.70199415908865637</v>
      </c>
      <c r="BE22" s="291">
        <f>[2]!CroissVégét</f>
        <v>4.664370707620742E-4</v>
      </c>
      <c r="BF22" s="815">
        <f>1+[2]!Salcycl*Ksac</f>
        <v>1.0003323598481093</v>
      </c>
      <c r="BH22" s="1052">
        <f t="shared" si="21"/>
        <v>8.5804959706342505E-3</v>
      </c>
      <c r="BI22" s="11">
        <v>44204</v>
      </c>
      <c r="BJ22" s="725">
        <v>4.4097949838876778E-3</v>
      </c>
      <c r="BK22" s="725">
        <v>5.361501076774443E-3</v>
      </c>
      <c r="BL22" s="725">
        <v>6.483625598781715E-3</v>
      </c>
      <c r="BM22" s="725">
        <v>7.863784286384002E-3</v>
      </c>
      <c r="BN22" s="725">
        <v>9.6587494243690897E-3</v>
      </c>
      <c r="BO22" s="726">
        <v>1.2448286452908049E-2</v>
      </c>
      <c r="BP22" s="725">
        <v>1.6914890081457499E-2</v>
      </c>
      <c r="BQ22" s="725">
        <v>2.4169729632422962E-2</v>
      </c>
      <c r="BR22" s="725">
        <v>3.576042359859196E-2</v>
      </c>
      <c r="BS22" s="725">
        <v>5.4040409882101098E-2</v>
      </c>
      <c r="BT22" s="725">
        <v>7.7655098110507331E-2</v>
      </c>
      <c r="BW22" s="1189">
        <f>'2018'!R\Max</f>
        <v>0</v>
      </c>
      <c r="BX22" s="1187">
        <f>'2019'!R\Max</f>
        <v>0.20589239983840862</v>
      </c>
      <c r="BY22" s="1187">
        <f>'2020'!R\Max</f>
        <v>0.6049326031190615</v>
      </c>
      <c r="BZ22" s="1187">
        <f>'2021'!R\Max</f>
        <v>0.74677957357453995</v>
      </c>
      <c r="CA22" s="1187">
        <f>'2022'!R\Max</f>
        <v>0.37777260929434692</v>
      </c>
      <c r="CB22" s="1187">
        <f>'2023'!R\Max</f>
        <v>0.37764442561840178</v>
      </c>
      <c r="CC22" s="1187">
        <f>'2024'!R\Max</f>
        <v>0.37751616798961507</v>
      </c>
      <c r="CD22" s="1187">
        <f>'2025'!R\Max</f>
        <v>0.37734796683712379</v>
      </c>
      <c r="CE22" s="1187">
        <f>'2026'!R\Max</f>
        <v>0.37800112481192399</v>
      </c>
      <c r="CF22" s="1188">
        <f>'2027'!R\Max</f>
        <v>0.3779367845265717</v>
      </c>
    </row>
    <row r="23" spans="1:84" s="6" customFormat="1" ht="11.25" x14ac:dyDescent="0.2">
      <c r="A23" s="11">
        <v>43109</v>
      </c>
      <c r="B23" s="380">
        <f>'2022'!Maxi_hp</f>
        <v>19.717901161584987</v>
      </c>
      <c r="C23" s="13">
        <f>'2022'!An_max</f>
        <v>2020</v>
      </c>
      <c r="D23" s="1061"/>
      <c r="E23" s="1056"/>
      <c r="F23" s="13">
        <f t="shared" si="22"/>
        <v>3</v>
      </c>
      <c r="G23" s="13">
        <f t="shared" si="23"/>
        <v>2</v>
      </c>
      <c r="H23" s="173">
        <f t="shared" si="7"/>
        <v>43122</v>
      </c>
      <c r="I23" s="752">
        <f t="shared" si="8"/>
        <v>0.9285714285714286</v>
      </c>
      <c r="J23" s="745">
        <f t="shared" si="26"/>
        <v>20.865028695442849</v>
      </c>
      <c r="L23" s="755" t="s">
        <v>218</v>
      </c>
      <c r="M23" s="739">
        <f t="shared" ref="M23:AM23" si="33">(y.1m-y.2m-b.m*(x.1m-x.2m))/D2x12</f>
        <v>2.9720853858775324E-2</v>
      </c>
      <c r="N23" s="739">
        <f>(y.1m-y.2m-b.m*(x.1m-x.2m))/D2x12</f>
        <v>4.4170771756965578E-2</v>
      </c>
      <c r="O23" s="739">
        <f t="shared" si="33"/>
        <v>3.3163265306125088E-2</v>
      </c>
      <c r="P23" s="739">
        <f t="shared" si="33"/>
        <v>2.2959183673475062E-2</v>
      </c>
      <c r="Q23" s="739">
        <f t="shared" si="33"/>
        <v>1.5306122448981746E-2</v>
      </c>
      <c r="R23" s="739">
        <f t="shared" si="33"/>
        <v>1.0204081632651844E-2</v>
      </c>
      <c r="S23" s="739">
        <f t="shared" si="33"/>
        <v>5.1020408163257877E-3</v>
      </c>
      <c r="T23" s="739">
        <f t="shared" si="33"/>
        <v>-3.5714285714286705E-2</v>
      </c>
      <c r="U23" s="739">
        <f t="shared" si="33"/>
        <v>-3.8265306122447322E-2</v>
      </c>
      <c r="V23" s="739">
        <f t="shared" si="33"/>
        <v>-3.5714285714290674E-2</v>
      </c>
      <c r="W23" s="739">
        <f t="shared" si="33"/>
        <v>-3.0612244897958191E-2</v>
      </c>
      <c r="X23" s="739">
        <f t="shared" si="33"/>
        <v>-2.2959183673464511E-2</v>
      </c>
      <c r="Y23" s="739">
        <f t="shared" si="33"/>
        <v>-1.5306122448982763E-2</v>
      </c>
      <c r="Z23" s="739">
        <f t="shared" si="33"/>
        <v>-1.2755102040816845E-2</v>
      </c>
      <c r="AA23" s="739">
        <f t="shared" si="33"/>
        <v>-1.7857142857138169E-2</v>
      </c>
      <c r="AB23" s="739">
        <f t="shared" si="33"/>
        <v>-2.0408163265306346E-2</v>
      </c>
      <c r="AC23" s="739">
        <f t="shared" si="33"/>
        <v>-1.7857142857138884E-2</v>
      </c>
      <c r="AD23" s="739">
        <f t="shared" si="33"/>
        <v>-2.2959183673475693E-2</v>
      </c>
      <c r="AE23" s="739">
        <f t="shared" si="33"/>
        <v>-2.8061224489803117E-2</v>
      </c>
      <c r="AF23" s="739">
        <f t="shared" si="33"/>
        <v>-1.7857142857144858E-2</v>
      </c>
      <c r="AG23" s="739">
        <f t="shared" si="33"/>
        <v>7.6530612244882839E-3</v>
      </c>
      <c r="AH23" s="739">
        <f t="shared" si="33"/>
        <v>1.2755102040819425E-2</v>
      </c>
      <c r="AI23" s="739">
        <f t="shared" si="33"/>
        <v>1.2755102040814394E-2</v>
      </c>
      <c r="AJ23" s="739">
        <f t="shared" si="33"/>
        <v>2.5510204081634149E-2</v>
      </c>
      <c r="AK23" s="739">
        <f t="shared" si="33"/>
        <v>4.0816326530604484E-2</v>
      </c>
      <c r="AL23" s="739">
        <f t="shared" si="33"/>
        <v>5.3571428571411409E-2</v>
      </c>
      <c r="AM23" s="739">
        <f t="shared" si="33"/>
        <v>2.9720853858786506E-2</v>
      </c>
      <c r="AN23" s="739">
        <f>(y.1m-y.2m-b.m*(x.1m-x.2m))/D2x12</f>
        <v>4.4170771756980545E-2</v>
      </c>
      <c r="AO23" s="1054">
        <v>43109</v>
      </c>
      <c r="AP23" s="13">
        <f t="shared" si="10"/>
        <v>3</v>
      </c>
      <c r="AQ23" s="13">
        <f t="shared" si="11"/>
        <v>2</v>
      </c>
      <c r="AR23" s="173">
        <f t="shared" si="12"/>
        <v>43136</v>
      </c>
      <c r="AS23" s="752">
        <f t="shared" si="13"/>
        <v>0.9642857142857143</v>
      </c>
      <c r="AT23" s="768">
        <f t="shared" si="14"/>
        <v>20.866859316586385</v>
      </c>
      <c r="AU23" s="13">
        <f t="shared" si="15"/>
        <v>1</v>
      </c>
      <c r="AV23" s="13">
        <f t="shared" si="16"/>
        <v>2</v>
      </c>
      <c r="AW23" s="173">
        <f t="shared" si="17"/>
        <v>43093</v>
      </c>
      <c r="AX23" s="752">
        <f t="shared" si="18"/>
        <v>0.55172413793103448</v>
      </c>
      <c r="AY23" s="768">
        <f t="shared" si="19"/>
        <v>21.032866053180449</v>
      </c>
      <c r="AZ23" s="745">
        <f t="shared" si="25"/>
        <v>20.949862684883417</v>
      </c>
      <c r="BA23" s="642">
        <f t="shared" si="20"/>
        <v>0.94502152138863782</v>
      </c>
      <c r="BC23" s="11">
        <v>43109</v>
      </c>
      <c r="BD23" s="290">
        <f>[2]!FeuilCaduc*(1-Persistant)+Persistant</f>
        <v>0.70182527941200956</v>
      </c>
      <c r="BE23" s="291">
        <f>[2]!CroissVégét</f>
        <v>5.4426808883230738E-4</v>
      </c>
      <c r="BF23" s="815">
        <f>1+[2]!Salcycl*Ksac</f>
        <v>1.000304213235335</v>
      </c>
      <c r="BH23" s="1052">
        <f t="shared" si="21"/>
        <v>8.9012402110534329E-3</v>
      </c>
      <c r="BI23" s="11">
        <v>44205</v>
      </c>
      <c r="BJ23" s="725">
        <v>4.5932812732118805E-3</v>
      </c>
      <c r="BK23" s="725">
        <v>5.5797133368489802E-3</v>
      </c>
      <c r="BL23" s="725">
        <v>6.7414682357263677E-3</v>
      </c>
      <c r="BM23" s="725">
        <v>8.1659020630956251E-3</v>
      </c>
      <c r="BN23" s="725">
        <v>1.0007516158721176E-2</v>
      </c>
      <c r="BO23" s="726">
        <v>1.2847948821361397E-2</v>
      </c>
      <c r="BP23" s="725">
        <v>1.7364105655203448E-2</v>
      </c>
      <c r="BQ23" s="725">
        <v>2.4593274745599629E-2</v>
      </c>
      <c r="BR23" s="725">
        <v>3.6075632134828547E-2</v>
      </c>
      <c r="BS23" s="725">
        <v>5.4077872296452958E-2</v>
      </c>
      <c r="BT23" s="725">
        <v>7.7317508467247012E-2</v>
      </c>
      <c r="BW23" s="1189">
        <f>'2018'!R\Max</f>
        <v>0</v>
      </c>
      <c r="BX23" s="1187">
        <f>'2019'!R\Max</f>
        <v>0.51008474025356676</v>
      </c>
      <c r="BY23" s="1187">
        <f>'2020'!R\Max</f>
        <v>0.94502152138863782</v>
      </c>
      <c r="BZ23" s="1187">
        <f>'2021'!R\Max</f>
        <v>0.31277978606601703</v>
      </c>
      <c r="CA23" s="1187">
        <f>'2022'!R\Max</f>
        <v>0.11285126131469118</v>
      </c>
      <c r="CB23" s="1187">
        <f>'2023'!R\Max</f>
        <v>0.11280804470333318</v>
      </c>
      <c r="CC23" s="1187">
        <f>'2024'!R\Max</f>
        <v>0.11276480833873355</v>
      </c>
      <c r="CD23" s="1187">
        <f>'2025'!R\Max</f>
        <v>0.11270861717196795</v>
      </c>
      <c r="CE23" s="1187">
        <f>'2026'!R\Max</f>
        <v>0.11292892989515504</v>
      </c>
      <c r="CF23" s="1188">
        <f>'2027'!R\Max</f>
        <v>0.11290700728480206</v>
      </c>
    </row>
    <row r="24" spans="1:84" s="6" customFormat="1" ht="11.25" x14ac:dyDescent="0.2">
      <c r="A24" s="11">
        <v>43110</v>
      </c>
      <c r="B24" s="380">
        <f>'2022'!Maxi_hp</f>
        <v>10.382626561505731</v>
      </c>
      <c r="C24" s="13">
        <f>'2022'!An_max</f>
        <v>2019</v>
      </c>
      <c r="D24" s="1061"/>
      <c r="E24" s="1056"/>
      <c r="F24" s="13">
        <f t="shared" si="22"/>
        <v>3</v>
      </c>
      <c r="G24" s="13">
        <f t="shared" si="23"/>
        <v>2</v>
      </c>
      <c r="H24" s="173">
        <f t="shared" si="7"/>
        <v>43122</v>
      </c>
      <c r="I24" s="752">
        <f t="shared" si="8"/>
        <v>0.8571428571428571</v>
      </c>
      <c r="J24" s="745">
        <f t="shared" si="26"/>
        <v>21.040621293974773</v>
      </c>
      <c r="L24" s="755" t="s">
        <v>219</v>
      </c>
      <c r="M24" s="739">
        <f t="shared" ref="M24:AM24" si="34">(y.2m-y.3m-(y.1m-y.2m)*D2x23/D2x12)/(x.2m-x.3m)/(1-(x.2m+x.3m)/(x.1m+x.2m))</f>
        <v>-2561.0339901469588</v>
      </c>
      <c r="N24" s="739">
        <f>(y.2m-y.3m-(y.1m-y.2m)*D2x23/D2x12)/(x.2m-x.3m)/(1-(x.2m+x.3m)/(x.1m+x.2m))</f>
        <v>-3806.6313628888561</v>
      </c>
      <c r="O24" s="739">
        <f t="shared" si="34"/>
        <v>-2857.4540816328804</v>
      </c>
      <c r="P24" s="739">
        <f t="shared" si="34"/>
        <v>-1977.2704081637548</v>
      </c>
      <c r="Q24" s="739">
        <f t="shared" si="34"/>
        <v>-1316.9183673471248</v>
      </c>
      <c r="R24" s="739">
        <f t="shared" si="34"/>
        <v>-876.54081632642556</v>
      </c>
      <c r="S24" s="739">
        <f t="shared" si="34"/>
        <v>-436.02040816320113</v>
      </c>
      <c r="T24" s="739">
        <f t="shared" si="34"/>
        <v>3089.2857142858002</v>
      </c>
      <c r="U24" s="739">
        <f t="shared" si="34"/>
        <v>3309.6887755100611</v>
      </c>
      <c r="V24" s="739">
        <f t="shared" si="34"/>
        <v>3089.2142857147146</v>
      </c>
      <c r="W24" s="739">
        <f t="shared" si="34"/>
        <v>2648.1224489795059</v>
      </c>
      <c r="X24" s="739">
        <f t="shared" si="34"/>
        <v>1986.2704081628435</v>
      </c>
      <c r="Y24" s="739">
        <f t="shared" si="34"/>
        <v>1324.2040816329275</v>
      </c>
      <c r="Z24" s="739">
        <f t="shared" si="34"/>
        <v>1103.4438775510653</v>
      </c>
      <c r="AA24" s="739">
        <f t="shared" si="34"/>
        <v>1545.107142856737</v>
      </c>
      <c r="AB24" s="739">
        <f t="shared" si="34"/>
        <v>1766.0102040816521</v>
      </c>
      <c r="AC24" s="739">
        <f t="shared" si="34"/>
        <v>1545.03571428537</v>
      </c>
      <c r="AD24" s="739">
        <f t="shared" si="34"/>
        <v>1987.1275510209546</v>
      </c>
      <c r="AE24" s="739">
        <f t="shared" si="34"/>
        <v>2429.3622448985834</v>
      </c>
      <c r="AF24" s="739">
        <f t="shared" si="34"/>
        <v>1544.6071428573164</v>
      </c>
      <c r="AG24" s="739">
        <f t="shared" si="34"/>
        <v>-667.99489795905254</v>
      </c>
      <c r="AH24" s="739">
        <f t="shared" si="34"/>
        <v>-1110.658163265575</v>
      </c>
      <c r="AI24" s="739">
        <f t="shared" si="34"/>
        <v>-1110.6581632651385</v>
      </c>
      <c r="AJ24" s="739">
        <f t="shared" si="34"/>
        <v>-2218.0306122450279</v>
      </c>
      <c r="AK24" s="739">
        <f t="shared" si="34"/>
        <v>-3547.3061224483058</v>
      </c>
      <c r="AL24" s="739">
        <f t="shared" si="34"/>
        <v>-4655.3928571413662</v>
      </c>
      <c r="AM24" s="739">
        <f t="shared" si="34"/>
        <v>-2582.7302134648362</v>
      </c>
      <c r="AN24" s="739">
        <f>(y.2m-y.3m-(y.1m-y.2m)*D2x23/D2x12)/(x.2m-x.3m)/(1-(x.2m+x.3m)/(x.1m+x.2m))</f>
        <v>-3838.8760262727424</v>
      </c>
      <c r="AO24" s="1054">
        <v>43110</v>
      </c>
      <c r="AP24" s="13">
        <f t="shared" si="10"/>
        <v>3</v>
      </c>
      <c r="AQ24" s="13">
        <f t="shared" si="11"/>
        <v>2</v>
      </c>
      <c r="AR24" s="173">
        <f t="shared" si="12"/>
        <v>43136</v>
      </c>
      <c r="AS24" s="752">
        <f t="shared" si="13"/>
        <v>0.9285714285714286</v>
      </c>
      <c r="AT24" s="768">
        <f t="shared" si="14"/>
        <v>21.043859596124715</v>
      </c>
      <c r="AU24" s="13">
        <f t="shared" si="15"/>
        <v>1</v>
      </c>
      <c r="AV24" s="13">
        <f t="shared" si="16"/>
        <v>2</v>
      </c>
      <c r="AW24" s="173">
        <f t="shared" si="17"/>
        <v>43093</v>
      </c>
      <c r="AX24" s="752">
        <f t="shared" si="18"/>
        <v>0.58620689655172409</v>
      </c>
      <c r="AY24" s="768">
        <f t="shared" si="19"/>
        <v>21.206380696697483</v>
      </c>
      <c r="AZ24" s="745">
        <f t="shared" si="25"/>
        <v>21.125120146411099</v>
      </c>
      <c r="BA24" s="642">
        <f t="shared" si="20"/>
        <v>0.49345627281828019</v>
      </c>
      <c r="BC24" s="11">
        <v>43110</v>
      </c>
      <c r="BD24" s="290">
        <f>[2]!FeuilCaduc*(1-Persistant)+Persistant</f>
        <v>0.70166362896794388</v>
      </c>
      <c r="BE24" s="291">
        <f>[2]!CroissVégét</f>
        <v>6.2535138577142317E-4</v>
      </c>
      <c r="BF24" s="815">
        <f>1+[2]!Salcycl*Ksac</f>
        <v>1.0002772714946573</v>
      </c>
      <c r="BH24" s="1052">
        <f t="shared" si="21"/>
        <v>9.2610845335269077E-3</v>
      </c>
      <c r="BI24" s="1054">
        <v>44206</v>
      </c>
      <c r="BJ24" s="725">
        <v>4.7890634811854627E-3</v>
      </c>
      <c r="BK24" s="725">
        <v>5.8192438065857287E-3</v>
      </c>
      <c r="BL24" s="725">
        <v>7.0290241865130559E-3</v>
      </c>
      <c r="BM24" s="725">
        <v>8.5051834526268209E-3</v>
      </c>
      <c r="BN24" s="725">
        <v>1.0398296286974244E-2</v>
      </c>
      <c r="BO24" s="726">
        <v>1.3295126862942213E-2</v>
      </c>
      <c r="BP24" s="725">
        <v>1.7866309797001014E-2</v>
      </c>
      <c r="BQ24" s="725">
        <v>2.5074147654822257E-2</v>
      </c>
      <c r="BR24" s="725">
        <v>3.6450380358042905E-2</v>
      </c>
      <c r="BS24" s="725">
        <v>5.4164070033935689E-2</v>
      </c>
      <c r="BT24" s="725">
        <v>7.7005338956159311E-2</v>
      </c>
      <c r="BW24" s="1189">
        <f>'2018'!R\Max</f>
        <v>0</v>
      </c>
      <c r="BX24" s="1187">
        <f>'2019'!R\Max</f>
        <v>0.49345627281828019</v>
      </c>
      <c r="BY24" s="1187">
        <f>'2020'!R\Max</f>
        <v>0.42043639852123355</v>
      </c>
      <c r="BZ24" s="1187">
        <f>'2021'!R\Max</f>
        <v>0.27708148806434324</v>
      </c>
      <c r="CA24" s="1187">
        <f>'2022'!R\Max</f>
        <v>8.9449673339919308E-2</v>
      </c>
      <c r="CB24" s="1187">
        <f>'2023'!R\Max</f>
        <v>8.941529670653009E-2</v>
      </c>
      <c r="CC24" s="1187">
        <f>'2024'!R\Max</f>
        <v>8.9380905584238016E-2</v>
      </c>
      <c r="CD24" s="1187">
        <f>'2025'!R\Max</f>
        <v>8.9336618898857037E-2</v>
      </c>
      <c r="CE24" s="1187">
        <f>'2026'!R\Max</f>
        <v>8.9511983327048503E-2</v>
      </c>
      <c r="CF24" s="1188">
        <f>'2027'!R\Max</f>
        <v>8.9494350922589505E-2</v>
      </c>
    </row>
    <row r="25" spans="1:84" s="6" customFormat="1" ht="11.25" x14ac:dyDescent="0.2">
      <c r="A25" s="11">
        <v>43111</v>
      </c>
      <c r="B25" s="380">
        <f>'2022'!Maxi_hp</f>
        <v>21.933429825000896</v>
      </c>
      <c r="C25" s="13">
        <f>'2022'!An_max</f>
        <v>2022</v>
      </c>
      <c r="D25" s="1061"/>
      <c r="E25" s="1056"/>
      <c r="F25" s="13">
        <f t="shared" si="22"/>
        <v>3</v>
      </c>
      <c r="G25" s="13">
        <f t="shared" si="23"/>
        <v>2</v>
      </c>
      <c r="H25" s="173">
        <f t="shared" si="7"/>
        <v>43122</v>
      </c>
      <c r="I25" s="752">
        <f t="shared" si="8"/>
        <v>0.7857142857142857</v>
      </c>
      <c r="J25" s="745">
        <f t="shared" si="26"/>
        <v>21.226306046971253</v>
      </c>
      <c r="L25" s="755" t="s">
        <v>220</v>
      </c>
      <c r="M25" s="739">
        <f t="shared" ref="M25:AM25" si="35">(y.1m+y.2m+y.3m-a.m*(x.3m*x.3m+x.2m*x.2m+x.1m*x.1m)-b.m*(x.3m+x.2m+x.1m))/3</f>
        <v>55171007.50769981</v>
      </c>
      <c r="N25" s="739">
        <f>(y.1m+y.2m+y.3m-a.m*(x.3m*x.3m+x.2m*x.2m+x.1m*x.1m)-b.m*(x.3m+x.2m+x.1m))/3</f>
        <v>82013941.476822987</v>
      </c>
      <c r="O25" s="739">
        <f t="shared" si="35"/>
        <v>61552052.775515102</v>
      </c>
      <c r="P25" s="739">
        <f t="shared" si="35"/>
        <v>42571332.448990144</v>
      </c>
      <c r="Q25" s="739">
        <f t="shared" si="35"/>
        <v>28326548.775514215</v>
      </c>
      <c r="R25" s="739">
        <f t="shared" si="35"/>
        <v>18823862.040814057</v>
      </c>
      <c r="S25" s="739">
        <f t="shared" si="35"/>
        <v>9315009.020406777</v>
      </c>
      <c r="T25" s="739">
        <f t="shared" si="35"/>
        <v>-66805161.428573281</v>
      </c>
      <c r="U25" s="739">
        <f t="shared" si="35"/>
        <v>-71565757.224486724</v>
      </c>
      <c r="V25" s="739">
        <f t="shared" si="35"/>
        <v>-66802075.28572356</v>
      </c>
      <c r="W25" s="739">
        <f t="shared" si="35"/>
        <v>-57268537.122447126</v>
      </c>
      <c r="X25" s="739">
        <f t="shared" si="35"/>
        <v>-42958965.448970474</v>
      </c>
      <c r="Y25" s="739">
        <f t="shared" si="35"/>
        <v>-28640126.346944716</v>
      </c>
      <c r="Z25" s="739">
        <f t="shared" si="35"/>
        <v>-23864089.836735662</v>
      </c>
      <c r="AA25" s="739">
        <f t="shared" si="35"/>
        <v>-33422345.142848361</v>
      </c>
      <c r="AB25" s="739">
        <f t="shared" si="35"/>
        <v>-38204564.938775934</v>
      </c>
      <c r="AC25" s="739">
        <f t="shared" si="35"/>
        <v>-33419251.999992538</v>
      </c>
      <c r="AD25" s="739">
        <f t="shared" si="35"/>
        <v>-42996066.163277142</v>
      </c>
      <c r="AE25" s="739">
        <f t="shared" si="35"/>
        <v>-52579070.612258434</v>
      </c>
      <c r="AF25" s="739">
        <f t="shared" si="35"/>
        <v>-33400677.142860908</v>
      </c>
      <c r="AG25" s="739">
        <f t="shared" si="35"/>
        <v>14576277.959180826</v>
      </c>
      <c r="AH25" s="739">
        <f t="shared" si="35"/>
        <v>24177865.265311956</v>
      </c>
      <c r="AI25" s="739">
        <f t="shared" si="35"/>
        <v>24177865.265302479</v>
      </c>
      <c r="AJ25" s="739">
        <f t="shared" si="35"/>
        <v>48212829.959186487</v>
      </c>
      <c r="AK25" s="739">
        <f t="shared" si="35"/>
        <v>77073394.448964968</v>
      </c>
      <c r="AL25" s="739">
        <f t="shared" si="35"/>
        <v>101139375.57139617</v>
      </c>
      <c r="AM25" s="739">
        <f t="shared" si="35"/>
        <v>56109744.474879883</v>
      </c>
      <c r="AN25" s="739">
        <f>(y.1m+y.2m+y.3m-a.m*(x.3m*x.3m+x.2m*x.2m+x.1m*x.1m)-b.m*(x.3m+x.2m+x.1m))/3</f>
        <v>83409246.575373024</v>
      </c>
      <c r="AO25" s="1054">
        <v>43111</v>
      </c>
      <c r="AP25" s="13">
        <f t="shared" si="10"/>
        <v>3</v>
      </c>
      <c r="AQ25" s="13">
        <f t="shared" si="11"/>
        <v>2</v>
      </c>
      <c r="AR25" s="173">
        <f t="shared" si="12"/>
        <v>43136</v>
      </c>
      <c r="AS25" s="752">
        <f t="shared" si="13"/>
        <v>0.8928571428571429</v>
      </c>
      <c r="AT25" s="768">
        <f>((1-AS25)*(INDEX(a.lg,AP25)*$A25*$A25+INDEX(b.lg,AP25)*$A25+INDEX(c.lg,AP25))+AS25*(INDEX(a.lg,AQ25)*$A25*$A25+INDEX(b.lg,AQ25)*$A25+INDEX(c.lg,AQ25)))/10</f>
        <v>21.230693948880905</v>
      </c>
      <c r="AU25" s="13">
        <f t="shared" si="15"/>
        <v>1</v>
      </c>
      <c r="AV25" s="13">
        <f t="shared" si="16"/>
        <v>2</v>
      </c>
      <c r="AW25" s="173">
        <f t="shared" si="17"/>
        <v>43093</v>
      </c>
      <c r="AX25" s="752">
        <f t="shared" si="18"/>
        <v>0.62068965517241381</v>
      </c>
      <c r="AY25" s="768">
        <f t="shared" si="19"/>
        <v>21.386875184394164</v>
      </c>
      <c r="AZ25" s="745">
        <f t="shared" si="25"/>
        <v>21.308784566637534</v>
      </c>
      <c r="BA25" s="642">
        <f t="shared" si="20"/>
        <v>1.033313558019227</v>
      </c>
      <c r="BC25" s="11">
        <v>43111</v>
      </c>
      <c r="BD25" s="290">
        <f>[2]!FeuilCaduc*(1-Persistant)+Persistant</f>
        <v>0.70150890608820415</v>
      </c>
      <c r="BE25" s="291">
        <f>[2]!CroissVégét</f>
        <v>7.0982230050345072E-4</v>
      </c>
      <c r="BF25" s="815">
        <f>1+[2]!Salcycl*Ksac</f>
        <v>1.0002514843480341</v>
      </c>
      <c r="BH25" s="1052">
        <f t="shared" si="21"/>
        <v>9.6512901874758437E-3</v>
      </c>
      <c r="BI25" s="11">
        <v>44207</v>
      </c>
      <c r="BJ25" s="725">
        <v>4.9926246498321466E-3</v>
      </c>
      <c r="BK25" s="725">
        <v>6.0745960901072088E-3</v>
      </c>
      <c r="BL25" s="725">
        <v>7.3395342475421083E-3</v>
      </c>
      <c r="BM25" s="725">
        <v>8.8735775147086061E-3</v>
      </c>
      <c r="BN25" s="725">
        <v>1.0821316285629747E-2</v>
      </c>
      <c r="BO25" s="726">
        <v>1.377767914212104E-2</v>
      </c>
      <c r="BP25" s="725">
        <v>1.8405541555592604E-2</v>
      </c>
      <c r="BQ25" s="725">
        <v>2.5597387097735243E-2</v>
      </c>
      <c r="BR25" s="725">
        <v>3.6869676219136588E-2</v>
      </c>
      <c r="BS25" s="725">
        <v>5.4295106341409077E-2</v>
      </c>
      <c r="BT25" s="725">
        <v>7.6731287683375296E-2</v>
      </c>
      <c r="BW25" s="1189">
        <f>'2018'!R\Max</f>
        <v>0</v>
      </c>
      <c r="BX25" s="1187">
        <f>'2019'!R\Max</f>
        <v>0.92650117285590894</v>
      </c>
      <c r="BY25" s="1187">
        <f>'2020'!R\Max</f>
        <v>1.001308861687626</v>
      </c>
      <c r="BZ25" s="1187">
        <f>'2021'!R\Max</f>
        <v>0.25251185604360632</v>
      </c>
      <c r="CA25" s="1187">
        <f>'2022'!R\Max</f>
        <v>1.033313558019227</v>
      </c>
      <c r="CB25" s="1187">
        <f>'2023'!R\Max</f>
        <v>1.0333135580192265</v>
      </c>
      <c r="CC25" s="1187">
        <f>'2024'!R\Max</f>
        <v>1.033313558019227</v>
      </c>
      <c r="CD25" s="1187">
        <f>'2025'!R\Max</f>
        <v>1.033313558019227</v>
      </c>
      <c r="CE25" s="1187">
        <f>'2026'!R\Max</f>
        <v>1.0333135580192268</v>
      </c>
      <c r="CF25" s="1188">
        <f>'2027'!R\Max</f>
        <v>1.033313558019227</v>
      </c>
    </row>
    <row r="26" spans="1:84" s="6" customFormat="1" ht="11.25" x14ac:dyDescent="0.2">
      <c r="A26" s="11">
        <v>43112</v>
      </c>
      <c r="B26" s="380">
        <f>'2022'!Maxi_hp</f>
        <v>20.947040284507079</v>
      </c>
      <c r="C26" s="13">
        <f>'2022'!An_max</f>
        <v>2020</v>
      </c>
      <c r="D26" s="1061"/>
      <c r="E26" s="1056"/>
      <c r="F26" s="13">
        <f t="shared" si="22"/>
        <v>3</v>
      </c>
      <c r="G26" s="13">
        <f t="shared" si="23"/>
        <v>2</v>
      </c>
      <c r="H26" s="173">
        <f t="shared" si="7"/>
        <v>43122</v>
      </c>
      <c r="I26" s="752">
        <f t="shared" si="8"/>
        <v>0.7142857142857143</v>
      </c>
      <c r="J26" s="745">
        <f t="shared" si="26"/>
        <v>21.421611205382003</v>
      </c>
      <c r="L26" s="10"/>
      <c r="AO26" s="1054">
        <v>43112</v>
      </c>
      <c r="AP26" s="13">
        <f t="shared" si="10"/>
        <v>3</v>
      </c>
      <c r="AQ26" s="13">
        <f t="shared" si="11"/>
        <v>2</v>
      </c>
      <c r="AR26" s="173">
        <f t="shared" si="12"/>
        <v>43136</v>
      </c>
      <c r="AS26" s="752">
        <f t="shared" si="13"/>
        <v>0.8571428571428571</v>
      </c>
      <c r="AT26" s="768">
        <f>((1-AS26)*(INDEX(a.lg,AP26)*$A26*$A26+INDEX(b.lg,AP26)*$A26+INDEX(c.lg,AP26))+AS26*(INDEX(a.lg,AQ26)*$A26*$A26+INDEX(b.lg,AQ26)*$A26+INDEX(c.lg,AQ26)))/10</f>
        <v>21.427055501618554</v>
      </c>
      <c r="AU26" s="13">
        <f t="shared" si="15"/>
        <v>1</v>
      </c>
      <c r="AV26" s="13">
        <f t="shared" si="16"/>
        <v>2</v>
      </c>
      <c r="AW26" s="173">
        <f t="shared" si="17"/>
        <v>43093</v>
      </c>
      <c r="AX26" s="752">
        <f t="shared" si="18"/>
        <v>0.65517241379310343</v>
      </c>
      <c r="AY26" s="768">
        <f t="shared" si="19"/>
        <v>21.574234188245288</v>
      </c>
      <c r="AZ26" s="745">
        <f t="shared" si="25"/>
        <v>21.500644844931919</v>
      </c>
      <c r="BA26" s="642">
        <f t="shared" si="20"/>
        <v>0.97784616122826029</v>
      </c>
      <c r="BC26" s="11">
        <v>43112</v>
      </c>
      <c r="BD26" s="290">
        <f>[2]!FeuilCaduc*(1-Persistant)+Persistant</f>
        <v>0.70136092575908759</v>
      </c>
      <c r="BE26" s="291">
        <f>[2]!CroissVégét</f>
        <v>7.9782175584567966E-4</v>
      </c>
      <c r="BF26" s="815">
        <f>1+[2]!Salcycl*Ksac</f>
        <v>1.0002268209598479</v>
      </c>
      <c r="BH26" s="1052">
        <f t="shared" si="21"/>
        <v>1.0071854078348291E-2</v>
      </c>
      <c r="BI26" s="11">
        <v>44208</v>
      </c>
      <c r="BJ26" s="725">
        <v>5.2039528345433654E-3</v>
      </c>
      <c r="BK26" s="725">
        <v>6.3457635263416369E-3</v>
      </c>
      <c r="BL26" s="725">
        <v>7.6729952468764994E-3</v>
      </c>
      <c r="BM26" s="725">
        <v>9.2710825046975094E-3</v>
      </c>
      <c r="BN26" s="725">
        <v>1.1276571029272396E-2</v>
      </c>
      <c r="BO26" s="726">
        <v>1.4295594408077032E-2</v>
      </c>
      <c r="BP26" s="725">
        <v>1.8981777587077371E-2</v>
      </c>
      <c r="BQ26" s="725">
        <v>2.6162959391207139E-2</v>
      </c>
      <c r="BR26" s="725">
        <v>3.7333465507958206E-2</v>
      </c>
      <c r="BS26" s="725">
        <v>5.4470897254841527E-2</v>
      </c>
      <c r="BT26" s="725">
        <v>7.6495224775934331E-2</v>
      </c>
      <c r="BW26" s="1189">
        <f>'2018'!R\Max</f>
        <v>0</v>
      </c>
      <c r="BX26" s="1187">
        <f>'2019'!R\Max</f>
        <v>0.43466445357594746</v>
      </c>
      <c r="BY26" s="1187">
        <f>'2020'!R\Max</f>
        <v>0.97784616122826029</v>
      </c>
      <c r="BZ26" s="1187">
        <f>'2021'!R\Max</f>
        <v>0.50434687880332896</v>
      </c>
      <c r="CA26" s="1187">
        <f>'2022'!R\Max</f>
        <v>0.86878469029037519</v>
      </c>
      <c r="CB26" s="1187">
        <f>'2023'!R\Max</f>
        <v>0.86872169478031935</v>
      </c>
      <c r="CC26" s="1187">
        <f>'2024'!R\Max</f>
        <v>0.8686586376987453</v>
      </c>
      <c r="CD26" s="1187">
        <f>'2025'!R\Max</f>
        <v>0.86857877023504759</v>
      </c>
      <c r="CE26" s="1187">
        <f>'2026'!R\Max</f>
        <v>0.8689009009141121</v>
      </c>
      <c r="CF26" s="1188">
        <f>'2027'!R\Max</f>
        <v>0.86886785514866183</v>
      </c>
    </row>
    <row r="27" spans="1:84" s="6" customFormat="1" ht="11.25" x14ac:dyDescent="0.2">
      <c r="A27" s="11">
        <v>43113</v>
      </c>
      <c r="B27" s="380">
        <f>'2022'!Maxi_hp</f>
        <v>14.546314827403963</v>
      </c>
      <c r="C27" s="13">
        <f>'2022'!An_max</f>
        <v>2020</v>
      </c>
      <c r="D27" s="1061"/>
      <c r="E27" s="1056"/>
      <c r="F27" s="13">
        <f t="shared" si="22"/>
        <v>3</v>
      </c>
      <c r="G27" s="13">
        <f t="shared" si="23"/>
        <v>2</v>
      </c>
      <c r="H27" s="173">
        <f t="shared" si="7"/>
        <v>43122</v>
      </c>
      <c r="I27" s="752">
        <f t="shared" si="8"/>
        <v>0.6428571428571429</v>
      </c>
      <c r="J27" s="745">
        <f t="shared" si="26"/>
        <v>21.626065019731008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54">
        <v>43113</v>
      </c>
      <c r="AP27" s="13">
        <f t="shared" si="10"/>
        <v>3</v>
      </c>
      <c r="AQ27" s="13">
        <f t="shared" si="11"/>
        <v>2</v>
      </c>
      <c r="AR27" s="173">
        <f t="shared" si="12"/>
        <v>43136</v>
      </c>
      <c r="AS27" s="752">
        <f t="shared" si="13"/>
        <v>0.8214285714285714</v>
      </c>
      <c r="AT27" s="768">
        <f>((1-AS27)*(INDEX(a.lg,AP27)*$A27*$A27+INDEX(b.lg,AP27)*$A27+INDEX(c.lg,AP27))+AS27*(INDEX(a.lg,AQ27)*$A27*$A27+INDEX(b.lg,AQ27)*$A27+INDEX(c.lg,AQ27)))/10</f>
        <v>21.63263736651944</v>
      </c>
      <c r="AU27" s="13">
        <f t="shared" si="15"/>
        <v>1</v>
      </c>
      <c r="AV27" s="13">
        <f t="shared" si="16"/>
        <v>2</v>
      </c>
      <c r="AW27" s="173">
        <f t="shared" si="17"/>
        <v>43093</v>
      </c>
      <c r="AX27" s="752">
        <f t="shared" si="18"/>
        <v>0.68965517241379315</v>
      </c>
      <c r="AY27" s="768">
        <f t="shared" si="19"/>
        <v>21.768342377605109</v>
      </c>
      <c r="AZ27" s="745">
        <f t="shared" si="25"/>
        <v>21.700489872062274</v>
      </c>
      <c r="BA27" s="642">
        <f t="shared" si="20"/>
        <v>0.67262883072497548</v>
      </c>
      <c r="BC27" s="11">
        <v>43113</v>
      </c>
      <c r="BD27" s="290">
        <f>[2]!FeuilCaduc*(1-Persistant)+Persistant</f>
        <v>0.70121960716506115</v>
      </c>
      <c r="BE27" s="291">
        <f>[2]!CroissVégét</f>
        <v>8.8949648478391823E-4</v>
      </c>
      <c r="BF27" s="815">
        <f>1+[2]!Salcycl*Ksac</f>
        <v>1.0002032678608435</v>
      </c>
      <c r="BH27" s="1052">
        <f t="shared" si="21"/>
        <v>1.0522765972651765E-2</v>
      </c>
      <c r="BI27" s="11">
        <v>44209</v>
      </c>
      <c r="BJ27" s="725">
        <v>5.423033225036171E-3</v>
      </c>
      <c r="BK27" s="725">
        <v>6.6327352129091788E-3</v>
      </c>
      <c r="BL27" s="725">
        <v>8.0293984592397713E-3</v>
      </c>
      <c r="BM27" s="725">
        <v>9.6976898896085229E-3</v>
      </c>
      <c r="BN27" s="725">
        <v>1.1764047726089398E-2</v>
      </c>
      <c r="BO27" s="726">
        <v>1.4848852818186545E-2</v>
      </c>
      <c r="BP27" s="725">
        <v>1.9594985221591966E-2</v>
      </c>
      <c r="BQ27" s="725">
        <v>2.6770821138812097E-2</v>
      </c>
      <c r="BR27" s="725">
        <v>3.7841685147858961E-2</v>
      </c>
      <c r="BS27" s="725">
        <v>5.4691352866387967E-2</v>
      </c>
      <c r="BT27" s="725">
        <v>7.6297019277991443E-2</v>
      </c>
      <c r="BW27" s="1189">
        <f>'2018'!R\Max</f>
        <v>0</v>
      </c>
      <c r="BX27" s="1187">
        <f>'2019'!R\Max</f>
        <v>0.17786480504905922</v>
      </c>
      <c r="BY27" s="1187">
        <f>'2020'!R\Max</f>
        <v>0.67262883072497548</v>
      </c>
      <c r="BZ27" s="1187">
        <f>'2021'!R\Max</f>
        <v>0.45474547027557649</v>
      </c>
      <c r="CA27" s="1187">
        <f>'2022'!R\Max</f>
        <v>0.28153181790335685</v>
      </c>
      <c r="CB27" s="1187">
        <f>'2023'!R\Max</f>
        <v>0.28142257493254741</v>
      </c>
      <c r="CC27" s="1187">
        <f>'2024'!R\Max</f>
        <v>0.28131329806944261</v>
      </c>
      <c r="CD27" s="1187">
        <f>'2025'!R\Max</f>
        <v>0.28117609955984596</v>
      </c>
      <c r="CE27" s="1187">
        <f>'2026'!R\Max</f>
        <v>0.28173552765008825</v>
      </c>
      <c r="CF27" s="1188">
        <f>'2027'!R\Max</f>
        <v>0.28167741909308475</v>
      </c>
    </row>
    <row r="28" spans="1:84" s="6" customFormat="1" ht="11.25" x14ac:dyDescent="0.2">
      <c r="A28" s="11">
        <v>43114</v>
      </c>
      <c r="B28" s="380">
        <f>'2022'!Maxi_hp</f>
        <v>22.426517813211682</v>
      </c>
      <c r="C28" s="13">
        <f>'2022'!An_max</f>
        <v>2022</v>
      </c>
      <c r="D28" s="1061"/>
      <c r="E28" s="1056"/>
      <c r="F28" s="13">
        <f t="shared" si="22"/>
        <v>3</v>
      </c>
      <c r="G28" s="13">
        <f t="shared" si="23"/>
        <v>2</v>
      </c>
      <c r="H28" s="173">
        <f t="shared" si="7"/>
        <v>43122</v>
      </c>
      <c r="I28" s="752">
        <f t="shared" si="8"/>
        <v>0.5714285714285714</v>
      </c>
      <c r="J28" s="745">
        <f t="shared" si="26"/>
        <v>21.839195737242697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4">
        <v>43114</v>
      </c>
      <c r="AP28" s="13">
        <f t="shared" si="10"/>
        <v>3</v>
      </c>
      <c r="AQ28" s="13">
        <f t="shared" si="11"/>
        <v>2</v>
      </c>
      <c r="AR28" s="173">
        <f t="shared" si="12"/>
        <v>43136</v>
      </c>
      <c r="AS28" s="752">
        <f t="shared" si="13"/>
        <v>0.7857142857142857</v>
      </c>
      <c r="AT28" s="768">
        <f t="shared" si="14"/>
        <v>21.847132665504301</v>
      </c>
      <c r="AU28" s="13">
        <f t="shared" si="15"/>
        <v>1</v>
      </c>
      <c r="AV28" s="13">
        <f t="shared" si="16"/>
        <v>2</v>
      </c>
      <c r="AW28" s="173">
        <f t="shared" si="17"/>
        <v>43093</v>
      </c>
      <c r="AX28" s="752">
        <f t="shared" si="18"/>
        <v>0.72413793103448276</v>
      </c>
      <c r="AY28" s="768">
        <f t="shared" si="19"/>
        <v>21.969084423343681</v>
      </c>
      <c r="AZ28" s="745">
        <f t="shared" si="25"/>
        <v>21.908108544423989</v>
      </c>
      <c r="BA28" s="642">
        <f t="shared" si="20"/>
        <v>1.0268930267870358</v>
      </c>
      <c r="BC28" s="11">
        <v>43114</v>
      </c>
      <c r="BD28" s="290">
        <f>[2]!FeuilCaduc*(1-Persistant)+Persistant</f>
        <v>0.70108496084584326</v>
      </c>
      <c r="BE28" s="291">
        <f>[2]!CroissVégét</f>
        <v>9.849992655628797E-4</v>
      </c>
      <c r="BF28" s="815">
        <f>1+[2]!Salcycl*Ksac</f>
        <v>1.0001808268076406</v>
      </c>
      <c r="BH28" s="1052">
        <f t="shared" si="21"/>
        <v>1.1004007730868084E-2</v>
      </c>
      <c r="BI28" s="11">
        <v>44210</v>
      </c>
      <c r="BJ28" s="725">
        <v>5.6498479502306298E-3</v>
      </c>
      <c r="BK28" s="725">
        <v>6.9354956071729056E-3</v>
      </c>
      <c r="BL28" s="725">
        <v>8.4087290264122129E-3</v>
      </c>
      <c r="BM28" s="725">
        <v>1.0153383612588635E-2</v>
      </c>
      <c r="BN28" s="725">
        <v>1.2283725103306961E-2</v>
      </c>
      <c r="BO28" s="726">
        <v>1.543742504397538E-2</v>
      </c>
      <c r="BP28" s="725">
        <v>2.0245121526764387E-2</v>
      </c>
      <c r="BQ28" s="725">
        <v>2.7420918155421012E-2</v>
      </c>
      <c r="BR28" s="725">
        <v>3.8394262058229836E-2</v>
      </c>
      <c r="BS28" s="725">
        <v>5.4956376166470325E-2</v>
      </c>
      <c r="BT28" s="725">
        <v>7.6136538146273289E-2</v>
      </c>
      <c r="BW28" s="1189">
        <f>'2018'!R\Max</f>
        <v>0</v>
      </c>
      <c r="BX28" s="1187">
        <f>'2019'!R\Max</f>
        <v>0.24380629296548759</v>
      </c>
      <c r="BY28" s="1187">
        <f>'2020'!R\Max</f>
        <v>0.96251894201946597</v>
      </c>
      <c r="BZ28" s="1187">
        <f>'2021'!R\Max</f>
        <v>0.5117105929622161</v>
      </c>
      <c r="CA28" s="1187">
        <f>'2022'!R\Max</f>
        <v>1.0268930267870358</v>
      </c>
      <c r="CB28" s="1187">
        <f>'2023'!R\Max</f>
        <v>1.026893026787036</v>
      </c>
      <c r="CC28" s="1187">
        <f>'2024'!R\Max</f>
        <v>1.026893026787036</v>
      </c>
      <c r="CD28" s="1187">
        <f>'2025'!R\Max</f>
        <v>1.026893026787036</v>
      </c>
      <c r="CE28" s="1187">
        <f>'2026'!R\Max</f>
        <v>1.026893026787036</v>
      </c>
      <c r="CF28" s="1188">
        <f>'2027'!R\Max</f>
        <v>1.026893026787036</v>
      </c>
    </row>
    <row r="29" spans="1:84" s="6" customFormat="1" ht="11.25" x14ac:dyDescent="0.2">
      <c r="A29" s="11">
        <v>43115</v>
      </c>
      <c r="B29" s="380">
        <f>'2022'!Maxi_hp</f>
        <v>22.376869053911303</v>
      </c>
      <c r="C29" s="13">
        <f>'2022'!An_max</f>
        <v>2022</v>
      </c>
      <c r="D29" s="1061"/>
      <c r="E29" s="1056"/>
      <c r="F29" s="13">
        <f t="shared" si="22"/>
        <v>3</v>
      </c>
      <c r="G29" s="13">
        <f t="shared" si="23"/>
        <v>2</v>
      </c>
      <c r="H29" s="173">
        <f t="shared" si="7"/>
        <v>43122</v>
      </c>
      <c r="I29" s="752">
        <f t="shared" si="8"/>
        <v>0.5</v>
      </c>
      <c r="J29" s="745">
        <f t="shared" si="26"/>
        <v>22.060531609505414</v>
      </c>
      <c r="L29" s="773">
        <f>AJ13</f>
        <v>248</v>
      </c>
      <c r="M29" s="773">
        <f>L13</f>
        <v>192</v>
      </c>
      <c r="N29" s="763">
        <f>N13</f>
        <v>207</v>
      </c>
      <c r="O29" s="763">
        <f>P13</f>
        <v>282</v>
      </c>
      <c r="P29" s="763">
        <f>R13</f>
        <v>394</v>
      </c>
      <c r="Q29" s="763">
        <f>T13</f>
        <v>522</v>
      </c>
      <c r="R29" s="763">
        <f>V13</f>
        <v>609</v>
      </c>
      <c r="S29" s="763">
        <f>X13</f>
        <v>641</v>
      </c>
      <c r="T29" s="763">
        <f>Z13</f>
        <v>637</v>
      </c>
      <c r="U29" s="763">
        <f>AB13</f>
        <v>610</v>
      </c>
      <c r="V29" s="763">
        <f>AD13</f>
        <v>553</v>
      </c>
      <c r="W29" s="763">
        <f>AF13</f>
        <v>460</v>
      </c>
      <c r="X29" s="763">
        <f>AH13</f>
        <v>345</v>
      </c>
      <c r="Y29" s="763">
        <f>AJ13</f>
        <v>248</v>
      </c>
      <c r="Z29" s="763">
        <f>AL13</f>
        <v>192</v>
      </c>
      <c r="AA29" s="771">
        <f>AN13</f>
        <v>207</v>
      </c>
      <c r="AB29" s="771">
        <f>P13</f>
        <v>282</v>
      </c>
      <c r="AO29" s="1054">
        <v>43115</v>
      </c>
      <c r="AP29" s="13">
        <f t="shared" si="10"/>
        <v>3</v>
      </c>
      <c r="AQ29" s="13">
        <f t="shared" si="11"/>
        <v>2</v>
      </c>
      <c r="AR29" s="173">
        <f t="shared" si="12"/>
        <v>43136</v>
      </c>
      <c r="AS29" s="752">
        <f t="shared" si="13"/>
        <v>0.75</v>
      </c>
      <c r="AT29" s="768">
        <f t="shared" si="14"/>
        <v>22.070234517753125</v>
      </c>
      <c r="AU29" s="13">
        <f t="shared" si="15"/>
        <v>1</v>
      </c>
      <c r="AV29" s="13">
        <f t="shared" si="16"/>
        <v>2</v>
      </c>
      <c r="AW29" s="173">
        <f t="shared" si="17"/>
        <v>43093</v>
      </c>
      <c r="AX29" s="752">
        <f t="shared" si="18"/>
        <v>0.75862068965517238</v>
      </c>
      <c r="AY29" s="768">
        <f t="shared" si="19"/>
        <v>22.176344993916054</v>
      </c>
      <c r="AZ29" s="745">
        <f t="shared" si="25"/>
        <v>22.123289755834591</v>
      </c>
      <c r="BA29" s="642">
        <f t="shared" si="20"/>
        <v>1.0143395204614918</v>
      </c>
      <c r="BC29" s="11">
        <v>43115</v>
      </c>
      <c r="BD29" s="290">
        <f>[2]!FeuilCaduc*(1-Persistant)+Persistant</f>
        <v>0.70095707561219811</v>
      </c>
      <c r="BE29" s="291">
        <f>[2]!CroissVégét</f>
        <v>1.0844891659074879E-3</v>
      </c>
      <c r="BF29" s="815">
        <f>1+[2]!Salcycl*Ksac</f>
        <v>1.0001595126020331</v>
      </c>
      <c r="BH29" s="1052">
        <f t="shared" si="21"/>
        <v>1.1515552540176841E-2</v>
      </c>
      <c r="BI29" s="11">
        <v>44211</v>
      </c>
      <c r="BJ29" s="725">
        <v>5.8843758830290334E-3</v>
      </c>
      <c r="BK29" s="725">
        <v>7.254024127169122E-3</v>
      </c>
      <c r="BL29" s="725">
        <v>8.8109653774807468E-3</v>
      </c>
      <c r="BM29" s="725">
        <v>1.063813935721371E-2</v>
      </c>
      <c r="BN29" s="725">
        <v>1.2835572592413275E-2</v>
      </c>
      <c r="BO29" s="726">
        <v>1.6061271376803077E-2</v>
      </c>
      <c r="BP29" s="725">
        <v>2.0932132370817095E-2</v>
      </c>
      <c r="BQ29" s="725">
        <v>2.8113184391319171E-2</v>
      </c>
      <c r="BR29" s="725">
        <v>3.899111201637806E-2</v>
      </c>
      <c r="BS29" s="725">
        <v>5.5265861884915918E-2</v>
      </c>
      <c r="BT29" s="725">
        <v>7.6013645244232222E-2</v>
      </c>
      <c r="BW29" s="1189">
        <f>'2018'!R\Max</f>
        <v>0</v>
      </c>
      <c r="BX29" s="1187">
        <f>'2019'!R\Max</f>
        <v>0.97552494629793474</v>
      </c>
      <c r="BY29" s="1187">
        <f>'2020'!R\Max</f>
        <v>0.85122962481929931</v>
      </c>
      <c r="BZ29" s="1187">
        <f>'2021'!R\Max</f>
        <v>0.70644368954487224</v>
      </c>
      <c r="CA29" s="1187">
        <f>'2022'!R\Max</f>
        <v>1.0143395204614918</v>
      </c>
      <c r="CB29" s="1187">
        <f>'2023'!R\Max</f>
        <v>1.014339520461492</v>
      </c>
      <c r="CC29" s="1187">
        <f>'2024'!R\Max</f>
        <v>1.014339520461492</v>
      </c>
      <c r="CD29" s="1187">
        <f>'2025'!R\Max</f>
        <v>1.014339520461492</v>
      </c>
      <c r="CE29" s="1187">
        <f>'2026'!R\Max</f>
        <v>1.014339520461492</v>
      </c>
      <c r="CF29" s="1188">
        <f>'2027'!R\Max</f>
        <v>1.014339520461492</v>
      </c>
    </row>
    <row r="30" spans="1:84" s="6" customFormat="1" ht="11.25" x14ac:dyDescent="0.2">
      <c r="A30" s="11">
        <v>43116</v>
      </c>
      <c r="B30" s="380">
        <f>'2022'!Maxi_hp</f>
        <v>22.073480721344577</v>
      </c>
      <c r="C30" s="13">
        <f>'2022'!An_max</f>
        <v>2022</v>
      </c>
      <c r="D30" s="1061"/>
      <c r="E30" s="1056"/>
      <c r="F30" s="13">
        <f t="shared" si="22"/>
        <v>3</v>
      </c>
      <c r="G30" s="13">
        <f t="shared" si="23"/>
        <v>2</v>
      </c>
      <c r="H30" s="173">
        <f t="shared" si="7"/>
        <v>43122</v>
      </c>
      <c r="I30" s="752">
        <f t="shared" si="8"/>
        <v>0.42857142857142855</v>
      </c>
      <c r="J30" s="745">
        <f t="shared" si="26"/>
        <v>22.2896008849144</v>
      </c>
      <c r="L30" s="753" t="s">
        <v>210</v>
      </c>
      <c r="M30" s="783">
        <f t="shared" ref="M30:AA30" si="36">L28</f>
        <v>43051</v>
      </c>
      <c r="N30" s="784">
        <f t="shared" si="36"/>
        <v>43079</v>
      </c>
      <c r="O30" s="735">
        <f t="shared" si="36"/>
        <v>43108</v>
      </c>
      <c r="P30" s="735">
        <f t="shared" si="36"/>
        <v>43136</v>
      </c>
      <c r="Q30" s="735">
        <f t="shared" si="36"/>
        <v>43164</v>
      </c>
      <c r="R30" s="735">
        <f t="shared" si="36"/>
        <v>43192</v>
      </c>
      <c r="S30" s="735">
        <f t="shared" si="36"/>
        <v>43220</v>
      </c>
      <c r="T30" s="735">
        <f t="shared" si="36"/>
        <v>43248</v>
      </c>
      <c r="U30" s="735">
        <f t="shared" si="36"/>
        <v>43276</v>
      </c>
      <c r="V30" s="735">
        <f t="shared" si="36"/>
        <v>43304</v>
      </c>
      <c r="W30" s="735">
        <f t="shared" si="36"/>
        <v>43332</v>
      </c>
      <c r="X30" s="735">
        <f t="shared" si="36"/>
        <v>43360</v>
      </c>
      <c r="Y30" s="735">
        <f t="shared" si="36"/>
        <v>43388</v>
      </c>
      <c r="Z30" s="735">
        <f t="shared" si="36"/>
        <v>43416</v>
      </c>
      <c r="AA30" s="776">
        <f t="shared" si="36"/>
        <v>43444</v>
      </c>
      <c r="AO30" s="1054">
        <v>43116</v>
      </c>
      <c r="AP30" s="13">
        <f t="shared" si="10"/>
        <v>3</v>
      </c>
      <c r="AQ30" s="13">
        <f t="shared" si="11"/>
        <v>2</v>
      </c>
      <c r="AR30" s="173">
        <f t="shared" si="12"/>
        <v>43136</v>
      </c>
      <c r="AS30" s="752">
        <f t="shared" si="13"/>
        <v>0.7142857142857143</v>
      </c>
      <c r="AT30" s="768">
        <f t="shared" si="14"/>
        <v>22.301636039572106</v>
      </c>
      <c r="AU30" s="13">
        <f t="shared" si="15"/>
        <v>1</v>
      </c>
      <c r="AV30" s="13">
        <f t="shared" si="16"/>
        <v>2</v>
      </c>
      <c r="AW30" s="173">
        <f t="shared" si="17"/>
        <v>43093</v>
      </c>
      <c r="AX30" s="752">
        <f t="shared" si="18"/>
        <v>0.7931034482758621</v>
      </c>
      <c r="AY30" s="768">
        <f t="shared" si="19"/>
        <v>22.390008760963021</v>
      </c>
      <c r="AZ30" s="745">
        <f t="shared" si="25"/>
        <v>22.345822400267565</v>
      </c>
      <c r="BA30" s="642">
        <f t="shared" si="20"/>
        <v>0.99030399132377045</v>
      </c>
      <c r="BC30" s="11">
        <v>43116</v>
      </c>
      <c r="BD30" s="290">
        <f>[2]!FeuilCaduc*(1-Persistant)+Persistant</f>
        <v>0.70083610536440943</v>
      </c>
      <c r="BE30" s="291">
        <f>[2]!CroissVégét</f>
        <v>1.1881317966940647E-3</v>
      </c>
      <c r="BF30" s="815">
        <f>1+[2]!Salcycl*Ksac</f>
        <v>1.0001393508940681</v>
      </c>
      <c r="BH30" s="1052">
        <f t="shared" si="21"/>
        <v>1.2070938470138074E-2</v>
      </c>
      <c r="BI30" s="11">
        <v>44212</v>
      </c>
      <c r="BJ30" s="725">
        <v>6.1206280670028724E-3</v>
      </c>
      <c r="BK30" s="725">
        <v>7.5846546483101119E-3</v>
      </c>
      <c r="BL30" s="725">
        <v>9.2358401145458558E-3</v>
      </c>
      <c r="BM30" s="725">
        <v>1.116159560806371E-2</v>
      </c>
      <c r="BN30" s="725">
        <v>1.3438994974876809E-2</v>
      </c>
      <c r="BO30" s="726">
        <v>1.6748024791709629E-2</v>
      </c>
      <c r="BP30" s="725">
        <v>2.168567239060679E-2</v>
      </c>
      <c r="BQ30" s="725">
        <v>2.8879744808559839E-2</v>
      </c>
      <c r="BR30" s="725">
        <v>3.9668576823212537E-2</v>
      </c>
      <c r="BS30" s="725">
        <v>5.5661821868633138E-2</v>
      </c>
      <c r="BT30" s="725">
        <v>7.5977223919460393E-2</v>
      </c>
      <c r="BW30" s="1189">
        <f>'2018'!R\Max</f>
        <v>0</v>
      </c>
      <c r="BX30" s="1187">
        <f>'2019'!R\Max</f>
        <v>0.95273598916760338</v>
      </c>
      <c r="BY30" s="1187">
        <f>'2020'!R\Max</f>
        <v>0.94175268059480355</v>
      </c>
      <c r="BZ30" s="1187">
        <f>'2021'!R\Max</f>
        <v>0.64058722123026079</v>
      </c>
      <c r="CA30" s="1187">
        <f>'2022'!R\Max</f>
        <v>0.99030399132377045</v>
      </c>
      <c r="CB30" s="1187">
        <f>'2023'!R\Max</f>
        <v>0.99029862085881748</v>
      </c>
      <c r="CC30" s="1187">
        <f>'2024'!R\Max</f>
        <v>0.99029324520166739</v>
      </c>
      <c r="CD30" s="1187">
        <f>'2025'!R\Max</f>
        <v>0.99028663700604869</v>
      </c>
      <c r="CE30" s="1187">
        <f>'2026'!R\Max</f>
        <v>0.99031434098951276</v>
      </c>
      <c r="CF30" s="1188">
        <f>'2027'!R\Max</f>
        <v>0.99031136403790287</v>
      </c>
    </row>
    <row r="31" spans="1:84" s="6" customFormat="1" ht="11.25" x14ac:dyDescent="0.2">
      <c r="A31" s="11">
        <v>43117</v>
      </c>
      <c r="B31" s="380">
        <f>'2022'!Maxi_hp</f>
        <v>13.006645214490723</v>
      </c>
      <c r="C31" s="13">
        <f>'2022'!An_max</f>
        <v>2022</v>
      </c>
      <c r="D31" s="1061"/>
      <c r="E31" s="1056"/>
      <c r="F31" s="13">
        <f t="shared" si="22"/>
        <v>3</v>
      </c>
      <c r="G31" s="13">
        <f t="shared" si="23"/>
        <v>2</v>
      </c>
      <c r="H31" s="173">
        <f t="shared" si="7"/>
        <v>43122</v>
      </c>
      <c r="I31" s="752">
        <f t="shared" si="8"/>
        <v>0.35714285714285715</v>
      </c>
      <c r="J31" s="745">
        <f t="shared" si="26"/>
        <v>22.525931814419369</v>
      </c>
      <c r="L31" s="754" t="s">
        <v>211</v>
      </c>
      <c r="M31" s="775">
        <f t="shared" ref="M31:AA31" si="37">L29</f>
        <v>248</v>
      </c>
      <c r="N31" s="779">
        <f t="shared" si="37"/>
        <v>192</v>
      </c>
      <c r="O31" s="741">
        <f t="shared" si="37"/>
        <v>207</v>
      </c>
      <c r="P31" s="741">
        <f t="shared" si="37"/>
        <v>282</v>
      </c>
      <c r="Q31" s="741">
        <f t="shared" si="37"/>
        <v>394</v>
      </c>
      <c r="R31" s="741">
        <f t="shared" si="37"/>
        <v>522</v>
      </c>
      <c r="S31" s="741">
        <f t="shared" si="37"/>
        <v>609</v>
      </c>
      <c r="T31" s="741">
        <f t="shared" si="37"/>
        <v>641</v>
      </c>
      <c r="U31" s="741">
        <f t="shared" si="37"/>
        <v>637</v>
      </c>
      <c r="V31" s="741">
        <f t="shared" si="37"/>
        <v>610</v>
      </c>
      <c r="W31" s="741">
        <f t="shared" si="37"/>
        <v>553</v>
      </c>
      <c r="X31" s="741">
        <f t="shared" si="37"/>
        <v>460</v>
      </c>
      <c r="Y31" s="741">
        <f t="shared" si="37"/>
        <v>345</v>
      </c>
      <c r="Z31" s="741">
        <f t="shared" si="37"/>
        <v>248</v>
      </c>
      <c r="AA31" s="777">
        <f t="shared" si="37"/>
        <v>192</v>
      </c>
      <c r="AO31" s="1054">
        <v>43117</v>
      </c>
      <c r="AP31" s="13">
        <f t="shared" si="10"/>
        <v>3</v>
      </c>
      <c r="AQ31" s="13">
        <f t="shared" si="11"/>
        <v>2</v>
      </c>
      <c r="AR31" s="173">
        <f t="shared" si="12"/>
        <v>43136</v>
      </c>
      <c r="AS31" s="752">
        <f t="shared" si="13"/>
        <v>0.6785714285714286</v>
      </c>
      <c r="AT31" s="768">
        <f t="shared" si="14"/>
        <v>22.541030352935195</v>
      </c>
      <c r="AU31" s="13">
        <f t="shared" si="15"/>
        <v>1</v>
      </c>
      <c r="AV31" s="13">
        <f t="shared" si="16"/>
        <v>2</v>
      </c>
      <c r="AW31" s="173">
        <f t="shared" si="17"/>
        <v>43093</v>
      </c>
      <c r="AX31" s="752">
        <f t="shared" si="18"/>
        <v>0.82758620689655171</v>
      </c>
      <c r="AY31" s="768">
        <f t="shared" si="19"/>
        <v>22.60996039417283</v>
      </c>
      <c r="AZ31" s="745">
        <f t="shared" si="25"/>
        <v>22.575495373554013</v>
      </c>
      <c r="BA31" s="642">
        <f t="shared" si="20"/>
        <v>0.57740764385004795</v>
      </c>
      <c r="BC31" s="11">
        <v>43117</v>
      </c>
      <c r="BD31" s="290">
        <f>[2]!FeuilCaduc*(1-Persistant)+Persistant</f>
        <v>0.70072225595473725</v>
      </c>
      <c r="BE31" s="291">
        <f>[2]!CroissVégét</f>
        <v>1.2960995754023115E-3</v>
      </c>
      <c r="BF31" s="815">
        <f>1+[2]!Salcycl*Ksac</f>
        <v>1.0001203759924562</v>
      </c>
      <c r="BH31" s="1052">
        <f t="shared" si="21"/>
        <v>1.2656792026046734E-2</v>
      </c>
      <c r="BI31" s="11">
        <v>44213</v>
      </c>
      <c r="BJ31" s="725">
        <v>6.3503530855009383E-3</v>
      </c>
      <c r="BK31" s="725">
        <v>7.917435159370512E-3</v>
      </c>
      <c r="BL31" s="725">
        <v>9.6718142870119254E-3</v>
      </c>
      <c r="BM31" s="725">
        <v>1.1710870532479656E-2</v>
      </c>
      <c r="BN31" s="725">
        <v>1.4079879077386889E-2</v>
      </c>
      <c r="BO31" s="726">
        <v>1.7482023970416163E-2</v>
      </c>
      <c r="BP31" s="725">
        <v>2.2489471764728684E-2</v>
      </c>
      <c r="BQ31" s="725">
        <v>2.9703428641991159E-2</v>
      </c>
      <c r="BR31" s="725">
        <v>4.0408649809844634E-2</v>
      </c>
      <c r="BS31" s="725">
        <v>5.6128207610029707E-2</v>
      </c>
      <c r="BT31" s="725">
        <v>7.6017351682092074E-2</v>
      </c>
      <c r="BW31" s="1189">
        <f>'2018'!R\Max</f>
        <v>0</v>
      </c>
      <c r="BX31" s="1187">
        <f>'2019'!R\Max</f>
        <v>0.46205848694828028</v>
      </c>
      <c r="BY31" s="1187">
        <f>'2020'!R\Max</f>
        <v>0.21077170800947015</v>
      </c>
      <c r="BZ31" s="1187">
        <f>'2021'!R\Max</f>
        <v>0.3517653483183521</v>
      </c>
      <c r="CA31" s="1187">
        <f>'2022'!R\Max</f>
        <v>0.57740764385004795</v>
      </c>
      <c r="CB31" s="1187">
        <f>'2023'!R\Max</f>
        <v>0.57727073801683892</v>
      </c>
      <c r="CC31" s="1187">
        <f>'2024'!R\Max</f>
        <v>0.57713376846011233</v>
      </c>
      <c r="CD31" s="1187">
        <f>'2025'!R\Max</f>
        <v>0.57696659252216409</v>
      </c>
      <c r="CE31" s="1187">
        <f>'2026'!R\Max</f>
        <v>0.57767571013187191</v>
      </c>
      <c r="CF31" s="1188">
        <f>'2027'!R\Max</f>
        <v>0.57759828296684479</v>
      </c>
    </row>
    <row r="32" spans="1:84" s="6" customFormat="1" ht="11.25" x14ac:dyDescent="0.2">
      <c r="A32" s="11">
        <v>43118</v>
      </c>
      <c r="B32" s="380">
        <f>'2022'!Maxi_hp</f>
        <v>22.54898457519629</v>
      </c>
      <c r="C32" s="13">
        <f>'2022'!An_max</f>
        <v>2021</v>
      </c>
      <c r="D32" s="1061"/>
      <c r="E32" s="1056"/>
      <c r="F32" s="13">
        <f t="shared" si="22"/>
        <v>3</v>
      </c>
      <c r="G32" s="13">
        <f t="shared" si="23"/>
        <v>2</v>
      </c>
      <c r="H32" s="173">
        <f t="shared" si="7"/>
        <v>43122</v>
      </c>
      <c r="I32" s="752">
        <f t="shared" si="8"/>
        <v>0.2857142857142857</v>
      </c>
      <c r="J32" s="745">
        <f t="shared" si="26"/>
        <v>22.769052645989824</v>
      </c>
      <c r="L32" s="754" t="s">
        <v>212</v>
      </c>
      <c r="M32" s="786">
        <f t="shared" ref="M32:AA32" si="38">M28</f>
        <v>43079</v>
      </c>
      <c r="N32" s="736">
        <f t="shared" si="38"/>
        <v>43108</v>
      </c>
      <c r="O32" s="736">
        <f t="shared" si="38"/>
        <v>43136</v>
      </c>
      <c r="P32" s="736">
        <f t="shared" si="38"/>
        <v>43164</v>
      </c>
      <c r="Q32" s="736">
        <f t="shared" si="38"/>
        <v>43192</v>
      </c>
      <c r="R32" s="736">
        <f t="shared" si="38"/>
        <v>43220</v>
      </c>
      <c r="S32" s="736">
        <f t="shared" si="38"/>
        <v>43248</v>
      </c>
      <c r="T32" s="736">
        <f t="shared" si="38"/>
        <v>43276</v>
      </c>
      <c r="U32" s="736">
        <f t="shared" si="38"/>
        <v>43304</v>
      </c>
      <c r="V32" s="736">
        <f t="shared" si="38"/>
        <v>43332</v>
      </c>
      <c r="W32" s="736">
        <f t="shared" si="38"/>
        <v>43360</v>
      </c>
      <c r="X32" s="736">
        <f t="shared" si="38"/>
        <v>43388</v>
      </c>
      <c r="Y32" s="736">
        <f t="shared" si="38"/>
        <v>43416</v>
      </c>
      <c r="Z32" s="778">
        <f t="shared" si="38"/>
        <v>43444</v>
      </c>
      <c r="AA32" s="785">
        <f t="shared" si="38"/>
        <v>43473</v>
      </c>
      <c r="AO32" s="1054">
        <v>43118</v>
      </c>
      <c r="AP32" s="13">
        <f t="shared" si="10"/>
        <v>3</v>
      </c>
      <c r="AQ32" s="13">
        <f t="shared" si="11"/>
        <v>2</v>
      </c>
      <c r="AR32" s="173">
        <f t="shared" si="12"/>
        <v>43136</v>
      </c>
      <c r="AS32" s="752">
        <f t="shared" si="13"/>
        <v>0.6428571428571429</v>
      </c>
      <c r="AT32" s="768">
        <f t="shared" si="14"/>
        <v>22.788110572312558</v>
      </c>
      <c r="AU32" s="13">
        <f t="shared" si="15"/>
        <v>1</v>
      </c>
      <c r="AV32" s="13">
        <f t="shared" si="16"/>
        <v>2</v>
      </c>
      <c r="AW32" s="173">
        <f t="shared" si="17"/>
        <v>43093</v>
      </c>
      <c r="AX32" s="752">
        <f t="shared" si="18"/>
        <v>0.86206896551724133</v>
      </c>
      <c r="AY32" s="768">
        <f t="shared" si="19"/>
        <v>22.836084563079577</v>
      </c>
      <c r="AZ32" s="745">
        <f t="shared" si="25"/>
        <v>22.812097567696068</v>
      </c>
      <c r="BA32" s="642">
        <f t="shared" si="20"/>
        <v>0.99033477263129377</v>
      </c>
      <c r="BC32" s="11">
        <v>43118</v>
      </c>
      <c r="BD32" s="290">
        <f>[2]!FeuilCaduc*(1-Persistant)+Persistant</f>
        <v>0.70061577223118721</v>
      </c>
      <c r="BE32" s="291">
        <f>[2]!CroissVégét</f>
        <v>1.4085719996856784E-3</v>
      </c>
      <c r="BF32" s="815">
        <f>1+[2]!Salcycl*Ksac</f>
        <v>1.0001026287051979</v>
      </c>
      <c r="BH32" s="1052">
        <f t="shared" si="21"/>
        <v>1.327305465322668E-2</v>
      </c>
      <c r="BI32" s="11">
        <v>44214</v>
      </c>
      <c r="BJ32" s="725">
        <v>6.5735083882387108E-3</v>
      </c>
      <c r="BK32" s="725">
        <v>8.2523173466873476E-3</v>
      </c>
      <c r="BL32" s="725">
        <v>1.0118833577941931E-2</v>
      </c>
      <c r="BM32" s="725">
        <v>1.2285907218118793E-2</v>
      </c>
      <c r="BN32" s="725">
        <v>1.4758163874466783E-2</v>
      </c>
      <c r="BO32" s="726">
        <v>1.826319944573445E-2</v>
      </c>
      <c r="BP32" s="725">
        <v>2.3343444819691972E-2</v>
      </c>
      <c r="BQ32" s="725">
        <v>3.0584136475809667E-2</v>
      </c>
      <c r="BR32" s="725">
        <v>4.121121743647934E-2</v>
      </c>
      <c r="BS32" s="725">
        <v>5.6664898467728028E-2</v>
      </c>
      <c r="BT32" s="725">
        <v>7.6133902949702806E-2</v>
      </c>
      <c r="BW32" s="1189">
        <f>'2018'!R\Max</f>
        <v>0</v>
      </c>
      <c r="BX32" s="1187">
        <f>'2019'!R\Max</f>
        <v>0.58941061896050562</v>
      </c>
      <c r="BY32" s="1187">
        <f>'2020'!R\Max</f>
        <v>0.76789559969962873</v>
      </c>
      <c r="BZ32" s="1187">
        <f>'2021'!R\Max</f>
        <v>0.99033477263129377</v>
      </c>
      <c r="CA32" s="1187">
        <f>'2022'!R\Max</f>
        <v>0.18718386948673552</v>
      </c>
      <c r="CB32" s="1187">
        <f>'2023'!R\Max</f>
        <v>0.18711006897177104</v>
      </c>
      <c r="CC32" s="1187">
        <f>'2024'!R\Max</f>
        <v>0.18703626005841112</v>
      </c>
      <c r="CD32" s="1187">
        <f>'2025'!R\Max</f>
        <v>0.1869467685330902</v>
      </c>
      <c r="CE32" s="1187">
        <f>'2026'!R\Max</f>
        <v>0.18733092653757902</v>
      </c>
      <c r="CF32" s="1188">
        <f>'2027'!R\Max</f>
        <v>0.18728826104413365</v>
      </c>
    </row>
    <row r="33" spans="1:84" s="6" customFormat="1" ht="11.25" x14ac:dyDescent="0.2">
      <c r="A33" s="11">
        <v>43119</v>
      </c>
      <c r="B33" s="380">
        <f>'2022'!Maxi_hp</f>
        <v>23.630965099383026</v>
      </c>
      <c r="C33" s="13">
        <f>'2022'!An_max</f>
        <v>2020</v>
      </c>
      <c r="D33" s="1061"/>
      <c r="E33" s="1056"/>
      <c r="F33" s="13">
        <f t="shared" si="22"/>
        <v>3</v>
      </c>
      <c r="G33" s="13">
        <f t="shared" si="23"/>
        <v>2</v>
      </c>
      <c r="H33" s="173">
        <f t="shared" si="7"/>
        <v>43122</v>
      </c>
      <c r="I33" s="752">
        <f t="shared" si="8"/>
        <v>0.21428571428571427</v>
      </c>
      <c r="J33" s="745">
        <f t="shared" si="26"/>
        <v>23.018491631001233</v>
      </c>
      <c r="L33" s="754" t="s">
        <v>213</v>
      </c>
      <c r="M33" s="779">
        <f t="shared" ref="M33:AA33" si="39">M29</f>
        <v>192</v>
      </c>
      <c r="N33" s="742">
        <f t="shared" si="39"/>
        <v>207</v>
      </c>
      <c r="O33" s="742">
        <f t="shared" si="39"/>
        <v>282</v>
      </c>
      <c r="P33" s="742">
        <f t="shared" si="39"/>
        <v>394</v>
      </c>
      <c r="Q33" s="742">
        <f t="shared" si="39"/>
        <v>522</v>
      </c>
      <c r="R33" s="742">
        <f t="shared" si="39"/>
        <v>609</v>
      </c>
      <c r="S33" s="742">
        <f t="shared" si="39"/>
        <v>641</v>
      </c>
      <c r="T33" s="742">
        <f t="shared" si="39"/>
        <v>637</v>
      </c>
      <c r="U33" s="742">
        <f t="shared" si="39"/>
        <v>610</v>
      </c>
      <c r="V33" s="742">
        <f t="shared" si="39"/>
        <v>553</v>
      </c>
      <c r="W33" s="742">
        <f t="shared" si="39"/>
        <v>460</v>
      </c>
      <c r="X33" s="742">
        <f t="shared" si="39"/>
        <v>345</v>
      </c>
      <c r="Y33" s="742">
        <f t="shared" si="39"/>
        <v>248</v>
      </c>
      <c r="Z33" s="777">
        <f t="shared" si="39"/>
        <v>192</v>
      </c>
      <c r="AA33" s="775">
        <f t="shared" si="39"/>
        <v>207</v>
      </c>
      <c r="AO33" s="1054">
        <v>43119</v>
      </c>
      <c r="AP33" s="13">
        <f t="shared" si="10"/>
        <v>3</v>
      </c>
      <c r="AQ33" s="13">
        <f t="shared" si="11"/>
        <v>2</v>
      </c>
      <c r="AR33" s="173">
        <f t="shared" si="12"/>
        <v>43136</v>
      </c>
      <c r="AS33" s="752">
        <f t="shared" si="13"/>
        <v>0.6071428571428571</v>
      </c>
      <c r="AT33" s="768">
        <f t="shared" si="14"/>
        <v>23.042569820157119</v>
      </c>
      <c r="AU33" s="13">
        <f t="shared" si="15"/>
        <v>1</v>
      </c>
      <c r="AV33" s="13">
        <f t="shared" si="16"/>
        <v>2</v>
      </c>
      <c r="AW33" s="173">
        <f t="shared" si="17"/>
        <v>43093</v>
      </c>
      <c r="AX33" s="752">
        <f t="shared" si="18"/>
        <v>0.89655172413793105</v>
      </c>
      <c r="AY33" s="768">
        <f t="shared" si="19"/>
        <v>23.068265938245016</v>
      </c>
      <c r="AZ33" s="745">
        <f t="shared" si="25"/>
        <v>23.055417879201066</v>
      </c>
      <c r="BA33" s="642">
        <f t="shared" si="20"/>
        <v>1.0266078889181824</v>
      </c>
      <c r="BC33" s="11">
        <v>43119</v>
      </c>
      <c r="BD33" s="290">
        <f>[2]!FeuilCaduc*(1-Persistant)+Persistant</f>
        <v>0.70051692539467914</v>
      </c>
      <c r="BE33" s="291">
        <f>[2]!CroissVégét</f>
        <v>1.5257359314074395E-3</v>
      </c>
      <c r="BF33" s="815">
        <f>1+[2]!Salcycl*Ksac</f>
        <v>1.0000861542324466</v>
      </c>
      <c r="BH33" s="1052">
        <f t="shared" si="21"/>
        <v>1.3919655867762417E-2</v>
      </c>
      <c r="BI33" s="11">
        <v>44215</v>
      </c>
      <c r="BJ33" s="725">
        <v>6.7900503943730704E-3</v>
      </c>
      <c r="BK33" s="725">
        <v>8.5892491138328149E-3</v>
      </c>
      <c r="BL33" s="725">
        <v>1.0576837079679956E-2</v>
      </c>
      <c r="BM33" s="725">
        <v>1.288663811152015E-2</v>
      </c>
      <c r="BN33" s="725">
        <v>1.5473774473492756E-2</v>
      </c>
      <c r="BO33" s="726">
        <v>1.9091465006596108E-2</v>
      </c>
      <c r="BP33" s="725">
        <v>2.4247487828423862E-2</v>
      </c>
      <c r="BQ33" s="725">
        <v>3.1521749263653746E-2</v>
      </c>
      <c r="BR33" s="725">
        <v>4.2076146255255062E-2</v>
      </c>
      <c r="BS33" s="725">
        <v>5.7271755043724344E-2</v>
      </c>
      <c r="BT33" s="725">
        <v>7.6326736386176403E-2</v>
      </c>
      <c r="BW33" s="1189">
        <f>'2018'!R\Max</f>
        <v>0</v>
      </c>
      <c r="BX33" s="1187">
        <f>'2019'!R\Max</f>
        <v>0.69708324187239801</v>
      </c>
      <c r="BY33" s="1187">
        <f>'2020'!R\Max</f>
        <v>1.0266078889181824</v>
      </c>
      <c r="BZ33" s="1187">
        <f>'2021'!R\Max</f>
        <v>1.0042804605490783</v>
      </c>
      <c r="CA33" s="1187">
        <f>'2022'!R\Max</f>
        <v>0.43249179855091868</v>
      </c>
      <c r="CB33" s="1187">
        <f>'2023'!R\Max</f>
        <v>0.43235307327711103</v>
      </c>
      <c r="CC33" s="1187">
        <f>'2024'!R\Max</f>
        <v>0.43221431683564643</v>
      </c>
      <c r="CD33" s="1187">
        <f>'2025'!R\Max</f>
        <v>0.43204704445181979</v>
      </c>
      <c r="CE33" s="1187">
        <f>'2026'!R\Max</f>
        <v>0.43277337067571087</v>
      </c>
      <c r="CF33" s="1188">
        <f>'2027'!R\Max</f>
        <v>0.43269131278852996</v>
      </c>
    </row>
    <row r="34" spans="1:84" s="6" customFormat="1" ht="11.25" x14ac:dyDescent="0.2">
      <c r="A34" s="11">
        <v>43120</v>
      </c>
      <c r="B34" s="380">
        <f>'2022'!Maxi_hp</f>
        <v>11.506630779358042</v>
      </c>
      <c r="C34" s="13">
        <f>'2022'!An_max</f>
        <v>2020</v>
      </c>
      <c r="D34" s="1061"/>
      <c r="E34" s="13"/>
      <c r="F34" s="13">
        <f t="shared" si="22"/>
        <v>3</v>
      </c>
      <c r="G34" s="13">
        <f t="shared" si="23"/>
        <v>2</v>
      </c>
      <c r="H34" s="173">
        <f t="shared" si="7"/>
        <v>43122</v>
      </c>
      <c r="I34" s="752">
        <f t="shared" si="8"/>
        <v>0.14285714285714285</v>
      </c>
      <c r="J34" s="745">
        <f t="shared" si="26"/>
        <v>23.273777017635958</v>
      </c>
      <c r="L34" s="754" t="s">
        <v>214</v>
      </c>
      <c r="M34" s="781">
        <f t="shared" ref="M34:AA34" si="40">N28</f>
        <v>43108</v>
      </c>
      <c r="N34" s="737">
        <f t="shared" si="40"/>
        <v>43136</v>
      </c>
      <c r="O34" s="737">
        <f t="shared" si="40"/>
        <v>43164</v>
      </c>
      <c r="P34" s="737">
        <f t="shared" si="40"/>
        <v>43192</v>
      </c>
      <c r="Q34" s="737">
        <f t="shared" si="40"/>
        <v>43220</v>
      </c>
      <c r="R34" s="737">
        <f t="shared" si="40"/>
        <v>43248</v>
      </c>
      <c r="S34" s="737">
        <f t="shared" si="40"/>
        <v>43276</v>
      </c>
      <c r="T34" s="737">
        <f t="shared" si="40"/>
        <v>43304</v>
      </c>
      <c r="U34" s="737">
        <f t="shared" si="40"/>
        <v>43332</v>
      </c>
      <c r="V34" s="737">
        <f t="shared" si="40"/>
        <v>43360</v>
      </c>
      <c r="W34" s="737">
        <f t="shared" si="40"/>
        <v>43388</v>
      </c>
      <c r="X34" s="737">
        <f t="shared" si="40"/>
        <v>43416</v>
      </c>
      <c r="Y34" s="737">
        <f t="shared" si="40"/>
        <v>43444</v>
      </c>
      <c r="Z34" s="787">
        <f t="shared" si="40"/>
        <v>43473</v>
      </c>
      <c r="AA34" s="785">
        <f t="shared" si="40"/>
        <v>43501</v>
      </c>
      <c r="AO34" s="1054">
        <v>43120</v>
      </c>
      <c r="AP34" s="13">
        <f t="shared" si="10"/>
        <v>3</v>
      </c>
      <c r="AQ34" s="13">
        <f t="shared" si="11"/>
        <v>2</v>
      </c>
      <c r="AR34" s="173">
        <f t="shared" si="12"/>
        <v>43136</v>
      </c>
      <c r="AS34" s="752">
        <f t="shared" si="13"/>
        <v>0.5714285714285714</v>
      </c>
      <c r="AT34" s="768">
        <f t="shared" si="14"/>
        <v>23.304101210832595</v>
      </c>
      <c r="AU34" s="13">
        <f t="shared" si="15"/>
        <v>1</v>
      </c>
      <c r="AV34" s="13">
        <f t="shared" si="16"/>
        <v>2</v>
      </c>
      <c r="AW34" s="173">
        <f t="shared" si="17"/>
        <v>43093</v>
      </c>
      <c r="AX34" s="752">
        <f t="shared" si="18"/>
        <v>0.93103448275862066</v>
      </c>
      <c r="AY34" s="768">
        <f t="shared" si="19"/>
        <v>23.306389189408769</v>
      </c>
      <c r="AZ34" s="745">
        <f t="shared" si="25"/>
        <v>23.30524520012068</v>
      </c>
      <c r="BA34" s="642">
        <f t="shared" si="20"/>
        <v>0.49440324063596414</v>
      </c>
      <c r="BC34" s="11">
        <v>43120</v>
      </c>
      <c r="BD34" s="290">
        <f>[2]!FeuilCaduc*(1-Persistant)+Persistant</f>
        <v>0.70042600079527495</v>
      </c>
      <c r="BE34" s="291">
        <f>[2]!CroissVégét</f>
        <v>1.6477858914927391E-3</v>
      </c>
      <c r="BF34" s="815">
        <f>1+[2]!Salcycl*Ksac</f>
        <v>1.0000710001325459</v>
      </c>
      <c r="BH34" s="1052">
        <f t="shared" si="21"/>
        <v>1.4596593901321854E-2</v>
      </c>
      <c r="BI34" s="11">
        <v>44216</v>
      </c>
      <c r="BJ34" s="725">
        <v>6.9999737021014764E-3</v>
      </c>
      <c r="BK34" s="725">
        <v>8.9282243270504061E-3</v>
      </c>
      <c r="BL34" s="725">
        <v>1.1045818624211392E-2</v>
      </c>
      <c r="BM34" s="725">
        <v>1.351305973720251E-2</v>
      </c>
      <c r="BN34" s="725">
        <v>1.6226711674445032E-2</v>
      </c>
      <c r="BO34" s="726">
        <v>1.9966827870373356E-2</v>
      </c>
      <c r="BP34" s="725">
        <v>2.5201618302502046E-2</v>
      </c>
      <c r="BQ34" s="725">
        <v>3.2516308241986341E-2</v>
      </c>
      <c r="BR34" s="725">
        <v>4.3003521171417786E-2</v>
      </c>
      <c r="BS34" s="725">
        <v>5.794894059362321E-2</v>
      </c>
      <c r="BT34" s="725">
        <v>7.6596120146346008E-2</v>
      </c>
      <c r="BW34" s="1189">
        <f>'2018'!R\Max</f>
        <v>0</v>
      </c>
      <c r="BX34" s="1187">
        <f>'2019'!R\Max</f>
        <v>0.32297041157781675</v>
      </c>
      <c r="BY34" s="1187">
        <f>'2020'!R\Max</f>
        <v>0.49440324063596414</v>
      </c>
      <c r="BZ34" s="1187">
        <f>'2021'!R\Max</f>
        <v>0.27953082924319833</v>
      </c>
      <c r="CA34" s="1187">
        <f>'2022'!R\Max</f>
        <v>0.31222032166087121</v>
      </c>
      <c r="CB34" s="1187">
        <f>'2023'!R\Max</f>
        <v>0.31209846540933006</v>
      </c>
      <c r="CC34" s="1187">
        <f>'2024'!R\Max</f>
        <v>0.31197660298008972</v>
      </c>
      <c r="CD34" s="1187">
        <f>'2025'!R\Max</f>
        <v>0.31183053513623471</v>
      </c>
      <c r="CE34" s="1187">
        <f>'2026'!R\Max</f>
        <v>0.31247272114613628</v>
      </c>
      <c r="CF34" s="1188">
        <f>'2027'!R\Max</f>
        <v>0.31239880211747845</v>
      </c>
    </row>
    <row r="35" spans="1:84" s="6" customFormat="1" ht="11.25" x14ac:dyDescent="0.2">
      <c r="A35" s="11">
        <v>43121</v>
      </c>
      <c r="B35" s="380">
        <f>'2022'!Maxi_hp</f>
        <v>19.738178741287463</v>
      </c>
      <c r="C35" s="13">
        <f>'2022'!An_max</f>
        <v>2022</v>
      </c>
      <c r="D35" s="1061"/>
      <c r="E35" s="13"/>
      <c r="F35" s="13">
        <f t="shared" si="22"/>
        <v>3</v>
      </c>
      <c r="G35" s="13">
        <f t="shared" si="23"/>
        <v>2</v>
      </c>
      <c r="H35" s="173">
        <f t="shared" si="7"/>
        <v>43122</v>
      </c>
      <c r="I35" s="752">
        <f t="shared" si="8"/>
        <v>7.1428571428571425E-2</v>
      </c>
      <c r="J35" s="745">
        <f t="shared" si="26"/>
        <v>23.534437058972465</v>
      </c>
      <c r="L35" s="754" t="s">
        <v>215</v>
      </c>
      <c r="M35" s="782">
        <f t="shared" ref="M35:AA35" si="41">N29</f>
        <v>207</v>
      </c>
      <c r="N35" s="742">
        <f t="shared" si="41"/>
        <v>282</v>
      </c>
      <c r="O35" s="742">
        <f t="shared" si="41"/>
        <v>394</v>
      </c>
      <c r="P35" s="742">
        <f t="shared" si="41"/>
        <v>522</v>
      </c>
      <c r="Q35" s="742">
        <f t="shared" si="41"/>
        <v>609</v>
      </c>
      <c r="R35" s="742">
        <f t="shared" si="41"/>
        <v>641</v>
      </c>
      <c r="S35" s="742">
        <f t="shared" si="41"/>
        <v>637</v>
      </c>
      <c r="T35" s="742">
        <f t="shared" si="41"/>
        <v>610</v>
      </c>
      <c r="U35" s="742">
        <f t="shared" si="41"/>
        <v>553</v>
      </c>
      <c r="V35" s="742">
        <f t="shared" si="41"/>
        <v>460</v>
      </c>
      <c r="W35" s="742">
        <f t="shared" si="41"/>
        <v>345</v>
      </c>
      <c r="X35" s="742">
        <f t="shared" si="41"/>
        <v>248</v>
      </c>
      <c r="Y35" s="742">
        <f t="shared" si="41"/>
        <v>192</v>
      </c>
      <c r="Z35" s="788">
        <f t="shared" si="41"/>
        <v>207</v>
      </c>
      <c r="AA35" s="775">
        <f t="shared" si="41"/>
        <v>282</v>
      </c>
      <c r="AO35" s="1054">
        <v>43121</v>
      </c>
      <c r="AP35" s="13">
        <f t="shared" si="10"/>
        <v>3</v>
      </c>
      <c r="AQ35" s="13">
        <f t="shared" si="11"/>
        <v>2</v>
      </c>
      <c r="AR35" s="173">
        <f t="shared" si="12"/>
        <v>43136</v>
      </c>
      <c r="AS35" s="752">
        <f t="shared" si="13"/>
        <v>0.5357142857142857</v>
      </c>
      <c r="AT35" s="768">
        <f t="shared" si="14"/>
        <v>23.572397865275185</v>
      </c>
      <c r="AU35" s="13">
        <f t="shared" si="15"/>
        <v>1</v>
      </c>
      <c r="AV35" s="13">
        <f t="shared" si="16"/>
        <v>2</v>
      </c>
      <c r="AW35" s="173">
        <f t="shared" si="17"/>
        <v>43093</v>
      </c>
      <c r="AX35" s="752">
        <f t="shared" si="18"/>
        <v>0.96551724137931039</v>
      </c>
      <c r="AY35" s="768">
        <f t="shared" si="19"/>
        <v>23.550338986310468</v>
      </c>
      <c r="AZ35" s="745">
        <f t="shared" si="25"/>
        <v>23.561368425792828</v>
      </c>
      <c r="BA35" s="642">
        <f t="shared" si="20"/>
        <v>0.83869347254101045</v>
      </c>
      <c r="BC35" s="11">
        <v>43121</v>
      </c>
      <c r="BD35" s="290">
        <f>[2]!FeuilCaduc*(1-Persistant)+Persistant</f>
        <v>0.70034328628559817</v>
      </c>
      <c r="BE35" s="291">
        <f>[2]!CroissVégét</f>
        <v>1.7749243659651206E-3</v>
      </c>
      <c r="BF35" s="815">
        <f>1+[2]!Salcycl*Ksac</f>
        <v>1.000057214380933</v>
      </c>
      <c r="BH35" s="1052">
        <f t="shared" si="21"/>
        <v>1.530390784960925E-2</v>
      </c>
      <c r="BI35" s="11">
        <v>44217</v>
      </c>
      <c r="BJ35" s="725">
        <v>7.2032948934790328E-3</v>
      </c>
      <c r="BK35" s="725">
        <v>9.2692639227607981E-3</v>
      </c>
      <c r="BL35" s="725">
        <v>1.1525804637720053E-2</v>
      </c>
      <c r="BM35" s="725">
        <v>1.4165206908207439E-2</v>
      </c>
      <c r="BN35" s="725">
        <v>1.7017021016059192E-2</v>
      </c>
      <c r="BO35" s="726">
        <v>2.0889349324016988E-2</v>
      </c>
      <c r="BP35" s="725">
        <v>2.6205921575019334E-2</v>
      </c>
      <c r="BQ35" s="725">
        <v>3.356794013790193E-2</v>
      </c>
      <c r="BR35" s="725">
        <v>4.399353689882584E-2</v>
      </c>
      <c r="BS35" s="725">
        <v>5.8696760544983739E-2</v>
      </c>
      <c r="BT35" s="725">
        <v>7.6942504219137967E-2</v>
      </c>
      <c r="BW35" s="1189">
        <f>'2018'!R\Max</f>
        <v>0</v>
      </c>
      <c r="BX35" s="1187">
        <f>'2019'!R\Max</f>
        <v>0.26582672058490781</v>
      </c>
      <c r="BY35" s="1187">
        <f>'2020'!R\Max</f>
        <v>0.15441170950736585</v>
      </c>
      <c r="BZ35" s="1187">
        <f>'2021'!R\Max</f>
        <v>0.52039789282057236</v>
      </c>
      <c r="CA35" s="1187">
        <f>'2022'!R\Max</f>
        <v>0.83869347254101045</v>
      </c>
      <c r="CB35" s="1187">
        <f>'2023'!R\Max</f>
        <v>0.83861634845720412</v>
      </c>
      <c r="CC35" s="1187">
        <f>'2024'!R\Max</f>
        <v>0.83853917694894475</v>
      </c>
      <c r="CD35" s="1187">
        <f>'2025'!R\Max</f>
        <v>0.83844709833281683</v>
      </c>
      <c r="CE35" s="1187">
        <f>'2026'!R\Max</f>
        <v>0.83885650209743257</v>
      </c>
      <c r="CF35" s="1188">
        <f>'2027'!R\Max</f>
        <v>0.83880853848184411</v>
      </c>
    </row>
    <row r="36" spans="1:84" s="6" customFormat="1" ht="11.25" x14ac:dyDescent="0.2">
      <c r="A36" s="11">
        <v>43122</v>
      </c>
      <c r="B36" s="380">
        <f>'2022'!Maxi_hp</f>
        <v>23.719809070516359</v>
      </c>
      <c r="C36" s="13">
        <f>'2022'!An_max</f>
        <v>2022</v>
      </c>
      <c r="D36" s="1061"/>
      <c r="E36" s="1056">
        <f>O$13/10</f>
        <v>23.8</v>
      </c>
      <c r="F36" s="13">
        <f t="shared" si="22"/>
        <v>3</v>
      </c>
      <c r="G36" s="13">
        <f t="shared" si="23"/>
        <v>4</v>
      </c>
      <c r="H36" s="173">
        <f t="shared" si="7"/>
        <v>43122</v>
      </c>
      <c r="I36" s="752">
        <f t="shared" si="8"/>
        <v>0</v>
      </c>
      <c r="J36" s="745">
        <f t="shared" si="26"/>
        <v>23.8</v>
      </c>
      <c r="L36" s="755" t="s">
        <v>216</v>
      </c>
      <c r="M36" s="739">
        <f t="shared" ref="M36:AA36" si="42">x.1lg*x.1lg-x.2lg*x.2lg</f>
        <v>-2411640</v>
      </c>
      <c r="N36" s="739">
        <f t="shared" si="42"/>
        <v>-2499423</v>
      </c>
      <c r="O36" s="739">
        <f t="shared" si="42"/>
        <v>-2414832</v>
      </c>
      <c r="P36" s="739">
        <f t="shared" si="42"/>
        <v>-2416400</v>
      </c>
      <c r="Q36" s="739">
        <f t="shared" si="42"/>
        <v>-2417968</v>
      </c>
      <c r="R36" s="739">
        <f t="shared" si="42"/>
        <v>-2419536</v>
      </c>
      <c r="S36" s="739">
        <f t="shared" si="42"/>
        <v>-2421104</v>
      </c>
      <c r="T36" s="739">
        <f t="shared" si="42"/>
        <v>-2422672</v>
      </c>
      <c r="U36" s="739">
        <f t="shared" si="42"/>
        <v>-2424240</v>
      </c>
      <c r="V36" s="739">
        <f t="shared" si="42"/>
        <v>-2425808</v>
      </c>
      <c r="W36" s="739">
        <f t="shared" si="42"/>
        <v>-2427376</v>
      </c>
      <c r="X36" s="739">
        <f t="shared" si="42"/>
        <v>-2428944</v>
      </c>
      <c r="Y36" s="739">
        <f t="shared" si="42"/>
        <v>-2430512</v>
      </c>
      <c r="Z36" s="739">
        <f t="shared" si="42"/>
        <v>-2432080</v>
      </c>
      <c r="AA36" s="739">
        <f t="shared" si="42"/>
        <v>-2520593</v>
      </c>
      <c r="AO36" s="1054">
        <v>43122</v>
      </c>
      <c r="AP36" s="13">
        <f t="shared" si="10"/>
        <v>3</v>
      </c>
      <c r="AQ36" s="13">
        <f t="shared" si="11"/>
        <v>2</v>
      </c>
      <c r="AR36" s="173">
        <f t="shared" si="12"/>
        <v>43136</v>
      </c>
      <c r="AS36" s="752">
        <f t="shared" si="13"/>
        <v>0.5</v>
      </c>
      <c r="AT36" s="768">
        <f t="shared" si="14"/>
        <v>23.84715290442109</v>
      </c>
      <c r="AU36" s="13">
        <f t="shared" si="15"/>
        <v>3</v>
      </c>
      <c r="AV36" s="13">
        <f t="shared" si="16"/>
        <v>2</v>
      </c>
      <c r="AW36" s="173">
        <f t="shared" si="17"/>
        <v>43150</v>
      </c>
      <c r="AX36" s="752">
        <f t="shared" si="18"/>
        <v>1</v>
      </c>
      <c r="AY36" s="768">
        <f t="shared" si="19"/>
        <v>23.8</v>
      </c>
      <c r="AZ36" s="745">
        <f t="shared" si="25"/>
        <v>23.823576452210546</v>
      </c>
      <c r="BA36" s="642">
        <f t="shared" si="20"/>
        <v>0.99663063321497303</v>
      </c>
      <c r="BC36" s="11">
        <v>43122</v>
      </c>
      <c r="BD36" s="290">
        <f>[2]!FeuilCaduc*(1-Persistant)+Persistant</f>
        <v>0.70026906124103194</v>
      </c>
      <c r="BE36" s="291">
        <f>[2]!CroissVégét</f>
        <v>1.9073621235293117E-3</v>
      </c>
      <c r="BF36" s="815">
        <f>1+[2]!Salcycl*Ksac</f>
        <v>1.0000448435401721</v>
      </c>
      <c r="BH36" s="1052">
        <f t="shared" si="21"/>
        <v>1.6041578192747048E-2</v>
      </c>
      <c r="BI36" s="11">
        <v>44218</v>
      </c>
      <c r="BJ36" s="725">
        <v>7.4000042069565083E-3</v>
      </c>
      <c r="BK36" s="725">
        <v>9.612354559565349E-3</v>
      </c>
      <c r="BL36" s="725">
        <v>1.2016778485803181E-2</v>
      </c>
      <c r="BM36" s="725">
        <v>1.4843060547145301E-2</v>
      </c>
      <c r="BN36" s="725">
        <v>1.7844682312758871E-2</v>
      </c>
      <c r="BO36" s="726">
        <v>2.1859008896321589E-2</v>
      </c>
      <c r="BP36" s="725">
        <v>2.7260379195588144E-2</v>
      </c>
      <c r="BQ36" s="725">
        <v>3.4676635741033024E-2</v>
      </c>
      <c r="BR36" s="725">
        <v>4.5046205081920317E-2</v>
      </c>
      <c r="BS36" s="725">
        <v>5.951526796329544E-2</v>
      </c>
      <c r="BT36" s="725">
        <v>7.7365999034793756E-2</v>
      </c>
      <c r="BW36" s="1189">
        <f>'2018'!R\Max</f>
        <v>0</v>
      </c>
      <c r="BX36" s="1187">
        <f>'2019'!R\Max</f>
        <v>0.40972185837786212</v>
      </c>
      <c r="BY36" s="1187">
        <f>'2020'!R\Max</f>
        <v>5.0411999845252901E-2</v>
      </c>
      <c r="BZ36" s="1187">
        <f>'2021'!R\Max</f>
        <v>0.28229381662787223</v>
      </c>
      <c r="CA36" s="1187">
        <f>'2022'!R\Max</f>
        <v>0.99663063321497303</v>
      </c>
      <c r="CB36" s="1187">
        <f>'2023'!R\Max</f>
        <v>0.99662871004296283</v>
      </c>
      <c r="CC36" s="1187">
        <f>'2024'!R\Max</f>
        <v>0.99662678533505866</v>
      </c>
      <c r="CD36" s="1187">
        <f>'2025'!R\Max</f>
        <v>0.99662449954858778</v>
      </c>
      <c r="CE36" s="1187">
        <f>'2026'!R\Max</f>
        <v>0.99663478913730308</v>
      </c>
      <c r="CF36" s="1188">
        <f>'2027'!R\Max</f>
        <v>0.99663356038607209</v>
      </c>
    </row>
    <row r="37" spans="1:84" s="6" customFormat="1" ht="11.25" x14ac:dyDescent="0.2">
      <c r="A37" s="11">
        <v>43123</v>
      </c>
      <c r="B37" s="380">
        <f>'2022'!Maxi_hp</f>
        <v>23.972086810605997</v>
      </c>
      <c r="C37" s="13">
        <f>'2022'!An_max</f>
        <v>2022</v>
      </c>
      <c r="D37" s="1061"/>
      <c r="E37" s="13"/>
      <c r="F37" s="13">
        <f t="shared" si="22"/>
        <v>3</v>
      </c>
      <c r="G37" s="13">
        <f t="shared" si="23"/>
        <v>4</v>
      </c>
      <c r="H37" s="173">
        <f t="shared" si="7"/>
        <v>43122</v>
      </c>
      <c r="I37" s="752">
        <f t="shared" si="8"/>
        <v>7.1428571428571425E-2</v>
      </c>
      <c r="J37" s="745">
        <f>((1-I37)*(INDEX(a.m,F37)*$A37*$A37+INDEX(b.m,F37)*$A37+INDEX(c.m,F37))+I37*(INDEX(a.m,G37)*$A37*$A37+INDEX(b.m,G37)*$A37+INDEX(c.m,G37)))/10</f>
        <v>24.072120992200716</v>
      </c>
      <c r="L37" s="755" t="s">
        <v>217</v>
      </c>
      <c r="M37" s="739">
        <f t="shared" ref="M37:AA37" si="43">x.2lg*x.2lg-x.3lg*x.3lg</f>
        <v>-2499423</v>
      </c>
      <c r="N37" s="739">
        <f t="shared" si="43"/>
        <v>-2414832</v>
      </c>
      <c r="O37" s="739">
        <f t="shared" si="43"/>
        <v>-2416400</v>
      </c>
      <c r="P37" s="739">
        <f t="shared" si="43"/>
        <v>-2417968</v>
      </c>
      <c r="Q37" s="739">
        <f t="shared" si="43"/>
        <v>-2419536</v>
      </c>
      <c r="R37" s="739">
        <f t="shared" si="43"/>
        <v>-2421104</v>
      </c>
      <c r="S37" s="739">
        <f t="shared" si="43"/>
        <v>-2422672</v>
      </c>
      <c r="T37" s="739">
        <f t="shared" si="43"/>
        <v>-2424240</v>
      </c>
      <c r="U37" s="739">
        <f t="shared" si="43"/>
        <v>-2425808</v>
      </c>
      <c r="V37" s="739">
        <f t="shared" si="43"/>
        <v>-2427376</v>
      </c>
      <c r="W37" s="739">
        <f t="shared" si="43"/>
        <v>-2428944</v>
      </c>
      <c r="X37" s="739">
        <f t="shared" si="43"/>
        <v>-2430512</v>
      </c>
      <c r="Y37" s="739">
        <f t="shared" si="43"/>
        <v>-2432080</v>
      </c>
      <c r="Z37" s="739">
        <f t="shared" si="43"/>
        <v>-2520593</v>
      </c>
      <c r="AA37" s="739">
        <f t="shared" si="43"/>
        <v>-2435272</v>
      </c>
      <c r="AO37" s="1054">
        <v>43123</v>
      </c>
      <c r="AP37" s="13">
        <f t="shared" si="10"/>
        <v>3</v>
      </c>
      <c r="AQ37" s="13">
        <f t="shared" si="11"/>
        <v>2</v>
      </c>
      <c r="AR37" s="173">
        <f t="shared" si="12"/>
        <v>43136</v>
      </c>
      <c r="AS37" s="752">
        <f t="shared" si="13"/>
        <v>0.4642857142857143</v>
      </c>
      <c r="AT37" s="768">
        <f t="shared" si="14"/>
        <v>24.128059443565352</v>
      </c>
      <c r="AU37" s="13">
        <f t="shared" si="15"/>
        <v>3</v>
      </c>
      <c r="AV37" s="13">
        <f t="shared" si="16"/>
        <v>2</v>
      </c>
      <c r="AW37" s="173">
        <f t="shared" si="17"/>
        <v>43150</v>
      </c>
      <c r="AX37" s="752">
        <f t="shared" si="18"/>
        <v>0.9642857142857143</v>
      </c>
      <c r="AY37" s="768">
        <f t="shared" si="19"/>
        <v>24.057531639521144</v>
      </c>
      <c r="AZ37" s="745">
        <f t="shared" si="25"/>
        <v>24.092795541543246</v>
      </c>
      <c r="BA37" s="642">
        <f t="shared" si="20"/>
        <v>0.99584439685945703</v>
      </c>
      <c r="BC37" s="11">
        <v>43123</v>
      </c>
      <c r="BD37" s="290">
        <f>[2]!FeuilCaduc*(1-Persistant)+Persistant</f>
        <v>0.70020358634683444</v>
      </c>
      <c r="BE37" s="291">
        <f>[2]!CroissVégét</f>
        <v>2.045318545083899E-3</v>
      </c>
      <c r="BF37" s="815">
        <f>1+[2]!Salcycl*Ksac</f>
        <v>1.0000339310578057</v>
      </c>
      <c r="BH37" s="1052">
        <f t="shared" si="21"/>
        <v>1.6809584488438754E-2</v>
      </c>
      <c r="BI37" s="11">
        <v>44219</v>
      </c>
      <c r="BJ37" s="725">
        <v>7.5900938397712959E-3</v>
      </c>
      <c r="BK37" s="725">
        <v>9.957484277992E-3</v>
      </c>
      <c r="BL37" s="725">
        <v>1.2518724304549114E-2</v>
      </c>
      <c r="BM37" s="725">
        <v>1.5546601058677275E-2</v>
      </c>
      <c r="BN37" s="725">
        <v>1.8709673848046143E-2</v>
      </c>
      <c r="BO37" s="726">
        <v>2.2875783808724404E-2</v>
      </c>
      <c r="BP37" s="725">
        <v>2.8364970356085144E-2</v>
      </c>
      <c r="BQ37" s="725">
        <v>3.5842382682237953E-2</v>
      </c>
      <c r="BR37" s="725">
        <v>4.6161533034219368E-2</v>
      </c>
      <c r="BS37" s="725">
        <v>6.0404509123553711E-2</v>
      </c>
      <c r="BT37" s="725">
        <v>7.7866705188748886E-2</v>
      </c>
      <c r="BW37" s="1189">
        <f>'2018'!R\Max</f>
        <v>0</v>
      </c>
      <c r="BX37" s="1187">
        <f>'2019'!R\Max</f>
        <v>0.42025467402980421</v>
      </c>
      <c r="BY37" s="1187">
        <f>'2020'!R\Max</f>
        <v>0.56200842526310035</v>
      </c>
      <c r="BZ37" s="1187">
        <f>'2021'!R\Max</f>
        <v>0.35322264407079329</v>
      </c>
      <c r="CA37" s="1187">
        <f>'2022'!R\Max</f>
        <v>0.99584439685945703</v>
      </c>
      <c r="CB37" s="1187">
        <f>'2023'!R\Max</f>
        <v>0.9958420156582013</v>
      </c>
      <c r="CC37" s="1187">
        <f>'2024'!R\Max</f>
        <v>0.99583963254845098</v>
      </c>
      <c r="CD37" s="1187">
        <f>'2025'!R\Max</f>
        <v>0.99583681515409506</v>
      </c>
      <c r="CE37" s="1187">
        <f>'2026'!R\Max</f>
        <v>0.9958496631244933</v>
      </c>
      <c r="CF37" s="1188">
        <f>'2027'!R\Max</f>
        <v>0.99584809804952079</v>
      </c>
    </row>
    <row r="38" spans="1:84" s="6" customFormat="1" ht="11.25" x14ac:dyDescent="0.2">
      <c r="A38" s="11">
        <v>43124</v>
      </c>
      <c r="B38" s="380">
        <f>'2022'!Maxi_hp</f>
        <v>24.366089837944376</v>
      </c>
      <c r="C38" s="13">
        <f>'2022'!An_max</f>
        <v>2022</v>
      </c>
      <c r="D38" s="1061"/>
      <c r="E38" s="13"/>
      <c r="F38" s="13">
        <f t="shared" si="22"/>
        <v>3</v>
      </c>
      <c r="G38" s="13">
        <f t="shared" si="23"/>
        <v>4</v>
      </c>
      <c r="H38" s="173">
        <f t="shared" si="7"/>
        <v>43122</v>
      </c>
      <c r="I38" s="752">
        <f t="shared" si="8"/>
        <v>0.14285714285714285</v>
      </c>
      <c r="J38" s="745">
        <f t="shared" si="26"/>
        <v>24.352478133780615</v>
      </c>
      <c r="L38" s="755" t="s">
        <v>218</v>
      </c>
      <c r="M38" s="739">
        <f t="shared" ref="M38:AA38" si="44">(y.1lg-y.2lg-b.lg*(x.1lg-x.2lg))/D2x12Lg</f>
        <v>4.4162129461581393E-2</v>
      </c>
      <c r="N38" s="739">
        <f t="shared" si="44"/>
        <v>3.7918071039671652E-2</v>
      </c>
      <c r="O38" s="739">
        <f t="shared" si="44"/>
        <v>2.3596938775506747E-2</v>
      </c>
      <c r="P38" s="739">
        <f t="shared" si="44"/>
        <v>1.020408163265318E-2</v>
      </c>
      <c r="Q38" s="739">
        <f t="shared" si="44"/>
        <v>-2.6147959183676611E-2</v>
      </c>
      <c r="R38" s="739">
        <f t="shared" si="44"/>
        <v>-3.5076530612242501E-2</v>
      </c>
      <c r="S38" s="739">
        <f t="shared" si="44"/>
        <v>-2.2959183673469812E-2</v>
      </c>
      <c r="T38" s="739">
        <f t="shared" si="44"/>
        <v>-1.466836734693946E-2</v>
      </c>
      <c r="U38" s="739">
        <f t="shared" si="44"/>
        <v>-1.913265306122704E-2</v>
      </c>
      <c r="V38" s="739">
        <f t="shared" si="44"/>
        <v>-2.2959183673472761E-2</v>
      </c>
      <c r="W38" s="739">
        <f t="shared" si="44"/>
        <v>-1.4030612244898478E-2</v>
      </c>
      <c r="X38" s="739">
        <f t="shared" si="44"/>
        <v>1.147959183673658E-2</v>
      </c>
      <c r="Y38" s="739">
        <f t="shared" si="44"/>
        <v>2.6147959183671066E-2</v>
      </c>
      <c r="Z38" s="739">
        <f t="shared" si="44"/>
        <v>4.4162129461589483E-2</v>
      </c>
      <c r="AA38" s="739">
        <f t="shared" si="44"/>
        <v>3.7918071039664818E-2</v>
      </c>
      <c r="AO38" s="1054">
        <v>43124</v>
      </c>
      <c r="AP38" s="13">
        <f t="shared" si="10"/>
        <v>3</v>
      </c>
      <c r="AQ38" s="13">
        <f t="shared" si="11"/>
        <v>2</v>
      </c>
      <c r="AR38" s="173">
        <f t="shared" si="12"/>
        <v>43136</v>
      </c>
      <c r="AS38" s="752">
        <f t="shared" si="13"/>
        <v>0.42857142857142855</v>
      </c>
      <c r="AT38" s="768">
        <f t="shared" si="14"/>
        <v>24.414810602579799</v>
      </c>
      <c r="AU38" s="13">
        <f t="shared" si="15"/>
        <v>3</v>
      </c>
      <c r="AV38" s="13">
        <f t="shared" si="16"/>
        <v>2</v>
      </c>
      <c r="AW38" s="173">
        <f t="shared" si="17"/>
        <v>43150</v>
      </c>
      <c r="AX38" s="752">
        <f t="shared" si="18"/>
        <v>0.9285714285714286</v>
      </c>
      <c r="AY38" s="768">
        <f t="shared" si="19"/>
        <v>24.324918636147466</v>
      </c>
      <c r="AZ38" s="745">
        <f t="shared" si="25"/>
        <v>24.369864619363632</v>
      </c>
      <c r="BA38" s="642">
        <f t="shared" si="20"/>
        <v>1.0005589453397303</v>
      </c>
      <c r="BC38" s="11">
        <v>43124</v>
      </c>
      <c r="BD38" s="290">
        <f>[2]!FeuilCaduc*(1-Persistant)+Persistant</f>
        <v>0.70014709424206389</v>
      </c>
      <c r="BE38" s="291">
        <f>[2]!CroissVégét</f>
        <v>2.1890219655428525E-3</v>
      </c>
      <c r="BF38" s="815">
        <f>1+[2]!Salcycl*Ksac</f>
        <v>1.0000245157070107</v>
      </c>
      <c r="BH38" s="1052">
        <f t="shared" si="21"/>
        <v>1.7590493582213176E-2</v>
      </c>
      <c r="BI38" s="11">
        <v>44220</v>
      </c>
      <c r="BJ38" s="725">
        <v>7.7650936968277672E-3</v>
      </c>
      <c r="BK38" s="725">
        <v>1.028884127882617E-2</v>
      </c>
      <c r="BL38" s="725">
        <v>1.3011192675932835E-2</v>
      </c>
      <c r="BM38" s="725">
        <v>1.6254891772469113E-2</v>
      </c>
      <c r="BN38" s="725">
        <v>1.9599833315075973E-2</v>
      </c>
      <c r="BO38" s="726">
        <v>2.3936658139569768E-2</v>
      </c>
      <c r="BP38" s="725">
        <v>2.9531895353677635E-2</v>
      </c>
      <c r="BQ38" s="725">
        <v>3.708758696146322E-2</v>
      </c>
      <c r="BR38" s="725">
        <v>4.7373991410525979E-2</v>
      </c>
      <c r="BS38" s="725">
        <v>6.1407198040693056E-2</v>
      </c>
      <c r="BT38" s="725">
        <v>7.8500807930496019E-2</v>
      </c>
      <c r="BW38" s="1189">
        <f>'2018'!R\Max</f>
        <v>0</v>
      </c>
      <c r="BX38" s="1187">
        <f>'2019'!R\Max</f>
        <v>0.49043434415033893</v>
      </c>
      <c r="BY38" s="1187">
        <f>'2020'!R\Max</f>
        <v>0.66451334829137554</v>
      </c>
      <c r="BZ38" s="1187">
        <f>'2021'!R\Max</f>
        <v>0.59662689556741222</v>
      </c>
      <c r="CA38" s="1187">
        <f>'2022'!R\Max</f>
        <v>1.0005589453397303</v>
      </c>
      <c r="CB38" s="1187">
        <f>'2023'!R\Max</f>
        <v>1.0005589453397301</v>
      </c>
      <c r="CC38" s="1187">
        <f>'2024'!R\Max</f>
        <v>1.0005589453397306</v>
      </c>
      <c r="CD38" s="1187">
        <f>'2025'!R\Max</f>
        <v>1.0005589453397306</v>
      </c>
      <c r="CE38" s="1187">
        <f>'2026'!R\Max</f>
        <v>1.0005589453397303</v>
      </c>
      <c r="CF38" s="1188">
        <f>'2027'!R\Max</f>
        <v>1.0005589453397303</v>
      </c>
    </row>
    <row r="39" spans="1:84" s="6" customFormat="1" ht="11.25" x14ac:dyDescent="0.2">
      <c r="A39" s="11">
        <v>43125</v>
      </c>
      <c r="B39" s="380">
        <f>'2022'!Maxi_hp</f>
        <v>24.325688614436949</v>
      </c>
      <c r="C39" s="13">
        <f>'2022'!An_max</f>
        <v>2022</v>
      </c>
      <c r="D39" s="1061"/>
      <c r="E39" s="13"/>
      <c r="F39" s="13">
        <f t="shared" si="22"/>
        <v>3</v>
      </c>
      <c r="G39" s="13">
        <f t="shared" si="23"/>
        <v>4</v>
      </c>
      <c r="H39" s="173">
        <f t="shared" si="7"/>
        <v>43122</v>
      </c>
      <c r="I39" s="752">
        <f t="shared" si="8"/>
        <v>0.21428571428571427</v>
      </c>
      <c r="J39" s="745">
        <f t="shared" si="26"/>
        <v>24.640634110410296</v>
      </c>
      <c r="L39" s="755" t="s">
        <v>219</v>
      </c>
      <c r="M39" s="739">
        <f t="shared" ref="M39:AA39" si="45">(y.2lg-y.3lg-(y.1lg-y.2lg)*D2x23Lg/D2x12Lg)/(x.2lg-x.3lg)/(1-(x.2lg+x.3lg)/(x.1lg+x.2lg))</f>
        <v>-3805.6842105260052</v>
      </c>
      <c r="N39" s="739">
        <f t="shared" si="45"/>
        <v>-3267.5275473168704</v>
      </c>
      <c r="O39" s="739">
        <f t="shared" si="45"/>
        <v>-2032.4158163262325</v>
      </c>
      <c r="P39" s="739">
        <f t="shared" si="45"/>
        <v>-876.61224489796939</v>
      </c>
      <c r="Q39" s="739">
        <f t="shared" si="45"/>
        <v>2262.604591837006</v>
      </c>
      <c r="R39" s="739">
        <f t="shared" si="45"/>
        <v>3034.1403061222418</v>
      </c>
      <c r="S39" s="739">
        <f t="shared" si="45"/>
        <v>1986.3775510204448</v>
      </c>
      <c r="T39" s="739">
        <f t="shared" si="45"/>
        <v>1269.0229591837326</v>
      </c>
      <c r="U39" s="739">
        <f t="shared" si="45"/>
        <v>1655.5408163267514</v>
      </c>
      <c r="V39" s="739">
        <f t="shared" si="45"/>
        <v>1987.0561224492719</v>
      </c>
      <c r="W39" s="739">
        <f t="shared" si="45"/>
        <v>1213.0204081633103</v>
      </c>
      <c r="X39" s="739">
        <f t="shared" si="45"/>
        <v>-999.93877551036769</v>
      </c>
      <c r="Y39" s="739">
        <f t="shared" si="45"/>
        <v>-2273.2117346936689</v>
      </c>
      <c r="Z39" s="739">
        <f t="shared" si="45"/>
        <v>-3837.9225650336625</v>
      </c>
      <c r="AA39" s="739">
        <f t="shared" si="45"/>
        <v>-3295.2077391752364</v>
      </c>
      <c r="AO39" s="1054">
        <v>43125</v>
      </c>
      <c r="AP39" s="13">
        <f t="shared" si="10"/>
        <v>3</v>
      </c>
      <c r="AQ39" s="13">
        <f t="shared" si="11"/>
        <v>2</v>
      </c>
      <c r="AR39" s="173">
        <f t="shared" si="12"/>
        <v>43136</v>
      </c>
      <c r="AS39" s="752">
        <f t="shared" si="13"/>
        <v>0.39285714285714285</v>
      </c>
      <c r="AT39" s="768">
        <f t="shared" si="14"/>
        <v>24.707099498648731</v>
      </c>
      <c r="AU39" s="13">
        <f t="shared" si="15"/>
        <v>3</v>
      </c>
      <c r="AV39" s="13">
        <f t="shared" si="16"/>
        <v>2</v>
      </c>
      <c r="AW39" s="173">
        <f t="shared" si="17"/>
        <v>43150</v>
      </c>
      <c r="AX39" s="752">
        <f t="shared" si="18"/>
        <v>0.8928571428571429</v>
      </c>
      <c r="AY39" s="768">
        <f t="shared" si="19"/>
        <v>24.601783635573728</v>
      </c>
      <c r="AZ39" s="745">
        <f t="shared" si="25"/>
        <v>24.654441567111228</v>
      </c>
      <c r="BA39" s="642">
        <f t="shared" si="20"/>
        <v>0.98721845003817144</v>
      </c>
      <c r="BC39" s="11">
        <v>43125</v>
      </c>
      <c r="BD39" s="290">
        <f>[2]!FeuilCaduc*(1-Persistant)+Persistant</f>
        <v>0.70009978109927085</v>
      </c>
      <c r="BE39" s="291">
        <f>[2]!CroissVégét</f>
        <v>2.3387100283593187E-3</v>
      </c>
      <c r="BF39" s="815">
        <f>1+[2]!Salcycl*Ksac</f>
        <v>1.0000166301832119</v>
      </c>
      <c r="BH39" s="1052">
        <f t="shared" si="21"/>
        <v>1.8367351205555559E-2</v>
      </c>
      <c r="BI39" s="11">
        <v>44221</v>
      </c>
      <c r="BJ39" s="725">
        <v>7.9255223998758676E-3</v>
      </c>
      <c r="BK39" s="725">
        <v>1.0600591577384215E-2</v>
      </c>
      <c r="BL39" s="725">
        <v>1.3482798517004057E-2</v>
      </c>
      <c r="BM39" s="725">
        <v>1.6951732799654392E-2</v>
      </c>
      <c r="BN39" s="725">
        <v>2.0497071522492076E-2</v>
      </c>
      <c r="BO39" s="726">
        <v>2.5021950089650864E-2</v>
      </c>
      <c r="BP39" s="725">
        <v>3.0740394546100749E-2</v>
      </c>
      <c r="BQ39" s="725">
        <v>3.838690620894878E-2</v>
      </c>
      <c r="BR39" s="725">
        <v>4.8656631299143799E-2</v>
      </c>
      <c r="BS39" s="725">
        <v>6.2493642292676066E-2</v>
      </c>
      <c r="BT39" s="725">
        <v>7.9238572336699287E-2</v>
      </c>
      <c r="BW39" s="1189">
        <f>'2018'!R\Max</f>
        <v>0</v>
      </c>
      <c r="BX39" s="1187">
        <f>'2019'!R\Max</f>
        <v>0.22303177347374639</v>
      </c>
      <c r="BY39" s="1187">
        <f>'2020'!R\Max</f>
        <v>0.6053702143631583</v>
      </c>
      <c r="BZ39" s="1187">
        <f>'2021'!R\Max</f>
        <v>0.35048128279478785</v>
      </c>
      <c r="CA39" s="1187">
        <f>'2022'!R\Max</f>
        <v>0.98721845003817144</v>
      </c>
      <c r="CB39" s="1187">
        <f>'2023'!R\Max</f>
        <v>0.98721106154233929</v>
      </c>
      <c r="CC39" s="1187">
        <f>'2024'!R\Max</f>
        <v>0.98720366709481122</v>
      </c>
      <c r="CD39" s="1187">
        <f>'2025'!R\Max</f>
        <v>0.98719501711182134</v>
      </c>
      <c r="CE39" s="1187">
        <f>'2026'!R\Max</f>
        <v>0.98723556393135969</v>
      </c>
      <c r="CF39" s="1188">
        <f>'2027'!R\Max</f>
        <v>0.98723042315160447</v>
      </c>
    </row>
    <row r="40" spans="1:84" s="6" customFormat="1" ht="11.25" x14ac:dyDescent="0.2">
      <c r="A40" s="11">
        <v>43126</v>
      </c>
      <c r="B40" s="380">
        <f>'2022'!Maxi_hp</f>
        <v>24.474490380311327</v>
      </c>
      <c r="C40" s="13">
        <f>'2022'!An_max</f>
        <v>2022</v>
      </c>
      <c r="D40" s="1061"/>
      <c r="E40" s="13"/>
      <c r="F40" s="13">
        <f t="shared" si="22"/>
        <v>3</v>
      </c>
      <c r="G40" s="13">
        <f t="shared" si="23"/>
        <v>4</v>
      </c>
      <c r="H40" s="173">
        <f t="shared" si="7"/>
        <v>43122</v>
      </c>
      <c r="I40" s="752">
        <f t="shared" si="8"/>
        <v>0.2857142857142857</v>
      </c>
      <c r="J40" s="745">
        <f t="shared" si="26"/>
        <v>24.936151603290011</v>
      </c>
      <c r="L40" s="755" t="s">
        <v>220</v>
      </c>
      <c r="M40" s="739">
        <f t="shared" ref="M40:AA40" si="46">(y.1lg+y.2lg+y.3lg-a.lg*(x.3lg*x.3lg+x.2lg*x.2lg+x.1lg*x.1lg)-b.lg*(x.3lg+x.2lg+x.1lg))/3</f>
        <v>81989171.607373834</v>
      </c>
      <c r="N40" s="739">
        <f t="shared" si="46"/>
        <v>70393645.837185696</v>
      </c>
      <c r="O40" s="739">
        <f t="shared" si="46"/>
        <v>43763404.612238474</v>
      </c>
      <c r="P40" s="739">
        <f t="shared" si="46"/>
        <v>18826945.183673691</v>
      </c>
      <c r="Q40" s="739">
        <f t="shared" si="46"/>
        <v>-48945599.979597688</v>
      </c>
      <c r="R40" s="739">
        <f t="shared" si="46"/>
        <v>-65613084.265301645</v>
      </c>
      <c r="S40" s="739">
        <f t="shared" si="46"/>
        <v>-42963599.163266093</v>
      </c>
      <c r="T40" s="739">
        <f t="shared" si="46"/>
        <v>-27446503.612246182</v>
      </c>
      <c r="U40" s="739">
        <f t="shared" si="46"/>
        <v>-35812681.755106822</v>
      </c>
      <c r="V40" s="739">
        <f t="shared" si="46"/>
        <v>-42992971.020414494</v>
      </c>
      <c r="W40" s="739">
        <f t="shared" si="46"/>
        <v>-26217296.734694857</v>
      </c>
      <c r="X40" s="739">
        <f t="shared" si="46"/>
        <v>21775144.081636202</v>
      </c>
      <c r="Y40" s="739">
        <f t="shared" si="46"/>
        <v>49406437.693873018</v>
      </c>
      <c r="Z40" s="739">
        <f t="shared" si="46"/>
        <v>83384129.84392859</v>
      </c>
      <c r="AA40" s="739">
        <f t="shared" si="46"/>
        <v>71591345.026957676</v>
      </c>
      <c r="AB40" s="7"/>
      <c r="AC40" s="7"/>
      <c r="AD40" s="7"/>
      <c r="AE40" s="7"/>
      <c r="AF40" s="7"/>
      <c r="AH40" s="7"/>
      <c r="AI40" s="74"/>
      <c r="AO40" s="1054">
        <v>43126</v>
      </c>
      <c r="AP40" s="13">
        <f t="shared" si="10"/>
        <v>3</v>
      </c>
      <c r="AQ40" s="13">
        <f t="shared" si="11"/>
        <v>2</v>
      </c>
      <c r="AR40" s="173">
        <f t="shared" si="12"/>
        <v>43136</v>
      </c>
      <c r="AS40" s="752">
        <f t="shared" si="13"/>
        <v>0.35714285714285715</v>
      </c>
      <c r="AT40" s="768">
        <f t="shared" si="14"/>
        <v>25.004619252468856</v>
      </c>
      <c r="AU40" s="13">
        <f t="shared" si="15"/>
        <v>3</v>
      </c>
      <c r="AV40" s="13">
        <f t="shared" si="16"/>
        <v>2</v>
      </c>
      <c r="AW40" s="173">
        <f t="shared" si="17"/>
        <v>43150</v>
      </c>
      <c r="AX40" s="752">
        <f t="shared" si="18"/>
        <v>0.8571428571428571</v>
      </c>
      <c r="AY40" s="768">
        <f t="shared" si="19"/>
        <v>24.887749280727338</v>
      </c>
      <c r="AZ40" s="745">
        <f t="shared" si="25"/>
        <v>24.946184266598095</v>
      </c>
      <c r="BA40" s="642">
        <f t="shared" si="20"/>
        <v>0.98148626819714335</v>
      </c>
      <c r="BC40" s="11">
        <v>43126</v>
      </c>
      <c r="BD40" s="290">
        <f>[2]!FeuilCaduc*(1-Persistant)+Persistant</f>
        <v>0.70006179920743006</v>
      </c>
      <c r="BE40" s="291">
        <f>[2]!CroissVégét</f>
        <v>2.4946300531446561E-3</v>
      </c>
      <c r="BF40" s="815">
        <f>1+[2]!Salcycl*Ksac</f>
        <v>1.000010299867905</v>
      </c>
      <c r="BH40" s="1052">
        <f t="shared" si="21"/>
        <v>1.9140131651097746E-2</v>
      </c>
      <c r="BI40" s="11">
        <v>44222</v>
      </c>
      <c r="BJ40" s="725">
        <v>8.0713766902715377E-3</v>
      </c>
      <c r="BK40" s="725">
        <v>1.0892724794729932E-2</v>
      </c>
      <c r="BL40" s="725">
        <v>1.3933524931601894E-2</v>
      </c>
      <c r="BM40" s="725">
        <v>1.76370998848705E-2</v>
      </c>
      <c r="BN40" s="725">
        <v>2.1401360578463521E-2</v>
      </c>
      <c r="BO40" s="726">
        <v>2.6131629852661889E-2</v>
      </c>
      <c r="BP40" s="725">
        <v>3.1990441673923155E-2</v>
      </c>
      <c r="BQ40" s="725">
        <v>3.9740321078061705E-2</v>
      </c>
      <c r="BR40" s="725">
        <v>5.0009451011391579E-2</v>
      </c>
      <c r="BS40" s="725">
        <v>6.3663872842224717E-2</v>
      </c>
      <c r="BT40" s="725">
        <v>8.0080076544795445E-2</v>
      </c>
      <c r="BW40" s="1189">
        <f>'2018'!R\Max</f>
        <v>0</v>
      </c>
      <c r="BX40" s="1187">
        <f>'2019'!R\Max</f>
        <v>0.50579228784852548</v>
      </c>
      <c r="BY40" s="1187">
        <f>'2020'!R\Max</f>
        <v>0.28554811375634376</v>
      </c>
      <c r="BZ40" s="1187">
        <f>'2021'!R\Max</f>
        <v>0.6798467032910841</v>
      </c>
      <c r="CA40" s="1187">
        <f>'2022'!R\Max</f>
        <v>0.98148626819714335</v>
      </c>
      <c r="CB40" s="1187">
        <f>'2023'!R\Max</f>
        <v>0.98147549660306643</v>
      </c>
      <c r="CC40" s="1187">
        <f>'2024'!R\Max</f>
        <v>0.9814647162977318</v>
      </c>
      <c r="CD40" s="1187">
        <f>'2025'!R\Max</f>
        <v>0.98145218274379475</v>
      </c>
      <c r="CE40" s="1187">
        <f>'2026'!R\Max</f>
        <v>0.98151178425070806</v>
      </c>
      <c r="CF40" s="1188">
        <f>'2027'!R\Max</f>
        <v>0.98150407867644118</v>
      </c>
    </row>
    <row r="41" spans="1:84" s="6" customFormat="1" ht="11.25" x14ac:dyDescent="0.2">
      <c r="A41" s="11">
        <v>43127</v>
      </c>
      <c r="B41" s="380">
        <f>'2022'!Maxi_hp</f>
        <v>25.499505349293724</v>
      </c>
      <c r="C41" s="13">
        <f>'2022'!An_max</f>
        <v>2022</v>
      </c>
      <c r="D41" s="1061"/>
      <c r="E41" s="13"/>
      <c r="F41" s="13">
        <f t="shared" si="22"/>
        <v>3</v>
      </c>
      <c r="G41" s="13">
        <f t="shared" si="23"/>
        <v>4</v>
      </c>
      <c r="H41" s="173">
        <f t="shared" si="7"/>
        <v>43122</v>
      </c>
      <c r="I41" s="752">
        <f t="shared" si="8"/>
        <v>0.35714285714285715</v>
      </c>
      <c r="J41" s="745">
        <f t="shared" si="26"/>
        <v>25.238593293726446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4">
        <v>43127</v>
      </c>
      <c r="AP41" s="13">
        <f t="shared" si="10"/>
        <v>3</v>
      </c>
      <c r="AQ41" s="13">
        <f t="shared" si="11"/>
        <v>2</v>
      </c>
      <c r="AR41" s="173">
        <f t="shared" si="12"/>
        <v>43136</v>
      </c>
      <c r="AS41" s="752">
        <f t="shared" si="13"/>
        <v>0.32142857142857145</v>
      </c>
      <c r="AT41" s="768">
        <f t="shared" si="14"/>
        <v>25.307062981437362</v>
      </c>
      <c r="AU41" s="13">
        <f t="shared" si="15"/>
        <v>3</v>
      </c>
      <c r="AV41" s="13">
        <f t="shared" si="16"/>
        <v>2</v>
      </c>
      <c r="AW41" s="173">
        <f t="shared" si="17"/>
        <v>43150</v>
      </c>
      <c r="AX41" s="752">
        <f t="shared" si="18"/>
        <v>0.8214285714285714</v>
      </c>
      <c r="AY41" s="768">
        <f t="shared" si="19"/>
        <v>25.182438223024032</v>
      </c>
      <c r="AZ41" s="745">
        <f t="shared" si="25"/>
        <v>25.244750602230695</v>
      </c>
      <c r="BA41" s="642">
        <f t="shared" si="20"/>
        <v>1.0103378208337837</v>
      </c>
      <c r="BC41" s="11">
        <v>43127</v>
      </c>
      <c r="BD41" s="290">
        <f>[2]!FeuilCaduc*(1-Persistant)+Persistant</f>
        <v>0.70003325061365584</v>
      </c>
      <c r="BE41" s="291">
        <f>[2]!CroissVégét</f>
        <v>2.6570394167881404E-3</v>
      </c>
      <c r="BF41" s="815">
        <f>1+[2]!Salcycl*Ksac</f>
        <v>1.0000055417689426</v>
      </c>
      <c r="BH41" s="1052">
        <f t="shared" si="21"/>
        <v>1.9908813531890494E-2</v>
      </c>
      <c r="BI41" s="11">
        <v>44223</v>
      </c>
      <c r="BJ41" s="725">
        <v>8.2026557801148352E-3</v>
      </c>
      <c r="BK41" s="725">
        <v>1.1165234358392692E-2</v>
      </c>
      <c r="BL41" s="725">
        <v>1.4363359770443791E-2</v>
      </c>
      <c r="BM41" s="725">
        <v>1.8310973551684373E-2</v>
      </c>
      <c r="BN41" s="725">
        <v>2.2312676221774172E-2</v>
      </c>
      <c r="BO41" s="726">
        <v>2.7265670177558401E-2</v>
      </c>
      <c r="BP41" s="725">
        <v>3.3282011649596238E-2</v>
      </c>
      <c r="BQ41" s="725">
        <v>4.1147812376954439E-2</v>
      </c>
      <c r="BR41" s="725">
        <v>5.1432447040649157E-2</v>
      </c>
      <c r="BS41" s="725">
        <v>6.4917916238113771E-2</v>
      </c>
      <c r="BT41" s="725">
        <v>8.1025390174886983E-2</v>
      </c>
      <c r="BW41" s="1189">
        <f>'2018'!R\Max</f>
        <v>0</v>
      </c>
      <c r="BX41" s="1187">
        <f>'2019'!R\Max</f>
        <v>0.55424431422755527</v>
      </c>
      <c r="BY41" s="1187">
        <f>'2020'!R\Max</f>
        <v>0.43969818435491043</v>
      </c>
      <c r="BZ41" s="1187">
        <f>'2021'!R\Max</f>
        <v>0.23646070230093716</v>
      </c>
      <c r="CA41" s="1187">
        <f>'2022'!R\Max</f>
        <v>1.0103378208337837</v>
      </c>
      <c r="CB41" s="1187">
        <f>'2023'!R\Max</f>
        <v>1.0103378208337839</v>
      </c>
      <c r="CC41" s="1187">
        <f>'2024'!R\Max</f>
        <v>1.0103378208337839</v>
      </c>
      <c r="CD41" s="1187">
        <f>'2025'!R\Max</f>
        <v>1.0103378208337839</v>
      </c>
      <c r="CE41" s="1187">
        <f>'2026'!R\Max</f>
        <v>1.0103378208337839</v>
      </c>
      <c r="CF41" s="1188">
        <f>'2027'!R\Max</f>
        <v>1.0103378208337837</v>
      </c>
    </row>
    <row r="42" spans="1:84" s="6" customFormat="1" ht="11.25" x14ac:dyDescent="0.2">
      <c r="A42" s="11">
        <v>43128</v>
      </c>
      <c r="B42" s="380">
        <f>'2022'!Maxi_hp</f>
        <v>17.271645259588524</v>
      </c>
      <c r="C42" s="13">
        <f>'2022'!An_max</f>
        <v>2020</v>
      </c>
      <c r="D42" s="1061"/>
      <c r="E42" s="13"/>
      <c r="F42" s="13">
        <f t="shared" si="22"/>
        <v>3</v>
      </c>
      <c r="G42" s="13">
        <f t="shared" si="23"/>
        <v>4</v>
      </c>
      <c r="H42" s="173">
        <f t="shared" si="7"/>
        <v>43122</v>
      </c>
      <c r="I42" s="752">
        <f t="shared" si="8"/>
        <v>0.42857142857142855</v>
      </c>
      <c r="J42" s="745">
        <f t="shared" si="26"/>
        <v>25.54752186621938</v>
      </c>
      <c r="M42" s="6" t="s">
        <v>230</v>
      </c>
      <c r="AC42" s="7"/>
      <c r="AD42" s="7"/>
      <c r="AE42" s="7"/>
      <c r="AF42" s="7"/>
      <c r="AH42" s="7"/>
      <c r="AI42" s="74"/>
      <c r="AO42" s="1054">
        <v>43128</v>
      </c>
      <c r="AP42" s="13">
        <f t="shared" si="10"/>
        <v>3</v>
      </c>
      <c r="AQ42" s="13">
        <f t="shared" si="11"/>
        <v>2</v>
      </c>
      <c r="AR42" s="173">
        <f t="shared" si="12"/>
        <v>43136</v>
      </c>
      <c r="AS42" s="752">
        <f t="shared" si="13"/>
        <v>0.2857142857142857</v>
      </c>
      <c r="AT42" s="768">
        <f t="shared" si="14"/>
        <v>25.614123802738533</v>
      </c>
      <c r="AU42" s="13">
        <f t="shared" si="15"/>
        <v>3</v>
      </c>
      <c r="AV42" s="13">
        <f t="shared" si="16"/>
        <v>2</v>
      </c>
      <c r="AW42" s="173">
        <f t="shared" si="17"/>
        <v>43150</v>
      </c>
      <c r="AX42" s="752">
        <f t="shared" si="18"/>
        <v>0.7857142857142857</v>
      </c>
      <c r="AY42" s="768">
        <f t="shared" si="19"/>
        <v>25.485473105763752</v>
      </c>
      <c r="AZ42" s="745">
        <f t="shared" si="25"/>
        <v>25.549798454251142</v>
      </c>
      <c r="BA42" s="642">
        <f t="shared" si="20"/>
        <v>0.67605951567561762</v>
      </c>
      <c r="BC42" s="11">
        <v>43128</v>
      </c>
      <c r="BD42" s="290">
        <f>[2]!FeuilCaduc*(1-Persistant)+Persistant</f>
        <v>0.70001418186701014</v>
      </c>
      <c r="BE42" s="291">
        <f>[2]!CroissVégét</f>
        <v>2.826205948480045E-3</v>
      </c>
      <c r="BF42" s="815">
        <f>1+[2]!Salcycl*Ksac</f>
        <v>1.0000023636445017</v>
      </c>
      <c r="BH42" s="1052">
        <f t="shared" si="21"/>
        <v>2.0673379733477243E-2</v>
      </c>
      <c r="BI42" s="11">
        <v>44224</v>
      </c>
      <c r="BJ42" s="725">
        <v>8.3193611716477541E-3</v>
      </c>
      <c r="BK42" s="725">
        <v>1.1418117259102309E-2</v>
      </c>
      <c r="BL42" s="725">
        <v>1.4772295372493444E-2</v>
      </c>
      <c r="BM42" s="725">
        <v>1.8973338961991406E-2</v>
      </c>
      <c r="BN42" s="725">
        <v>2.323099791332069E-2</v>
      </c>
      <c r="BO42" s="726">
        <v>2.8424046677556564E-2</v>
      </c>
      <c r="BP42" s="725">
        <v>3.461508108213375E-2</v>
      </c>
      <c r="BQ42" s="725">
        <v>4.2609361751770242E-2</v>
      </c>
      <c r="BR42" s="725">
        <v>5.2925614949101162E-2</v>
      </c>
      <c r="BS42" s="725">
        <v>6.6255795675618734E-2</v>
      </c>
      <c r="BT42" s="725">
        <v>8.2074575644185646E-2</v>
      </c>
      <c r="BW42" s="1189">
        <f>'2018'!R\Max</f>
        <v>0</v>
      </c>
      <c r="BX42" s="1187">
        <f>'2019'!R\Max</f>
        <v>0.48097301902012407</v>
      </c>
      <c r="BY42" s="1187">
        <f>'2020'!R\Max</f>
        <v>0.67605951567561762</v>
      </c>
      <c r="BZ42" s="1187">
        <f>'2021'!R\Max</f>
        <v>0.66713190826634039</v>
      </c>
      <c r="CA42" s="1187">
        <f>'2022'!R\Max</f>
        <v>0.18539897798510999</v>
      </c>
      <c r="CB42" s="1187">
        <f>'2023'!R\Max</f>
        <v>0.18531961632727137</v>
      </c>
      <c r="CC42" s="1187">
        <f>'2024'!R\Max</f>
        <v>0.18524025466943284</v>
      </c>
      <c r="CD42" s="1187">
        <f>'2025'!R\Max</f>
        <v>0.18514931100363288</v>
      </c>
      <c r="CE42" s="1187">
        <f>'2026'!R\Max</f>
        <v>0.18559544237270023</v>
      </c>
      <c r="CF42" s="1188">
        <f>'2027'!R\Max</f>
        <v>0.18553545562800536</v>
      </c>
    </row>
    <row r="43" spans="1:84" s="6" customFormat="1" ht="11.25" x14ac:dyDescent="0.2">
      <c r="A43" s="11">
        <v>43129</v>
      </c>
      <c r="B43" s="380">
        <f>'2022'!Maxi_hp</f>
        <v>16.235625620989971</v>
      </c>
      <c r="C43" s="13">
        <f>'2022'!An_max</f>
        <v>2020</v>
      </c>
      <c r="D43" s="1061"/>
      <c r="E43" s="13"/>
      <c r="F43" s="13">
        <f t="shared" si="22"/>
        <v>3</v>
      </c>
      <c r="G43" s="13">
        <f t="shared" si="23"/>
        <v>4</v>
      </c>
      <c r="H43" s="173">
        <f t="shared" si="7"/>
        <v>43122</v>
      </c>
      <c r="I43" s="752">
        <f t="shared" si="8"/>
        <v>0.5</v>
      </c>
      <c r="J43" s="745">
        <f t="shared" si="26"/>
        <v>25.862499999254943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4">
        <v>43129</v>
      </c>
      <c r="AP43" s="13">
        <f t="shared" si="10"/>
        <v>3</v>
      </c>
      <c r="AQ43" s="13">
        <f t="shared" si="11"/>
        <v>2</v>
      </c>
      <c r="AR43" s="173">
        <f t="shared" si="12"/>
        <v>43136</v>
      </c>
      <c r="AS43" s="752">
        <f t="shared" si="13"/>
        <v>0.25</v>
      </c>
      <c r="AT43" s="768">
        <f t="shared" si="14"/>
        <v>25.925494839251041</v>
      </c>
      <c r="AU43" s="13">
        <f t="shared" si="15"/>
        <v>3</v>
      </c>
      <c r="AV43" s="13">
        <f t="shared" si="16"/>
        <v>2</v>
      </c>
      <c r="AW43" s="173">
        <f t="shared" si="17"/>
        <v>43150</v>
      </c>
      <c r="AX43" s="752">
        <f t="shared" si="18"/>
        <v>0.75</v>
      </c>
      <c r="AY43" s="768">
        <f t="shared" si="19"/>
        <v>25.796476576291024</v>
      </c>
      <c r="AZ43" s="745">
        <f t="shared" si="25"/>
        <v>25.860985707771032</v>
      </c>
      <c r="BA43" s="642">
        <f t="shared" si="20"/>
        <v>0.62776706124534343</v>
      </c>
      <c r="BC43" s="11">
        <v>43129</v>
      </c>
      <c r="BD43" s="290">
        <f>[2]!FeuilCaduc*(1-Persistant)+Persistant</f>
        <v>0.70000457989530818</v>
      </c>
      <c r="BE43" s="291">
        <f>[2]!CroissVégét</f>
        <v>3.0024083390505912E-3</v>
      </c>
      <c r="BF43" s="815">
        <f>1+[2]!Salcycl*Ksac</f>
        <v>1.0000007633158847</v>
      </c>
      <c r="BH43" s="1052">
        <f t="shared" si="21"/>
        <v>2.143381736638366E-2</v>
      </c>
      <c r="BI43" s="11">
        <v>44225</v>
      </c>
      <c r="BJ43" s="725">
        <v>8.4214964768265493E-3</v>
      </c>
      <c r="BK43" s="725">
        <v>1.1651373807759789E-2</v>
      </c>
      <c r="BL43" s="725">
        <v>1.5160328306630758E-2</v>
      </c>
      <c r="BM43" s="725">
        <v>1.9624185775797272E-2</v>
      </c>
      <c r="BN43" s="725">
        <v>2.4156308928075781E-2</v>
      </c>
      <c r="BO43" s="726">
        <v>2.9606738139700398E-2</v>
      </c>
      <c r="BP43" s="725">
        <v>3.5989628802486684E-2</v>
      </c>
      <c r="BQ43" s="725">
        <v>4.4124952370711693E-2</v>
      </c>
      <c r="BR43" s="725">
        <v>5.448895025556541E-2</v>
      </c>
      <c r="BS43" s="725">
        <v>6.7677532058342579E-2</v>
      </c>
      <c r="BT43" s="725">
        <v>8.3227689483187983E-2</v>
      </c>
      <c r="BW43" s="1189">
        <f>'2018'!R\Max</f>
        <v>0</v>
      </c>
      <c r="BX43" s="1187">
        <f>'2019'!R\Max</f>
        <v>0.22398403451565774</v>
      </c>
      <c r="BY43" s="1187">
        <f>'2020'!R\Max</f>
        <v>0.62776706124534343</v>
      </c>
      <c r="BZ43" s="1187">
        <f>'2021'!R\Max</f>
        <v>0.60351352546546311</v>
      </c>
      <c r="CA43" s="1187">
        <f>'2022'!R\Max</f>
        <v>0.41731795911006264</v>
      </c>
      <c r="CB43" s="1187">
        <f>'2023'!R\Max</f>
        <v>0.41716659349165724</v>
      </c>
      <c r="CC43" s="1187">
        <f>'2024'!R\Max</f>
        <v>0.41701520568476724</v>
      </c>
      <c r="CD43" s="1187">
        <f>'2025'!R\Max</f>
        <v>0.41684295803297589</v>
      </c>
      <c r="CE43" s="1187">
        <f>'2026'!R\Max</f>
        <v>0.4177001558896245</v>
      </c>
      <c r="CF43" s="1188">
        <f>'2027'!R\Max</f>
        <v>0.41758289834876194</v>
      </c>
    </row>
    <row r="44" spans="1:84" s="6" customFormat="1" ht="11.25" x14ac:dyDescent="0.2">
      <c r="A44" s="11">
        <v>43130</v>
      </c>
      <c r="B44" s="380">
        <f>'2022'!Maxi_hp</f>
        <v>11.307083616802787</v>
      </c>
      <c r="C44" s="13">
        <f>'2022'!An_max</f>
        <v>2020</v>
      </c>
      <c r="D44" s="1061"/>
      <c r="E44" s="13"/>
      <c r="F44" s="13">
        <f t="shared" si="22"/>
        <v>3</v>
      </c>
      <c r="G44" s="13">
        <f t="shared" si="23"/>
        <v>4</v>
      </c>
      <c r="H44" s="173">
        <f t="shared" si="7"/>
        <v>43122</v>
      </c>
      <c r="I44" s="752">
        <f t="shared" si="8"/>
        <v>0.5714285714285714</v>
      </c>
      <c r="J44" s="745">
        <f t="shared" si="26"/>
        <v>26.183090379301991</v>
      </c>
      <c r="L44" s="773">
        <f>AK13</f>
        <v>212</v>
      </c>
      <c r="M44" s="773">
        <f>M13</f>
        <v>193</v>
      </c>
      <c r="N44" s="763">
        <f>O13</f>
        <v>238</v>
      </c>
      <c r="O44" s="763">
        <f>Q13</f>
        <v>335</v>
      </c>
      <c r="P44" s="763">
        <f>S13</f>
        <v>457</v>
      </c>
      <c r="Q44" s="763">
        <f>U13</f>
        <v>573</v>
      </c>
      <c r="R44" s="763">
        <f>W13</f>
        <v>631</v>
      </c>
      <c r="S44" s="763">
        <f>Y13</f>
        <v>642</v>
      </c>
      <c r="T44" s="763">
        <f>AA13</f>
        <v>627</v>
      </c>
      <c r="U44" s="763">
        <f>AC13</f>
        <v>585</v>
      </c>
      <c r="V44" s="763">
        <f>AE13</f>
        <v>512</v>
      </c>
      <c r="W44" s="763">
        <f>AG13</f>
        <v>401</v>
      </c>
      <c r="X44" s="763">
        <f>AI13</f>
        <v>294</v>
      </c>
      <c r="Y44" s="763">
        <f>AK13</f>
        <v>212</v>
      </c>
      <c r="Z44" s="763">
        <f>AM13</f>
        <v>193</v>
      </c>
      <c r="AA44" s="771">
        <f>AO13</f>
        <v>238</v>
      </c>
      <c r="AB44" s="771">
        <f>Q13</f>
        <v>335</v>
      </c>
      <c r="AD44" s="7"/>
      <c r="AE44" s="7"/>
      <c r="AF44" s="7"/>
      <c r="AH44" s="7"/>
      <c r="AI44" s="74"/>
      <c r="AO44" s="1054">
        <v>43130</v>
      </c>
      <c r="AP44" s="13">
        <f t="shared" si="10"/>
        <v>3</v>
      </c>
      <c r="AQ44" s="13">
        <f t="shared" si="11"/>
        <v>2</v>
      </c>
      <c r="AR44" s="173">
        <f t="shared" si="12"/>
        <v>43136</v>
      </c>
      <c r="AS44" s="752">
        <f t="shared" si="13"/>
        <v>0.21428571428571427</v>
      </c>
      <c r="AT44" s="768">
        <f t="shared" si="14"/>
        <v>26.240869206030453</v>
      </c>
      <c r="AU44" s="13">
        <f t="shared" si="15"/>
        <v>3</v>
      </c>
      <c r="AV44" s="13">
        <f t="shared" si="16"/>
        <v>2</v>
      </c>
      <c r="AW44" s="173">
        <f t="shared" si="17"/>
        <v>43150</v>
      </c>
      <c r="AX44" s="752">
        <f t="shared" si="18"/>
        <v>0.7142857142857143</v>
      </c>
      <c r="AY44" s="768">
        <f t="shared" si="19"/>
        <v>26.115071281364987</v>
      </c>
      <c r="AZ44" s="745">
        <f t="shared" si="25"/>
        <v>26.177970243697722</v>
      </c>
      <c r="BA44" s="642">
        <f t="shared" si="20"/>
        <v>0.431846793216631</v>
      </c>
      <c r="BC44" s="11">
        <v>43130</v>
      </c>
      <c r="BD44" s="290">
        <f>[2]!FeuilCaduc*(1-Persistant)+Persistant</f>
        <v>0.70000436903336061</v>
      </c>
      <c r="BE44" s="291">
        <f>[2]!CroissVégét</f>
        <v>3.1859365650375344E-3</v>
      </c>
      <c r="BF44" s="815">
        <f>1+[2]!Salcycl*Ksac</f>
        <v>1.0000007281722267</v>
      </c>
      <c r="BH44" s="1052">
        <f t="shared" si="21"/>
        <v>2.2125085876532065E-2</v>
      </c>
      <c r="BI44" s="11">
        <v>44226</v>
      </c>
      <c r="BJ44" s="725">
        <v>8.4859477130749521E-3</v>
      </c>
      <c r="BK44" s="725">
        <v>1.1832812697547872E-2</v>
      </c>
      <c r="BL44" s="725">
        <v>1.548538030609877E-2</v>
      </c>
      <c r="BM44" s="725">
        <v>2.0200232433765168E-2</v>
      </c>
      <c r="BN44" s="725">
        <v>2.5020922400765609E-2</v>
      </c>
      <c r="BO44" s="726">
        <v>3.074768225764055E-2</v>
      </c>
      <c r="BP44" s="725">
        <v>3.735852746265312E-2</v>
      </c>
      <c r="BQ44" s="725">
        <v>4.5660840261700107E-2</v>
      </c>
      <c r="BR44" s="725">
        <v>5.61027335695755E-2</v>
      </c>
      <c r="BS44" s="725">
        <v>6.9179263893884319E-2</v>
      </c>
      <c r="BT44" s="725">
        <v>8.4493460849019278E-2</v>
      </c>
      <c r="BW44" s="1189">
        <f>'2018'!R\Max</f>
        <v>0</v>
      </c>
      <c r="BX44" s="1187">
        <f>'2019'!R\Max</f>
        <v>0.29654575253415166</v>
      </c>
      <c r="BY44" s="1187">
        <f>'2020'!R\Max</f>
        <v>0.431846793216631</v>
      </c>
      <c r="BZ44" s="1187">
        <f>'2021'!R\Max</f>
        <v>0.34731321103873708</v>
      </c>
      <c r="CA44" s="1187">
        <f>'2022'!R\Max</f>
        <v>0.19715424669566115</v>
      </c>
      <c r="CB44" s="1187">
        <f>'2023'!R\Max</f>
        <v>0.19706630903581943</v>
      </c>
      <c r="CC44" s="1187">
        <f>'2024'!R\Max</f>
        <v>0.19697837137597773</v>
      </c>
      <c r="CD44" s="1187">
        <f>'2025'!R\Max</f>
        <v>0.19687915201494294</v>
      </c>
      <c r="CE44" s="1187">
        <f>'2026'!R\Max</f>
        <v>0.19737999131543185</v>
      </c>
      <c r="CF44" s="1188">
        <f>'2027'!R\Max</f>
        <v>0.19731042540793428</v>
      </c>
    </row>
    <row r="45" spans="1:84" s="6" customFormat="1" ht="11.25" x14ac:dyDescent="0.2">
      <c r="A45" s="11">
        <v>43131</v>
      </c>
      <c r="B45" s="380">
        <f>'2022'!Maxi_hp</f>
        <v>20.821047723853216</v>
      </c>
      <c r="C45" s="13">
        <f>'2022'!An_max</f>
        <v>2020</v>
      </c>
      <c r="D45" s="1061"/>
      <c r="E45" s="13"/>
      <c r="F45" s="13">
        <f t="shared" si="22"/>
        <v>3</v>
      </c>
      <c r="G45" s="13">
        <f t="shared" si="23"/>
        <v>4</v>
      </c>
      <c r="H45" s="173">
        <f t="shared" si="7"/>
        <v>43122</v>
      </c>
      <c r="I45" s="752">
        <f t="shared" si="8"/>
        <v>0.6428571428571429</v>
      </c>
      <c r="J45" s="745">
        <f t="shared" si="26"/>
        <v>26.508855684633765</v>
      </c>
      <c r="L45" s="753" t="s">
        <v>210</v>
      </c>
      <c r="M45" s="783">
        <f t="shared" ref="M45:AA45" si="47">L43</f>
        <v>43065</v>
      </c>
      <c r="N45" s="784">
        <f t="shared" si="47"/>
        <v>43093</v>
      </c>
      <c r="O45" s="735">
        <f t="shared" si="47"/>
        <v>43122</v>
      </c>
      <c r="P45" s="735">
        <f t="shared" si="47"/>
        <v>43150</v>
      </c>
      <c r="Q45" s="735">
        <f t="shared" si="47"/>
        <v>43178</v>
      </c>
      <c r="R45" s="735">
        <f t="shared" si="47"/>
        <v>43206</v>
      </c>
      <c r="S45" s="735">
        <f t="shared" si="47"/>
        <v>43234</v>
      </c>
      <c r="T45" s="735">
        <f t="shared" si="47"/>
        <v>43262</v>
      </c>
      <c r="U45" s="735">
        <f t="shared" si="47"/>
        <v>43290</v>
      </c>
      <c r="V45" s="735">
        <f t="shared" si="47"/>
        <v>43318</v>
      </c>
      <c r="W45" s="735">
        <f t="shared" si="47"/>
        <v>43346</v>
      </c>
      <c r="X45" s="735">
        <f t="shared" si="47"/>
        <v>43374</v>
      </c>
      <c r="Y45" s="735">
        <f t="shared" si="47"/>
        <v>43402</v>
      </c>
      <c r="Z45" s="735">
        <f t="shared" si="47"/>
        <v>43430</v>
      </c>
      <c r="AA45" s="776">
        <f t="shared" si="47"/>
        <v>43458</v>
      </c>
      <c r="AD45" s="7"/>
      <c r="AE45" s="7"/>
      <c r="AF45" s="7"/>
      <c r="AH45" s="7"/>
      <c r="AI45" s="74"/>
      <c r="AO45" s="1054">
        <v>43131</v>
      </c>
      <c r="AP45" s="13">
        <f t="shared" si="10"/>
        <v>3</v>
      </c>
      <c r="AQ45" s="13">
        <f t="shared" si="11"/>
        <v>2</v>
      </c>
      <c r="AR45" s="173">
        <f t="shared" si="12"/>
        <v>43136</v>
      </c>
      <c r="AS45" s="752">
        <f t="shared" si="13"/>
        <v>0.17857142857142858</v>
      </c>
      <c r="AT45" s="768">
        <f t="shared" si="14"/>
        <v>26.559940022150318</v>
      </c>
      <c r="AU45" s="13">
        <f t="shared" si="15"/>
        <v>3</v>
      </c>
      <c r="AV45" s="13">
        <f t="shared" si="16"/>
        <v>2</v>
      </c>
      <c r="AW45" s="173">
        <f t="shared" si="17"/>
        <v>43150</v>
      </c>
      <c r="AX45" s="752">
        <f t="shared" si="18"/>
        <v>0.6785714285714286</v>
      </c>
      <c r="AY45" s="768">
        <f t="shared" si="19"/>
        <v>26.440879866613876</v>
      </c>
      <c r="AZ45" s="745">
        <f t="shared" si="25"/>
        <v>26.500409944382099</v>
      </c>
      <c r="BA45" s="642">
        <f t="shared" si="20"/>
        <v>0.78543743915443442</v>
      </c>
      <c r="BC45" s="11">
        <v>43131</v>
      </c>
      <c r="BD45" s="290">
        <f>[2]!FeuilCaduc*(1-Persistant)+Persistant</f>
        <v>0.70001340920871391</v>
      </c>
      <c r="BE45" s="291">
        <f>[2]!CroissVégét</f>
        <v>3.3770923278976551E-3</v>
      </c>
      <c r="BF45" s="815">
        <f>1+[2]!Salcycl*Ksac</f>
        <v>1.000002234868119</v>
      </c>
      <c r="BH45" s="1052">
        <f t="shared" si="21"/>
        <v>2.2733588352174539E-2</v>
      </c>
      <c r="BI45" s="11">
        <v>44227</v>
      </c>
      <c r="BJ45" s="725">
        <v>8.5186980796011346E-3</v>
      </c>
      <c r="BK45" s="725">
        <v>1.19660885584077E-2</v>
      </c>
      <c r="BL45" s="725">
        <v>1.5747697501507445E-2</v>
      </c>
      <c r="BM45" s="725">
        <v>2.0691793731250359E-2</v>
      </c>
      <c r="BN45" s="725">
        <v>2.5805356470663888E-2</v>
      </c>
      <c r="BO45" s="726">
        <v>3.1819139751348133E-2</v>
      </c>
      <c r="BP45" s="725">
        <v>3.8691994912210169E-2</v>
      </c>
      <c r="BQ45" s="725">
        <v>4.7184758577068164E-2</v>
      </c>
      <c r="BR45" s="725">
        <v>5.7730465504521128E-2</v>
      </c>
      <c r="BS45" s="725">
        <v>7.0718814410999087E-2</v>
      </c>
      <c r="BT45" s="725">
        <v>8.5822832781993583E-2</v>
      </c>
      <c r="BW45" s="1189">
        <f>'2018'!R\Max</f>
        <v>0</v>
      </c>
      <c r="BX45" s="1187">
        <f>'2019'!R\Max</f>
        <v>0.29643363281721613</v>
      </c>
      <c r="BY45" s="1187">
        <f>'2020'!R\Max</f>
        <v>0.78543743915443442</v>
      </c>
      <c r="BZ45" s="1187">
        <f>'2021'!R\Max</f>
        <v>0.35158975732342884</v>
      </c>
      <c r="CA45" s="1187">
        <f>'2022'!R\Max</f>
        <v>0.343998240135716</v>
      </c>
      <c r="CB45" s="1187">
        <f>'2023'!R\Max</f>
        <v>0.34385066787557528</v>
      </c>
      <c r="CC45" s="1187">
        <f>'2024'!R\Max</f>
        <v>0.34370308703555369</v>
      </c>
      <c r="CD45" s="1187">
        <f>'2025'!R\Max</f>
        <v>0.34353804818784067</v>
      </c>
      <c r="CE45" s="1187">
        <f>'2026'!R\Max</f>
        <v>0.34438146259894165</v>
      </c>
      <c r="CF45" s="1188">
        <f>'2027'!R\Max</f>
        <v>0.3442629543910542</v>
      </c>
    </row>
    <row r="46" spans="1:84" s="6" customFormat="1" ht="11.25" x14ac:dyDescent="0.2">
      <c r="A46" s="11">
        <v>43132</v>
      </c>
      <c r="B46" s="380">
        <f>'2022'!Maxi_hp</f>
        <v>21.147132908302876</v>
      </c>
      <c r="C46" s="13">
        <f>'2022'!An_max</f>
        <v>2019</v>
      </c>
      <c r="D46" s="1061"/>
      <c r="E46" s="13"/>
      <c r="F46" s="13">
        <f t="shared" si="22"/>
        <v>3</v>
      </c>
      <c r="G46" s="13">
        <f t="shared" si="23"/>
        <v>4</v>
      </c>
      <c r="H46" s="173">
        <f t="shared" si="7"/>
        <v>43122</v>
      </c>
      <c r="I46" s="752">
        <f t="shared" si="8"/>
        <v>0.7142857142857143</v>
      </c>
      <c r="J46" s="745">
        <f t="shared" si="26"/>
        <v>26.83935859980328</v>
      </c>
      <c r="L46" s="754" t="s">
        <v>211</v>
      </c>
      <c r="M46" s="775">
        <f t="shared" ref="M46:AA46" si="48">L44</f>
        <v>212</v>
      </c>
      <c r="N46" s="779">
        <f t="shared" si="48"/>
        <v>193</v>
      </c>
      <c r="O46" s="741">
        <f t="shared" si="48"/>
        <v>238</v>
      </c>
      <c r="P46" s="741">
        <f t="shared" si="48"/>
        <v>335</v>
      </c>
      <c r="Q46" s="741">
        <f t="shared" si="48"/>
        <v>457</v>
      </c>
      <c r="R46" s="741">
        <f t="shared" si="48"/>
        <v>573</v>
      </c>
      <c r="S46" s="741">
        <f t="shared" si="48"/>
        <v>631</v>
      </c>
      <c r="T46" s="741">
        <f t="shared" si="48"/>
        <v>642</v>
      </c>
      <c r="U46" s="741">
        <f t="shared" si="48"/>
        <v>627</v>
      </c>
      <c r="V46" s="741">
        <f t="shared" si="48"/>
        <v>585</v>
      </c>
      <c r="W46" s="741">
        <f t="shared" si="48"/>
        <v>512</v>
      </c>
      <c r="X46" s="741">
        <f t="shared" si="48"/>
        <v>401</v>
      </c>
      <c r="Y46" s="741">
        <f t="shared" si="48"/>
        <v>294</v>
      </c>
      <c r="Z46" s="741">
        <f t="shared" si="48"/>
        <v>212</v>
      </c>
      <c r="AA46" s="777">
        <f t="shared" si="48"/>
        <v>193</v>
      </c>
      <c r="AD46" s="7"/>
      <c r="AE46" s="7"/>
      <c r="AF46" s="7"/>
      <c r="AH46" s="7"/>
      <c r="AI46" s="74"/>
      <c r="AO46" s="1054">
        <v>43132</v>
      </c>
      <c r="AP46" s="13">
        <f t="shared" si="10"/>
        <v>3</v>
      </c>
      <c r="AQ46" s="13">
        <f t="shared" si="11"/>
        <v>2</v>
      </c>
      <c r="AR46" s="173">
        <f t="shared" si="12"/>
        <v>43136</v>
      </c>
      <c r="AS46" s="752">
        <f t="shared" si="13"/>
        <v>0.14285714285714285</v>
      </c>
      <c r="AT46" s="768">
        <f t="shared" si="14"/>
        <v>26.882400406258448</v>
      </c>
      <c r="AU46" s="13">
        <f t="shared" si="15"/>
        <v>3</v>
      </c>
      <c r="AV46" s="13">
        <f t="shared" si="16"/>
        <v>2</v>
      </c>
      <c r="AW46" s="173">
        <f t="shared" si="17"/>
        <v>43150</v>
      </c>
      <c r="AX46" s="752">
        <f t="shared" si="18"/>
        <v>0.6428571428571429</v>
      </c>
      <c r="AY46" s="768">
        <f t="shared" si="19"/>
        <v>26.773524977586099</v>
      </c>
      <c r="AZ46" s="745">
        <f t="shared" si="25"/>
        <v>26.827962691922274</v>
      </c>
      <c r="BA46" s="642">
        <f t="shared" si="20"/>
        <v>0.78791498797060955</v>
      </c>
      <c r="BC46" s="11">
        <v>43132</v>
      </c>
      <c r="BD46" s="290">
        <f>[2]!FeuilCaduc*(1-Persistant)+Persistant</f>
        <v>0.7000314952787724</v>
      </c>
      <c r="BE46" s="291">
        <f>[2]!CroissVégét</f>
        <v>3.5761895087786043E-3</v>
      </c>
      <c r="BF46" s="815">
        <f>1+[2]!Salcycl*Ksac</f>
        <v>1.0000052492131288</v>
      </c>
      <c r="BH46" s="1052">
        <f t="shared" si="21"/>
        <v>2.3259335058209259E-2</v>
      </c>
      <c r="BI46" s="11">
        <v>44228</v>
      </c>
      <c r="BJ46" s="725">
        <v>8.5197591091573811E-3</v>
      </c>
      <c r="BK46" s="725">
        <v>1.20512144258929E-2</v>
      </c>
      <c r="BL46" s="725">
        <v>1.5947293602854008E-2</v>
      </c>
      <c r="BM46" s="725">
        <v>2.1098882077453855E-2</v>
      </c>
      <c r="BN46" s="725">
        <v>2.6509618176682695E-2</v>
      </c>
      <c r="BO46" s="726">
        <v>3.2821113202841423E-2</v>
      </c>
      <c r="BP46" s="725">
        <v>3.9990029720668813E-2</v>
      </c>
      <c r="BQ46" s="725">
        <v>4.8696707423949943E-2</v>
      </c>
      <c r="BR46" s="725">
        <v>5.9372153488305032E-2</v>
      </c>
      <c r="BS46" s="725">
        <v>7.229620905946417E-2</v>
      </c>
      <c r="BT46" s="725">
        <v>8.7215856035991732E-2</v>
      </c>
      <c r="BW46" s="1189">
        <f>'2018'!R\Max</f>
        <v>0</v>
      </c>
      <c r="BX46" s="1187">
        <f>'2019'!R\Max</f>
        <v>0.78791498797060955</v>
      </c>
      <c r="BY46" s="1187">
        <f>'2020'!R\Max</f>
        <v>0.46639628187723753</v>
      </c>
      <c r="BZ46" s="1187">
        <f>'2021'!R\Max</f>
        <v>0.31537147219310258</v>
      </c>
      <c r="CA46" s="1187">
        <f>'2022'!R\Max</f>
        <v>0.3993373504465445</v>
      </c>
      <c r="CB46" s="1187">
        <f>'2023'!R\Max</f>
        <v>0.39917573162700876</v>
      </c>
      <c r="CC46" s="1187">
        <f>'2024'!R\Max</f>
        <v>0.39901409106834967</v>
      </c>
      <c r="CD46" s="1187">
        <f>'2025'!R\Max</f>
        <v>0.39883502643762625</v>
      </c>
      <c r="CE46" s="1187">
        <f>'2026'!R\Max</f>
        <v>0.39976012799641036</v>
      </c>
      <c r="CF46" s="1188">
        <f>'2027'!R\Max</f>
        <v>0.39962901884733898</v>
      </c>
    </row>
    <row r="47" spans="1:84" s="6" customFormat="1" ht="11.25" x14ac:dyDescent="0.2">
      <c r="A47" s="11">
        <v>43133</v>
      </c>
      <c r="B47" s="380">
        <f>'2022'!Maxi_hp</f>
        <v>24.623005802832068</v>
      </c>
      <c r="C47" s="13">
        <f>'2022'!An_max</f>
        <v>2020</v>
      </c>
      <c r="D47" s="1061"/>
      <c r="E47" s="13"/>
      <c r="F47" s="13">
        <f t="shared" si="22"/>
        <v>3</v>
      </c>
      <c r="G47" s="13">
        <f t="shared" si="23"/>
        <v>4</v>
      </c>
      <c r="H47" s="173">
        <f t="shared" si="7"/>
        <v>43122</v>
      </c>
      <c r="I47" s="752">
        <f t="shared" si="8"/>
        <v>0.7857142857142857</v>
      </c>
      <c r="J47" s="745">
        <f t="shared" si="26"/>
        <v>27.174161807607327</v>
      </c>
      <c r="L47" s="754" t="s">
        <v>212</v>
      </c>
      <c r="M47" s="786">
        <f t="shared" ref="M47:AA47" si="49">M43</f>
        <v>43093</v>
      </c>
      <c r="N47" s="736">
        <f t="shared" si="49"/>
        <v>43122</v>
      </c>
      <c r="O47" s="736">
        <f t="shared" si="49"/>
        <v>43150</v>
      </c>
      <c r="P47" s="736">
        <f t="shared" si="49"/>
        <v>43178</v>
      </c>
      <c r="Q47" s="736">
        <f t="shared" si="49"/>
        <v>43206</v>
      </c>
      <c r="R47" s="736">
        <f t="shared" si="49"/>
        <v>43234</v>
      </c>
      <c r="S47" s="736">
        <f t="shared" si="49"/>
        <v>43262</v>
      </c>
      <c r="T47" s="736">
        <f t="shared" si="49"/>
        <v>43290</v>
      </c>
      <c r="U47" s="736">
        <f t="shared" si="49"/>
        <v>43318</v>
      </c>
      <c r="V47" s="736">
        <f t="shared" si="49"/>
        <v>43346</v>
      </c>
      <c r="W47" s="736">
        <f t="shared" si="49"/>
        <v>43374</v>
      </c>
      <c r="X47" s="736">
        <f t="shared" si="49"/>
        <v>43402</v>
      </c>
      <c r="Y47" s="736">
        <f t="shared" si="49"/>
        <v>43430</v>
      </c>
      <c r="Z47" s="778">
        <f t="shared" si="49"/>
        <v>43458</v>
      </c>
      <c r="AA47" s="785">
        <f t="shared" si="49"/>
        <v>43487</v>
      </c>
      <c r="AD47" s="7"/>
      <c r="AE47" s="7"/>
      <c r="AF47" s="7"/>
      <c r="AH47" s="7"/>
      <c r="AI47" s="74"/>
      <c r="AO47" s="1054">
        <v>43133</v>
      </c>
      <c r="AP47" s="13">
        <f t="shared" si="10"/>
        <v>3</v>
      </c>
      <c r="AQ47" s="13">
        <f t="shared" si="11"/>
        <v>2</v>
      </c>
      <c r="AR47" s="173">
        <f t="shared" si="12"/>
        <v>43136</v>
      </c>
      <c r="AS47" s="752">
        <f t="shared" si="13"/>
        <v>0.10714285714285714</v>
      </c>
      <c r="AT47" s="768">
        <f t="shared" si="14"/>
        <v>27.207943478519365</v>
      </c>
      <c r="AU47" s="13">
        <f t="shared" si="15"/>
        <v>3</v>
      </c>
      <c r="AV47" s="13">
        <f t="shared" si="16"/>
        <v>2</v>
      </c>
      <c r="AW47" s="173">
        <f t="shared" si="17"/>
        <v>43150</v>
      </c>
      <c r="AX47" s="752">
        <f t="shared" si="18"/>
        <v>0.6071428571428571</v>
      </c>
      <c r="AY47" s="768">
        <f t="shared" si="19"/>
        <v>27.112629264060939</v>
      </c>
      <c r="AZ47" s="745">
        <f t="shared" si="25"/>
        <v>27.160286371290152</v>
      </c>
      <c r="BA47" s="642">
        <f t="shared" si="20"/>
        <v>0.906118318465997</v>
      </c>
      <c r="BC47" s="11">
        <v>43133</v>
      </c>
      <c r="BD47" s="290">
        <f>[2]!FeuilCaduc*(1-Persistant)+Persistant</f>
        <v>0.70005835750133028</v>
      </c>
      <c r="BE47" s="291">
        <f>[2]!CroissVégét</f>
        <v>3.7835546392683654E-3</v>
      </c>
      <c r="BF47" s="815">
        <f>1+[2]!Salcycl*Ksac</f>
        <v>1.0000097262502217</v>
      </c>
      <c r="BH47" s="1052">
        <f t="shared" si="21"/>
        <v>2.3702345137228721E-2</v>
      </c>
      <c r="BI47" s="11">
        <v>44229</v>
      </c>
      <c r="BJ47" s="725">
        <v>8.4891447335636999E-3</v>
      </c>
      <c r="BK47" s="725">
        <v>1.2088207398785534E-2</v>
      </c>
      <c r="BL47" s="725">
        <v>1.6084188056076906E-2</v>
      </c>
      <c r="BM47" s="725">
        <v>2.1421518297997617E-2</v>
      </c>
      <c r="BN47" s="725">
        <v>2.7133724129388928E-2</v>
      </c>
      <c r="BO47" s="726">
        <v>3.3753615439241658E-2</v>
      </c>
      <c r="BP47" s="725">
        <v>4.1252639597697933E-2</v>
      </c>
      <c r="BQ47" s="725">
        <v>5.0196695334992304E-2</v>
      </c>
      <c r="BR47" s="725">
        <v>6.1027812051101131E-2</v>
      </c>
      <c r="BS47" s="725">
        <v>7.3911478251123847E-2</v>
      </c>
      <c r="BT47" s="725">
        <v>8.86725834398744E-2</v>
      </c>
      <c r="BW47" s="1189">
        <f>'2018'!R\Max</f>
        <v>0</v>
      </c>
      <c r="BX47" s="1187">
        <f>'2019'!R\Max</f>
        <v>0.11936682230310744</v>
      </c>
      <c r="BY47" s="1187">
        <f>'2020'!R\Max</f>
        <v>0.906118318465997</v>
      </c>
      <c r="BZ47" s="1187">
        <f>'2021'!R\Max</f>
        <v>0.90302270809771668</v>
      </c>
      <c r="CA47" s="1187">
        <f>'2022'!R\Max</f>
        <v>0.22347821871496043</v>
      </c>
      <c r="CB47" s="1187">
        <f>'2023'!R\Max</f>
        <v>0.22336924343521253</v>
      </c>
      <c r="CC47" s="1187">
        <f>'2024'!R\Max</f>
        <v>0.2232602681554646</v>
      </c>
      <c r="CD47" s="1187">
        <f>'2025'!R\Max</f>
        <v>0.22314075116997001</v>
      </c>
      <c r="CE47" s="1187">
        <f>'2026'!R\Max</f>
        <v>0.22376442349786207</v>
      </c>
      <c r="CF47" s="1188">
        <f>'2027'!R\Max</f>
        <v>0.22367545163929328</v>
      </c>
    </row>
    <row r="48" spans="1:84" s="6" customFormat="1" ht="11.25" x14ac:dyDescent="0.2">
      <c r="A48" s="11">
        <v>43134</v>
      </c>
      <c r="B48" s="380">
        <f>'2022'!Maxi_hp</f>
        <v>23.131615520800864</v>
      </c>
      <c r="C48" s="13">
        <f>'2022'!An_max</f>
        <v>2020</v>
      </c>
      <c r="D48" s="1061"/>
      <c r="E48" s="13"/>
      <c r="F48" s="13">
        <f t="shared" si="22"/>
        <v>3</v>
      </c>
      <c r="G48" s="13">
        <f t="shared" si="23"/>
        <v>4</v>
      </c>
      <c r="H48" s="173">
        <f t="shared" si="7"/>
        <v>43122</v>
      </c>
      <c r="I48" s="752">
        <f t="shared" si="8"/>
        <v>0.8571428571428571</v>
      </c>
      <c r="J48" s="745">
        <f t="shared" si="26"/>
        <v>27.512827988181794</v>
      </c>
      <c r="L48" s="754" t="s">
        <v>213</v>
      </c>
      <c r="M48" s="779">
        <f t="shared" ref="M48:AA48" si="50">M44</f>
        <v>193</v>
      </c>
      <c r="N48" s="742">
        <f t="shared" si="50"/>
        <v>238</v>
      </c>
      <c r="O48" s="742">
        <f t="shared" si="50"/>
        <v>335</v>
      </c>
      <c r="P48" s="742">
        <f t="shared" si="50"/>
        <v>457</v>
      </c>
      <c r="Q48" s="742">
        <f t="shared" si="50"/>
        <v>573</v>
      </c>
      <c r="R48" s="742">
        <f t="shared" si="50"/>
        <v>631</v>
      </c>
      <c r="S48" s="742">
        <f t="shared" si="50"/>
        <v>642</v>
      </c>
      <c r="T48" s="742">
        <f t="shared" si="50"/>
        <v>627</v>
      </c>
      <c r="U48" s="742">
        <f t="shared" si="50"/>
        <v>585</v>
      </c>
      <c r="V48" s="742">
        <f t="shared" si="50"/>
        <v>512</v>
      </c>
      <c r="W48" s="742">
        <f t="shared" si="50"/>
        <v>401</v>
      </c>
      <c r="X48" s="742">
        <f t="shared" si="50"/>
        <v>294</v>
      </c>
      <c r="Y48" s="742">
        <f t="shared" si="50"/>
        <v>212</v>
      </c>
      <c r="Z48" s="777">
        <f t="shared" si="50"/>
        <v>193</v>
      </c>
      <c r="AA48" s="775">
        <f t="shared" si="50"/>
        <v>238</v>
      </c>
      <c r="AD48" s="7"/>
      <c r="AE48" s="7"/>
      <c r="AF48" s="7"/>
      <c r="AH48" s="7"/>
      <c r="AI48" s="74"/>
      <c r="AO48" s="1054">
        <v>43134</v>
      </c>
      <c r="AP48" s="13">
        <f t="shared" si="10"/>
        <v>3</v>
      </c>
      <c r="AQ48" s="13">
        <f t="shared" si="11"/>
        <v>2</v>
      </c>
      <c r="AR48" s="173">
        <f t="shared" si="12"/>
        <v>43136</v>
      </c>
      <c r="AS48" s="752">
        <f t="shared" si="13"/>
        <v>7.1428571428571425E-2</v>
      </c>
      <c r="AT48" s="768">
        <f t="shared" si="14"/>
        <v>27.53626235595771</v>
      </c>
      <c r="AU48" s="13">
        <f t="shared" si="15"/>
        <v>3</v>
      </c>
      <c r="AV48" s="13">
        <f t="shared" si="16"/>
        <v>2</v>
      </c>
      <c r="AW48" s="173">
        <f t="shared" si="17"/>
        <v>43150</v>
      </c>
      <c r="AX48" s="752">
        <f t="shared" si="18"/>
        <v>0.5714285714285714</v>
      </c>
      <c r="AY48" s="768">
        <f t="shared" si="19"/>
        <v>27.457815368154218</v>
      </c>
      <c r="AZ48" s="745">
        <f t="shared" si="25"/>
        <v>27.497038862055966</v>
      </c>
      <c r="BA48" s="642">
        <f t="shared" si="20"/>
        <v>0.8407574652353843</v>
      </c>
      <c r="BC48" s="11">
        <v>43134</v>
      </c>
      <c r="BD48" s="290">
        <f>[2]!FeuilCaduc*(1-Persistant)+Persistant</f>
        <v>0.70009366310912735</v>
      </c>
      <c r="BE48" s="291">
        <f>[2]!CroissVégét</f>
        <v>3.9995273885343324E-3</v>
      </c>
      <c r="BF48" s="815">
        <f>1+[2]!Salcycl*Ksac</f>
        <v>1.0000156105181879</v>
      </c>
      <c r="BH48" s="1052">
        <f t="shared" si="21"/>
        <v>2.406264557877584E-2</v>
      </c>
      <c r="BI48" s="11">
        <v>44230</v>
      </c>
      <c r="BJ48" s="725">
        <v>8.4268708888350675E-3</v>
      </c>
      <c r="BK48" s="725">
        <v>1.2077088039024972E-2</v>
      </c>
      <c r="BL48" s="725">
        <v>1.6158405261480643E-2</v>
      </c>
      <c r="BM48" s="725">
        <v>2.1659730582319767E-2</v>
      </c>
      <c r="BN48" s="725">
        <v>2.7677699513148905E-2</v>
      </c>
      <c r="BO48" s="726">
        <v>3.4616668669657631E-2</v>
      </c>
      <c r="BP48" s="725">
        <v>4.2479840956944744E-2</v>
      </c>
      <c r="BQ48" s="725">
        <v>5.1684739126929197E-2</v>
      </c>
      <c r="BR48" s="725">
        <v>6.269746300971285E-2</v>
      </c>
      <c r="BS48" s="725">
        <v>7.5564657844787622E-2</v>
      </c>
      <c r="BT48" s="725">
        <v>9.0193070707142234E-2</v>
      </c>
      <c r="BW48" s="1189">
        <f>'2018'!R\Max</f>
        <v>0</v>
      </c>
      <c r="BX48" s="1187">
        <f>'2019'!R\Max</f>
        <v>0.44955305651487315</v>
      </c>
      <c r="BY48" s="1187">
        <f>'2020'!R\Max</f>
        <v>0.8407574652353843</v>
      </c>
      <c r="BZ48" s="1187">
        <f>'2021'!R\Max</f>
        <v>0.68158608140796872</v>
      </c>
      <c r="CA48" s="1187">
        <f>'2022'!R\Max</f>
        <v>0.40139860583066367</v>
      </c>
      <c r="CB48" s="1187">
        <f>'2023'!R\Max</f>
        <v>0.40122535013133581</v>
      </c>
      <c r="CC48" s="1187">
        <f>'2024'!R\Max</f>
        <v>0.40105206896808293</v>
      </c>
      <c r="CD48" s="1187">
        <f>'2025'!R\Max</f>
        <v>0.40086390937723831</v>
      </c>
      <c r="CE48" s="1187">
        <f>'2026'!R\Max</f>
        <v>0.40185373108414124</v>
      </c>
      <c r="CF48" s="1188">
        <f>'2027'!R\Max</f>
        <v>0.40171201134023898</v>
      </c>
    </row>
    <row r="49" spans="1:84" s="6" customFormat="1" ht="11.25" x14ac:dyDescent="0.2">
      <c r="A49" s="11">
        <v>43135</v>
      </c>
      <c r="B49" s="380">
        <f>'2022'!Maxi_hp</f>
        <v>21.711002332701614</v>
      </c>
      <c r="C49" s="13">
        <f>'2022'!An_max</f>
        <v>2019</v>
      </c>
      <c r="D49" s="1061"/>
      <c r="E49" s="13"/>
      <c r="F49" s="13">
        <f t="shared" si="22"/>
        <v>3</v>
      </c>
      <c r="G49" s="13">
        <f t="shared" si="23"/>
        <v>4</v>
      </c>
      <c r="H49" s="173">
        <f t="shared" si="7"/>
        <v>43122</v>
      </c>
      <c r="I49" s="752">
        <f t="shared" si="8"/>
        <v>0.9285714285714286</v>
      </c>
      <c r="J49" s="745">
        <f t="shared" si="26"/>
        <v>27.854919824589576</v>
      </c>
      <c r="L49" s="754" t="s">
        <v>214</v>
      </c>
      <c r="M49" s="781">
        <f t="shared" ref="M49:AA49" si="51">N43</f>
        <v>43122</v>
      </c>
      <c r="N49" s="737">
        <f t="shared" si="51"/>
        <v>43150</v>
      </c>
      <c r="O49" s="737">
        <f t="shared" si="51"/>
        <v>43178</v>
      </c>
      <c r="P49" s="737">
        <f t="shared" si="51"/>
        <v>43206</v>
      </c>
      <c r="Q49" s="737">
        <f t="shared" si="51"/>
        <v>43234</v>
      </c>
      <c r="R49" s="737">
        <f t="shared" si="51"/>
        <v>43262</v>
      </c>
      <c r="S49" s="737">
        <f t="shared" si="51"/>
        <v>43290</v>
      </c>
      <c r="T49" s="737">
        <f t="shared" si="51"/>
        <v>43318</v>
      </c>
      <c r="U49" s="737">
        <f t="shared" si="51"/>
        <v>43346</v>
      </c>
      <c r="V49" s="737">
        <f t="shared" si="51"/>
        <v>43374</v>
      </c>
      <c r="W49" s="737">
        <f t="shared" si="51"/>
        <v>43402</v>
      </c>
      <c r="X49" s="737">
        <f t="shared" si="51"/>
        <v>43430</v>
      </c>
      <c r="Y49" s="737">
        <f t="shared" si="51"/>
        <v>43458</v>
      </c>
      <c r="Z49" s="787">
        <f t="shared" si="51"/>
        <v>43487</v>
      </c>
      <c r="AA49" s="785">
        <f t="shared" si="51"/>
        <v>43515</v>
      </c>
      <c r="AD49" s="7"/>
      <c r="AE49" s="7"/>
      <c r="AF49" s="7"/>
      <c r="AH49" s="7"/>
      <c r="AI49" s="74"/>
      <c r="AO49" s="1054">
        <v>43135</v>
      </c>
      <c r="AP49" s="13">
        <f t="shared" si="10"/>
        <v>3</v>
      </c>
      <c r="AQ49" s="13">
        <f t="shared" si="11"/>
        <v>2</v>
      </c>
      <c r="AR49" s="173">
        <f t="shared" si="12"/>
        <v>43136</v>
      </c>
      <c r="AS49" s="752">
        <f t="shared" si="13"/>
        <v>3.5714285714285712E-2</v>
      </c>
      <c r="AT49" s="768">
        <f t="shared" si="14"/>
        <v>27.867050155544923</v>
      </c>
      <c r="AU49" s="13">
        <f t="shared" si="15"/>
        <v>3</v>
      </c>
      <c r="AV49" s="13">
        <f t="shared" si="16"/>
        <v>2</v>
      </c>
      <c r="AW49" s="173">
        <f t="shared" si="17"/>
        <v>43150</v>
      </c>
      <c r="AX49" s="752">
        <f t="shared" si="18"/>
        <v>0.5357142857142857</v>
      </c>
      <c r="AY49" s="768">
        <f t="shared" si="19"/>
        <v>27.808705939419035</v>
      </c>
      <c r="AZ49" s="745">
        <f t="shared" si="25"/>
        <v>27.837878047481979</v>
      </c>
      <c r="BA49" s="642">
        <f t="shared" si="20"/>
        <v>0.77943151405288646</v>
      </c>
      <c r="BC49" s="11">
        <v>43135</v>
      </c>
      <c r="BD49" s="290">
        <f>[2]!FeuilCaduc*(1-Persistant)+Persistant</f>
        <v>0.70013701894817582</v>
      </c>
      <c r="BE49" s="291">
        <f>[2]!CroissVégét</f>
        <v>4.2244610672662677E-3</v>
      </c>
      <c r="BF49" s="815">
        <f>1+[2]!Salcycl*Ksac</f>
        <v>1.0000228364913626</v>
      </c>
      <c r="BH49" s="1052">
        <f t="shared" si="21"/>
        <v>2.4340270188707359E-2</v>
      </c>
      <c r="BI49" s="11">
        <v>44231</v>
      </c>
      <c r="BJ49" s="725">
        <v>8.3329551203477625E-3</v>
      </c>
      <c r="BK49" s="725">
        <v>1.2017879771692205E-2</v>
      </c>
      <c r="BL49" s="725">
        <v>1.6169973792234046E-2</v>
      </c>
      <c r="BM49" s="725">
        <v>2.1813553431167157E-2</v>
      </c>
      <c r="BN49" s="725">
        <v>2.8141577088395289E-2</v>
      </c>
      <c r="BO49" s="726">
        <v>3.5410303622221535E-2</v>
      </c>
      <c r="BP49" s="725">
        <v>4.3671658480039094E-2</v>
      </c>
      <c r="BQ49" s="725">
        <v>5.3160863759379333E-2</v>
      </c>
      <c r="BR49" s="725">
        <v>6.4381135652203103E-2</v>
      </c>
      <c r="BS49" s="725">
        <v>7.7255789631458321E-2</v>
      </c>
      <c r="BT49" s="725">
        <v>9.1777377245993372E-2</v>
      </c>
      <c r="BW49" s="1189">
        <f>'2018'!R\Max</f>
        <v>0</v>
      </c>
      <c r="BX49" s="1187">
        <f>'2019'!R\Max</f>
        <v>0.77943151405288646</v>
      </c>
      <c r="BY49" s="1187">
        <f>'2020'!R\Max</f>
        <v>0.59289832728654934</v>
      </c>
      <c r="BZ49" s="1187">
        <f>'2021'!R\Max</f>
        <v>0.60583160378976331</v>
      </c>
      <c r="CA49" s="1187">
        <f>'2022'!R\Max</f>
        <v>0.39141540840685241</v>
      </c>
      <c r="CB49" s="1187">
        <f>'2023'!R\Max</f>
        <v>0.39123714601597664</v>
      </c>
      <c r="CC49" s="1187">
        <f>'2024'!R\Max</f>
        <v>0.39105885909310456</v>
      </c>
      <c r="CD49" s="1187">
        <f>'2025'!R\Max</f>
        <v>0.39086723091718395</v>
      </c>
      <c r="CE49" s="1187">
        <f>'2026'!R\Max</f>
        <v>0.39188259977821938</v>
      </c>
      <c r="CF49" s="1188">
        <f>'2027'!R\Max</f>
        <v>0.39173692446649511</v>
      </c>
    </row>
    <row r="50" spans="1:84" s="6" customFormat="1" ht="11.25" x14ac:dyDescent="0.2">
      <c r="A50" s="11">
        <v>43136</v>
      </c>
      <c r="B50" s="380">
        <f>'2022'!Maxi_hp</f>
        <v>28.631560461107572</v>
      </c>
      <c r="C50" s="13">
        <f>'2022'!An_max</f>
        <v>2020</v>
      </c>
      <c r="D50" s="1061"/>
      <c r="E50" s="1056">
        <f>P$13/10</f>
        <v>28.2</v>
      </c>
      <c r="F50" s="13">
        <f t="shared" si="22"/>
        <v>5</v>
      </c>
      <c r="G50" s="13">
        <f t="shared" si="23"/>
        <v>4</v>
      </c>
      <c r="H50" s="173">
        <f t="shared" si="7"/>
        <v>43150</v>
      </c>
      <c r="I50" s="752">
        <f t="shared" si="8"/>
        <v>1</v>
      </c>
      <c r="J50" s="745">
        <f t="shared" si="26"/>
        <v>28.199999998509885</v>
      </c>
      <c r="L50" s="754" t="s">
        <v>215</v>
      </c>
      <c r="M50" s="782">
        <f t="shared" ref="M50:AA50" si="52">N44</f>
        <v>238</v>
      </c>
      <c r="N50" s="742">
        <f t="shared" si="52"/>
        <v>335</v>
      </c>
      <c r="O50" s="742">
        <f t="shared" si="52"/>
        <v>457</v>
      </c>
      <c r="P50" s="742">
        <f t="shared" si="52"/>
        <v>573</v>
      </c>
      <c r="Q50" s="742">
        <f t="shared" si="52"/>
        <v>631</v>
      </c>
      <c r="R50" s="742">
        <f t="shared" si="52"/>
        <v>642</v>
      </c>
      <c r="S50" s="742">
        <f t="shared" si="52"/>
        <v>627</v>
      </c>
      <c r="T50" s="742">
        <f t="shared" si="52"/>
        <v>585</v>
      </c>
      <c r="U50" s="742">
        <f t="shared" si="52"/>
        <v>512</v>
      </c>
      <c r="V50" s="742">
        <f t="shared" si="52"/>
        <v>401</v>
      </c>
      <c r="W50" s="742">
        <f t="shared" si="52"/>
        <v>294</v>
      </c>
      <c r="X50" s="742">
        <f t="shared" si="52"/>
        <v>212</v>
      </c>
      <c r="Y50" s="742">
        <f t="shared" si="52"/>
        <v>193</v>
      </c>
      <c r="Z50" s="788">
        <f t="shared" si="52"/>
        <v>238</v>
      </c>
      <c r="AA50" s="775">
        <f t="shared" si="52"/>
        <v>335</v>
      </c>
      <c r="AD50" s="7"/>
      <c r="AE50" s="7"/>
      <c r="AF50" s="7"/>
      <c r="AH50" s="7"/>
      <c r="AI50" s="74"/>
      <c r="AO50" s="1054">
        <v>43136</v>
      </c>
      <c r="AP50" s="13">
        <f t="shared" si="10"/>
        <v>3</v>
      </c>
      <c r="AQ50" s="13">
        <f t="shared" si="11"/>
        <v>4</v>
      </c>
      <c r="AR50" s="173">
        <f t="shared" si="12"/>
        <v>43136</v>
      </c>
      <c r="AS50" s="752">
        <f t="shared" si="13"/>
        <v>0</v>
      </c>
      <c r="AT50" s="768">
        <f t="shared" si="14"/>
        <v>28.2</v>
      </c>
      <c r="AU50" s="13">
        <f t="shared" si="15"/>
        <v>3</v>
      </c>
      <c r="AV50" s="13">
        <f t="shared" si="16"/>
        <v>2</v>
      </c>
      <c r="AW50" s="173">
        <f t="shared" si="17"/>
        <v>43150</v>
      </c>
      <c r="AX50" s="752">
        <f t="shared" si="18"/>
        <v>0.5</v>
      </c>
      <c r="AY50" s="768">
        <f t="shared" si="19"/>
        <v>28.164923624135554</v>
      </c>
      <c r="AZ50" s="745">
        <f t="shared" si="25"/>
        <v>28.182461812067778</v>
      </c>
      <c r="BA50" s="642">
        <f t="shared" si="20"/>
        <v>1.0153035625042728</v>
      </c>
      <c r="BC50" s="11">
        <v>43136</v>
      </c>
      <c r="BD50" s="290">
        <f>[2]!FeuilCaduc*(1-Persistant)+Persistant</f>
        <v>0.70018797512938336</v>
      </c>
      <c r="BE50" s="291">
        <f>[2]!CroissVégét</f>
        <v>4.4587231488279668E-3</v>
      </c>
      <c r="BF50" s="815">
        <f>1+[2]!Salcycl*Ksac</f>
        <v>1.0000313291882306</v>
      </c>
      <c r="BH50" s="1052">
        <f t="shared" si="21"/>
        <v>2.4535258558543101E-2</v>
      </c>
      <c r="BI50" s="11">
        <v>44232</v>
      </c>
      <c r="BJ50" s="725">
        <v>8.2074161879981972E-3</v>
      </c>
      <c r="BK50" s="725">
        <v>1.1910608284984497E-2</v>
      </c>
      <c r="BL50" s="725">
        <v>1.6118925612856785E-2</v>
      </c>
      <c r="BM50" s="725">
        <v>2.188302660407412E-2</v>
      </c>
      <c r="BN50" s="725">
        <v>2.8525396193879268E-2</v>
      </c>
      <c r="BO50" s="726">
        <v>3.6134558681108681E-2</v>
      </c>
      <c r="BP50" s="725">
        <v>4.4828124680579763E-2</v>
      </c>
      <c r="BQ50" s="725">
        <v>5.4625102193621683E-2</v>
      </c>
      <c r="BR50" s="725">
        <v>6.6078866922495358E-2</v>
      </c>
      <c r="BS50" s="725">
        <v>7.8984921819520645E-2</v>
      </c>
      <c r="BT50" s="725">
        <v>9.3425566969327425E-2</v>
      </c>
      <c r="BW50" s="1189">
        <f>'2018'!R\Max</f>
        <v>0</v>
      </c>
      <c r="BX50" s="1187">
        <f>'2019'!R\Max</f>
        <v>0.13134389082606637</v>
      </c>
      <c r="BY50" s="1187">
        <f>'2020'!R\Max</f>
        <v>1.0153035625042728</v>
      </c>
      <c r="BZ50" s="1187">
        <f>'2021'!R\Max</f>
        <v>0.47980614530702037</v>
      </c>
      <c r="CA50" s="1187">
        <f>'2022'!R\Max</f>
        <v>0.35565881936013022</v>
      </c>
      <c r="CB50" s="1187">
        <f>'2023'!R\Max</f>
        <v>0.35548054623424213</v>
      </c>
      <c r="CC50" s="1187">
        <f>'2024'!R\Max</f>
        <v>0.35530225751874311</v>
      </c>
      <c r="CD50" s="1187">
        <f>'2025'!R\Max</f>
        <v>0.35511257652984862</v>
      </c>
      <c r="CE50" s="1187">
        <f>'2026'!R\Max</f>
        <v>0.35612386142614549</v>
      </c>
      <c r="CF50" s="1188">
        <f>'2027'!R\Max</f>
        <v>0.3559787100112427</v>
      </c>
    </row>
    <row r="51" spans="1:84" s="6" customFormat="1" ht="11.25" x14ac:dyDescent="0.2">
      <c r="A51" s="11">
        <v>43137</v>
      </c>
      <c r="B51" s="380">
        <f>'2022'!Maxi_hp</f>
        <v>29.492309215343429</v>
      </c>
      <c r="C51" s="13">
        <f>'2022'!An_max</f>
        <v>2020</v>
      </c>
      <c r="D51" s="1061"/>
      <c r="E51" s="13"/>
      <c r="F51" s="13">
        <f t="shared" si="22"/>
        <v>5</v>
      </c>
      <c r="G51" s="13">
        <f t="shared" si="23"/>
        <v>4</v>
      </c>
      <c r="H51" s="173">
        <f t="shared" si="7"/>
        <v>43150</v>
      </c>
      <c r="I51" s="752">
        <f t="shared" si="8"/>
        <v>0.9285714285714286</v>
      </c>
      <c r="J51" s="745">
        <f t="shared" si="26"/>
        <v>28.549435130347103</v>
      </c>
      <c r="L51" s="755" t="s">
        <v>216</v>
      </c>
      <c r="M51" s="739">
        <f t="shared" ref="M51:AA51" si="53">x.1ld*x.1ld-x.2ld*x.2ld</f>
        <v>-2412424</v>
      </c>
      <c r="N51" s="739">
        <f t="shared" si="53"/>
        <v>-2500235</v>
      </c>
      <c r="O51" s="739">
        <f t="shared" si="53"/>
        <v>-2415616</v>
      </c>
      <c r="P51" s="739">
        <f t="shared" si="53"/>
        <v>-2417184</v>
      </c>
      <c r="Q51" s="739">
        <f t="shared" si="53"/>
        <v>-2418752</v>
      </c>
      <c r="R51" s="739">
        <f t="shared" si="53"/>
        <v>-2420320</v>
      </c>
      <c r="S51" s="739">
        <f t="shared" si="53"/>
        <v>-2421888</v>
      </c>
      <c r="T51" s="739">
        <f t="shared" si="53"/>
        <v>-2423456</v>
      </c>
      <c r="U51" s="739">
        <f t="shared" si="53"/>
        <v>-2425024</v>
      </c>
      <c r="V51" s="739">
        <f t="shared" si="53"/>
        <v>-2426592</v>
      </c>
      <c r="W51" s="739">
        <f t="shared" si="53"/>
        <v>-2428160</v>
      </c>
      <c r="X51" s="739">
        <f t="shared" si="53"/>
        <v>-2429728</v>
      </c>
      <c r="Y51" s="739">
        <f t="shared" si="53"/>
        <v>-2431296</v>
      </c>
      <c r="Z51" s="739">
        <f t="shared" si="53"/>
        <v>-2432864</v>
      </c>
      <c r="AA51" s="739">
        <f t="shared" si="53"/>
        <v>-2521405</v>
      </c>
      <c r="AC51" s="7"/>
      <c r="AD51" s="7"/>
      <c r="AE51" s="7"/>
      <c r="AF51" s="7"/>
      <c r="AH51" s="7"/>
      <c r="AI51" s="74"/>
      <c r="AO51" s="1054">
        <v>43137</v>
      </c>
      <c r="AP51" s="13">
        <f t="shared" si="10"/>
        <v>3</v>
      </c>
      <c r="AQ51" s="13">
        <f t="shared" si="11"/>
        <v>4</v>
      </c>
      <c r="AR51" s="173">
        <f t="shared" si="12"/>
        <v>43136</v>
      </c>
      <c r="AS51" s="752">
        <f t="shared" si="13"/>
        <v>3.5714285714285712E-2</v>
      </c>
      <c r="AT51" s="768">
        <f t="shared" si="14"/>
        <v>28.537579719961752</v>
      </c>
      <c r="AU51" s="13">
        <f t="shared" si="15"/>
        <v>3</v>
      </c>
      <c r="AV51" s="13">
        <f t="shared" si="16"/>
        <v>2</v>
      </c>
      <c r="AW51" s="173">
        <f t="shared" si="17"/>
        <v>43150</v>
      </c>
      <c r="AX51" s="752">
        <f t="shared" si="18"/>
        <v>0.4642857142857143</v>
      </c>
      <c r="AY51" s="768">
        <f t="shared" si="19"/>
        <v>28.526091065909714</v>
      </c>
      <c r="AZ51" s="745">
        <f t="shared" si="25"/>
        <v>28.531835392935733</v>
      </c>
      <c r="BA51" s="642">
        <f t="shared" si="20"/>
        <v>1.0330260154252258</v>
      </c>
      <c r="BC51" s="11">
        <v>43137</v>
      </c>
      <c r="BD51" s="290">
        <f>[2]!FeuilCaduc*(1-Persistant)+Persistant</f>
        <v>0.700246029633528</v>
      </c>
      <c r="BE51" s="291">
        <f>[2]!CroissVégét</f>
        <v>4.7026958080162657E-3</v>
      </c>
      <c r="BF51" s="815">
        <f>1+[2]!Salcycl*Ksac</f>
        <v>1.0000410049389212</v>
      </c>
      <c r="BH51" s="1052">
        <f t="shared" si="21"/>
        <v>2.4647655034765365E-2</v>
      </c>
      <c r="BI51" s="11">
        <v>44233</v>
      </c>
      <c r="BJ51" s="725">
        <v>8.0502736713435382E-3</v>
      </c>
      <c r="BK51" s="725">
        <v>1.1755300930164152E-2</v>
      </c>
      <c r="BL51" s="725">
        <v>1.6005295297671709E-2</v>
      </c>
      <c r="BM51" s="725">
        <v>2.1868194066795781E-2</v>
      </c>
      <c r="BN51" s="725">
        <v>2.8829201748866322E-2</v>
      </c>
      <c r="BO51" s="726">
        <v>3.6789479023488024E-2</v>
      </c>
      <c r="BP51" s="725">
        <v>4.5949279468037799E-2</v>
      </c>
      <c r="BQ51" s="725">
        <v>5.6077495251270607E-2</v>
      </c>
      <c r="BR51" s="725">
        <v>6.7790701604853162E-2</v>
      </c>
      <c r="BS51" s="725">
        <v>8.075210951978197E-2</v>
      </c>
      <c r="BT51" s="725">
        <v>9.5137709104571977E-2</v>
      </c>
      <c r="BW51" s="1189">
        <f>'2018'!R\Max</f>
        <v>0</v>
      </c>
      <c r="BX51" s="1187">
        <f>'2019'!R\Max</f>
        <v>0.39744241597357138</v>
      </c>
      <c r="BY51" s="1187">
        <f>'2020'!R\Max</f>
        <v>1.0330260154252258</v>
      </c>
      <c r="BZ51" s="1187">
        <f>'2021'!R\Max</f>
        <v>0.35210029213177457</v>
      </c>
      <c r="CA51" s="1187">
        <f>'2022'!R\Max</f>
        <v>0.67109154211644051</v>
      </c>
      <c r="CB51" s="1187">
        <f>'2023'!R\Max</f>
        <v>0.67091277154650342</v>
      </c>
      <c r="CC51" s="1187">
        <f>'2024'!R\Max</f>
        <v>0.67073389332116007</v>
      </c>
      <c r="CD51" s="1187">
        <f>'2025'!R\Max</f>
        <v>0.67054538733882718</v>
      </c>
      <c r="CE51" s="1187">
        <f>'2026'!R\Max</f>
        <v>0.67155428475175261</v>
      </c>
      <c r="CF51" s="1188">
        <f>'2027'!R\Max</f>
        <v>0.67140982768835178</v>
      </c>
    </row>
    <row r="52" spans="1:84" s="6" customFormat="1" ht="11.25" x14ac:dyDescent="0.2">
      <c r="A52" s="11">
        <v>43138</v>
      </c>
      <c r="B52" s="380">
        <f>'2022'!Maxi_hp</f>
        <v>20.449279964874634</v>
      </c>
      <c r="C52" s="13">
        <f>'2022'!An_max</f>
        <v>2020</v>
      </c>
      <c r="D52" s="1061"/>
      <c r="E52" s="13"/>
      <c r="F52" s="13">
        <f t="shared" si="22"/>
        <v>5</v>
      </c>
      <c r="G52" s="13">
        <f t="shared" si="23"/>
        <v>4</v>
      </c>
      <c r="H52" s="173">
        <f t="shared" si="7"/>
        <v>43150</v>
      </c>
      <c r="I52" s="752">
        <f t="shared" si="8"/>
        <v>0.8571428571428571</v>
      </c>
      <c r="J52" s="745">
        <f t="shared" si="26"/>
        <v>28.904664722138214</v>
      </c>
      <c r="L52" s="755" t="s">
        <v>217</v>
      </c>
      <c r="M52" s="739">
        <f t="shared" ref="M52:AA52" si="54">x.2ld*x.2ld-x.3ld*x.3ld</f>
        <v>-2500235</v>
      </c>
      <c r="N52" s="739">
        <f t="shared" si="54"/>
        <v>-2415616</v>
      </c>
      <c r="O52" s="739">
        <f t="shared" si="54"/>
        <v>-2417184</v>
      </c>
      <c r="P52" s="739">
        <f t="shared" si="54"/>
        <v>-2418752</v>
      </c>
      <c r="Q52" s="739">
        <f t="shared" si="54"/>
        <v>-2420320</v>
      </c>
      <c r="R52" s="739">
        <f t="shared" si="54"/>
        <v>-2421888</v>
      </c>
      <c r="S52" s="739">
        <f t="shared" si="54"/>
        <v>-2423456</v>
      </c>
      <c r="T52" s="739">
        <f t="shared" si="54"/>
        <v>-2425024</v>
      </c>
      <c r="U52" s="739">
        <f t="shared" si="54"/>
        <v>-2426592</v>
      </c>
      <c r="V52" s="739">
        <f t="shared" si="54"/>
        <v>-2428160</v>
      </c>
      <c r="W52" s="739">
        <f t="shared" si="54"/>
        <v>-2429728</v>
      </c>
      <c r="X52" s="739">
        <f t="shared" si="54"/>
        <v>-2431296</v>
      </c>
      <c r="Y52" s="739">
        <f t="shared" si="54"/>
        <v>-2432864</v>
      </c>
      <c r="Z52" s="739">
        <f t="shared" si="54"/>
        <v>-2521405</v>
      </c>
      <c r="AA52" s="739">
        <f t="shared" si="54"/>
        <v>-2436056</v>
      </c>
      <c r="AC52" s="7"/>
      <c r="AD52" s="7"/>
      <c r="AE52" s="7"/>
      <c r="AF52" s="7"/>
      <c r="AH52" s="7"/>
      <c r="AI52" s="74"/>
      <c r="AO52" s="1054">
        <v>43138</v>
      </c>
      <c r="AP52" s="13">
        <f t="shared" si="10"/>
        <v>3</v>
      </c>
      <c r="AQ52" s="13">
        <f t="shared" si="11"/>
        <v>4</v>
      </c>
      <c r="AR52" s="173">
        <f t="shared" si="12"/>
        <v>43136</v>
      </c>
      <c r="AS52" s="752">
        <f t="shared" si="13"/>
        <v>7.1428571428571425E-2</v>
      </c>
      <c r="AT52" s="768">
        <f t="shared" si="14"/>
        <v>28.882270407889571</v>
      </c>
      <c r="AU52" s="13">
        <f t="shared" si="15"/>
        <v>3</v>
      </c>
      <c r="AV52" s="13">
        <f t="shared" si="16"/>
        <v>2</v>
      </c>
      <c r="AW52" s="173">
        <f t="shared" si="17"/>
        <v>43150</v>
      </c>
      <c r="AX52" s="752">
        <f t="shared" si="18"/>
        <v>0.42857142857142855</v>
      </c>
      <c r="AY52" s="768">
        <f t="shared" si="19"/>
        <v>28.891830914148262</v>
      </c>
      <c r="AZ52" s="745">
        <f t="shared" si="25"/>
        <v>28.887050661018918</v>
      </c>
      <c r="BA52" s="642">
        <f t="shared" si="20"/>
        <v>0.70747334942143225</v>
      </c>
      <c r="BC52" s="11">
        <v>43138</v>
      </c>
      <c r="BD52" s="290">
        <f>[2]!FeuilCaduc*(1-Persistant)+Persistant</f>
        <v>0.70031063380098102</v>
      </c>
      <c r="BE52" s="291">
        <f>[2]!CroissVégét</f>
        <v>4.9567764778191995E-3</v>
      </c>
      <c r="BF52" s="815">
        <f>1+[2]!Salcycl*Ksac</f>
        <v>1.0000517723001634</v>
      </c>
      <c r="BH52" s="1052">
        <f t="shared" si="21"/>
        <v>2.463195223088167E-2</v>
      </c>
      <c r="BI52" s="11">
        <v>44234</v>
      </c>
      <c r="BJ52" s="725">
        <v>7.853710280738108E-3</v>
      </c>
      <c r="BK52" s="725">
        <v>1.1538622359844647E-2</v>
      </c>
      <c r="BL52" s="725">
        <v>1.5806779559539502E-2</v>
      </c>
      <c r="BM52" s="725">
        <v>2.1732534021621328E-2</v>
      </c>
      <c r="BN52" s="725">
        <v>2.8993968040944933E-2</v>
      </c>
      <c r="BO52" s="726">
        <v>3.7294651795035341E-2</v>
      </c>
      <c r="BP52" s="725">
        <v>4.6924127169707987E-2</v>
      </c>
      <c r="BQ52" s="725">
        <v>5.7406829756663363E-2</v>
      </c>
      <c r="BR52" s="725">
        <v>6.9412757009316289E-2</v>
      </c>
      <c r="BS52" s="725">
        <v>8.2481265856256536E-2</v>
      </c>
      <c r="BT52" s="725">
        <v>9.6849558219878465E-2</v>
      </c>
      <c r="BW52" s="1189">
        <f>'2018'!R\Max</f>
        <v>0</v>
      </c>
      <c r="BX52" s="1187">
        <f>'2019'!R\Max</f>
        <v>0.23821217519539029</v>
      </c>
      <c r="BY52" s="1187">
        <f>'2020'!R\Max</f>
        <v>0.70747334942143225</v>
      </c>
      <c r="BZ52" s="1187">
        <f>'2021'!R\Max</f>
        <v>0.60489599665609584</v>
      </c>
      <c r="CA52" s="1187">
        <f>'2022'!R\Max</f>
        <v>0.35373215250888529</v>
      </c>
      <c r="CB52" s="1187">
        <f>'2023'!R\Max</f>
        <v>0.35353992485952035</v>
      </c>
      <c r="CC52" s="1187">
        <f>'2024'!R\Max</f>
        <v>0.3533476796513606</v>
      </c>
      <c r="CD52" s="1187">
        <f>'2025'!R\Max</f>
        <v>0.35314684448877298</v>
      </c>
      <c r="CE52" s="1187">
        <f>'2026'!R\Max</f>
        <v>0.35422619896280177</v>
      </c>
      <c r="CF52" s="1188">
        <f>'2027'!R\Max</f>
        <v>0.3540718786042002</v>
      </c>
    </row>
    <row r="53" spans="1:84" s="6" customFormat="1" ht="11.25" x14ac:dyDescent="0.2">
      <c r="A53" s="11">
        <v>43139</v>
      </c>
      <c r="B53" s="380">
        <f>'2022'!Maxi_hp</f>
        <v>29.983116479380318</v>
      </c>
      <c r="C53" s="13">
        <f>'2022'!An_max</f>
        <v>2022</v>
      </c>
      <c r="D53" s="1061"/>
      <c r="E53" s="13"/>
      <c r="F53" s="13">
        <f t="shared" si="22"/>
        <v>5</v>
      </c>
      <c r="G53" s="13">
        <f t="shared" si="23"/>
        <v>4</v>
      </c>
      <c r="H53" s="173">
        <f t="shared" si="7"/>
        <v>43150</v>
      </c>
      <c r="I53" s="752">
        <f t="shared" si="8"/>
        <v>0.7857142857142857</v>
      </c>
      <c r="J53" s="745">
        <f t="shared" si="26"/>
        <v>29.265360786207019</v>
      </c>
      <c r="L53" s="755" t="s">
        <v>218</v>
      </c>
      <c r="M53" s="739">
        <f t="shared" ref="M53:AA53" si="55">(y.1ld-y.2ld-b.ld*(x.1ld-x.2ld))/D2x12Ld</f>
        <v>3.9127992394777829E-2</v>
      </c>
      <c r="N53" s="739">
        <f t="shared" si="55"/>
        <v>3.3553711865867558E-2</v>
      </c>
      <c r="O53" s="739">
        <f t="shared" si="55"/>
        <v>1.594387755101858E-2</v>
      </c>
      <c r="P53" s="739">
        <f t="shared" si="55"/>
        <v>-3.8265306122454612E-3</v>
      </c>
      <c r="Q53" s="739">
        <f t="shared" si="55"/>
        <v>-3.6989795918368873E-2</v>
      </c>
      <c r="R53" s="739">
        <f t="shared" si="55"/>
        <v>-2.9974489795920826E-2</v>
      </c>
      <c r="S53" s="739">
        <f t="shared" si="55"/>
        <v>-1.6581632653059137E-2</v>
      </c>
      <c r="T53" s="739">
        <f t="shared" si="55"/>
        <v>-1.7219387755104933E-2</v>
      </c>
      <c r="U53" s="739">
        <f t="shared" si="55"/>
        <v>-1.9770408163267295E-2</v>
      </c>
      <c r="V53" s="739">
        <f t="shared" si="55"/>
        <v>-2.4234693877549215E-2</v>
      </c>
      <c r="W53" s="739">
        <f t="shared" si="55"/>
        <v>2.5510204081631853E-3</v>
      </c>
      <c r="X53" s="739">
        <f t="shared" si="55"/>
        <v>1.5943877551019413E-2</v>
      </c>
      <c r="Y53" s="739">
        <f t="shared" si="55"/>
        <v>4.0178571428568156E-2</v>
      </c>
      <c r="Z53" s="739">
        <f t="shared" si="55"/>
        <v>3.9127992394774991E-2</v>
      </c>
      <c r="AA53" s="739">
        <f t="shared" si="55"/>
        <v>3.3553711865875406E-2</v>
      </c>
      <c r="AC53" s="7"/>
      <c r="AD53" s="7"/>
      <c r="AE53" s="7"/>
      <c r="AF53" s="7"/>
      <c r="AH53" s="7"/>
      <c r="AI53" s="74"/>
      <c r="AO53" s="1054">
        <v>43139</v>
      </c>
      <c r="AP53" s="13">
        <f t="shared" si="10"/>
        <v>3</v>
      </c>
      <c r="AQ53" s="13">
        <f t="shared" si="11"/>
        <v>4</v>
      </c>
      <c r="AR53" s="173">
        <f t="shared" si="12"/>
        <v>43136</v>
      </c>
      <c r="AS53" s="752">
        <f t="shared" si="13"/>
        <v>0.10714285714285714</v>
      </c>
      <c r="AT53" s="768">
        <f t="shared" si="14"/>
        <v>29.23378507670547</v>
      </c>
      <c r="AU53" s="13">
        <f t="shared" si="15"/>
        <v>3</v>
      </c>
      <c r="AV53" s="13">
        <f t="shared" si="16"/>
        <v>2</v>
      </c>
      <c r="AW53" s="173">
        <f t="shared" si="17"/>
        <v>43150</v>
      </c>
      <c r="AX53" s="752">
        <f t="shared" si="18"/>
        <v>0.39285714285714285</v>
      </c>
      <c r="AY53" s="768">
        <f t="shared" si="19"/>
        <v>29.261765814359698</v>
      </c>
      <c r="AZ53" s="745">
        <f t="shared" si="25"/>
        <v>29.247775445532582</v>
      </c>
      <c r="BA53" s="642">
        <f t="shared" si="20"/>
        <v>1.0245257763407305</v>
      </c>
      <c r="BC53" s="11">
        <v>43139</v>
      </c>
      <c r="BD53" s="290">
        <f>[2]!FeuilCaduc*(1-Persistant)+Persistant</f>
        <v>0.70038119862983061</v>
      </c>
      <c r="BE53" s="291">
        <f>[2]!CroissVégét</f>
        <v>5.2213784245517241E-3</v>
      </c>
      <c r="BF53" s="815">
        <f>1+[2]!Salcycl*Ksac</f>
        <v>1.0000635331049719</v>
      </c>
      <c r="BH53" s="1052">
        <f t="shared" si="21"/>
        <v>2.4505618601474217E-2</v>
      </c>
      <c r="BI53" s="11">
        <v>44235</v>
      </c>
      <c r="BJ53" s="725">
        <v>7.6262092106336088E-3</v>
      </c>
      <c r="BK53" s="725">
        <v>1.1276400488236131E-2</v>
      </c>
      <c r="BL53" s="725">
        <v>1.55438487562502E-2</v>
      </c>
      <c r="BM53" s="725">
        <v>2.1497014513605226E-2</v>
      </c>
      <c r="BN53" s="725">
        <v>2.9031898582606495E-2</v>
      </c>
      <c r="BO53" s="726">
        <v>3.7653144291797072E-2</v>
      </c>
      <c r="BP53" s="725">
        <v>4.7740531382659504E-2</v>
      </c>
      <c r="BQ53" s="725">
        <v>5.8590777765476512E-2</v>
      </c>
      <c r="BR53" s="725">
        <v>7.0910666444823287E-2</v>
      </c>
      <c r="BS53" s="725">
        <v>8.4129822506375879E-2</v>
      </c>
      <c r="BT53" s="725">
        <v>9.850513979106211E-2</v>
      </c>
      <c r="BW53" s="1189">
        <f>'2018'!R\Max</f>
        <v>0</v>
      </c>
      <c r="BX53" s="1187">
        <f>'2019'!R\Max</f>
        <v>0.83202431044107927</v>
      </c>
      <c r="BY53" s="1187">
        <f>'2020'!R\Max</f>
        <v>0.81668622677827096</v>
      </c>
      <c r="BZ53" s="1187">
        <f>'2021'!R\Max</f>
        <v>0.16800239244074261</v>
      </c>
      <c r="CA53" s="1187">
        <f>'2022'!R\Max</f>
        <v>1.0245257763407305</v>
      </c>
      <c r="CB53" s="1187">
        <f>'2023'!R\Max</f>
        <v>1.0245257763407307</v>
      </c>
      <c r="CC53" s="1187">
        <f>'2024'!R\Max</f>
        <v>1.0245257763407305</v>
      </c>
      <c r="CD53" s="1187">
        <f>'2025'!R\Max</f>
        <v>1.0245257763407305</v>
      </c>
      <c r="CE53" s="1187">
        <f>'2026'!R\Max</f>
        <v>1.0245257763407305</v>
      </c>
      <c r="CF53" s="1188">
        <f>'2027'!R\Max</f>
        <v>1.0245257763407305</v>
      </c>
    </row>
    <row r="54" spans="1:84" s="6" customFormat="1" ht="11.25" x14ac:dyDescent="0.2">
      <c r="A54" s="11">
        <v>43140</v>
      </c>
      <c r="B54" s="380">
        <f>'2022'!Maxi_hp</f>
        <v>30.076215660223145</v>
      </c>
      <c r="C54" s="13">
        <f>'2022'!An_max</f>
        <v>2022</v>
      </c>
      <c r="D54" s="1061"/>
      <c r="E54" s="13"/>
      <c r="F54" s="13">
        <f t="shared" si="22"/>
        <v>5</v>
      </c>
      <c r="G54" s="13">
        <f t="shared" si="23"/>
        <v>4</v>
      </c>
      <c r="H54" s="173">
        <f t="shared" si="7"/>
        <v>43150</v>
      </c>
      <c r="I54" s="752">
        <f t="shared" si="8"/>
        <v>0.7142857142857143</v>
      </c>
      <c r="J54" s="745">
        <f t="shared" si="26"/>
        <v>29.631195334877287</v>
      </c>
      <c r="L54" s="755" t="s">
        <v>219</v>
      </c>
      <c r="M54" s="739">
        <f t="shared" ref="M54:AA54" si="56">(y.2ld-y.3ld-(y.1ld-y.2ld)*D2x23Ld/D2x12Ld)/(x.2ld-x.3ld)/(1-(x.2ld+x.3ld)/(x.1ld+x.2ld))</f>
        <v>-3371.8681401778399</v>
      </c>
      <c r="N54" s="739">
        <f t="shared" si="56"/>
        <v>-2891.2815443778409</v>
      </c>
      <c r="O54" s="739">
        <f t="shared" si="56"/>
        <v>-1372.0459183671892</v>
      </c>
      <c r="P54" s="739">
        <f t="shared" si="56"/>
        <v>334.69387755106902</v>
      </c>
      <c r="Q54" s="739">
        <f t="shared" si="56"/>
        <v>3199.469387755234</v>
      </c>
      <c r="R54" s="739">
        <f t="shared" si="56"/>
        <v>2593.0663265308249</v>
      </c>
      <c r="S54" s="739">
        <f t="shared" si="56"/>
        <v>1434.6377551018602</v>
      </c>
      <c r="T54" s="739">
        <f t="shared" si="56"/>
        <v>1489.8367346941279</v>
      </c>
      <c r="U54" s="739">
        <f t="shared" si="56"/>
        <v>1710.7755102042538</v>
      </c>
      <c r="V54" s="739">
        <f t="shared" si="56"/>
        <v>2097.6683673467824</v>
      </c>
      <c r="W54" s="739">
        <f t="shared" si="56"/>
        <v>-225.18877551019713</v>
      </c>
      <c r="X54" s="739">
        <f t="shared" si="56"/>
        <v>-1387.367346938689</v>
      </c>
      <c r="Y54" s="739">
        <f t="shared" si="56"/>
        <v>-3491.7142857140016</v>
      </c>
      <c r="Z54" s="739">
        <f t="shared" si="56"/>
        <v>-3400.4315746257812</v>
      </c>
      <c r="AA54" s="739">
        <f t="shared" si="56"/>
        <v>-2915.7757540406064</v>
      </c>
      <c r="AC54" s="7"/>
      <c r="AD54" s="7"/>
      <c r="AE54" s="7"/>
      <c r="AF54" s="7"/>
      <c r="AH54" s="7"/>
      <c r="AI54" s="74"/>
      <c r="AO54" s="1054">
        <v>43140</v>
      </c>
      <c r="AP54" s="13">
        <f t="shared" si="10"/>
        <v>3</v>
      </c>
      <c r="AQ54" s="13">
        <f t="shared" si="11"/>
        <v>4</v>
      </c>
      <c r="AR54" s="173">
        <f t="shared" si="12"/>
        <v>43136</v>
      </c>
      <c r="AS54" s="752">
        <f t="shared" si="13"/>
        <v>0.14285714285714285</v>
      </c>
      <c r="AT54" s="768">
        <f t="shared" si="14"/>
        <v>29.591836735340102</v>
      </c>
      <c r="AU54" s="13">
        <f t="shared" si="15"/>
        <v>3</v>
      </c>
      <c r="AV54" s="13">
        <f t="shared" si="16"/>
        <v>2</v>
      </c>
      <c r="AW54" s="173">
        <f t="shared" si="17"/>
        <v>43150</v>
      </c>
      <c r="AX54" s="752">
        <f t="shared" si="18"/>
        <v>0.35714285714285715</v>
      </c>
      <c r="AY54" s="768">
        <f t="shared" si="19"/>
        <v>29.635518412238788</v>
      </c>
      <c r="AZ54" s="745">
        <f t="shared" si="25"/>
        <v>29.613677573789445</v>
      </c>
      <c r="BA54" s="642">
        <f t="shared" si="20"/>
        <v>1.0150186423570313</v>
      </c>
      <c r="BC54" s="11">
        <v>43140</v>
      </c>
      <c r="BD54" s="290">
        <f>[2]!FeuilCaduc*(1-Persistant)+Persistant</f>
        <v>0.70045710179926202</v>
      </c>
      <c r="BE54" s="291">
        <f>[2]!CroissVégét</f>
        <v>5.4969313417339892E-3</v>
      </c>
      <c r="BF54" s="815">
        <f>1+[2]!Salcycl*Ksac</f>
        <v>1.0000761836332104</v>
      </c>
      <c r="BH54" s="1052">
        <f t="shared" si="21"/>
        <v>2.4268714325979612E-2</v>
      </c>
      <c r="BI54" s="11">
        <v>44236</v>
      </c>
      <c r="BJ54" s="725">
        <v>7.3677900169458778E-3</v>
      </c>
      <c r="BK54" s="725">
        <v>1.096866349984691E-2</v>
      </c>
      <c r="BL54" s="725">
        <v>1.5216541255860814E-2</v>
      </c>
      <c r="BM54" s="725">
        <v>2.1161690198370196E-2</v>
      </c>
      <c r="BN54" s="725">
        <v>2.8943061863562922E-2</v>
      </c>
      <c r="BO54" s="726">
        <v>3.7865037931369812E-2</v>
      </c>
      <c r="BP54" s="725">
        <v>4.8398584949823235E-2</v>
      </c>
      <c r="BQ54" s="725">
        <v>5.9629438952895852E-2</v>
      </c>
      <c r="BR54" s="725">
        <v>7.2284536643976549E-2</v>
      </c>
      <c r="BS54" s="725">
        <v>8.5697890151644057E-2</v>
      </c>
      <c r="BT54" s="725">
        <v>0.10010457614317415</v>
      </c>
      <c r="BW54" s="1189">
        <f>'2018'!R\Max</f>
        <v>0</v>
      </c>
      <c r="BX54" s="1187">
        <f>'2019'!R\Max</f>
        <v>0.88325874267017224</v>
      </c>
      <c r="BY54" s="1187">
        <f>'2020'!R\Max</f>
        <v>0.86208432716443739</v>
      </c>
      <c r="BZ54" s="1187">
        <f>'2021'!R\Max</f>
        <v>0.44024213200235712</v>
      </c>
      <c r="CA54" s="1187">
        <f>'2022'!R\Max</f>
        <v>1.0150186423570313</v>
      </c>
      <c r="CB54" s="1187">
        <f>'2023'!R\Max</f>
        <v>1.0150186423570313</v>
      </c>
      <c r="CC54" s="1187">
        <f>'2024'!R\Max</f>
        <v>1.0150186423570313</v>
      </c>
      <c r="CD54" s="1187">
        <f>'2025'!R\Max</f>
        <v>1.0150186423570313</v>
      </c>
      <c r="CE54" s="1187">
        <f>'2026'!R\Max</f>
        <v>1.0150186423570315</v>
      </c>
      <c r="CF54" s="1188">
        <f>'2027'!R\Max</f>
        <v>1.0150186423570313</v>
      </c>
    </row>
    <row r="55" spans="1:84" s="6" customFormat="1" ht="11.25" x14ac:dyDescent="0.2">
      <c r="A55" s="11">
        <v>43141</v>
      </c>
      <c r="B55" s="380">
        <f>'2022'!Maxi_hp</f>
        <v>28.226702999052218</v>
      </c>
      <c r="C55" s="13">
        <f>'2022'!An_max</f>
        <v>2022</v>
      </c>
      <c r="D55" s="1061"/>
      <c r="E55" s="13"/>
      <c r="F55" s="13">
        <f t="shared" si="22"/>
        <v>5</v>
      </c>
      <c r="G55" s="13">
        <f t="shared" si="23"/>
        <v>4</v>
      </c>
      <c r="H55" s="173">
        <f t="shared" si="7"/>
        <v>43150</v>
      </c>
      <c r="I55" s="752">
        <f t="shared" si="8"/>
        <v>0.6428571428571429</v>
      </c>
      <c r="J55" s="745">
        <f t="shared" si="26"/>
        <v>30.001840378423886</v>
      </c>
      <c r="L55" s="755" t="s">
        <v>220</v>
      </c>
      <c r="M55" s="739">
        <f t="shared" ref="M55:AA55" si="57">(y.1ld+y.2ld+y.3ld-a.ld*(x.3ld*x.3ld+x.2ld*x.2ld+x.1ld*x.1ld)-b.ld*(x.3ld+x.2ld+x.1ld))/3</f>
        <v>72643164.725559801</v>
      </c>
      <c r="N55" s="739">
        <f t="shared" si="57"/>
        <v>62284722.55832804</v>
      </c>
      <c r="O55" s="739">
        <f t="shared" si="57"/>
        <v>29517852.028057825</v>
      </c>
      <c r="P55" s="739">
        <f t="shared" si="57"/>
        <v>-7317002.3724500276</v>
      </c>
      <c r="Q55" s="739">
        <f t="shared" si="57"/>
        <v>-69184687.790819183</v>
      </c>
      <c r="R55" s="739">
        <f t="shared" si="57"/>
        <v>-56080319.012759693</v>
      </c>
      <c r="S55" s="739">
        <f t="shared" si="57"/>
        <v>-31030462.209179763</v>
      </c>
      <c r="T55" s="739">
        <f t="shared" si="57"/>
        <v>-32224857.604597256</v>
      </c>
      <c r="U55" s="739">
        <f t="shared" si="57"/>
        <v>-37008623.471942499</v>
      </c>
      <c r="V55" s="739">
        <f t="shared" si="57"/>
        <v>-45391043.239792526</v>
      </c>
      <c r="W55" s="739">
        <f t="shared" si="57"/>
        <v>4968494.3673467888</v>
      </c>
      <c r="X55" s="739">
        <f t="shared" si="57"/>
        <v>30180793.670916494</v>
      </c>
      <c r="Y55" s="739">
        <f t="shared" si="57"/>
        <v>75861952.26785098</v>
      </c>
      <c r="Z55" s="739">
        <f t="shared" si="57"/>
        <v>73879109.423506141</v>
      </c>
      <c r="AA55" s="739">
        <f t="shared" si="57"/>
        <v>63344510.515304111</v>
      </c>
      <c r="AB55" s="7"/>
      <c r="AC55" s="7"/>
      <c r="AD55" s="7"/>
      <c r="AE55" s="7"/>
      <c r="AF55" s="7"/>
      <c r="AH55" s="7"/>
      <c r="AI55" s="74"/>
      <c r="AO55" s="1054">
        <v>43141</v>
      </c>
      <c r="AP55" s="13">
        <f t="shared" si="10"/>
        <v>3</v>
      </c>
      <c r="AQ55" s="13">
        <f t="shared" si="11"/>
        <v>4</v>
      </c>
      <c r="AR55" s="173">
        <f t="shared" si="12"/>
        <v>43136</v>
      </c>
      <c r="AS55" s="752">
        <f t="shared" si="13"/>
        <v>0.17857142857142858</v>
      </c>
      <c r="AT55" s="768">
        <f t="shared" si="14"/>
        <v>29.9561383938949</v>
      </c>
      <c r="AU55" s="13">
        <f t="shared" si="15"/>
        <v>3</v>
      </c>
      <c r="AV55" s="13">
        <f t="shared" si="16"/>
        <v>2</v>
      </c>
      <c r="AW55" s="173">
        <f t="shared" si="17"/>
        <v>43150</v>
      </c>
      <c r="AX55" s="752">
        <f t="shared" si="18"/>
        <v>0.32142857142857145</v>
      </c>
      <c r="AY55" s="768">
        <f t="shared" si="19"/>
        <v>30.012711354704312</v>
      </c>
      <c r="AZ55" s="745">
        <f t="shared" si="25"/>
        <v>29.984424874299606</v>
      </c>
      <c r="BA55" s="642">
        <f t="shared" si="20"/>
        <v>0.94083238371442457</v>
      </c>
      <c r="BC55" s="11">
        <v>43141</v>
      </c>
      <c r="BD55" s="290">
        <f>[2]!FeuilCaduc*(1-Persistant)+Persistant</f>
        <v>0.70053769532927901</v>
      </c>
      <c r="BE55" s="291">
        <f>[2]!CroissVégét</f>
        <v>5.7838819630590035E-3</v>
      </c>
      <c r="BF55" s="815">
        <f>1+[2]!Salcycl*Ksac</f>
        <v>1.0000896158882131</v>
      </c>
      <c r="BH55" s="1052">
        <f t="shared" si="21"/>
        <v>2.3921300149421044E-2</v>
      </c>
      <c r="BI55" s="11">
        <v>44237</v>
      </c>
      <c r="BJ55" s="725">
        <v>7.0784714530009374E-3</v>
      </c>
      <c r="BK55" s="725">
        <v>1.0615438761197811E-2</v>
      </c>
      <c r="BL55" s="725">
        <v>1.4824894809182955E-2</v>
      </c>
      <c r="BM55" s="725">
        <v>2.072661563426156E-2</v>
      </c>
      <c r="BN55" s="725">
        <v>2.8727527936355208E-2</v>
      </c>
      <c r="BO55" s="726">
        <v>3.7930417513742903E-2</v>
      </c>
      <c r="BP55" s="725">
        <v>4.8898386516777553E-2</v>
      </c>
      <c r="BQ55" s="725">
        <v>6.0522920498881611E-2</v>
      </c>
      <c r="BR55" s="725">
        <v>7.3534483191019878E-2</v>
      </c>
      <c r="BS55" s="725">
        <v>8.7185588616190815E-2</v>
      </c>
      <c r="BT55" s="725">
        <v>0.10164799852336981</v>
      </c>
      <c r="BW55" s="1189">
        <f>'2018'!R\Max</f>
        <v>0</v>
      </c>
      <c r="BX55" s="1187">
        <f>'2019'!R\Max</f>
        <v>0.31371234397661774</v>
      </c>
      <c r="BY55" s="1187">
        <f>'2020'!R\Max</f>
        <v>0.31694448113014023</v>
      </c>
      <c r="BZ55" s="1187">
        <f>'2021'!R\Max</f>
        <v>0.51400936813506348</v>
      </c>
      <c r="CA55" s="1187">
        <f>'2022'!R\Max</f>
        <v>0.94083238371442457</v>
      </c>
      <c r="CB55" s="1187">
        <f>'2023'!R\Max</f>
        <v>0.94078097000111538</v>
      </c>
      <c r="CC55" s="1187">
        <f>'2024'!R\Max</f>
        <v>0.94072949533232908</v>
      </c>
      <c r="CD55" s="1187">
        <f>'2025'!R\Max</f>
        <v>0.94067640376782291</v>
      </c>
      <c r="CE55" s="1187">
        <f>'2026'!R\Max</f>
        <v>0.9409606497214662</v>
      </c>
      <c r="CF55" s="1188">
        <f>'2027'!R\Max</f>
        <v>0.94092070983769671</v>
      </c>
    </row>
    <row r="56" spans="1:84" s="6" customFormat="1" ht="11.25" x14ac:dyDescent="0.2">
      <c r="A56" s="11">
        <v>43142</v>
      </c>
      <c r="B56" s="380">
        <f>'2022'!Maxi_hp</f>
        <v>25.264298487786281</v>
      </c>
      <c r="C56" s="13">
        <f>'2022'!An_max</f>
        <v>2021</v>
      </c>
      <c r="D56" s="1061"/>
      <c r="E56" s="13"/>
      <c r="F56" s="13">
        <f t="shared" si="22"/>
        <v>5</v>
      </c>
      <c r="G56" s="13">
        <f t="shared" si="23"/>
        <v>4</v>
      </c>
      <c r="H56" s="173">
        <f t="shared" si="7"/>
        <v>43150</v>
      </c>
      <c r="I56" s="752">
        <f t="shared" si="8"/>
        <v>0.5714285714285714</v>
      </c>
      <c r="J56" s="745">
        <f t="shared" si="26"/>
        <v>30.376967929303646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4">
        <v>43142</v>
      </c>
      <c r="AP56" s="13">
        <f t="shared" si="10"/>
        <v>3</v>
      </c>
      <c r="AQ56" s="13">
        <f t="shared" si="11"/>
        <v>4</v>
      </c>
      <c r="AR56" s="173">
        <f t="shared" si="12"/>
        <v>43136</v>
      </c>
      <c r="AS56" s="752">
        <f t="shared" si="13"/>
        <v>0.21428571428571427</v>
      </c>
      <c r="AT56" s="768">
        <f t="shared" si="14"/>
        <v>30.326403060874771</v>
      </c>
      <c r="AU56" s="13">
        <f t="shared" si="15"/>
        <v>3</v>
      </c>
      <c r="AV56" s="13">
        <f t="shared" si="16"/>
        <v>2</v>
      </c>
      <c r="AW56" s="173">
        <f t="shared" si="17"/>
        <v>43150</v>
      </c>
      <c r="AX56" s="752">
        <f t="shared" si="18"/>
        <v>0.2857142857142857</v>
      </c>
      <c r="AY56" s="768">
        <f t="shared" si="19"/>
        <v>30.392967288621833</v>
      </c>
      <c r="AZ56" s="745">
        <f t="shared" si="25"/>
        <v>30.3596851747483</v>
      </c>
      <c r="BA56" s="642">
        <f t="shared" si="20"/>
        <v>0.83169256874431685</v>
      </c>
      <c r="BC56" s="11">
        <v>43142</v>
      </c>
      <c r="BD56" s="290">
        <f>[2]!FeuilCaduc*(1-Persistant)+Persistant</f>
        <v>0.70062231378312334</v>
      </c>
      <c r="BE56" s="291">
        <f>[2]!CroissVégét</f>
        <v>6.0826946947814143E-3</v>
      </c>
      <c r="BF56" s="815">
        <f>1+[2]!Salcycl*Ksac</f>
        <v>1.000103718963854</v>
      </c>
      <c r="BH56" s="1052">
        <f t="shared" si="21"/>
        <v>2.3463435999815714E-2</v>
      </c>
      <c r="BI56" s="11">
        <v>44238</v>
      </c>
      <c r="BJ56" s="725">
        <v>6.7582710825372086E-3</v>
      </c>
      <c r="BK56" s="725">
        <v>1.0216752251276072E-2</v>
      </c>
      <c r="BL56" s="725">
        <v>1.4368945744436959E-2</v>
      </c>
      <c r="BM56" s="725">
        <v>2.0191844034086581E-2</v>
      </c>
      <c r="BN56" s="725">
        <v>2.8385366831665933E-2</v>
      </c>
      <c r="BO56" s="726">
        <v>3.7849369389524615E-2</v>
      </c>
      <c r="BP56" s="725">
        <v>4.9240038554308488E-2</v>
      </c>
      <c r="BQ56" s="725">
        <v>6.1271335275313997E-2</v>
      </c>
      <c r="BR56" s="725">
        <v>7.4660628975873944E-2</v>
      </c>
      <c r="BS56" s="725">
        <v>8.8593045866358716E-2</v>
      </c>
      <c r="BT56" s="725">
        <v>0.10313554640551682</v>
      </c>
      <c r="BW56" s="1189">
        <f>'2018'!R\Max</f>
        <v>0</v>
      </c>
      <c r="BX56" s="1187">
        <f>'2019'!R\Max</f>
        <v>0.62593770103191049</v>
      </c>
      <c r="BY56" s="1187">
        <f>'2020'!R\Max</f>
        <v>0.29798310353940838</v>
      </c>
      <c r="BZ56" s="1187">
        <f>'2021'!R\Max</f>
        <v>0.83169256874431685</v>
      </c>
      <c r="CA56" s="1187">
        <f>'2022'!R\Max</f>
        <v>0.59012101596217437</v>
      </c>
      <c r="CB56" s="1187">
        <f>'2023'!R\Max</f>
        <v>0.58989191436169153</v>
      </c>
      <c r="CC56" s="1187">
        <f>'2024'!R\Max</f>
        <v>0.58966268654145737</v>
      </c>
      <c r="CD56" s="1187">
        <f>'2025'!R\Max</f>
        <v>0.58942682539714575</v>
      </c>
      <c r="CE56" s="1187">
        <f>'2026'!R\Max</f>
        <v>0.59068726163499663</v>
      </c>
      <c r="CF56" s="1188">
        <f>'2027'!R\Max</f>
        <v>0.59051110613099167</v>
      </c>
    </row>
    <row r="57" spans="1:84" s="6" customFormat="1" ht="11.25" x14ac:dyDescent="0.2">
      <c r="A57" s="11">
        <v>43143</v>
      </c>
      <c r="B57" s="380">
        <f>'2022'!Maxi_hp</f>
        <v>31.080312640486358</v>
      </c>
      <c r="C57" s="13">
        <f>'2022'!An_max</f>
        <v>2019</v>
      </c>
      <c r="D57" s="1061"/>
      <c r="E57" s="13"/>
      <c r="F57" s="13">
        <f t="shared" si="22"/>
        <v>5</v>
      </c>
      <c r="G57" s="13">
        <f t="shared" si="23"/>
        <v>4</v>
      </c>
      <c r="H57" s="173">
        <f t="shared" si="7"/>
        <v>43150</v>
      </c>
      <c r="I57" s="752">
        <f t="shared" si="8"/>
        <v>0.5</v>
      </c>
      <c r="J57" s="745">
        <f t="shared" si="26"/>
        <v>30.756249999441206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4">
        <v>43143</v>
      </c>
      <c r="AP57" s="13">
        <f t="shared" si="10"/>
        <v>3</v>
      </c>
      <c r="AQ57" s="13">
        <f t="shared" si="11"/>
        <v>4</v>
      </c>
      <c r="AR57" s="173">
        <f t="shared" si="12"/>
        <v>43136</v>
      </c>
      <c r="AS57" s="752">
        <f t="shared" si="13"/>
        <v>0.25</v>
      </c>
      <c r="AT57" s="768">
        <f t="shared" si="14"/>
        <v>30.702343750093132</v>
      </c>
      <c r="AU57" s="13">
        <f t="shared" si="15"/>
        <v>3</v>
      </c>
      <c r="AV57" s="13">
        <f t="shared" si="16"/>
        <v>2</v>
      </c>
      <c r="AW57" s="173">
        <f t="shared" si="17"/>
        <v>43150</v>
      </c>
      <c r="AX57" s="752">
        <f t="shared" si="18"/>
        <v>0.25</v>
      </c>
      <c r="AY57" s="768">
        <f t="shared" si="19"/>
        <v>30.775908858794718</v>
      </c>
      <c r="AZ57" s="745">
        <f t="shared" si="25"/>
        <v>30.739126304443925</v>
      </c>
      <c r="BA57" s="642">
        <f t="shared" si="20"/>
        <v>1.0105364809120436</v>
      </c>
      <c r="BC57" s="11">
        <v>43143</v>
      </c>
      <c r="BD57" s="290">
        <f>[2]!FeuilCaduc*(1-Persistant)+Persistant</f>
        <v>0.70071028291511084</v>
      </c>
      <c r="BE57" s="291">
        <f>[2]!CroissVégét</f>
        <v>6.3938522678270975E-3</v>
      </c>
      <c r="BF57" s="815">
        <f>1+[2]!Salcycl*Ksac</f>
        <v>1.0001183804858518</v>
      </c>
      <c r="BH57" s="1052">
        <f t="shared" si="21"/>
        <v>2.2895179605409308E-2</v>
      </c>
      <c r="BI57" s="11">
        <v>44239</v>
      </c>
      <c r="BJ57" s="725">
        <v>6.4072048926524074E-3</v>
      </c>
      <c r="BK57" s="725">
        <v>9.7726279919079298E-3</v>
      </c>
      <c r="BL57" s="725">
        <v>1.3848728161794825E-2</v>
      </c>
      <c r="BM57" s="725">
        <v>1.95574260167009E-2</v>
      </c>
      <c r="BN57" s="725">
        <v>2.7916646973428501E-2</v>
      </c>
      <c r="BO57" s="726">
        <v>3.7621979627907504E-2</v>
      </c>
      <c r="BP57" s="725">
        <v>4.9423645380643082E-2</v>
      </c>
      <c r="BQ57" s="725">
        <v>6.1874800032739964E-2</v>
      </c>
      <c r="BR57" s="725">
        <v>7.5663102647691133E-2</v>
      </c>
      <c r="BS57" s="725">
        <v>8.9920397009720501E-2</v>
      </c>
      <c r="BT57" s="725">
        <v>0.10456736679413509</v>
      </c>
      <c r="BW57" s="1189">
        <f>'2018'!R\Max</f>
        <v>0</v>
      </c>
      <c r="BX57" s="1187">
        <f>'2019'!R\Max</f>
        <v>1.0105364809120436</v>
      </c>
      <c r="BY57" s="1187">
        <f>'2020'!R\Max</f>
        <v>0.60174583495628242</v>
      </c>
      <c r="BZ57" s="1187">
        <f>'2021'!R\Max</f>
        <v>0.18209321508687776</v>
      </c>
      <c r="CA57" s="1187">
        <f>'2022'!R\Max</f>
        <v>0.84340627243103694</v>
      </c>
      <c r="CB57" s="1187">
        <f>'2023'!R\Max</f>
        <v>0.8432782112286662</v>
      </c>
      <c r="CC57" s="1187">
        <f>'2024'!R\Max</f>
        <v>0.84315001484549412</v>
      </c>
      <c r="CD57" s="1187">
        <f>'2025'!R\Max</f>
        <v>0.84301811723474795</v>
      </c>
      <c r="CE57" s="1187">
        <f>'2026'!R\Max</f>
        <v>0.84371904699288069</v>
      </c>
      <c r="CF57" s="1188">
        <f>'2027'!R\Max</f>
        <v>0.84362196228811825</v>
      </c>
    </row>
    <row r="58" spans="1:84" s="6" customFormat="1" ht="11.25" x14ac:dyDescent="0.2">
      <c r="A58" s="11">
        <v>43144</v>
      </c>
      <c r="B58" s="380">
        <f>'2022'!Maxi_hp</f>
        <v>32.091869543727995</v>
      </c>
      <c r="C58" s="13">
        <f>'2022'!An_max</f>
        <v>2019</v>
      </c>
      <c r="D58" s="1061"/>
      <c r="E58" s="13"/>
      <c r="F58" s="13">
        <f t="shared" si="22"/>
        <v>5</v>
      </c>
      <c r="G58" s="13">
        <f t="shared" si="23"/>
        <v>4</v>
      </c>
      <c r="H58" s="173">
        <f t="shared" si="7"/>
        <v>43150</v>
      </c>
      <c r="I58" s="752">
        <f t="shared" si="8"/>
        <v>0.42857142857142855</v>
      </c>
      <c r="J58" s="745">
        <f t="shared" si="26"/>
        <v>31.139358600016152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4">
        <v>43144</v>
      </c>
      <c r="AP58" s="13">
        <f t="shared" si="10"/>
        <v>3</v>
      </c>
      <c r="AQ58" s="13">
        <f t="shared" si="11"/>
        <v>4</v>
      </c>
      <c r="AR58" s="173">
        <f t="shared" si="12"/>
        <v>43136</v>
      </c>
      <c r="AS58" s="752">
        <f t="shared" si="13"/>
        <v>0.2857142857142857</v>
      </c>
      <c r="AT58" s="768">
        <f t="shared" si="14"/>
        <v>31.083673469722271</v>
      </c>
      <c r="AU58" s="13">
        <f t="shared" si="15"/>
        <v>3</v>
      </c>
      <c r="AV58" s="13">
        <f t="shared" si="16"/>
        <v>2</v>
      </c>
      <c r="AW58" s="173">
        <f t="shared" si="17"/>
        <v>43150</v>
      </c>
      <c r="AX58" s="752">
        <f t="shared" si="18"/>
        <v>0.21428571428571427</v>
      </c>
      <c r="AY58" s="768">
        <f t="shared" si="19"/>
        <v>31.161158714070915</v>
      </c>
      <c r="AZ58" s="745">
        <f t="shared" si="25"/>
        <v>31.122416091896593</v>
      </c>
      <c r="BA58" s="642">
        <f t="shared" si="20"/>
        <v>1.0305886500729449</v>
      </c>
      <c r="BC58" s="11">
        <v>43144</v>
      </c>
      <c r="BD58" s="290">
        <f>[2]!FeuilCaduc*(1-Persistant)+Persistant</f>
        <v>0.70080092866405574</v>
      </c>
      <c r="BE58" s="291">
        <f>[2]!CroissVégét</f>
        <v>6.7178564099054624E-3</v>
      </c>
      <c r="BF58" s="815">
        <f>1+[2]!Salcycl*Ksac</f>
        <v>1.000133488110676</v>
      </c>
      <c r="BH58" s="1052">
        <f t="shared" si="21"/>
        <v>2.2242188215472695E-2</v>
      </c>
      <c r="BI58" s="11">
        <v>44240</v>
      </c>
      <c r="BJ58" s="725">
        <v>6.0395526374064481E-3</v>
      </c>
      <c r="BK58" s="725">
        <v>9.3027693181947646E-3</v>
      </c>
      <c r="BL58" s="725">
        <v>1.3289303047845917E-2</v>
      </c>
      <c r="BM58" s="725">
        <v>1.8857990801748995E-2</v>
      </c>
      <c r="BN58" s="725">
        <v>2.7333527773143414E-2</v>
      </c>
      <c r="BO58" s="726">
        <v>3.7229362454433396E-2</v>
      </c>
      <c r="BP58" s="725">
        <v>4.9385351485567698E-2</v>
      </c>
      <c r="BQ58" s="725">
        <v>6.2241021339892906E-2</v>
      </c>
      <c r="BR58" s="725">
        <v>7.6425198218049731E-2</v>
      </c>
      <c r="BS58" s="725">
        <v>9.1031350544415301E-2</v>
      </c>
      <c r="BT58" s="725">
        <v>0.10579819472871148</v>
      </c>
      <c r="BW58" s="1189">
        <f>'2018'!R\Max</f>
        <v>0</v>
      </c>
      <c r="BX58" s="1187">
        <f>'2019'!R\Max</f>
        <v>1.0305886500729449</v>
      </c>
      <c r="BY58" s="1187">
        <f>'2020'!R\Max</f>
        <v>0.53480921581013907</v>
      </c>
      <c r="BZ58" s="1187">
        <f>'2021'!R\Max</f>
        <v>0.27667089818037194</v>
      </c>
      <c r="CA58" s="1187">
        <f>'2022'!R\Max</f>
        <v>0.98601771397715343</v>
      </c>
      <c r="CB58" s="1187">
        <f>'2023'!R\Max</f>
        <v>0.98600411005474908</v>
      </c>
      <c r="CC58" s="1187">
        <f>'2024'!R\Max</f>
        <v>0.98599048768520225</v>
      </c>
      <c r="CD58" s="1187">
        <f>'2025'!R\Max</f>
        <v>0.98597645010028268</v>
      </c>
      <c r="CE58" s="1187">
        <f>'2026'!R\Max</f>
        <v>0.98605056117375522</v>
      </c>
      <c r="CF58" s="1188">
        <f>'2027'!R\Max</f>
        <v>0.98604038803750338</v>
      </c>
    </row>
    <row r="59" spans="1:84" s="6" customFormat="1" ht="11.25" x14ac:dyDescent="0.2">
      <c r="A59" s="11">
        <v>43145</v>
      </c>
      <c r="B59" s="380">
        <f>'2022'!Maxi_hp</f>
        <v>32.218134869509122</v>
      </c>
      <c r="C59" s="13">
        <f>'2022'!An_max</f>
        <v>2019</v>
      </c>
      <c r="D59" s="1061"/>
      <c r="E59" s="13"/>
      <c r="F59" s="13">
        <f t="shared" si="22"/>
        <v>5</v>
      </c>
      <c r="G59" s="13">
        <f t="shared" si="23"/>
        <v>4</v>
      </c>
      <c r="H59" s="173">
        <f t="shared" si="7"/>
        <v>43150</v>
      </c>
      <c r="I59" s="752">
        <f t="shared" si="8"/>
        <v>0.35714285714285715</v>
      </c>
      <c r="J59" s="745">
        <f t="shared" si="26"/>
        <v>31.525965742580592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4">
        <v>43145</v>
      </c>
      <c r="AP59" s="13">
        <f t="shared" si="10"/>
        <v>3</v>
      </c>
      <c r="AQ59" s="13">
        <f t="shared" si="11"/>
        <v>4</v>
      </c>
      <c r="AR59" s="173">
        <f t="shared" si="12"/>
        <v>43136</v>
      </c>
      <c r="AS59" s="752">
        <f t="shared" si="13"/>
        <v>0.32142857142857145</v>
      </c>
      <c r="AT59" s="768">
        <f t="shared" si="14"/>
        <v>31.470105229251619</v>
      </c>
      <c r="AU59" s="13">
        <f t="shared" si="15"/>
        <v>3</v>
      </c>
      <c r="AV59" s="13">
        <f t="shared" si="16"/>
        <v>2</v>
      </c>
      <c r="AW59" s="173">
        <f t="shared" si="17"/>
        <v>43150</v>
      </c>
      <c r="AX59" s="752">
        <f t="shared" si="18"/>
        <v>0.17857142857142858</v>
      </c>
      <c r="AY59" s="768">
        <f t="shared" si="19"/>
        <v>31.548339498455505</v>
      </c>
      <c r="AZ59" s="745">
        <f t="shared" si="25"/>
        <v>31.50922236385356</v>
      </c>
      <c r="BA59" s="642">
        <f t="shared" si="20"/>
        <v>1.0219555249339642</v>
      </c>
      <c r="BC59" s="11">
        <v>43145</v>
      </c>
      <c r="BD59" s="290">
        <f>[2]!FeuilCaduc*(1-Persistant)+Persistant</f>
        <v>0.7008935863910114</v>
      </c>
      <c r="BE59" s="291">
        <f>[2]!CroissVégét</f>
        <v>7.0552285378688686E-3</v>
      </c>
      <c r="BF59" s="815">
        <f>1+[2]!Salcycl*Ksac</f>
        <v>1.0001489310651686</v>
      </c>
      <c r="BH59" s="1052">
        <f t="shared" si="21"/>
        <v>2.1569467538674329E-2</v>
      </c>
      <c r="BI59" s="11">
        <v>44241</v>
      </c>
      <c r="BJ59" s="725">
        <v>5.6784174906406052E-3</v>
      </c>
      <c r="BK59" s="725">
        <v>8.839350345563832E-3</v>
      </c>
      <c r="BL59" s="725">
        <v>1.2732725660598082E-2</v>
      </c>
      <c r="BM59" s="725">
        <v>1.8156780035444905E-2</v>
      </c>
      <c r="BN59" s="725">
        <v>2.6703668874772594E-2</v>
      </c>
      <c r="BO59" s="726">
        <v>3.6737576836423695E-2</v>
      </c>
      <c r="BP59" s="725">
        <v>4.9172333254767969E-2</v>
      </c>
      <c r="BQ59" s="725">
        <v>6.2403834088130411E-2</v>
      </c>
      <c r="BR59" s="725">
        <v>7.6966774244051031E-2</v>
      </c>
      <c r="BS59" s="725">
        <v>9.1929962864799722E-2</v>
      </c>
      <c r="BT59" s="725">
        <v>0.10681955735098482</v>
      </c>
      <c r="BW59" s="1189">
        <f>'2018'!R\Max</f>
        <v>0</v>
      </c>
      <c r="BX59" s="1187">
        <f>'2019'!R\Max</f>
        <v>1.0219555249339642</v>
      </c>
      <c r="BY59" s="1187">
        <f>'2020'!R\Max</f>
        <v>0.90003622541984607</v>
      </c>
      <c r="BZ59" s="1187">
        <f>'2021'!R\Max</f>
        <v>1.012127803396822</v>
      </c>
      <c r="CA59" s="1187">
        <f>'2022'!R\Max</f>
        <v>0.50944563225568962</v>
      </c>
      <c r="CB59" s="1187">
        <f>'2023'!R\Max</f>
        <v>0.50919655812322051</v>
      </c>
      <c r="CC59" s="1187">
        <f>'2024'!R\Max</f>
        <v>0.50894737966624171</v>
      </c>
      <c r="CD59" s="1187">
        <f>'2025'!R\Max</f>
        <v>0.50869002447721312</v>
      </c>
      <c r="CE59" s="1187">
        <f>'2026'!R\Max</f>
        <v>0.51004223403828941</v>
      </c>
      <c r="CF59" s="1188">
        <f>'2027'!R\Max</f>
        <v>0.50985766948063238</v>
      </c>
    </row>
    <row r="60" spans="1:84" s="6" customFormat="1" ht="11.25" x14ac:dyDescent="0.2">
      <c r="A60" s="11">
        <v>43146</v>
      </c>
      <c r="B60" s="380">
        <f>'2022'!Maxi_hp</f>
        <v>32.495097407012501</v>
      </c>
      <c r="C60" s="13">
        <f>'2022'!An_max</f>
        <v>2019</v>
      </c>
      <c r="D60" s="1061"/>
      <c r="E60" s="13"/>
      <c r="F60" s="13">
        <f t="shared" si="22"/>
        <v>5</v>
      </c>
      <c r="G60" s="13">
        <f t="shared" si="23"/>
        <v>4</v>
      </c>
      <c r="H60" s="173">
        <f t="shared" si="7"/>
        <v>43150</v>
      </c>
      <c r="I60" s="752">
        <f t="shared" si="8"/>
        <v>0.2857142857142857</v>
      </c>
      <c r="J60" s="745">
        <f t="shared" si="26"/>
        <v>31.915743439857447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4">
        <v>43146</v>
      </c>
      <c r="AP60" s="13">
        <f t="shared" si="10"/>
        <v>3</v>
      </c>
      <c r="AQ60" s="13">
        <f t="shared" si="11"/>
        <v>4</v>
      </c>
      <c r="AR60" s="173">
        <f t="shared" si="12"/>
        <v>43136</v>
      </c>
      <c r="AS60" s="752">
        <f t="shared" si="13"/>
        <v>0.35714285714285715</v>
      </c>
      <c r="AT60" s="768">
        <f t="shared" si="14"/>
        <v>31.861352040751704</v>
      </c>
      <c r="AU60" s="13">
        <f t="shared" si="15"/>
        <v>3</v>
      </c>
      <c r="AV60" s="13">
        <f t="shared" si="16"/>
        <v>2</v>
      </c>
      <c r="AW60" s="173">
        <f t="shared" si="17"/>
        <v>43150</v>
      </c>
      <c r="AX60" s="752">
        <f t="shared" si="18"/>
        <v>0.14285714285714285</v>
      </c>
      <c r="AY60" s="768">
        <f t="shared" si="19"/>
        <v>31.937073859998158</v>
      </c>
      <c r="AZ60" s="745">
        <f t="shared" si="25"/>
        <v>31.899212950374931</v>
      </c>
      <c r="BA60" s="642">
        <f t="shared" si="20"/>
        <v>1.0181526076071767</v>
      </c>
      <c r="BC60" s="11">
        <v>43146</v>
      </c>
      <c r="BD60" s="290">
        <f>[2]!FeuilCaduc*(1-Persistant)+Persistant</f>
        <v>0.70098761025970657</v>
      </c>
      <c r="BE60" s="291">
        <f>[2]!CroissVégét</f>
        <v>7.4065104705297478E-3</v>
      </c>
      <c r="BF60" s="815">
        <f>1+[2]!Salcycl*Ksac</f>
        <v>1.000164601709951</v>
      </c>
      <c r="BH60" s="1052">
        <f t="shared" si="21"/>
        <v>2.0877040368711415E-2</v>
      </c>
      <c r="BI60" s="11">
        <v>44242</v>
      </c>
      <c r="BJ60" s="725">
        <v>5.3238001797383276E-3</v>
      </c>
      <c r="BK60" s="725">
        <v>8.3823744159549334E-3</v>
      </c>
      <c r="BL60" s="725">
        <v>1.2179003841371267E-2</v>
      </c>
      <c r="BM60" s="725">
        <v>1.7453807537503432E-2</v>
      </c>
      <c r="BN60" s="725">
        <v>2.6027106572877989E-2</v>
      </c>
      <c r="BO60" s="726">
        <v>3.6146686092820166E-2</v>
      </c>
      <c r="BP60" s="725">
        <v>4.87846914795598E-2</v>
      </c>
      <c r="BQ60" s="725">
        <v>6.2363367569754496E-2</v>
      </c>
      <c r="BR60" s="725">
        <v>7.7287987445226775E-2</v>
      </c>
      <c r="BS60" s="725">
        <v>9.2616412250256255E-2</v>
      </c>
      <c r="BT60" s="725">
        <v>0.10763165255292757</v>
      </c>
      <c r="BW60" s="1189">
        <f>'2018'!R\Max</f>
        <v>0</v>
      </c>
      <c r="BX60" s="1187">
        <f>'2019'!R\Max</f>
        <v>1.0181526076071767</v>
      </c>
      <c r="BY60" s="1187">
        <f>'2020'!R\Max</f>
        <v>0.98041233555223595</v>
      </c>
      <c r="BZ60" s="1187">
        <f>'2021'!R\Max</f>
        <v>0.9228959612712887</v>
      </c>
      <c r="CA60" s="1187">
        <f>'2022'!R\Max</f>
        <v>0.59360813526163148</v>
      </c>
      <c r="CB60" s="1187">
        <f>'2023'!R\Max</f>
        <v>0.593366708423822</v>
      </c>
      <c r="CC60" s="1187">
        <f>'2024'!R\Max</f>
        <v>0.59312513935622801</v>
      </c>
      <c r="CD60" s="1187">
        <f>'2025'!R\Max</f>
        <v>0.59287432833213327</v>
      </c>
      <c r="CE60" s="1187">
        <f>'2026'!R\Max</f>
        <v>0.59418136826701606</v>
      </c>
      <c r="CF60" s="1188">
        <f>'2027'!R\Max</f>
        <v>0.59400439254494697</v>
      </c>
    </row>
    <row r="61" spans="1:84" s="6" customFormat="1" ht="11.25" x14ac:dyDescent="0.2">
      <c r="A61" s="11">
        <v>43147</v>
      </c>
      <c r="B61" s="380">
        <f>'2022'!Maxi_hp</f>
        <v>33.091277518761402</v>
      </c>
      <c r="C61" s="13">
        <f>'2022'!An_max</f>
        <v>2019</v>
      </c>
      <c r="D61" s="1061"/>
      <c r="E61" s="13"/>
      <c r="F61" s="13">
        <f t="shared" si="22"/>
        <v>5</v>
      </c>
      <c r="G61" s="13">
        <f t="shared" si="23"/>
        <v>4</v>
      </c>
      <c r="H61" s="173">
        <f t="shared" si="7"/>
        <v>43150</v>
      </c>
      <c r="I61" s="752">
        <f t="shared" si="8"/>
        <v>0.21428571428571427</v>
      </c>
      <c r="J61" s="745">
        <f t="shared" si="26"/>
        <v>32.308363702334461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4">
        <v>43147</v>
      </c>
      <c r="AP61" s="13">
        <f t="shared" si="10"/>
        <v>3</v>
      </c>
      <c r="AQ61" s="13">
        <f t="shared" si="11"/>
        <v>4</v>
      </c>
      <c r="AR61" s="173">
        <f t="shared" si="12"/>
        <v>43136</v>
      </c>
      <c r="AS61" s="752">
        <f t="shared" si="13"/>
        <v>0.39285714285714285</v>
      </c>
      <c r="AT61" s="768">
        <f t="shared" si="14"/>
        <v>32.257126913485784</v>
      </c>
      <c r="AU61" s="13">
        <f t="shared" si="15"/>
        <v>3</v>
      </c>
      <c r="AV61" s="13">
        <f t="shared" si="16"/>
        <v>2</v>
      </c>
      <c r="AW61" s="173">
        <f t="shared" si="17"/>
        <v>43150</v>
      </c>
      <c r="AX61" s="752">
        <f t="shared" si="18"/>
        <v>0.10714285714285714</v>
      </c>
      <c r="AY61" s="768">
        <f t="shared" si="19"/>
        <v>32.326984444406946</v>
      </c>
      <c r="AZ61" s="745">
        <f t="shared" si="25"/>
        <v>32.292055678946369</v>
      </c>
      <c r="BA61" s="642">
        <f t="shared" si="20"/>
        <v>1.0242325431160839</v>
      </c>
      <c r="BC61" s="11">
        <v>43147</v>
      </c>
      <c r="BD61" s="290">
        <f>[2]!FeuilCaduc*(1-Persistant)+Persistant</f>
        <v>0.70108238265877854</v>
      </c>
      <c r="BE61" s="291">
        <f>[2]!CroissVégét</f>
        <v>7.7722651621059055E-3</v>
      </c>
      <c r="BF61" s="815">
        <f>1+[2]!Salcycl*Ksac</f>
        <v>1.0001803971097964</v>
      </c>
      <c r="BH61" s="1052">
        <f t="shared" si="21"/>
        <v>2.0164925457000573E-2</v>
      </c>
      <c r="BI61" s="11">
        <v>44243</v>
      </c>
      <c r="BJ61" s="725">
        <v>4.9756998473906664E-3</v>
      </c>
      <c r="BK61" s="725">
        <v>7.931842772218832E-3</v>
      </c>
      <c r="BL61" s="725">
        <v>1.1628142743362421E-2</v>
      </c>
      <c r="BM61" s="725">
        <v>1.6749083557553498E-2</v>
      </c>
      <c r="BN61" s="725">
        <v>2.5303872409349931E-2</v>
      </c>
      <c r="BO61" s="726">
        <v>3.5456747685997485E-2</v>
      </c>
      <c r="BP61" s="725">
        <v>4.8222519903156354E-2</v>
      </c>
      <c r="BQ61" s="725">
        <v>6.2119744931852933E-2</v>
      </c>
      <c r="BR61" s="725">
        <v>7.7388989710814482E-2</v>
      </c>
      <c r="BS61" s="725">
        <v>9.3090874223502609E-2</v>
      </c>
      <c r="BT61" s="725">
        <v>0.10823467618751324</v>
      </c>
      <c r="BW61" s="1189">
        <f>'2018'!R\Max</f>
        <v>0</v>
      </c>
      <c r="BX61" s="1187">
        <f>'2019'!R\Max</f>
        <v>1.0242325431160839</v>
      </c>
      <c r="BY61" s="1187">
        <f>'2020'!R\Max</f>
        <v>0.58984462699415696</v>
      </c>
      <c r="BZ61" s="1187">
        <f>'2021'!R\Max</f>
        <v>0.896854031321908</v>
      </c>
      <c r="CA61" s="1187">
        <f>'2022'!R\Max</f>
        <v>0.3225376922708646</v>
      </c>
      <c r="CB61" s="1187">
        <f>'2023'!R\Max</f>
        <v>0.32231951965434741</v>
      </c>
      <c r="CC61" s="1187">
        <f>'2024'!R\Max</f>
        <v>0.32210133694465293</v>
      </c>
      <c r="CD61" s="1187">
        <f>'2025'!R\Max</f>
        <v>0.32187335853691862</v>
      </c>
      <c r="CE61" s="1187">
        <f>'2026'!R\Max</f>
        <v>0.32305228585526968</v>
      </c>
      <c r="CF61" s="1188">
        <f>'2027'!R\Max</f>
        <v>0.32289364425457567</v>
      </c>
    </row>
    <row r="62" spans="1:84" s="6" customFormat="1" ht="11.25" x14ac:dyDescent="0.2">
      <c r="A62" s="11">
        <v>43148</v>
      </c>
      <c r="B62" s="380">
        <f>'2022'!Maxi_hp</f>
        <v>33.499351483700778</v>
      </c>
      <c r="C62" s="13">
        <f>'2022'!An_max</f>
        <v>2019</v>
      </c>
      <c r="D62" s="1061"/>
      <c r="E62" s="13"/>
      <c r="F62" s="13">
        <f t="shared" si="22"/>
        <v>5</v>
      </c>
      <c r="G62" s="13">
        <f t="shared" si="23"/>
        <v>4</v>
      </c>
      <c r="H62" s="173">
        <f t="shared" si="7"/>
        <v>43150</v>
      </c>
      <c r="I62" s="752">
        <f t="shared" si="8"/>
        <v>0.14285714285714285</v>
      </c>
      <c r="J62" s="745">
        <f t="shared" si="26"/>
        <v>32.703498541563746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4">
        <v>43148</v>
      </c>
      <c r="AP62" s="13">
        <f t="shared" si="10"/>
        <v>3</v>
      </c>
      <c r="AQ62" s="13">
        <f t="shared" si="11"/>
        <v>4</v>
      </c>
      <c r="AR62" s="173">
        <f t="shared" si="12"/>
        <v>43136</v>
      </c>
      <c r="AS62" s="752">
        <f t="shared" si="13"/>
        <v>0.42857142857142855</v>
      </c>
      <c r="AT62" s="768">
        <f t="shared" si="14"/>
        <v>32.657142857675034</v>
      </c>
      <c r="AU62" s="13">
        <f t="shared" si="15"/>
        <v>3</v>
      </c>
      <c r="AV62" s="13">
        <f t="shared" si="16"/>
        <v>2</v>
      </c>
      <c r="AW62" s="173">
        <f t="shared" si="17"/>
        <v>43150</v>
      </c>
      <c r="AX62" s="752">
        <f t="shared" si="18"/>
        <v>7.1428571428571425E-2</v>
      </c>
      <c r="AY62" s="768">
        <f t="shared" si="19"/>
        <v>32.717693898214826</v>
      </c>
      <c r="AZ62" s="745">
        <f t="shared" si="25"/>
        <v>32.68741837794493</v>
      </c>
      <c r="BA62" s="642">
        <f t="shared" si="20"/>
        <v>1.0243354068411232</v>
      </c>
      <c r="BC62" s="11">
        <v>43148</v>
      </c>
      <c r="BD62" s="290">
        <f>[2]!FeuilCaduc*(1-Persistant)+Persistant</f>
        <v>0.7011773235666714</v>
      </c>
      <c r="BE62" s="291">
        <f>[2]!CroissVégét</f>
        <v>8.1530774564185747E-3</v>
      </c>
      <c r="BF62" s="815">
        <f>1+[2]!Salcycl*Ksac</f>
        <v>1.0001962205944452</v>
      </c>
      <c r="BH62" s="1052">
        <f t="shared" si="21"/>
        <v>1.943313726345848E-2</v>
      </c>
      <c r="BI62" s="11">
        <v>44244</v>
      </c>
      <c r="BJ62" s="725">
        <v>4.6341141321307412E-3</v>
      </c>
      <c r="BK62" s="725">
        <v>7.4877546373299068E-3</v>
      </c>
      <c r="BL62" s="725">
        <v>1.1080144865548076E-2</v>
      </c>
      <c r="BM62" s="725">
        <v>1.6042614750651444E-2</v>
      </c>
      <c r="BN62" s="725">
        <v>2.4533992586089768E-2</v>
      </c>
      <c r="BO62" s="726">
        <v>3.4667811978291954E-2</v>
      </c>
      <c r="BP62" s="725">
        <v>4.7485903031859435E-2</v>
      </c>
      <c r="BQ62" s="725">
        <v>6.1673080628805971E-2</v>
      </c>
      <c r="BR62" s="725">
        <v>7.7269925338338152E-2</v>
      </c>
      <c r="BS62" s="725">
        <v>9.3353518891614973E-2</v>
      </c>
      <c r="BT62" s="725">
        <v>0.10862881944534247</v>
      </c>
      <c r="BW62" s="1189">
        <f>'2018'!R\Max</f>
        <v>0</v>
      </c>
      <c r="BX62" s="1187">
        <f>'2019'!R\Max</f>
        <v>1.0243354068411232</v>
      </c>
      <c r="BY62" s="1187">
        <f>'2020'!R\Max</f>
        <v>0.17967280569164246</v>
      </c>
      <c r="BZ62" s="1187">
        <f>'2021'!R\Max</f>
        <v>0.94674667262123435</v>
      </c>
      <c r="CA62" s="1187">
        <f>'2022'!R\Max</f>
        <v>0.37958780499303513</v>
      </c>
      <c r="CB62" s="1187">
        <f>'2023'!R\Max</f>
        <v>0.37935451323734293</v>
      </c>
      <c r="CC62" s="1187">
        <f>'2024'!R\Max</f>
        <v>0.37912118440673714</v>
      </c>
      <c r="CD62" s="1187">
        <f>'2025'!R\Max</f>
        <v>0.37887519569978345</v>
      </c>
      <c r="CE62" s="1187">
        <f>'2026'!R\Max</f>
        <v>0.38013425172287274</v>
      </c>
      <c r="CF62" s="1188">
        <f>'2027'!R\Max</f>
        <v>0.37996613021225389</v>
      </c>
    </row>
    <row r="63" spans="1:84" s="6" customFormat="1" ht="11.25" x14ac:dyDescent="0.2">
      <c r="A63" s="11">
        <v>43149</v>
      </c>
      <c r="B63" s="380">
        <f>'2022'!Maxi_hp</f>
        <v>33.359346298317604</v>
      </c>
      <c r="C63" s="13">
        <f>'2022'!An_max</f>
        <v>2019</v>
      </c>
      <c r="D63" s="1061"/>
      <c r="E63" s="13"/>
      <c r="F63" s="13">
        <f t="shared" si="22"/>
        <v>5</v>
      </c>
      <c r="G63" s="13">
        <f t="shared" si="23"/>
        <v>4</v>
      </c>
      <c r="H63" s="173">
        <f t="shared" si="7"/>
        <v>43150</v>
      </c>
      <c r="I63" s="752">
        <f t="shared" si="8"/>
        <v>7.1428571428571425E-2</v>
      </c>
      <c r="J63" s="745">
        <f t="shared" si="26"/>
        <v>33.100819970188397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4">
        <v>43149</v>
      </c>
      <c r="AP63" s="13">
        <f t="shared" si="10"/>
        <v>3</v>
      </c>
      <c r="AQ63" s="13">
        <f t="shared" si="11"/>
        <v>4</v>
      </c>
      <c r="AR63" s="173">
        <f t="shared" si="12"/>
        <v>43136</v>
      </c>
      <c r="AS63" s="752">
        <f t="shared" si="13"/>
        <v>0.4642857142857143</v>
      </c>
      <c r="AT63" s="768">
        <f t="shared" si="14"/>
        <v>33.061112882742393</v>
      </c>
      <c r="AU63" s="13">
        <f t="shared" si="15"/>
        <v>3</v>
      </c>
      <c r="AV63" s="13">
        <f t="shared" si="16"/>
        <v>2</v>
      </c>
      <c r="AW63" s="173">
        <f t="shared" si="17"/>
        <v>43150</v>
      </c>
      <c r="AX63" s="752">
        <f t="shared" si="18"/>
        <v>3.5714285714285712E-2</v>
      </c>
      <c r="AY63" s="768">
        <f t="shared" si="19"/>
        <v>33.108824868180925</v>
      </c>
      <c r="AZ63" s="745">
        <f t="shared" si="25"/>
        <v>33.084968875461655</v>
      </c>
      <c r="BA63" s="642">
        <f t="shared" si="20"/>
        <v>1.0078102696054674</v>
      </c>
      <c r="BC63" s="11">
        <v>43149</v>
      </c>
      <c r="BD63" s="290">
        <f>[2]!FeuilCaduc*(1-Persistant)+Persistant</f>
        <v>0.70127189976283411</v>
      </c>
      <c r="BE63" s="291">
        <f>[2]!CroissVégét</f>
        <v>8.5495548619151183E-3</v>
      </c>
      <c r="BF63" s="815">
        <f>1+[2]!Salcycl*Ksac</f>
        <v>1.0002119832938057</v>
      </c>
      <c r="BH63" s="1052">
        <f t="shared" si="21"/>
        <v>1.8681685707006117E-2</v>
      </c>
      <c r="BI63" s="11">
        <v>44245</v>
      </c>
      <c r="BJ63" s="725">
        <v>4.2990392487968305E-3</v>
      </c>
      <c r="BK63" s="725">
        <v>7.0501072934869308E-3</v>
      </c>
      <c r="BL63" s="725">
        <v>1.0535010086425038E-2</v>
      </c>
      <c r="BM63" s="725">
        <v>1.5334404152562578E-2</v>
      </c>
      <c r="BN63" s="725">
        <v>2.3717487377349016E-2</v>
      </c>
      <c r="BO63" s="726">
        <v>3.3779920988054893E-2</v>
      </c>
      <c r="BP63" s="725">
        <v>4.6574913945611786E-2</v>
      </c>
      <c r="BQ63" s="725">
        <v>6.1023477873978056E-2</v>
      </c>
      <c r="BR63" s="725">
        <v>7.6930928271180699E-2</v>
      </c>
      <c r="BS63" s="725">
        <v>9.3404508285844942E-2</v>
      </c>
      <c r="BT63" s="725">
        <v>0.10881426622986701</v>
      </c>
      <c r="BW63" s="1189">
        <f>'2018'!R\Max</f>
        <v>0</v>
      </c>
      <c r="BX63" s="1187">
        <f>'2019'!R\Max</f>
        <v>1.0078102696054674</v>
      </c>
      <c r="BY63" s="1187">
        <f>'2020'!R\Max</f>
        <v>0.78419264238352271</v>
      </c>
      <c r="BZ63" s="1187">
        <f>'2021'!R\Max</f>
        <v>0.52740841120403548</v>
      </c>
      <c r="CA63" s="1187">
        <f>'2022'!R\Max</f>
        <v>0.83154475459830379</v>
      </c>
      <c r="CB63" s="1187">
        <f>'2023'!R\Max</f>
        <v>0.83140782778812394</v>
      </c>
      <c r="CC63" s="1187">
        <f>'2024'!R\Max</f>
        <v>0.83127075845085463</v>
      </c>
      <c r="CD63" s="1187">
        <f>'2025'!R\Max</f>
        <v>0.83112455490709369</v>
      </c>
      <c r="CE63" s="1187">
        <f>'2026'!R\Max</f>
        <v>0.8318630730884442</v>
      </c>
      <c r="CF63" s="1188">
        <f>'2027'!R\Max</f>
        <v>0.83176540249348796</v>
      </c>
    </row>
    <row r="64" spans="1:84" s="6" customFormat="1" ht="11.25" x14ac:dyDescent="0.2">
      <c r="A64" s="11">
        <v>43150</v>
      </c>
      <c r="B64" s="380">
        <f>'2022'!Maxi_hp</f>
        <v>33.466194315132412</v>
      </c>
      <c r="C64" s="13">
        <f>'2022'!An_max</f>
        <v>2021</v>
      </c>
      <c r="D64" s="1061"/>
      <c r="E64" s="1056">
        <f>Q$13/10</f>
        <v>33.5</v>
      </c>
      <c r="F64" s="13">
        <f t="shared" si="22"/>
        <v>5</v>
      </c>
      <c r="G64" s="13">
        <f t="shared" si="23"/>
        <v>6</v>
      </c>
      <c r="H64" s="173">
        <f t="shared" si="7"/>
        <v>43150</v>
      </c>
      <c r="I64" s="752">
        <f t="shared" si="8"/>
        <v>0</v>
      </c>
      <c r="J64" s="745">
        <f t="shared" si="26"/>
        <v>33.49999999962747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4">
        <v>43150</v>
      </c>
      <c r="AP64" s="13">
        <f t="shared" si="10"/>
        <v>3</v>
      </c>
      <c r="AQ64" s="13">
        <f t="shared" si="11"/>
        <v>4</v>
      </c>
      <c r="AR64" s="173">
        <f t="shared" si="12"/>
        <v>43136</v>
      </c>
      <c r="AS64" s="752">
        <f t="shared" si="13"/>
        <v>0.5</v>
      </c>
      <c r="AT64" s="768">
        <f t="shared" si="14"/>
        <v>33.46875</v>
      </c>
      <c r="AU64" s="13">
        <f t="shared" si="15"/>
        <v>3</v>
      </c>
      <c r="AV64" s="13">
        <f t="shared" si="16"/>
        <v>4</v>
      </c>
      <c r="AW64" s="173">
        <f t="shared" si="17"/>
        <v>43150</v>
      </c>
      <c r="AX64" s="752">
        <f t="shared" si="18"/>
        <v>0</v>
      </c>
      <c r="AY64" s="768">
        <f t="shared" si="19"/>
        <v>33.5</v>
      </c>
      <c r="AZ64" s="745">
        <f t="shared" si="25"/>
        <v>33.484375</v>
      </c>
      <c r="BA64" s="642">
        <f t="shared" si="20"/>
        <v>0.99899087508968853</v>
      </c>
      <c r="BC64" s="11">
        <v>43150</v>
      </c>
      <c r="BD64" s="290">
        <f>[2]!FeuilCaduc*(1-Persistant)+Persistant</f>
        <v>0.70136563379256989</v>
      </c>
      <c r="BE64" s="291">
        <f>[2]!CroissVégét</f>
        <v>8.9623283475330478E-3</v>
      </c>
      <c r="BF64" s="815">
        <f>1+[2]!Salcycl*Ksac</f>
        <v>1.0002276056320949</v>
      </c>
      <c r="BH64" s="1052">
        <f t="shared" si="21"/>
        <v>1.7910575916260524E-2</v>
      </c>
      <c r="BI64" s="11">
        <v>44246</v>
      </c>
      <c r="BJ64" s="725">
        <v>3.9704700690430294E-3</v>
      </c>
      <c r="BK64" s="725">
        <v>6.6188961612889154E-3</v>
      </c>
      <c r="BL64" s="725">
        <v>9.9927356978602184E-3</v>
      </c>
      <c r="BM64" s="725">
        <v>1.4624451155199399E-2</v>
      </c>
      <c r="BN64" s="725">
        <v>2.285437054230232E-2</v>
      </c>
      <c r="BO64" s="726">
        <v>3.2793107146031217E-2</v>
      </c>
      <c r="BP64" s="725">
        <v>4.5489612108988296E-2</v>
      </c>
      <c r="BQ64" s="725">
        <v>6.0171026091972037E-2</v>
      </c>
      <c r="BR64" s="725">
        <v>7.6372119336854616E-2</v>
      </c>
      <c r="BS64" s="725">
        <v>9.3243993702273958E-2</v>
      </c>
      <c r="BT64" s="725">
        <v>0.1087911905335872</v>
      </c>
      <c r="BW64" s="1189">
        <f>'2018'!R\Max</f>
        <v>0</v>
      </c>
      <c r="BX64" s="1187">
        <f>'2019'!R\Max</f>
        <v>0.84888023187935635</v>
      </c>
      <c r="BY64" s="1187">
        <f>'2020'!R\Max</f>
        <v>0.73855937832713248</v>
      </c>
      <c r="BZ64" s="1187">
        <f>'2021'!R\Max</f>
        <v>0.99899087508968853</v>
      </c>
      <c r="CA64" s="1187">
        <f>'2022'!R\Max</f>
        <v>0.62809227659425659</v>
      </c>
      <c r="CB64" s="1187">
        <f>'2023'!R\Max</f>
        <v>0.62786841939704008</v>
      </c>
      <c r="CC64" s="1187">
        <f>'2024'!R\Max</f>
        <v>0.62764442113230634</v>
      </c>
      <c r="CD64" s="1187">
        <f>'2025'!R\Max</f>
        <v>0.62740250337355563</v>
      </c>
      <c r="CE64" s="1187">
        <f>'2026'!R\Max</f>
        <v>0.62861019061802836</v>
      </c>
      <c r="CF64" s="1188">
        <f>'2027'!R\Max</f>
        <v>0.62845155636533923</v>
      </c>
    </row>
    <row r="65" spans="1:84" s="6" customFormat="1" ht="11.25" x14ac:dyDescent="0.2">
      <c r="A65" s="11">
        <v>43151</v>
      </c>
      <c r="B65" s="380">
        <f>'2022'!Maxi_hp</f>
        <v>34.378402325425711</v>
      </c>
      <c r="C65" s="13">
        <f>'2022'!An_max</f>
        <v>2020</v>
      </c>
      <c r="D65" s="1061"/>
      <c r="E65" s="13"/>
      <c r="F65" s="13">
        <f t="shared" si="22"/>
        <v>5</v>
      </c>
      <c r="G65" s="13">
        <f t="shared" si="23"/>
        <v>6</v>
      </c>
      <c r="H65" s="173">
        <f t="shared" si="7"/>
        <v>43150</v>
      </c>
      <c r="I65" s="752">
        <f t="shared" si="8"/>
        <v>7.1428571428571425E-2</v>
      </c>
      <c r="J65" s="745">
        <f t="shared" si="26"/>
        <v>33.902004372807482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4">
        <v>43151</v>
      </c>
      <c r="AP65" s="13">
        <f t="shared" si="10"/>
        <v>3</v>
      </c>
      <c r="AQ65" s="13">
        <f t="shared" si="11"/>
        <v>4</v>
      </c>
      <c r="AR65" s="173">
        <f t="shared" si="12"/>
        <v>43136</v>
      </c>
      <c r="AS65" s="752">
        <f t="shared" si="13"/>
        <v>0.5357142857142857</v>
      </c>
      <c r="AT65" s="768">
        <f t="shared" si="14"/>
        <v>33.879767220041586</v>
      </c>
      <c r="AU65" s="13">
        <f t="shared" si="15"/>
        <v>3</v>
      </c>
      <c r="AV65" s="13">
        <f t="shared" si="16"/>
        <v>4</v>
      </c>
      <c r="AW65" s="173">
        <f t="shared" si="17"/>
        <v>43150</v>
      </c>
      <c r="AX65" s="752">
        <f t="shared" si="18"/>
        <v>3.5714285714285712E-2</v>
      </c>
      <c r="AY65" s="768">
        <f t="shared" si="19"/>
        <v>33.894572249404163</v>
      </c>
      <c r="AZ65" s="745">
        <f t="shared" si="25"/>
        <v>33.887169734722875</v>
      </c>
      <c r="BA65" s="642">
        <f t="shared" si="20"/>
        <v>1.0140522060990689</v>
      </c>
      <c r="BC65" s="11">
        <v>43151</v>
      </c>
      <c r="BD65" s="290">
        <f>[2]!FeuilCaduc*(1-Persistant)+Persistant</f>
        <v>0.70145811259749324</v>
      </c>
      <c r="BE65" s="291">
        <f>[2]!CroissVégét</f>
        <v>9.3920531593536197E-3</v>
      </c>
      <c r="BF65" s="815">
        <f>1+[2]!Salcycl*Ksac</f>
        <v>1.0002430187662488</v>
      </c>
      <c r="BH65" s="1052">
        <f t="shared" si="21"/>
        <v>1.7119807980106469E-2</v>
      </c>
      <c r="BI65" s="11">
        <v>44247</v>
      </c>
      <c r="BJ65" s="725">
        <v>3.648400201820902E-3</v>
      </c>
      <c r="BK65" s="725">
        <v>6.1941148788642953E-3</v>
      </c>
      <c r="BL65" s="725">
        <v>9.4533164388717165E-3</v>
      </c>
      <c r="BM65" s="725">
        <v>1.3912751481960374E-2</v>
      </c>
      <c r="BN65" s="725">
        <v>2.194464873746935E-2</v>
      </c>
      <c r="BO65" s="726">
        <v>3.1707392051525222E-2</v>
      </c>
      <c r="BP65" s="725">
        <v>4.4230041181896919E-2</v>
      </c>
      <c r="BQ65" s="725">
        <v>5.9115798370506734E-2</v>
      </c>
      <c r="BR65" s="725">
        <v>7.5593603484801E-2</v>
      </c>
      <c r="BS65" s="725">
        <v>9.2872113041898158E-2</v>
      </c>
      <c r="BT65" s="725">
        <v>0.10855975381358662</v>
      </c>
      <c r="BW65" s="1189">
        <f>'2018'!R\Max</f>
        <v>0</v>
      </c>
      <c r="BX65" s="1187">
        <f>'2019'!R\Max</f>
        <v>0.99348856774797289</v>
      </c>
      <c r="BY65" s="1187">
        <f>'2020'!R\Max</f>
        <v>1.0140522060990689</v>
      </c>
      <c r="BZ65" s="1187">
        <f>'2021'!R\Max</f>
        <v>0.79553408132162418</v>
      </c>
      <c r="CA65" s="1187">
        <f>'2022'!R\Max</f>
        <v>0.6090915455592919</v>
      </c>
      <c r="CB65" s="1187">
        <f>'2023'!R\Max</f>
        <v>0.60886914682471449</v>
      </c>
      <c r="CC65" s="1187">
        <f>'2024'!R\Max</f>
        <v>0.60864661939781817</v>
      </c>
      <c r="CD65" s="1187">
        <f>'2025'!R\Max</f>
        <v>0.60840262803454714</v>
      </c>
      <c r="CE65" s="1187">
        <f>'2026'!R\Max</f>
        <v>0.60960357351816152</v>
      </c>
      <c r="CF65" s="1188">
        <f>'2027'!R\Max</f>
        <v>0.60944708374207124</v>
      </c>
    </row>
    <row r="66" spans="1:84" s="6" customFormat="1" ht="11.25" x14ac:dyDescent="0.2">
      <c r="A66" s="11">
        <v>43152</v>
      </c>
      <c r="B66" s="380">
        <f>'2022'!Maxi_hp</f>
        <v>33.562567282376634</v>
      </c>
      <c r="C66" s="13">
        <f>'2022'!An_max</f>
        <v>2019</v>
      </c>
      <c r="D66" s="1061"/>
      <c r="E66" s="13"/>
      <c r="F66" s="13">
        <f t="shared" si="22"/>
        <v>5</v>
      </c>
      <c r="G66" s="13">
        <f t="shared" si="23"/>
        <v>6</v>
      </c>
      <c r="H66" s="173">
        <f t="shared" si="7"/>
        <v>43150</v>
      </c>
      <c r="I66" s="752">
        <f t="shared" si="8"/>
        <v>0.14285714285714285</v>
      </c>
      <c r="J66" s="745">
        <f t="shared" si="26"/>
        <v>34.307871719875507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4">
        <v>43152</v>
      </c>
      <c r="AP66" s="13">
        <f t="shared" si="10"/>
        <v>3</v>
      </c>
      <c r="AQ66" s="13">
        <f t="shared" si="11"/>
        <v>4</v>
      </c>
      <c r="AR66" s="173">
        <f t="shared" si="12"/>
        <v>43136</v>
      </c>
      <c r="AS66" s="752">
        <f t="shared" si="13"/>
        <v>0.5714285714285714</v>
      </c>
      <c r="AT66" s="768">
        <f t="shared" si="14"/>
        <v>34.293877550853153</v>
      </c>
      <c r="AU66" s="13">
        <f t="shared" si="15"/>
        <v>3</v>
      </c>
      <c r="AV66" s="13">
        <f t="shared" si="16"/>
        <v>4</v>
      </c>
      <c r="AW66" s="173">
        <f t="shared" si="17"/>
        <v>43150</v>
      </c>
      <c r="AX66" s="752">
        <f t="shared" si="18"/>
        <v>7.1428571428571425E-2</v>
      </c>
      <c r="AY66" s="768">
        <f t="shared" si="19"/>
        <v>34.295863703212568</v>
      </c>
      <c r="AZ66" s="745">
        <f t="shared" si="25"/>
        <v>34.294870627032864</v>
      </c>
      <c r="BA66" s="642">
        <f t="shared" si="20"/>
        <v>0.97827599323023295</v>
      </c>
      <c r="BC66" s="11">
        <v>43152</v>
      </c>
      <c r="BD66" s="290">
        <f>[2]!FeuilCaduc*(1-Persistant)+Persistant</f>
        <v>0.70154899572897167</v>
      </c>
      <c r="BE66" s="291">
        <f>[2]!CroissVégét</f>
        <v>9.8394096579268626E-3</v>
      </c>
      <c r="BF66" s="815">
        <f>1+[2]!Salcycl*Ksac</f>
        <v>1.0002581659548286</v>
      </c>
      <c r="BH66" s="1052">
        <f t="shared" si="21"/>
        <v>1.6346240173373237E-2</v>
      </c>
      <c r="BI66" s="11">
        <v>44248</v>
      </c>
      <c r="BJ66" s="725">
        <v>3.3417707706719642E-3</v>
      </c>
      <c r="BK66" s="725">
        <v>5.7896553709242812E-3</v>
      </c>
      <c r="BL66" s="725">
        <v>8.9382146688688786E-3</v>
      </c>
      <c r="BM66" s="725">
        <v>1.3230969621213126E-2</v>
      </c>
      <c r="BN66" s="725">
        <v>2.1032994004795674E-2</v>
      </c>
      <c r="BO66" s="726">
        <v>3.0578311683084527E-2</v>
      </c>
      <c r="BP66" s="725">
        <v>4.2863154759321669E-2</v>
      </c>
      <c r="BQ66" s="725">
        <v>5.789007296328598E-2</v>
      </c>
      <c r="BR66" s="725">
        <v>7.4584222769702058E-2</v>
      </c>
      <c r="BS66" s="725">
        <v>9.2222131086542286E-2</v>
      </c>
      <c r="BT66" s="725">
        <v>0.10803121226910452</v>
      </c>
      <c r="BW66" s="1189">
        <f>'2018'!R\Max</f>
        <v>0</v>
      </c>
      <c r="BX66" s="1187">
        <f>'2019'!R\Max</f>
        <v>0.97827599323023295</v>
      </c>
      <c r="BY66" s="1187">
        <f>'2020'!R\Max</f>
        <v>0.4254557711290512</v>
      </c>
      <c r="BZ66" s="1187">
        <f>'2021'!R\Max</f>
        <v>0.35470203675027895</v>
      </c>
      <c r="CA66" s="1187">
        <f>'2022'!R\Max</f>
        <v>0.65656702616958262</v>
      </c>
      <c r="CB66" s="1187">
        <f>'2023'!R\Max</f>
        <v>0.65636282655890898</v>
      </c>
      <c r="CC66" s="1187">
        <f>'2024'!R\Max</f>
        <v>0.65615849482728172</v>
      </c>
      <c r="CD66" s="1187">
        <f>'2025'!R\Max</f>
        <v>0.65593083549348719</v>
      </c>
      <c r="CE66" s="1187">
        <f>'2026'!R\Max</f>
        <v>0.65703510994742698</v>
      </c>
      <c r="CF66" s="1188">
        <f>'2027'!R\Max</f>
        <v>0.65689237575896497</v>
      </c>
    </row>
    <row r="67" spans="1:84" s="6" customFormat="1" ht="11.25" x14ac:dyDescent="0.2">
      <c r="A67" s="11">
        <v>43153</v>
      </c>
      <c r="B67" s="380">
        <f>'2022'!Maxi_hp</f>
        <v>34.11239789666849</v>
      </c>
      <c r="C67" s="13">
        <f>'2022'!An_max</f>
        <v>2019</v>
      </c>
      <c r="D67" s="1061"/>
      <c r="E67" s="13"/>
      <c r="F67" s="13">
        <f t="shared" si="22"/>
        <v>5</v>
      </c>
      <c r="G67" s="13">
        <f t="shared" si="23"/>
        <v>6</v>
      </c>
      <c r="H67" s="173">
        <f t="shared" si="7"/>
        <v>43150</v>
      </c>
      <c r="I67" s="752">
        <f t="shared" si="8"/>
        <v>0.21428571428571427</v>
      </c>
      <c r="J67" s="745">
        <f t="shared" si="26"/>
        <v>34.71738338135183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4">
        <v>43153</v>
      </c>
      <c r="AP67" s="13">
        <f t="shared" si="10"/>
        <v>3</v>
      </c>
      <c r="AQ67" s="13">
        <f t="shared" si="11"/>
        <v>4</v>
      </c>
      <c r="AR67" s="173">
        <f t="shared" si="12"/>
        <v>43136</v>
      </c>
      <c r="AS67" s="752">
        <f t="shared" si="13"/>
        <v>0.6071428571428571</v>
      </c>
      <c r="AT67" s="768">
        <f t="shared" si="14"/>
        <v>34.710794005503075</v>
      </c>
      <c r="AU67" s="13">
        <f t="shared" si="15"/>
        <v>3</v>
      </c>
      <c r="AV67" s="13">
        <f t="shared" si="16"/>
        <v>4</v>
      </c>
      <c r="AW67" s="173">
        <f t="shared" si="17"/>
        <v>43150</v>
      </c>
      <c r="AX67" s="752">
        <f t="shared" si="18"/>
        <v>0.10714285714285714</v>
      </c>
      <c r="AY67" s="768">
        <f t="shared" si="19"/>
        <v>34.703450711284368</v>
      </c>
      <c r="AZ67" s="745">
        <f t="shared" si="25"/>
        <v>34.707122358393718</v>
      </c>
      <c r="BA67" s="642">
        <f t="shared" si="20"/>
        <v>0.98257398957640618</v>
      </c>
      <c r="BC67" s="11">
        <v>43153</v>
      </c>
      <c r="BD67" s="290">
        <f>[2]!FeuilCaduc*(1-Persistant)+Persistant</f>
        <v>0.7016380230680942</v>
      </c>
      <c r="BE67" s="291">
        <f>[2]!CroissVégét</f>
        <v>1.0305104176065441E-2</v>
      </c>
      <c r="BF67" s="815">
        <f>1+[2]!Salcycl*Ksac</f>
        <v>1.0002730038446823</v>
      </c>
      <c r="BH67" s="1052">
        <f t="shared" si="21"/>
        <v>1.5635287506537768E-2</v>
      </c>
      <c r="BI67" s="11">
        <v>44249</v>
      </c>
      <c r="BJ67" s="725">
        <v>3.0583860297546009E-3</v>
      </c>
      <c r="BK67" s="725">
        <v>5.4188290562598284E-3</v>
      </c>
      <c r="BL67" s="725">
        <v>8.469691763033086E-3</v>
      </c>
      <c r="BM67" s="725">
        <v>1.2615558307097629E-2</v>
      </c>
      <c r="BN67" s="725">
        <v>2.0178304608381745E-2</v>
      </c>
      <c r="BO67" s="726">
        <v>2.9486086917378813E-2</v>
      </c>
      <c r="BP67" s="725">
        <v>4.149966628801792E-2</v>
      </c>
      <c r="BQ67" s="725">
        <v>5.6604726859231319E-2</v>
      </c>
      <c r="BR67" s="725">
        <v>7.3447474901736962E-2</v>
      </c>
      <c r="BS67" s="725">
        <v>9.1369726125331771E-2</v>
      </c>
      <c r="BT67" s="725">
        <v>0.10726936505714234</v>
      </c>
      <c r="BW67" s="1189">
        <f>'2018'!R\Max</f>
        <v>0</v>
      </c>
      <c r="BX67" s="1187">
        <f>'2019'!R\Max</f>
        <v>0.98257398957640618</v>
      </c>
      <c r="BY67" s="1187">
        <f>'2020'!R\Max</f>
        <v>0.97067015111273436</v>
      </c>
      <c r="BZ67" s="1187">
        <f>'2021'!R\Max</f>
        <v>0.26050797531366615</v>
      </c>
      <c r="CA67" s="1187">
        <f>'2022'!R\Max</f>
        <v>0.9477508758619384</v>
      </c>
      <c r="CB67" s="1187">
        <f>'2023'!R\Max</f>
        <v>0.94770752473890318</v>
      </c>
      <c r="CC67" s="1187">
        <f>'2024'!R\Max</f>
        <v>0.94766412438157999</v>
      </c>
      <c r="CD67" s="1187">
        <f>'2025'!R\Max</f>
        <v>0.9476149851867306</v>
      </c>
      <c r="CE67" s="1187">
        <f>'2026'!R\Max</f>
        <v>0.94784980539853181</v>
      </c>
      <c r="CF67" s="1188">
        <f>'2027'!R\Max</f>
        <v>0.94781971097171547</v>
      </c>
    </row>
    <row r="68" spans="1:84" s="6" customFormat="1" ht="11.25" x14ac:dyDescent="0.2">
      <c r="A68" s="11">
        <v>43154</v>
      </c>
      <c r="B68" s="380">
        <f>'2022'!Maxi_hp</f>
        <v>35.162786198923072</v>
      </c>
      <c r="C68" s="13">
        <f>'2022'!An_max</f>
        <v>2020</v>
      </c>
      <c r="D68" s="1061"/>
      <c r="E68" s="13"/>
      <c r="F68" s="13">
        <f t="shared" si="22"/>
        <v>5</v>
      </c>
      <c r="G68" s="13">
        <f t="shared" si="23"/>
        <v>6</v>
      </c>
      <c r="H68" s="173">
        <f t="shared" si="7"/>
        <v>43150</v>
      </c>
      <c r="I68" s="752">
        <f t="shared" si="8"/>
        <v>0.2857142857142857</v>
      </c>
      <c r="J68" s="745">
        <f t="shared" si="26"/>
        <v>35.130320699406518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4">
        <v>43154</v>
      </c>
      <c r="AP68" s="13">
        <f t="shared" si="10"/>
        <v>3</v>
      </c>
      <c r="AQ68" s="13">
        <f t="shared" si="11"/>
        <v>4</v>
      </c>
      <c r="AR68" s="173">
        <f t="shared" si="12"/>
        <v>43136</v>
      </c>
      <c r="AS68" s="752">
        <f t="shared" si="13"/>
        <v>0.6428571428571429</v>
      </c>
      <c r="AT68" s="768">
        <f t="shared" si="14"/>
        <v>35.130229592562785</v>
      </c>
      <c r="AU68" s="13">
        <f t="shared" si="15"/>
        <v>3</v>
      </c>
      <c r="AV68" s="13">
        <f t="shared" si="16"/>
        <v>4</v>
      </c>
      <c r="AW68" s="173">
        <f t="shared" si="17"/>
        <v>43150</v>
      </c>
      <c r="AX68" s="752">
        <f t="shared" si="18"/>
        <v>0.14285714285714285</v>
      </c>
      <c r="AY68" s="768">
        <f t="shared" si="19"/>
        <v>35.116909621349933</v>
      </c>
      <c r="AZ68" s="745">
        <f t="shared" si="25"/>
        <v>35.123569606956359</v>
      </c>
      <c r="BA68" s="642">
        <f t="shared" si="20"/>
        <v>1.0009241446952433</v>
      </c>
      <c r="BC68" s="11">
        <v>43154</v>
      </c>
      <c r="BD68" s="290">
        <f>[2]!FeuilCaduc*(1-Persistant)+Persistant</f>
        <v>0.70172502198252351</v>
      </c>
      <c r="BE68" s="291">
        <f>[2]!CroissVégét</f>
        <v>1.0789869896821172E-2</v>
      </c>
      <c r="BF68" s="815">
        <f>1+[2]!Salcycl*Ksac</f>
        <v>1.000287503663754</v>
      </c>
      <c r="BH68" s="1052">
        <f t="shared" si="21"/>
        <v>1.498685026772039E-2</v>
      </c>
      <c r="BI68" s="11">
        <v>44250</v>
      </c>
      <c r="BJ68" s="725">
        <v>2.7982231911357421E-3</v>
      </c>
      <c r="BK68" s="725">
        <v>5.0815984697493953E-3</v>
      </c>
      <c r="BL68" s="725">
        <v>8.047691613264513E-3</v>
      </c>
      <c r="BM68" s="725">
        <v>1.2066435740876917E-2</v>
      </c>
      <c r="BN68" s="725">
        <v>1.9380453887006276E-2</v>
      </c>
      <c r="BO68" s="726">
        <v>2.8430537305529992E-2</v>
      </c>
      <c r="BP68" s="725">
        <v>4.0139326848726647E-2</v>
      </c>
      <c r="BQ68" s="725">
        <v>5.5259434244665832E-2</v>
      </c>
      <c r="BR68" s="725">
        <v>7.2182949500965279E-2</v>
      </c>
      <c r="BS68" s="725">
        <v>9.0314400456621452E-2</v>
      </c>
      <c r="BT68" s="725">
        <v>0.10627363260197224</v>
      </c>
      <c r="BW68" s="1189">
        <f>'2018'!R\Max</f>
        <v>0</v>
      </c>
      <c r="BX68" s="1187">
        <f>'2019'!R\Max</f>
        <v>0.97814193192455079</v>
      </c>
      <c r="BY68" s="1187">
        <f>'2020'!R\Max</f>
        <v>1.0009241446952433</v>
      </c>
      <c r="BZ68" s="1187">
        <f>'2021'!R\Max</f>
        <v>0.85617622228535306</v>
      </c>
      <c r="CA68" s="1187">
        <f>'2022'!R\Max</f>
        <v>0.94372260826102894</v>
      </c>
      <c r="CB68" s="1187">
        <f>'2023'!R\Max</f>
        <v>0.94367782297277392</v>
      </c>
      <c r="CC68" s="1187">
        <f>'2024'!R\Max</f>
        <v>0.94363298899891812</v>
      </c>
      <c r="CD68" s="1187">
        <f>'2025'!R\Max</f>
        <v>0.94358144601259564</v>
      </c>
      <c r="CE68" s="1187">
        <f>'2026'!R\Max</f>
        <v>0.94382450399925943</v>
      </c>
      <c r="CF68" s="1188">
        <f>'2027'!R\Max</f>
        <v>0.9437935620571154</v>
      </c>
    </row>
    <row r="69" spans="1:84" s="6" customFormat="1" ht="11.25" x14ac:dyDescent="0.2">
      <c r="A69" s="11">
        <v>43155</v>
      </c>
      <c r="B69" s="380">
        <f>'2022'!Maxi_hp</f>
        <v>36.637666820783267</v>
      </c>
      <c r="C69" s="13">
        <f>'2022'!An_max</f>
        <v>2020</v>
      </c>
      <c r="D69" s="1061"/>
      <c r="E69" s="13"/>
      <c r="F69" s="13">
        <f t="shared" si="22"/>
        <v>5</v>
      </c>
      <c r="G69" s="13">
        <f t="shared" si="23"/>
        <v>6</v>
      </c>
      <c r="H69" s="173">
        <f t="shared" si="7"/>
        <v>43150</v>
      </c>
      <c r="I69" s="752">
        <f t="shared" si="8"/>
        <v>0.35714285714285715</v>
      </c>
      <c r="J69" s="745">
        <f t="shared" si="26"/>
        <v>35.546465014054306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4">
        <v>43155</v>
      </c>
      <c r="AP69" s="13">
        <f t="shared" si="10"/>
        <v>3</v>
      </c>
      <c r="AQ69" s="13">
        <f t="shared" si="11"/>
        <v>4</v>
      </c>
      <c r="AR69" s="173">
        <f t="shared" si="12"/>
        <v>43136</v>
      </c>
      <c r="AS69" s="752">
        <f t="shared" si="13"/>
        <v>0.6785714285714286</v>
      </c>
      <c r="AT69" s="768">
        <f t="shared" si="14"/>
        <v>35.551897321814401</v>
      </c>
      <c r="AU69" s="13">
        <f t="shared" si="15"/>
        <v>3</v>
      </c>
      <c r="AV69" s="13">
        <f t="shared" si="16"/>
        <v>4</v>
      </c>
      <c r="AW69" s="173">
        <f t="shared" si="17"/>
        <v>43150</v>
      </c>
      <c r="AX69" s="752">
        <f t="shared" si="18"/>
        <v>0.17857142857142858</v>
      </c>
      <c r="AY69" s="768">
        <f t="shared" si="19"/>
        <v>35.53581678270961</v>
      </c>
      <c r="AZ69" s="745">
        <f t="shared" si="25"/>
        <v>35.543857052262005</v>
      </c>
      <c r="BA69" s="642">
        <f t="shared" si="20"/>
        <v>1.0306978993916138</v>
      </c>
      <c r="BC69" s="11">
        <v>43155</v>
      </c>
      <c r="BD69" s="290">
        <f>[2]!FeuilCaduc*(1-Persistant)+Persistant</f>
        <v>0.70180991385797709</v>
      </c>
      <c r="BE69" s="291">
        <f>[2]!CroissVégét</f>
        <v>1.1294467751257744E-2</v>
      </c>
      <c r="BF69" s="815">
        <f>1+[2]!Salcycl*Ksac</f>
        <v>1.0003016523096628</v>
      </c>
      <c r="BH69" s="1052">
        <f t="shared" si="21"/>
        <v>1.4400915817413366E-2</v>
      </c>
      <c r="BI69" s="11">
        <v>44251</v>
      </c>
      <c r="BJ69" s="725">
        <v>2.5612784032673758E-3</v>
      </c>
      <c r="BK69" s="725">
        <v>4.7779580234404012E-3</v>
      </c>
      <c r="BL69" s="725">
        <v>7.6722065286073905E-3</v>
      </c>
      <c r="BM69" s="725">
        <v>1.1583591230395845E-2</v>
      </c>
      <c r="BN69" s="725">
        <v>1.8639426271476297E-2</v>
      </c>
      <c r="BO69" s="726">
        <v>2.7411641851590042E-2</v>
      </c>
      <c r="BP69" s="725">
        <v>3.8782108814680312E-2</v>
      </c>
      <c r="BQ69" s="725">
        <v>5.3854163079744083E-2</v>
      </c>
      <c r="BR69" s="725">
        <v>7.0790610140355537E-2</v>
      </c>
      <c r="BS69" s="725">
        <v>8.9056114141546849E-2</v>
      </c>
      <c r="BT69" s="725">
        <v>0.10504397012930565</v>
      </c>
      <c r="BW69" s="1189">
        <f>'2018'!R\Max</f>
        <v>0</v>
      </c>
      <c r="BX69" s="1187">
        <f>'2019'!R\Max</f>
        <v>0.97372716579362961</v>
      </c>
      <c r="BY69" s="1187">
        <f>'2020'!R\Max</f>
        <v>1.0306978993916138</v>
      </c>
      <c r="BZ69" s="1187">
        <f>'2021'!R\Max</f>
        <v>0.98356408892226277</v>
      </c>
      <c r="CA69" s="1187">
        <f>'2022'!R\Max</f>
        <v>0.57161947429707283</v>
      </c>
      <c r="CB69" s="1187">
        <f>'2023'!R\Max</f>
        <v>0.57142134906595521</v>
      </c>
      <c r="CC69" s="1187">
        <f>'2024'!R\Max</f>
        <v>0.57122313657638379</v>
      </c>
      <c r="CD69" s="1187">
        <f>'2025'!R\Max</f>
        <v>0.57099193619578092</v>
      </c>
      <c r="CE69" s="1187">
        <f>'2026'!R\Max</f>
        <v>0.57206961189374672</v>
      </c>
      <c r="CF69" s="1188">
        <f>'2027'!R\Max</f>
        <v>0.57193306958447598</v>
      </c>
    </row>
    <row r="70" spans="1:84" s="6" customFormat="1" ht="11.25" x14ac:dyDescent="0.2">
      <c r="A70" s="11">
        <v>43156</v>
      </c>
      <c r="B70" s="380">
        <f>'2022'!Maxi_hp</f>
        <v>35.339882745455832</v>
      </c>
      <c r="C70" s="13">
        <f>'2022'!An_max</f>
        <v>2019</v>
      </c>
      <c r="D70" s="1061"/>
      <c r="E70" s="13"/>
      <c r="F70" s="13">
        <f t="shared" si="22"/>
        <v>5</v>
      </c>
      <c r="G70" s="13">
        <f t="shared" si="23"/>
        <v>6</v>
      </c>
      <c r="H70" s="173">
        <f t="shared" si="7"/>
        <v>43150</v>
      </c>
      <c r="I70" s="752">
        <f t="shared" si="8"/>
        <v>0.42857142857142855</v>
      </c>
      <c r="J70" s="745">
        <f t="shared" si="26"/>
        <v>35.965597667385417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4">
        <v>43156</v>
      </c>
      <c r="AP70" s="13">
        <f t="shared" si="10"/>
        <v>3</v>
      </c>
      <c r="AQ70" s="13">
        <f t="shared" si="11"/>
        <v>4</v>
      </c>
      <c r="AR70" s="173">
        <f t="shared" si="12"/>
        <v>43136</v>
      </c>
      <c r="AS70" s="752">
        <f t="shared" si="13"/>
        <v>0.7142857142857143</v>
      </c>
      <c r="AT70" s="768">
        <f t="shared" si="14"/>
        <v>35.975510203997999</v>
      </c>
      <c r="AU70" s="13">
        <f t="shared" si="15"/>
        <v>3</v>
      </c>
      <c r="AV70" s="13">
        <f t="shared" si="16"/>
        <v>4</v>
      </c>
      <c r="AW70" s="173">
        <f t="shared" si="17"/>
        <v>43150</v>
      </c>
      <c r="AX70" s="752">
        <f t="shared" si="18"/>
        <v>0.21428571428571427</v>
      </c>
      <c r="AY70" s="768">
        <f t="shared" si="19"/>
        <v>35.959748542621469</v>
      </c>
      <c r="AZ70" s="745">
        <f t="shared" si="25"/>
        <v>35.967629373309734</v>
      </c>
      <c r="BA70" s="642">
        <f t="shared" si="20"/>
        <v>0.98260240445004476</v>
      </c>
      <c r="BC70" s="11">
        <v>43156</v>
      </c>
      <c r="BD70" s="290">
        <f>[2]!FeuilCaduc*(1-Persistant)+Persistant</f>
        <v>0.70189271994993208</v>
      </c>
      <c r="BE70" s="291">
        <f>[2]!CroissVégét</f>
        <v>1.1819687335529849E-2</v>
      </c>
      <c r="BF70" s="815">
        <f>1+[2]!Salcycl*Ksac</f>
        <v>1.0003154533249887</v>
      </c>
      <c r="BH70" s="1052">
        <f t="shared" si="21"/>
        <v>1.3877473505792919E-2</v>
      </c>
      <c r="BI70" s="11">
        <v>44252</v>
      </c>
      <c r="BJ70" s="725">
        <v>2.3475485824051433E-3</v>
      </c>
      <c r="BK70" s="725">
        <v>4.5079031821880439E-3</v>
      </c>
      <c r="BL70" s="725">
        <v>7.3432302093866947E-3</v>
      </c>
      <c r="BM70" s="725">
        <v>1.1167015988661752E-2</v>
      </c>
      <c r="BN70" s="725">
        <v>1.7955208309440678E-2</v>
      </c>
      <c r="BO70" s="726">
        <v>2.6429381724578455E-2</v>
      </c>
      <c r="BP70" s="725">
        <v>3.7427986621297371E-2</v>
      </c>
      <c r="BQ70" s="725">
        <v>5.2388882322846338E-2</v>
      </c>
      <c r="BR70" s="725">
        <v>6.9270420151681292E-2</v>
      </c>
      <c r="BS70" s="725">
        <v>8.7594825449915051E-2</v>
      </c>
      <c r="BT70" s="725">
        <v>0.10358033047361044</v>
      </c>
      <c r="BW70" s="1189">
        <f>'2018'!R\Max</f>
        <v>0</v>
      </c>
      <c r="BX70" s="1187">
        <f>'2019'!R\Max</f>
        <v>0.98260240445004476</v>
      </c>
      <c r="BY70" s="1187">
        <f>'2020'!R\Max</f>
        <v>0.47286137810613649</v>
      </c>
      <c r="BZ70" s="1187">
        <f>'2021'!R\Max</f>
        <v>0.8910435678479327</v>
      </c>
      <c r="CA70" s="1187">
        <f>'2022'!R\Max</f>
        <v>0.90912033688696992</v>
      </c>
      <c r="CB70" s="1187">
        <f>'2023'!R\Max</f>
        <v>0.90905640738507321</v>
      </c>
      <c r="CC70" s="1187">
        <f>'2024'!R\Max</f>
        <v>0.90899241754618154</v>
      </c>
      <c r="CD70" s="1187">
        <f>'2025'!R\Max</f>
        <v>0.90891659177397111</v>
      </c>
      <c r="CE70" s="1187">
        <f>'2026'!R\Max</f>
        <v>0.90926519994978383</v>
      </c>
      <c r="CF70" s="1188">
        <f>'2027'!R\Max</f>
        <v>0.90922133535175031</v>
      </c>
    </row>
    <row r="71" spans="1:84" s="6" customFormat="1" ht="11.25" x14ac:dyDescent="0.2">
      <c r="A71" s="11">
        <v>43157</v>
      </c>
      <c r="B71" s="380">
        <f>'2022'!Maxi_hp</f>
        <v>37.413360442633895</v>
      </c>
      <c r="C71" s="13">
        <f>'2022'!An_max</f>
        <v>2022</v>
      </c>
      <c r="D71" s="1061"/>
      <c r="E71" s="13"/>
      <c r="F71" s="13">
        <f t="shared" si="22"/>
        <v>5</v>
      </c>
      <c r="G71" s="13">
        <f t="shared" si="23"/>
        <v>6</v>
      </c>
      <c r="H71" s="173">
        <f t="shared" si="7"/>
        <v>43150</v>
      </c>
      <c r="I71" s="752">
        <f t="shared" si="8"/>
        <v>0.5</v>
      </c>
      <c r="J71" s="745">
        <f t="shared" si="26"/>
        <v>36.387499999813734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4">
        <v>43157</v>
      </c>
      <c r="AP71" s="13">
        <f t="shared" si="10"/>
        <v>3</v>
      </c>
      <c r="AQ71" s="13">
        <f t="shared" si="11"/>
        <v>4</v>
      </c>
      <c r="AR71" s="173">
        <f t="shared" si="12"/>
        <v>43136</v>
      </c>
      <c r="AS71" s="752">
        <f t="shared" si="13"/>
        <v>0.75</v>
      </c>
      <c r="AT71" s="768">
        <f t="shared" si="14"/>
        <v>36.400781250279394</v>
      </c>
      <c r="AU71" s="13">
        <f t="shared" si="15"/>
        <v>3</v>
      </c>
      <c r="AV71" s="13">
        <f t="shared" si="16"/>
        <v>4</v>
      </c>
      <c r="AW71" s="173">
        <f t="shared" si="17"/>
        <v>43150</v>
      </c>
      <c r="AX71" s="752">
        <f t="shared" si="18"/>
        <v>0.25</v>
      </c>
      <c r="AY71" s="768">
        <f t="shared" si="19"/>
        <v>36.388281250023283</v>
      </c>
      <c r="AZ71" s="745">
        <f t="shared" si="25"/>
        <v>36.394531250151338</v>
      </c>
      <c r="BA71" s="642">
        <f t="shared" si="20"/>
        <v>1.0281926607440854</v>
      </c>
      <c r="BC71" s="11">
        <v>43157</v>
      </c>
      <c r="BD71" s="290">
        <f>[2]!FeuilCaduc*(1-Persistant)+Persistant</f>
        <v>0.70197356650938048</v>
      </c>
      <c r="BE71" s="291">
        <f>[2]!CroissVégét</f>
        <v>1.236634784666045E-2</v>
      </c>
      <c r="BF71" s="815">
        <f>1+[2]!Salcycl*Ksac</f>
        <v>1.0003289277515635</v>
      </c>
      <c r="BH71" s="1052">
        <f t="shared" si="21"/>
        <v>1.3416514441654426E-2</v>
      </c>
      <c r="BI71" s="11">
        <v>44253</v>
      </c>
      <c r="BJ71" s="725">
        <v>2.1570313267463533E-3</v>
      </c>
      <c r="BK71" s="725">
        <v>4.2714303394460074E-3</v>
      </c>
      <c r="BL71" s="725">
        <v>7.0607575752142703E-3</v>
      </c>
      <c r="BM71" s="725">
        <v>1.0816702888779634E-2</v>
      </c>
      <c r="BN71" s="725">
        <v>1.7327788455387672E-2</v>
      </c>
      <c r="BO71" s="726">
        <v>2.5483740123198248E-2</v>
      </c>
      <c r="BP71" s="725">
        <v>3.607693675508658E-2</v>
      </c>
      <c r="BQ71" s="725">
        <v>5.0863562153084775E-2</v>
      </c>
      <c r="BR71" s="725">
        <v>6.762234309916533E-2</v>
      </c>
      <c r="BS71" s="725">
        <v>8.5930491612044635E-2</v>
      </c>
      <c r="BT71" s="725">
        <v>0.10188266494468849</v>
      </c>
      <c r="BW71" s="1189">
        <f>'2018'!R\Max</f>
        <v>0</v>
      </c>
      <c r="BX71" s="1187">
        <f>'2019'!R\Max</f>
        <v>0.87862031866978318</v>
      </c>
      <c r="BY71" s="1187">
        <f>'2020'!R\Max</f>
        <v>0.55450426080131177</v>
      </c>
      <c r="BZ71" s="1187">
        <f>'2021'!R\Max</f>
        <v>0.25637738643155034</v>
      </c>
      <c r="CA71" s="1187">
        <f>'2022'!R\Max</f>
        <v>1.0281926607440854</v>
      </c>
      <c r="CB71" s="1187">
        <f>'2023'!R\Max</f>
        <v>1.0281926607440854</v>
      </c>
      <c r="CC71" s="1187">
        <f>'2024'!R\Max</f>
        <v>1.0281926607440854</v>
      </c>
      <c r="CD71" s="1187">
        <f>'2025'!R\Max</f>
        <v>1.0281926607440854</v>
      </c>
      <c r="CE71" s="1187">
        <f>'2026'!R\Max</f>
        <v>1.0281926607440854</v>
      </c>
      <c r="CF71" s="1188">
        <f>'2027'!R\Max</f>
        <v>1.0281926607440854</v>
      </c>
    </row>
    <row r="72" spans="1:84" s="6" customFormat="1" ht="11.25" x14ac:dyDescent="0.2">
      <c r="A72" s="11">
        <v>43158</v>
      </c>
      <c r="B72" s="380">
        <f>'2022'!Maxi_hp</f>
        <v>37.047346489228502</v>
      </c>
      <c r="C72" s="13">
        <f>'2022'!An_max</f>
        <v>2021</v>
      </c>
      <c r="D72" s="1061"/>
      <c r="E72" s="13"/>
      <c r="F72" s="13">
        <f t="shared" si="22"/>
        <v>5</v>
      </c>
      <c r="G72" s="13">
        <f t="shared" si="23"/>
        <v>6</v>
      </c>
      <c r="H72" s="173">
        <f t="shared" si="7"/>
        <v>43150</v>
      </c>
      <c r="I72" s="752">
        <f t="shared" si="8"/>
        <v>0.5714285714285714</v>
      </c>
      <c r="J72" s="745">
        <f t="shared" si="26"/>
        <v>36.811953352391718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4">
        <v>43158</v>
      </c>
      <c r="AP72" s="13">
        <f t="shared" si="10"/>
        <v>3</v>
      </c>
      <c r="AQ72" s="13">
        <f t="shared" si="11"/>
        <v>4</v>
      </c>
      <c r="AR72" s="173">
        <f t="shared" si="12"/>
        <v>43136</v>
      </c>
      <c r="AS72" s="752">
        <f t="shared" si="13"/>
        <v>0.7857142857142857</v>
      </c>
      <c r="AT72" s="768">
        <f t="shared" si="14"/>
        <v>36.827423470014978</v>
      </c>
      <c r="AU72" s="13">
        <f t="shared" si="15"/>
        <v>3</v>
      </c>
      <c r="AV72" s="13">
        <f t="shared" si="16"/>
        <v>4</v>
      </c>
      <c r="AW72" s="173">
        <f t="shared" si="17"/>
        <v>43150</v>
      </c>
      <c r="AX72" s="752">
        <f t="shared" si="18"/>
        <v>0.2857142857142857</v>
      </c>
      <c r="AY72" s="768">
        <f t="shared" si="19"/>
        <v>36.820991253879455</v>
      </c>
      <c r="AZ72" s="745">
        <f t="shared" si="25"/>
        <v>36.824207361947217</v>
      </c>
      <c r="BA72" s="642">
        <f t="shared" si="20"/>
        <v>1.006394475581978</v>
      </c>
      <c r="BC72" s="11">
        <v>43158</v>
      </c>
      <c r="BD72" s="290">
        <f>[2]!FeuilCaduc*(1-Persistant)+Persistant</f>
        <v>0.70205268914495511</v>
      </c>
      <c r="BE72" s="291">
        <f>[2]!CroissVégét</f>
        <v>1.2935299036280712E-2</v>
      </c>
      <c r="BF72" s="815">
        <f>1+[2]!Salcycl*Ksac</f>
        <v>1.0003421148574925</v>
      </c>
      <c r="BH72" s="1052">
        <f t="shared" si="21"/>
        <v>1.3022300922146977E-2</v>
      </c>
      <c r="BI72" s="11">
        <v>44254</v>
      </c>
      <c r="BJ72" s="725">
        <v>1.9924526159175913E-3</v>
      </c>
      <c r="BK72" s="725">
        <v>4.0692689168571484E-3</v>
      </c>
      <c r="BL72" s="725">
        <v>6.822909742823317E-3</v>
      </c>
      <c r="BM72" s="725">
        <v>1.0530163491682683E-2</v>
      </c>
      <c r="BN72" s="725">
        <v>1.6771585119168306E-2</v>
      </c>
      <c r="BO72" s="726">
        <v>2.4613763224461047E-2</v>
      </c>
      <c r="BP72" s="725">
        <v>3.4801974040306577E-2</v>
      </c>
      <c r="BQ72" s="725">
        <v>4.9371415290303734E-2</v>
      </c>
      <c r="BR72" s="725">
        <v>6.5954348672076779E-2</v>
      </c>
      <c r="BS72" s="725">
        <v>8.4175898085665474E-2</v>
      </c>
      <c r="BT72" s="725">
        <v>0.10006625015089383</v>
      </c>
      <c r="BW72" s="1189">
        <f>'2018'!R\Max</f>
        <v>0</v>
      </c>
      <c r="BX72" s="1187">
        <f>'2019'!R\Max</f>
        <v>0.97536989954693287</v>
      </c>
      <c r="BY72" s="1187">
        <f>'2020'!R\Max</f>
        <v>0.23445469313922182</v>
      </c>
      <c r="BZ72" s="1187">
        <f>'2021'!R\Max</f>
        <v>1.006394475581978</v>
      </c>
      <c r="CA72" s="1187">
        <f>'2022'!R\Max</f>
        <v>0.83191873440749886</v>
      </c>
      <c r="CB72" s="1187">
        <f>'2023'!R\Max</f>
        <v>0.83182081004010666</v>
      </c>
      <c r="CC72" s="1187">
        <f>'2024'!R\Max</f>
        <v>0.83172281263269388</v>
      </c>
      <c r="CD72" s="1187">
        <f>'2025'!R\Max</f>
        <v>0.83160317505922698</v>
      </c>
      <c r="CE72" s="1187">
        <f>'2026'!R\Max</f>
        <v>0.83214031934697719</v>
      </c>
      <c r="CF72" s="1188">
        <f>'2027'!R\Max</f>
        <v>0.83207335505196278</v>
      </c>
    </row>
    <row r="73" spans="1:84" s="6" customFormat="1" ht="11.25" x14ac:dyDescent="0.2">
      <c r="A73" s="11">
        <v>43159</v>
      </c>
      <c r="B73" s="380">
        <f>'2022'!Maxi_hp</f>
        <v>31.801666100904498</v>
      </c>
      <c r="C73" s="13">
        <f>'2022'!An_max</f>
        <v>2022</v>
      </c>
      <c r="D73" s="1061"/>
      <c r="E73" s="13"/>
      <c r="F73" s="13">
        <f t="shared" si="22"/>
        <v>5</v>
      </c>
      <c r="G73" s="13">
        <f t="shared" si="23"/>
        <v>6</v>
      </c>
      <c r="H73" s="173">
        <f t="shared" si="7"/>
        <v>43150</v>
      </c>
      <c r="I73" s="752">
        <f t="shared" si="8"/>
        <v>0.6428571428571429</v>
      </c>
      <c r="J73" s="745">
        <f t="shared" si="26"/>
        <v>37.238739066677432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4">
        <v>43159</v>
      </c>
      <c r="AP73" s="13">
        <f t="shared" si="10"/>
        <v>3</v>
      </c>
      <c r="AQ73" s="13">
        <f t="shared" si="11"/>
        <v>4</v>
      </c>
      <c r="AR73" s="173">
        <f t="shared" si="12"/>
        <v>43136</v>
      </c>
      <c r="AS73" s="752">
        <f t="shared" si="13"/>
        <v>0.8214285714285714</v>
      </c>
      <c r="AT73" s="768">
        <f t="shared" si="14"/>
        <v>37.255149872773998</v>
      </c>
      <c r="AU73" s="13">
        <f t="shared" si="15"/>
        <v>3</v>
      </c>
      <c r="AV73" s="13">
        <f t="shared" si="16"/>
        <v>4</v>
      </c>
      <c r="AW73" s="173">
        <f t="shared" si="17"/>
        <v>43150</v>
      </c>
      <c r="AX73" s="752">
        <f t="shared" si="18"/>
        <v>0.32142857142857145</v>
      </c>
      <c r="AY73" s="768">
        <f t="shared" si="19"/>
        <v>37.257454901780669</v>
      </c>
      <c r="AZ73" s="745">
        <f t="shared" si="25"/>
        <v>37.25630238727733</v>
      </c>
      <c r="BA73" s="642">
        <f t="shared" si="20"/>
        <v>0.85399417106906761</v>
      </c>
      <c r="BC73" s="11">
        <v>43159</v>
      </c>
      <c r="BD73" s="290">
        <f>[2]!FeuilCaduc*(1-Persistant)+Persistant</f>
        <v>0.70213043639241823</v>
      </c>
      <c r="BE73" s="291">
        <f>[2]!CroissVégét</f>
        <v>1.352742218145603E-2</v>
      </c>
      <c r="BF73" s="815">
        <f>1+[2]!Salcycl*Ksac</f>
        <v>1.0003550727320698</v>
      </c>
      <c r="BH73" s="1052">
        <f t="shared" si="21"/>
        <v>1.2669234879027449E-2</v>
      </c>
      <c r="BI73" s="11">
        <v>44255</v>
      </c>
      <c r="BJ73" s="725">
        <v>1.8395516154837645E-3</v>
      </c>
      <c r="BK73" s="725">
        <v>3.8817434466498092E-3</v>
      </c>
      <c r="BL73" s="725">
        <v>6.6046643922611174E-3</v>
      </c>
      <c r="BM73" s="725">
        <v>1.0272825677438282E-2</v>
      </c>
      <c r="BN73" s="725">
        <v>1.6274501201535542E-2</v>
      </c>
      <c r="BO73" s="726">
        <v>2.383840005604361E-2</v>
      </c>
      <c r="BP73" s="725">
        <v>3.3667012325761844E-2</v>
      </c>
      <c r="BQ73" s="725">
        <v>4.8004788923627056E-2</v>
      </c>
      <c r="BR73" s="725">
        <v>6.4383192531774519E-2</v>
      </c>
      <c r="BS73" s="725">
        <v>8.246737802017598E-2</v>
      </c>
      <c r="BT73" s="725">
        <v>9.8276394911703077E-2</v>
      </c>
      <c r="BW73" s="1189">
        <f>'2018'!R\Max</f>
        <v>0</v>
      </c>
      <c r="BX73" s="1187">
        <f>'2019'!R\Max</f>
        <v>0.8043548121966877</v>
      </c>
      <c r="BY73" s="1187">
        <f>'2020'!R\Max</f>
        <v>0.51458299907086991</v>
      </c>
      <c r="BZ73" s="1187">
        <f>'2021'!R\Max</f>
        <v>0.84981374606949966</v>
      </c>
      <c r="CA73" s="1187">
        <f>'2022'!R\Max</f>
        <v>0.85399417106906761</v>
      </c>
      <c r="CB73" s="1187">
        <f>'2023'!R\Max</f>
        <v>0.85391089227622075</v>
      </c>
      <c r="CC73" s="1187">
        <f>'2024'!R\Max</f>
        <v>0.85382755178794756</v>
      </c>
      <c r="CD73" s="1187">
        <f>'2025'!R\Max</f>
        <v>0.85372455930996083</v>
      </c>
      <c r="CE73" s="1187">
        <f>'2026'!R\Max</f>
        <v>0.85418251644257848</v>
      </c>
      <c r="CF73" s="1188">
        <f>'2027'!R\Max</f>
        <v>0.85412565322275957</v>
      </c>
    </row>
    <row r="74" spans="1:84" s="6" customFormat="1" ht="11.25" x14ac:dyDescent="0.2">
      <c r="A74" s="11">
        <v>43160</v>
      </c>
      <c r="B74" s="380">
        <f>'2022'!Maxi_hp</f>
        <v>37.730811639617201</v>
      </c>
      <c r="C74" s="13">
        <f>'2022'!An_max</f>
        <v>2022</v>
      </c>
      <c r="D74" s="1061"/>
      <c r="E74" s="13"/>
      <c r="F74" s="13">
        <f t="shared" si="22"/>
        <v>5</v>
      </c>
      <c r="G74" s="13">
        <f t="shared" si="23"/>
        <v>6</v>
      </c>
      <c r="H74" s="173">
        <f t="shared" si="7"/>
        <v>43150</v>
      </c>
      <c r="I74" s="752">
        <f t="shared" si="8"/>
        <v>0.7142857142857143</v>
      </c>
      <c r="J74" s="745">
        <f t="shared" si="26"/>
        <v>37.667638483749968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4">
        <v>43160</v>
      </c>
      <c r="AP74" s="13">
        <f t="shared" si="10"/>
        <v>3</v>
      </c>
      <c r="AQ74" s="13">
        <f t="shared" si="11"/>
        <v>4</v>
      </c>
      <c r="AR74" s="173">
        <f t="shared" si="12"/>
        <v>43136</v>
      </c>
      <c r="AS74" s="752">
        <f t="shared" si="13"/>
        <v>0.8571428571428571</v>
      </c>
      <c r="AT74" s="768">
        <f t="shared" si="14"/>
        <v>37.683673469828712</v>
      </c>
      <c r="AU74" s="13">
        <f t="shared" si="15"/>
        <v>3</v>
      </c>
      <c r="AV74" s="13">
        <f t="shared" si="16"/>
        <v>4</v>
      </c>
      <c r="AW74" s="173">
        <f t="shared" si="17"/>
        <v>43150</v>
      </c>
      <c r="AX74" s="752">
        <f t="shared" si="18"/>
        <v>0.35714285714285715</v>
      </c>
      <c r="AY74" s="768">
        <f t="shared" si="19"/>
        <v>37.697248542588206</v>
      </c>
      <c r="AZ74" s="745">
        <f t="shared" si="25"/>
        <v>37.690461006208459</v>
      </c>
      <c r="BA74" s="642">
        <f t="shared" si="20"/>
        <v>1.0016771201596428</v>
      </c>
      <c r="BC74" s="11">
        <v>43160</v>
      </c>
      <c r="BD74" s="290">
        <f>[2]!FeuilCaduc*(1-Persistant)+Persistant</f>
        <v>0.70220727247123682</v>
      </c>
      <c r="BE74" s="291">
        <f>[2]!CroissVégét</f>
        <v>1.4143631071573595E-2</v>
      </c>
      <c r="BF74" s="815">
        <f>1+[2]!Salcycl*Ksac</f>
        <v>1.0003678787452062</v>
      </c>
      <c r="BH74" s="1052">
        <f t="shared" si="21"/>
        <v>1.2357310919242442E-2</v>
      </c>
      <c r="BI74" s="11">
        <v>44256</v>
      </c>
      <c r="BJ74" s="725">
        <v>1.6983272439268183E-3</v>
      </c>
      <c r="BK74" s="725">
        <v>3.7088520057860538E-3</v>
      </c>
      <c r="BL74" s="725">
        <v>6.4060185531582235E-3</v>
      </c>
      <c r="BM74" s="725">
        <v>1.004468511867037E-2</v>
      </c>
      <c r="BN74" s="725">
        <v>1.5836529706182812E-2</v>
      </c>
      <c r="BO74" s="726">
        <v>2.3157640314557429E-2</v>
      </c>
      <c r="BP74" s="725">
        <v>3.2672037007017457E-2</v>
      </c>
      <c r="BQ74" s="725">
        <v>4.6763662036545903E-2</v>
      </c>
      <c r="BR74" s="725">
        <v>6.290884637740457E-2</v>
      </c>
      <c r="BS74" s="725">
        <v>8.0804895112039254E-2</v>
      </c>
      <c r="BT74" s="725">
        <v>9.6513056461425051E-2</v>
      </c>
      <c r="BW74" s="1189">
        <f>'2018'!R\Max</f>
        <v>0</v>
      </c>
      <c r="BX74" s="1187">
        <f>'2019'!R\Max</f>
        <v>0.40230304888663732</v>
      </c>
      <c r="BY74" s="1187">
        <f>'2020'!R\Max</f>
        <v>0.39394168783393885</v>
      </c>
      <c r="BZ74" s="1187">
        <f>'2021'!R\Max</f>
        <v>0.92073324948779367</v>
      </c>
      <c r="CA74" s="1187">
        <f>'2022'!R\Max</f>
        <v>1.0016771201596428</v>
      </c>
      <c r="CB74" s="1187">
        <f>'2023'!R\Max</f>
        <v>1.0016771201596428</v>
      </c>
      <c r="CC74" s="1187">
        <f>'2024'!R\Max</f>
        <v>1.0016771201596428</v>
      </c>
      <c r="CD74" s="1187">
        <f>'2025'!R\Max</f>
        <v>1.0016771201596428</v>
      </c>
      <c r="CE74" s="1187">
        <f>'2026'!R\Max</f>
        <v>1.0016771201596428</v>
      </c>
      <c r="CF74" s="1188">
        <f>'2027'!R\Max</f>
        <v>1.0016771201596428</v>
      </c>
    </row>
    <row r="75" spans="1:84" s="6" customFormat="1" ht="11.25" x14ac:dyDescent="0.2">
      <c r="A75" s="11">
        <v>43161</v>
      </c>
      <c r="B75" s="380">
        <f>'2022'!Maxi_hp</f>
        <v>27.571693836230367</v>
      </c>
      <c r="C75" s="13">
        <f>'2022'!An_max</f>
        <v>2020</v>
      </c>
      <c r="D75" s="1061"/>
      <c r="E75" s="13"/>
      <c r="F75" s="13">
        <f t="shared" si="22"/>
        <v>5</v>
      </c>
      <c r="G75" s="13">
        <f t="shared" si="23"/>
        <v>6</v>
      </c>
      <c r="H75" s="173">
        <f t="shared" si="7"/>
        <v>43150</v>
      </c>
      <c r="I75" s="752">
        <f t="shared" si="8"/>
        <v>0.7857142857142857</v>
      </c>
      <c r="J75" s="745">
        <f t="shared" si="26"/>
        <v>38.09843294412962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4">
        <v>43161</v>
      </c>
      <c r="AP75" s="13">
        <f t="shared" si="10"/>
        <v>3</v>
      </c>
      <c r="AQ75" s="13">
        <f t="shared" si="11"/>
        <v>4</v>
      </c>
      <c r="AR75" s="173">
        <f t="shared" si="12"/>
        <v>43136</v>
      </c>
      <c r="AS75" s="752">
        <f t="shared" si="13"/>
        <v>0.8928571428571429</v>
      </c>
      <c r="AT75" s="768">
        <f t="shared" si="14"/>
        <v>38.112707270495591</v>
      </c>
      <c r="AU75" s="13">
        <f t="shared" si="15"/>
        <v>3</v>
      </c>
      <c r="AV75" s="13">
        <f t="shared" si="16"/>
        <v>4</v>
      </c>
      <c r="AW75" s="173">
        <f t="shared" si="17"/>
        <v>43150</v>
      </c>
      <c r="AX75" s="752">
        <f t="shared" si="18"/>
        <v>0.39285714285714285</v>
      </c>
      <c r="AY75" s="768">
        <f t="shared" si="19"/>
        <v>38.139948524009171</v>
      </c>
      <c r="AZ75" s="745">
        <f t="shared" si="25"/>
        <v>38.126327897252381</v>
      </c>
      <c r="BA75" s="642">
        <f t="shared" si="20"/>
        <v>0.72369627057006658</v>
      </c>
      <c r="BC75" s="11">
        <v>43161</v>
      </c>
      <c r="BD75" s="290">
        <f>[2]!FeuilCaduc*(1-Persistant)+Persistant</f>
        <v>0.70228377921667384</v>
      </c>
      <c r="BE75" s="291">
        <f>[2]!CroissVégét</f>
        <v>1.47848730100967E-2</v>
      </c>
      <c r="BF75" s="815">
        <f>1+[2]!Salcycl*Ksac</f>
        <v>1.0003806298694458</v>
      </c>
      <c r="BH75" s="1052">
        <f t="shared" si="21"/>
        <v>1.2086524394293176E-2</v>
      </c>
      <c r="BI75" s="11">
        <v>44257</v>
      </c>
      <c r="BJ75" s="725">
        <v>1.568778709024451E-3</v>
      </c>
      <c r="BK75" s="725">
        <v>3.5505930277288664E-3</v>
      </c>
      <c r="BL75" s="725">
        <v>6.2269696839108348E-3</v>
      </c>
      <c r="BM75" s="725">
        <v>9.8457380264236893E-3</v>
      </c>
      <c r="BN75" s="725">
        <v>1.545766469147522E-2</v>
      </c>
      <c r="BO75" s="726">
        <v>2.2571475354655212E-2</v>
      </c>
      <c r="BP75" s="725">
        <v>3.1817035914780793E-2</v>
      </c>
      <c r="BQ75" s="725">
        <v>4.5648016312392549E-2</v>
      </c>
      <c r="BR75" s="725">
        <v>6.153128475585766E-2</v>
      </c>
      <c r="BS75" s="725">
        <v>7.9188415834800505E-2</v>
      </c>
      <c r="BT75" s="725">
        <v>9.4776194826516405E-2</v>
      </c>
      <c r="BW75" s="1189">
        <f>'2018'!R\Max</f>
        <v>0</v>
      </c>
      <c r="BX75" s="1187">
        <f>'2019'!R\Max</f>
        <v>0.55160233498433087</v>
      </c>
      <c r="BY75" s="1187">
        <f>'2020'!R\Max</f>
        <v>0.72369627057006658</v>
      </c>
      <c r="BZ75" s="1187">
        <f>'2021'!R\Max</f>
        <v>0.45300622016732051</v>
      </c>
      <c r="CA75" s="1187">
        <f>'2022'!R\Max</f>
        <v>0.31730553459232885</v>
      </c>
      <c r="CB75" s="1187">
        <f>'2023'!R\Max</f>
        <v>0.31717253390233091</v>
      </c>
      <c r="CC75" s="1187">
        <f>'2024'!R\Max</f>
        <v>0.31703953032606663</v>
      </c>
      <c r="CD75" s="1187">
        <f>'2025'!R\Max</f>
        <v>0.31687268237562566</v>
      </c>
      <c r="CE75" s="1187">
        <f>'2026'!R\Max</f>
        <v>0.31760644007101069</v>
      </c>
      <c r="CF75" s="1188">
        <f>'2027'!R\Max</f>
        <v>0.31751571136730733</v>
      </c>
    </row>
    <row r="76" spans="1:84" s="6" customFormat="1" ht="11.25" x14ac:dyDescent="0.2">
      <c r="A76" s="11">
        <v>43162</v>
      </c>
      <c r="B76" s="380">
        <f>'2022'!Maxi_hp</f>
        <v>36.162203215099751</v>
      </c>
      <c r="C76" s="13">
        <f>'2022'!An_max</f>
        <v>2022</v>
      </c>
      <c r="D76" s="1061"/>
      <c r="E76" s="13"/>
      <c r="F76" s="13">
        <f t="shared" si="22"/>
        <v>5</v>
      </c>
      <c r="G76" s="13">
        <f t="shared" si="23"/>
        <v>6</v>
      </c>
      <c r="H76" s="173">
        <f t="shared" si="7"/>
        <v>43150</v>
      </c>
      <c r="I76" s="752">
        <f t="shared" si="8"/>
        <v>0.8571428571428571</v>
      </c>
      <c r="J76" s="745">
        <f t="shared" si="26"/>
        <v>38.530903790092893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4">
        <v>43162</v>
      </c>
      <c r="AP76" s="13">
        <f t="shared" si="10"/>
        <v>3</v>
      </c>
      <c r="AQ76" s="13">
        <f t="shared" si="11"/>
        <v>4</v>
      </c>
      <c r="AR76" s="173">
        <f t="shared" si="12"/>
        <v>43136</v>
      </c>
      <c r="AS76" s="752">
        <f t="shared" si="13"/>
        <v>0.9285714285714286</v>
      </c>
      <c r="AT76" s="768">
        <f t="shared" si="14"/>
        <v>38.541964285714286</v>
      </c>
      <c r="AU76" s="13">
        <f t="shared" si="15"/>
        <v>3</v>
      </c>
      <c r="AV76" s="13">
        <f t="shared" si="16"/>
        <v>4</v>
      </c>
      <c r="AW76" s="173">
        <f t="shared" si="17"/>
        <v>43150</v>
      </c>
      <c r="AX76" s="752">
        <f t="shared" si="18"/>
        <v>0.42857142857142855</v>
      </c>
      <c r="AY76" s="768">
        <f t="shared" si="19"/>
        <v>38.585131195413751</v>
      </c>
      <c r="AZ76" s="745">
        <f t="shared" si="25"/>
        <v>38.563547740564019</v>
      </c>
      <c r="BA76" s="642">
        <f t="shared" si="20"/>
        <v>0.93852465574393862</v>
      </c>
      <c r="BC76" s="11">
        <v>43162</v>
      </c>
      <c r="BD76" s="290">
        <f>[2]!FeuilCaduc*(1-Persistant)+Persistant</f>
        <v>0.70236065718439034</v>
      </c>
      <c r="BE76" s="291">
        <f>[2]!CroissVégét</f>
        <v>1.5452129829812465E-2</v>
      </c>
      <c r="BF76" s="815">
        <f>1+[2]!Salcycl*Ksac</f>
        <v>1.0003934428640651</v>
      </c>
      <c r="BH76" s="1052">
        <f t="shared" si="21"/>
        <v>1.1856871248064137E-2</v>
      </c>
      <c r="BI76" s="11">
        <v>44258</v>
      </c>
      <c r="BJ76" s="725">
        <v>1.4509054646524445E-3</v>
      </c>
      <c r="BK76" s="725">
        <v>3.4069652483102665E-3</v>
      </c>
      <c r="BL76" s="725">
        <v>6.0675155991886448E-3</v>
      </c>
      <c r="BM76" s="725">
        <v>9.6759810421774943E-3</v>
      </c>
      <c r="BN76" s="725">
        <v>1.5137901051804141E-2</v>
      </c>
      <c r="BO76" s="726">
        <v>2.2079897839102931E-2</v>
      </c>
      <c r="BP76" s="725">
        <v>3.1101998797100676E-2</v>
      </c>
      <c r="BQ76" s="725">
        <v>4.4657835670183998E-2</v>
      </c>
      <c r="BR76" s="725">
        <v>6.025048470381026E-2</v>
      </c>
      <c r="BS76" s="725">
        <v>7.7617909269034516E-2</v>
      </c>
      <c r="BT76" s="725">
        <v>9.3065772727807736E-2</v>
      </c>
      <c r="BW76" s="1189">
        <f>'2018'!R\Max</f>
        <v>0</v>
      </c>
      <c r="BX76" s="1187">
        <f>'2019'!R\Max</f>
        <v>0.88007072526575458</v>
      </c>
      <c r="BY76" s="1187">
        <f>'2020'!R\Max</f>
        <v>0.6060129054395289</v>
      </c>
      <c r="BZ76" s="1187">
        <f>'2021'!R\Max</f>
        <v>0.43403411372314815</v>
      </c>
      <c r="CA76" s="1187">
        <f>'2022'!R\Max</f>
        <v>0.93852465574393862</v>
      </c>
      <c r="CB76" s="1187">
        <f>'2023'!R\Max</f>
        <v>0.9384904605333686</v>
      </c>
      <c r="CC76" s="1187">
        <f>'2024'!R\Max</f>
        <v>0.93845623941701806</v>
      </c>
      <c r="CD76" s="1187">
        <f>'2025'!R\Max</f>
        <v>0.9384131479692297</v>
      </c>
      <c r="CE76" s="1187">
        <f>'2026'!R\Max</f>
        <v>0.93860190844264502</v>
      </c>
      <c r="CF76" s="1188">
        <f>'2027'!R\Max</f>
        <v>0.93857864831537385</v>
      </c>
    </row>
    <row r="77" spans="1:84" s="6" customFormat="1" ht="11.25" x14ac:dyDescent="0.2">
      <c r="A77" s="11">
        <v>43163</v>
      </c>
      <c r="B77" s="380">
        <f>'2022'!Maxi_hp</f>
        <v>30.44612113653443</v>
      </c>
      <c r="C77" s="13">
        <f>'2022'!An_max</f>
        <v>2021</v>
      </c>
      <c r="D77" s="1061"/>
      <c r="E77" s="13"/>
      <c r="F77" s="13">
        <f t="shared" si="22"/>
        <v>5</v>
      </c>
      <c r="G77" s="13">
        <f t="shared" si="23"/>
        <v>6</v>
      </c>
      <c r="H77" s="173">
        <f t="shared" si="7"/>
        <v>43150</v>
      </c>
      <c r="I77" s="752">
        <f t="shared" si="8"/>
        <v>0.9285714285714286</v>
      </c>
      <c r="J77" s="745">
        <f t="shared" si="26"/>
        <v>38.964832361281978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4">
        <v>43163</v>
      </c>
      <c r="AP77" s="13">
        <f t="shared" si="10"/>
        <v>3</v>
      </c>
      <c r="AQ77" s="13">
        <f t="shared" si="11"/>
        <v>4</v>
      </c>
      <c r="AR77" s="173">
        <f t="shared" si="12"/>
        <v>43136</v>
      </c>
      <c r="AS77" s="752">
        <f t="shared" si="13"/>
        <v>0.9642857142857143</v>
      </c>
      <c r="AT77" s="768">
        <f t="shared" si="14"/>
        <v>38.971157525599537</v>
      </c>
      <c r="AU77" s="13">
        <f t="shared" si="15"/>
        <v>3</v>
      </c>
      <c r="AV77" s="13">
        <f t="shared" si="16"/>
        <v>4</v>
      </c>
      <c r="AW77" s="173">
        <f t="shared" si="17"/>
        <v>43150</v>
      </c>
      <c r="AX77" s="752">
        <f t="shared" si="18"/>
        <v>0.4642857142857143</v>
      </c>
      <c r="AY77" s="768">
        <f t="shared" si="19"/>
        <v>39.032372904931457</v>
      </c>
      <c r="AZ77" s="745">
        <f t="shared" si="25"/>
        <v>39.001765215265493</v>
      </c>
      <c r="BA77" s="642">
        <f t="shared" si="20"/>
        <v>0.78137436481794542</v>
      </c>
      <c r="BC77" s="11">
        <v>43163</v>
      </c>
      <c r="BD77" s="290">
        <f>[2]!FeuilCaduc*(1-Persistant)+Persistant</f>
        <v>0.70243872593289969</v>
      </c>
      <c r="BE77" s="291">
        <f>[2]!CroissVégét</f>
        <v>1.6146418920009037E-2</v>
      </c>
      <c r="BF77" s="815">
        <f>1+[2]!Salcycl*Ksac</f>
        <v>1.00040645432215</v>
      </c>
      <c r="BH77" s="1052">
        <f t="shared" si="21"/>
        <v>1.1668347864633812E-2</v>
      </c>
      <c r="BI77" s="11">
        <v>44259</v>
      </c>
      <c r="BJ77" s="725">
        <v>1.3447071675847524E-3</v>
      </c>
      <c r="BK77" s="725">
        <v>3.2779676515942383E-3</v>
      </c>
      <c r="BL77" s="725">
        <v>5.9276543974334977E-3</v>
      </c>
      <c r="BM77" s="725">
        <v>9.5354111298446755E-3</v>
      </c>
      <c r="BN77" s="725">
        <v>1.4877234298918981E-2</v>
      </c>
      <c r="BO77" s="726">
        <v>2.1682901388818527E-2</v>
      </c>
      <c r="BP77" s="725">
        <v>3.0526916801519685E-2</v>
      </c>
      <c r="BQ77" s="725">
        <v>4.3793105800397955E-2</v>
      </c>
      <c r="BR77" s="725">
        <v>5.9066425389674465E-2</v>
      </c>
      <c r="BS77" s="725">
        <v>7.6093346932175773E-2</v>
      </c>
      <c r="BT77" s="725">
        <v>9.1381755482589047E-2</v>
      </c>
      <c r="BW77" s="1189">
        <f>'2018'!R\Max</f>
        <v>0</v>
      </c>
      <c r="BX77" s="1187">
        <f>'2019'!R\Max</f>
        <v>0.34925212603028671</v>
      </c>
      <c r="BY77" s="1187">
        <f>'2020'!R\Max</f>
        <v>0.14374950547122936</v>
      </c>
      <c r="BZ77" s="1187">
        <f>'2021'!R\Max</f>
        <v>0.78137436481794542</v>
      </c>
      <c r="CA77" s="1187">
        <f>'2022'!R\Max</f>
        <v>0.1101419139499768</v>
      </c>
      <c r="CB77" s="1187">
        <f>'2023'!R\Max</f>
        <v>0.11009761076290611</v>
      </c>
      <c r="CC77" s="1187">
        <f>'2024'!R\Max</f>
        <v>0.11005330757583538</v>
      </c>
      <c r="CD77" s="1187">
        <f>'2025'!R\Max</f>
        <v>0.10999760983535026</v>
      </c>
      <c r="CE77" s="1187">
        <f>'2026'!R\Max</f>
        <v>0.11024211378665681</v>
      </c>
      <c r="CF77" s="1188">
        <f>'2027'!R\Max</f>
        <v>0.1102119490744313</v>
      </c>
    </row>
    <row r="78" spans="1:84" s="6" customFormat="1" ht="11.25" x14ac:dyDescent="0.2">
      <c r="A78" s="11">
        <v>43164</v>
      </c>
      <c r="B78" s="380">
        <f>'2022'!Maxi_hp</f>
        <v>38.571800708819332</v>
      </c>
      <c r="C78" s="13">
        <f>'2022'!An_max</f>
        <v>2019</v>
      </c>
      <c r="D78" s="1061"/>
      <c r="E78" s="1056">
        <f>R$13/10</f>
        <v>39.4</v>
      </c>
      <c r="F78" s="13">
        <f t="shared" si="22"/>
        <v>7</v>
      </c>
      <c r="G78" s="13">
        <f t="shared" si="23"/>
        <v>6</v>
      </c>
      <c r="H78" s="173">
        <f t="shared" si="7"/>
        <v>43178</v>
      </c>
      <c r="I78" s="752">
        <f t="shared" si="8"/>
        <v>1</v>
      </c>
      <c r="J78" s="745">
        <f t="shared" si="26"/>
        <v>39.4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4">
        <v>43164</v>
      </c>
      <c r="AP78" s="13">
        <f t="shared" si="10"/>
        <v>5</v>
      </c>
      <c r="AQ78" s="13">
        <f t="shared" si="11"/>
        <v>4</v>
      </c>
      <c r="AR78" s="173">
        <f t="shared" si="12"/>
        <v>43192</v>
      </c>
      <c r="AS78" s="752">
        <f t="shared" si="13"/>
        <v>1</v>
      </c>
      <c r="AT78" s="768">
        <f t="shared" si="14"/>
        <v>39.400000000372529</v>
      </c>
      <c r="AU78" s="13">
        <f t="shared" si="15"/>
        <v>3</v>
      </c>
      <c r="AV78" s="13">
        <f t="shared" si="16"/>
        <v>4</v>
      </c>
      <c r="AW78" s="173">
        <f t="shared" si="17"/>
        <v>43150</v>
      </c>
      <c r="AX78" s="752">
        <f t="shared" si="18"/>
        <v>0.5</v>
      </c>
      <c r="AY78" s="768">
        <f t="shared" si="19"/>
        <v>39.481250000372526</v>
      </c>
      <c r="AZ78" s="745">
        <f t="shared" si="25"/>
        <v>39.440625000372528</v>
      </c>
      <c r="BA78" s="642">
        <f t="shared" si="20"/>
        <v>0.97897971342181045</v>
      </c>
      <c r="BC78" s="11">
        <v>43164</v>
      </c>
      <c r="BD78" s="290">
        <f>[2]!FeuilCaduc*(1-Persistant)+Persistant</f>
        <v>0.70251892349723699</v>
      </c>
      <c r="BE78" s="291">
        <f>[2]!CroissVégét</f>
        <v>1.6868794263800321E-2</v>
      </c>
      <c r="BF78" s="815">
        <f>1+[2]!Salcycl*Ksac</f>
        <v>1.0004198205828729</v>
      </c>
      <c r="BH78" s="1052">
        <f t="shared" si="21"/>
        <v>1.1520950916121268E-2</v>
      </c>
      <c r="BI78" s="11">
        <v>44260</v>
      </c>
      <c r="BJ78" s="725">
        <v>1.2501836342980667E-3</v>
      </c>
      <c r="BK78" s="725">
        <v>3.1635994157500373E-3</v>
      </c>
      <c r="BL78" s="725">
        <v>5.8073843883764261E-3</v>
      </c>
      <c r="BM78" s="725">
        <v>9.4240254678000998E-3</v>
      </c>
      <c r="BN78" s="725">
        <v>1.4675660343304709E-2</v>
      </c>
      <c r="BO78" s="726">
        <v>2.1380480232977363E-2</v>
      </c>
      <c r="BP78" s="725">
        <v>3.0091781957320436E-2</v>
      </c>
      <c r="BQ78" s="725">
        <v>4.3053813700884173E-2</v>
      </c>
      <c r="BR78" s="725">
        <v>5.797908775573013E-2</v>
      </c>
      <c r="BS78" s="725">
        <v>7.4614702608582884E-2</v>
      </c>
      <c r="BT78" s="725">
        <v>8.9724110906976226E-2</v>
      </c>
      <c r="BW78" s="1189">
        <f>'2018'!R\Max</f>
        <v>0</v>
      </c>
      <c r="BX78" s="1187">
        <f>'2019'!R\Max</f>
        <v>0.97897971342181045</v>
      </c>
      <c r="BY78" s="1187">
        <f>'2020'!R\Max</f>
        <v>0.23944722907790475</v>
      </c>
      <c r="BZ78" s="1187">
        <f>'2021'!R\Max</f>
        <v>0.86855383506318129</v>
      </c>
      <c r="CA78" s="1187">
        <f>'2022'!R\Max</f>
        <v>0.38158636994419243</v>
      </c>
      <c r="CB78" s="1187">
        <f>'2023'!R\Max</f>
        <v>0.38145432683274072</v>
      </c>
      <c r="CC78" s="1187">
        <f>'2024'!R\Max</f>
        <v>0.38132227161526383</v>
      </c>
      <c r="CD78" s="1187">
        <f>'2025'!R\Max</f>
        <v>0.38115700824893345</v>
      </c>
      <c r="CE78" s="1187">
        <f>'2026'!R\Max</f>
        <v>0.38188497010144751</v>
      </c>
      <c r="CF78" s="1188">
        <f>'2027'!R\Max</f>
        <v>0.38179514235033524</v>
      </c>
    </row>
    <row r="79" spans="1:84" s="6" customFormat="1" ht="11.25" x14ac:dyDescent="0.2">
      <c r="A79" s="11">
        <v>43165</v>
      </c>
      <c r="B79" s="380">
        <f>'2022'!Maxi_hp</f>
        <v>22.950602771895554</v>
      </c>
      <c r="C79" s="13">
        <f>'2022'!An_max</f>
        <v>2019</v>
      </c>
      <c r="D79" s="1061"/>
      <c r="E79" s="13"/>
      <c r="F79" s="13">
        <f t="shared" si="22"/>
        <v>7</v>
      </c>
      <c r="G79" s="13">
        <f t="shared" ref="G79:G142" si="58">INT((MATCH($A79,x.2m)+1)/2)*2</f>
        <v>6</v>
      </c>
      <c r="H79" s="173">
        <f t="shared" ref="H79:H142" si="59">INDEX(x.2m,F79)</f>
        <v>43178</v>
      </c>
      <c r="I79" s="752">
        <f t="shared" ref="I79:I142" si="60">($A79-H79)/(INDEX(x.2m,G79)-H79)</f>
        <v>0.9285714285714286</v>
      </c>
      <c r="J79" s="745">
        <f t="shared" ref="J79:J142" si="61">((1-I79)*(INDEX(a.m,F79)*$A79*$A79+INDEX(b.m,F79)*$A79+INDEX(c.m,F79))+I79*(INDEX(a.m,G79)*$A79*$A79+INDEX(b.m,G79)*$A79+INDEX(c.m,G79)))/10</f>
        <v>39.83720845445724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4">
        <v>43165</v>
      </c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3">
        <f t="shared" ref="AR79:AR142" si="64">INDEX(x.2lg,AP79)</f>
        <v>43192</v>
      </c>
      <c r="AS79" s="752">
        <f t="shared" ref="AS79:AS142" si="65">($A79-AR79)/(INDEX(x.2lg,AQ79)-AR79)</f>
        <v>0.9642857142857143</v>
      </c>
      <c r="AT79" s="768">
        <f t="shared" ref="AT79:AT142" si="66">((1-AS79)*(INDEX(a.lg,AP79)*$A79*$A79+INDEX(b.lg,AP79)*$A79+INDEX(c.lg,AP79))+AS79*(INDEX(a.lg,AQ79)*$A79*$A79+INDEX(b.lg,AQ79)*$A79+INDEX(c.lg,AQ79)))/10</f>
        <v>39.833097212508854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3">
        <f t="shared" ref="AW79:AW142" si="69">INDEX(x.2ld,AU79)</f>
        <v>43150</v>
      </c>
      <c r="AX79" s="752">
        <f t="shared" ref="AX79:AX142" si="70">($A79-AW79)/(INDEX(x.2ld,AV79)-AW79)</f>
        <v>0.5357142857142857</v>
      </c>
      <c r="AY79" s="768">
        <f t="shared" ref="AY79:AY142" si="71">((1-AX79)*(INDEX(a.ld,AU79)*$A79*$A79+INDEX(b.ld,AU79)*$A79+INDEX(c.ld,AU79))+AX79*(INDEX(a.ld,AV79)*$A79*$A79+INDEX(b.ld,AV79)*$A79+INDEX(c.ld,AV79)))/10</f>
        <v>39.931338830445227</v>
      </c>
      <c r="AZ79" s="745">
        <f t="shared" si="25"/>
        <v>39.882218021477044</v>
      </c>
      <c r="BA79" s="642">
        <f t="shared" ref="BA79:BA142" si="72">+B79/J79</f>
        <v>0.57610971406626499</v>
      </c>
      <c r="BC79" s="11">
        <v>43165</v>
      </c>
      <c r="BD79" s="290">
        <f>[2]!FeuilCaduc*(1-Persistant)+Persistant</f>
        <v>0.7026023050748279</v>
      </c>
      <c r="BE79" s="291">
        <f>[2]!CroissVégét</f>
        <v>1.7620347483596571E-2</v>
      </c>
      <c r="BF79" s="815">
        <f>1+[2]!Salcycl*Ksac</f>
        <v>1.0004337175124713</v>
      </c>
      <c r="BH79" s="1052">
        <f t="shared" ref="BH79:BH142" si="73">INDEX($BJ79:$BT79,,$BH$10)*(1-Ratini)+INDEX($BJ79:$BT79,,$BH$10+1)*Ratini</f>
        <v>1.1414677210485513E-2</v>
      </c>
      <c r="BI79" s="11">
        <v>44261</v>
      </c>
      <c r="BJ79" s="725">
        <v>1.1673347977706556E-3</v>
      </c>
      <c r="BK79" s="725">
        <v>3.0638598589119766E-3</v>
      </c>
      <c r="BL79" s="725">
        <v>5.7067040205305555E-3</v>
      </c>
      <c r="BM79" s="725">
        <v>9.3418213408704154E-3</v>
      </c>
      <c r="BN79" s="725">
        <v>1.4533175275499081E-2</v>
      </c>
      <c r="BO79" s="726">
        <v>2.1172628859029794E-2</v>
      </c>
      <c r="BP79" s="725">
        <v>2.9796586657647998E-2</v>
      </c>
      <c r="BQ79" s="725">
        <v>4.243994721259773E-2</v>
      </c>
      <c r="BR79" s="725">
        <v>5.6988454160017486E-2</v>
      </c>
      <c r="BS79" s="725">
        <v>7.3181952179294921E-2</v>
      </c>
      <c r="BT79" s="725">
        <v>8.80928092179077E-2</v>
      </c>
      <c r="BW79" s="1189">
        <f>'2018'!R\Max</f>
        <v>0</v>
      </c>
      <c r="BX79" s="1187">
        <f>'2019'!R\Max</f>
        <v>0.57610971406626499</v>
      </c>
      <c r="BY79" s="1187">
        <f>'2020'!R\Max</f>
        <v>0.27701715380362729</v>
      </c>
      <c r="BZ79" s="1187">
        <f>'2021'!R\Max</f>
        <v>0.31189167589056765</v>
      </c>
      <c r="CA79" s="1187">
        <f>'2022'!R\Max</f>
        <v>0.44523242297492432</v>
      </c>
      <c r="CB79" s="1187">
        <f>'2023'!R\Max</f>
        <v>0.44509708081497223</v>
      </c>
      <c r="CC79" s="1187">
        <f>'2024'!R\Max</f>
        <v>0.44496171706397913</v>
      </c>
      <c r="CD79" s="1187">
        <f>'2025'!R\Max</f>
        <v>0.44479377892251298</v>
      </c>
      <c r="CE79" s="1187">
        <f>'2026'!R\Max</f>
        <v>0.44553849911058074</v>
      </c>
      <c r="CF79" s="1188">
        <f>'2027'!R\Max</f>
        <v>0.44544647551664313</v>
      </c>
    </row>
    <row r="80" spans="1:84" s="6" customFormat="1" ht="11.25" x14ac:dyDescent="0.2">
      <c r="A80" s="11">
        <v>43166</v>
      </c>
      <c r="B80" s="380">
        <f>'2022'!Maxi_hp</f>
        <v>38.686228765533436</v>
      </c>
      <c r="C80" s="13">
        <f>'2022'!An_max</f>
        <v>2022</v>
      </c>
      <c r="D80" s="1061"/>
      <c r="E80" s="13"/>
      <c r="F80" s="13">
        <f t="shared" ref="F80:F143" si="74">INT(MATCH($A80,x.2m)/2)*2+1</f>
        <v>7</v>
      </c>
      <c r="G80" s="13">
        <f t="shared" si="58"/>
        <v>6</v>
      </c>
      <c r="H80" s="173">
        <f t="shared" si="59"/>
        <v>43178</v>
      </c>
      <c r="I80" s="752">
        <f t="shared" si="60"/>
        <v>0.8571428571428571</v>
      </c>
      <c r="J80" s="745">
        <f t="shared" si="61"/>
        <v>40.277259474726662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4">
        <v>43166</v>
      </c>
      <c r="AP80" s="13">
        <f t="shared" si="62"/>
        <v>5</v>
      </c>
      <c r="AQ80" s="13">
        <f t="shared" si="63"/>
        <v>4</v>
      </c>
      <c r="AR80" s="173">
        <f t="shared" si="64"/>
        <v>43192</v>
      </c>
      <c r="AS80" s="752">
        <f t="shared" si="65"/>
        <v>0.9285714285714286</v>
      </c>
      <c r="AT80" s="768">
        <f t="shared" si="66"/>
        <v>40.274726676302301</v>
      </c>
      <c r="AU80" s="13">
        <f t="shared" si="67"/>
        <v>3</v>
      </c>
      <c r="AV80" s="13">
        <f t="shared" si="68"/>
        <v>4</v>
      </c>
      <c r="AW80" s="173">
        <f t="shared" si="69"/>
        <v>43150</v>
      </c>
      <c r="AX80" s="752">
        <f t="shared" si="70"/>
        <v>0.5714285714285714</v>
      </c>
      <c r="AY80" s="768">
        <f t="shared" si="71"/>
        <v>40.382215743565133</v>
      </c>
      <c r="AZ80" s="745">
        <f t="shared" ref="AZ80:AZ143" si="75">(AY80+AT80)/2</f>
        <v>40.328471209933717</v>
      </c>
      <c r="BA80" s="642">
        <f t="shared" si="72"/>
        <v>0.960498039590018</v>
      </c>
      <c r="BC80" s="11">
        <v>43166</v>
      </c>
      <c r="BD80" s="290">
        <f>[2]!FeuilCaduc*(1-Persistant)+Persistant</f>
        <v>0.7026900409516792</v>
      </c>
      <c r="BE80" s="291">
        <f>[2]!CroissVégét</f>
        <v>1.8402208892467707E-2</v>
      </c>
      <c r="BF80" s="815">
        <f>1+[2]!Salcycl*Ksac</f>
        <v>1.0004483401586133</v>
      </c>
      <c r="BH80" s="1052">
        <f t="shared" si="73"/>
        <v>1.1337729814952482E-2</v>
      </c>
      <c r="BI80" s="11">
        <v>44262</v>
      </c>
      <c r="BJ80" s="725">
        <v>1.096600831351622E-3</v>
      </c>
      <c r="BK80" s="725">
        <v>2.9772487262598934E-3</v>
      </c>
      <c r="BL80" s="725">
        <v>5.6203489363814514E-3</v>
      </c>
      <c r="BM80" s="725">
        <v>9.278910439524838E-3</v>
      </c>
      <c r="BN80" s="725">
        <v>1.4435110743649535E-2</v>
      </c>
      <c r="BO80" s="726">
        <v>2.1045885538461692E-2</v>
      </c>
      <c r="BP80" s="725">
        <v>2.9634786739564475E-2</v>
      </c>
      <c r="BQ80" s="725">
        <v>4.1975616879918215E-2</v>
      </c>
      <c r="BR80" s="725">
        <v>5.6153237814637325E-2</v>
      </c>
      <c r="BS80" s="725">
        <v>7.1897958668910661E-2</v>
      </c>
      <c r="BT80" s="725">
        <v>8.6625400382085341E-2</v>
      </c>
      <c r="BW80" s="1189">
        <f>'2018'!R\Max</f>
        <v>0</v>
      </c>
      <c r="BX80" s="1187">
        <f>'2019'!R\Max</f>
        <v>0.90643200665781964</v>
      </c>
      <c r="BY80" s="1187">
        <f>'2020'!R\Max</f>
        <v>0.54888793467239061</v>
      </c>
      <c r="BZ80" s="1187">
        <f>'2021'!R\Max</f>
        <v>0.29656127913526642</v>
      </c>
      <c r="CA80" s="1187">
        <f>'2022'!R\Max</f>
        <v>0.960498039590018</v>
      </c>
      <c r="CB80" s="1187">
        <f>'2023'!R\Max</f>
        <v>0.96047755248208144</v>
      </c>
      <c r="CC80" s="1187">
        <f>'2024'!R\Max</f>
        <v>0.9604570507485225</v>
      </c>
      <c r="CD80" s="1187">
        <f>'2025'!R\Max</f>
        <v>0.96043190220715768</v>
      </c>
      <c r="CE80" s="1187">
        <f>'2026'!R\Max</f>
        <v>0.96054430780434541</v>
      </c>
      <c r="CF80" s="1188">
        <f>'2027'!R\Max</f>
        <v>0.96053041364342318</v>
      </c>
    </row>
    <row r="81" spans="1:84" s="6" customFormat="1" ht="11.25" x14ac:dyDescent="0.2">
      <c r="A81" s="11">
        <v>43167</v>
      </c>
      <c r="B81" s="380">
        <f>'2022'!Maxi_hp</f>
        <v>30.587494288179425</v>
      </c>
      <c r="C81" s="13">
        <f>'2022'!An_max</f>
        <v>2022</v>
      </c>
      <c r="D81" s="1061"/>
      <c r="E81" s="13"/>
      <c r="F81" s="13">
        <f t="shared" si="74"/>
        <v>7</v>
      </c>
      <c r="G81" s="13">
        <f t="shared" si="58"/>
        <v>6</v>
      </c>
      <c r="H81" s="173">
        <f t="shared" si="59"/>
        <v>43178</v>
      </c>
      <c r="I81" s="752">
        <f t="shared" si="60"/>
        <v>0.7857142857142857</v>
      </c>
      <c r="J81" s="745">
        <f t="shared" si="61"/>
        <v>40.719934402366299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4">
        <v>43167</v>
      </c>
      <c r="AP81" s="13">
        <f t="shared" si="62"/>
        <v>5</v>
      </c>
      <c r="AQ81" s="13">
        <f t="shared" si="63"/>
        <v>4</v>
      </c>
      <c r="AR81" s="173">
        <f t="shared" si="64"/>
        <v>43192</v>
      </c>
      <c r="AS81" s="752">
        <f t="shared" si="65"/>
        <v>0.8928571428571429</v>
      </c>
      <c r="AT81" s="768">
        <f t="shared" si="66"/>
        <v>40.724109420792331</v>
      </c>
      <c r="AU81" s="13">
        <f t="shared" si="67"/>
        <v>3</v>
      </c>
      <c r="AV81" s="13">
        <f t="shared" si="68"/>
        <v>4</v>
      </c>
      <c r="AW81" s="173">
        <f t="shared" si="69"/>
        <v>43150</v>
      </c>
      <c r="AX81" s="752">
        <f t="shared" si="70"/>
        <v>0.6071428571428571</v>
      </c>
      <c r="AY81" s="768">
        <f t="shared" si="71"/>
        <v>40.83345708847046</v>
      </c>
      <c r="AZ81" s="745">
        <f t="shared" si="75"/>
        <v>40.778783254631392</v>
      </c>
      <c r="BA81" s="642">
        <f t="shared" si="72"/>
        <v>0.75116757276509605</v>
      </c>
      <c r="BC81" s="11">
        <v>43167</v>
      </c>
      <c r="BD81" s="290">
        <f>[2]!FeuilCaduc*(1-Persistant)+Persistant</f>
        <v>0.7027834137035941</v>
      </c>
      <c r="BE81" s="291">
        <f>[2]!CroissVégét</f>
        <v>1.9215548548887868E-2</v>
      </c>
      <c r="BF81" s="815">
        <f>1+[2]!Salcycl*Ksac</f>
        <v>1.0004639022839323</v>
      </c>
      <c r="BH81" s="1052">
        <f t="shared" si="73"/>
        <v>1.1253240180204141E-2</v>
      </c>
      <c r="BI81" s="11">
        <v>44263</v>
      </c>
      <c r="BJ81" s="725">
        <v>1.0290326935282702E-3</v>
      </c>
      <c r="BK81" s="725">
        <v>2.8898648511403988E-3</v>
      </c>
      <c r="BL81" s="725">
        <v>5.5268465315457139E-3</v>
      </c>
      <c r="BM81" s="725">
        <v>9.2036160233798202E-3</v>
      </c>
      <c r="BN81" s="725">
        <v>1.4336787406403028E-2</v>
      </c>
      <c r="BO81" s="726">
        <v>2.0944715254724702E-2</v>
      </c>
      <c r="BP81" s="725">
        <v>2.9539442899339026E-2</v>
      </c>
      <c r="BQ81" s="725">
        <v>4.1628585625752196E-2</v>
      </c>
      <c r="BR81" s="725">
        <v>5.54846681246371E-2</v>
      </c>
      <c r="BS81" s="725">
        <v>7.0829562548679156E-2</v>
      </c>
      <c r="BT81" s="725">
        <v>8.5410754339248565E-2</v>
      </c>
      <c r="BW81" s="1189">
        <f>'2018'!R\Max</f>
        <v>0</v>
      </c>
      <c r="BX81" s="1187">
        <f>'2019'!R\Max</f>
        <v>0.53668431543783968</v>
      </c>
      <c r="BY81" s="1187">
        <f>'2020'!R\Max</f>
        <v>0.66553241301571131</v>
      </c>
      <c r="BZ81" s="1187">
        <f>'2021'!R\Max</f>
        <v>0.63492603612478749</v>
      </c>
      <c r="CA81" s="1187">
        <f>'2022'!R\Max</f>
        <v>0.75116757276509605</v>
      </c>
      <c r="CB81" s="1187">
        <f>'2023'!R\Max</f>
        <v>0.75106767379851225</v>
      </c>
      <c r="CC81" s="1187">
        <f>'2024'!R\Max</f>
        <v>0.75096772660862565</v>
      </c>
      <c r="CD81" s="1187">
        <f>'2025'!R\Max</f>
        <v>0.750846688086938</v>
      </c>
      <c r="CE81" s="1187">
        <f>'2026'!R\Max</f>
        <v>0.75139292584351558</v>
      </c>
      <c r="CF81" s="1188">
        <f>'2027'!R\Max</f>
        <v>0.75132532741225777</v>
      </c>
    </row>
    <row r="82" spans="1:84" s="6" customFormat="1" ht="11.25" x14ac:dyDescent="0.2">
      <c r="A82" s="11">
        <v>43168</v>
      </c>
      <c r="B82" s="380">
        <f>'2022'!Maxi_hp</f>
        <v>40.500150797480835</v>
      </c>
      <c r="C82" s="13">
        <f>'2022'!An_max</f>
        <v>2021</v>
      </c>
      <c r="D82" s="1061"/>
      <c r="E82" s="13"/>
      <c r="F82" s="13">
        <f t="shared" si="74"/>
        <v>7</v>
      </c>
      <c r="G82" s="13">
        <f t="shared" si="58"/>
        <v>6</v>
      </c>
      <c r="H82" s="173">
        <f t="shared" si="59"/>
        <v>43178</v>
      </c>
      <c r="I82" s="752">
        <f t="shared" si="60"/>
        <v>0.7142857142857143</v>
      </c>
      <c r="J82" s="745">
        <f t="shared" si="61"/>
        <v>41.165014577018361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4">
        <v>43168</v>
      </c>
      <c r="AP82" s="13">
        <f t="shared" si="62"/>
        <v>5</v>
      </c>
      <c r="AQ82" s="13">
        <f t="shared" si="63"/>
        <v>4</v>
      </c>
      <c r="AR82" s="173">
        <f t="shared" si="64"/>
        <v>43192</v>
      </c>
      <c r="AS82" s="752">
        <f t="shared" si="65"/>
        <v>0.8571428571428571</v>
      </c>
      <c r="AT82" s="768">
        <f t="shared" si="66"/>
        <v>41.180466472570387</v>
      </c>
      <c r="AU82" s="13">
        <f t="shared" si="67"/>
        <v>3</v>
      </c>
      <c r="AV82" s="13">
        <f t="shared" si="68"/>
        <v>4</v>
      </c>
      <c r="AW82" s="173">
        <f t="shared" si="69"/>
        <v>43150</v>
      </c>
      <c r="AX82" s="752">
        <f t="shared" si="70"/>
        <v>0.6428571428571429</v>
      </c>
      <c r="AY82" s="768">
        <f t="shared" si="71"/>
        <v>41.284639212948136</v>
      </c>
      <c r="AZ82" s="745">
        <f t="shared" si="75"/>
        <v>41.232552842759262</v>
      </c>
      <c r="BA82" s="642">
        <f t="shared" si="72"/>
        <v>0.98384881467019547</v>
      </c>
      <c r="BC82" s="11">
        <v>43168</v>
      </c>
      <c r="BD82" s="290">
        <f>[2]!FeuilCaduc*(1-Persistant)+Persistant</f>
        <v>0.70288381471308325</v>
      </c>
      <c r="BE82" s="291">
        <f>[2]!CroissVégét</f>
        <v>2.0061577312061717E-2</v>
      </c>
      <c r="BF82" s="815">
        <f>1+[2]!Salcycl*Ksac</f>
        <v>1.0004806357855138</v>
      </c>
      <c r="BH82" s="1052">
        <f t="shared" si="73"/>
        <v>1.116120450407568E-2</v>
      </c>
      <c r="BI82" s="11">
        <v>44264</v>
      </c>
      <c r="BJ82" s="725">
        <v>9.6463037476195743E-4</v>
      </c>
      <c r="BK82" s="725">
        <v>2.8017076007062175E-3</v>
      </c>
      <c r="BL82" s="725">
        <v>5.4261951713817872E-3</v>
      </c>
      <c r="BM82" s="725">
        <v>9.1159349582583832E-3</v>
      </c>
      <c r="BN82" s="725">
        <v>1.4238200456643653E-2</v>
      </c>
      <c r="BO82" s="726">
        <v>2.0869111003247429E-2</v>
      </c>
      <c r="BP82" s="725">
        <v>2.9510545291469927E-2</v>
      </c>
      <c r="BQ82" s="725">
        <v>4.1398840866468986E-2</v>
      </c>
      <c r="BR82" s="725">
        <v>5.4982729455385439E-2</v>
      </c>
      <c r="BS82" s="725">
        <v>6.9976744975648236E-2</v>
      </c>
      <c r="BT82" s="725">
        <v>8.4448847928735624E-2</v>
      </c>
      <c r="BW82" s="1189">
        <f>'2018'!R\Max</f>
        <v>0</v>
      </c>
      <c r="BX82" s="1187">
        <f>'2019'!R\Max</f>
        <v>0.46760812409772912</v>
      </c>
      <c r="BY82" s="1187">
        <f>'2020'!R\Max</f>
        <v>0.74536233683329134</v>
      </c>
      <c r="BZ82" s="1187">
        <f>'2021'!R\Max</f>
        <v>0.98384881467019547</v>
      </c>
      <c r="CA82" s="1187">
        <f>'2022'!R\Max</f>
        <v>0.79147464560023273</v>
      </c>
      <c r="CB82" s="1187">
        <f>'2023'!R\Max</f>
        <v>0.79138690227785458</v>
      </c>
      <c r="CC82" s="1187">
        <f>'2024'!R\Max</f>
        <v>0.79129911306151912</v>
      </c>
      <c r="CD82" s="1187">
        <f>'2025'!R\Max</f>
        <v>0.79119416787097552</v>
      </c>
      <c r="CE82" s="1187">
        <f>'2026'!R\Max</f>
        <v>0.79167205788028516</v>
      </c>
      <c r="CF82" s="1188">
        <f>'2027'!R\Max</f>
        <v>0.79161294831519169</v>
      </c>
    </row>
    <row r="83" spans="1:84" s="6" customFormat="1" ht="11.25" x14ac:dyDescent="0.2">
      <c r="A83" s="11">
        <v>43169</v>
      </c>
      <c r="B83" s="380">
        <f>'2022'!Maxi_hp</f>
        <v>40.033914552307429</v>
      </c>
      <c r="C83" s="13">
        <f>'2022'!An_max</f>
        <v>2021</v>
      </c>
      <c r="D83" s="1061"/>
      <c r="E83" s="13"/>
      <c r="F83" s="13">
        <f t="shared" si="74"/>
        <v>7</v>
      </c>
      <c r="G83" s="13">
        <f t="shared" si="58"/>
        <v>6</v>
      </c>
      <c r="H83" s="173">
        <f t="shared" si="59"/>
        <v>43178</v>
      </c>
      <c r="I83" s="752">
        <f t="shared" si="60"/>
        <v>0.6428571428571429</v>
      </c>
      <c r="J83" s="745">
        <f t="shared" si="61"/>
        <v>41.6122813411057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4">
        <v>43169</v>
      </c>
      <c r="AP83" s="13">
        <f t="shared" si="62"/>
        <v>5</v>
      </c>
      <c r="AQ83" s="13">
        <f t="shared" si="63"/>
        <v>4</v>
      </c>
      <c r="AR83" s="173">
        <f t="shared" si="64"/>
        <v>43192</v>
      </c>
      <c r="AS83" s="752">
        <f t="shared" si="65"/>
        <v>0.8214285714285714</v>
      </c>
      <c r="AT83" s="768">
        <f t="shared" si="66"/>
        <v>41.643018859704689</v>
      </c>
      <c r="AU83" s="13">
        <f t="shared" si="67"/>
        <v>3</v>
      </c>
      <c r="AV83" s="13">
        <f t="shared" si="68"/>
        <v>4</v>
      </c>
      <c r="AW83" s="173">
        <f t="shared" si="69"/>
        <v>43150</v>
      </c>
      <c r="AX83" s="752">
        <f t="shared" si="70"/>
        <v>0.6785714285714286</v>
      </c>
      <c r="AY83" s="768">
        <f t="shared" si="71"/>
        <v>41.735338465955905</v>
      </c>
      <c r="AZ83" s="745">
        <f t="shared" si="75"/>
        <v>41.689178662830301</v>
      </c>
      <c r="BA83" s="642">
        <f t="shared" si="72"/>
        <v>0.96206968861283948</v>
      </c>
      <c r="BC83" s="11">
        <v>43169</v>
      </c>
      <c r="BD83" s="290">
        <f>[2]!FeuilCaduc*(1-Persistant)+Persistant</f>
        <v>0.70299274004792411</v>
      </c>
      <c r="BE83" s="291">
        <f>[2]!CroissVégét</f>
        <v>2.0941547894735235E-2</v>
      </c>
      <c r="BF83" s="815">
        <f>1+[2]!Salcycl*Ksac</f>
        <v>1.0004987900079874</v>
      </c>
      <c r="BH83" s="1052">
        <f t="shared" si="73"/>
        <v>1.1061619202505018E-2</v>
      </c>
      <c r="BI83" s="11">
        <v>44265</v>
      </c>
      <c r="BJ83" s="725">
        <v>9.0339392634533004E-4</v>
      </c>
      <c r="BK83" s="725">
        <v>2.7127764809233108E-3</v>
      </c>
      <c r="BL83" s="725">
        <v>5.3183934478780344E-3</v>
      </c>
      <c r="BM83" s="725">
        <v>9.015864374350294E-3</v>
      </c>
      <c r="BN83" s="725">
        <v>1.4139345235756572E-2</v>
      </c>
      <c r="BO83" s="726">
        <v>2.0819065612777059E-2</v>
      </c>
      <c r="BP83" s="725">
        <v>2.9548083389682716E-2</v>
      </c>
      <c r="BQ83" s="725">
        <v>4.1286369081444986E-2</v>
      </c>
      <c r="BR83" s="725">
        <v>5.4647405100856007E-2</v>
      </c>
      <c r="BS83" s="725">
        <v>6.9339486021794544E-2</v>
      </c>
      <c r="BT83" s="725">
        <v>8.3739656661620865E-2</v>
      </c>
      <c r="BW83" s="1189">
        <f>'2018'!R\Max</f>
        <v>0</v>
      </c>
      <c r="BX83" s="1187">
        <f>'2019'!R\Max</f>
        <v>0.33449644418880875</v>
      </c>
      <c r="BY83" s="1187">
        <f>'2020'!R\Max</f>
        <v>0.63668052256627838</v>
      </c>
      <c r="BZ83" s="1187">
        <f>'2021'!R\Max</f>
        <v>0.96206968861283948</v>
      </c>
      <c r="CA83" s="1187">
        <f>'2022'!R\Max</f>
        <v>0.5914258624075851</v>
      </c>
      <c r="CB83" s="1187">
        <f>'2023'!R\Max</f>
        <v>0.59129748299342344</v>
      </c>
      <c r="CC83" s="1187">
        <f>'2024'!R\Max</f>
        <v>0.59116906377659084</v>
      </c>
      <c r="CD83" s="1187">
        <f>'2025'!R\Max</f>
        <v>0.59101760910143908</v>
      </c>
      <c r="CE83" s="1187">
        <f>'2026'!R\Max</f>
        <v>0.59171377579119644</v>
      </c>
      <c r="CF83" s="1188">
        <f>'2027'!R\Max</f>
        <v>0.59162774917719518</v>
      </c>
    </row>
    <row r="84" spans="1:84" s="6" customFormat="1" ht="11.25" x14ac:dyDescent="0.2">
      <c r="A84" s="11">
        <v>43170</v>
      </c>
      <c r="B84" s="380">
        <f>'2022'!Maxi_hp</f>
        <v>32.943027804132434</v>
      </c>
      <c r="C84" s="13">
        <f>'2022'!An_max</f>
        <v>2020</v>
      </c>
      <c r="D84" s="1061"/>
      <c r="E84" s="13"/>
      <c r="F84" s="13">
        <f t="shared" si="74"/>
        <v>7</v>
      </c>
      <c r="G84" s="13">
        <f t="shared" si="58"/>
        <v>6</v>
      </c>
      <c r="H84" s="173">
        <f t="shared" si="59"/>
        <v>43178</v>
      </c>
      <c r="I84" s="752">
        <f t="shared" si="60"/>
        <v>0.5714285714285714</v>
      </c>
      <c r="J84" s="745">
        <f t="shared" si="61"/>
        <v>42.061516034895817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4">
        <v>43170</v>
      </c>
      <c r="AP84" s="13">
        <f t="shared" si="62"/>
        <v>5</v>
      </c>
      <c r="AQ84" s="13">
        <f t="shared" si="63"/>
        <v>4</v>
      </c>
      <c r="AR84" s="173">
        <f t="shared" si="64"/>
        <v>43192</v>
      </c>
      <c r="AS84" s="752">
        <f t="shared" si="65"/>
        <v>0.7857142857142857</v>
      </c>
      <c r="AT84" s="768">
        <f t="shared" si="66"/>
        <v>42.110987609731296</v>
      </c>
      <c r="AU84" s="13">
        <f t="shared" si="67"/>
        <v>3</v>
      </c>
      <c r="AV84" s="13">
        <f t="shared" si="68"/>
        <v>4</v>
      </c>
      <c r="AW84" s="173">
        <f t="shared" si="69"/>
        <v>43150</v>
      </c>
      <c r="AX84" s="752">
        <f t="shared" si="70"/>
        <v>0.7142857142857143</v>
      </c>
      <c r="AY84" s="768">
        <f t="shared" si="71"/>
        <v>42.185131195387136</v>
      </c>
      <c r="AZ84" s="745">
        <f t="shared" si="75"/>
        <v>42.148059402559213</v>
      </c>
      <c r="BA84" s="642">
        <f t="shared" si="72"/>
        <v>0.78321066166045128</v>
      </c>
      <c r="BC84" s="11">
        <v>43170</v>
      </c>
      <c r="BD84" s="290">
        <f>[2]!FeuilCaduc*(1-Persistant)+Persistant</f>
        <v>0.70311178575189692</v>
      </c>
      <c r="BE84" s="291">
        <f>[2]!CroissVégét</f>
        <v>2.1856755910064932E-2</v>
      </c>
      <c r="BF84" s="815">
        <f>1+[2]!Salcycl*Ksac</f>
        <v>1.0005186309586496</v>
      </c>
      <c r="BH84" s="1052">
        <f t="shared" si="73"/>
        <v>1.0954480937330738E-2</v>
      </c>
      <c r="BI84" s="11">
        <v>44266</v>
      </c>
      <c r="BJ84" s="725">
        <v>8.4532344867887783E-4</v>
      </c>
      <c r="BK84" s="725">
        <v>2.6230711394005283E-3</v>
      </c>
      <c r="BL84" s="725">
        <v>5.2034402060408746E-3</v>
      </c>
      <c r="BM84" s="725">
        <v>8.9034017119387892E-3</v>
      </c>
      <c r="BN84" s="725">
        <v>1.4040217234453043E-2</v>
      </c>
      <c r="BO84" s="726">
        <v>2.0794571650581236E-2</v>
      </c>
      <c r="BP84" s="725">
        <v>2.9652045740810349E-2</v>
      </c>
      <c r="BQ84" s="725">
        <v>4.1291155378735213E-2</v>
      </c>
      <c r="BR84" s="725">
        <v>5.447867666660431E-2</v>
      </c>
      <c r="BS84" s="725">
        <v>6.8917763875757432E-2</v>
      </c>
      <c r="BT84" s="725">
        <v>8.3283153784820985E-2</v>
      </c>
      <c r="BW84" s="1189">
        <f>'2018'!R\Max</f>
        <v>0</v>
      </c>
      <c r="BX84" s="1187">
        <f>'2019'!R\Max</f>
        <v>0.68014919964741338</v>
      </c>
      <c r="BY84" s="1187">
        <f>'2020'!R\Max</f>
        <v>0.78321066166045128</v>
      </c>
      <c r="BZ84" s="1187">
        <f>'2021'!R\Max</f>
        <v>0.70345275124339535</v>
      </c>
      <c r="CA84" s="1187">
        <f>'2022'!R\Max</f>
        <v>0.38078502645021567</v>
      </c>
      <c r="CB84" s="1187">
        <f>'2023'!R\Max</f>
        <v>0.38065926394221161</v>
      </c>
      <c r="CC84" s="1187">
        <f>'2024'!R\Max</f>
        <v>0.38053349055390812</v>
      </c>
      <c r="CD84" s="1187">
        <f>'2025'!R\Max</f>
        <v>0.38038716113138132</v>
      </c>
      <c r="CE84" s="1187">
        <f>'2026'!R\Max</f>
        <v>0.38106591407024698</v>
      </c>
      <c r="CF84" s="1188">
        <f>'2027'!R\Max</f>
        <v>0.38098219987393367</v>
      </c>
    </row>
    <row r="85" spans="1:84" s="6" customFormat="1" ht="11.25" x14ac:dyDescent="0.2">
      <c r="A85" s="11">
        <v>43171</v>
      </c>
      <c r="B85" s="380">
        <f>'2022'!Maxi_hp</f>
        <v>41.337289787164842</v>
      </c>
      <c r="C85" s="13">
        <f>'2022'!An_max</f>
        <v>2020</v>
      </c>
      <c r="D85" s="1061"/>
      <c r="E85" s="13"/>
      <c r="F85" s="13">
        <f t="shared" si="74"/>
        <v>7</v>
      </c>
      <c r="G85" s="13">
        <f t="shared" si="58"/>
        <v>6</v>
      </c>
      <c r="H85" s="173">
        <f t="shared" si="59"/>
        <v>43178</v>
      </c>
      <c r="I85" s="752">
        <f t="shared" si="60"/>
        <v>0.5</v>
      </c>
      <c r="J85" s="745">
        <f t="shared" si="61"/>
        <v>42.512500000093134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4">
        <v>43171</v>
      </c>
      <c r="AP85" s="13">
        <f t="shared" si="62"/>
        <v>5</v>
      </c>
      <c r="AQ85" s="13">
        <f t="shared" si="63"/>
        <v>4</v>
      </c>
      <c r="AR85" s="173">
        <f t="shared" si="64"/>
        <v>43192</v>
      </c>
      <c r="AS85" s="752">
        <f t="shared" si="65"/>
        <v>0.75</v>
      </c>
      <c r="AT85" s="768">
        <f t="shared" si="66"/>
        <v>42.583593749906868</v>
      </c>
      <c r="AU85" s="13">
        <f t="shared" si="67"/>
        <v>3</v>
      </c>
      <c r="AV85" s="13">
        <f t="shared" si="68"/>
        <v>4</v>
      </c>
      <c r="AW85" s="173">
        <f t="shared" si="69"/>
        <v>43150</v>
      </c>
      <c r="AX85" s="752">
        <f t="shared" si="70"/>
        <v>0.75</v>
      </c>
      <c r="AY85" s="768">
        <f t="shared" si="71"/>
        <v>42.633593750093134</v>
      </c>
      <c r="AZ85" s="745">
        <f t="shared" si="75"/>
        <v>42.608593749999997</v>
      </c>
      <c r="BA85" s="642">
        <f t="shared" si="72"/>
        <v>0.97235612554129447</v>
      </c>
      <c r="BC85" s="11">
        <v>43171</v>
      </c>
      <c r="BD85" s="290">
        <f>[2]!FeuilCaduc*(1-Persistant)+Persistant</f>
        <v>0.7032426426020284</v>
      </c>
      <c r="BE85" s="291">
        <f>[2]!CroissVégét</f>
        <v>2.2808540908775418E-2</v>
      </c>
      <c r="BF85" s="815">
        <f>1+[2]!Salcycl*Ksac</f>
        <v>1.0005404404336715</v>
      </c>
      <c r="BH85" s="1052">
        <f t="shared" si="73"/>
        <v>1.0839786644142594E-2</v>
      </c>
      <c r="BI85" s="11">
        <v>44267</v>
      </c>
      <c r="BJ85" s="725">
        <v>7.9041907955233021E-4</v>
      </c>
      <c r="BK85" s="725">
        <v>2.5325913682328065E-3</v>
      </c>
      <c r="BL85" s="725">
        <v>5.0813345703087801E-3</v>
      </c>
      <c r="BM85" s="725">
        <v>8.7785447671703213E-3</v>
      </c>
      <c r="BN85" s="725">
        <v>1.3940812093662424E-2</v>
      </c>
      <c r="BO85" s="726">
        <v>2.0795621327747912E-2</v>
      </c>
      <c r="BP85" s="725">
        <v>2.9822419718811319E-2</v>
      </c>
      <c r="BQ85" s="725">
        <v>4.1413183060939447E-2</v>
      </c>
      <c r="BR85" s="725">
        <v>5.4476523453003994E-2</v>
      </c>
      <c r="BS85" s="725">
        <v>6.8711554044904533E-2</v>
      </c>
      <c r="BT85" s="725">
        <v>8.3079309345600913E-2</v>
      </c>
      <c r="BW85" s="1189">
        <f>'2018'!R\Max</f>
        <v>0</v>
      </c>
      <c r="BX85" s="1187">
        <f>'2019'!R\Max</f>
        <v>0.83723129472568569</v>
      </c>
      <c r="BY85" s="1187">
        <f>'2020'!R\Max</f>
        <v>0.97235612554129447</v>
      </c>
      <c r="BZ85" s="1187">
        <f>'2021'!R\Max</f>
        <v>0.79474098619458999</v>
      </c>
      <c r="CA85" s="1187">
        <f>'2022'!R\Max</f>
        <v>0.42165695194868325</v>
      </c>
      <c r="CB85" s="1187">
        <f>'2023'!R\Max</f>
        <v>0.42152577493583754</v>
      </c>
      <c r="CC85" s="1187">
        <f>'2024'!R\Max</f>
        <v>0.4213945807088928</v>
      </c>
      <c r="CD85" s="1187">
        <f>'2025'!R\Max</f>
        <v>0.42124394933361881</v>
      </c>
      <c r="CE85" s="1187">
        <f>'2026'!R\Max</f>
        <v>0.42194836399301944</v>
      </c>
      <c r="CF85" s="1188">
        <f>'2027'!R\Max</f>
        <v>0.42186178724594703</v>
      </c>
    </row>
    <row r="86" spans="1:84" s="6" customFormat="1" ht="11.25" x14ac:dyDescent="0.2">
      <c r="A86" s="11">
        <v>43172</v>
      </c>
      <c r="B86" s="380">
        <f>'2022'!Maxi_hp</f>
        <v>39.947876857948046</v>
      </c>
      <c r="C86" s="13">
        <f>'2022'!An_max</f>
        <v>2021</v>
      </c>
      <c r="D86" s="1061"/>
      <c r="E86" s="13"/>
      <c r="F86" s="13">
        <f t="shared" si="74"/>
        <v>7</v>
      </c>
      <c r="G86" s="13">
        <f t="shared" si="58"/>
        <v>6</v>
      </c>
      <c r="H86" s="173">
        <f t="shared" si="59"/>
        <v>43178</v>
      </c>
      <c r="I86" s="752">
        <f t="shared" si="60"/>
        <v>0.42857142857142855</v>
      </c>
      <c r="J86" s="745">
        <f t="shared" si="61"/>
        <v>42.965014577284457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4">
        <v>43172</v>
      </c>
      <c r="AP86" s="13">
        <f t="shared" si="62"/>
        <v>5</v>
      </c>
      <c r="AQ86" s="13">
        <f t="shared" si="63"/>
        <v>4</v>
      </c>
      <c r="AR86" s="173">
        <f t="shared" si="64"/>
        <v>43192</v>
      </c>
      <c r="AS86" s="752">
        <f t="shared" si="65"/>
        <v>0.7142857142857143</v>
      </c>
      <c r="AT86" s="768">
        <f t="shared" si="66"/>
        <v>43.060058309137823</v>
      </c>
      <c r="AU86" s="13">
        <f t="shared" si="67"/>
        <v>3</v>
      </c>
      <c r="AV86" s="13">
        <f t="shared" si="68"/>
        <v>4</v>
      </c>
      <c r="AW86" s="173">
        <f t="shared" si="69"/>
        <v>43150</v>
      </c>
      <c r="AX86" s="752">
        <f t="shared" si="70"/>
        <v>0.7857142857142857</v>
      </c>
      <c r="AY86" s="768">
        <f t="shared" si="71"/>
        <v>43.080302478220048</v>
      </c>
      <c r="AZ86" s="745">
        <f t="shared" si="75"/>
        <v>43.070180393678939</v>
      </c>
      <c r="BA86" s="642">
        <f t="shared" si="72"/>
        <v>0.92977687197314329</v>
      </c>
      <c r="BC86" s="11">
        <v>43172</v>
      </c>
      <c r="BD86" s="290">
        <f>[2]!FeuilCaduc*(1-Persistant)+Persistant</f>
        <v>0.70338709038969971</v>
      </c>
      <c r="BE86" s="291">
        <f>[2]!CroissVégét</f>
        <v>2.3798287402466985E-2</v>
      </c>
      <c r="BF86" s="815">
        <f>1+[2]!Salcycl*Ksac</f>
        <v>1.00056451506495</v>
      </c>
      <c r="BH86" s="1052">
        <f t="shared" si="73"/>
        <v>1.0707419396440501E-2</v>
      </c>
      <c r="BI86" s="11">
        <v>44268</v>
      </c>
      <c r="BJ86" s="725">
        <v>7.392883031244182E-4</v>
      </c>
      <c r="BK86" s="725">
        <v>2.4399902234101965E-3</v>
      </c>
      <c r="BL86" s="725">
        <v>4.94866550642333E-3</v>
      </c>
      <c r="BM86" s="725">
        <v>8.6332543096655327E-3</v>
      </c>
      <c r="BN86" s="725">
        <v>1.3827887106927058E-2</v>
      </c>
      <c r="BO86" s="726">
        <v>2.0799997652105395E-2</v>
      </c>
      <c r="BP86" s="725">
        <v>3.0019778296360791E-2</v>
      </c>
      <c r="BQ86" s="725">
        <v>4.1601264302045741E-2</v>
      </c>
      <c r="BR86" s="725">
        <v>5.4591635391101616E-2</v>
      </c>
      <c r="BS86" s="725">
        <v>6.8689582203533953E-2</v>
      </c>
      <c r="BT86" s="725">
        <v>8.3116393153849707E-2</v>
      </c>
      <c r="BW86" s="1189">
        <f>'2018'!R\Max</f>
        <v>0</v>
      </c>
      <c r="BX86" s="1187">
        <f>'2019'!R\Max</f>
        <v>0.62762887339707329</v>
      </c>
      <c r="BY86" s="1187">
        <f>'2020'!R\Max</f>
        <v>0.40542798164061317</v>
      </c>
      <c r="BZ86" s="1187">
        <f>'2021'!R\Max</f>
        <v>0.92977687197314329</v>
      </c>
      <c r="CA86" s="1187">
        <f>'2022'!R\Max</f>
        <v>0.25527542112947393</v>
      </c>
      <c r="CB86" s="1187">
        <f>'2023'!R\Max</f>
        <v>0.25517822131388318</v>
      </c>
      <c r="CC86" s="1187">
        <f>'2024'!R\Max</f>
        <v>0.25508102149829237</v>
      </c>
      <c r="CD86" s="1187">
        <f>'2025'!R\Max</f>
        <v>0.2549708241873011</v>
      </c>
      <c r="CE86" s="1187">
        <f>'2026'!R\Max</f>
        <v>0.25549023410488747</v>
      </c>
      <c r="CF86" s="1188">
        <f>'2027'!R\Max</f>
        <v>0.25542662379166348</v>
      </c>
    </row>
    <row r="87" spans="1:84" s="6" customFormat="1" ht="11.25" x14ac:dyDescent="0.2">
      <c r="A87" s="11">
        <v>43173</v>
      </c>
      <c r="B87" s="380">
        <f>'2022'!Maxi_hp</f>
        <v>39.828022010256511</v>
      </c>
      <c r="C87" s="13">
        <f>'2022'!An_max</f>
        <v>2020</v>
      </c>
      <c r="D87" s="1061"/>
      <c r="E87" s="13"/>
      <c r="F87" s="13">
        <f t="shared" si="74"/>
        <v>7</v>
      </c>
      <c r="G87" s="13">
        <f t="shared" si="58"/>
        <v>6</v>
      </c>
      <c r="H87" s="173">
        <f t="shared" si="59"/>
        <v>43178</v>
      </c>
      <c r="I87" s="752">
        <f t="shared" si="60"/>
        <v>0.35714285714285715</v>
      </c>
      <c r="J87" s="745">
        <f t="shared" si="61"/>
        <v>43.418841107681928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4">
        <v>43173</v>
      </c>
      <c r="AP87" s="13">
        <f t="shared" si="62"/>
        <v>5</v>
      </c>
      <c r="AQ87" s="13">
        <f t="shared" si="63"/>
        <v>4</v>
      </c>
      <c r="AR87" s="173">
        <f t="shared" si="64"/>
        <v>43192</v>
      </c>
      <c r="AS87" s="752">
        <f t="shared" si="65"/>
        <v>0.6785714285714286</v>
      </c>
      <c r="AT87" s="768">
        <f t="shared" si="66"/>
        <v>43.539602314321591</v>
      </c>
      <c r="AU87" s="13">
        <f t="shared" si="67"/>
        <v>3</v>
      </c>
      <c r="AV87" s="13">
        <f t="shared" si="68"/>
        <v>4</v>
      </c>
      <c r="AW87" s="173">
        <f t="shared" si="69"/>
        <v>43150</v>
      </c>
      <c r="AX87" s="752">
        <f t="shared" si="70"/>
        <v>0.8214285714285714</v>
      </c>
      <c r="AY87" s="768">
        <f t="shared" si="71"/>
        <v>43.524833728150199</v>
      </c>
      <c r="AZ87" s="745">
        <f t="shared" si="75"/>
        <v>43.532218021235892</v>
      </c>
      <c r="BA87" s="642">
        <f t="shared" si="72"/>
        <v>0.91729813588253262</v>
      </c>
      <c r="BC87" s="11">
        <v>43173</v>
      </c>
      <c r="BD87" s="290">
        <f>[2]!FeuilCaduc*(1-Persistant)+Persistant</f>
        <v>0.70354699178519886</v>
      </c>
      <c r="BE87" s="291">
        <f>[2]!CroissVégét</f>
        <v>2.4827425868542252E-2</v>
      </c>
      <c r="BF87" s="815">
        <f>1+[2]!Salcycl*Ksac</f>
        <v>1.0005911652975332</v>
      </c>
      <c r="BH87" s="1052">
        <f t="shared" si="73"/>
        <v>1.0553107447029938E-2</v>
      </c>
      <c r="BI87" s="11">
        <v>44269</v>
      </c>
      <c r="BJ87" s="725">
        <v>6.8920343523848002E-4</v>
      </c>
      <c r="BK87" s="725">
        <v>2.3445356138931958E-3</v>
      </c>
      <c r="BL87" s="725">
        <v>4.807307805602728E-3</v>
      </c>
      <c r="BM87" s="725">
        <v>8.4700120965733438E-3</v>
      </c>
      <c r="BN87" s="725">
        <v>1.3687010249854286E-2</v>
      </c>
      <c r="BO87" s="726">
        <v>2.0768630965326475E-2</v>
      </c>
      <c r="BP87" s="725">
        <v>3.0171069771399273E-2</v>
      </c>
      <c r="BQ87" s="725">
        <v>4.1762136819694734E-2</v>
      </c>
      <c r="BR87" s="725">
        <v>5.4715979974129872E-2</v>
      </c>
      <c r="BS87" s="725">
        <v>6.8738986810254393E-2</v>
      </c>
      <c r="BT87" s="725">
        <v>8.3279038446754106E-2</v>
      </c>
      <c r="BW87" s="1189">
        <f>'2018'!R\Max</f>
        <v>0</v>
      </c>
      <c r="BX87" s="1187">
        <f>'2019'!R\Max</f>
        <v>0.54213907422728291</v>
      </c>
      <c r="BY87" s="1187">
        <f>'2020'!R\Max</f>
        <v>0.91729813588253262</v>
      </c>
      <c r="BZ87" s="1187">
        <f>'2021'!R\Max</f>
        <v>0.68061753405816239</v>
      </c>
      <c r="CA87" s="1187">
        <f>'2022'!R\Max</f>
        <v>0.37191414248031357</v>
      </c>
      <c r="CB87" s="1187">
        <f>'2023'!R\Max</f>
        <v>0.37178593952540001</v>
      </c>
      <c r="CC87" s="1187">
        <f>'2024'!R\Max</f>
        <v>0.37165772640572792</v>
      </c>
      <c r="CD87" s="1187">
        <f>'2025'!R\Max</f>
        <v>0.37151389099049403</v>
      </c>
      <c r="CE87" s="1187">
        <f>'2026'!R\Max</f>
        <v>0.37219594046899068</v>
      </c>
      <c r="CF87" s="1188">
        <f>'2027'!R\Max</f>
        <v>0.3721127943477951</v>
      </c>
    </row>
    <row r="88" spans="1:84" s="6" customFormat="1" ht="11.25" x14ac:dyDescent="0.2">
      <c r="A88" s="11">
        <v>43174</v>
      </c>
      <c r="B88" s="380">
        <f>'2022'!Maxi_hp</f>
        <v>32.760869095233581</v>
      </c>
      <c r="C88" s="13">
        <f>'2022'!An_max</f>
        <v>2020</v>
      </c>
      <c r="D88" s="1061"/>
      <c r="E88" s="13"/>
      <c r="F88" s="13">
        <f t="shared" si="74"/>
        <v>7</v>
      </c>
      <c r="G88" s="13">
        <f t="shared" si="58"/>
        <v>6</v>
      </c>
      <c r="H88" s="173">
        <f t="shared" si="59"/>
        <v>43178</v>
      </c>
      <c r="I88" s="752">
        <f t="shared" si="60"/>
        <v>0.2857142857142857</v>
      </c>
      <c r="J88" s="745">
        <f t="shared" si="61"/>
        <v>43.873760933003254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4">
        <v>43174</v>
      </c>
      <c r="AP88" s="13">
        <f t="shared" si="62"/>
        <v>5</v>
      </c>
      <c r="AQ88" s="13">
        <f t="shared" si="63"/>
        <v>4</v>
      </c>
      <c r="AR88" s="173">
        <f t="shared" si="64"/>
        <v>43192</v>
      </c>
      <c r="AS88" s="752">
        <f t="shared" si="65"/>
        <v>0.6428571428571429</v>
      </c>
      <c r="AT88" s="768">
        <f t="shared" si="66"/>
        <v>44.021446793446579</v>
      </c>
      <c r="AU88" s="13">
        <f t="shared" si="67"/>
        <v>3</v>
      </c>
      <c r="AV88" s="13">
        <f t="shared" si="68"/>
        <v>4</v>
      </c>
      <c r="AW88" s="173">
        <f t="shared" si="69"/>
        <v>43150</v>
      </c>
      <c r="AX88" s="752">
        <f t="shared" si="70"/>
        <v>0.8571428571428571</v>
      </c>
      <c r="AY88" s="768">
        <f t="shared" si="71"/>
        <v>43.966763848492079</v>
      </c>
      <c r="AZ88" s="745">
        <f t="shared" si="75"/>
        <v>43.994105320969325</v>
      </c>
      <c r="BA88" s="642">
        <f t="shared" si="72"/>
        <v>0.74670756275625783</v>
      </c>
      <c r="BC88" s="11">
        <v>43174</v>
      </c>
      <c r="BD88" s="290">
        <f>[2]!FeuilCaduc*(1-Persistant)+Persistant</f>
        <v>0.70372428584670388</v>
      </c>
      <c r="BE88" s="291">
        <f>[2]!CroissVégét</f>
        <v>2.5897433731805454E-2</v>
      </c>
      <c r="BF88" s="815">
        <f>1+[2]!Salcycl*Ksac</f>
        <v>1.0006207143077839</v>
      </c>
      <c r="BH88" s="1052">
        <f t="shared" si="73"/>
        <v>1.0376849631416236E-2</v>
      </c>
      <c r="BI88" s="11">
        <v>44270</v>
      </c>
      <c r="BJ88" s="725">
        <v>6.4016476376598051E-4</v>
      </c>
      <c r="BK88" s="725">
        <v>2.2462279126087446E-3</v>
      </c>
      <c r="BL88" s="725">
        <v>4.6572617154018179E-3</v>
      </c>
      <c r="BM88" s="725">
        <v>8.2888176697383607E-3</v>
      </c>
      <c r="BN88" s="725">
        <v>1.3518179295300702E-2</v>
      </c>
      <c r="BO88" s="726">
        <v>2.0701515464663464E-2</v>
      </c>
      <c r="BP88" s="725">
        <v>3.0276283155821055E-2</v>
      </c>
      <c r="BQ88" s="725">
        <v>4.1895784419734544E-2</v>
      </c>
      <c r="BR88" s="725">
        <v>5.4849535090684763E-2</v>
      </c>
      <c r="BS88" s="725">
        <v>6.885973879845686E-2</v>
      </c>
      <c r="BT88" s="725">
        <v>8.3567207141890087E-2</v>
      </c>
      <c r="BW88" s="1189">
        <f>'2018'!R\Max</f>
        <v>0</v>
      </c>
      <c r="BX88" s="1187">
        <f>'2019'!R\Max</f>
        <v>0.29913190833739645</v>
      </c>
      <c r="BY88" s="1187">
        <f>'2020'!R\Max</f>
        <v>0.74670756275625783</v>
      </c>
      <c r="BZ88" s="1187">
        <f>'2021'!R\Max</f>
        <v>0.46264100404082992</v>
      </c>
      <c r="CA88" s="1187">
        <f>'2022'!R\Max</f>
        <v>0.34906115970781937</v>
      </c>
      <c r="CB88" s="1187">
        <f>'2023'!R\Max</f>
        <v>0.34893545734283554</v>
      </c>
      <c r="CC88" s="1187">
        <f>'2024'!R\Max</f>
        <v>0.34880974811015142</v>
      </c>
      <c r="CD88" s="1187">
        <f>'2025'!R\Max</f>
        <v>0.34866996037436754</v>
      </c>
      <c r="CE88" s="1187">
        <f>'2026'!R\Max</f>
        <v>0.34933603593066831</v>
      </c>
      <c r="CF88" s="1188">
        <f>'2027'!R\Max</f>
        <v>0.34925522952948812</v>
      </c>
    </row>
    <row r="89" spans="1:84" s="6" customFormat="1" ht="11.25" x14ac:dyDescent="0.2">
      <c r="A89" s="11">
        <v>43175</v>
      </c>
      <c r="B89" s="380">
        <f>'2022'!Maxi_hp</f>
        <v>45.209296903916872</v>
      </c>
      <c r="C89" s="13">
        <f>'2022'!An_max</f>
        <v>2020</v>
      </c>
      <c r="D89" s="1061"/>
      <c r="E89" s="13"/>
      <c r="F89" s="13">
        <f t="shared" si="74"/>
        <v>7</v>
      </c>
      <c r="G89" s="13">
        <f t="shared" si="58"/>
        <v>6</v>
      </c>
      <c r="H89" s="173">
        <f t="shared" si="59"/>
        <v>43178</v>
      </c>
      <c r="I89" s="752">
        <f t="shared" si="60"/>
        <v>0.21428571428571427</v>
      </c>
      <c r="J89" s="745">
        <f t="shared" si="61"/>
        <v>44.329555393529255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4">
        <v>43175</v>
      </c>
      <c r="AP89" s="13">
        <f t="shared" si="62"/>
        <v>5</v>
      </c>
      <c r="AQ89" s="13">
        <f t="shared" si="63"/>
        <v>4</v>
      </c>
      <c r="AR89" s="173">
        <f t="shared" si="64"/>
        <v>43192</v>
      </c>
      <c r="AS89" s="752">
        <f t="shared" si="65"/>
        <v>0.6071428571428571</v>
      </c>
      <c r="AT89" s="768">
        <f t="shared" si="66"/>
        <v>44.50481277392911</v>
      </c>
      <c r="AU89" s="13">
        <f t="shared" si="67"/>
        <v>3</v>
      </c>
      <c r="AV89" s="13">
        <f t="shared" si="68"/>
        <v>4</v>
      </c>
      <c r="AW89" s="173">
        <f t="shared" si="69"/>
        <v>43150</v>
      </c>
      <c r="AX89" s="752">
        <f t="shared" si="70"/>
        <v>0.8928571428571429</v>
      </c>
      <c r="AY89" s="768">
        <f t="shared" si="71"/>
        <v>44.405669187541513</v>
      </c>
      <c r="AZ89" s="745">
        <f t="shared" si="75"/>
        <v>44.455240980735311</v>
      </c>
      <c r="BA89" s="642">
        <f t="shared" si="72"/>
        <v>1.0198454846338485</v>
      </c>
      <c r="BC89" s="11">
        <v>43175</v>
      </c>
      <c r="BD89" s="290">
        <f>[2]!FeuilCaduc*(1-Persistant)+Persistant</f>
        <v>0.70392098123529045</v>
      </c>
      <c r="BE89" s="291">
        <f>[2]!CroissVégét</f>
        <v>2.7009836317349309E-2</v>
      </c>
      <c r="BF89" s="815">
        <f>1+[2]!Salcycl*Ksac</f>
        <v>1.0006534968725485</v>
      </c>
      <c r="BH89" s="1052">
        <f t="shared" si="73"/>
        <v>1.0178645575806179E-2</v>
      </c>
      <c r="BI89" s="11">
        <v>44271</v>
      </c>
      <c r="BJ89" s="725">
        <v>5.9217262378034484E-4</v>
      </c>
      <c r="BK89" s="725">
        <v>2.145067706784006E-3</v>
      </c>
      <c r="BL89" s="725">
        <v>4.4985279151773709E-3</v>
      </c>
      <c r="BM89" s="725">
        <v>8.0896712726379917E-3</v>
      </c>
      <c r="BN89" s="725">
        <v>1.3321392940823271E-2</v>
      </c>
      <c r="BO89" s="726">
        <v>2.0598646309187788E-2</v>
      </c>
      <c r="BP89" s="725">
        <v>3.0335408416943981E-2</v>
      </c>
      <c r="BQ89" s="725">
        <v>4.2002191363608915E-2</v>
      </c>
      <c r="BR89" s="725">
        <v>5.4992278201707226E-2</v>
      </c>
      <c r="BS89" s="725">
        <v>6.9051807187343647E-2</v>
      </c>
      <c r="BT89" s="725">
        <v>8.398085768185598E-2</v>
      </c>
      <c r="BW89" s="1189">
        <f>'2018'!R\Max</f>
        <v>0</v>
      </c>
      <c r="BX89" s="1187">
        <f>'2019'!R\Max</f>
        <v>0.96723858421144437</v>
      </c>
      <c r="BY89" s="1187">
        <f>'2020'!R\Max</f>
        <v>1.0198454846338485</v>
      </c>
      <c r="BZ89" s="1187">
        <f>'2021'!R\Max</f>
        <v>0.72598517961773246</v>
      </c>
      <c r="CA89" s="1187">
        <f>'2022'!R\Max</f>
        <v>0.33839208008443417</v>
      </c>
      <c r="CB89" s="1187">
        <f>'2023'!R\Max</f>
        <v>0.33826738791149558</v>
      </c>
      <c r="CC89" s="1187">
        <f>'2024'!R\Max</f>
        <v>0.33814269036211669</v>
      </c>
      <c r="CD89" s="1187">
        <f>'2025'!R\Max</f>
        <v>0.33800500407364337</v>
      </c>
      <c r="CE89" s="1187">
        <f>'2026'!R\Max</f>
        <v>0.33866335254365171</v>
      </c>
      <c r="CF89" s="1188">
        <f>'2027'!R\Max</f>
        <v>0.33858391171967012</v>
      </c>
    </row>
    <row r="90" spans="1:84" s="6" customFormat="1" ht="11.25" x14ac:dyDescent="0.2">
      <c r="A90" s="11">
        <v>43176</v>
      </c>
      <c r="B90" s="380">
        <f>'2022'!Maxi_hp</f>
        <v>26.308361762464799</v>
      </c>
      <c r="C90" s="13">
        <f>'2022'!An_max</f>
        <v>2021</v>
      </c>
      <c r="D90" s="1061"/>
      <c r="E90" s="13"/>
      <c r="F90" s="13">
        <f t="shared" si="74"/>
        <v>7</v>
      </c>
      <c r="G90" s="13">
        <f t="shared" si="58"/>
        <v>6</v>
      </c>
      <c r="H90" s="173">
        <f t="shared" si="59"/>
        <v>43178</v>
      </c>
      <c r="I90" s="752">
        <f t="shared" si="60"/>
        <v>0.14285714285714285</v>
      </c>
      <c r="J90" s="745">
        <f t="shared" si="61"/>
        <v>44.786005831137302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4">
        <v>43176</v>
      </c>
      <c r="AP90" s="13">
        <f t="shared" si="62"/>
        <v>5</v>
      </c>
      <c r="AQ90" s="13">
        <f t="shared" si="63"/>
        <v>4</v>
      </c>
      <c r="AR90" s="173">
        <f t="shared" si="64"/>
        <v>43192</v>
      </c>
      <c r="AS90" s="752">
        <f t="shared" si="65"/>
        <v>0.5714285714285714</v>
      </c>
      <c r="AT90" s="768">
        <f t="shared" si="66"/>
        <v>44.988921283185483</v>
      </c>
      <c r="AU90" s="13">
        <f t="shared" si="67"/>
        <v>3</v>
      </c>
      <c r="AV90" s="13">
        <f t="shared" si="68"/>
        <v>4</v>
      </c>
      <c r="AW90" s="173">
        <f t="shared" si="69"/>
        <v>43150</v>
      </c>
      <c r="AX90" s="752">
        <f t="shared" si="70"/>
        <v>0.9285714285714286</v>
      </c>
      <c r="AY90" s="768">
        <f t="shared" si="71"/>
        <v>44.841126093408093</v>
      </c>
      <c r="AZ90" s="745">
        <f t="shared" si="75"/>
        <v>44.915023688296785</v>
      </c>
      <c r="BA90" s="642">
        <f t="shared" si="72"/>
        <v>0.58742371136329397</v>
      </c>
      <c r="BC90" s="11">
        <v>43176</v>
      </c>
      <c r="BD90" s="290">
        <f>[2]!FeuilCaduc*(1-Persistant)+Persistant</f>
        <v>0.70413914919736842</v>
      </c>
      <c r="BE90" s="291">
        <f>[2]!CroissVégét</f>
        <v>2.8166207768877807E-2</v>
      </c>
      <c r="BF90" s="815">
        <f>1+[2]!Salcycl*Ksac</f>
        <v>1.0006898581995614</v>
      </c>
      <c r="BH90" s="1052">
        <f t="shared" si="73"/>
        <v>9.9584957781710635E-3</v>
      </c>
      <c r="BI90" s="11">
        <v>44272</v>
      </c>
      <c r="BJ90" s="725">
        <v>5.4522739368279959E-4</v>
      </c>
      <c r="BK90" s="725">
        <v>2.0410558084804692E-3</v>
      </c>
      <c r="BL90" s="725">
        <v>4.3311075481818036E-3</v>
      </c>
      <c r="BM90" s="725">
        <v>7.8725739167004993E-3</v>
      </c>
      <c r="BN90" s="725">
        <v>1.3096650911925418E-2</v>
      </c>
      <c r="BO90" s="726">
        <v>2.0460019751762246E-2</v>
      </c>
      <c r="BP90" s="725">
        <v>3.034843664754399E-2</v>
      </c>
      <c r="BQ90" s="725">
        <v>4.2081342468480457E-2</v>
      </c>
      <c r="BR90" s="725">
        <v>5.514418630563362E-2</v>
      </c>
      <c r="BS90" s="725">
        <v>6.931515881701053E-2</v>
      </c>
      <c r="BT90" s="725">
        <v>8.4519944568709149E-2</v>
      </c>
      <c r="BW90" s="1189">
        <f>'2018'!R\Max</f>
        <v>0</v>
      </c>
      <c r="BX90" s="1187">
        <f>'2019'!R\Max</f>
        <v>0.3530914333847765</v>
      </c>
      <c r="BY90" s="1187">
        <f>'2020'!R\Max</f>
        <v>0.21978173466571677</v>
      </c>
      <c r="BZ90" s="1187">
        <f>'2021'!R\Max</f>
        <v>0.58742371136329397</v>
      </c>
      <c r="CA90" s="1187">
        <f>'2022'!R\Max</f>
        <v>0.29043249613765876</v>
      </c>
      <c r="CB90" s="1187">
        <f>'2023'!R\Max</f>
        <v>0.29031859053587267</v>
      </c>
      <c r="CC90" s="1187">
        <f>'2024'!R\Max</f>
        <v>0.29020468493408658</v>
      </c>
      <c r="CD90" s="1187">
        <f>'2025'!R\Max</f>
        <v>0.29007959520175552</v>
      </c>
      <c r="CE90" s="1187">
        <f>'2026'!R\Max</f>
        <v>0.29067905814895978</v>
      </c>
      <c r="CF90" s="1188">
        <f>'2027'!R\Max</f>
        <v>0.29060714136668031</v>
      </c>
    </row>
    <row r="91" spans="1:84" s="6" customFormat="1" ht="11.25" x14ac:dyDescent="0.2">
      <c r="A91" s="11">
        <v>43177</v>
      </c>
      <c r="B91" s="380">
        <f>'2022'!Maxi_hp</f>
        <v>32.389497861269035</v>
      </c>
      <c r="C91" s="13">
        <f>'2022'!An_max</f>
        <v>2019</v>
      </c>
      <c r="D91" s="1061"/>
      <c r="E91" s="13"/>
      <c r="F91" s="13">
        <f t="shared" si="74"/>
        <v>7</v>
      </c>
      <c r="G91" s="13">
        <f t="shared" si="58"/>
        <v>6</v>
      </c>
      <c r="H91" s="173">
        <f t="shared" si="59"/>
        <v>43178</v>
      </c>
      <c r="I91" s="752">
        <f t="shared" si="60"/>
        <v>7.1428571428571425E-2</v>
      </c>
      <c r="J91" s="745">
        <f t="shared" si="61"/>
        <v>45.242893586001756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4">
        <v>43177</v>
      </c>
      <c r="AP91" s="13">
        <f t="shared" si="62"/>
        <v>5</v>
      </c>
      <c r="AQ91" s="13">
        <f t="shared" si="63"/>
        <v>4</v>
      </c>
      <c r="AR91" s="173">
        <f t="shared" si="64"/>
        <v>43192</v>
      </c>
      <c r="AS91" s="752">
        <f t="shared" si="65"/>
        <v>0.5357142857142857</v>
      </c>
      <c r="AT91" s="768">
        <f t="shared" si="66"/>
        <v>45.472993349869341</v>
      </c>
      <c r="AU91" s="13">
        <f t="shared" si="67"/>
        <v>3</v>
      </c>
      <c r="AV91" s="13">
        <f t="shared" si="68"/>
        <v>4</v>
      </c>
      <c r="AW91" s="173">
        <f t="shared" si="69"/>
        <v>43150</v>
      </c>
      <c r="AX91" s="752">
        <f t="shared" si="70"/>
        <v>0.9642857142857143</v>
      </c>
      <c r="AY91" s="768">
        <f t="shared" si="71"/>
        <v>45.272710914820038</v>
      </c>
      <c r="AZ91" s="745">
        <f t="shared" si="75"/>
        <v>45.37285213234469</v>
      </c>
      <c r="BA91" s="642">
        <f t="shared" si="72"/>
        <v>0.71590243890347482</v>
      </c>
      <c r="BC91" s="11">
        <v>43177</v>
      </c>
      <c r="BD91" s="290">
        <f>[2]!FeuilCaduc*(1-Persistant)+Persistant</f>
        <v>0.70438091637498734</v>
      </c>
      <c r="BE91" s="291">
        <f>[2]!CroissVégét</f>
        <v>2.9368171926128662E-2</v>
      </c>
      <c r="BF91" s="815">
        <f>1+[2]!Salcycl*Ksac</f>
        <v>1.0007301527291645</v>
      </c>
      <c r="BH91" s="1052">
        <f t="shared" si="73"/>
        <v>9.7164016892776067E-3</v>
      </c>
      <c r="BI91" s="11">
        <v>44273</v>
      </c>
      <c r="BJ91" s="725">
        <v>4.9932949132623953E-4</v>
      </c>
      <c r="BK91" s="725">
        <v>1.9341932651211072E-3</v>
      </c>
      <c r="BL91" s="725">
        <v>4.1550022536424695E-3</v>
      </c>
      <c r="BM91" s="725">
        <v>7.6375274475973635E-3</v>
      </c>
      <c r="BN91" s="725">
        <v>1.2843954065261275E-2</v>
      </c>
      <c r="BO91" s="726">
        <v>2.0285633270949135E-2</v>
      </c>
      <c r="BP91" s="725">
        <v>3.0315360235795626E-2</v>
      </c>
      <c r="BQ91" s="725">
        <v>4.2133223207223347E-2</v>
      </c>
      <c r="BR91" s="725">
        <v>5.5305235903375778E-2</v>
      </c>
      <c r="BS91" s="725">
        <v>6.9649758083315222E-2</v>
      </c>
      <c r="BT91" s="725">
        <v>8.5184417898142975E-2</v>
      </c>
      <c r="BW91" s="1189">
        <f>'2018'!R\Max</f>
        <v>0</v>
      </c>
      <c r="BX91" s="1187">
        <f>'2019'!R\Max</f>
        <v>0.71590243890347482</v>
      </c>
      <c r="BY91" s="1187">
        <f>'2020'!R\Max</f>
        <v>0.3082741171299816</v>
      </c>
      <c r="BZ91" s="1187">
        <f>'2021'!R\Max</f>
        <v>0.4625539622442339</v>
      </c>
      <c r="CA91" s="1187">
        <f>'2022'!R\Max</f>
        <v>0.37236400646239853</v>
      </c>
      <c r="CB91" s="1187">
        <f>'2023'!R\Max</f>
        <v>0.37223254384096272</v>
      </c>
      <c r="CC91" s="1187">
        <f>'2024'!R\Max</f>
        <v>0.3721010704701978</v>
      </c>
      <c r="CD91" s="1187">
        <f>'2025'!R\Max</f>
        <v>0.37195721826054889</v>
      </c>
      <c r="CE91" s="1187">
        <f>'2026'!R\Max</f>
        <v>0.37264709674324686</v>
      </c>
      <c r="CF91" s="1188">
        <f>'2027'!R\Max</f>
        <v>0.37256487701966601</v>
      </c>
    </row>
    <row r="92" spans="1:84" s="6" customFormat="1" ht="11.25" x14ac:dyDescent="0.2">
      <c r="A92" s="11">
        <v>43178</v>
      </c>
      <c r="B92" s="380">
        <f>'2022'!Maxi_hp</f>
        <v>42.780968964285989</v>
      </c>
      <c r="C92" s="13">
        <f>'2022'!An_max</f>
        <v>2020</v>
      </c>
      <c r="D92" s="1061"/>
      <c r="E92" s="1056">
        <f>S$13/10</f>
        <v>45.7</v>
      </c>
      <c r="F92" s="13">
        <f t="shared" si="74"/>
        <v>7</v>
      </c>
      <c r="G92" s="13">
        <f t="shared" si="58"/>
        <v>8</v>
      </c>
      <c r="H92" s="173">
        <f t="shared" si="59"/>
        <v>43178</v>
      </c>
      <c r="I92" s="752">
        <f t="shared" si="60"/>
        <v>0</v>
      </c>
      <c r="J92" s="745">
        <f t="shared" si="61"/>
        <v>45.699999999813734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4">
        <v>43178</v>
      </c>
      <c r="AP92" s="13">
        <f t="shared" si="62"/>
        <v>5</v>
      </c>
      <c r="AQ92" s="13">
        <f t="shared" si="63"/>
        <v>4</v>
      </c>
      <c r="AR92" s="173">
        <f t="shared" si="64"/>
        <v>43192</v>
      </c>
      <c r="AS92" s="752">
        <f t="shared" si="65"/>
        <v>0.5</v>
      </c>
      <c r="AT92" s="768">
        <f t="shared" si="66"/>
        <v>45.956250000186266</v>
      </c>
      <c r="AU92" s="13">
        <f t="shared" si="67"/>
        <v>5</v>
      </c>
      <c r="AV92" s="13">
        <f t="shared" si="68"/>
        <v>4</v>
      </c>
      <c r="AW92" s="173">
        <f t="shared" si="69"/>
        <v>43206</v>
      </c>
      <c r="AX92" s="752">
        <f t="shared" si="70"/>
        <v>1</v>
      </c>
      <c r="AY92" s="768">
        <f t="shared" si="71"/>
        <v>45.700000000186265</v>
      </c>
      <c r="AZ92" s="745">
        <f t="shared" si="75"/>
        <v>45.828125000186262</v>
      </c>
      <c r="BA92" s="642">
        <f t="shared" si="72"/>
        <v>0.93612623554617846</v>
      </c>
      <c r="BC92" s="11">
        <v>43178</v>
      </c>
      <c r="BD92" s="290">
        <f>[2]!FeuilCaduc*(1-Persistant)+Persistant</f>
        <v>0.70464845750275462</v>
      </c>
      <c r="BE92" s="291">
        <f>[2]!CroissVégét</f>
        <v>3.0617403154541836E-2</v>
      </c>
      <c r="BF92" s="815">
        <f>1+[2]!Salcycl*Ksac</f>
        <v>1.0007747429171259</v>
      </c>
      <c r="BH92" s="1052">
        <f t="shared" si="73"/>
        <v>9.4523657937518567E-3</v>
      </c>
      <c r="BI92" s="11">
        <v>44274</v>
      </c>
      <c r="BJ92" s="725">
        <v>4.5447937014101228E-4</v>
      </c>
      <c r="BK92" s="725">
        <v>1.8244813700244876E-3</v>
      </c>
      <c r="BL92" s="725">
        <v>3.9702141988555532E-3</v>
      </c>
      <c r="BM92" s="725">
        <v>7.3845346115619182E-3</v>
      </c>
      <c r="BN92" s="725">
        <v>1.2563304491883072E-2</v>
      </c>
      <c r="BO92" s="726">
        <v>2.0075485702985136E-2</v>
      </c>
      <c r="BP92" s="725">
        <v>3.0236173035311027E-2</v>
      </c>
      <c r="BQ92" s="725">
        <v>4.2157819808552807E-2</v>
      </c>
      <c r="BR92" s="725">
        <v>5.5475402963479699E-2</v>
      </c>
      <c r="BS92" s="725">
        <v>7.0055566672970068E-2</v>
      </c>
      <c r="BT92" s="725">
        <v>8.5974222893936705E-2</v>
      </c>
      <c r="BW92" s="1189">
        <f>'2018'!R\Max</f>
        <v>0</v>
      </c>
      <c r="BX92" s="1187">
        <f>'2019'!R\Max</f>
        <v>0.27363754412190722</v>
      </c>
      <c r="BY92" s="1187">
        <f>'2020'!R\Max</f>
        <v>0.93612623554617846</v>
      </c>
      <c r="BZ92" s="1187">
        <f>'2021'!R\Max</f>
        <v>0.2357916869296168</v>
      </c>
      <c r="CA92" s="1187">
        <f>'2022'!R\Max</f>
        <v>0.65056559524716395</v>
      </c>
      <c r="CB92" s="1187">
        <f>'2023'!R\Max</f>
        <v>0.65043727836939769</v>
      </c>
      <c r="CC92" s="1187">
        <f>'2024'!R\Max</f>
        <v>0.6503089106541885</v>
      </c>
      <c r="CD92" s="1187">
        <f>'2025'!R\Max</f>
        <v>0.65016871943919663</v>
      </c>
      <c r="CE92" s="1187">
        <f>'2026'!R\Max</f>
        <v>0.65084038188116855</v>
      </c>
      <c r="CF92" s="1188">
        <f>'2027'!R\Max</f>
        <v>0.65076094259459516</v>
      </c>
    </row>
    <row r="93" spans="1:84" s="6" customFormat="1" ht="11.25" x14ac:dyDescent="0.2">
      <c r="A93" s="11">
        <v>43179</v>
      </c>
      <c r="B93" s="380">
        <f>'2022'!Maxi_hp</f>
        <v>45.417095514762579</v>
      </c>
      <c r="C93" s="13">
        <f>'2022'!An_max</f>
        <v>2019</v>
      </c>
      <c r="D93" s="1061"/>
      <c r="E93" s="13"/>
      <c r="F93" s="13">
        <f t="shared" si="74"/>
        <v>7</v>
      </c>
      <c r="G93" s="13">
        <f t="shared" si="58"/>
        <v>8</v>
      </c>
      <c r="H93" s="173">
        <f t="shared" si="59"/>
        <v>43178</v>
      </c>
      <c r="I93" s="752">
        <f t="shared" si="60"/>
        <v>7.1428571428571425E-2</v>
      </c>
      <c r="J93" s="745">
        <f t="shared" si="61"/>
        <v>46.161443148819458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4">
        <v>43179</v>
      </c>
      <c r="AP93" s="13">
        <f t="shared" si="62"/>
        <v>5</v>
      </c>
      <c r="AQ93" s="13">
        <f t="shared" si="63"/>
        <v>4</v>
      </c>
      <c r="AR93" s="173">
        <f t="shared" si="64"/>
        <v>43192</v>
      </c>
      <c r="AS93" s="752">
        <f t="shared" si="65"/>
        <v>0.4642857142857143</v>
      </c>
      <c r="AT93" s="768">
        <f t="shared" si="66"/>
        <v>46.437912264053843</v>
      </c>
      <c r="AU93" s="13">
        <f t="shared" si="67"/>
        <v>5</v>
      </c>
      <c r="AV93" s="13">
        <f t="shared" si="68"/>
        <v>4</v>
      </c>
      <c r="AW93" s="173">
        <f t="shared" si="69"/>
        <v>43206</v>
      </c>
      <c r="AX93" s="752">
        <f t="shared" si="70"/>
        <v>0.9642857142857143</v>
      </c>
      <c r="AY93" s="768">
        <f t="shared" si="71"/>
        <v>46.127815233294051</v>
      </c>
      <c r="AZ93" s="745">
        <f t="shared" si="75"/>
        <v>46.282863748673947</v>
      </c>
      <c r="BA93" s="642">
        <f t="shared" si="72"/>
        <v>0.98387512210878714</v>
      </c>
      <c r="BC93" s="11">
        <v>43179</v>
      </c>
      <c r="BD93" s="290">
        <f>[2]!FeuilCaduc*(1-Persistant)+Persistant</f>
        <v>0.70494398804770964</v>
      </c>
      <c r="BE93" s="291">
        <f>[2]!CroissVégét</f>
        <v>3.1915627119784788E-2</v>
      </c>
      <c r="BF93" s="815">
        <f>1+[2]!Salcycl*Ksac</f>
        <v>1.0008239980079516</v>
      </c>
      <c r="BH93" s="1052">
        <f t="shared" si="73"/>
        <v>9.1663919954435569E-3</v>
      </c>
      <c r="BI93" s="11">
        <v>44275</v>
      </c>
      <c r="BJ93" s="725">
        <v>4.1067752889380692E-4</v>
      </c>
      <c r="BK93" s="725">
        <v>1.7119217297696552E-3</v>
      </c>
      <c r="BL93" s="725">
        <v>3.7767462366573748E-3</v>
      </c>
      <c r="BM93" s="725">
        <v>7.1135993578605216E-3</v>
      </c>
      <c r="BN93" s="725">
        <v>1.2254706027313747E-2</v>
      </c>
      <c r="BO93" s="726">
        <v>1.9829578032050391E-2</v>
      </c>
      <c r="BP93" s="725">
        <v>3.0110871534789592E-2</v>
      </c>
      <c r="BQ93" s="725">
        <v>4.2155120756607233E-2</v>
      </c>
      <c r="BR93" s="725">
        <v>5.5654664734892209E-2</v>
      </c>
      <c r="BS93" s="725">
        <v>7.0532545640156138E-2</v>
      </c>
      <c r="BT93" s="725">
        <v>8.6889302326937146E-2</v>
      </c>
      <c r="BW93" s="1189">
        <f>'2018'!R\Max</f>
        <v>0</v>
      </c>
      <c r="BX93" s="1187">
        <f>'2019'!R\Max</f>
        <v>0.98387512210878714</v>
      </c>
      <c r="BY93" s="1187">
        <f>'2020'!R\Max</f>
        <v>0.98324218077894321</v>
      </c>
      <c r="BZ93" s="1187">
        <f>'2021'!R\Max</f>
        <v>0.91058049242828765</v>
      </c>
      <c r="CA93" s="1187">
        <f>'2022'!R\Max</f>
        <v>0.72385326691310659</v>
      </c>
      <c r="CB93" s="1187">
        <f>'2023'!R\Max</f>
        <v>0.7237401889699423</v>
      </c>
      <c r="CC93" s="1187">
        <f>'2024'!R\Max</f>
        <v>0.72362705674750771</v>
      </c>
      <c r="CD93" s="1187">
        <f>'2025'!R\Max</f>
        <v>0.7235035783795043</v>
      </c>
      <c r="CE93" s="1187">
        <f>'2026'!R\Max</f>
        <v>0.72409416667518389</v>
      </c>
      <c r="CF93" s="1188">
        <f>'2027'!R\Max</f>
        <v>0.72402484718014659</v>
      </c>
    </row>
    <row r="94" spans="1:84" s="6" customFormat="1" ht="11.25" x14ac:dyDescent="0.2">
      <c r="A94" s="11">
        <v>43180</v>
      </c>
      <c r="B94" s="380">
        <f>'2022'!Maxi_hp</f>
        <v>48.198985258159908</v>
      </c>
      <c r="C94" s="13">
        <f>'2022'!An_max</f>
        <v>2020</v>
      </c>
      <c r="D94" s="1061"/>
      <c r="E94" s="13"/>
      <c r="F94" s="13">
        <f t="shared" si="74"/>
        <v>7</v>
      </c>
      <c r="G94" s="13">
        <f t="shared" si="58"/>
        <v>8</v>
      </c>
      <c r="H94" s="173">
        <f t="shared" si="59"/>
        <v>43178</v>
      </c>
      <c r="I94" s="752">
        <f t="shared" si="60"/>
        <v>0.14285714285714285</v>
      </c>
      <c r="J94" s="745">
        <f t="shared" si="61"/>
        <v>46.630320699832268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4">
        <v>43180</v>
      </c>
      <c r="AP94" s="13">
        <f t="shared" si="62"/>
        <v>5</v>
      </c>
      <c r="AQ94" s="13">
        <f t="shared" si="63"/>
        <v>4</v>
      </c>
      <c r="AR94" s="173">
        <f t="shared" si="64"/>
        <v>43192</v>
      </c>
      <c r="AS94" s="752">
        <f t="shared" si="65"/>
        <v>0.42857142857142855</v>
      </c>
      <c r="AT94" s="768">
        <f t="shared" si="66"/>
        <v>46.91720116707895</v>
      </c>
      <c r="AU94" s="13">
        <f t="shared" si="67"/>
        <v>5</v>
      </c>
      <c r="AV94" s="13">
        <f t="shared" si="68"/>
        <v>4</v>
      </c>
      <c r="AW94" s="173">
        <f t="shared" si="69"/>
        <v>43206</v>
      </c>
      <c r="AX94" s="752">
        <f t="shared" si="70"/>
        <v>0.9285714285714286</v>
      </c>
      <c r="AY94" s="768">
        <f t="shared" si="71"/>
        <v>46.560787172116605</v>
      </c>
      <c r="AZ94" s="745">
        <f t="shared" si="75"/>
        <v>46.738994169597774</v>
      </c>
      <c r="BA94" s="642">
        <f t="shared" si="72"/>
        <v>1.0336404411289688</v>
      </c>
      <c r="BC94" s="11">
        <v>43180</v>
      </c>
      <c r="BD94" s="290">
        <f>[2]!FeuilCaduc*(1-Persistant)+Persistant</f>
        <v>0.70526975684544657</v>
      </c>
      <c r="BE94" s="291">
        <f>[2]!CroissVégét</f>
        <v>3.3264621499185201E-2</v>
      </c>
      <c r="BF94" s="815">
        <f>1+[2]!Salcycl*Ksac</f>
        <v>1.0008782928075743</v>
      </c>
      <c r="BH94" s="1052">
        <f t="shared" si="73"/>
        <v>8.8576999277915312E-3</v>
      </c>
      <c r="BI94" s="11">
        <v>44276</v>
      </c>
      <c r="BJ94" s="725">
        <v>3.6947113030128833E-4</v>
      </c>
      <c r="BK94" s="725">
        <v>1.5985719814483269E-3</v>
      </c>
      <c r="BL94" s="725">
        <v>3.5768439900414509E-3</v>
      </c>
      <c r="BM94" s="725">
        <v>6.8255118509529932E-3</v>
      </c>
      <c r="BN94" s="725">
        <v>1.1915015527134865E-2</v>
      </c>
      <c r="BO94" s="726">
        <v>1.95315274252949E-2</v>
      </c>
      <c r="BP94" s="725">
        <v>2.9907696947583225E-2</v>
      </c>
      <c r="BQ94" s="725">
        <v>4.2078484435990299E-2</v>
      </c>
      <c r="BR94" s="725">
        <v>5.5789780296393796E-2</v>
      </c>
      <c r="BS94" s="725">
        <v>7.1011189266458954E-2</v>
      </c>
      <c r="BT94" s="725">
        <v>8.7833019321549036E-2</v>
      </c>
      <c r="BW94" s="1189">
        <f>'2018'!R\Max</f>
        <v>0</v>
      </c>
      <c r="BX94" s="1187">
        <f>'2019'!R\Max</f>
        <v>0.99547648783555454</v>
      </c>
      <c r="BY94" s="1187">
        <f>'2020'!R\Max</f>
        <v>1.0336404411289688</v>
      </c>
      <c r="BZ94" s="1187">
        <f>'2021'!R\Max</f>
        <v>0.82180629735540167</v>
      </c>
      <c r="CA94" s="1187">
        <f>'2022'!R\Max</f>
        <v>0.95769605817993109</v>
      </c>
      <c r="CB94" s="1187">
        <f>'2023'!R\Max</f>
        <v>0.95767314674824555</v>
      </c>
      <c r="CC94" s="1187">
        <f>'2024'!R\Max</f>
        <v>0.95765021825900898</v>
      </c>
      <c r="CD94" s="1187">
        <f>'2025'!R\Max</f>
        <v>0.95762516258694241</v>
      </c>
      <c r="CE94" s="1187">
        <f>'2026'!R\Max</f>
        <v>0.95774459475938811</v>
      </c>
      <c r="CF94" s="1188">
        <f>'2027'!R\Max</f>
        <v>0.95773069392778354</v>
      </c>
    </row>
    <row r="95" spans="1:84" s="6" customFormat="1" ht="11.25" x14ac:dyDescent="0.2">
      <c r="A95" s="11">
        <v>43181</v>
      </c>
      <c r="B95" s="380">
        <f>'2022'!Maxi_hp</f>
        <v>46.410432138632295</v>
      </c>
      <c r="C95" s="13">
        <f>'2022'!An_max</f>
        <v>2020</v>
      </c>
      <c r="D95" s="1061"/>
      <c r="E95" s="13"/>
      <c r="F95" s="13">
        <f t="shared" si="74"/>
        <v>7</v>
      </c>
      <c r="G95" s="13">
        <f t="shared" si="58"/>
        <v>8</v>
      </c>
      <c r="H95" s="173">
        <f t="shared" si="59"/>
        <v>43178</v>
      </c>
      <c r="I95" s="752">
        <f t="shared" si="60"/>
        <v>0.21428571428571427</v>
      </c>
      <c r="J95" s="745">
        <f t="shared" si="61"/>
        <v>47.104883382629069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4">
        <v>43181</v>
      </c>
      <c r="AP95" s="13">
        <f t="shared" si="62"/>
        <v>5</v>
      </c>
      <c r="AQ95" s="13">
        <f t="shared" si="63"/>
        <v>4</v>
      </c>
      <c r="AR95" s="173">
        <f t="shared" si="64"/>
        <v>43192</v>
      </c>
      <c r="AS95" s="752">
        <f t="shared" si="65"/>
        <v>0.39285714285714285</v>
      </c>
      <c r="AT95" s="768">
        <f t="shared" si="66"/>
        <v>47.393337737755587</v>
      </c>
      <c r="AU95" s="13">
        <f t="shared" si="67"/>
        <v>5</v>
      </c>
      <c r="AV95" s="13">
        <f t="shared" si="68"/>
        <v>4</v>
      </c>
      <c r="AW95" s="173">
        <f t="shared" si="69"/>
        <v>43206</v>
      </c>
      <c r="AX95" s="752">
        <f t="shared" si="70"/>
        <v>0.8928571428571429</v>
      </c>
      <c r="AY95" s="768">
        <f t="shared" si="71"/>
        <v>46.998205174984676</v>
      </c>
      <c r="AZ95" s="745">
        <f t="shared" si="75"/>
        <v>47.195771456370132</v>
      </c>
      <c r="BA95" s="642">
        <f t="shared" si="72"/>
        <v>0.98525734076537663</v>
      </c>
      <c r="BC95" s="11">
        <v>43181</v>
      </c>
      <c r="BD95" s="290">
        <f>[2]!FeuilCaduc*(1-Persistant)+Persistant</f>
        <v>0.70562803878214087</v>
      </c>
      <c r="BE95" s="291">
        <f>[2]!CroissVégét</f>
        <v>3.4666216621534622E-2</v>
      </c>
      <c r="BF95" s="815">
        <f>1+[2]!Salcycl*Ksac</f>
        <v>1.0009380064636901</v>
      </c>
      <c r="BH95" s="1052">
        <f t="shared" si="73"/>
        <v>8.5381052347885799E-3</v>
      </c>
      <c r="BI95" s="11">
        <v>44277</v>
      </c>
      <c r="BJ95" s="725">
        <v>3.3042085908001497E-4</v>
      </c>
      <c r="BK95" s="725">
        <v>1.4859357590231029E-3</v>
      </c>
      <c r="BL95" s="725">
        <v>3.3757790170178339E-3</v>
      </c>
      <c r="BM95" s="725">
        <v>6.5301745240258224E-3</v>
      </c>
      <c r="BN95" s="725">
        <v>1.1558926956154911E-2</v>
      </c>
      <c r="BO95" s="726">
        <v>1.9194840641209729E-2</v>
      </c>
      <c r="BP95" s="725">
        <v>2.9633266059106395E-2</v>
      </c>
      <c r="BQ95" s="725">
        <v>4.1903905994043589E-2</v>
      </c>
      <c r="BR95" s="725">
        <v>5.5822175278756214E-2</v>
      </c>
      <c r="BS95" s="725">
        <v>7.1388809381836685E-2</v>
      </c>
      <c r="BT95" s="725">
        <v>8.8668037954720558E-2</v>
      </c>
      <c r="BW95" s="1189">
        <f>'2018'!R\Max</f>
        <v>0</v>
      </c>
      <c r="BX95" s="1187">
        <f>'2019'!R\Max</f>
        <v>0.96685007382565069</v>
      </c>
      <c r="BY95" s="1187">
        <f>'2020'!R\Max</f>
        <v>0.98525734076537663</v>
      </c>
      <c r="BZ95" s="1187">
        <f>'2021'!R\Max</f>
        <v>0.88706811837038468</v>
      </c>
      <c r="CA95" s="1187">
        <f>'2022'!R\Max</f>
        <v>0.89858589871834038</v>
      </c>
      <c r="CB95" s="1187">
        <f>'2023'!R\Max</f>
        <v>0.89853455292592577</v>
      </c>
      <c r="CC95" s="1187">
        <f>'2024'!R\Max</f>
        <v>0.89848317246968512</v>
      </c>
      <c r="CD95" s="1187">
        <f>'2025'!R\Max</f>
        <v>0.89842694636693832</v>
      </c>
      <c r="CE95" s="1187">
        <f>'2026'!R\Max</f>
        <v>0.89869416566513705</v>
      </c>
      <c r="CF95" s="1188">
        <f>'2027'!R\Max</f>
        <v>0.89866328467050272</v>
      </c>
    </row>
    <row r="96" spans="1:84" s="6" customFormat="1" ht="11.25" x14ac:dyDescent="0.2">
      <c r="A96" s="11">
        <v>43182</v>
      </c>
      <c r="B96" s="380">
        <f>'2022'!Maxi_hp</f>
        <v>49.043918463336865</v>
      </c>
      <c r="C96" s="13">
        <f>'2022'!An_max</f>
        <v>2021</v>
      </c>
      <c r="D96" s="1061"/>
      <c r="E96" s="13"/>
      <c r="F96" s="13">
        <f t="shared" si="74"/>
        <v>7</v>
      </c>
      <c r="G96" s="13">
        <f t="shared" si="58"/>
        <v>8</v>
      </c>
      <c r="H96" s="173">
        <f t="shared" si="59"/>
        <v>43178</v>
      </c>
      <c r="I96" s="752">
        <f t="shared" si="60"/>
        <v>0.2857142857142857</v>
      </c>
      <c r="J96" s="745">
        <f t="shared" si="61"/>
        <v>47.583381924618571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4">
        <v>43182</v>
      </c>
      <c r="AP96" s="13">
        <f t="shared" si="62"/>
        <v>5</v>
      </c>
      <c r="AQ96" s="13">
        <f t="shared" si="63"/>
        <v>4</v>
      </c>
      <c r="AR96" s="173">
        <f t="shared" si="64"/>
        <v>43192</v>
      </c>
      <c r="AS96" s="752">
        <f t="shared" si="65"/>
        <v>0.35714285714285715</v>
      </c>
      <c r="AT96" s="768">
        <f t="shared" si="66"/>
        <v>47.865543003566565</v>
      </c>
      <c r="AU96" s="13">
        <f t="shared" si="67"/>
        <v>5</v>
      </c>
      <c r="AV96" s="13">
        <f t="shared" si="68"/>
        <v>4</v>
      </c>
      <c r="AW96" s="173">
        <f t="shared" si="69"/>
        <v>43206</v>
      </c>
      <c r="AX96" s="752">
        <f t="shared" si="70"/>
        <v>0.8571428571428571</v>
      </c>
      <c r="AY96" s="768">
        <f t="shared" si="71"/>
        <v>47.439358600628161</v>
      </c>
      <c r="AZ96" s="745">
        <f t="shared" si="75"/>
        <v>47.652450802097363</v>
      </c>
      <c r="BA96" s="642">
        <f t="shared" si="72"/>
        <v>1.0306942566846566</v>
      </c>
      <c r="BC96" s="11">
        <v>43182</v>
      </c>
      <c r="BD96" s="290">
        <f>[2]!FeuilCaduc*(1-Persistant)+Persistant</f>
        <v>0.70602112756795998</v>
      </c>
      <c r="BE96" s="291">
        <f>[2]!CroissVégét</f>
        <v>3.6122296026123907E-2</v>
      </c>
      <c r="BF96" s="815">
        <f>1+[2]!Salcycl*Ksac</f>
        <v>1.0010035212613266</v>
      </c>
      <c r="BH96" s="1052">
        <f t="shared" si="73"/>
        <v>8.2076068799207848E-3</v>
      </c>
      <c r="BI96" s="11">
        <v>44278</v>
      </c>
      <c r="BJ96" s="725">
        <v>2.9352632417075204E-4</v>
      </c>
      <c r="BK96" s="725">
        <v>1.3740125415733001E-3</v>
      </c>
      <c r="BL96" s="725">
        <v>3.1735505001719904E-3</v>
      </c>
      <c r="BM96" s="725">
        <v>6.2275864557943886E-3</v>
      </c>
      <c r="BN96" s="725">
        <v>1.1186439104503808E-2</v>
      </c>
      <c r="BO96" s="726">
        <v>1.8819517155430333E-2</v>
      </c>
      <c r="BP96" s="725">
        <v>2.9287579577996412E-2</v>
      </c>
      <c r="BQ96" s="725">
        <v>4.1631385928385806E-2</v>
      </c>
      <c r="BR96" s="725">
        <v>5.575184629266107E-2</v>
      </c>
      <c r="BS96" s="725">
        <v>7.1665397198461184E-2</v>
      </c>
      <c r="BT96" s="725">
        <v>8.9394344759673824E-2</v>
      </c>
      <c r="BW96" s="1189">
        <f>'2018'!R\Max</f>
        <v>0</v>
      </c>
      <c r="BX96" s="1187">
        <f>'2019'!R\Max</f>
        <v>0.90388590689029857</v>
      </c>
      <c r="BY96" s="1187">
        <f>'2020'!R\Max</f>
        <v>0.95488114038645866</v>
      </c>
      <c r="BZ96" s="1187">
        <f>'2021'!R\Max</f>
        <v>1.0306942566846566</v>
      </c>
      <c r="CA96" s="1187">
        <f>'2022'!R\Max</f>
        <v>1.0216071649905401</v>
      </c>
      <c r="CB96" s="1187">
        <f>'2023'!R\Max</f>
        <v>1.0216071649905401</v>
      </c>
      <c r="CC96" s="1187">
        <f>'2024'!R\Max</f>
        <v>1.0216071649905401</v>
      </c>
      <c r="CD96" s="1187">
        <f>'2025'!R\Max</f>
        <v>1.0216071649905403</v>
      </c>
      <c r="CE96" s="1187">
        <f>'2026'!R\Max</f>
        <v>1.0216071649905398</v>
      </c>
      <c r="CF96" s="1188">
        <f>'2027'!R\Max</f>
        <v>1.0216071649905398</v>
      </c>
    </row>
    <row r="97" spans="1:84" s="6" customFormat="1" ht="11.25" x14ac:dyDescent="0.2">
      <c r="A97" s="11">
        <v>43183</v>
      </c>
      <c r="B97" s="380">
        <f>'2022'!Maxi_hp</f>
        <v>48.279322574126304</v>
      </c>
      <c r="C97" s="13">
        <f>'2022'!An_max</f>
        <v>2021</v>
      </c>
      <c r="D97" s="1061"/>
      <c r="E97" s="13"/>
      <c r="F97" s="13">
        <f t="shared" si="74"/>
        <v>7</v>
      </c>
      <c r="G97" s="13">
        <f t="shared" si="58"/>
        <v>8</v>
      </c>
      <c r="H97" s="173">
        <f t="shared" si="59"/>
        <v>43178</v>
      </c>
      <c r="I97" s="752">
        <f t="shared" si="60"/>
        <v>0.35714285714285715</v>
      </c>
      <c r="J97" s="745">
        <f t="shared" si="61"/>
        <v>48.064067055644202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4">
        <v>43183</v>
      </c>
      <c r="AP97" s="13">
        <f t="shared" si="62"/>
        <v>5</v>
      </c>
      <c r="AQ97" s="13">
        <f t="shared" si="63"/>
        <v>4</v>
      </c>
      <c r="AR97" s="173">
        <f t="shared" si="64"/>
        <v>43192</v>
      </c>
      <c r="AS97" s="752">
        <f t="shared" si="65"/>
        <v>0.32142857142857145</v>
      </c>
      <c r="AT97" s="768">
        <f t="shared" si="66"/>
        <v>48.333037992553521</v>
      </c>
      <c r="AU97" s="13">
        <f t="shared" si="67"/>
        <v>5</v>
      </c>
      <c r="AV97" s="13">
        <f t="shared" si="68"/>
        <v>4</v>
      </c>
      <c r="AW97" s="173">
        <f t="shared" si="69"/>
        <v>43206</v>
      </c>
      <c r="AX97" s="752">
        <f t="shared" si="70"/>
        <v>0.8214285714285714</v>
      </c>
      <c r="AY97" s="768">
        <f t="shared" si="71"/>
        <v>47.883536807394449</v>
      </c>
      <c r="AZ97" s="745">
        <f t="shared" si="75"/>
        <v>48.108287399973989</v>
      </c>
      <c r="BA97" s="642">
        <f t="shared" si="72"/>
        <v>1.0044785123621125</v>
      </c>
      <c r="BC97" s="11">
        <v>43183</v>
      </c>
      <c r="BD97" s="290">
        <f>[2]!FeuilCaduc*(1-Persistant)+Persistant</f>
        <v>0.70645132864270632</v>
      </c>
      <c r="BE97" s="291">
        <f>[2]!CroissVégét</f>
        <v>3.7634796931243539E-2</v>
      </c>
      <c r="BF97" s="815">
        <f>1+[2]!Salcycl*Ksac</f>
        <v>1.001075221440451</v>
      </c>
      <c r="BH97" s="1052">
        <f t="shared" si="73"/>
        <v>7.8662042672556914E-3</v>
      </c>
      <c r="BI97" s="11">
        <v>44279</v>
      </c>
      <c r="BJ97" s="725">
        <v>2.5878717831341185E-4</v>
      </c>
      <c r="BK97" s="725">
        <v>1.262801950384548E-3</v>
      </c>
      <c r="BL97" s="725">
        <v>2.9701578829343152E-3</v>
      </c>
      <c r="BM97" s="725">
        <v>5.9177471240352006E-3</v>
      </c>
      <c r="BN97" s="725">
        <v>1.0797551265358002E-2</v>
      </c>
      <c r="BO97" s="726">
        <v>1.8405556985555693E-2</v>
      </c>
      <c r="BP97" s="725">
        <v>2.8870638768671637E-2</v>
      </c>
      <c r="BQ97" s="725">
        <v>4.12609252407969E-2</v>
      </c>
      <c r="BR97" s="725">
        <v>5.5578790200658257E-2</v>
      </c>
      <c r="BS97" s="725">
        <v>7.184094373208838E-2</v>
      </c>
      <c r="BT97" s="725">
        <v>9.0011925508137872E-2</v>
      </c>
      <c r="BW97" s="1189">
        <f>'2018'!R\Max</f>
        <v>0</v>
      </c>
      <c r="BX97" s="1187">
        <f>'2019'!R\Max</f>
        <v>0.98347013875421097</v>
      </c>
      <c r="BY97" s="1187">
        <f>'2020'!R\Max</f>
        <v>0.7287220115387032</v>
      </c>
      <c r="BZ97" s="1187">
        <f>'2021'!R\Max</f>
        <v>1.0044785123621125</v>
      </c>
      <c r="CA97" s="1187">
        <f>'2022'!R\Max</f>
        <v>0.99630917394196328</v>
      </c>
      <c r="CB97" s="1187">
        <f>'2023'!R\Max</f>
        <v>0.99630713578304497</v>
      </c>
      <c r="CC97" s="1187">
        <f>'2024'!R\Max</f>
        <v>0.99630509604962414</v>
      </c>
      <c r="CD97" s="1187">
        <f>'2025'!R\Max</f>
        <v>0.99630285342403824</v>
      </c>
      <c r="CE97" s="1187">
        <f>'2026'!R\Max</f>
        <v>0.99631343484839441</v>
      </c>
      <c r="CF97" s="1188">
        <f>'2027'!R\Max</f>
        <v>0.99631222843841583</v>
      </c>
    </row>
    <row r="98" spans="1:84" s="6" customFormat="1" ht="11.25" x14ac:dyDescent="0.2">
      <c r="A98" s="11">
        <v>43184</v>
      </c>
      <c r="B98" s="380">
        <f>'2022'!Maxi_hp</f>
        <v>45.226476614605296</v>
      </c>
      <c r="C98" s="13">
        <f>'2022'!An_max</f>
        <v>2022</v>
      </c>
      <c r="D98" s="1061"/>
      <c r="E98" s="13"/>
      <c r="F98" s="13">
        <f t="shared" si="74"/>
        <v>7</v>
      </c>
      <c r="G98" s="13">
        <f t="shared" si="58"/>
        <v>8</v>
      </c>
      <c r="H98" s="173">
        <f t="shared" si="59"/>
        <v>43178</v>
      </c>
      <c r="I98" s="752">
        <f t="shared" si="60"/>
        <v>0.42857142857142855</v>
      </c>
      <c r="J98" s="745">
        <f t="shared" si="61"/>
        <v>48.545189504857568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4">
        <v>43184</v>
      </c>
      <c r="AP98" s="13">
        <f t="shared" si="62"/>
        <v>5</v>
      </c>
      <c r="AQ98" s="13">
        <f t="shared" si="63"/>
        <v>4</v>
      </c>
      <c r="AR98" s="173">
        <f t="shared" si="64"/>
        <v>43192</v>
      </c>
      <c r="AS98" s="752">
        <f t="shared" si="65"/>
        <v>0.2857142857142857</v>
      </c>
      <c r="AT98" s="768">
        <f t="shared" si="66"/>
        <v>48.795043732225892</v>
      </c>
      <c r="AU98" s="13">
        <f t="shared" si="67"/>
        <v>5</v>
      </c>
      <c r="AV98" s="13">
        <f t="shared" si="68"/>
        <v>4</v>
      </c>
      <c r="AW98" s="173">
        <f t="shared" si="69"/>
        <v>43206</v>
      </c>
      <c r="AX98" s="752">
        <f t="shared" si="70"/>
        <v>0.7857142857142857</v>
      </c>
      <c r="AY98" s="768">
        <f t="shared" si="71"/>
        <v>48.330029154735222</v>
      </c>
      <c r="AZ98" s="745">
        <f t="shared" si="75"/>
        <v>48.562536443480553</v>
      </c>
      <c r="BA98" s="642">
        <f t="shared" si="72"/>
        <v>0.93163662714880968</v>
      </c>
      <c r="BC98" s="11">
        <v>43184</v>
      </c>
      <c r="BD98" s="290">
        <f>[2]!FeuilCaduc*(1-Persistant)+Persistant</f>
        <v>0.70692095224952445</v>
      </c>
      <c r="BE98" s="291">
        <f>[2]!CroissVégét</f>
        <v>3.9205710601738018E-2</v>
      </c>
      <c r="BF98" s="815">
        <f>1+[2]!Salcycl*Ksac</f>
        <v>1.0011534920415874</v>
      </c>
      <c r="BH98" s="1052">
        <f t="shared" si="73"/>
        <v>7.5138972764533848E-3</v>
      </c>
      <c r="BI98" s="11">
        <v>44280</v>
      </c>
      <c r="BJ98" s="725">
        <v>2.2620311115193297E-4</v>
      </c>
      <c r="BK98" s="725">
        <v>1.1523037466956345E-3</v>
      </c>
      <c r="BL98" s="725">
        <v>2.7656008733617466E-3</v>
      </c>
      <c r="BM98" s="725">
        <v>5.6006564288909946E-3</v>
      </c>
      <c r="BN98" s="725">
        <v>1.0392263287562554E-2</v>
      </c>
      <c r="BO98" s="726">
        <v>1.7952960814990274E-2</v>
      </c>
      <c r="BP98" s="725">
        <v>2.8382445679633397E-2</v>
      </c>
      <c r="BQ98" s="725">
        <v>4.0792525750957695E-2</v>
      </c>
      <c r="BR98" s="725">
        <v>5.5303004446135492E-2</v>
      </c>
      <c r="BS98" s="725">
        <v>7.1915440125471408E-2</v>
      </c>
      <c r="BT98" s="725">
        <v>9.0520765558190289E-2</v>
      </c>
      <c r="BW98" s="1189">
        <f>'2018'!R\Max</f>
        <v>0</v>
      </c>
      <c r="BX98" s="1187">
        <f>'2019'!R\Max</f>
        <v>0.85771598254648496</v>
      </c>
      <c r="BY98" s="1187">
        <f>'2020'!R\Max</f>
        <v>0.83393963286786343</v>
      </c>
      <c r="BZ98" s="1187">
        <f>'2021'!R\Max</f>
        <v>0.79028619628405394</v>
      </c>
      <c r="CA98" s="1187">
        <f>'2022'!R\Max</f>
        <v>0.93163662714880968</v>
      </c>
      <c r="CB98" s="1187">
        <f>'2023'!R\Max</f>
        <v>0.93160177323047222</v>
      </c>
      <c r="CC98" s="1187">
        <f>'2024'!R\Max</f>
        <v>0.93156689519747449</v>
      </c>
      <c r="CD98" s="1187">
        <f>'2025'!R\Max</f>
        <v>0.93152842955841542</v>
      </c>
      <c r="CE98" s="1187">
        <f>'2026'!R\Max</f>
        <v>0.93170922868093131</v>
      </c>
      <c r="CF98" s="1188">
        <f>'2027'!R\Max</f>
        <v>0.93168873739234992</v>
      </c>
    </row>
    <row r="99" spans="1:84" s="6" customFormat="1" ht="11.25" x14ac:dyDescent="0.2">
      <c r="A99" s="11">
        <v>43185</v>
      </c>
      <c r="B99" s="380">
        <f>'2022'!Maxi_hp</f>
        <v>50.66707986781163</v>
      </c>
      <c r="C99" s="13">
        <f>'2022'!An_max</f>
        <v>2019</v>
      </c>
      <c r="D99" s="1061"/>
      <c r="E99" s="13"/>
      <c r="F99" s="13">
        <f t="shared" si="74"/>
        <v>7</v>
      </c>
      <c r="G99" s="13">
        <f t="shared" si="58"/>
        <v>8</v>
      </c>
      <c r="H99" s="173">
        <f t="shared" si="59"/>
        <v>43178</v>
      </c>
      <c r="I99" s="752">
        <f t="shared" si="60"/>
        <v>0.5</v>
      </c>
      <c r="J99" s="745">
        <f t="shared" si="61"/>
        <v>49.025000000372529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4">
        <v>43185</v>
      </c>
      <c r="AP99" s="13">
        <f t="shared" si="62"/>
        <v>5</v>
      </c>
      <c r="AQ99" s="13">
        <f t="shared" si="63"/>
        <v>4</v>
      </c>
      <c r="AR99" s="173">
        <f t="shared" si="64"/>
        <v>43192</v>
      </c>
      <c r="AS99" s="752">
        <f t="shared" si="65"/>
        <v>0.25</v>
      </c>
      <c r="AT99" s="768">
        <f t="shared" si="66"/>
        <v>49.250781250651926</v>
      </c>
      <c r="AU99" s="13">
        <f t="shared" si="67"/>
        <v>5</v>
      </c>
      <c r="AV99" s="13">
        <f t="shared" si="68"/>
        <v>4</v>
      </c>
      <c r="AW99" s="173">
        <f t="shared" si="69"/>
        <v>43206</v>
      </c>
      <c r="AX99" s="752">
        <f t="shared" si="70"/>
        <v>0.75</v>
      </c>
      <c r="AY99" s="768">
        <f t="shared" si="71"/>
        <v>48.778124999697319</v>
      </c>
      <c r="AZ99" s="745">
        <f t="shared" si="75"/>
        <v>49.014453125174626</v>
      </c>
      <c r="BA99" s="642">
        <f t="shared" si="72"/>
        <v>1.033494744873567</v>
      </c>
      <c r="BC99" s="11">
        <v>43185</v>
      </c>
      <c r="BD99" s="290">
        <f>[2]!FeuilCaduc*(1-Persistant)+Persistant</f>
        <v>0.70743230670717538</v>
      </c>
      <c r="BE99" s="291">
        <f>[2]!CroissVégét</f>
        <v>4.0837082604545251E-2</v>
      </c>
      <c r="BF99" s="815">
        <f>1+[2]!Salcycl*Ksac</f>
        <v>1.0012387177845292</v>
      </c>
      <c r="BH99" s="1052">
        <f t="shared" si="73"/>
        <v>7.150686297803216E-3</v>
      </c>
      <c r="BI99" s="11">
        <v>44281</v>
      </c>
      <c r="BJ99" s="725">
        <v>1.9577384233997796E-4</v>
      </c>
      <c r="BK99" s="725">
        <v>1.0425178294493933E-3</v>
      </c>
      <c r="BL99" s="725">
        <v>2.5598794479289597E-3</v>
      </c>
      <c r="BM99" s="725">
        <v>5.2763147161950259E-3</v>
      </c>
      <c r="BN99" s="725">
        <v>9.9705756282885763E-3</v>
      </c>
      <c r="BO99" s="726">
        <v>1.7461730116846531E-2</v>
      </c>
      <c r="BP99" s="725">
        <v>2.7823003371863202E-2</v>
      </c>
      <c r="BQ99" s="725">
        <v>4.0226190410326296E-2</v>
      </c>
      <c r="BR99" s="725">
        <v>5.4924487382472367E-2</v>
      </c>
      <c r="BS99" s="725">
        <v>7.1888877972013432E-2</v>
      </c>
      <c r="BT99" s="725">
        <v>9.0920850202399817E-2</v>
      </c>
      <c r="BW99" s="1189">
        <f>'2018'!R\Max</f>
        <v>0</v>
      </c>
      <c r="BX99" s="1187">
        <f>'2019'!R\Max</f>
        <v>1.033494744873567</v>
      </c>
      <c r="BY99" s="1187">
        <f>'2020'!R\Max</f>
        <v>1.020300408270973</v>
      </c>
      <c r="BZ99" s="1187">
        <f>'2021'!R\Max</f>
        <v>0.80382176290645135</v>
      </c>
      <c r="CA99" s="1187">
        <f>'2022'!R\Max</f>
        <v>0.98198747617418514</v>
      </c>
      <c r="CB99" s="1187">
        <f>'2023'!R\Max</f>
        <v>0.98197794690755369</v>
      </c>
      <c r="CC99" s="1187">
        <f>'2024'!R\Max</f>
        <v>0.9819684106330473</v>
      </c>
      <c r="CD99" s="1187">
        <f>'2025'!R\Max</f>
        <v>0.98195785311134987</v>
      </c>
      <c r="CE99" s="1187">
        <f>'2026'!R\Max</f>
        <v>0.98200725584698367</v>
      </c>
      <c r="CF99" s="1188">
        <f>'2027'!R\Max</f>
        <v>0.98200168981051883</v>
      </c>
    </row>
    <row r="100" spans="1:84" s="6" customFormat="1" ht="11.25" x14ac:dyDescent="0.2">
      <c r="A100" s="11">
        <v>43186</v>
      </c>
      <c r="B100" s="380">
        <f>'2022'!Maxi_hp</f>
        <v>49.81019451356466</v>
      </c>
      <c r="C100" s="13">
        <f>'2022'!An_max</f>
        <v>2019</v>
      </c>
      <c r="D100" s="1061"/>
      <c r="E100" s="13"/>
      <c r="F100" s="13">
        <f t="shared" si="74"/>
        <v>7</v>
      </c>
      <c r="G100" s="13">
        <f t="shared" si="58"/>
        <v>8</v>
      </c>
      <c r="H100" s="173">
        <f t="shared" si="59"/>
        <v>43178</v>
      </c>
      <c r="I100" s="752">
        <f t="shared" si="60"/>
        <v>0.5714285714285714</v>
      </c>
      <c r="J100" s="745">
        <f t="shared" si="61"/>
        <v>49.501749271287451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4">
        <v>43186</v>
      </c>
      <c r="AP100" s="13">
        <f t="shared" si="62"/>
        <v>5</v>
      </c>
      <c r="AQ100" s="13">
        <f t="shared" si="63"/>
        <v>4</v>
      </c>
      <c r="AR100" s="173">
        <f t="shared" si="64"/>
        <v>43192</v>
      </c>
      <c r="AS100" s="752">
        <f t="shared" si="65"/>
        <v>0.21428571428571427</v>
      </c>
      <c r="AT100" s="768">
        <f t="shared" si="66"/>
        <v>49.699471574755655</v>
      </c>
      <c r="AU100" s="13">
        <f t="shared" si="67"/>
        <v>5</v>
      </c>
      <c r="AV100" s="13">
        <f t="shared" si="68"/>
        <v>4</v>
      </c>
      <c r="AW100" s="173">
        <f t="shared" si="69"/>
        <v>43206</v>
      </c>
      <c r="AX100" s="752">
        <f t="shared" si="70"/>
        <v>0.7142857142857143</v>
      </c>
      <c r="AY100" s="768">
        <f t="shared" si="71"/>
        <v>49.227113702733597</v>
      </c>
      <c r="AZ100" s="745">
        <f t="shared" si="75"/>
        <v>49.463292638744626</v>
      </c>
      <c r="BA100" s="642">
        <f t="shared" si="72"/>
        <v>1.0062309968196643</v>
      </c>
      <c r="BC100" s="11">
        <v>43186</v>
      </c>
      <c r="BD100" s="290">
        <f>[2]!FeuilCaduc*(1-Persistant)+Persistant</f>
        <v>0.70798769190582989</v>
      </c>
      <c r="BE100" s="291">
        <f>[2]!CroissVégét</f>
        <v>4.2531012940474407E-2</v>
      </c>
      <c r="BF100" s="815">
        <f>1+[2]!Salcycl*Ksac</f>
        <v>1.001331281984305</v>
      </c>
      <c r="BH100" s="1052">
        <f t="shared" si="73"/>
        <v>6.7847247895335E-3</v>
      </c>
      <c r="BI100" s="11">
        <v>44282</v>
      </c>
      <c r="BJ100" s="725">
        <v>1.6832377292310709E-4</v>
      </c>
      <c r="BK100" s="725">
        <v>9.3732299954071786E-4</v>
      </c>
      <c r="BL100" s="725">
        <v>2.3596708669591767E-3</v>
      </c>
      <c r="BM100" s="725">
        <v>4.9539662369057587E-3</v>
      </c>
      <c r="BN100" s="725">
        <v>9.53900070787643E-3</v>
      </c>
      <c r="BO100" s="726">
        <v>1.6931776952685714E-2</v>
      </c>
      <c r="BP100" s="725">
        <v>2.7185665035133685E-2</v>
      </c>
      <c r="BQ100" s="725">
        <v>3.9548048599413348E-2</v>
      </c>
      <c r="BR100" s="725">
        <v>5.4406939756022128E-2</v>
      </c>
      <c r="BS100" s="725">
        <v>7.1696842427879853E-2</v>
      </c>
      <c r="BT100" s="725">
        <v>9.1119068214400981E-2</v>
      </c>
      <c r="BW100" s="1189">
        <f>'2018'!R\Max</f>
        <v>0</v>
      </c>
      <c r="BX100" s="1187">
        <f>'2019'!R\Max</f>
        <v>1.0062309968196643</v>
      </c>
      <c r="BY100" s="1187">
        <f>'2020'!R\Max</f>
        <v>0.59529118159827121</v>
      </c>
      <c r="BZ100" s="1187">
        <f>'2021'!R\Max</f>
        <v>0.92103720920113752</v>
      </c>
      <c r="CA100" s="1187">
        <f>'2022'!R\Max</f>
        <v>0.93217820736240176</v>
      </c>
      <c r="CB100" s="1187">
        <f>'2023'!R\Max</f>
        <v>0.93214480014118939</v>
      </c>
      <c r="CC100" s="1187">
        <f>'2024'!R\Max</f>
        <v>0.93211137058329441</v>
      </c>
      <c r="CD100" s="1187">
        <f>'2025'!R\Max</f>
        <v>0.93207419760274601</v>
      </c>
      <c r="CE100" s="1187">
        <f>'2026'!R\Max</f>
        <v>0.93224731899798507</v>
      </c>
      <c r="CF100" s="1188">
        <f>'2027'!R\Max</f>
        <v>0.9322279210269897</v>
      </c>
    </row>
    <row r="101" spans="1:84" s="6" customFormat="1" ht="11.25" x14ac:dyDescent="0.2">
      <c r="A101" s="11">
        <v>43187</v>
      </c>
      <c r="B101" s="380">
        <f>'2022'!Maxi_hp</f>
        <v>49.482894626918331</v>
      </c>
      <c r="C101" s="13">
        <f>'2022'!An_max</f>
        <v>2021</v>
      </c>
      <c r="D101" s="1061"/>
      <c r="E101" s="13"/>
      <c r="F101" s="13">
        <f t="shared" si="74"/>
        <v>7</v>
      </c>
      <c r="G101" s="13">
        <f t="shared" si="58"/>
        <v>8</v>
      </c>
      <c r="H101" s="173">
        <f t="shared" si="59"/>
        <v>43178</v>
      </c>
      <c r="I101" s="752">
        <f t="shared" si="60"/>
        <v>0.6428571428571429</v>
      </c>
      <c r="J101" s="745">
        <f t="shared" si="61"/>
        <v>49.973688047033335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4">
        <v>43187</v>
      </c>
      <c r="AP101" s="13">
        <f t="shared" si="62"/>
        <v>5</v>
      </c>
      <c r="AQ101" s="13">
        <f t="shared" si="63"/>
        <v>4</v>
      </c>
      <c r="AR101" s="173">
        <f t="shared" si="64"/>
        <v>43192</v>
      </c>
      <c r="AS101" s="752">
        <f t="shared" si="65"/>
        <v>0.17857142857142858</v>
      </c>
      <c r="AT101" s="768">
        <f t="shared" si="66"/>
        <v>50.140335732884708</v>
      </c>
      <c r="AU101" s="13">
        <f t="shared" si="67"/>
        <v>5</v>
      </c>
      <c r="AV101" s="13">
        <f t="shared" si="68"/>
        <v>4</v>
      </c>
      <c r="AW101" s="173">
        <f t="shared" si="69"/>
        <v>43206</v>
      </c>
      <c r="AX101" s="752">
        <f t="shared" si="70"/>
        <v>0.6785714285714286</v>
      </c>
      <c r="AY101" s="768">
        <f t="shared" si="71"/>
        <v>49.67628462041862</v>
      </c>
      <c r="AZ101" s="745">
        <f t="shared" si="75"/>
        <v>49.908310176651668</v>
      </c>
      <c r="BA101" s="642">
        <f t="shared" si="72"/>
        <v>0.99017896338462974</v>
      </c>
      <c r="BC101" s="11">
        <v>43187</v>
      </c>
      <c r="BD101" s="290">
        <f>[2]!FeuilCaduc*(1-Persistant)+Persistant</f>
        <v>0.70858939304563417</v>
      </c>
      <c r="BE101" s="291">
        <f>[2]!CroissVégét</f>
        <v>4.4289656039802887E-2</v>
      </c>
      <c r="BF101" s="815">
        <f>1+[2]!Salcycl*Ksac</f>
        <v>1.0014315655076058</v>
      </c>
      <c r="BH101" s="1052">
        <f t="shared" si="73"/>
        <v>6.4261211086155349E-3</v>
      </c>
      <c r="BI101" s="11">
        <v>44283</v>
      </c>
      <c r="BJ101" s="725">
        <v>1.4324556781080222E-4</v>
      </c>
      <c r="BK101" s="725">
        <v>8.3806487982271752E-4</v>
      </c>
      <c r="BL101" s="725">
        <v>2.1683830132739512E-3</v>
      </c>
      <c r="BM101" s="725">
        <v>4.6416434583411697E-3</v>
      </c>
      <c r="BN101" s="725">
        <v>9.1107699455237647E-3</v>
      </c>
      <c r="BO101" s="726">
        <v>1.6385300335974462E-2</v>
      </c>
      <c r="BP101" s="725">
        <v>2.6509827115528004E-2</v>
      </c>
      <c r="BQ101" s="725">
        <v>3.8809247252323736E-2</v>
      </c>
      <c r="BR101" s="725">
        <v>5.3799625816462318E-2</v>
      </c>
      <c r="BS101" s="725">
        <v>7.1370565215983353E-2</v>
      </c>
      <c r="BT101" s="725">
        <v>9.1127110057983615E-2</v>
      </c>
      <c r="BW101" s="1189">
        <f>'2018'!R\Max</f>
        <v>0</v>
      </c>
      <c r="BX101" s="1187">
        <f>'2019'!R\Max</f>
        <v>0.97808348696361269</v>
      </c>
      <c r="BY101" s="1187">
        <f>'2020'!R\Max</f>
        <v>0.9714981317559388</v>
      </c>
      <c r="BZ101" s="1187">
        <f>'2021'!R\Max</f>
        <v>0.99017896338462974</v>
      </c>
      <c r="CA101" s="1187">
        <f>'2022'!R\Max</f>
        <v>0.69859608129497541</v>
      </c>
      <c r="CB101" s="1187">
        <f>'2023'!R\Max</f>
        <v>0.69848718331043713</v>
      </c>
      <c r="CC101" s="1187">
        <f>'2024'!R\Max</f>
        <v>0.6983782403879768</v>
      </c>
      <c r="CD101" s="1187">
        <f>'2025'!R\Max</f>
        <v>0.69825654815510541</v>
      </c>
      <c r="CE101" s="1187">
        <f>'2026'!R\Max</f>
        <v>0.698820572079487</v>
      </c>
      <c r="CF101" s="1188">
        <f>'2027'!R\Max</f>
        <v>0.6987576996640229</v>
      </c>
    </row>
    <row r="102" spans="1:84" s="6" customFormat="1" ht="11.25" x14ac:dyDescent="0.2">
      <c r="A102" s="11">
        <v>43188</v>
      </c>
      <c r="B102" s="380">
        <f>'2022'!Maxi_hp</f>
        <v>51.787106415664866</v>
      </c>
      <c r="C102" s="13">
        <f>'2022'!An_max</f>
        <v>2021</v>
      </c>
      <c r="D102" s="1061"/>
      <c r="E102" s="13"/>
      <c r="F102" s="13">
        <f t="shared" si="74"/>
        <v>7</v>
      </c>
      <c r="G102" s="13">
        <f t="shared" si="58"/>
        <v>8</v>
      </c>
      <c r="H102" s="173">
        <f t="shared" si="59"/>
        <v>43178</v>
      </c>
      <c r="I102" s="752">
        <f t="shared" si="60"/>
        <v>0.7142857142857143</v>
      </c>
      <c r="J102" s="745">
        <f t="shared" si="61"/>
        <v>50.439067055976821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4">
        <v>43188</v>
      </c>
      <c r="AP102" s="13">
        <f t="shared" si="62"/>
        <v>5</v>
      </c>
      <c r="AQ102" s="13">
        <f t="shared" si="63"/>
        <v>4</v>
      </c>
      <c r="AR102" s="173">
        <f t="shared" si="64"/>
        <v>43192</v>
      </c>
      <c r="AS102" s="752">
        <f t="shared" si="65"/>
        <v>0.14285714285714285</v>
      </c>
      <c r="AT102" s="768">
        <f t="shared" si="66"/>
        <v>50.572594753227065</v>
      </c>
      <c r="AU102" s="13">
        <f t="shared" si="67"/>
        <v>5</v>
      </c>
      <c r="AV102" s="13">
        <f t="shared" si="68"/>
        <v>4</v>
      </c>
      <c r="AW102" s="173">
        <f t="shared" si="69"/>
        <v>43206</v>
      </c>
      <c r="AX102" s="752">
        <f t="shared" si="70"/>
        <v>0.6428571428571429</v>
      </c>
      <c r="AY102" s="768">
        <f t="shared" si="71"/>
        <v>50.124927113877078</v>
      </c>
      <c r="AZ102" s="745">
        <f t="shared" si="75"/>
        <v>50.348760933552072</v>
      </c>
      <c r="BA102" s="642">
        <f t="shared" si="72"/>
        <v>1.0267260962260067</v>
      </c>
      <c r="BC102" s="11">
        <v>43188</v>
      </c>
      <c r="BD102" s="290">
        <f>[2]!FeuilCaduc*(1-Persistant)+Persistant</f>
        <v>0.70923967463155169</v>
      </c>
      <c r="BE102" s="291">
        <f>[2]!CroissVégét</f>
        <v>4.6115220608575654E-2</v>
      </c>
      <c r="BF102" s="815">
        <f>1+[2]!Salcycl*Ksac</f>
        <v>1.0015399457719254</v>
      </c>
      <c r="BH102" s="1052">
        <f t="shared" si="73"/>
        <v>6.0748742439331992E-3</v>
      </c>
      <c r="BI102" s="11">
        <v>44284</v>
      </c>
      <c r="BJ102" s="725">
        <v>1.2053895283390548E-4</v>
      </c>
      <c r="BK102" s="725">
        <v>7.4474285879554548E-4</v>
      </c>
      <c r="BL102" s="725">
        <v>1.9860149402368154E-3</v>
      </c>
      <c r="BM102" s="725">
        <v>4.3393452188306512E-3</v>
      </c>
      <c r="BN102" s="725">
        <v>8.685882556615435E-3</v>
      </c>
      <c r="BO102" s="726">
        <v>1.5822301115377989E-2</v>
      </c>
      <c r="BP102" s="725">
        <v>2.5795491592091834E-2</v>
      </c>
      <c r="BQ102" s="725">
        <v>3.8009788393774419E-2</v>
      </c>
      <c r="BR102" s="725">
        <v>5.3102546679907547E-2</v>
      </c>
      <c r="BS102" s="725">
        <v>7.0910047274792928E-2</v>
      </c>
      <c r="BT102" s="725">
        <v>9.0944977319993514E-2</v>
      </c>
      <c r="BW102" s="1189">
        <f>'2018'!R\Max</f>
        <v>0</v>
      </c>
      <c r="BX102" s="1187">
        <f>'2019'!R\Max</f>
        <v>0.98502341510219926</v>
      </c>
      <c r="BY102" s="1187">
        <f>'2020'!R\Max</f>
        <v>0.98498126903887906</v>
      </c>
      <c r="BZ102" s="1187">
        <f>'2021'!R\Max</f>
        <v>1.0267260962260067</v>
      </c>
      <c r="CA102" s="1187">
        <f>'2022'!R\Max</f>
        <v>0.59610339894379583</v>
      </c>
      <c r="CB102" s="1187">
        <f>'2023'!R\Max</f>
        <v>0.5959817697815416</v>
      </c>
      <c r="CC102" s="1187">
        <f>'2024'!R\Max</f>
        <v>0.59586010419351965</v>
      </c>
      <c r="CD102" s="1187">
        <f>'2025'!R\Max</f>
        <v>0.59572351304955107</v>
      </c>
      <c r="CE102" s="1187">
        <f>'2026'!R\Max</f>
        <v>0.59635306342164418</v>
      </c>
      <c r="CF102" s="1188">
        <f>'2027'!R\Max</f>
        <v>0.59628328171501332</v>
      </c>
    </row>
    <row r="103" spans="1:84" s="6" customFormat="1" ht="11.25" x14ac:dyDescent="0.2">
      <c r="A103" s="11">
        <v>43189</v>
      </c>
      <c r="B103" s="380">
        <f>'2022'!Maxi_hp</f>
        <v>50.64313114829168</v>
      </c>
      <c r="C103" s="13">
        <f>'2022'!An_max</f>
        <v>2019</v>
      </c>
      <c r="D103" s="1061"/>
      <c r="E103" s="13"/>
      <c r="F103" s="13">
        <f t="shared" si="74"/>
        <v>7</v>
      </c>
      <c r="G103" s="13">
        <f t="shared" si="58"/>
        <v>8</v>
      </c>
      <c r="H103" s="173">
        <f t="shared" si="59"/>
        <v>43178</v>
      </c>
      <c r="I103" s="752">
        <f t="shared" si="60"/>
        <v>0.7857142857142857</v>
      </c>
      <c r="J103" s="745">
        <f t="shared" si="61"/>
        <v>50.896137027442457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4">
        <v>43189</v>
      </c>
      <c r="AP103" s="13">
        <f t="shared" si="62"/>
        <v>5</v>
      </c>
      <c r="AQ103" s="13">
        <f t="shared" si="63"/>
        <v>4</v>
      </c>
      <c r="AR103" s="173">
        <f t="shared" si="64"/>
        <v>43192</v>
      </c>
      <c r="AS103" s="752">
        <f t="shared" si="65"/>
        <v>0.10714285714285714</v>
      </c>
      <c r="AT103" s="768">
        <f t="shared" si="66"/>
        <v>50.995469661229961</v>
      </c>
      <c r="AU103" s="13">
        <f t="shared" si="67"/>
        <v>5</v>
      </c>
      <c r="AV103" s="13">
        <f t="shared" si="68"/>
        <v>4</v>
      </c>
      <c r="AW103" s="173">
        <f t="shared" si="69"/>
        <v>43206</v>
      </c>
      <c r="AX103" s="752">
        <f t="shared" si="70"/>
        <v>0.6071428571428571</v>
      </c>
      <c r="AY103" s="768">
        <f t="shared" si="71"/>
        <v>50.572330539048252</v>
      </c>
      <c r="AZ103" s="745">
        <f t="shared" si="75"/>
        <v>50.783900100139107</v>
      </c>
      <c r="BA103" s="642">
        <f t="shared" si="72"/>
        <v>0.99502897677648183</v>
      </c>
      <c r="BC103" s="11">
        <v>43189</v>
      </c>
      <c r="BD103" s="290">
        <f>[2]!FeuilCaduc*(1-Persistant)+Persistant</f>
        <v>0.70994077473225081</v>
      </c>
      <c r="BE103" s="291">
        <f>[2]!CroissVégét</f>
        <v>4.8009969311812332E-2</v>
      </c>
      <c r="BF103" s="815">
        <f>1+[2]!Salcycl*Ksac</f>
        <v>1.0016567957887086</v>
      </c>
      <c r="BH103" s="1052">
        <f t="shared" si="73"/>
        <v>5.7309835377756819E-3</v>
      </c>
      <c r="BI103" s="11">
        <v>44285</v>
      </c>
      <c r="BJ103" s="725">
        <v>1.0020365177713717E-4</v>
      </c>
      <c r="BK103" s="725">
        <v>6.5735636661332054E-4</v>
      </c>
      <c r="BL103" s="725">
        <v>1.8125658177865084E-3</v>
      </c>
      <c r="BM103" s="725">
        <v>4.0470706124123889E-3</v>
      </c>
      <c r="BN103" s="725">
        <v>8.2643382569206562E-3</v>
      </c>
      <c r="BO103" s="726">
        <v>1.5242781077549054E-2</v>
      </c>
      <c r="BP103" s="725">
        <v>2.5042661863859884E-2</v>
      </c>
      <c r="BQ103" s="725">
        <v>3.7149675867707579E-2</v>
      </c>
      <c r="BR103" s="725">
        <v>5.2315705531350273E-2</v>
      </c>
      <c r="BS103" s="725">
        <v>7.0315291890833687E-2</v>
      </c>
      <c r="BT103" s="725">
        <v>9.0572674311216253E-2</v>
      </c>
      <c r="BW103" s="1189">
        <f>'2018'!R\Max</f>
        <v>0</v>
      </c>
      <c r="BX103" s="1187">
        <f>'2019'!R\Max</f>
        <v>0.99502897677648183</v>
      </c>
      <c r="BY103" s="1187">
        <f>'2020'!R\Max</f>
        <v>0.54017947691142387</v>
      </c>
      <c r="BZ103" s="1187">
        <f>'2021'!R\Max</f>
        <v>0.94586727807427795</v>
      </c>
      <c r="CA103" s="1187">
        <f>'2022'!R\Max</f>
        <v>0.17334942038073822</v>
      </c>
      <c r="CB103" s="1187">
        <f>'2023'!R\Max</f>
        <v>0.17328965481309608</v>
      </c>
      <c r="CC103" s="1187">
        <f>'2024'!R\Max</f>
        <v>0.17322988924545393</v>
      </c>
      <c r="CD103" s="1187">
        <f>'2025'!R\Max</f>
        <v>0.17316243800853545</v>
      </c>
      <c r="CE103" s="1187">
        <f>'2026'!R\Max</f>
        <v>0.173471536423144</v>
      </c>
      <c r="CF103" s="1188">
        <f>'2027'!R\Max</f>
        <v>0.1734374603375313</v>
      </c>
    </row>
    <row r="104" spans="1:84" s="6" customFormat="1" ht="11.25" x14ac:dyDescent="0.2">
      <c r="A104" s="11">
        <v>43190</v>
      </c>
      <c r="B104" s="380">
        <f>'2022'!Maxi_hp</f>
        <v>46.771911898558628</v>
      </c>
      <c r="C104" s="13">
        <f>'2022'!An_max</f>
        <v>2021</v>
      </c>
      <c r="D104" s="1061"/>
      <c r="E104" s="13"/>
      <c r="F104" s="13">
        <f t="shared" si="74"/>
        <v>7</v>
      </c>
      <c r="G104" s="13">
        <f t="shared" si="58"/>
        <v>8</v>
      </c>
      <c r="H104" s="173">
        <f t="shared" si="59"/>
        <v>43178</v>
      </c>
      <c r="I104" s="752">
        <f t="shared" si="60"/>
        <v>0.8571428571428571</v>
      </c>
      <c r="J104" s="745">
        <f t="shared" si="61"/>
        <v>51.343148688945391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4">
        <v>43190</v>
      </c>
      <c r="AP104" s="13">
        <f t="shared" si="62"/>
        <v>5</v>
      </c>
      <c r="AQ104" s="13">
        <f t="shared" si="63"/>
        <v>4</v>
      </c>
      <c r="AR104" s="173">
        <f t="shared" si="64"/>
        <v>43192</v>
      </c>
      <c r="AS104" s="752">
        <f t="shared" si="65"/>
        <v>7.1428571428571425E-2</v>
      </c>
      <c r="AT104" s="768">
        <f t="shared" si="66"/>
        <v>51.408181487662453</v>
      </c>
      <c r="AU104" s="13">
        <f t="shared" si="67"/>
        <v>5</v>
      </c>
      <c r="AV104" s="13">
        <f t="shared" si="68"/>
        <v>4</v>
      </c>
      <c r="AW104" s="173">
        <f t="shared" si="69"/>
        <v>43206</v>
      </c>
      <c r="AX104" s="752">
        <f t="shared" si="70"/>
        <v>0.5714285714285714</v>
      </c>
      <c r="AY104" s="768">
        <f t="shared" si="71"/>
        <v>51.017784256594517</v>
      </c>
      <c r="AZ104" s="745">
        <f t="shared" si="75"/>
        <v>51.212982872128485</v>
      </c>
      <c r="BA104" s="642">
        <f t="shared" si="72"/>
        <v>0.91096695650512394</v>
      </c>
      <c r="BC104" s="11">
        <v>43190</v>
      </c>
      <c r="BD104" s="290">
        <f>[2]!FeuilCaduc*(1-Persistant)+Persistant</f>
        <v>0.71069489950519638</v>
      </c>
      <c r="BE104" s="291">
        <f>[2]!CroissVégét</f>
        <v>4.9976218279140845E-2</v>
      </c>
      <c r="BF104" s="815">
        <f>1+[2]!Salcycl*Ksac</f>
        <v>1.0017824832508662</v>
      </c>
      <c r="BH104" s="1052">
        <f t="shared" si="73"/>
        <v>5.3944486623439735E-3</v>
      </c>
      <c r="BI104" s="11">
        <v>44286</v>
      </c>
      <c r="BJ104" s="725">
        <v>8.2239378786836854E-5</v>
      </c>
      <c r="BK104" s="725">
        <v>5.7590485609027768E-4</v>
      </c>
      <c r="BL104" s="725">
        <v>1.6480349039048221E-3</v>
      </c>
      <c r="BM104" s="725">
        <v>3.7648189567866214E-3</v>
      </c>
      <c r="BN104" s="725">
        <v>7.8461372519673788E-3</v>
      </c>
      <c r="BO104" s="726">
        <v>1.4646743000157817E-2</v>
      </c>
      <c r="BP104" s="725">
        <v>2.4251342873284253E-2</v>
      </c>
      <c r="BQ104" s="725">
        <v>3.6228915531671534E-2</v>
      </c>
      <c r="BR104" s="725">
        <v>5.1439107912172148E-2</v>
      </c>
      <c r="BS104" s="725">
        <v>6.958630512850715E-2</v>
      </c>
      <c r="BT104" s="725">
        <v>9.0010208675192147E-2</v>
      </c>
      <c r="BW104" s="1189">
        <f>'2018'!R\Max</f>
        <v>0</v>
      </c>
      <c r="BX104" s="1187">
        <f>'2019'!R\Max</f>
        <v>0.82753649014655506</v>
      </c>
      <c r="BY104" s="1187">
        <f>'2020'!R\Max</f>
        <v>0.4018980656121342</v>
      </c>
      <c r="BZ104" s="1187">
        <f>'2021'!R\Max</f>
        <v>0.91096695650512394</v>
      </c>
      <c r="CA104" s="1187">
        <f>'2022'!R\Max</f>
        <v>0.61881584654023469</v>
      </c>
      <c r="CB104" s="1187">
        <f>'2023'!R\Max</f>
        <v>0.61870288009941443</v>
      </c>
      <c r="CC104" s="1187">
        <f>'2024'!R\Max</f>
        <v>0.61858987913030306</v>
      </c>
      <c r="CD104" s="1187">
        <f>'2025'!R\Max</f>
        <v>0.61909320197402373</v>
      </c>
      <c r="CE104" s="1187">
        <f>'2026'!R\Max</f>
        <v>0.61904523895155661</v>
      </c>
      <c r="CF104" s="1188">
        <f>'2027'!R\Max</f>
        <v>0.61898134466452315</v>
      </c>
    </row>
    <row r="105" spans="1:84" s="6" customFormat="1" ht="11.25" x14ac:dyDescent="0.2">
      <c r="A105" s="11">
        <v>43191</v>
      </c>
      <c r="B105" s="380">
        <f>'2022'!Maxi_hp</f>
        <v>47.56351472577898</v>
      </c>
      <c r="C105" s="13">
        <f>'2022'!An_max</f>
        <v>2021</v>
      </c>
      <c r="D105" s="1061"/>
      <c r="E105" s="13"/>
      <c r="F105" s="13">
        <f t="shared" si="74"/>
        <v>7</v>
      </c>
      <c r="G105" s="13">
        <f t="shared" si="58"/>
        <v>8</v>
      </c>
      <c r="H105" s="173">
        <f t="shared" si="59"/>
        <v>43178</v>
      </c>
      <c r="I105" s="752">
        <f t="shared" si="60"/>
        <v>0.9285714285714286</v>
      </c>
      <c r="J105" s="745">
        <f t="shared" si="61"/>
        <v>51.778352770674971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4">
        <v>43191</v>
      </c>
      <c r="AP105" s="13">
        <f t="shared" si="62"/>
        <v>5</v>
      </c>
      <c r="AQ105" s="13">
        <f t="shared" si="63"/>
        <v>4</v>
      </c>
      <c r="AR105" s="173">
        <f t="shared" si="64"/>
        <v>43192</v>
      </c>
      <c r="AS105" s="752">
        <f t="shared" si="65"/>
        <v>3.5714285714285712E-2</v>
      </c>
      <c r="AT105" s="768">
        <f t="shared" si="66"/>
        <v>51.809951258304395</v>
      </c>
      <c r="AU105" s="13">
        <f t="shared" si="67"/>
        <v>5</v>
      </c>
      <c r="AV105" s="13">
        <f t="shared" si="68"/>
        <v>4</v>
      </c>
      <c r="AW105" s="173">
        <f t="shared" si="69"/>
        <v>43206</v>
      </c>
      <c r="AX105" s="752">
        <f t="shared" si="70"/>
        <v>0.5357142857142857</v>
      </c>
      <c r="AY105" s="768">
        <f t="shared" si="71"/>
        <v>51.460577624434201</v>
      </c>
      <c r="AZ105" s="745">
        <f t="shared" si="75"/>
        <v>51.635264441369301</v>
      </c>
      <c r="BA105" s="642">
        <f t="shared" si="72"/>
        <v>0.91859845245437988</v>
      </c>
      <c r="BC105" s="11">
        <v>43191</v>
      </c>
      <c r="BD105" s="290">
        <f>[2]!FeuilCaduc*(1-Persistant)+Persistant</f>
        <v>0.7115042179846699</v>
      </c>
      <c r="BE105" s="291">
        <f>[2]!CroissVégét</f>
        <v>5.201633641771132E-2</v>
      </c>
      <c r="BF105" s="815">
        <f>1+[2]!Salcycl*Ksac</f>
        <v>1.0019173696641117</v>
      </c>
      <c r="BH105" s="1052">
        <f t="shared" si="73"/>
        <v>5.0652695962457974E-3</v>
      </c>
      <c r="BI105" s="11">
        <v>44287</v>
      </c>
      <c r="BJ105" s="725">
        <v>6.664583077850931E-5</v>
      </c>
      <c r="BK105" s="725">
        <v>5.003877837056281E-4</v>
      </c>
      <c r="BL105" s="725">
        <v>1.4924215160808524E-3</v>
      </c>
      <c r="BM105" s="725">
        <v>3.4925897612607709E-3</v>
      </c>
      <c r="BN105" s="725">
        <v>7.4312802263999094E-3</v>
      </c>
      <c r="BO105" s="726">
        <v>1.4034190704890648E-2</v>
      </c>
      <c r="BP105" s="725">
        <v>2.3421541229611625E-2</v>
      </c>
      <c r="BQ105" s="725">
        <v>3.5247515451125526E-2</v>
      </c>
      <c r="BR105" s="725">
        <v>5.0472762007547939E-2</v>
      </c>
      <c r="BS105" s="725">
        <v>6.872309625976615E-2</v>
      </c>
      <c r="BT105" s="725">
        <v>8.9257591996843855E-2</v>
      </c>
      <c r="BW105" s="1189">
        <f>'2018'!R\Max</f>
        <v>0</v>
      </c>
      <c r="BX105" s="1187">
        <f>'2019'!R\Max</f>
        <v>0.74848887133290176</v>
      </c>
      <c r="BY105" s="1187">
        <f>'2020'!R\Max</f>
        <v>0.90223469297755632</v>
      </c>
      <c r="BZ105" s="1187">
        <f>'2021'!R\Max</f>
        <v>0.91859845245437988</v>
      </c>
      <c r="CA105" s="1187">
        <f>'2022'!R\Max</f>
        <v>0.70145988874353027</v>
      </c>
      <c r="CB105" s="1187">
        <f>'2023'!R\Max</f>
        <v>0.70136257857811524</v>
      </c>
      <c r="CC105" s="1187">
        <f>'2024'!R\Max</f>
        <v>0.70126523207802149</v>
      </c>
      <c r="CD105" s="1187">
        <f>'2025'!R\Max</f>
        <v>0.7016969739959823</v>
      </c>
      <c r="CE105" s="1187">
        <f>'2026'!R\Max</f>
        <v>0.70165618670527952</v>
      </c>
      <c r="CF105" s="1188">
        <f>'2027'!R\Max</f>
        <v>0.70160158738506673</v>
      </c>
    </row>
    <row r="106" spans="1:84" s="6" customFormat="1" ht="11.25" x14ac:dyDescent="0.2">
      <c r="A106" s="11">
        <v>43192</v>
      </c>
      <c r="B106" s="380">
        <f>'2022'!Maxi_hp</f>
        <v>43.51711445287431</v>
      </c>
      <c r="C106" s="13">
        <f>'2022'!An_max</f>
        <v>2021</v>
      </c>
      <c r="D106" s="1061"/>
      <c r="E106" s="1056">
        <f>T$13/10</f>
        <v>52.2</v>
      </c>
      <c r="F106" s="13">
        <f t="shared" si="74"/>
        <v>9</v>
      </c>
      <c r="G106" s="13">
        <f t="shared" si="58"/>
        <v>8</v>
      </c>
      <c r="H106" s="173">
        <f t="shared" si="59"/>
        <v>43206</v>
      </c>
      <c r="I106" s="752">
        <f t="shared" si="60"/>
        <v>1</v>
      </c>
      <c r="J106" s="745">
        <f t="shared" si="61"/>
        <v>52.2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4">
        <v>43192</v>
      </c>
      <c r="AP106" s="13">
        <f t="shared" si="62"/>
        <v>5</v>
      </c>
      <c r="AQ106" s="13">
        <f t="shared" si="63"/>
        <v>6</v>
      </c>
      <c r="AR106" s="173">
        <f t="shared" si="64"/>
        <v>43192</v>
      </c>
      <c r="AS106" s="752">
        <f t="shared" si="65"/>
        <v>0</v>
      </c>
      <c r="AT106" s="768">
        <f t="shared" si="66"/>
        <v>52.200000000745057</v>
      </c>
      <c r="AU106" s="13">
        <f t="shared" si="67"/>
        <v>5</v>
      </c>
      <c r="AV106" s="13">
        <f t="shared" si="68"/>
        <v>4</v>
      </c>
      <c r="AW106" s="173">
        <f t="shared" si="69"/>
        <v>43206</v>
      </c>
      <c r="AX106" s="752">
        <f t="shared" si="70"/>
        <v>0.5</v>
      </c>
      <c r="AY106" s="768">
        <f t="shared" si="71"/>
        <v>51.900000000093129</v>
      </c>
      <c r="AZ106" s="745">
        <f t="shared" si="75"/>
        <v>52.050000000419089</v>
      </c>
      <c r="BA106" s="642">
        <f t="shared" si="72"/>
        <v>0.83366119641521663</v>
      </c>
      <c r="BC106" s="11">
        <v>43192</v>
      </c>
      <c r="BD106" s="290">
        <f>[2]!FeuilCaduc*(1-Persistant)+Persistant</f>
        <v>0.71237085712429049</v>
      </c>
      <c r="BE106" s="291">
        <f>[2]!CroissVégét</f>
        <v>5.4132744516590045E-2</v>
      </c>
      <c r="BF106" s="815">
        <f>1+[2]!Salcycl*Ksac</f>
        <v>1.002061809520715</v>
      </c>
      <c r="BH106" s="1052">
        <f t="shared" si="73"/>
        <v>4.7434466010116616E-3</v>
      </c>
      <c r="BI106" s="11">
        <v>44288</v>
      </c>
      <c r="BJ106" s="725">
        <v>5.3422679844707789E-5</v>
      </c>
      <c r="BK106" s="725">
        <v>4.3080459061073953E-4</v>
      </c>
      <c r="BL106" s="725">
        <v>1.3457250027817801E-3</v>
      </c>
      <c r="BM106" s="725">
        <v>3.2303826947093833E-3</v>
      </c>
      <c r="BN106" s="725">
        <v>7.0197683333671724E-3</v>
      </c>
      <c r="BO106" s="726">
        <v>1.3405129110505882E-2</v>
      </c>
      <c r="BP106" s="725">
        <v>2.255326533235439E-2</v>
      </c>
      <c r="BQ106" s="725">
        <v>3.4205486093884456E-2</v>
      </c>
      <c r="BR106" s="725">
        <v>4.9416678934047158E-2</v>
      </c>
      <c r="BS106" s="725">
        <v>6.7725678194056643E-2</v>
      </c>
      <c r="BT106" s="725">
        <v>8.8314840411448312E-2</v>
      </c>
      <c r="BW106" s="1189">
        <f>'2018'!R\Max</f>
        <v>0</v>
      </c>
      <c r="BX106" s="1187">
        <f>'2019'!R\Max</f>
        <v>0.34040116305569823</v>
      </c>
      <c r="BY106" s="1187">
        <f>'2020'!R\Max</f>
        <v>0.81771558418176427</v>
      </c>
      <c r="BZ106" s="1187">
        <f>'2021'!R\Max</f>
        <v>0.83366119641521663</v>
      </c>
      <c r="CA106" s="1187">
        <f>'2022'!R\Max</f>
        <v>0.44260522496203214</v>
      </c>
      <c r="CB106" s="1187">
        <f>'2023'!R\Max</f>
        <v>0.44249429035060422</v>
      </c>
      <c r="CC106" s="1187">
        <f>'2024'!R\Max</f>
        <v>0.44238334148825642</v>
      </c>
      <c r="CD106" s="1187">
        <f>'2025'!R\Max</f>
        <v>0.44287337247947384</v>
      </c>
      <c r="CE106" s="1187">
        <f>'2026'!R\Max</f>
        <v>0.44282743659838564</v>
      </c>
      <c r="CF106" s="1188">
        <f>'2027'!R\Max</f>
        <v>0.44276568739751487</v>
      </c>
    </row>
    <row r="107" spans="1:84" s="6" customFormat="1" ht="11.25" x14ac:dyDescent="0.2">
      <c r="A107" s="11">
        <v>43193</v>
      </c>
      <c r="B107" s="380">
        <f>'2022'!Maxi_hp</f>
        <v>53.130196848122523</v>
      </c>
      <c r="C107" s="13">
        <f>'2022'!An_max</f>
        <v>2021</v>
      </c>
      <c r="D107" s="1061"/>
      <c r="E107" s="13"/>
      <c r="F107" s="13">
        <f t="shared" si="74"/>
        <v>9</v>
      </c>
      <c r="G107" s="13">
        <f t="shared" si="58"/>
        <v>8</v>
      </c>
      <c r="H107" s="173">
        <f t="shared" si="59"/>
        <v>43206</v>
      </c>
      <c r="I107" s="752">
        <f t="shared" si="60"/>
        <v>0.9285714285714286</v>
      </c>
      <c r="J107" s="745">
        <f t="shared" si="61"/>
        <v>52.610951166121026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4">
        <v>43193</v>
      </c>
      <c r="AP107" s="13">
        <f t="shared" si="62"/>
        <v>5</v>
      </c>
      <c r="AQ107" s="13">
        <f t="shared" si="63"/>
        <v>6</v>
      </c>
      <c r="AR107" s="173">
        <f t="shared" si="64"/>
        <v>43192</v>
      </c>
      <c r="AS107" s="752">
        <f t="shared" si="65"/>
        <v>3.5714285714285712E-2</v>
      </c>
      <c r="AT107" s="768">
        <f t="shared" si="66"/>
        <v>52.582174745574591</v>
      </c>
      <c r="AU107" s="13">
        <f t="shared" si="67"/>
        <v>5</v>
      </c>
      <c r="AV107" s="13">
        <f t="shared" si="68"/>
        <v>4</v>
      </c>
      <c r="AW107" s="173">
        <f t="shared" si="69"/>
        <v>43206</v>
      </c>
      <c r="AX107" s="752">
        <f t="shared" si="70"/>
        <v>0.4642857142857143</v>
      </c>
      <c r="AY107" s="768">
        <f t="shared" si="71"/>
        <v>52.33534074392103</v>
      </c>
      <c r="AZ107" s="745">
        <f t="shared" si="75"/>
        <v>52.458757744747814</v>
      </c>
      <c r="BA107" s="642">
        <f t="shared" si="72"/>
        <v>1.009869536104032</v>
      </c>
      <c r="BC107" s="11">
        <v>43193</v>
      </c>
      <c r="BD107" s="290">
        <f>[2]!FeuilCaduc*(1-Persistant)+Persistant</f>
        <v>0.71329689708078836</v>
      </c>
      <c r="BE107" s="291">
        <f>[2]!CroissVégét</f>
        <v>5.6327914126217182E-2</v>
      </c>
      <c r="BF107" s="815">
        <f>1+[2]!Salcycl*Ksac</f>
        <v>1.0022161495134647</v>
      </c>
      <c r="BH107" s="1052">
        <f t="shared" si="73"/>
        <v>4.4289801975947356E-3</v>
      </c>
      <c r="BI107" s="11">
        <v>44289</v>
      </c>
      <c r="BJ107" s="725">
        <v>4.2569565662610772E-5</v>
      </c>
      <c r="BK107" s="725">
        <v>3.671546836343668E-4</v>
      </c>
      <c r="BL107" s="725">
        <v>1.2079447149184195E-3</v>
      </c>
      <c r="BM107" s="725">
        <v>2.9781975535225556E-3</v>
      </c>
      <c r="BN107" s="725">
        <v>6.6116031838877772E-3</v>
      </c>
      <c r="BO107" s="726">
        <v>1.2759564285847222E-2</v>
      </c>
      <c r="BP107" s="725">
        <v>2.1646525494692606E-2</v>
      </c>
      <c r="BQ107" s="725">
        <v>3.3102840524461496E-2</v>
      </c>
      <c r="BR107" s="725">
        <v>4.8270873027093125E-2</v>
      </c>
      <c r="BS107" s="725">
        <v>6.6594067908068919E-2</v>
      </c>
      <c r="BT107" s="725">
        <v>8.7181975213364404E-2</v>
      </c>
      <c r="BW107" s="1189">
        <f>'2018'!R\Max</f>
        <v>0</v>
      </c>
      <c r="BX107" s="1187">
        <f>'2019'!R\Max</f>
        <v>0.30509955241303349</v>
      </c>
      <c r="BY107" s="1187">
        <f>'2020'!R\Max</f>
        <v>0.54773436890877558</v>
      </c>
      <c r="BZ107" s="1187">
        <f>'2021'!R\Max</f>
        <v>1.009869536104032</v>
      </c>
      <c r="CA107" s="1187">
        <f>'2022'!R\Max</f>
        <v>0.46017631032028317</v>
      </c>
      <c r="CB107" s="1187">
        <f>'2023'!R\Max</f>
        <v>0.46006850575372449</v>
      </c>
      <c r="CC107" s="1187">
        <f>'2024'!R\Max</f>
        <v>0.45996068617827918</v>
      </c>
      <c r="CD107" s="1187">
        <f>'2025'!R\Max</f>
        <v>0.46043448876490811</v>
      </c>
      <c r="CE107" s="1187">
        <f>'2026'!R\Max</f>
        <v>0.46039042971977528</v>
      </c>
      <c r="CF107" s="1188">
        <f>'2027'!R\Max</f>
        <v>0.46033098127713085</v>
      </c>
    </row>
    <row r="108" spans="1:84" s="6" customFormat="1" ht="11.25" x14ac:dyDescent="0.2">
      <c r="A108" s="11">
        <v>43194</v>
      </c>
      <c r="B108" s="380">
        <f>'2022'!Maxi_hp</f>
        <v>54.788293499905031</v>
      </c>
      <c r="C108" s="13">
        <f>'2022'!An_max</f>
        <v>2020</v>
      </c>
      <c r="D108" s="1061"/>
      <c r="E108" s="13"/>
      <c r="F108" s="13">
        <f t="shared" si="74"/>
        <v>9</v>
      </c>
      <c r="G108" s="13">
        <f t="shared" si="58"/>
        <v>8</v>
      </c>
      <c r="H108" s="173">
        <f t="shared" si="59"/>
        <v>43206</v>
      </c>
      <c r="I108" s="752">
        <f t="shared" si="60"/>
        <v>0.8571428571428571</v>
      </c>
      <c r="J108" s="745">
        <f t="shared" si="61"/>
        <v>53.015160351353032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4">
        <v>43194</v>
      </c>
      <c r="AP108" s="13">
        <f t="shared" si="62"/>
        <v>5</v>
      </c>
      <c r="AQ108" s="13">
        <f t="shared" si="63"/>
        <v>6</v>
      </c>
      <c r="AR108" s="173">
        <f t="shared" si="64"/>
        <v>43192</v>
      </c>
      <c r="AS108" s="752">
        <f t="shared" si="65"/>
        <v>7.1428571428571425E-2</v>
      </c>
      <c r="AT108" s="768">
        <f t="shared" si="66"/>
        <v>52.960714285927153</v>
      </c>
      <c r="AU108" s="13">
        <f t="shared" si="67"/>
        <v>5</v>
      </c>
      <c r="AV108" s="13">
        <f t="shared" si="68"/>
        <v>4</v>
      </c>
      <c r="AW108" s="173">
        <f t="shared" si="69"/>
        <v>43206</v>
      </c>
      <c r="AX108" s="752">
        <f t="shared" si="70"/>
        <v>0.42857142857142855</v>
      </c>
      <c r="AY108" s="768">
        <f t="shared" si="71"/>
        <v>52.765889212542348</v>
      </c>
      <c r="AZ108" s="745">
        <f t="shared" si="75"/>
        <v>52.863301749234751</v>
      </c>
      <c r="BA108" s="642">
        <f t="shared" si="72"/>
        <v>1.0334457754499038</v>
      </c>
      <c r="BC108" s="11">
        <v>43194</v>
      </c>
      <c r="BD108" s="290">
        <f>[2]!FeuilCaduc*(1-Persistant)+Persistant</f>
        <v>0.71428436672138496</v>
      </c>
      <c r="BE108" s="291">
        <f>[2]!CroissVégét</f>
        <v>5.8604366195922526E-2</v>
      </c>
      <c r="BF108" s="815">
        <f>1+[2]!Salcycl*Ksac</f>
        <v>1.0023807277868975</v>
      </c>
      <c r="BH108" s="1052">
        <f t="shared" si="73"/>
        <v>4.130003934694355E-3</v>
      </c>
      <c r="BI108" s="11">
        <v>44290</v>
      </c>
      <c r="BJ108" s="725">
        <v>3.4326022761277749E-5</v>
      </c>
      <c r="BK108" s="725">
        <v>3.1166430855264997E-4</v>
      </c>
      <c r="BL108" s="725">
        <v>1.0833913633867662E-3</v>
      </c>
      <c r="BM108" s="725">
        <v>2.743164761707734E-3</v>
      </c>
      <c r="BN108" s="725">
        <v>6.2164274727895853E-3</v>
      </c>
      <c r="BO108" s="726">
        <v>1.2111693685039178E-2</v>
      </c>
      <c r="BP108" s="725">
        <v>2.0715722251757943E-2</v>
      </c>
      <c r="BQ108" s="725">
        <v>3.1947611155300287E-2</v>
      </c>
      <c r="BR108" s="725">
        <v>4.7024413836572042E-2</v>
      </c>
      <c r="BS108" s="725">
        <v>6.5301520507295888E-2</v>
      </c>
      <c r="BT108" s="725">
        <v>8.5822261535165312E-2</v>
      </c>
      <c r="BW108" s="1189">
        <f>'2018'!R\Max</f>
        <v>0</v>
      </c>
      <c r="BX108" s="1187">
        <f>'2019'!R\Max</f>
        <v>0.79489272566606162</v>
      </c>
      <c r="BY108" s="1187">
        <f>'2020'!R\Max</f>
        <v>1.0334457754499038</v>
      </c>
      <c r="BZ108" s="1187">
        <f>'2021'!R\Max</f>
        <v>0.98818760836518116</v>
      </c>
      <c r="CA108" s="1187">
        <f>'2022'!R\Max</f>
        <v>0.91384455649608953</v>
      </c>
      <c r="CB108" s="1187">
        <f>'2023'!R\Max</f>
        <v>0.91381167783512862</v>
      </c>
      <c r="CC108" s="1187">
        <f>'2024'!R\Max</f>
        <v>0.91377878230785015</v>
      </c>
      <c r="CD108" s="1187">
        <f>'2025'!R\Max</f>
        <v>0.91392249432467221</v>
      </c>
      <c r="CE108" s="1187">
        <f>'2026'!R\Max</f>
        <v>0.91390924006896512</v>
      </c>
      <c r="CF108" s="1188">
        <f>'2027'!R\Max</f>
        <v>0.91389129682445136</v>
      </c>
    </row>
    <row r="109" spans="1:84" s="6" customFormat="1" ht="11.25" x14ac:dyDescent="0.2">
      <c r="A109" s="11">
        <v>43195</v>
      </c>
      <c r="B109" s="380">
        <f>'2022'!Maxi_hp</f>
        <v>55.766032914356472</v>
      </c>
      <c r="C109" s="13">
        <f>'2022'!An_max</f>
        <v>2020</v>
      </c>
      <c r="D109" s="1061"/>
      <c r="E109" s="13"/>
      <c r="F109" s="13">
        <f t="shared" si="74"/>
        <v>9</v>
      </c>
      <c r="G109" s="13">
        <f t="shared" si="58"/>
        <v>8</v>
      </c>
      <c r="H109" s="173">
        <f t="shared" si="59"/>
        <v>43206</v>
      </c>
      <c r="I109" s="752">
        <f t="shared" si="60"/>
        <v>0.7857142857142857</v>
      </c>
      <c r="J109" s="745">
        <f t="shared" si="61"/>
        <v>53.412518221884966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4">
        <v>43195</v>
      </c>
      <c r="AP109" s="13">
        <f t="shared" si="62"/>
        <v>5</v>
      </c>
      <c r="AQ109" s="13">
        <f t="shared" si="63"/>
        <v>6</v>
      </c>
      <c r="AR109" s="173">
        <f t="shared" si="64"/>
        <v>43192</v>
      </c>
      <c r="AS109" s="752">
        <f t="shared" si="65"/>
        <v>0.10714285714285714</v>
      </c>
      <c r="AT109" s="768">
        <f t="shared" si="66"/>
        <v>53.335427295868953</v>
      </c>
      <c r="AU109" s="13">
        <f t="shared" si="67"/>
        <v>5</v>
      </c>
      <c r="AV109" s="13">
        <f t="shared" si="68"/>
        <v>4</v>
      </c>
      <c r="AW109" s="173">
        <f t="shared" si="69"/>
        <v>43206</v>
      </c>
      <c r="AX109" s="752">
        <f t="shared" si="70"/>
        <v>0.39285714285714285</v>
      </c>
      <c r="AY109" s="768">
        <f t="shared" si="71"/>
        <v>53.190934767657225</v>
      </c>
      <c r="AZ109" s="745">
        <f t="shared" si="75"/>
        <v>53.263181031763089</v>
      </c>
      <c r="BA109" s="642">
        <f t="shared" si="72"/>
        <v>1.0440629794441556</v>
      </c>
      <c r="BC109" s="11">
        <v>43195</v>
      </c>
      <c r="BD109" s="290">
        <f>[2]!FeuilCaduc*(1-Persistant)+Persistant</f>
        <v>0.7153352393332032</v>
      </c>
      <c r="BE109" s="291">
        <f>[2]!CroissVégét</f>
        <v>6.0964669451959982E-2</v>
      </c>
      <c r="BF109" s="815">
        <f>1+[2]!Salcycl*Ksac</f>
        <v>1.0025558732222006</v>
      </c>
      <c r="BH109" s="1052">
        <f t="shared" si="73"/>
        <v>3.8473359917910186E-3</v>
      </c>
      <c r="BI109" s="11">
        <v>44291</v>
      </c>
      <c r="BJ109" s="725">
        <v>2.7147710798529711E-5</v>
      </c>
      <c r="BK109" s="725">
        <v>2.6228446543474548E-4</v>
      </c>
      <c r="BL109" s="725">
        <v>9.6983686521888478E-4</v>
      </c>
      <c r="BM109" s="725">
        <v>2.5245245675111876E-3</v>
      </c>
      <c r="BN109" s="725">
        <v>5.8374332906256403E-3</v>
      </c>
      <c r="BO109" s="726">
        <v>1.147796925543206E-2</v>
      </c>
      <c r="BP109" s="725">
        <v>1.9792711899505638E-2</v>
      </c>
      <c r="BQ109" s="725">
        <v>3.0786568344720829E-2</v>
      </c>
      <c r="BR109" s="725">
        <v>4.5730713209597262E-2</v>
      </c>
      <c r="BS109" s="725">
        <v>6.3917747319041776E-2</v>
      </c>
      <c r="BT109" s="725">
        <v>8.433257199888422E-2</v>
      </c>
      <c r="BW109" s="1189">
        <f>'2018'!R\Max</f>
        <v>0</v>
      </c>
      <c r="BX109" s="1187">
        <f>'2019'!R\Max</f>
        <v>0.94455059841745026</v>
      </c>
      <c r="BY109" s="1187">
        <f>'2020'!R\Max</f>
        <v>1.0440629794441556</v>
      </c>
      <c r="BZ109" s="1187">
        <f>'2021'!R\Max</f>
        <v>0.95945856842380284</v>
      </c>
      <c r="CA109" s="1187">
        <f>'2022'!R\Max</f>
        <v>1.0180004045115796</v>
      </c>
      <c r="CB109" s="1187">
        <f>'2023'!R\Max</f>
        <v>1.0180004045115796</v>
      </c>
      <c r="CC109" s="1187">
        <f>'2024'!R\Max</f>
        <v>1.0180004045115794</v>
      </c>
      <c r="CD109" s="1187">
        <f>'2025'!R\Max</f>
        <v>1.0180004045115796</v>
      </c>
      <c r="CE109" s="1187">
        <f>'2026'!R\Max</f>
        <v>1.0180004045115796</v>
      </c>
      <c r="CF109" s="1188">
        <f>'2027'!R\Max</f>
        <v>1.0180004045115796</v>
      </c>
    </row>
    <row r="110" spans="1:84" s="6" customFormat="1" ht="11.25" x14ac:dyDescent="0.2">
      <c r="A110" s="11">
        <v>43196</v>
      </c>
      <c r="B110" s="380">
        <f>'2022'!Maxi_hp</f>
        <v>56.273634835365598</v>
      </c>
      <c r="C110" s="13">
        <f>'2022'!An_max</f>
        <v>2020</v>
      </c>
      <c r="D110" s="1061"/>
      <c r="E110" s="13"/>
      <c r="F110" s="13">
        <f t="shared" si="74"/>
        <v>9</v>
      </c>
      <c r="G110" s="13">
        <f t="shared" si="58"/>
        <v>8</v>
      </c>
      <c r="H110" s="173">
        <f t="shared" si="59"/>
        <v>43206</v>
      </c>
      <c r="I110" s="752">
        <f t="shared" si="60"/>
        <v>0.7142857142857143</v>
      </c>
      <c r="J110" s="745">
        <f t="shared" si="61"/>
        <v>53.802915452420713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4">
        <v>43196</v>
      </c>
      <c r="AP110" s="13">
        <f t="shared" si="62"/>
        <v>5</v>
      </c>
      <c r="AQ110" s="13">
        <f t="shared" si="63"/>
        <v>6</v>
      </c>
      <c r="AR110" s="173">
        <f t="shared" si="64"/>
        <v>43192</v>
      </c>
      <c r="AS110" s="752">
        <f t="shared" si="65"/>
        <v>0.14285714285714285</v>
      </c>
      <c r="AT110" s="768">
        <f t="shared" si="66"/>
        <v>53.706122450211225</v>
      </c>
      <c r="AU110" s="13">
        <f t="shared" si="67"/>
        <v>5</v>
      </c>
      <c r="AV110" s="13">
        <f t="shared" si="68"/>
        <v>4</v>
      </c>
      <c r="AW110" s="173">
        <f t="shared" si="69"/>
        <v>43206</v>
      </c>
      <c r="AX110" s="752">
        <f t="shared" si="70"/>
        <v>0.35714285714285715</v>
      </c>
      <c r="AY110" s="768">
        <f t="shared" si="71"/>
        <v>53.609766763541849</v>
      </c>
      <c r="AZ110" s="745">
        <f t="shared" si="75"/>
        <v>53.657944606876541</v>
      </c>
      <c r="BA110" s="642">
        <f t="shared" si="72"/>
        <v>1.0459216635784321</v>
      </c>
      <c r="BC110" s="11">
        <v>43196</v>
      </c>
      <c r="BD110" s="290">
        <f>[2]!FeuilCaduc*(1-Persistant)+Persistant</f>
        <v>0.7164514285097372</v>
      </c>
      <c r="BE110" s="291">
        <f>[2]!CroissVégét</f>
        <v>6.3411438498040387E-2</v>
      </c>
      <c r="BF110" s="815">
        <f>1+[2]!Salcycl*Ksac</f>
        <v>1.0027419047516228</v>
      </c>
      <c r="BH110" s="1052">
        <f t="shared" si="73"/>
        <v>3.5809750904864301E-3</v>
      </c>
      <c r="BI110" s="11">
        <v>44292</v>
      </c>
      <c r="BJ110" s="725">
        <v>2.1034460805651719E-5</v>
      </c>
      <c r="BK110" s="725">
        <v>2.1901426533938069E-4</v>
      </c>
      <c r="BL110" s="725">
        <v>8.6727980470317182E-4</v>
      </c>
      <c r="BM110" s="725">
        <v>2.3222752034892597E-3</v>
      </c>
      <c r="BN110" s="725">
        <v>5.4746200947395941E-3</v>
      </c>
      <c r="BO110" s="726">
        <v>1.0858392693930553E-2</v>
      </c>
      <c r="BP110" s="725">
        <v>1.8877499050647763E-2</v>
      </c>
      <c r="BQ110" s="725">
        <v>2.9619719813797876E-2</v>
      </c>
      <c r="BR110" s="725">
        <v>4.4389786032770218E-2</v>
      </c>
      <c r="BS110" s="725">
        <v>6.2442769378180017E-2</v>
      </c>
      <c r="BT110" s="725">
        <v>8.2712932009438508E-2</v>
      </c>
      <c r="BW110" s="1189">
        <f>'2018'!R\Max</f>
        <v>0</v>
      </c>
      <c r="BX110" s="1187">
        <f>'2019'!R\Max</f>
        <v>0.41311492934763538</v>
      </c>
      <c r="BY110" s="1187">
        <f>'2020'!R\Max</f>
        <v>1.0459216635784321</v>
      </c>
      <c r="BZ110" s="1187">
        <f>'2021'!R\Max</f>
        <v>0.71743866981074178</v>
      </c>
      <c r="CA110" s="1187">
        <f>'2022'!R\Max</f>
        <v>0.23843211679441387</v>
      </c>
      <c r="CB110" s="1187">
        <f>'2023'!R\Max</f>
        <v>0.2383679153826585</v>
      </c>
      <c r="CC110" s="1187">
        <f>'2024'!R\Max</f>
        <v>0.23830371397090314</v>
      </c>
      <c r="CD110" s="1187">
        <f>'2025'!R\Max</f>
        <v>0.23858139337871165</v>
      </c>
      <c r="CE110" s="1187">
        <f>'2026'!R\Max</f>
        <v>0.23855615553008425</v>
      </c>
      <c r="CF110" s="1188">
        <f>'2027'!R\Max</f>
        <v>0.23852177690795517</v>
      </c>
    </row>
    <row r="111" spans="1:84" s="6" customFormat="1" ht="11.25" x14ac:dyDescent="0.2">
      <c r="A111" s="11">
        <v>43197</v>
      </c>
      <c r="B111" s="380">
        <f>'2022'!Maxi_hp</f>
        <v>55.325751817582876</v>
      </c>
      <c r="C111" s="13">
        <f>'2022'!An_max</f>
        <v>2021</v>
      </c>
      <c r="D111" s="1061"/>
      <c r="E111" s="13"/>
      <c r="F111" s="13">
        <f t="shared" si="74"/>
        <v>9</v>
      </c>
      <c r="G111" s="13">
        <f t="shared" si="58"/>
        <v>8</v>
      </c>
      <c r="H111" s="173">
        <f t="shared" si="59"/>
        <v>43206</v>
      </c>
      <c r="I111" s="752">
        <f t="shared" si="60"/>
        <v>0.6428571428571429</v>
      </c>
      <c r="J111" s="745">
        <f t="shared" si="61"/>
        <v>54.186242711011843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4">
        <v>43197</v>
      </c>
      <c r="AP111" s="13">
        <f t="shared" si="62"/>
        <v>5</v>
      </c>
      <c r="AQ111" s="13">
        <f t="shared" si="63"/>
        <v>6</v>
      </c>
      <c r="AR111" s="173">
        <f t="shared" si="64"/>
        <v>43192</v>
      </c>
      <c r="AS111" s="752">
        <f t="shared" si="65"/>
        <v>0.17857142857142858</v>
      </c>
      <c r="AT111" s="768">
        <f t="shared" si="66"/>
        <v>54.072608418469983</v>
      </c>
      <c r="AU111" s="13">
        <f t="shared" si="67"/>
        <v>5</v>
      </c>
      <c r="AV111" s="13">
        <f t="shared" si="68"/>
        <v>4</v>
      </c>
      <c r="AW111" s="173">
        <f t="shared" si="69"/>
        <v>43206</v>
      </c>
      <c r="AX111" s="752">
        <f t="shared" si="70"/>
        <v>0.32142857142857145</v>
      </c>
      <c r="AY111" s="768">
        <f t="shared" si="71"/>
        <v>54.021674563433045</v>
      </c>
      <c r="AZ111" s="745">
        <f t="shared" si="75"/>
        <v>54.047141490951518</v>
      </c>
      <c r="BA111" s="642">
        <f t="shared" si="72"/>
        <v>1.0210294910582434</v>
      </c>
      <c r="BC111" s="11">
        <v>43197</v>
      </c>
      <c r="BD111" s="290">
        <f>[2]!FeuilCaduc*(1-Persistant)+Persistant</f>
        <v>0.71763478418659654</v>
      </c>
      <c r="BE111" s="291">
        <f>[2]!CroissVégét</f>
        <v>6.5947331619938404E-2</v>
      </c>
      <c r="BF111" s="815">
        <f>1+[2]!Salcycl*Ksac</f>
        <v>1.0029391306977662</v>
      </c>
      <c r="BH111" s="1052">
        <f t="shared" si="73"/>
        <v>3.3309198289319026E-3</v>
      </c>
      <c r="BI111" s="11">
        <v>44293</v>
      </c>
      <c r="BJ111" s="725">
        <v>1.5986081281421666E-5</v>
      </c>
      <c r="BK111" s="725">
        <v>1.8185270060155871E-4</v>
      </c>
      <c r="BL111" s="725">
        <v>7.7571858405775626E-4</v>
      </c>
      <c r="BM111" s="725">
        <v>2.1364146941552104E-3</v>
      </c>
      <c r="BN111" s="725">
        <v>5.1279873462897708E-3</v>
      </c>
      <c r="BO111" s="726">
        <v>1.0252966088402815E-2</v>
      </c>
      <c r="BP111" s="725">
        <v>1.7970089268585843E-2</v>
      </c>
      <c r="BQ111" s="725">
        <v>2.8447074943686621E-2</v>
      </c>
      <c r="BR111" s="725">
        <v>4.3001650255203118E-2</v>
      </c>
      <c r="BS111" s="725">
        <v>6.0876612205157582E-2</v>
      </c>
      <c r="BT111" s="725">
        <v>8.0963372744148637E-2</v>
      </c>
      <c r="BW111" s="1189">
        <f>'2018'!R\Max</f>
        <v>0</v>
      </c>
      <c r="BX111" s="1187">
        <f>'2019'!R\Max</f>
        <v>0.64740795435596832</v>
      </c>
      <c r="BY111" s="1187">
        <f>'2020'!R\Max</f>
        <v>0.61763259678621985</v>
      </c>
      <c r="BZ111" s="1187">
        <f>'2021'!R\Max</f>
        <v>1.0210294910582434</v>
      </c>
      <c r="CA111" s="1187">
        <f>'2022'!R\Max</f>
        <v>0.71676567821960058</v>
      </c>
      <c r="CB111" s="1187">
        <f>'2023'!R\Max</f>
        <v>0.71669094571049485</v>
      </c>
      <c r="CC111" s="1187">
        <f>'2024'!R\Max</f>
        <v>0.71661619025732559</v>
      </c>
      <c r="CD111" s="1187">
        <f>'2025'!R\Max</f>
        <v>0.7169375067238154</v>
      </c>
      <c r="CE111" s="1187">
        <f>'2026'!R\Max</f>
        <v>0.71690855954237809</v>
      </c>
      <c r="CF111" s="1188">
        <f>'2027'!R\Max</f>
        <v>0.71686899206287191</v>
      </c>
    </row>
    <row r="112" spans="1:84" s="6" customFormat="1" ht="11.25" x14ac:dyDescent="0.2">
      <c r="A112" s="11">
        <v>43198</v>
      </c>
      <c r="B112" s="380">
        <f>'2022'!Maxi_hp</f>
        <v>53.843386079314278</v>
      </c>
      <c r="C112" s="13">
        <f>'2022'!An_max</f>
        <v>2021</v>
      </c>
      <c r="D112" s="1061"/>
      <c r="E112" s="13"/>
      <c r="F112" s="13">
        <f t="shared" si="74"/>
        <v>9</v>
      </c>
      <c r="G112" s="13">
        <f t="shared" si="58"/>
        <v>8</v>
      </c>
      <c r="H112" s="173">
        <f t="shared" si="59"/>
        <v>43206</v>
      </c>
      <c r="I112" s="752">
        <f t="shared" si="60"/>
        <v>0.5714285714285714</v>
      </c>
      <c r="J112" s="745">
        <f t="shared" si="61"/>
        <v>54.562390670393185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4">
        <v>43198</v>
      </c>
      <c r="AP112" s="13">
        <f t="shared" si="62"/>
        <v>5</v>
      </c>
      <c r="AQ112" s="13">
        <f t="shared" si="63"/>
        <v>6</v>
      </c>
      <c r="AR112" s="173">
        <f t="shared" si="64"/>
        <v>43192</v>
      </c>
      <c r="AS112" s="752">
        <f t="shared" si="65"/>
        <v>0.21428571428571427</v>
      </c>
      <c r="AT112" s="768">
        <f t="shared" si="66"/>
        <v>54.434693877771494</v>
      </c>
      <c r="AU112" s="13">
        <f t="shared" si="67"/>
        <v>5</v>
      </c>
      <c r="AV112" s="13">
        <f t="shared" si="68"/>
        <v>4</v>
      </c>
      <c r="AW112" s="173">
        <f t="shared" si="69"/>
        <v>43206</v>
      </c>
      <c r="AX112" s="752">
        <f t="shared" si="70"/>
        <v>0.2857142857142857</v>
      </c>
      <c r="AY112" s="768">
        <f t="shared" si="71"/>
        <v>54.425947522105915</v>
      </c>
      <c r="AZ112" s="745">
        <f t="shared" si="75"/>
        <v>54.430320699938704</v>
      </c>
      <c r="BA112" s="642">
        <f t="shared" si="72"/>
        <v>0.98682234076907749</v>
      </c>
      <c r="BC112" s="11">
        <v>43198</v>
      </c>
      <c r="BD112" s="290">
        <f>[2]!FeuilCaduc*(1-Persistant)+Persistant</f>
        <v>0.71888708879654772</v>
      </c>
      <c r="BE112" s="291">
        <f>[2]!CroissVégét</f>
        <v>6.8575048275425571E-2</v>
      </c>
      <c r="BF112" s="815">
        <f>1+[2]!Salcycl*Ksac</f>
        <v>1.003147848132758</v>
      </c>
      <c r="BH112" s="1052">
        <f t="shared" si="73"/>
        <v>3.0971686296533906E-3</v>
      </c>
      <c r="BI112" s="11">
        <v>44294</v>
      </c>
      <c r="BJ112" s="725">
        <v>1.200235478058093E-5</v>
      </c>
      <c r="BK112" s="725">
        <v>1.5079862526593574E-4</v>
      </c>
      <c r="BL112" s="725">
        <v>6.9515138821860806E-4</v>
      </c>
      <c r="BM112" s="725">
        <v>1.9669408035143912E-3</v>
      </c>
      <c r="BN112" s="725">
        <v>4.7975344585102896E-3</v>
      </c>
      <c r="BO112" s="726">
        <v>9.6616918725413656E-3</v>
      </c>
      <c r="BP112" s="725">
        <v>1.7070489042706635E-2</v>
      </c>
      <c r="BQ112" s="725">
        <v>2.7268644794555378E-2</v>
      </c>
      <c r="BR112" s="725">
        <v>4.1566327040189567E-2</v>
      </c>
      <c r="BS112" s="725">
        <v>5.9219306098548613E-2</v>
      </c>
      <c r="BT112" s="725">
        <v>7.9083931569383134E-2</v>
      </c>
      <c r="BW112" s="1189">
        <f>'2018'!R\Max</f>
        <v>0</v>
      </c>
      <c r="BX112" s="1187">
        <f>'2019'!R\Max</f>
        <v>0.62521971579367386</v>
      </c>
      <c r="BY112" s="1187">
        <f>'2020'!R\Max</f>
        <v>0.64130406571211396</v>
      </c>
      <c r="BZ112" s="1187">
        <f>'2021'!R\Max</f>
        <v>0.98682234076907749</v>
      </c>
      <c r="CA112" s="1187">
        <f>'2022'!R\Max</f>
        <v>0.56710374538672126</v>
      </c>
      <c r="CB112" s="1187">
        <f>'2023'!R\Max</f>
        <v>0.56701743879535338</v>
      </c>
      <c r="CC112" s="1187">
        <f>'2024'!R\Max</f>
        <v>0.56693111598341661</v>
      </c>
      <c r="CD112" s="1187">
        <f>'2025'!R\Max</f>
        <v>0.56730001566001131</v>
      </c>
      <c r="CE112" s="1187">
        <f>'2026'!R\Max</f>
        <v>0.56726705750058648</v>
      </c>
      <c r="CF112" s="1188">
        <f>'2027'!R\Max</f>
        <v>0.56722185819442994</v>
      </c>
    </row>
    <row r="113" spans="1:84" s="6" customFormat="1" ht="11.25" x14ac:dyDescent="0.2">
      <c r="A113" s="11">
        <v>43199</v>
      </c>
      <c r="B113" s="380">
        <f>'2022'!Maxi_hp</f>
        <v>46.323967550802834</v>
      </c>
      <c r="C113" s="13">
        <f>'2022'!An_max</f>
        <v>2020</v>
      </c>
      <c r="D113" s="1061"/>
      <c r="E113" s="13"/>
      <c r="F113" s="13">
        <f t="shared" si="74"/>
        <v>9</v>
      </c>
      <c r="G113" s="13">
        <f t="shared" si="58"/>
        <v>8</v>
      </c>
      <c r="H113" s="173">
        <f t="shared" si="59"/>
        <v>43206</v>
      </c>
      <c r="I113" s="752">
        <f t="shared" si="60"/>
        <v>0.5</v>
      </c>
      <c r="J113" s="745">
        <f t="shared" si="61"/>
        <v>54.931249999254945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4">
        <v>43199</v>
      </c>
      <c r="AP113" s="13">
        <f t="shared" si="62"/>
        <v>5</v>
      </c>
      <c r="AQ113" s="13">
        <f t="shared" si="63"/>
        <v>6</v>
      </c>
      <c r="AR113" s="173">
        <f t="shared" si="64"/>
        <v>43192</v>
      </c>
      <c r="AS113" s="752">
        <f t="shared" si="65"/>
        <v>0.25</v>
      </c>
      <c r="AT113" s="768">
        <f t="shared" si="66"/>
        <v>54.792187500558796</v>
      </c>
      <c r="AU113" s="13">
        <f t="shared" si="67"/>
        <v>5</v>
      </c>
      <c r="AV113" s="13">
        <f t="shared" si="68"/>
        <v>4</v>
      </c>
      <c r="AW113" s="173">
        <f t="shared" si="69"/>
        <v>43206</v>
      </c>
      <c r="AX113" s="752">
        <f t="shared" si="70"/>
        <v>0.25</v>
      </c>
      <c r="AY113" s="768">
        <f t="shared" si="71"/>
        <v>54.821874999999999</v>
      </c>
      <c r="AZ113" s="745">
        <f t="shared" si="75"/>
        <v>54.807031250279394</v>
      </c>
      <c r="BA113" s="642">
        <f t="shared" si="72"/>
        <v>0.84330809059380851</v>
      </c>
      <c r="BC113" s="11">
        <v>43199</v>
      </c>
      <c r="BD113" s="290">
        <f>[2]!FeuilCaduc*(1-Persistant)+Persistant</f>
        <v>0.72021005351233947</v>
      </c>
      <c r="BE113" s="291">
        <f>[2]!CroissVégét</f>
        <v>7.1297326250557638E-2</v>
      </c>
      <c r="BF113" s="815">
        <f>1+[2]!Salcycl*Ksac</f>
        <v>1.0033683422520565</v>
      </c>
      <c r="BH113" s="1052">
        <f t="shared" si="73"/>
        <v>2.8797196873427515E-3</v>
      </c>
      <c r="BI113" s="11">
        <v>44295</v>
      </c>
      <c r="BJ113" s="725">
        <v>9.0830345020736335E-6</v>
      </c>
      <c r="BK113" s="725">
        <v>1.2585073551793526E-4</v>
      </c>
      <c r="BL113" s="725">
        <v>6.2557614961918724E-4</v>
      </c>
      <c r="BM113" s="725">
        <v>1.813850982577295E-3</v>
      </c>
      <c r="BN113" s="725">
        <v>4.4832607449208665E-3</v>
      </c>
      <c r="BO113" s="726">
        <v>9.084572780622897E-3</v>
      </c>
      <c r="BP113" s="725">
        <v>1.617870576350337E-2</v>
      </c>
      <c r="BQ113" s="725">
        <v>2.6084442124246397E-2</v>
      </c>
      <c r="BR113" s="725">
        <v>4.0083840916470707E-2</v>
      </c>
      <c r="BS113" s="725">
        <v>5.7470886427042026E-2</v>
      </c>
      <c r="BT113" s="725">
        <v>7.707465245645613E-2</v>
      </c>
      <c r="BW113" s="1189">
        <f>'2018'!R\Max</f>
        <v>0</v>
      </c>
      <c r="BX113" s="1187">
        <f>'2019'!R\Max</f>
        <v>0.7703386383013836</v>
      </c>
      <c r="BY113" s="1187">
        <f>'2020'!R\Max</f>
        <v>0.84330809059380851</v>
      </c>
      <c r="BZ113" s="1187">
        <f>'2021'!R\Max</f>
        <v>0.58891714472152423</v>
      </c>
      <c r="CA113" s="1187">
        <f>'2022'!R\Max</f>
        <v>0.7363394900676099</v>
      </c>
      <c r="CB113" s="1187">
        <f>'2023'!R\Max</f>
        <v>0.73627445322585094</v>
      </c>
      <c r="CC113" s="1187">
        <f>'2024'!R\Max</f>
        <v>0.73620939736141655</v>
      </c>
      <c r="CD113" s="1187">
        <f>'2025'!R\Max</f>
        <v>0.73648563086945429</v>
      </c>
      <c r="CE113" s="1187">
        <f>'2026'!R\Max</f>
        <v>0.73646117684698786</v>
      </c>
      <c r="CF113" s="1188">
        <f>'2027'!R\Max</f>
        <v>0.73642752358691088</v>
      </c>
    </row>
    <row r="114" spans="1:84" s="6" customFormat="1" ht="11.25" x14ac:dyDescent="0.2">
      <c r="A114" s="11">
        <v>43200</v>
      </c>
      <c r="B114" s="380">
        <f>'2022'!Maxi_hp</f>
        <v>55.540517907478055</v>
      </c>
      <c r="C114" s="13">
        <f>'2022'!An_max</f>
        <v>2020</v>
      </c>
      <c r="D114" s="1061"/>
      <c r="E114" s="13"/>
      <c r="F114" s="13">
        <f t="shared" si="74"/>
        <v>9</v>
      </c>
      <c r="G114" s="13">
        <f t="shared" si="58"/>
        <v>8</v>
      </c>
      <c r="H114" s="173">
        <f t="shared" si="59"/>
        <v>43206</v>
      </c>
      <c r="I114" s="752">
        <f t="shared" si="60"/>
        <v>0.42857142857142855</v>
      </c>
      <c r="J114" s="745">
        <f t="shared" si="61"/>
        <v>55.29271136916109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4">
        <v>43200</v>
      </c>
      <c r="AP114" s="13">
        <f t="shared" si="62"/>
        <v>5</v>
      </c>
      <c r="AQ114" s="13">
        <f t="shared" si="63"/>
        <v>6</v>
      </c>
      <c r="AR114" s="173">
        <f t="shared" si="64"/>
        <v>43192</v>
      </c>
      <c r="AS114" s="752">
        <f t="shared" si="65"/>
        <v>0.2857142857142857</v>
      </c>
      <c r="AT114" s="768">
        <f t="shared" si="66"/>
        <v>55.144897959700657</v>
      </c>
      <c r="AU114" s="13">
        <f t="shared" si="67"/>
        <v>5</v>
      </c>
      <c r="AV114" s="13">
        <f t="shared" si="68"/>
        <v>4</v>
      </c>
      <c r="AW114" s="173">
        <f t="shared" si="69"/>
        <v>43206</v>
      </c>
      <c r="AX114" s="752">
        <f t="shared" si="70"/>
        <v>0.21428571428571427</v>
      </c>
      <c r="AY114" s="768">
        <f t="shared" si="71"/>
        <v>55.208746354734259</v>
      </c>
      <c r="AZ114" s="745">
        <f t="shared" si="75"/>
        <v>55.176822157217458</v>
      </c>
      <c r="BA114" s="642">
        <f t="shared" si="72"/>
        <v>1.0044817215900752</v>
      </c>
      <c r="BC114" s="11">
        <v>43200</v>
      </c>
      <c r="BD114" s="290">
        <f>[2]!FeuilCaduc*(1-Persistant)+Persistant</f>
        <v>0.72160531454493793</v>
      </c>
      <c r="BE114" s="291">
        <f>[2]!CroissVégét</f>
        <v>7.4116938463242688E-2</v>
      </c>
      <c r="BF114" s="815">
        <f>1+[2]!Salcycl*Ksac</f>
        <v>1.0036008857574896</v>
      </c>
      <c r="BH114" s="1052">
        <f t="shared" si="73"/>
        <v>2.6818635151650422E-3</v>
      </c>
      <c r="BI114" s="11">
        <v>44296</v>
      </c>
      <c r="BJ114" s="725">
        <v>7.2192828597712034E-6</v>
      </c>
      <c r="BK114" s="725">
        <v>1.0697654048482187E-4</v>
      </c>
      <c r="BL114" s="725">
        <v>5.6732330998510942E-4</v>
      </c>
      <c r="BM114" s="725">
        <v>1.678873896059386E-3</v>
      </c>
      <c r="BN114" s="725">
        <v>4.1908064340909403E-3</v>
      </c>
      <c r="BO114" s="726">
        <v>8.5339374936024403E-3</v>
      </c>
      <c r="BP114" s="725">
        <v>1.5314139254384011E-2</v>
      </c>
      <c r="BQ114" s="725">
        <v>2.4916690001813846E-2</v>
      </c>
      <c r="BR114" s="725">
        <v>3.8579346322604832E-2</v>
      </c>
      <c r="BS114" s="725">
        <v>5.5653200456833564E-2</v>
      </c>
      <c r="BT114" s="725">
        <v>7.4950882708081257E-2</v>
      </c>
      <c r="BW114" s="1189">
        <f>'2018'!R\Max</f>
        <v>0</v>
      </c>
      <c r="BX114" s="1187">
        <f>'2019'!R\Max</f>
        <v>0.61052068759962264</v>
      </c>
      <c r="BY114" s="1187">
        <f>'2020'!R\Max</f>
        <v>1.0044817215900752</v>
      </c>
      <c r="BZ114" s="1187">
        <f>'2021'!R\Max</f>
        <v>0.64810888312790194</v>
      </c>
      <c r="CA114" s="1187">
        <f>'2022'!R\Max</f>
        <v>0.99767214529019643</v>
      </c>
      <c r="CB114" s="1187">
        <f>'2023'!R\Max</f>
        <v>0.99767140510455476</v>
      </c>
      <c r="CC114" s="1187">
        <f>'2024'!R\Max</f>
        <v>0.99767066458960041</v>
      </c>
      <c r="CD114" s="1187">
        <f>'2025'!R\Max</f>
        <v>0.99767378819746333</v>
      </c>
      <c r="CE114" s="1187">
        <f>'2026'!R\Max</f>
        <v>0.99767351428214945</v>
      </c>
      <c r="CF114" s="1188">
        <f>'2027'!R\Max</f>
        <v>0.99767313598451168</v>
      </c>
    </row>
    <row r="115" spans="1:84" s="6" customFormat="1" ht="11.25" x14ac:dyDescent="0.2">
      <c r="A115" s="11">
        <v>43201</v>
      </c>
      <c r="B115" s="380">
        <f>'2022'!Maxi_hp</f>
        <v>56.677954021859833</v>
      </c>
      <c r="C115" s="13">
        <f>'2022'!An_max</f>
        <v>2020</v>
      </c>
      <c r="D115" s="1061"/>
      <c r="E115" s="13"/>
      <c r="F115" s="13">
        <f t="shared" si="74"/>
        <v>9</v>
      </c>
      <c r="G115" s="13">
        <f t="shared" si="58"/>
        <v>8</v>
      </c>
      <c r="H115" s="173">
        <f t="shared" si="59"/>
        <v>43206</v>
      </c>
      <c r="I115" s="752">
        <f t="shared" si="60"/>
        <v>0.35714285714285715</v>
      </c>
      <c r="J115" s="745">
        <f t="shared" si="61"/>
        <v>55.646665451462773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4">
        <v>43201</v>
      </c>
      <c r="AP115" s="13">
        <f t="shared" si="62"/>
        <v>5</v>
      </c>
      <c r="AQ115" s="13">
        <f t="shared" si="63"/>
        <v>6</v>
      </c>
      <c r="AR115" s="173">
        <f t="shared" si="64"/>
        <v>43192</v>
      </c>
      <c r="AS115" s="752">
        <f t="shared" si="65"/>
        <v>0.32142857142857145</v>
      </c>
      <c r="AT115" s="768">
        <f t="shared" si="66"/>
        <v>55.492633928997179</v>
      </c>
      <c r="AU115" s="13">
        <f t="shared" si="67"/>
        <v>5</v>
      </c>
      <c r="AV115" s="13">
        <f t="shared" si="68"/>
        <v>4</v>
      </c>
      <c r="AW115" s="173">
        <f t="shared" si="69"/>
        <v>43206</v>
      </c>
      <c r="AX115" s="752">
        <f t="shared" si="70"/>
        <v>0.17857142857142858</v>
      </c>
      <c r="AY115" s="768">
        <f t="shared" si="71"/>
        <v>55.585850948444566</v>
      </c>
      <c r="AZ115" s="745">
        <f t="shared" si="75"/>
        <v>55.539242438720876</v>
      </c>
      <c r="BA115" s="642">
        <f t="shared" si="72"/>
        <v>1.0185328008790857</v>
      </c>
      <c r="BC115" s="11">
        <v>43201</v>
      </c>
      <c r="BD115" s="290">
        <f>[2]!FeuilCaduc*(1-Persistant)+Persistant</f>
        <v>0.72307442946463596</v>
      </c>
      <c r="BE115" s="291">
        <f>[2]!CroissVégét</f>
        <v>7.7036689395036897E-2</v>
      </c>
      <c r="BF115" s="815">
        <f>1+[2]!Salcycl*Ksac</f>
        <v>1.0038457382441059</v>
      </c>
      <c r="BH115" s="1052">
        <f t="shared" si="73"/>
        <v>2.4954537977497906E-3</v>
      </c>
      <c r="BI115" s="11">
        <v>44297</v>
      </c>
      <c r="BJ115" s="725">
        <v>5.5871166016668748E-6</v>
      </c>
      <c r="BK115" s="725">
        <v>9.0300252309779866E-5</v>
      </c>
      <c r="BL115" s="725">
        <v>5.1372106210946945E-4</v>
      </c>
      <c r="BM115" s="725">
        <v>1.5527732475539191E-3</v>
      </c>
      <c r="BN115" s="725">
        <v>3.9136650273890357E-3</v>
      </c>
      <c r="BO115" s="726">
        <v>8.0098751572672908E-3</v>
      </c>
      <c r="BP115" s="725">
        <v>1.4483435059307556E-2</v>
      </c>
      <c r="BQ115" s="725">
        <v>2.377925533769841E-2</v>
      </c>
      <c r="BR115" s="725">
        <v>3.7089121631786848E-2</v>
      </c>
      <c r="BS115" s="725">
        <v>5.383061707911338E-2</v>
      </c>
      <c r="BT115" s="725">
        <v>7.2805660739960476E-2</v>
      </c>
      <c r="BW115" s="1189">
        <f>'2018'!R\Max</f>
        <v>0</v>
      </c>
      <c r="BX115" s="1187">
        <f>'2019'!R\Max</f>
        <v>0.1882187732123449</v>
      </c>
      <c r="BY115" s="1187">
        <f>'2020'!R\Max</f>
        <v>1.0185328008790857</v>
      </c>
      <c r="BZ115" s="1187">
        <f>'2021'!R\Max</f>
        <v>0.16613268738028661</v>
      </c>
      <c r="CA115" s="1187">
        <f>'2022'!R\Max</f>
        <v>0.8237768481919695</v>
      </c>
      <c r="CB115" s="1187">
        <f>'2023'!R\Max</f>
        <v>0.82373286902684706</v>
      </c>
      <c r="CC115" s="1187">
        <f>'2024'!R\Max</f>
        <v>0.82368887589859074</v>
      </c>
      <c r="CD115" s="1187">
        <f>'2025'!R\Max</f>
        <v>0.82387333293481624</v>
      </c>
      <c r="CE115" s="1187">
        <f>'2026'!R\Max</f>
        <v>0.82385730662326129</v>
      </c>
      <c r="CF115" s="1188">
        <f>'2027'!R\Max</f>
        <v>0.8238350895065345</v>
      </c>
    </row>
    <row r="116" spans="1:84" s="6" customFormat="1" ht="11.25" x14ac:dyDescent="0.2">
      <c r="A116" s="11">
        <v>43202</v>
      </c>
      <c r="B116" s="380">
        <f>'2022'!Maxi_hp</f>
        <v>57.166150894542305</v>
      </c>
      <c r="C116" s="13">
        <f>'2022'!An_max</f>
        <v>2019</v>
      </c>
      <c r="D116" s="1061"/>
      <c r="E116" s="13"/>
      <c r="F116" s="13">
        <f t="shared" si="74"/>
        <v>9</v>
      </c>
      <c r="G116" s="13">
        <f t="shared" si="58"/>
        <v>8</v>
      </c>
      <c r="H116" s="173">
        <f t="shared" si="59"/>
        <v>43206</v>
      </c>
      <c r="I116" s="752">
        <f t="shared" si="60"/>
        <v>0.2857142857142857</v>
      </c>
      <c r="J116" s="745">
        <f t="shared" si="61"/>
        <v>55.993002913892269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4">
        <v>43202</v>
      </c>
      <c r="AP116" s="13">
        <f t="shared" si="62"/>
        <v>5</v>
      </c>
      <c r="AQ116" s="13">
        <f t="shared" si="63"/>
        <v>6</v>
      </c>
      <c r="AR116" s="173">
        <f t="shared" si="64"/>
        <v>43192</v>
      </c>
      <c r="AS116" s="752">
        <f t="shared" si="65"/>
        <v>0.35714285714285715</v>
      </c>
      <c r="AT116" s="768">
        <f t="shared" si="66"/>
        <v>55.835204081769497</v>
      </c>
      <c r="AU116" s="13">
        <f t="shared" si="67"/>
        <v>5</v>
      </c>
      <c r="AV116" s="13">
        <f t="shared" si="68"/>
        <v>4</v>
      </c>
      <c r="AW116" s="173">
        <f t="shared" si="69"/>
        <v>43206</v>
      </c>
      <c r="AX116" s="752">
        <f t="shared" si="70"/>
        <v>0.14285714285714285</v>
      </c>
      <c r="AY116" s="768">
        <f t="shared" si="71"/>
        <v>55.952478133660875</v>
      </c>
      <c r="AZ116" s="745">
        <f t="shared" si="75"/>
        <v>55.89384110771519</v>
      </c>
      <c r="BA116" s="642">
        <f t="shared" si="72"/>
        <v>1.0209516889539598</v>
      </c>
      <c r="BC116" s="11">
        <v>43202</v>
      </c>
      <c r="BD116" s="290">
        <f>[2]!FeuilCaduc*(1-Persistant)+Persistant</f>
        <v>0.72461887351303156</v>
      </c>
      <c r="BE116" s="291">
        <f>[2]!CroissVégét</f>
        <v>8.0059411132293548E-2</v>
      </c>
      <c r="BF116" s="815">
        <f>1+[2]!Salcycl*Ksac</f>
        <v>1.0041031455855052</v>
      </c>
      <c r="BH116" s="1052">
        <f t="shared" si="73"/>
        <v>2.3204894458038194E-3</v>
      </c>
      <c r="BI116" s="11">
        <v>44298</v>
      </c>
      <c r="BJ116" s="725">
        <v>4.1864859259326131E-6</v>
      </c>
      <c r="BK116" s="725">
        <v>7.5821409699788518E-5</v>
      </c>
      <c r="BL116" s="725">
        <v>4.6476868774553002E-4</v>
      </c>
      <c r="BM116" s="725">
        <v>1.4355479512149342E-3</v>
      </c>
      <c r="BN116" s="725">
        <v>3.6518354303358238E-3</v>
      </c>
      <c r="BO116" s="726">
        <v>7.5123843301981869E-3</v>
      </c>
      <c r="BP116" s="725">
        <v>1.3686593176300617E-2</v>
      </c>
      <c r="BQ116" s="725">
        <v>2.2672142410108769E-2</v>
      </c>
      <c r="BR116" s="725">
        <v>3.5613179344531495E-2</v>
      </c>
      <c r="BS116" s="725">
        <v>5.2003156577456584E-2</v>
      </c>
      <c r="BT116" s="725">
        <v>7.0639012793540804E-2</v>
      </c>
      <c r="BW116" s="1189">
        <f>'2018'!R\Max</f>
        <v>0</v>
      </c>
      <c r="BX116" s="1187">
        <f>'2019'!R\Max</f>
        <v>1.0209516889539598</v>
      </c>
      <c r="BY116" s="1187">
        <f>'2020'!R\Max</f>
        <v>0.99304105333411175</v>
      </c>
      <c r="BZ116" s="1187">
        <f>'2021'!R\Max</f>
        <v>0.86002890300010615</v>
      </c>
      <c r="CA116" s="1187">
        <f>'2022'!R\Max</f>
        <v>0.7169026332529409</v>
      </c>
      <c r="CB116" s="1187">
        <f>'2023'!R\Max</f>
        <v>0.71684423272681297</v>
      </c>
      <c r="CC116" s="1187">
        <f>'2024'!R\Max</f>
        <v>0.71678581818251008</v>
      </c>
      <c r="CD116" s="1187">
        <f>'2025'!R\Max</f>
        <v>0.71702929883408939</v>
      </c>
      <c r="CE116" s="1187">
        <f>'2026'!R\Max</f>
        <v>0.71700834796602408</v>
      </c>
      <c r="CF116" s="1188">
        <f>'2027'!R\Max</f>
        <v>0.71697918237618807</v>
      </c>
    </row>
    <row r="117" spans="1:84" s="6" customFormat="1" ht="11.25" x14ac:dyDescent="0.2">
      <c r="A117" s="11">
        <v>43203</v>
      </c>
      <c r="B117" s="380">
        <f>'2022'!Maxi_hp</f>
        <v>56.753271585996224</v>
      </c>
      <c r="C117" s="13">
        <f>'2022'!An_max</f>
        <v>2019</v>
      </c>
      <c r="D117" s="1061"/>
      <c r="E117" s="13"/>
      <c r="F117" s="13">
        <f t="shared" si="74"/>
        <v>9</v>
      </c>
      <c r="G117" s="13">
        <f t="shared" si="58"/>
        <v>8</v>
      </c>
      <c r="H117" s="173">
        <f t="shared" si="59"/>
        <v>43206</v>
      </c>
      <c r="I117" s="752">
        <f t="shared" si="60"/>
        <v>0.21428571428571427</v>
      </c>
      <c r="J117" s="745">
        <f t="shared" si="61"/>
        <v>56.33161442966334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4">
        <v>43203</v>
      </c>
      <c r="AP117" s="13">
        <f t="shared" si="62"/>
        <v>5</v>
      </c>
      <c r="AQ117" s="13">
        <f t="shared" si="63"/>
        <v>6</v>
      </c>
      <c r="AR117" s="173">
        <f t="shared" si="64"/>
        <v>43192</v>
      </c>
      <c r="AS117" s="752">
        <f t="shared" si="65"/>
        <v>0.39285714285714285</v>
      </c>
      <c r="AT117" s="768">
        <f t="shared" si="66"/>
        <v>56.172417092349917</v>
      </c>
      <c r="AU117" s="13">
        <f t="shared" si="67"/>
        <v>5</v>
      </c>
      <c r="AV117" s="13">
        <f t="shared" si="68"/>
        <v>4</v>
      </c>
      <c r="AW117" s="173">
        <f t="shared" si="69"/>
        <v>43206</v>
      </c>
      <c r="AX117" s="752">
        <f t="shared" si="70"/>
        <v>0.10714285714285714</v>
      </c>
      <c r="AY117" s="768">
        <f t="shared" si="71"/>
        <v>56.307917273985893</v>
      </c>
      <c r="AZ117" s="745">
        <f t="shared" si="75"/>
        <v>56.240167183167905</v>
      </c>
      <c r="BA117" s="642">
        <f t="shared" si="72"/>
        <v>1.0074852666766612</v>
      </c>
      <c r="BC117" s="11">
        <v>43203</v>
      </c>
      <c r="BD117" s="290">
        <f>[2]!FeuilCaduc*(1-Persistant)+Persistant</f>
        <v>0.72624003587510155</v>
      </c>
      <c r="BE117" s="291">
        <f>[2]!CroissVégét</f>
        <v>8.3187958998136649E-2</v>
      </c>
      <c r="BF117" s="815">
        <f>1+[2]!Salcycl*Ksac</f>
        <v>1.0043733393125169</v>
      </c>
      <c r="BH117" s="1052">
        <f t="shared" si="73"/>
        <v>2.1569691361925944E-3</v>
      </c>
      <c r="BI117" s="11">
        <v>44299</v>
      </c>
      <c r="BJ117" s="725">
        <v>3.0173335539890359E-6</v>
      </c>
      <c r="BK117" s="725">
        <v>6.3539481919142507E-5</v>
      </c>
      <c r="BL117" s="725">
        <v>4.2046534524540807E-4</v>
      </c>
      <c r="BM117" s="725">
        <v>1.3271967161698108E-3</v>
      </c>
      <c r="BN117" s="725">
        <v>3.40531627126049E-3</v>
      </c>
      <c r="BO117" s="726">
        <v>7.041463145182919E-3</v>
      </c>
      <c r="BP117" s="725">
        <v>1.2923613269492712E-2</v>
      </c>
      <c r="BQ117" s="725">
        <v>2.1595355702537969E-2</v>
      </c>
      <c r="BR117" s="725">
        <v>3.415153328105696E-2</v>
      </c>
      <c r="BS117" s="725">
        <v>5.0170841770841502E-2</v>
      </c>
      <c r="BT117" s="725">
        <v>6.8450968739778142E-2</v>
      </c>
      <c r="BW117" s="1189">
        <f>'2018'!R\Max</f>
        <v>0</v>
      </c>
      <c r="BX117" s="1187">
        <f>'2019'!R\Max</f>
        <v>1.0074852666766612</v>
      </c>
      <c r="BY117" s="1187">
        <f>'2020'!R\Max</f>
        <v>0.81192329469670355</v>
      </c>
      <c r="BZ117" s="1187">
        <f>'2021'!R\Max</f>
        <v>0.88838701886331295</v>
      </c>
      <c r="CA117" s="1187">
        <f>'2022'!R\Max</f>
        <v>0.1579140885226625</v>
      </c>
      <c r="CB117" s="1187">
        <f>'2023'!R\Max</f>
        <v>0.15788389842394179</v>
      </c>
      <c r="CC117" s="1187">
        <f>'2024'!R\Max</f>
        <v>0.15785370832522111</v>
      </c>
      <c r="CD117" s="1187">
        <f>'2025'!R\Max</f>
        <v>0.15797886623461813</v>
      </c>
      <c r="CE117" s="1187">
        <f>'2026'!R\Max</f>
        <v>0.15796820029900005</v>
      </c>
      <c r="CF117" s="1188">
        <f>'2027'!R\Max</f>
        <v>0.15795328469590875</v>
      </c>
    </row>
    <row r="118" spans="1:84" s="6" customFormat="1" ht="11.25" x14ac:dyDescent="0.2">
      <c r="A118" s="11">
        <v>43204</v>
      </c>
      <c r="B118" s="380">
        <f>'2022'!Maxi_hp</f>
        <v>57.09243105824325</v>
      </c>
      <c r="C118" s="13">
        <f>'2022'!An_max</f>
        <v>2021</v>
      </c>
      <c r="D118" s="1061"/>
      <c r="E118" s="13"/>
      <c r="F118" s="13">
        <f t="shared" si="74"/>
        <v>9</v>
      </c>
      <c r="G118" s="13">
        <f t="shared" si="58"/>
        <v>8</v>
      </c>
      <c r="H118" s="173">
        <f t="shared" si="59"/>
        <v>43206</v>
      </c>
      <c r="I118" s="752">
        <f t="shared" si="60"/>
        <v>0.14285714285714285</v>
      </c>
      <c r="J118" s="745">
        <f t="shared" si="61"/>
        <v>56.662390667838714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4">
        <v>43204</v>
      </c>
      <c r="AP118" s="13">
        <f t="shared" si="62"/>
        <v>5</v>
      </c>
      <c r="AQ118" s="13">
        <f t="shared" si="63"/>
        <v>6</v>
      </c>
      <c r="AR118" s="173">
        <f t="shared" si="64"/>
        <v>43192</v>
      </c>
      <c r="AS118" s="752">
        <f t="shared" si="65"/>
        <v>0.42857142857142855</v>
      </c>
      <c r="AT118" s="768">
        <f t="shared" si="66"/>
        <v>56.504081633580576</v>
      </c>
      <c r="AU118" s="13">
        <f t="shared" si="67"/>
        <v>5</v>
      </c>
      <c r="AV118" s="13">
        <f t="shared" si="68"/>
        <v>4</v>
      </c>
      <c r="AW118" s="173">
        <f t="shared" si="69"/>
        <v>43206</v>
      </c>
      <c r="AX118" s="752">
        <f t="shared" si="70"/>
        <v>7.1428571428571425E-2</v>
      </c>
      <c r="AY118" s="768">
        <f t="shared" si="71"/>
        <v>56.651457725392127</v>
      </c>
      <c r="AZ118" s="745">
        <f t="shared" si="75"/>
        <v>56.577769679486352</v>
      </c>
      <c r="BA118" s="642">
        <f t="shared" si="72"/>
        <v>1.0075895207621133</v>
      </c>
      <c r="BC118" s="11">
        <v>43204</v>
      </c>
      <c r="BD118" s="290">
        <f>[2]!FeuilCaduc*(1-Persistant)+Persistant</f>
        <v>0.7279392158825031</v>
      </c>
      <c r="BE118" s="291">
        <f>[2]!CroissVégét</f>
        <v>8.6425206757263798E-2</v>
      </c>
      <c r="BF118" s="815">
        <f>1+[2]!Salcycl*Ksac</f>
        <v>1.0046565359804172</v>
      </c>
      <c r="BH118" s="1052">
        <f t="shared" si="73"/>
        <v>2.0048912752822523E-3</v>
      </c>
      <c r="BI118" s="11">
        <v>44300</v>
      </c>
      <c r="BJ118" s="725">
        <v>2.0795939886989929E-6</v>
      </c>
      <c r="BK118" s="725">
        <v>5.3453861748886718E-5</v>
      </c>
      <c r="BL118" s="725">
        <v>3.8081005466591967E-4</v>
      </c>
      <c r="BM118" s="725">
        <v>1.2277180180905692E-3</v>
      </c>
      <c r="BN118" s="725">
        <v>3.1741058522622673E-3</v>
      </c>
      <c r="BO118" s="726">
        <v>6.5971092241115074E-3</v>
      </c>
      <c r="BP118" s="725">
        <v>1.219449456065007E-2</v>
      </c>
      <c r="BQ118" s="725">
        <v>2.054889980659895E-2</v>
      </c>
      <c r="BR118" s="725">
        <v>3.2704198535432757E-2</v>
      </c>
      <c r="BS118" s="725">
        <v>4.8333698028995703E-2</v>
      </c>
      <c r="BT118" s="725">
        <v>6.6241562147226207E-2</v>
      </c>
      <c r="BW118" s="1189">
        <f>'2018'!R\Max</f>
        <v>0</v>
      </c>
      <c r="BX118" s="1187">
        <f>'2019'!R\Max</f>
        <v>0.52144363514217995</v>
      </c>
      <c r="BY118" s="1187">
        <f>'2020'!R\Max</f>
        <v>0.29694622106360363</v>
      </c>
      <c r="BZ118" s="1187">
        <f>'2021'!R\Max</f>
        <v>1.0075895207621133</v>
      </c>
      <c r="CA118" s="1187">
        <f>'2022'!R\Max</f>
        <v>0.76995013590102246</v>
      </c>
      <c r="CB118" s="1187">
        <f>'2023'!R\Max</f>
        <v>0.7699042666774325</v>
      </c>
      <c r="CC118" s="1187">
        <f>'2024'!R\Max</f>
        <v>0.76985838628520675</v>
      </c>
      <c r="CD118" s="1187">
        <f>'2025'!R\Max</f>
        <v>0.77004748065329687</v>
      </c>
      <c r="CE118" s="1187">
        <f>'2026'!R\Max</f>
        <v>0.77003153998002516</v>
      </c>
      <c r="CF118" s="1188">
        <f>'2027'!R\Max</f>
        <v>0.77000913105633972</v>
      </c>
    </row>
    <row r="119" spans="1:84" s="6" customFormat="1" ht="11.25" x14ac:dyDescent="0.2">
      <c r="A119" s="11">
        <v>43205</v>
      </c>
      <c r="B119" s="380">
        <f>'2022'!Maxi_hp</f>
        <v>57.996745654334866</v>
      </c>
      <c r="C119" s="13">
        <f>'2022'!An_max</f>
        <v>2021</v>
      </c>
      <c r="D119" s="1061"/>
      <c r="E119" s="13"/>
      <c r="F119" s="13">
        <f t="shared" si="74"/>
        <v>9</v>
      </c>
      <c r="G119" s="13">
        <f t="shared" si="58"/>
        <v>8</v>
      </c>
      <c r="H119" s="173">
        <f t="shared" si="59"/>
        <v>43206</v>
      </c>
      <c r="I119" s="752">
        <f t="shared" si="60"/>
        <v>7.1428571428571425E-2</v>
      </c>
      <c r="J119" s="745">
        <f t="shared" si="61"/>
        <v>56.985222301419299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4">
        <v>43205</v>
      </c>
      <c r="AP119" s="13">
        <f t="shared" si="62"/>
        <v>5</v>
      </c>
      <c r="AQ119" s="13">
        <f t="shared" si="63"/>
        <v>6</v>
      </c>
      <c r="AR119" s="173">
        <f t="shared" si="64"/>
        <v>43192</v>
      </c>
      <c r="AS119" s="752">
        <f t="shared" si="65"/>
        <v>0.4642857142857143</v>
      </c>
      <c r="AT119" s="768">
        <f t="shared" si="66"/>
        <v>56.830006377798099</v>
      </c>
      <c r="AU119" s="13">
        <f t="shared" si="67"/>
        <v>5</v>
      </c>
      <c r="AV119" s="13">
        <f t="shared" si="68"/>
        <v>4</v>
      </c>
      <c r="AW119" s="173">
        <f t="shared" si="69"/>
        <v>43206</v>
      </c>
      <c r="AX119" s="752">
        <f t="shared" si="70"/>
        <v>3.5714285714285712E-2</v>
      </c>
      <c r="AY119" s="768">
        <f t="shared" si="71"/>
        <v>56.982388849277051</v>
      </c>
      <c r="AZ119" s="745">
        <f t="shared" si="75"/>
        <v>56.906197613537572</v>
      </c>
      <c r="BA119" s="642">
        <f t="shared" si="72"/>
        <v>1.0177506257247746</v>
      </c>
      <c r="BC119" s="11">
        <v>43205</v>
      </c>
      <c r="BD119" s="290">
        <f>[2]!FeuilCaduc*(1-Persistant)+Persistant</f>
        <v>0.72971761912180411</v>
      </c>
      <c r="BE119" s="291">
        <f>[2]!CroissVégét</f>
        <v>8.9774041376326802E-2</v>
      </c>
      <c r="BF119" s="815">
        <f>1+[2]!Salcycl*Ksac</f>
        <v>1.0049529365203007</v>
      </c>
      <c r="BH119" s="1052">
        <f t="shared" si="73"/>
        <v>1.8642539623342012E-3</v>
      </c>
      <c r="BI119" s="11">
        <v>44301</v>
      </c>
      <c r="BJ119" s="725">
        <v>1.3731927726467616E-6</v>
      </c>
      <c r="BK119" s="725">
        <v>4.5563858447894527E-5</v>
      </c>
      <c r="BL119" s="725">
        <v>3.4580168288483491E-4</v>
      </c>
      <c r="BM119" s="725">
        <v>1.1371100707976225E-3</v>
      </c>
      <c r="BN119" s="725">
        <v>2.9582021002548188E-3</v>
      </c>
      <c r="BO119" s="726">
        <v>6.1793195930422221E-3</v>
      </c>
      <c r="BP119" s="725">
        <v>1.1499235721021638E-2</v>
      </c>
      <c r="BQ119" s="725">
        <v>1.9532779325379109E-2</v>
      </c>
      <c r="BR119" s="725">
        <v>3.1271191430545284E-2</v>
      </c>
      <c r="BS119" s="725">
        <v>4.649175328893914E-2</v>
      </c>
      <c r="BT119" s="725">
        <v>6.401083035175438E-2</v>
      </c>
      <c r="BW119" s="1189">
        <f>'2018'!R\Max</f>
        <v>0</v>
      </c>
      <c r="BX119" s="1187">
        <f>'2019'!R\Max</f>
        <v>0.68382691136121132</v>
      </c>
      <c r="BY119" s="1187">
        <f>'2020'!R\Max</f>
        <v>0.9864927409022447</v>
      </c>
      <c r="BZ119" s="1187">
        <f>'2021'!R\Max</f>
        <v>1.0177506257247746</v>
      </c>
      <c r="CA119" s="1187">
        <f>'2022'!R\Max</f>
        <v>0.84661429471236505</v>
      </c>
      <c r="CB119" s="1187">
        <f>'2023'!R\Max</f>
        <v>0.84658243669758293</v>
      </c>
      <c r="CC119" s="1187">
        <f>'2024'!R\Max</f>
        <v>0.8465505701356234</v>
      </c>
      <c r="CD119" s="1187">
        <f>'2025'!R\Max</f>
        <v>0.84668123762292824</v>
      </c>
      <c r="CE119" s="1187">
        <f>'2026'!R\Max</f>
        <v>0.84667033922487289</v>
      </c>
      <c r="CF119" s="1188">
        <f>'2027'!R\Max</f>
        <v>0.84665493129258984</v>
      </c>
    </row>
    <row r="120" spans="1:84" s="6" customFormat="1" ht="11.25" x14ac:dyDescent="0.2">
      <c r="A120" s="11">
        <v>43206</v>
      </c>
      <c r="B120" s="380">
        <f>'2022'!Maxi_hp</f>
        <v>52.327517429818045</v>
      </c>
      <c r="C120" s="13">
        <f>'2022'!An_max</f>
        <v>2022</v>
      </c>
      <c r="D120" s="1061"/>
      <c r="E120" s="1056">
        <f>U$13/10</f>
        <v>57.3</v>
      </c>
      <c r="F120" s="13">
        <f t="shared" si="74"/>
        <v>9</v>
      </c>
      <c r="G120" s="13">
        <f t="shared" si="58"/>
        <v>10</v>
      </c>
      <c r="H120" s="173">
        <f t="shared" si="59"/>
        <v>43206</v>
      </c>
      <c r="I120" s="752">
        <f t="shared" si="60"/>
        <v>0</v>
      </c>
      <c r="J120" s="745">
        <f t="shared" si="61"/>
        <v>57.299999997019768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4">
        <v>43206</v>
      </c>
      <c r="AP120" s="13">
        <f t="shared" si="62"/>
        <v>5</v>
      </c>
      <c r="AQ120" s="13">
        <f t="shared" si="63"/>
        <v>6</v>
      </c>
      <c r="AR120" s="173">
        <f t="shared" si="64"/>
        <v>43192</v>
      </c>
      <c r="AS120" s="752">
        <f t="shared" si="65"/>
        <v>0.5</v>
      </c>
      <c r="AT120" s="768">
        <f t="shared" si="66"/>
        <v>57.149999999627468</v>
      </c>
      <c r="AU120" s="13">
        <f t="shared" si="67"/>
        <v>5</v>
      </c>
      <c r="AV120" s="13">
        <f t="shared" si="68"/>
        <v>6</v>
      </c>
      <c r="AW120" s="173">
        <f t="shared" si="69"/>
        <v>43206</v>
      </c>
      <c r="AX120" s="752">
        <f t="shared" si="70"/>
        <v>0</v>
      </c>
      <c r="AY120" s="768">
        <f t="shared" si="71"/>
        <v>57.3</v>
      </c>
      <c r="AZ120" s="745">
        <f t="shared" si="75"/>
        <v>57.224999999813733</v>
      </c>
      <c r="BA120" s="642">
        <f t="shared" si="72"/>
        <v>0.91322019952076183</v>
      </c>
      <c r="BC120" s="11">
        <v>43206</v>
      </c>
      <c r="BD120" s="290">
        <f>[2]!FeuilCaduc*(1-Persistant)+Persistant</f>
        <v>0.73157635342453586</v>
      </c>
      <c r="BE120" s="291">
        <f>[2]!CroissVégét</f>
        <v>9.3237357323611589E-2</v>
      </c>
      <c r="BF120" s="815">
        <f>1+[2]!Salcycl*Ksac</f>
        <v>1.005262725570756</v>
      </c>
      <c r="BH120" s="1052">
        <f t="shared" si="73"/>
        <v>1.7350549528507269E-3</v>
      </c>
      <c r="BI120" s="11">
        <v>44302</v>
      </c>
      <c r="BJ120" s="725">
        <v>8.9804574633587254E-7</v>
      </c>
      <c r="BK120" s="725">
        <v>3.9868690712402264E-5</v>
      </c>
      <c r="BL120" s="725">
        <v>3.1543892870741102E-4</v>
      </c>
      <c r="BM120" s="725">
        <v>1.0553707978332714E-3</v>
      </c>
      <c r="BN120" s="725">
        <v>2.7576025179334358E-3</v>
      </c>
      <c r="BO120" s="726">
        <v>5.7880905971085285E-3</v>
      </c>
      <c r="BP120" s="725">
        <v>1.0837834762894558E-2</v>
      </c>
      <c r="BQ120" s="725">
        <v>1.8546998776312298E-2</v>
      </c>
      <c r="BR120" s="725">
        <v>2.9852529472303657E-2</v>
      </c>
      <c r="BS120" s="725">
        <v>4.4645038070415664E-2</v>
      </c>
      <c r="BT120" s="725">
        <v>6.1758814524753597E-2</v>
      </c>
      <c r="BW120" s="1189">
        <f>'2018'!R\Max</f>
        <v>0</v>
      </c>
      <c r="BX120" s="1187">
        <f>'2019'!R\Max</f>
        <v>0.6440284616320463</v>
      </c>
      <c r="BY120" s="1187">
        <f>'2020'!R\Max</f>
        <v>0.83552354995265909</v>
      </c>
      <c r="BZ120" s="1187">
        <f>'2021'!R\Max</f>
        <v>0.83743750265855665</v>
      </c>
      <c r="CA120" s="1187">
        <f>'2022'!R\Max</f>
        <v>0.91322019952076183</v>
      </c>
      <c r="CB120" s="1187">
        <f>'2023'!R\Max</f>
        <v>0.91320179953593583</v>
      </c>
      <c r="CC120" s="1187">
        <f>'2024'!R\Max</f>
        <v>0.91318339431002182</v>
      </c>
      <c r="CD120" s="1187">
        <f>'2025'!R\Max</f>
        <v>0.91325851785100498</v>
      </c>
      <c r="CE120" s="1187">
        <f>'2026'!R\Max</f>
        <v>0.91325231961445574</v>
      </c>
      <c r="CF120" s="1188">
        <f>'2027'!R\Max</f>
        <v>0.91324350145486</v>
      </c>
    </row>
    <row r="121" spans="1:84" s="6" customFormat="1" ht="11.25" x14ac:dyDescent="0.2">
      <c r="A121" s="11">
        <v>43207</v>
      </c>
      <c r="B121" s="380">
        <f>'2022'!Maxi_hp</f>
        <v>57.284777251716619</v>
      </c>
      <c r="C121" s="13">
        <f>'2022'!An_max</f>
        <v>2022</v>
      </c>
      <c r="D121" s="1061"/>
      <c r="E121" s="13"/>
      <c r="F121" s="13">
        <f t="shared" si="74"/>
        <v>9</v>
      </c>
      <c r="G121" s="13">
        <f t="shared" si="58"/>
        <v>10</v>
      </c>
      <c r="H121" s="173">
        <f t="shared" si="59"/>
        <v>43206</v>
      </c>
      <c r="I121" s="752">
        <f t="shared" si="60"/>
        <v>7.1428571428571425E-2</v>
      </c>
      <c r="J121" s="745">
        <f t="shared" si="61"/>
        <v>57.606650872954312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4">
        <v>43207</v>
      </c>
      <c r="AP121" s="13">
        <f t="shared" si="62"/>
        <v>5</v>
      </c>
      <c r="AQ121" s="13">
        <f t="shared" si="63"/>
        <v>6</v>
      </c>
      <c r="AR121" s="173">
        <f t="shared" si="64"/>
        <v>43192</v>
      </c>
      <c r="AS121" s="752">
        <f t="shared" si="65"/>
        <v>0.5357142857142857</v>
      </c>
      <c r="AT121" s="768">
        <f t="shared" si="66"/>
        <v>57.46387117385332</v>
      </c>
      <c r="AU121" s="13">
        <f t="shared" si="67"/>
        <v>5</v>
      </c>
      <c r="AV121" s="13">
        <f t="shared" si="68"/>
        <v>6</v>
      </c>
      <c r="AW121" s="173">
        <f t="shared" si="69"/>
        <v>43206</v>
      </c>
      <c r="AX121" s="752">
        <f t="shared" si="70"/>
        <v>3.5714285714285712E-2</v>
      </c>
      <c r="AY121" s="768">
        <f t="shared" si="71"/>
        <v>57.60633882986648</v>
      </c>
      <c r="AZ121" s="745">
        <f t="shared" si="75"/>
        <v>57.535105001859904</v>
      </c>
      <c r="BA121" s="642">
        <f t="shared" si="72"/>
        <v>0.99441256146017665</v>
      </c>
      <c r="BC121" s="11">
        <v>43207</v>
      </c>
      <c r="BD121" s="290">
        <f>[2]!FeuilCaduc*(1-Persistant)+Persistant</f>
        <v>0.73351642471973943</v>
      </c>
      <c r="BE121" s="291">
        <f>[2]!CroissVégét</f>
        <v>9.6818050392965163E-2</v>
      </c>
      <c r="BF121" s="815">
        <f>1+[2]!Salcycl*Ksac</f>
        <v>1.0055860707866233</v>
      </c>
      <c r="BH121" s="1052">
        <f t="shared" si="73"/>
        <v>1.6172916219469708E-3</v>
      </c>
      <c r="BI121" s="11">
        <v>44303</v>
      </c>
      <c r="BJ121" s="725">
        <v>6.54058306429032E-7</v>
      </c>
      <c r="BK121" s="725">
        <v>3.6367479636363916E-5</v>
      </c>
      <c r="BL121" s="725">
        <v>2.8972030797812649E-4</v>
      </c>
      <c r="BM121" s="725">
        <v>9.8249780405147398E-4</v>
      </c>
      <c r="BN121" s="725">
        <v>2.5723041347837992E-3</v>
      </c>
      <c r="BO121" s="726">
        <v>5.423417815511822E-3</v>
      </c>
      <c r="BP121" s="725">
        <v>1.0210288931306665E-2</v>
      </c>
      <c r="BQ121" s="725">
        <v>1.7591562494312304E-2</v>
      </c>
      <c r="BR121" s="725">
        <v>2.8448231304258071E-2</v>
      </c>
      <c r="BS121" s="725">
        <v>4.2793585491929735E-2</v>
      </c>
      <c r="BT121" s="725">
        <v>5.9485559742166898E-2</v>
      </c>
      <c r="BW121" s="1189">
        <f>'2018'!R\Max</f>
        <v>0</v>
      </c>
      <c r="BX121" s="1187">
        <f>'2019'!R\Max</f>
        <v>0.65745758311444735</v>
      </c>
      <c r="BY121" s="1187">
        <f>'2020'!R\Max</f>
        <v>0.77326580821951829</v>
      </c>
      <c r="BZ121" s="1187">
        <f>'2021'!R\Max</f>
        <v>0.90358259469251212</v>
      </c>
      <c r="CA121" s="1187">
        <f>'2022'!R\Max</f>
        <v>0.99441256146017665</v>
      </c>
      <c r="CB121" s="1187">
        <f>'2023'!R\Max</f>
        <v>0.99441134186312252</v>
      </c>
      <c r="CC121" s="1187">
        <f>'2024'!R\Max</f>
        <v>0.99441012189416766</v>
      </c>
      <c r="CD121" s="1187">
        <f>'2025'!R\Max</f>
        <v>0.99441508153063174</v>
      </c>
      <c r="CE121" s="1187">
        <f>'2026'!R\Max</f>
        <v>0.99441467677678708</v>
      </c>
      <c r="CF121" s="1188">
        <f>'2027'!R\Max</f>
        <v>0.99441409691961724</v>
      </c>
    </row>
    <row r="122" spans="1:84" s="6" customFormat="1" ht="11.25" x14ac:dyDescent="0.2">
      <c r="A122" s="11">
        <v>43208</v>
      </c>
      <c r="B122" s="380">
        <f>'2022'!Maxi_hp</f>
        <v>45.175246196580972</v>
      </c>
      <c r="C122" s="13">
        <f>'2022'!An_max</f>
        <v>2022</v>
      </c>
      <c r="D122" s="1061"/>
      <c r="E122" s="13"/>
      <c r="F122" s="13">
        <f t="shared" si="74"/>
        <v>9</v>
      </c>
      <c r="G122" s="13">
        <f t="shared" si="58"/>
        <v>10</v>
      </c>
      <c r="H122" s="173">
        <f t="shared" si="59"/>
        <v>43206</v>
      </c>
      <c r="I122" s="752">
        <f t="shared" si="60"/>
        <v>0.14285714285714285</v>
      </c>
      <c r="J122" s="745">
        <f t="shared" si="61"/>
        <v>57.905247810802294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4">
        <v>43208</v>
      </c>
      <c r="AP122" s="13">
        <f t="shared" si="62"/>
        <v>5</v>
      </c>
      <c r="AQ122" s="13">
        <f t="shared" si="63"/>
        <v>6</v>
      </c>
      <c r="AR122" s="173">
        <f t="shared" si="64"/>
        <v>43192</v>
      </c>
      <c r="AS122" s="752">
        <f t="shared" si="65"/>
        <v>0.5714285714285714</v>
      </c>
      <c r="AT122" s="768">
        <f t="shared" si="66"/>
        <v>57.771428571854315</v>
      </c>
      <c r="AU122" s="13">
        <f t="shared" si="67"/>
        <v>5</v>
      </c>
      <c r="AV122" s="13">
        <f t="shared" si="68"/>
        <v>6</v>
      </c>
      <c r="AW122" s="173">
        <f t="shared" si="69"/>
        <v>43206</v>
      </c>
      <c r="AX122" s="752">
        <f t="shared" si="70"/>
        <v>7.1428571428571425E-2</v>
      </c>
      <c r="AY122" s="768">
        <f t="shared" si="71"/>
        <v>57.904026966382347</v>
      </c>
      <c r="AZ122" s="745">
        <f t="shared" si="75"/>
        <v>57.837727769118331</v>
      </c>
      <c r="BA122" s="642">
        <f t="shared" si="72"/>
        <v>0.78015806691968725</v>
      </c>
      <c r="BC122" s="11">
        <v>43208</v>
      </c>
      <c r="BD122" s="290">
        <f>[2]!FeuilCaduc*(1-Persistant)+Persistant</f>
        <v>0.73553873273399106</v>
      </c>
      <c r="BE122" s="291">
        <f>[2]!CroissVégét</f>
        <v>0.10051901103841099</v>
      </c>
      <c r="BF122" s="815">
        <f>1+[2]!Salcycl*Ksac</f>
        <v>1.0059231221223319</v>
      </c>
      <c r="BH122" s="1052">
        <f t="shared" si="73"/>
        <v>1.5137206886552798E-3</v>
      </c>
      <c r="BI122" s="11">
        <v>44304</v>
      </c>
      <c r="BJ122" s="725">
        <v>6.6102509298542031E-7</v>
      </c>
      <c r="BK122" s="725">
        <v>3.5085497988895828E-5</v>
      </c>
      <c r="BL122" s="725">
        <v>2.6923259380658843E-4</v>
      </c>
      <c r="BM122" s="725">
        <v>9.2027085384123388E-4</v>
      </c>
      <c r="BN122" s="725">
        <v>2.4065334445628438E-3</v>
      </c>
      <c r="BO122" s="726">
        <v>5.0929931131868658E-3</v>
      </c>
      <c r="BP122" s="725">
        <v>9.6289235354687815E-3</v>
      </c>
      <c r="BQ122" s="725">
        <v>1.66841869272146E-2</v>
      </c>
      <c r="BR122" s="725">
        <v>2.7082434300229479E-2</v>
      </c>
      <c r="BS122" s="725">
        <v>4.0965025859511138E-2</v>
      </c>
      <c r="BT122" s="725">
        <v>5.721911811348427E-2</v>
      </c>
      <c r="BW122" s="1189">
        <f>'2018'!R\Max</f>
        <v>0</v>
      </c>
      <c r="BX122" s="1187">
        <f>'2019'!R\Max</f>
        <v>0.50238753538970315</v>
      </c>
      <c r="BY122" s="1187">
        <f>'2020'!R\Max</f>
        <v>0.62314746296742696</v>
      </c>
      <c r="BZ122" s="1187">
        <f>'2021'!R\Max</f>
        <v>0.69447158838034684</v>
      </c>
      <c r="CA122" s="1187">
        <f>'2022'!R\Max</f>
        <v>0.78015806691968725</v>
      </c>
      <c r="CB122" s="1187">
        <f>'2023'!R\Max</f>
        <v>0.78012248187509847</v>
      </c>
      <c r="CC122" s="1187">
        <f>'2024'!R\Max</f>
        <v>0.78008688973830953</v>
      </c>
      <c r="CD122" s="1187">
        <f>'2025'!R\Max</f>
        <v>0.78023116894626476</v>
      </c>
      <c r="CE122" s="1187">
        <f>'2026'!R\Max</f>
        <v>0.78021951455032335</v>
      </c>
      <c r="CF122" s="1188">
        <f>'2027'!R\Max</f>
        <v>0.78020269422983712</v>
      </c>
    </row>
    <row r="123" spans="1:84" s="6" customFormat="1" ht="11.25" x14ac:dyDescent="0.2">
      <c r="A123" s="11">
        <v>43209</v>
      </c>
      <c r="B123" s="380">
        <f>'2022'!Maxi_hp</f>
        <v>58.078197981437626</v>
      </c>
      <c r="C123" s="13">
        <f>'2022'!An_max</f>
        <v>2021</v>
      </c>
      <c r="D123" s="1061"/>
      <c r="E123" s="13"/>
      <c r="F123" s="13">
        <f t="shared" si="74"/>
        <v>9</v>
      </c>
      <c r="G123" s="13">
        <f t="shared" si="58"/>
        <v>10</v>
      </c>
      <c r="H123" s="173">
        <f t="shared" si="59"/>
        <v>43206</v>
      </c>
      <c r="I123" s="752">
        <f t="shared" si="60"/>
        <v>0.21428571428571427</v>
      </c>
      <c r="J123" s="745">
        <f t="shared" si="61"/>
        <v>58.195900143097546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4">
        <v>43209</v>
      </c>
      <c r="AP123" s="13">
        <f t="shared" si="62"/>
        <v>5</v>
      </c>
      <c r="AQ123" s="13">
        <f t="shared" si="63"/>
        <v>6</v>
      </c>
      <c r="AR123" s="173">
        <f t="shared" si="64"/>
        <v>43192</v>
      </c>
      <c r="AS123" s="752">
        <f t="shared" si="65"/>
        <v>0.6071428571428571</v>
      </c>
      <c r="AT123" s="768">
        <f t="shared" si="66"/>
        <v>58.072480867483783</v>
      </c>
      <c r="AU123" s="13">
        <f t="shared" si="67"/>
        <v>5</v>
      </c>
      <c r="AV123" s="13">
        <f t="shared" si="68"/>
        <v>6</v>
      </c>
      <c r="AW123" s="173">
        <f t="shared" si="69"/>
        <v>43206</v>
      </c>
      <c r="AX123" s="752">
        <f t="shared" si="70"/>
        <v>0.10714285714285714</v>
      </c>
      <c r="AY123" s="768">
        <f t="shared" si="71"/>
        <v>58.193214741695137</v>
      </c>
      <c r="AZ123" s="745">
        <f t="shared" si="75"/>
        <v>58.13284780458946</v>
      </c>
      <c r="BA123" s="642">
        <f t="shared" si="72"/>
        <v>0.9979774836136136</v>
      </c>
      <c r="BC123" s="11">
        <v>43209</v>
      </c>
      <c r="BD123" s="290">
        <f>[2]!FeuilCaduc*(1-Persistant)+Persistant</f>
        <v>0.73764406652868653</v>
      </c>
      <c r="BE123" s="291">
        <f>[2]!CroissVégét</f>
        <v>0.1043431172076847</v>
      </c>
      <c r="BF123" s="815">
        <f>1+[2]!Salcycl*Ksac</f>
        <v>1.0062740110881143</v>
      </c>
      <c r="BH123" s="1052">
        <f t="shared" si="73"/>
        <v>1.4162196588056778E-3</v>
      </c>
      <c r="BI123" s="11">
        <v>44305</v>
      </c>
      <c r="BJ123" s="725">
        <v>6.7933349751972625E-7</v>
      </c>
      <c r="BK123" s="725">
        <v>3.3798926808234038E-5</v>
      </c>
      <c r="BL123" s="725">
        <v>2.49670287156694E-4</v>
      </c>
      <c r="BM123" s="725">
        <v>8.6156873284293917E-4</v>
      </c>
      <c r="BN123" s="725">
        <v>2.2506615824952219E-3</v>
      </c>
      <c r="BO123" s="726">
        <v>4.7826426190683618E-3</v>
      </c>
      <c r="BP123" s="725">
        <v>9.0793661793489872E-3</v>
      </c>
      <c r="BQ123" s="725">
        <v>1.5816864741919713E-2</v>
      </c>
      <c r="BR123" s="725">
        <v>2.576607401875914E-2</v>
      </c>
      <c r="BS123" s="725">
        <v>3.9186098811938588E-2</v>
      </c>
      <c r="BT123" s="725">
        <v>5.4996220573250425E-2</v>
      </c>
      <c r="BW123" s="1189">
        <f>'2018'!R\Max</f>
        <v>0</v>
      </c>
      <c r="BX123" s="1187">
        <f>'2019'!R\Max</f>
        <v>0.86896295393842005</v>
      </c>
      <c r="BY123" s="1187">
        <f>'2020'!R\Max</f>
        <v>0.78602281611783387</v>
      </c>
      <c r="BZ123" s="1187">
        <f>'2021'!R\Max</f>
        <v>0.9979774836136136</v>
      </c>
      <c r="CA123" s="1187">
        <f>'2022'!R\Max</f>
        <v>0.18136436572644066</v>
      </c>
      <c r="CB123" s="1187">
        <f>'2023'!R\Max</f>
        <v>0.18133946757008582</v>
      </c>
      <c r="CC123" s="1187">
        <f>'2024'!R\Max</f>
        <v>0.18131456941373103</v>
      </c>
      <c r="CD123" s="1187">
        <f>'2025'!R\Max</f>
        <v>0.18141525025464214</v>
      </c>
      <c r="CE123" s="1187">
        <f>'2026'!R\Max</f>
        <v>0.1814072009001802</v>
      </c>
      <c r="CF123" s="1188">
        <f>'2027'!R\Max</f>
        <v>0.1813954919094975</v>
      </c>
    </row>
    <row r="124" spans="1:84" s="6" customFormat="1" ht="11.25" x14ac:dyDescent="0.2">
      <c r="A124" s="11">
        <v>43210</v>
      </c>
      <c r="B124" s="380">
        <f>'2022'!Maxi_hp</f>
        <v>49.816269691728465</v>
      </c>
      <c r="C124" s="13">
        <f>'2022'!An_max</f>
        <v>2019</v>
      </c>
      <c r="D124" s="1061"/>
      <c r="E124" s="13"/>
      <c r="F124" s="13">
        <f t="shared" si="74"/>
        <v>9</v>
      </c>
      <c r="G124" s="13">
        <f t="shared" si="58"/>
        <v>10</v>
      </c>
      <c r="H124" s="173">
        <f t="shared" si="59"/>
        <v>43206</v>
      </c>
      <c r="I124" s="752">
        <f t="shared" si="60"/>
        <v>0.2857142857142857</v>
      </c>
      <c r="J124" s="745">
        <f t="shared" si="61"/>
        <v>58.478717198967935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4">
        <v>43210</v>
      </c>
      <c r="AP124" s="13">
        <f t="shared" si="62"/>
        <v>5</v>
      </c>
      <c r="AQ124" s="13">
        <f t="shared" si="63"/>
        <v>6</v>
      </c>
      <c r="AR124" s="173">
        <f t="shared" si="64"/>
        <v>43192</v>
      </c>
      <c r="AS124" s="752">
        <f t="shared" si="65"/>
        <v>0.6428571428571429</v>
      </c>
      <c r="AT124" s="768">
        <f t="shared" si="66"/>
        <v>58.366836734807919</v>
      </c>
      <c r="AU124" s="13">
        <f t="shared" si="67"/>
        <v>5</v>
      </c>
      <c r="AV124" s="13">
        <f t="shared" si="68"/>
        <v>6</v>
      </c>
      <c r="AW124" s="173">
        <f t="shared" si="69"/>
        <v>43206</v>
      </c>
      <c r="AX124" s="752">
        <f t="shared" si="70"/>
        <v>0.14285714285714285</v>
      </c>
      <c r="AY124" s="768">
        <f t="shared" si="71"/>
        <v>58.474052477308689</v>
      </c>
      <c r="AZ124" s="745">
        <f t="shared" si="75"/>
        <v>58.420444606058304</v>
      </c>
      <c r="BA124" s="642">
        <f t="shared" si="72"/>
        <v>0.8518700833028473</v>
      </c>
      <c r="BC124" s="11">
        <v>43210</v>
      </c>
      <c r="BD124" s="290">
        <f>[2]!FeuilCaduc*(1-Persistant)+Persistant</f>
        <v>0.73983309986957568</v>
      </c>
      <c r="BE124" s="291">
        <f>[2]!CroissVégét</f>
        <v>0.10829322666502313</v>
      </c>
      <c r="BF124" s="815">
        <f>1+[2]!Salcycl*Ksac</f>
        <v>1.0066388499782626</v>
      </c>
      <c r="BH124" s="1052">
        <f t="shared" si="73"/>
        <v>1.3247874976860684E-3</v>
      </c>
      <c r="BI124" s="11">
        <v>44306</v>
      </c>
      <c r="BJ124" s="725">
        <v>7.0897669556211718E-7</v>
      </c>
      <c r="BK124" s="725">
        <v>3.2507792937376728E-5</v>
      </c>
      <c r="BL124" s="725">
        <v>2.3103334895733306E-4</v>
      </c>
      <c r="BM124" s="725">
        <v>8.0639088480249455E-4</v>
      </c>
      <c r="BN124" s="725">
        <v>2.1046867940549946E-3</v>
      </c>
      <c r="BO124" s="726">
        <v>4.4923625438887489E-3</v>
      </c>
      <c r="BP124" s="725">
        <v>8.5616119596437813E-3</v>
      </c>
      <c r="BQ124" s="725">
        <v>1.4989593159019682E-2</v>
      </c>
      <c r="BR124" s="725">
        <v>2.4499151758630246E-2</v>
      </c>
      <c r="BS124" s="725">
        <v>3.7456813887435783E-2</v>
      </c>
      <c r="BT124" s="725">
        <v>5.2816886970314385E-2</v>
      </c>
      <c r="BW124" s="1189">
        <f>'2018'!R\Max</f>
        <v>0</v>
      </c>
      <c r="BX124" s="1187">
        <f>'2019'!R\Max</f>
        <v>0.8518700833028473</v>
      </c>
      <c r="BY124" s="1187">
        <f>'2020'!R\Max</f>
        <v>0.34248143694115579</v>
      </c>
      <c r="BZ124" s="1187">
        <f>'2021'!R\Max</f>
        <v>0.66924556950459879</v>
      </c>
      <c r="CA124" s="1187">
        <f>'2022'!R\Max</f>
        <v>0.18935766075287835</v>
      </c>
      <c r="CB124" s="1187">
        <f>'2023'!R\Max</f>
        <v>0.18933308825846651</v>
      </c>
      <c r="CC124" s="1187">
        <f>'2024'!R\Max</f>
        <v>0.18930851576405469</v>
      </c>
      <c r="CD124" s="1187">
        <f>'2025'!R\Max</f>
        <v>0.18940764011877742</v>
      </c>
      <c r="CE124" s="1187">
        <f>'2026'!R\Max</f>
        <v>0.18939980025306369</v>
      </c>
      <c r="CF124" s="1188">
        <f>'2027'!R\Max</f>
        <v>0.18938829928302367</v>
      </c>
    </row>
    <row r="125" spans="1:84" s="6" customFormat="1" ht="11.25" x14ac:dyDescent="0.2">
      <c r="A125" s="11">
        <v>43211</v>
      </c>
      <c r="B125" s="380">
        <f>'2022'!Maxi_hp</f>
        <v>54.888327904191918</v>
      </c>
      <c r="C125" s="13">
        <f>'2022'!An_max</f>
        <v>2021</v>
      </c>
      <c r="D125" s="1061"/>
      <c r="E125" s="13"/>
      <c r="F125" s="13">
        <f t="shared" si="74"/>
        <v>9</v>
      </c>
      <c r="G125" s="13">
        <f t="shared" si="58"/>
        <v>10</v>
      </c>
      <c r="H125" s="173">
        <f t="shared" si="59"/>
        <v>43206</v>
      </c>
      <c r="I125" s="752">
        <f t="shared" si="60"/>
        <v>0.35714285714285715</v>
      </c>
      <c r="J125" s="745">
        <f t="shared" si="61"/>
        <v>58.753808309829651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4">
        <v>43211</v>
      </c>
      <c r="AP125" s="13">
        <f t="shared" si="62"/>
        <v>5</v>
      </c>
      <c r="AQ125" s="13">
        <f t="shared" si="63"/>
        <v>6</v>
      </c>
      <c r="AR125" s="173">
        <f t="shared" si="64"/>
        <v>43192</v>
      </c>
      <c r="AS125" s="752">
        <f t="shared" si="65"/>
        <v>0.6785714285714286</v>
      </c>
      <c r="AT125" s="768">
        <f t="shared" si="66"/>
        <v>58.65430484698819</v>
      </c>
      <c r="AU125" s="13">
        <f t="shared" si="67"/>
        <v>5</v>
      </c>
      <c r="AV125" s="13">
        <f t="shared" si="68"/>
        <v>6</v>
      </c>
      <c r="AW125" s="173">
        <f t="shared" si="69"/>
        <v>43206</v>
      </c>
      <c r="AX125" s="752">
        <f t="shared" si="70"/>
        <v>0.17857142857142858</v>
      </c>
      <c r="AY125" s="768">
        <f t="shared" si="71"/>
        <v>58.746690507312977</v>
      </c>
      <c r="AZ125" s="745">
        <f t="shared" si="75"/>
        <v>58.70049767715058</v>
      </c>
      <c r="BA125" s="642">
        <f t="shared" si="72"/>
        <v>0.93420885357330907</v>
      </c>
      <c r="BC125" s="11">
        <v>43211</v>
      </c>
      <c r="BD125" s="290">
        <f>[2]!FeuilCaduc*(1-Persistant)+Persistant</f>
        <v>0.7421063864290961</v>
      </c>
      <c r="BE125" s="291">
        <f>[2]!CroissVégét</f>
        <v>0.11237216879596926</v>
      </c>
      <c r="BF125" s="815">
        <f>1+[2]!Salcycl*Ksac</f>
        <v>1.007017731071516</v>
      </c>
      <c r="BH125" s="1052">
        <f t="shared" si="73"/>
        <v>1.2394264815848105E-3</v>
      </c>
      <c r="BI125" s="11">
        <v>44307</v>
      </c>
      <c r="BJ125" s="725">
        <v>7.4994932950710318E-7</v>
      </c>
      <c r="BK125" s="725">
        <v>3.1212214025990919E-5</v>
      </c>
      <c r="BL125" s="725">
        <v>2.1332232040895851E-4</v>
      </c>
      <c r="BM125" s="725">
        <v>7.5473877854094365E-4</v>
      </c>
      <c r="BN125" s="725">
        <v>1.9686125703208481E-3</v>
      </c>
      <c r="BO125" s="726">
        <v>4.2221603833500565E-3</v>
      </c>
      <c r="BP125" s="725">
        <v>8.0756778747335459E-3</v>
      </c>
      <c r="BQ125" s="725">
        <v>1.4202408690585736E-2</v>
      </c>
      <c r="BR125" s="725">
        <v>2.3281734013080535E-2</v>
      </c>
      <c r="BS125" s="725">
        <v>3.5777281988429999E-2</v>
      </c>
      <c r="BT125" s="725">
        <v>5.0681281877995421E-2</v>
      </c>
      <c r="BW125" s="1189">
        <f>'2018'!R\Max</f>
        <v>0</v>
      </c>
      <c r="BX125" s="1187">
        <f>'2019'!R\Max</f>
        <v>0.33890402869921227</v>
      </c>
      <c r="BY125" s="1187">
        <f>'2020'!R\Max</f>
        <v>0.27204224652321524</v>
      </c>
      <c r="BZ125" s="1187">
        <f>'2021'!R\Max</f>
        <v>0.93420885357330907</v>
      </c>
      <c r="CA125" s="1187">
        <f>'2022'!R\Max</f>
        <v>0.18242937371561549</v>
      </c>
      <c r="CB125" s="1187">
        <f>'2023'!R\Max</f>
        <v>0.18240699208591427</v>
      </c>
      <c r="CC125" s="1187">
        <f>'2024'!R\Max</f>
        <v>0.18238461045621307</v>
      </c>
      <c r="CD125" s="1187">
        <f>'2025'!R\Max</f>
        <v>0.18247471921534958</v>
      </c>
      <c r="CE125" s="1187">
        <f>'2026'!R\Max</f>
        <v>0.18246766891033028</v>
      </c>
      <c r="CF125" s="1188">
        <f>'2027'!R\Max</f>
        <v>0.18245723327715849</v>
      </c>
    </row>
    <row r="126" spans="1:84" s="6" customFormat="1" ht="11.25" x14ac:dyDescent="0.2">
      <c r="A126" s="11">
        <v>43212</v>
      </c>
      <c r="B126" s="380">
        <f>'2022'!Maxi_hp</f>
        <v>59.567608044722562</v>
      </c>
      <c r="C126" s="13">
        <f>'2022'!An_max</f>
        <v>2021</v>
      </c>
      <c r="D126" s="1061"/>
      <c r="E126" s="13"/>
      <c r="F126" s="13">
        <f t="shared" si="74"/>
        <v>9</v>
      </c>
      <c r="G126" s="13">
        <f t="shared" si="58"/>
        <v>10</v>
      </c>
      <c r="H126" s="173">
        <f t="shared" si="59"/>
        <v>43206</v>
      </c>
      <c r="I126" s="752">
        <f t="shared" si="60"/>
        <v>0.42857142857142855</v>
      </c>
      <c r="J126" s="745">
        <f t="shared" si="61"/>
        <v>59.02128279954195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4">
        <v>43212</v>
      </c>
      <c r="AP126" s="13">
        <f t="shared" si="62"/>
        <v>5</v>
      </c>
      <c r="AQ126" s="13">
        <f t="shared" si="63"/>
        <v>6</v>
      </c>
      <c r="AR126" s="173">
        <f t="shared" si="64"/>
        <v>43192</v>
      </c>
      <c r="AS126" s="752">
        <f t="shared" si="65"/>
        <v>0.7142857142857143</v>
      </c>
      <c r="AT126" s="768">
        <f t="shared" si="66"/>
        <v>58.934693877292531</v>
      </c>
      <c r="AU126" s="13">
        <f t="shared" si="67"/>
        <v>5</v>
      </c>
      <c r="AV126" s="13">
        <f t="shared" si="68"/>
        <v>6</v>
      </c>
      <c r="AW126" s="173">
        <f t="shared" si="69"/>
        <v>43206</v>
      </c>
      <c r="AX126" s="752">
        <f t="shared" si="70"/>
        <v>0.21428571428571427</v>
      </c>
      <c r="AY126" s="768">
        <f t="shared" si="71"/>
        <v>59.011279153610971</v>
      </c>
      <c r="AZ126" s="745">
        <f t="shared" si="75"/>
        <v>58.972986515451751</v>
      </c>
      <c r="BA126" s="642">
        <f t="shared" si="72"/>
        <v>1.0092564108956448</v>
      </c>
      <c r="BC126" s="11">
        <v>43212</v>
      </c>
      <c r="BD126" s="290">
        <f>[2]!FeuilCaduc*(1-Persistant)+Persistant</f>
        <v>0.74446435482788187</v>
      </c>
      <c r="BE126" s="291">
        <f>[2]!CroissVégét</f>
        <v>0.11658273588973417</v>
      </c>
      <c r="BF126" s="815">
        <f>1+[2]!Salcycl*Ksac</f>
        <v>1.007410725804647</v>
      </c>
      <c r="BH126" s="1052">
        <f t="shared" si="73"/>
        <v>1.1601378273406631E-3</v>
      </c>
      <c r="BI126" s="11">
        <v>44308</v>
      </c>
      <c r="BJ126" s="725">
        <v>8.0224598886984183E-7</v>
      </c>
      <c r="BK126" s="725">
        <v>2.9912296961931693E-5</v>
      </c>
      <c r="BL126" s="725">
        <v>1.9653753518285386E-4</v>
      </c>
      <c r="BM126" s="725">
        <v>7.0661324894946123E-4</v>
      </c>
      <c r="BN126" s="725">
        <v>1.8424407027507503E-3</v>
      </c>
      <c r="BO126" s="726">
        <v>3.9720402609411919E-3</v>
      </c>
      <c r="BP126" s="725">
        <v>7.6215750897031436E-3</v>
      </c>
      <c r="BQ126" s="725">
        <v>1.3455339005404209E-2</v>
      </c>
      <c r="BR126" s="725">
        <v>2.2113874266455072E-2</v>
      </c>
      <c r="BS126" s="725">
        <v>3.4147597181101517E-2</v>
      </c>
      <c r="BT126" s="725">
        <v>4.8589549725304937E-2</v>
      </c>
      <c r="BW126" s="1189">
        <f>'2018'!R\Max</f>
        <v>0</v>
      </c>
      <c r="BX126" s="1187">
        <f>'2019'!R\Max</f>
        <v>0.5830937231237916</v>
      </c>
      <c r="BY126" s="1187">
        <f>'2020'!R\Max</f>
        <v>0.2794997045852684</v>
      </c>
      <c r="BZ126" s="1187">
        <f>'2021'!R\Max</f>
        <v>1.0092564108956448</v>
      </c>
      <c r="CA126" s="1187">
        <f>'2022'!R\Max</f>
        <v>0.52463735382994325</v>
      </c>
      <c r="CB126" s="1187">
        <f>'2023'!R\Max</f>
        <v>0.5245960172617552</v>
      </c>
      <c r="CC126" s="1187">
        <f>'2024'!R\Max</f>
        <v>0.52455467761428087</v>
      </c>
      <c r="CD126" s="1187">
        <f>'2025'!R\Max</f>
        <v>0.52472085604105589</v>
      </c>
      <c r="CE126" s="1187">
        <f>'2026'!R\Max</f>
        <v>0.52470799332232321</v>
      </c>
      <c r="CF126" s="1188">
        <f>'2027'!R\Max</f>
        <v>0.52468877343130271</v>
      </c>
    </row>
    <row r="127" spans="1:84" s="6" customFormat="1" ht="11.25" x14ac:dyDescent="0.2">
      <c r="A127" s="11">
        <v>43213</v>
      </c>
      <c r="B127" s="380">
        <f>'2022'!Maxi_hp</f>
        <v>59.226386677752629</v>
      </c>
      <c r="C127" s="13">
        <f>'2022'!An_max</f>
        <v>2021</v>
      </c>
      <c r="D127" s="1061"/>
      <c r="E127" s="13"/>
      <c r="F127" s="13">
        <f t="shared" si="74"/>
        <v>9</v>
      </c>
      <c r="G127" s="13">
        <f t="shared" si="58"/>
        <v>10</v>
      </c>
      <c r="H127" s="173">
        <f t="shared" si="59"/>
        <v>43206</v>
      </c>
      <c r="I127" s="752">
        <f t="shared" si="60"/>
        <v>0.5</v>
      </c>
      <c r="J127" s="745">
        <f t="shared" si="61"/>
        <v>59.28124999962747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4">
        <v>43213</v>
      </c>
      <c r="AP127" s="13">
        <f t="shared" si="62"/>
        <v>5</v>
      </c>
      <c r="AQ127" s="13">
        <f t="shared" si="63"/>
        <v>6</v>
      </c>
      <c r="AR127" s="173">
        <f t="shared" si="64"/>
        <v>43192</v>
      </c>
      <c r="AS127" s="752">
        <f t="shared" si="65"/>
        <v>0.75</v>
      </c>
      <c r="AT127" s="768">
        <f t="shared" si="66"/>
        <v>59.207812500745057</v>
      </c>
      <c r="AU127" s="13">
        <f t="shared" si="67"/>
        <v>5</v>
      </c>
      <c r="AV127" s="13">
        <f t="shared" si="68"/>
        <v>6</v>
      </c>
      <c r="AW127" s="173">
        <f t="shared" si="69"/>
        <v>43206</v>
      </c>
      <c r="AX127" s="752">
        <f t="shared" si="70"/>
        <v>0.25</v>
      </c>
      <c r="AY127" s="768">
        <f t="shared" si="71"/>
        <v>59.267968750186263</v>
      </c>
      <c r="AZ127" s="745">
        <f t="shared" si="75"/>
        <v>59.23789062546566</v>
      </c>
      <c r="BA127" s="642">
        <f t="shared" si="72"/>
        <v>0.99907452488138859</v>
      </c>
      <c r="BC127" s="11">
        <v>43213</v>
      </c>
      <c r="BD127" s="290">
        <f>[2]!FeuilCaduc*(1-Persistant)+Persistant</f>
        <v>0.7469073035278504</v>
      </c>
      <c r="BE127" s="291">
        <f>[2]!CroissVégét</f>
        <v>0.12092767389780094</v>
      </c>
      <c r="BF127" s="815">
        <f>1+[2]!Salcycl*Ksac</f>
        <v>1.0078178839213083</v>
      </c>
      <c r="BH127" s="1052">
        <f t="shared" si="73"/>
        <v>1.0869186859590329E-3</v>
      </c>
      <c r="BI127" s="11">
        <v>44309</v>
      </c>
      <c r="BJ127" s="725">
        <v>8.6585902214042763E-7</v>
      </c>
      <c r="BK127" s="725">
        <v>2.860805481630274E-5</v>
      </c>
      <c r="BL127" s="725">
        <v>1.8067861626939032E-4</v>
      </c>
      <c r="BM127" s="725">
        <v>6.6201266153920592E-4</v>
      </c>
      <c r="BN127" s="725">
        <v>1.7261665151927594E-3</v>
      </c>
      <c r="BO127" s="726">
        <v>3.7419925646692029E-3</v>
      </c>
      <c r="BP127" s="725">
        <v>7.1992888335764525E-3</v>
      </c>
      <c r="BQ127" s="725">
        <v>1.274836693537028E-2</v>
      </c>
      <c r="BR127" s="725">
        <v>2.0995553314936726E-2</v>
      </c>
      <c r="BS127" s="725">
        <v>3.2567743494614616E-2</v>
      </c>
      <c r="BT127" s="725">
        <v>4.6541680989275074E-2</v>
      </c>
      <c r="BW127" s="1189">
        <f>'2018'!R\Max</f>
        <v>0</v>
      </c>
      <c r="BX127" s="1187">
        <f>'2019'!R\Max</f>
        <v>0.62630804553295671</v>
      </c>
      <c r="BY127" s="1187">
        <f>'2020'!R\Max</f>
        <v>0.17502131129637699</v>
      </c>
      <c r="BZ127" s="1187">
        <f>'2021'!R\Max</f>
        <v>0.99907452488138859</v>
      </c>
      <c r="CA127" s="1187">
        <f>'2022'!R\Max</f>
        <v>0.17560320063167559</v>
      </c>
      <c r="CB127" s="1187">
        <f>'2023'!R\Max</f>
        <v>0.17558392023031644</v>
      </c>
      <c r="CC127" s="1187">
        <f>'2024'!R\Max</f>
        <v>0.17556463982895737</v>
      </c>
      <c r="CD127" s="1187">
        <f>'2025'!R\Max</f>
        <v>0.17564209344037132</v>
      </c>
      <c r="CE127" s="1187">
        <f>'2026'!R\Max</f>
        <v>0.17563615894364024</v>
      </c>
      <c r="CF127" s="1188">
        <f>'2027'!R\Max</f>
        <v>0.17562720370466392</v>
      </c>
    </row>
    <row r="128" spans="1:84" s="6" customFormat="1" ht="11.25" x14ac:dyDescent="0.2">
      <c r="A128" s="11">
        <v>43214</v>
      </c>
      <c r="B128" s="380">
        <f>'2022'!Maxi_hp</f>
        <v>54.494579426141378</v>
      </c>
      <c r="C128" s="13">
        <f>'2022'!An_max</f>
        <v>2021</v>
      </c>
      <c r="D128" s="1061"/>
      <c r="E128" s="13"/>
      <c r="F128" s="13">
        <f t="shared" si="74"/>
        <v>9</v>
      </c>
      <c r="G128" s="13">
        <f t="shared" si="58"/>
        <v>10</v>
      </c>
      <c r="H128" s="173">
        <f t="shared" si="59"/>
        <v>43206</v>
      </c>
      <c r="I128" s="752">
        <f t="shared" si="60"/>
        <v>0.5714285714285714</v>
      </c>
      <c r="J128" s="745">
        <f t="shared" si="61"/>
        <v>59.533819241821767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4">
        <v>43214</v>
      </c>
      <c r="AP128" s="13">
        <f t="shared" si="62"/>
        <v>5</v>
      </c>
      <c r="AQ128" s="13">
        <f t="shared" si="63"/>
        <v>6</v>
      </c>
      <c r="AR128" s="173">
        <f t="shared" si="64"/>
        <v>43192</v>
      </c>
      <c r="AS128" s="752">
        <f t="shared" si="65"/>
        <v>0.7857142857142857</v>
      </c>
      <c r="AT128" s="768">
        <f t="shared" si="66"/>
        <v>59.473469387686677</v>
      </c>
      <c r="AU128" s="13">
        <f t="shared" si="67"/>
        <v>5</v>
      </c>
      <c r="AV128" s="13">
        <f t="shared" si="68"/>
        <v>6</v>
      </c>
      <c r="AW128" s="173">
        <f t="shared" si="69"/>
        <v>43206</v>
      </c>
      <c r="AX128" s="752">
        <f t="shared" si="70"/>
        <v>0.2857142857142857</v>
      </c>
      <c r="AY128" s="768">
        <f t="shared" si="71"/>
        <v>59.516909620378691</v>
      </c>
      <c r="AZ128" s="745">
        <f t="shared" si="75"/>
        <v>59.49518950403268</v>
      </c>
      <c r="BA128" s="642">
        <f t="shared" si="72"/>
        <v>0.91535500527504565</v>
      </c>
      <c r="BC128" s="11">
        <v>43214</v>
      </c>
      <c r="BD128" s="290">
        <f>[2]!FeuilCaduc*(1-Persistant)+Persistant</f>
        <v>0.74943539559539774</v>
      </c>
      <c r="BE128" s="291">
        <f>[2]!CroissVégét</f>
        <v>0.12540967267096395</v>
      </c>
      <c r="BF128" s="815">
        <f>1+[2]!Salcycl*Ksac</f>
        <v>1.0082392325992329</v>
      </c>
      <c r="BH128" s="1052">
        <f t="shared" si="73"/>
        <v>1.0225603785565028E-3</v>
      </c>
      <c r="BI128" s="11">
        <v>44310</v>
      </c>
      <c r="BJ128" s="725">
        <v>9.7594214155298517E-7</v>
      </c>
      <c r="BK128" s="725">
        <v>2.7649794075193775E-5</v>
      </c>
      <c r="BL128" s="725">
        <v>1.6696037439725944E-4</v>
      </c>
      <c r="BM128" s="725">
        <v>6.2292371395157467E-4</v>
      </c>
      <c r="BN128" s="725">
        <v>1.6237918406891601E-3</v>
      </c>
      <c r="BO128" s="726">
        <v>3.538603080614329E-3</v>
      </c>
      <c r="BP128" s="725">
        <v>6.8192908966322541E-3</v>
      </c>
      <c r="BQ128" s="725">
        <v>1.2096522608470127E-2</v>
      </c>
      <c r="BR128" s="725">
        <v>1.9947790356188353E-2</v>
      </c>
      <c r="BS128" s="725">
        <v>3.1063680558967736E-2</v>
      </c>
      <c r="BT128" s="725">
        <v>4.4566673782225237E-2</v>
      </c>
      <c r="BW128" s="1189">
        <f>'2018'!R\Max</f>
        <v>0</v>
      </c>
      <c r="BX128" s="1187">
        <f>'2019'!R\Max</f>
        <v>0.87029339954134299</v>
      </c>
      <c r="BY128" s="1187">
        <f>'2020'!R\Max</f>
        <v>0.30007525252133521</v>
      </c>
      <c r="BZ128" s="1187">
        <f>'2021'!R\Max</f>
        <v>0.91535500527504565</v>
      </c>
      <c r="CA128" s="1187">
        <f>'2022'!R\Max</f>
        <v>0.60167659731167722</v>
      </c>
      <c r="CB128" s="1187">
        <f>'2023'!R\Max</f>
        <v>0.6016409596707073</v>
      </c>
      <c r="CC128" s="1187">
        <f>'2024'!R\Max</f>
        <v>0.60160531883156565</v>
      </c>
      <c r="CD128" s="1187">
        <f>'2025'!R\Max</f>
        <v>0.60174850200772878</v>
      </c>
      <c r="CE128" s="1187">
        <f>'2026'!R\Max</f>
        <v>0.60173763202827646</v>
      </c>
      <c r="CF128" s="1188">
        <f>'2027'!R\Max</f>
        <v>0.60172106738676989</v>
      </c>
    </row>
    <row r="129" spans="1:84" s="6" customFormat="1" ht="11.25" x14ac:dyDescent="0.2">
      <c r="A129" s="11">
        <v>43215</v>
      </c>
      <c r="B129" s="380">
        <f>'2022'!Maxi_hp</f>
        <v>58.750852702335024</v>
      </c>
      <c r="C129" s="13">
        <f>'2022'!An_max</f>
        <v>2020</v>
      </c>
      <c r="D129" s="1061"/>
      <c r="E129" s="13"/>
      <c r="F129" s="13">
        <f t="shared" si="74"/>
        <v>9</v>
      </c>
      <c r="G129" s="13">
        <f t="shared" si="58"/>
        <v>10</v>
      </c>
      <c r="H129" s="173">
        <f t="shared" si="59"/>
        <v>43206</v>
      </c>
      <c r="I129" s="752">
        <f t="shared" si="60"/>
        <v>0.6428571428571429</v>
      </c>
      <c r="J129" s="745">
        <f t="shared" si="61"/>
        <v>59.779099853922219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4">
        <v>43215</v>
      </c>
      <c r="AP129" s="13">
        <f t="shared" si="62"/>
        <v>5</v>
      </c>
      <c r="AQ129" s="13">
        <f t="shared" si="63"/>
        <v>6</v>
      </c>
      <c r="AR129" s="173">
        <f t="shared" si="64"/>
        <v>43192</v>
      </c>
      <c r="AS129" s="752">
        <f t="shared" si="65"/>
        <v>0.8214285714285714</v>
      </c>
      <c r="AT129" s="768">
        <f t="shared" si="66"/>
        <v>59.731473215217036</v>
      </c>
      <c r="AU129" s="13">
        <f t="shared" si="67"/>
        <v>5</v>
      </c>
      <c r="AV129" s="13">
        <f t="shared" si="68"/>
        <v>6</v>
      </c>
      <c r="AW129" s="173">
        <f t="shared" si="69"/>
        <v>43206</v>
      </c>
      <c r="AX129" s="752">
        <f t="shared" si="70"/>
        <v>0.32142857142857145</v>
      </c>
      <c r="AY129" s="768">
        <f t="shared" si="71"/>
        <v>59.758252095697188</v>
      </c>
      <c r="AZ129" s="745">
        <f t="shared" si="75"/>
        <v>59.744862655457112</v>
      </c>
      <c r="BA129" s="642">
        <f t="shared" si="72"/>
        <v>0.9827992198929083</v>
      </c>
      <c r="BC129" s="11">
        <v>43215</v>
      </c>
      <c r="BD129" s="290">
        <f>[2]!FeuilCaduc*(1-Persistant)+Persistant</f>
        <v>0.75204865335938709</v>
      </c>
      <c r="BE129" s="291">
        <f>[2]!CroissVégét</f>
        <v>0.13003135568089563</v>
      </c>
      <c r="BF129" s="815">
        <f>1+[2]!Salcycl*Ksac</f>
        <v>1.0086747755598979</v>
      </c>
      <c r="BH129" s="1052">
        <f t="shared" si="73"/>
        <v>9.6377375421317565E-4</v>
      </c>
      <c r="BI129" s="11">
        <v>44311</v>
      </c>
      <c r="BJ129" s="725">
        <v>1.1410008724663405E-6</v>
      </c>
      <c r="BK129" s="725">
        <v>2.7068237209809896E-5</v>
      </c>
      <c r="BL129" s="725">
        <v>1.5504967151471838E-4</v>
      </c>
      <c r="BM129" s="725">
        <v>5.8761616355498033E-4</v>
      </c>
      <c r="BN129" s="725">
        <v>1.5296822362272041E-3</v>
      </c>
      <c r="BO129" s="726">
        <v>3.3495626226153702E-3</v>
      </c>
      <c r="BP129" s="725">
        <v>6.4622160627215049E-3</v>
      </c>
      <c r="BQ129" s="725">
        <v>1.1477625589290654E-2</v>
      </c>
      <c r="BR129" s="725">
        <v>1.894548883226525E-2</v>
      </c>
      <c r="BS129" s="725">
        <v>2.9613624172920142E-2</v>
      </c>
      <c r="BT129" s="725">
        <v>4.2649243381909029E-2</v>
      </c>
      <c r="BW129" s="1189">
        <f>'2018'!R\Max</f>
        <v>0</v>
      </c>
      <c r="BX129" s="1187">
        <f>'2019'!R\Max</f>
        <v>0.57512896701143701</v>
      </c>
      <c r="BY129" s="1187">
        <f>'2020'!R\Max</f>
        <v>0.9827992198929083</v>
      </c>
      <c r="BZ129" s="1187">
        <f>'2021'!R\Max</f>
        <v>0.48493875744710785</v>
      </c>
      <c r="CA129" s="1187">
        <f>'2022'!R\Max</f>
        <v>0.89816824209749913</v>
      </c>
      <c r="CB129" s="1187">
        <f>'2023'!R\Max</f>
        <v>0.89815534602653835</v>
      </c>
      <c r="CC129" s="1187">
        <f>'2024'!R\Max</f>
        <v>0.89814244777983343</v>
      </c>
      <c r="CD129" s="1187">
        <f>'2025'!R\Max</f>
        <v>0.89819428847469529</v>
      </c>
      <c r="CE129" s="1187">
        <f>'2026'!R\Max</f>
        <v>0.89819038694897679</v>
      </c>
      <c r="CF129" s="1188">
        <f>'2027'!R\Max</f>
        <v>0.89818438273785317</v>
      </c>
    </row>
    <row r="130" spans="1:84" s="6" customFormat="1" ht="11.25" x14ac:dyDescent="0.2">
      <c r="A130" s="11">
        <v>43216</v>
      </c>
      <c r="B130" s="380">
        <f>'2022'!Maxi_hp</f>
        <v>58.42375193086324</v>
      </c>
      <c r="C130" s="13">
        <f>'2022'!An_max</f>
        <v>2022</v>
      </c>
      <c r="D130" s="1061"/>
      <c r="E130" s="13"/>
      <c r="F130" s="13">
        <f t="shared" si="74"/>
        <v>9</v>
      </c>
      <c r="G130" s="13">
        <f t="shared" si="58"/>
        <v>10</v>
      </c>
      <c r="H130" s="173">
        <f t="shared" si="59"/>
        <v>43206</v>
      </c>
      <c r="I130" s="752">
        <f t="shared" si="60"/>
        <v>0.7142857142857143</v>
      </c>
      <c r="J130" s="745">
        <f t="shared" si="61"/>
        <v>60.017201166174246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4">
        <v>43216</v>
      </c>
      <c r="AP130" s="13">
        <f t="shared" si="62"/>
        <v>5</v>
      </c>
      <c r="AQ130" s="13">
        <f t="shared" si="63"/>
        <v>6</v>
      </c>
      <c r="AR130" s="173">
        <f t="shared" si="64"/>
        <v>43192</v>
      </c>
      <c r="AS130" s="752">
        <f t="shared" si="65"/>
        <v>0.8571428571428571</v>
      </c>
      <c r="AT130" s="768">
        <f t="shared" si="66"/>
        <v>59.981632652985198</v>
      </c>
      <c r="AU130" s="13">
        <f t="shared" si="67"/>
        <v>5</v>
      </c>
      <c r="AV130" s="13">
        <f t="shared" si="68"/>
        <v>6</v>
      </c>
      <c r="AW130" s="173">
        <f t="shared" si="69"/>
        <v>43206</v>
      </c>
      <c r="AX130" s="752">
        <f t="shared" si="70"/>
        <v>0.35714285714285715</v>
      </c>
      <c r="AY130" s="768">
        <f t="shared" si="71"/>
        <v>59.992146500572559</v>
      </c>
      <c r="AZ130" s="745">
        <f t="shared" si="75"/>
        <v>59.986889576778879</v>
      </c>
      <c r="BA130" s="642">
        <f t="shared" si="72"/>
        <v>0.97345012422523503</v>
      </c>
      <c r="BC130" s="11">
        <v>43216</v>
      </c>
      <c r="BD130" s="290">
        <f>[2]!FeuilCaduc*(1-Persistant)+Persistant</f>
        <v>0.75474695299471306</v>
      </c>
      <c r="BE130" s="291">
        <f>[2]!CroissVégét</f>
        <v>0.13479526923661356</v>
      </c>
      <c r="BF130" s="815">
        <f>1+[2]!Salcycl*Ksac</f>
        <v>1.0091244921657856</v>
      </c>
      <c r="BH130" s="1052">
        <f t="shared" si="73"/>
        <v>9.1055591663867226E-4</v>
      </c>
      <c r="BI130" s="11">
        <v>44312</v>
      </c>
      <c r="BJ130" s="725">
        <v>1.3609971842111085E-6</v>
      </c>
      <c r="BK130" s="725">
        <v>2.6863145350183011E-5</v>
      </c>
      <c r="BL130" s="725">
        <v>1.4494549455016967E-4</v>
      </c>
      <c r="BM130" s="725">
        <v>5.560879898208579E-4</v>
      </c>
      <c r="BN130" s="725">
        <v>1.4438334879808543E-3</v>
      </c>
      <c r="BO130" s="726">
        <v>3.1748641092061462E-3</v>
      </c>
      <c r="BP130" s="725">
        <v>6.1280536068012122E-3</v>
      </c>
      <c r="BQ130" s="725">
        <v>1.0891661577758264E-2</v>
      </c>
      <c r="BR130" s="725">
        <v>1.798863056882518E-2</v>
      </c>
      <c r="BS130" s="725">
        <v>2.8217555092407802E-2</v>
      </c>
      <c r="BT130" s="725">
        <v>4.0789372431125397E-2</v>
      </c>
      <c r="BW130" s="1189">
        <f>'2018'!R\Max</f>
        <v>0</v>
      </c>
      <c r="BX130" s="1187">
        <f>'2019'!R\Max</f>
        <v>0.50868282578724278</v>
      </c>
      <c r="BY130" s="1187">
        <f>'2020'!R\Max</f>
        <v>0.75780615990446698</v>
      </c>
      <c r="BZ130" s="1187">
        <f>'2021'!R\Max</f>
        <v>0.13220342419371206</v>
      </c>
      <c r="CA130" s="1187">
        <f>'2022'!R\Max</f>
        <v>0.97345012422523503</v>
      </c>
      <c r="CB130" s="1187">
        <f>'2023'!R\Max</f>
        <v>0.97344666815701064</v>
      </c>
      <c r="CC130" s="1187">
        <f>'2024'!R\Max</f>
        <v>0.97344321146619905</v>
      </c>
      <c r="CD130" s="1187">
        <f>'2025'!R\Max</f>
        <v>0.97345711863164364</v>
      </c>
      <c r="CE130" s="1187">
        <f>'2026'!R\Max</f>
        <v>0.97345608016206142</v>
      </c>
      <c r="CF130" s="1188">
        <f>'2027'!R\Max</f>
        <v>0.97345446643109623</v>
      </c>
    </row>
    <row r="131" spans="1:84" s="6" customFormat="1" ht="11.25" x14ac:dyDescent="0.2">
      <c r="A131" s="11">
        <v>43217</v>
      </c>
      <c r="B131" s="380">
        <f>'2022'!Maxi_hp</f>
        <v>42.622666963582361</v>
      </c>
      <c r="C131" s="13">
        <f>'2022'!An_max</f>
        <v>2022</v>
      </c>
      <c r="D131" s="1061"/>
      <c r="E131" s="13"/>
      <c r="F131" s="13">
        <f t="shared" si="74"/>
        <v>9</v>
      </c>
      <c r="G131" s="13">
        <f t="shared" si="58"/>
        <v>10</v>
      </c>
      <c r="H131" s="173">
        <f t="shared" si="59"/>
        <v>43206</v>
      </c>
      <c r="I131" s="752">
        <f t="shared" si="60"/>
        <v>0.7857142857142857</v>
      </c>
      <c r="J131" s="745">
        <f t="shared" si="61"/>
        <v>60.248232507279944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4">
        <v>43217</v>
      </c>
      <c r="AP131" s="13">
        <f t="shared" si="62"/>
        <v>5</v>
      </c>
      <c r="AQ131" s="13">
        <f t="shared" si="63"/>
        <v>6</v>
      </c>
      <c r="AR131" s="173">
        <f t="shared" si="64"/>
        <v>43192</v>
      </c>
      <c r="AS131" s="752">
        <f t="shared" si="65"/>
        <v>0.8928571428571429</v>
      </c>
      <c r="AT131" s="768">
        <f t="shared" si="66"/>
        <v>60.223756377691664</v>
      </c>
      <c r="AU131" s="13">
        <f t="shared" si="67"/>
        <v>5</v>
      </c>
      <c r="AV131" s="13">
        <f t="shared" si="68"/>
        <v>6</v>
      </c>
      <c r="AW131" s="173">
        <f t="shared" si="69"/>
        <v>43206</v>
      </c>
      <c r="AX131" s="752">
        <f t="shared" si="70"/>
        <v>0.39285714285714285</v>
      </c>
      <c r="AY131" s="768">
        <f t="shared" si="71"/>
        <v>60.218743167045929</v>
      </c>
      <c r="AZ131" s="745">
        <f t="shared" si="75"/>
        <v>60.221249772368793</v>
      </c>
      <c r="BA131" s="642">
        <f t="shared" si="72"/>
        <v>0.70745091083679768</v>
      </c>
      <c r="BC131" s="11">
        <v>43217</v>
      </c>
      <c r="BD131" s="290">
        <f>[2]!FeuilCaduc*(1-Persistant)+Persistant</f>
        <v>0.75753001906815653</v>
      </c>
      <c r="BE131" s="291">
        <f>[2]!CroissVégét</f>
        <v>0.13970387121088346</v>
      </c>
      <c r="BF131" s="815">
        <f>1+[2]!Salcycl*Ksac</f>
        <v>1.0095883365113594</v>
      </c>
      <c r="BH131" s="1052">
        <f t="shared" si="73"/>
        <v>8.6290384755355635E-4</v>
      </c>
      <c r="BI131" s="11">
        <v>44313</v>
      </c>
      <c r="BJ131" s="725">
        <v>1.63589118401098E-6</v>
      </c>
      <c r="BK131" s="725">
        <v>2.7034268380202264E-5</v>
      </c>
      <c r="BL131" s="725">
        <v>1.3664678455598361E-4</v>
      </c>
      <c r="BM131" s="725">
        <v>5.2833708537812713E-4</v>
      </c>
      <c r="BN131" s="725">
        <v>1.3662412072589693E-3</v>
      </c>
      <c r="BO131" s="726">
        <v>3.0145001778676601E-3</v>
      </c>
      <c r="BP131" s="725">
        <v>5.8167924033348424E-3</v>
      </c>
      <c r="BQ131" s="725">
        <v>1.033861579120649E-2</v>
      </c>
      <c r="BR131" s="725">
        <v>1.7077196856213409E-2</v>
      </c>
      <c r="BS131" s="725">
        <v>2.6875453665169777E-2</v>
      </c>
      <c r="BT131" s="725">
        <v>3.8987043463395078E-2</v>
      </c>
      <c r="BW131" s="1189">
        <f>'2018'!R\Max</f>
        <v>0</v>
      </c>
      <c r="BX131" s="1187">
        <f>'2019'!R\Max</f>
        <v>0.52864640559529708</v>
      </c>
      <c r="BY131" s="1187">
        <f>'2020'!R\Max</f>
        <v>0.49067585430094118</v>
      </c>
      <c r="BZ131" s="1187">
        <f>'2021'!R\Max</f>
        <v>0.35994144256690697</v>
      </c>
      <c r="CA131" s="1187">
        <f>'2022'!R\Max</f>
        <v>0.70745091083679768</v>
      </c>
      <c r="CB131" s="1187">
        <f>'2023'!R\Max</f>
        <v>0.70742465449311787</v>
      </c>
      <c r="CC131" s="1187">
        <f>'2024'!R\Max</f>
        <v>0.70739839543450234</v>
      </c>
      <c r="CD131" s="1187">
        <f>'2025'!R\Max</f>
        <v>0.70750421851715761</v>
      </c>
      <c r="CE131" s="1187">
        <f>'2026'!R\Max</f>
        <v>0.70749636962718176</v>
      </c>
      <c r="CF131" s="1188">
        <f>'2027'!R\Max</f>
        <v>0.70748405720205021</v>
      </c>
    </row>
    <row r="132" spans="1:84" s="6" customFormat="1" ht="11.25" x14ac:dyDescent="0.2">
      <c r="A132" s="11">
        <v>43218</v>
      </c>
      <c r="B132" s="380">
        <f>'2022'!Maxi_hp</f>
        <v>46.447787354157064</v>
      </c>
      <c r="C132" s="13">
        <f>'2022'!An_max</f>
        <v>2019</v>
      </c>
      <c r="D132" s="1061"/>
      <c r="E132" s="13"/>
      <c r="F132" s="13">
        <f t="shared" si="74"/>
        <v>9</v>
      </c>
      <c r="G132" s="13">
        <f t="shared" si="58"/>
        <v>10</v>
      </c>
      <c r="H132" s="173">
        <f t="shared" si="59"/>
        <v>43206</v>
      </c>
      <c r="I132" s="752">
        <f t="shared" si="60"/>
        <v>0.8571428571428571</v>
      </c>
      <c r="J132" s="745">
        <f t="shared" si="61"/>
        <v>60.472303206580023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4">
        <v>43218</v>
      </c>
      <c r="AP132" s="13">
        <f t="shared" si="62"/>
        <v>5</v>
      </c>
      <c r="AQ132" s="13">
        <f t="shared" si="63"/>
        <v>6</v>
      </c>
      <c r="AR132" s="173">
        <f t="shared" si="64"/>
        <v>43192</v>
      </c>
      <c r="AS132" s="752">
        <f t="shared" si="65"/>
        <v>0.9285714285714286</v>
      </c>
      <c r="AT132" s="768">
        <f t="shared" si="66"/>
        <v>60.457653061300519</v>
      </c>
      <c r="AU132" s="13">
        <f t="shared" si="67"/>
        <v>5</v>
      </c>
      <c r="AV132" s="13">
        <f t="shared" si="68"/>
        <v>6</v>
      </c>
      <c r="AW132" s="173">
        <f t="shared" si="69"/>
        <v>43206</v>
      </c>
      <c r="AX132" s="752">
        <f t="shared" si="70"/>
        <v>0.42857142857142855</v>
      </c>
      <c r="AY132" s="768">
        <f t="shared" si="71"/>
        <v>60.438192419814207</v>
      </c>
      <c r="AZ132" s="745">
        <f t="shared" si="75"/>
        <v>60.44792274055736</v>
      </c>
      <c r="BA132" s="642">
        <f t="shared" si="72"/>
        <v>0.76808364972450816</v>
      </c>
      <c r="BC132" s="11">
        <v>43218</v>
      </c>
      <c r="BD132" s="290">
        <f>[2]!FeuilCaduc*(1-Persistant)+Persistant</f>
        <v>0.76039741908895597</v>
      </c>
      <c r="BE132" s="291">
        <f>[2]!CroissVégét</f>
        <v>0.14475951929663808</v>
      </c>
      <c r="BF132" s="815">
        <f>1+[2]!Salcycl*Ksac</f>
        <v>1.0100662365148261</v>
      </c>
      <c r="BH132" s="1052">
        <f t="shared" si="73"/>
        <v>8.2081439456012633E-4</v>
      </c>
      <c r="BI132" s="11">
        <v>44314</v>
      </c>
      <c r="BJ132" s="725">
        <v>1.9656409966527866E-6</v>
      </c>
      <c r="BK132" s="725">
        <v>2.7581344114586597E-5</v>
      </c>
      <c r="BL132" s="725">
        <v>1.3015243276761663E-4</v>
      </c>
      <c r="BM132" s="725">
        <v>5.0436124777736833E-4</v>
      </c>
      <c r="BN132" s="725">
        <v>1.2969008125187146E-3</v>
      </c>
      <c r="BO132" s="726">
        <v>2.8684631538224564E-3</v>
      </c>
      <c r="BP132" s="725">
        <v>5.5284208764865171E-3</v>
      </c>
      <c r="BQ132" s="725">
        <v>9.8184728928790068E-3</v>
      </c>
      <c r="BR132" s="725">
        <v>1.6211168350934051E-2</v>
      </c>
      <c r="BS132" s="725">
        <v>2.558729971391123E-2</v>
      </c>
      <c r="BT132" s="725">
        <v>3.724223877869947E-2</v>
      </c>
      <c r="BW132" s="1189">
        <f>'2018'!R\Max</f>
        <v>0</v>
      </c>
      <c r="BX132" s="1187">
        <f>'2019'!R\Max</f>
        <v>0.76808364972450816</v>
      </c>
      <c r="BY132" s="1187">
        <f>'2020'!R\Max</f>
        <v>0.37575919954601783</v>
      </c>
      <c r="BZ132" s="1187">
        <f>'2021'!R\Max</f>
        <v>0.29756036959318261</v>
      </c>
      <c r="CA132" s="1187">
        <f>'2022'!R\Max</f>
        <v>0.43603396943528661</v>
      </c>
      <c r="CB132" s="1187">
        <f>'2023'!R\Max</f>
        <v>0.43600435626299033</v>
      </c>
      <c r="CC132" s="1187">
        <f>'2024'!R\Max</f>
        <v>0.43597474212007692</v>
      </c>
      <c r="CD132" s="1187">
        <f>'2025'!R\Max</f>
        <v>0.43609435526474405</v>
      </c>
      <c r="CE132" s="1187">
        <f>'2026'!R\Max</f>
        <v>0.43608553265380351</v>
      </c>
      <c r="CF132" s="1188">
        <f>'2027'!R\Max</f>
        <v>0.43607156721636403</v>
      </c>
    </row>
    <row r="133" spans="1:84" s="6" customFormat="1" ht="11.25" x14ac:dyDescent="0.2">
      <c r="A133" s="11">
        <v>43219</v>
      </c>
      <c r="B133" s="380">
        <f>'2022'!Maxi_hp</f>
        <v>53.503420570987252</v>
      </c>
      <c r="C133" s="13">
        <f>'2022'!An_max</f>
        <v>2019</v>
      </c>
      <c r="D133" s="1061"/>
      <c r="E133" s="13"/>
      <c r="F133" s="13">
        <f t="shared" si="74"/>
        <v>9</v>
      </c>
      <c r="G133" s="13">
        <f t="shared" si="58"/>
        <v>10</v>
      </c>
      <c r="H133" s="173">
        <f t="shared" si="59"/>
        <v>43206</v>
      </c>
      <c r="I133" s="752">
        <f t="shared" si="60"/>
        <v>0.9285714285714286</v>
      </c>
      <c r="J133" s="745">
        <f t="shared" si="61"/>
        <v>60.689522594692448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4">
        <v>43219</v>
      </c>
      <c r="AP133" s="13">
        <f t="shared" si="62"/>
        <v>5</v>
      </c>
      <c r="AQ133" s="13">
        <f t="shared" si="63"/>
        <v>6</v>
      </c>
      <c r="AR133" s="173">
        <f t="shared" si="64"/>
        <v>43192</v>
      </c>
      <c r="AS133" s="752">
        <f t="shared" si="65"/>
        <v>0.9642857142857143</v>
      </c>
      <c r="AT133" s="768">
        <f t="shared" si="66"/>
        <v>60.683131378463337</v>
      </c>
      <c r="AU133" s="13">
        <f t="shared" si="67"/>
        <v>5</v>
      </c>
      <c r="AV133" s="13">
        <f t="shared" si="68"/>
        <v>6</v>
      </c>
      <c r="AW133" s="173">
        <f t="shared" si="69"/>
        <v>43206</v>
      </c>
      <c r="AX133" s="752">
        <f t="shared" si="70"/>
        <v>0.4642857142857143</v>
      </c>
      <c r="AY133" s="768">
        <f t="shared" si="71"/>
        <v>60.650644589082468</v>
      </c>
      <c r="AZ133" s="745">
        <f t="shared" si="75"/>
        <v>60.666887983772902</v>
      </c>
      <c r="BA133" s="642">
        <f t="shared" si="72"/>
        <v>0.88159237844567173</v>
      </c>
      <c r="BC133" s="11">
        <v>43219</v>
      </c>
      <c r="BD133" s="290">
        <f>[2]!FeuilCaduc*(1-Persistant)+Persistant</f>
        <v>0.76334855811189639</v>
      </c>
      <c r="BE133" s="291">
        <f>[2]!CroissVégét</f>
        <v>0.14996445881890225</v>
      </c>
      <c r="BF133" s="815">
        <f>1+[2]!Salcycl*Ksac</f>
        <v>1.0105580930186495</v>
      </c>
      <c r="BH133" s="1052">
        <f t="shared" si="73"/>
        <v>7.8428425900326166E-4</v>
      </c>
      <c r="BI133" s="11">
        <v>44315</v>
      </c>
      <c r="BJ133" s="725">
        <v>2.3502026441457056E-6</v>
      </c>
      <c r="BK133" s="725">
        <v>2.8504097475581982E-5</v>
      </c>
      <c r="BL133" s="725">
        <v>1.2546127666112491E-4</v>
      </c>
      <c r="BM133" s="725">
        <v>4.8415817124893424E-4</v>
      </c>
      <c r="BN133" s="725">
        <v>1.2358075113631834E-3</v>
      </c>
      <c r="BO133" s="726">
        <v>2.7367450187944626E-3</v>
      </c>
      <c r="BP133" s="725">
        <v>5.2629269502486231E-3</v>
      </c>
      <c r="BQ133" s="725">
        <v>9.3312169203144044E-3</v>
      </c>
      <c r="BR133" s="725">
        <v>1.5390524976926211E-2</v>
      </c>
      <c r="BS133" s="725">
        <v>2.4353072419161802E-2</v>
      </c>
      <c r="BT133" s="725">
        <v>3.5554940318781432E-2</v>
      </c>
      <c r="BW133" s="1189">
        <f>'2018'!R\Max</f>
        <v>0</v>
      </c>
      <c r="BX133" s="1187">
        <f>'2019'!R\Max</f>
        <v>0.88159237844567173</v>
      </c>
      <c r="BY133" s="1187">
        <f>'2020'!R\Max</f>
        <v>0.50907174228139573</v>
      </c>
      <c r="BZ133" s="1187">
        <f>'2021'!R\Max</f>
        <v>0.45153707271183802</v>
      </c>
      <c r="CA133" s="1187">
        <f>'2022'!R\Max</f>
        <v>0.78972012331723573</v>
      </c>
      <c r="CB133" s="1187">
        <f>'2023'!R\Max</f>
        <v>0.78970112510104773</v>
      </c>
      <c r="CC133" s="1187">
        <f>'2024'!R\Max</f>
        <v>0.78968212475573318</v>
      </c>
      <c r="CD133" s="1187">
        <f>'2025'!R\Max</f>
        <v>0.78975907560509118</v>
      </c>
      <c r="CE133" s="1187">
        <f>'2026'!R\Max</f>
        <v>0.78975342432808282</v>
      </c>
      <c r="CF133" s="1188">
        <f>'2027'!R\Max</f>
        <v>0.78974440261246515</v>
      </c>
    </row>
    <row r="134" spans="1:84" s="6" customFormat="1" ht="11.25" x14ac:dyDescent="0.2">
      <c r="A134" s="11">
        <v>43220</v>
      </c>
      <c r="B134" s="380">
        <f>'2022'!Maxi_hp</f>
        <v>61.024126150933135</v>
      </c>
      <c r="C134" s="13">
        <f>'2022'!An_max</f>
        <v>2019</v>
      </c>
      <c r="D134" s="1061"/>
      <c r="E134" s="1056">
        <f>V$13/10</f>
        <v>60.9</v>
      </c>
      <c r="F134" s="13">
        <f t="shared" si="74"/>
        <v>11</v>
      </c>
      <c r="G134" s="13">
        <f t="shared" si="58"/>
        <v>10</v>
      </c>
      <c r="H134" s="173">
        <f t="shared" si="59"/>
        <v>43234</v>
      </c>
      <c r="I134" s="752">
        <f t="shared" si="60"/>
        <v>1</v>
      </c>
      <c r="J134" s="745">
        <f t="shared" si="61"/>
        <v>60.900000000745059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4">
        <v>43220</v>
      </c>
      <c r="AP134" s="13">
        <f t="shared" si="62"/>
        <v>7</v>
      </c>
      <c r="AQ134" s="13">
        <f t="shared" si="63"/>
        <v>6</v>
      </c>
      <c r="AR134" s="173">
        <f t="shared" si="64"/>
        <v>43248</v>
      </c>
      <c r="AS134" s="752">
        <f t="shared" si="65"/>
        <v>1</v>
      </c>
      <c r="AT134" s="768">
        <f t="shared" si="66"/>
        <v>60.9</v>
      </c>
      <c r="AU134" s="13">
        <f t="shared" si="67"/>
        <v>5</v>
      </c>
      <c r="AV134" s="13">
        <f t="shared" si="68"/>
        <v>6</v>
      </c>
      <c r="AW134" s="173">
        <f t="shared" si="69"/>
        <v>43206</v>
      </c>
      <c r="AX134" s="752">
        <f t="shared" si="70"/>
        <v>0.5</v>
      </c>
      <c r="AY134" s="768">
        <f t="shared" si="71"/>
        <v>60.856250000000003</v>
      </c>
      <c r="AZ134" s="745">
        <f t="shared" si="75"/>
        <v>60.878124999999997</v>
      </c>
      <c r="BA134" s="642">
        <f t="shared" si="72"/>
        <v>1.0020381962263802</v>
      </c>
      <c r="BC134" s="11">
        <v>43220</v>
      </c>
      <c r="BD134" s="290">
        <f>[2]!FeuilCaduc*(1-Persistant)+Persistant</f>
        <v>0.76638267344569233</v>
      </c>
      <c r="BE134" s="291">
        <f>[2]!CroissVégét</f>
        <v>0.1553208101334605</v>
      </c>
      <c r="BF134" s="815">
        <f>1+[2]!Salcycl*Ksac</f>
        <v>1.0110637789076153</v>
      </c>
      <c r="BH134" s="1052">
        <f t="shared" si="73"/>
        <v>7.5330998383415907E-4</v>
      </c>
      <c r="BI134" s="11">
        <v>44316</v>
      </c>
      <c r="BJ134" s="725">
        <v>2.7895299253830924E-6</v>
      </c>
      <c r="BK134" s="725">
        <v>2.9802239669736382E-5</v>
      </c>
      <c r="BL134" s="725">
        <v>1.2257209601114594E-4</v>
      </c>
      <c r="BM134" s="725">
        <v>4.6772543846282356E-4</v>
      </c>
      <c r="BN134" s="725">
        <v>1.1829562825436115E-3</v>
      </c>
      <c r="BO134" s="726">
        <v>2.6193373797788358E-3</v>
      </c>
      <c r="BP134" s="725">
        <v>5.0202979985887308E-3</v>
      </c>
      <c r="BQ134" s="725">
        <v>8.8768312137652936E-3</v>
      </c>
      <c r="BR134" s="725">
        <v>1.4615245826896803E-2</v>
      </c>
      <c r="BS134" s="725">
        <v>2.3172750202222172E-2</v>
      </c>
      <c r="BT134" s="725">
        <v>3.3925129542572603E-2</v>
      </c>
      <c r="BW134" s="1189">
        <f>'2018'!R\Max</f>
        <v>0</v>
      </c>
      <c r="BX134" s="1187">
        <f>'2019'!R\Max</f>
        <v>1.0020381962263802</v>
      </c>
      <c r="BY134" s="1187">
        <f>'2020'!R\Max</f>
        <v>0.87420648362868147</v>
      </c>
      <c r="BZ134" s="1187">
        <f>'2021'!R\Max</f>
        <v>0.26603591118724168</v>
      </c>
      <c r="CA134" s="1187">
        <f>'2022'!R\Max</f>
        <v>0.82945855699998339</v>
      </c>
      <c r="CB134" s="1187">
        <f>'2023'!R\Max</f>
        <v>0.82944316818711461</v>
      </c>
      <c r="CC134" s="1187">
        <f>'2024'!R\Max</f>
        <v>0.82942777760123287</v>
      </c>
      <c r="CD134" s="1187">
        <f>'2025'!R\Max</f>
        <v>0.82949033182645804</v>
      </c>
      <c r="CE134" s="1187">
        <f>'2026'!R\Max</f>
        <v>0.8294857488731231</v>
      </c>
      <c r="CF134" s="1188">
        <f>'2027'!R\Max</f>
        <v>0.82947837656610512</v>
      </c>
    </row>
    <row r="135" spans="1:84" s="6" customFormat="1" ht="11.25" x14ac:dyDescent="0.2">
      <c r="A135" s="11">
        <v>43221</v>
      </c>
      <c r="B135" s="380">
        <f>'2022'!Maxi_hp</f>
        <v>55.440910682526471</v>
      </c>
      <c r="C135" s="13">
        <f>'2022'!An_max</f>
        <v>2019</v>
      </c>
      <c r="D135" s="1061"/>
      <c r="E135" s="13"/>
      <c r="F135" s="13">
        <f t="shared" si="74"/>
        <v>11</v>
      </c>
      <c r="G135" s="13">
        <f t="shared" si="58"/>
        <v>10</v>
      </c>
      <c r="H135" s="173">
        <f t="shared" si="59"/>
        <v>43234</v>
      </c>
      <c r="I135" s="752">
        <f t="shared" si="60"/>
        <v>0.9285714285714286</v>
      </c>
      <c r="J135" s="745">
        <f t="shared" si="61"/>
        <v>61.103097667332214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4">
        <v>43221</v>
      </c>
      <c r="AP135" s="13">
        <f t="shared" si="62"/>
        <v>7</v>
      </c>
      <c r="AQ135" s="13">
        <f t="shared" si="63"/>
        <v>6</v>
      </c>
      <c r="AR135" s="173">
        <f t="shared" si="64"/>
        <v>43248</v>
      </c>
      <c r="AS135" s="752">
        <f t="shared" si="65"/>
        <v>0.9642857142857143</v>
      </c>
      <c r="AT135" s="768">
        <f t="shared" si="66"/>
        <v>61.107823887972962</v>
      </c>
      <c r="AU135" s="13">
        <f t="shared" si="67"/>
        <v>5</v>
      </c>
      <c r="AV135" s="13">
        <f t="shared" si="68"/>
        <v>6</v>
      </c>
      <c r="AW135" s="173">
        <f t="shared" si="69"/>
        <v>43206</v>
      </c>
      <c r="AX135" s="752">
        <f t="shared" si="70"/>
        <v>0.5357142857142857</v>
      </c>
      <c r="AY135" s="768">
        <f t="shared" si="71"/>
        <v>61.05515898370318</v>
      </c>
      <c r="AZ135" s="745">
        <f t="shared" si="75"/>
        <v>61.081491435838075</v>
      </c>
      <c r="BA135" s="642">
        <f t="shared" si="72"/>
        <v>0.9073338799346512</v>
      </c>
      <c r="BC135" s="11">
        <v>43221</v>
      </c>
      <c r="BD135" s="290">
        <f>[2]!FeuilCaduc*(1-Persistant)+Persistant</f>
        <v>0.76949882952393212</v>
      </c>
      <c r="BE135" s="291">
        <f>[2]!CroissVégét</f>
        <v>0.16083055564958049</v>
      </c>
      <c r="BF135" s="815">
        <f>1+[2]!Salcycl*Ksac</f>
        <v>1.0115831382539886</v>
      </c>
      <c r="BH135" s="1052">
        <f t="shared" si="73"/>
        <v>7.2788794147287316E-4</v>
      </c>
      <c r="BI135" s="11">
        <v>44317</v>
      </c>
      <c r="BJ135" s="725">
        <v>3.2835742957989124E-6</v>
      </c>
      <c r="BK135" s="725">
        <v>3.1475467364622778E-5</v>
      </c>
      <c r="BL135" s="725">
        <v>1.2148360894867767E-4</v>
      </c>
      <c r="BM135" s="725">
        <v>4.5506051228780459E-4</v>
      </c>
      <c r="BN135" s="725">
        <v>1.1383418579597189E-3</v>
      </c>
      <c r="BO135" s="726">
        <v>2.5162314378077057E-3</v>
      </c>
      <c r="BP135" s="725">
        <v>4.8005207955886791E-3</v>
      </c>
      <c r="BQ135" s="725">
        <v>8.4552983446035644E-3</v>
      </c>
      <c r="BR135" s="725">
        <v>1.3885309063630721E-2</v>
      </c>
      <c r="BS135" s="725">
        <v>2.2046310608074809E-2</v>
      </c>
      <c r="BT135" s="725">
        <v>3.2352787301568271E-2</v>
      </c>
      <c r="BW135" s="1189">
        <f>'2018'!R\Max</f>
        <v>0</v>
      </c>
      <c r="BX135" s="1187">
        <f>'2019'!R\Max</f>
        <v>0.9073338799346512</v>
      </c>
      <c r="BY135" s="1187">
        <f>'2020'!R\Max</f>
        <v>0.78928798447508908</v>
      </c>
      <c r="BZ135" s="1187">
        <f>'2021'!R\Max</f>
        <v>0.33360637403106586</v>
      </c>
      <c r="CA135" s="1187">
        <f>'2022'!R\Max</f>
        <v>0.84307724717667054</v>
      </c>
      <c r="CB135" s="1187">
        <f>'2023'!R\Max</f>
        <v>0.84306354422638852</v>
      </c>
      <c r="CC135" s="1187">
        <f>'2024'!R\Max</f>
        <v>0.84304983973430769</v>
      </c>
      <c r="CD135" s="1187">
        <f>'2025'!R\Max</f>
        <v>0.84310578707810857</v>
      </c>
      <c r="CE135" s="1187">
        <f>'2026'!R\Max</f>
        <v>0.84310168934534813</v>
      </c>
      <c r="CF135" s="1188">
        <f>'2027'!R\Max</f>
        <v>0.84309505410233254</v>
      </c>
    </row>
    <row r="136" spans="1:84" s="6" customFormat="1" ht="11.25" x14ac:dyDescent="0.2">
      <c r="A136" s="11">
        <v>43222</v>
      </c>
      <c r="B136" s="380">
        <f>'2022'!Maxi_hp</f>
        <v>48.436895497277384</v>
      </c>
      <c r="C136" s="13">
        <f>'2022'!An_max</f>
        <v>2021</v>
      </c>
      <c r="D136" s="1061"/>
      <c r="E136" s="13"/>
      <c r="F136" s="13">
        <f t="shared" si="74"/>
        <v>11</v>
      </c>
      <c r="G136" s="13">
        <f t="shared" si="58"/>
        <v>10</v>
      </c>
      <c r="H136" s="173">
        <f t="shared" si="59"/>
        <v>43234</v>
      </c>
      <c r="I136" s="752">
        <f t="shared" si="60"/>
        <v>0.8571428571428571</v>
      </c>
      <c r="J136" s="745">
        <f t="shared" si="61"/>
        <v>61.298250728100541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4">
        <v>43222</v>
      </c>
      <c r="AP136" s="13">
        <f t="shared" si="62"/>
        <v>7</v>
      </c>
      <c r="AQ136" s="13">
        <f t="shared" si="63"/>
        <v>6</v>
      </c>
      <c r="AR136" s="173">
        <f t="shared" si="64"/>
        <v>43248</v>
      </c>
      <c r="AS136" s="752">
        <f t="shared" si="65"/>
        <v>0.9285714285714286</v>
      </c>
      <c r="AT136" s="768">
        <f t="shared" si="66"/>
        <v>61.306468658947516</v>
      </c>
      <c r="AU136" s="13">
        <f t="shared" si="67"/>
        <v>5</v>
      </c>
      <c r="AV136" s="13">
        <f t="shared" si="68"/>
        <v>6</v>
      </c>
      <c r="AW136" s="173">
        <f t="shared" si="69"/>
        <v>43206</v>
      </c>
      <c r="AX136" s="752">
        <f t="shared" si="70"/>
        <v>0.5714285714285714</v>
      </c>
      <c r="AY136" s="768">
        <f t="shared" si="71"/>
        <v>61.247521865155022</v>
      </c>
      <c r="AZ136" s="745">
        <f t="shared" si="75"/>
        <v>61.276995262051273</v>
      </c>
      <c r="BA136" s="642">
        <f t="shared" si="72"/>
        <v>0.79018397624636927</v>
      </c>
      <c r="BC136" s="11">
        <v>43222</v>
      </c>
      <c r="BD136" s="290">
        <f>[2]!FeuilCaduc*(1-Persistant)+Persistant</f>
        <v>0.77269591299978224</v>
      </c>
      <c r="BE136" s="291">
        <f>[2]!CroissVégét</f>
        <v>0.16649552652045066</v>
      </c>
      <c r="BF136" s="815">
        <f>1+[2]!Salcycl*Ksac</f>
        <v>1.0121159854999637</v>
      </c>
      <c r="BH136" s="1052">
        <f t="shared" si="73"/>
        <v>7.0880886571342413E-4</v>
      </c>
      <c r="BI136" s="11">
        <v>44318</v>
      </c>
      <c r="BJ136" s="725">
        <v>3.7926048246438768E-6</v>
      </c>
      <c r="BK136" s="725">
        <v>3.329495565992762E-5</v>
      </c>
      <c r="BL136" s="725">
        <v>1.2213373887113237E-4</v>
      </c>
      <c r="BM136" s="725">
        <v>4.4654516921634961E-4</v>
      </c>
      <c r="BN136" s="725">
        <v>1.1033702252551758E-3</v>
      </c>
      <c r="BO136" s="726">
        <v>2.429800417894382E-3</v>
      </c>
      <c r="BP136" s="725">
        <v>4.6087737231298147E-3</v>
      </c>
      <c r="BQ136" s="725">
        <v>8.0768384890483689E-3</v>
      </c>
      <c r="BR136" s="725">
        <v>1.3218597847951079E-2</v>
      </c>
      <c r="BS136" s="725">
        <v>2.0998758429914569E-2</v>
      </c>
      <c r="BT136" s="725">
        <v>3.0868836452814089E-2</v>
      </c>
      <c r="BW136" s="1189">
        <f>'2018'!R\Max</f>
        <v>0</v>
      </c>
      <c r="BX136" s="1187">
        <f>'2019'!R\Max</f>
        <v>0.54365193989656468</v>
      </c>
      <c r="BY136" s="1187">
        <f>'2020'!R\Max</f>
        <v>0.35954988131446353</v>
      </c>
      <c r="BZ136" s="1187">
        <f>'2021'!R\Max</f>
        <v>0.79018397624636927</v>
      </c>
      <c r="CA136" s="1187">
        <f>'2022'!R\Max</f>
        <v>0.49130888238052883</v>
      </c>
      <c r="CB136" s="1187">
        <f>'2023'!R\Max</f>
        <v>0.49128416692506194</v>
      </c>
      <c r="CC136" s="1187">
        <f>'2024'!R\Max</f>
        <v>0.49125945053418379</v>
      </c>
      <c r="CD136" s="1187">
        <f>'2025'!R\Max</f>
        <v>0.4913608841309659</v>
      </c>
      <c r="CE136" s="1187">
        <f>'2026'!R\Max</f>
        <v>0.49135343464861442</v>
      </c>
      <c r="CF136" s="1188">
        <f>'2027'!R\Max</f>
        <v>0.49134131635338851</v>
      </c>
    </row>
    <row r="137" spans="1:84" s="6" customFormat="1" ht="11.25" x14ac:dyDescent="0.2">
      <c r="A137" s="11">
        <v>43223</v>
      </c>
      <c r="B137" s="380">
        <f>'2022'!Maxi_hp</f>
        <v>59.778288949958807</v>
      </c>
      <c r="C137" s="13">
        <f>'2022'!An_max</f>
        <v>2021</v>
      </c>
      <c r="D137" s="1061"/>
      <c r="E137" s="13"/>
      <c r="F137" s="13">
        <f t="shared" si="74"/>
        <v>11</v>
      </c>
      <c r="G137" s="13">
        <f t="shared" si="58"/>
        <v>10</v>
      </c>
      <c r="H137" s="173">
        <f t="shared" si="59"/>
        <v>43234</v>
      </c>
      <c r="I137" s="752">
        <f t="shared" si="60"/>
        <v>0.7857142857142857</v>
      </c>
      <c r="J137" s="745">
        <f t="shared" si="61"/>
        <v>61.485677842263669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4">
        <v>43223</v>
      </c>
      <c r="AP137" s="13">
        <f t="shared" si="62"/>
        <v>7</v>
      </c>
      <c r="AQ137" s="13">
        <f t="shared" si="63"/>
        <v>6</v>
      </c>
      <c r="AR137" s="173">
        <f t="shared" si="64"/>
        <v>43248</v>
      </c>
      <c r="AS137" s="752">
        <f t="shared" si="65"/>
        <v>0.8928571428571429</v>
      </c>
      <c r="AT137" s="768">
        <f t="shared" si="66"/>
        <v>61.496193968238572</v>
      </c>
      <c r="AU137" s="13">
        <f t="shared" si="67"/>
        <v>5</v>
      </c>
      <c r="AV137" s="13">
        <f t="shared" si="68"/>
        <v>6</v>
      </c>
      <c r="AW137" s="173">
        <f t="shared" si="69"/>
        <v>43206</v>
      </c>
      <c r="AX137" s="752">
        <f t="shared" si="70"/>
        <v>0.6071428571428571</v>
      </c>
      <c r="AY137" s="768">
        <f t="shared" si="71"/>
        <v>61.433488975624961</v>
      </c>
      <c r="AZ137" s="745">
        <f t="shared" si="75"/>
        <v>61.464841471931763</v>
      </c>
      <c r="BA137" s="642">
        <f t="shared" si="72"/>
        <v>0.97223111215127167</v>
      </c>
      <c r="BC137" s="11">
        <v>43223</v>
      </c>
      <c r="BD137" s="290">
        <f>[2]!FeuilCaduc*(1-Persistant)+Persistant</f>
        <v>0.77597262812895373</v>
      </c>
      <c r="BE137" s="291">
        <f>[2]!CroissVégét</f>
        <v>0.1723173890515782</v>
      </c>
      <c r="BF137" s="815">
        <f>1+[2]!Salcycl*Ksac</f>
        <v>1.012662104688159</v>
      </c>
      <c r="BH137" s="1052">
        <f t="shared" si="73"/>
        <v>6.933174722742677E-4</v>
      </c>
      <c r="BI137" s="11">
        <v>44319</v>
      </c>
      <c r="BJ137" s="725">
        <v>4.2967642632276822E-6</v>
      </c>
      <c r="BK137" s="725">
        <v>3.5234379184992136E-5</v>
      </c>
      <c r="BL137" s="725">
        <v>1.2393460269942191E-4</v>
      </c>
      <c r="BM137" s="725">
        <v>4.4039968039106717E-4</v>
      </c>
      <c r="BN137" s="725">
        <v>1.0738184304724474E-3</v>
      </c>
      <c r="BO137" s="726">
        <v>2.3523610042218332E-3</v>
      </c>
      <c r="BP137" s="725">
        <v>4.4327498690520523E-3</v>
      </c>
      <c r="BQ137" s="725">
        <v>7.7237704797244967E-3</v>
      </c>
      <c r="BR137" s="725">
        <v>1.2591036073325077E-2</v>
      </c>
      <c r="BS137" s="725">
        <v>2.0002545945990092E-2</v>
      </c>
      <c r="BT137" s="725">
        <v>2.9445321318193319E-2</v>
      </c>
      <c r="BW137" s="1189">
        <f>'2018'!R\Max</f>
        <v>0</v>
      </c>
      <c r="BX137" s="1187">
        <f>'2019'!R\Max</f>
        <v>0.34508420291436609</v>
      </c>
      <c r="BY137" s="1187">
        <f>'2020'!R\Max</f>
        <v>0.64485085260961483</v>
      </c>
      <c r="BZ137" s="1187">
        <f>'2021'!R\Max</f>
        <v>0.97223111215127167</v>
      </c>
      <c r="CA137" s="1187">
        <f>'2022'!R\Max</f>
        <v>0.6732405183558654</v>
      </c>
      <c r="CB137" s="1187">
        <f>'2023'!R\Max</f>
        <v>0.67321972288778009</v>
      </c>
      <c r="CC137" s="1187">
        <f>'2024'!R\Max</f>
        <v>0.67319892595204311</v>
      </c>
      <c r="CD137" s="1187">
        <f>'2025'!R\Max</f>
        <v>0.67328474466251087</v>
      </c>
      <c r="CE137" s="1187">
        <f>'2026'!R\Max</f>
        <v>0.67327841414447964</v>
      </c>
      <c r="CF137" s="1188">
        <f>'2027'!R\Max</f>
        <v>0.67326808223422752</v>
      </c>
    </row>
    <row r="138" spans="1:84" s="6" customFormat="1" ht="11.25" x14ac:dyDescent="0.2">
      <c r="A138" s="11">
        <v>43224</v>
      </c>
      <c r="B138" s="380">
        <f>'2022'!Maxi_hp</f>
        <v>54.701655711301164</v>
      </c>
      <c r="C138" s="13">
        <f>'2022'!An_max</f>
        <v>2020</v>
      </c>
      <c r="D138" s="1061"/>
      <c r="E138" s="13"/>
      <c r="F138" s="13">
        <f t="shared" si="74"/>
        <v>11</v>
      </c>
      <c r="G138" s="13">
        <f t="shared" si="58"/>
        <v>10</v>
      </c>
      <c r="H138" s="173">
        <f t="shared" si="59"/>
        <v>43234</v>
      </c>
      <c r="I138" s="752">
        <f t="shared" si="60"/>
        <v>0.7142857142857143</v>
      </c>
      <c r="J138" s="745">
        <f t="shared" si="61"/>
        <v>61.665597667651511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4">
        <v>43224</v>
      </c>
      <c r="AP138" s="13">
        <f t="shared" si="62"/>
        <v>7</v>
      </c>
      <c r="AQ138" s="13">
        <f t="shared" si="63"/>
        <v>6</v>
      </c>
      <c r="AR138" s="173">
        <f t="shared" si="64"/>
        <v>43248</v>
      </c>
      <c r="AS138" s="752">
        <f t="shared" si="65"/>
        <v>0.8571428571428571</v>
      </c>
      <c r="AT138" s="768">
        <f t="shared" si="66"/>
        <v>61.677259475950677</v>
      </c>
      <c r="AU138" s="13">
        <f t="shared" si="67"/>
        <v>5</v>
      </c>
      <c r="AV138" s="13">
        <f t="shared" si="68"/>
        <v>6</v>
      </c>
      <c r="AW138" s="173">
        <f t="shared" si="69"/>
        <v>43206</v>
      </c>
      <c r="AX138" s="752">
        <f t="shared" si="70"/>
        <v>0.6428571428571429</v>
      </c>
      <c r="AY138" s="768">
        <f t="shared" si="71"/>
        <v>61.613210642497449</v>
      </c>
      <c r="AZ138" s="745">
        <f t="shared" si="75"/>
        <v>61.645235059224063</v>
      </c>
      <c r="BA138" s="642">
        <f t="shared" si="72"/>
        <v>0.88706925385070112</v>
      </c>
      <c r="BC138" s="11">
        <v>43224</v>
      </c>
      <c r="BD138" s="290">
        <f>[2]!FeuilCaduc*(1-Persistant)+Persistant</f>
        <v>0.77932749250804934</v>
      </c>
      <c r="BE138" s="291">
        <f>[2]!CroissVégét</f>
        <v>0.17829763088415901</v>
      </c>
      <c r="BF138" s="815">
        <f>1+[2]!Salcycl*Ksac</f>
        <v>1.0132212487513415</v>
      </c>
      <c r="BH138" s="1052">
        <f t="shared" si="73"/>
        <v>6.8141110781952895E-4</v>
      </c>
      <c r="BI138" s="11">
        <v>44320</v>
      </c>
      <c r="BJ138" s="725">
        <v>4.7960450429394883E-6</v>
      </c>
      <c r="BK138" s="725">
        <v>3.7293595771303368E-5</v>
      </c>
      <c r="BL138" s="725">
        <v>1.2688523233332698E-4</v>
      </c>
      <c r="BM138" s="725">
        <v>4.3662221285006739E-4</v>
      </c>
      <c r="BN138" s="725">
        <v>1.0496825860679538E-3</v>
      </c>
      <c r="BO138" s="726">
        <v>2.2839072023356343E-3</v>
      </c>
      <c r="BP138" s="725">
        <v>4.2724395156070747E-3</v>
      </c>
      <c r="BQ138" s="725">
        <v>7.3960799128464693E-3</v>
      </c>
      <c r="BR138" s="725">
        <v>1.2002603091559653E-2</v>
      </c>
      <c r="BS138" s="725">
        <v>1.9057648851023685E-2</v>
      </c>
      <c r="BT138" s="725">
        <v>2.8082217105463474E-2</v>
      </c>
      <c r="BW138" s="1189">
        <f>'2018'!R\Max</f>
        <v>0</v>
      </c>
      <c r="BX138" s="1187">
        <f>'2019'!R\Max</f>
        <v>0.57828963812126244</v>
      </c>
      <c r="BY138" s="1187">
        <f>'2020'!R\Max</f>
        <v>0.88706925385070112</v>
      </c>
      <c r="BZ138" s="1187">
        <f>'2021'!R\Max</f>
        <v>0.84824668434695405</v>
      </c>
      <c r="CA138" s="1187">
        <f>'2022'!R\Max</f>
        <v>0.38074787730319276</v>
      </c>
      <c r="CB138" s="1187">
        <f>'2023'!R\Max</f>
        <v>0.38072654416481738</v>
      </c>
      <c r="CC138" s="1187">
        <f>'2024'!R\Max</f>
        <v>0.38070521071455848</v>
      </c>
      <c r="CD138" s="1187">
        <f>'2025'!R\Max</f>
        <v>0.38079377733298753</v>
      </c>
      <c r="CE138" s="1187">
        <f>'2026'!R\Max</f>
        <v>0.38078720061096122</v>
      </c>
      <c r="CF138" s="1188">
        <f>'2027'!R\Max</f>
        <v>0.38077644873509775</v>
      </c>
    </row>
    <row r="139" spans="1:84" s="6" customFormat="1" ht="11.25" x14ac:dyDescent="0.2">
      <c r="A139" s="11">
        <v>43225</v>
      </c>
      <c r="B139" s="380">
        <f>'2022'!Maxi_hp</f>
        <v>58.762376134897934</v>
      </c>
      <c r="C139" s="13">
        <f>'2022'!An_max</f>
        <v>2020</v>
      </c>
      <c r="D139" s="1061"/>
      <c r="E139" s="13"/>
      <c r="F139" s="13">
        <f t="shared" si="74"/>
        <v>11</v>
      </c>
      <c r="G139" s="13">
        <f t="shared" si="58"/>
        <v>10</v>
      </c>
      <c r="H139" s="173">
        <f t="shared" si="59"/>
        <v>43234</v>
      </c>
      <c r="I139" s="752">
        <f t="shared" si="60"/>
        <v>0.6428571428571429</v>
      </c>
      <c r="J139" s="745">
        <f t="shared" si="61"/>
        <v>61.838228862360118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4">
        <v>43225</v>
      </c>
      <c r="AP139" s="13">
        <f t="shared" si="62"/>
        <v>7</v>
      </c>
      <c r="AQ139" s="13">
        <f t="shared" si="63"/>
        <v>6</v>
      </c>
      <c r="AR139" s="173">
        <f t="shared" si="64"/>
        <v>43248</v>
      </c>
      <c r="AS139" s="752">
        <f t="shared" si="65"/>
        <v>0.8214285714285714</v>
      </c>
      <c r="AT139" s="768">
        <f t="shared" si="66"/>
        <v>61.84992483564254</v>
      </c>
      <c r="AU139" s="13">
        <f t="shared" si="67"/>
        <v>5</v>
      </c>
      <c r="AV139" s="13">
        <f t="shared" si="68"/>
        <v>6</v>
      </c>
      <c r="AW139" s="173">
        <f t="shared" si="69"/>
        <v>43206</v>
      </c>
      <c r="AX139" s="752">
        <f t="shared" si="70"/>
        <v>0.6785714285714286</v>
      </c>
      <c r="AY139" s="768">
        <f t="shared" si="71"/>
        <v>61.786837190389633</v>
      </c>
      <c r="AZ139" s="745">
        <f t="shared" si="75"/>
        <v>61.818381013016086</v>
      </c>
      <c r="BA139" s="642">
        <f t="shared" si="72"/>
        <v>0.95025968912679515</v>
      </c>
      <c r="BC139" s="11">
        <v>43225</v>
      </c>
      <c r="BD139" s="290">
        <f>[2]!FeuilCaduc*(1-Persistant)+Persistant</f>
        <v>0.78275883323728346</v>
      </c>
      <c r="BE139" s="291">
        <f>[2]!CroissVégét</f>
        <v>0.1844375470173118</v>
      </c>
      <c r="BF139" s="815">
        <f>1+[2]!Salcycl*Ksac</f>
        <v>1.0137931388728807</v>
      </c>
      <c r="BH139" s="1052">
        <f t="shared" si="73"/>
        <v>6.7308698270724353E-4</v>
      </c>
      <c r="BI139" s="11">
        <v>44321</v>
      </c>
      <c r="BJ139" s="725">
        <v>5.2904393439235271E-6</v>
      </c>
      <c r="BK139" s="725">
        <v>3.9472456482041332E-5</v>
      </c>
      <c r="BL139" s="725">
        <v>1.3098460992831982E-4</v>
      </c>
      <c r="BM139" s="725">
        <v>4.3521083993478367E-4</v>
      </c>
      <c r="BN139" s="725">
        <v>1.0309586040884991E-3</v>
      </c>
      <c r="BO139" s="726">
        <v>2.2244327105025059E-3</v>
      </c>
      <c r="BP139" s="725">
        <v>4.1278324440025401E-3</v>
      </c>
      <c r="BQ139" s="725">
        <v>7.0937516369359455E-3</v>
      </c>
      <c r="BR139" s="725">
        <v>1.1453277175975479E-2</v>
      </c>
      <c r="BS139" s="725">
        <v>1.8164041579110012E-2</v>
      </c>
      <c r="BT139" s="725">
        <v>2.6779497760440665E-2</v>
      </c>
      <c r="BW139" s="1189">
        <f>'2018'!R\Max</f>
        <v>0</v>
      </c>
      <c r="BX139" s="1187">
        <f>'2019'!R\Max</f>
        <v>0.79964107070024881</v>
      </c>
      <c r="BY139" s="1187">
        <f>'2020'!R\Max</f>
        <v>0.95025968912679515</v>
      </c>
      <c r="BZ139" s="1187">
        <f>'2021'!R\Max</f>
        <v>0.57797620604155786</v>
      </c>
      <c r="CA139" s="1187">
        <f>'2022'!R\Max</f>
        <v>0.77619491663880946</v>
      </c>
      <c r="CB139" s="1187">
        <f>'2023'!R\Max</f>
        <v>0.77617984725433364</v>
      </c>
      <c r="CC139" s="1187">
        <f>'2024'!R\Max</f>
        <v>0.77616477662471317</v>
      </c>
      <c r="CD139" s="1187">
        <f>'2025'!R\Max</f>
        <v>0.77622773609431273</v>
      </c>
      <c r="CE139" s="1187">
        <f>'2026'!R\Max</f>
        <v>0.77622302048897096</v>
      </c>
      <c r="CF139" s="1188">
        <f>'2027'!R\Max</f>
        <v>0.7762153112139335</v>
      </c>
    </row>
    <row r="140" spans="1:84" s="6" customFormat="1" ht="11.25" x14ac:dyDescent="0.2">
      <c r="A140" s="11">
        <v>43226</v>
      </c>
      <c r="B140" s="380">
        <f>'2022'!Maxi_hp</f>
        <v>63.468441538808548</v>
      </c>
      <c r="C140" s="13">
        <f>'2022'!An_max</f>
        <v>2019</v>
      </c>
      <c r="D140" s="1061"/>
      <c r="E140" s="13"/>
      <c r="F140" s="13">
        <f t="shared" si="74"/>
        <v>11</v>
      </c>
      <c r="G140" s="13">
        <f t="shared" si="58"/>
        <v>10</v>
      </c>
      <c r="H140" s="173">
        <f t="shared" si="59"/>
        <v>43234</v>
      </c>
      <c r="I140" s="752">
        <f t="shared" si="60"/>
        <v>0.5714285714285714</v>
      </c>
      <c r="J140" s="745">
        <f t="shared" si="61"/>
        <v>62.003790087252852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4">
        <v>43226</v>
      </c>
      <c r="AP140" s="13">
        <f t="shared" si="62"/>
        <v>7</v>
      </c>
      <c r="AQ140" s="13">
        <f t="shared" si="63"/>
        <v>6</v>
      </c>
      <c r="AR140" s="173">
        <f t="shared" si="64"/>
        <v>43248</v>
      </c>
      <c r="AS140" s="752">
        <f t="shared" si="65"/>
        <v>0.7857142857142857</v>
      </c>
      <c r="AT140" s="768">
        <f t="shared" si="66"/>
        <v>62.014449708376603</v>
      </c>
      <c r="AU140" s="13">
        <f t="shared" si="67"/>
        <v>5</v>
      </c>
      <c r="AV140" s="13">
        <f t="shared" si="68"/>
        <v>6</v>
      </c>
      <c r="AW140" s="173">
        <f t="shared" si="69"/>
        <v>43206</v>
      </c>
      <c r="AX140" s="752">
        <f t="shared" si="70"/>
        <v>0.7142857142857143</v>
      </c>
      <c r="AY140" s="768">
        <f t="shared" si="71"/>
        <v>61.954518951688499</v>
      </c>
      <c r="AZ140" s="745">
        <f t="shared" si="75"/>
        <v>61.984484330032551</v>
      </c>
      <c r="BA140" s="642">
        <f t="shared" si="72"/>
        <v>1.0236219664877682</v>
      </c>
      <c r="BC140" s="11">
        <v>43226</v>
      </c>
      <c r="BD140" s="290">
        <f>[2]!FeuilCaduc*(1-Persistant)+Persistant</f>
        <v>0.78626478357764973</v>
      </c>
      <c r="BE140" s="291">
        <f>[2]!CroissVégét</f>
        <v>0.19073822573999455</v>
      </c>
      <c r="BF140" s="815">
        <f>1+[2]!Salcycl*Ksac</f>
        <v>1.0143774639296084</v>
      </c>
      <c r="BH140" s="1052">
        <f t="shared" si="73"/>
        <v>6.6834216314511845E-4</v>
      </c>
      <c r="BI140" s="11">
        <v>44322</v>
      </c>
      <c r="BJ140" s="725">
        <v>5.7799391051567581E-6</v>
      </c>
      <c r="BK140" s="725">
        <v>4.1770805347032926E-5</v>
      </c>
      <c r="BL140" s="725">
        <v>1.362316653726813E-4</v>
      </c>
      <c r="BM140" s="725">
        <v>4.3616353610400515E-4</v>
      </c>
      <c r="BN140" s="725">
        <v>1.0176421843278096E-3</v>
      </c>
      <c r="BO140" s="726">
        <v>2.1739309000896124E-3</v>
      </c>
      <c r="BP140" s="725">
        <v>3.9989179001353146E-3</v>
      </c>
      <c r="BQ140" s="725">
        <v>6.8167696975561833E-3</v>
      </c>
      <c r="BR140" s="725">
        <v>1.0943035436285976E-2</v>
      </c>
      <c r="BS140" s="725">
        <v>1.7321697192259827E-2</v>
      </c>
      <c r="BT140" s="725">
        <v>2.553713583603601E-2</v>
      </c>
      <c r="BW140" s="1189">
        <f>'2018'!R\Max</f>
        <v>0</v>
      </c>
      <c r="BX140" s="1187">
        <f>'2019'!R\Max</f>
        <v>1.0236219664877682</v>
      </c>
      <c r="BY140" s="1187">
        <f>'2020'!R\Max</f>
        <v>0.89558679447145384</v>
      </c>
      <c r="BZ140" s="1187">
        <f>'2021'!R\Max</f>
        <v>0.56168607980171148</v>
      </c>
      <c r="CA140" s="1187">
        <f>'2022'!R\Max</f>
        <v>0.65389908577610345</v>
      </c>
      <c r="CB140" s="1187">
        <f>'2023'!R\Max</f>
        <v>0.65388022881657593</v>
      </c>
      <c r="CC140" s="1187">
        <f>'2024'!R\Max</f>
        <v>0.65386137074480366</v>
      </c>
      <c r="CD140" s="1187">
        <f>'2025'!R\Max</f>
        <v>0.65394069120033083</v>
      </c>
      <c r="CE140" s="1187">
        <f>'2026'!R\Max</f>
        <v>0.65393468388512555</v>
      </c>
      <c r="CF140" s="1188">
        <f>'2027'!R\Max</f>
        <v>0.65392488175422891</v>
      </c>
    </row>
    <row r="141" spans="1:84" s="6" customFormat="1" ht="11.25" x14ac:dyDescent="0.2">
      <c r="A141" s="11">
        <v>43227</v>
      </c>
      <c r="B141" s="380">
        <f>'2022'!Maxi_hp</f>
        <v>60.14956112877281</v>
      </c>
      <c r="C141" s="13">
        <f>'2022'!An_max</f>
        <v>2020</v>
      </c>
      <c r="D141" s="1061"/>
      <c r="E141" s="13"/>
      <c r="F141" s="13">
        <f t="shared" si="74"/>
        <v>11</v>
      </c>
      <c r="G141" s="13">
        <f t="shared" si="58"/>
        <v>10</v>
      </c>
      <c r="H141" s="173">
        <f t="shared" si="59"/>
        <v>43234</v>
      </c>
      <c r="I141" s="752">
        <f t="shared" si="60"/>
        <v>0.5</v>
      </c>
      <c r="J141" s="745">
        <f t="shared" si="61"/>
        <v>62.162500000000001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4">
        <v>43227</v>
      </c>
      <c r="AP141" s="13">
        <f t="shared" si="62"/>
        <v>7</v>
      </c>
      <c r="AQ141" s="13">
        <f t="shared" si="63"/>
        <v>6</v>
      </c>
      <c r="AR141" s="173">
        <f t="shared" si="64"/>
        <v>43248</v>
      </c>
      <c r="AS141" s="752">
        <f t="shared" si="65"/>
        <v>0.75</v>
      </c>
      <c r="AT141" s="768">
        <f t="shared" si="66"/>
        <v>62.171093749441205</v>
      </c>
      <c r="AU141" s="13">
        <f t="shared" si="67"/>
        <v>5</v>
      </c>
      <c r="AV141" s="13">
        <f t="shared" si="68"/>
        <v>6</v>
      </c>
      <c r="AW141" s="173">
        <f t="shared" si="69"/>
        <v>43206</v>
      </c>
      <c r="AX141" s="752">
        <f t="shared" si="70"/>
        <v>0.75</v>
      </c>
      <c r="AY141" s="768">
        <f t="shared" si="71"/>
        <v>62.116406250558796</v>
      </c>
      <c r="AZ141" s="745">
        <f t="shared" si="75"/>
        <v>62.143749999999997</v>
      </c>
      <c r="BA141" s="642">
        <f t="shared" si="72"/>
        <v>0.9676181158861501</v>
      </c>
      <c r="BC141" s="11">
        <v>43227</v>
      </c>
      <c r="BD141" s="290">
        <f>[2]!FeuilCaduc*(1-Persistant)+Persistant</f>
        <v>0.78984328017286531</v>
      </c>
      <c r="BE141" s="291">
        <f>[2]!CroissVégét</f>
        <v>0.19720053455029921</v>
      </c>
      <c r="BF141" s="815">
        <f>1+[2]!Salcycl*Ksac</f>
        <v>1.0149738800288108</v>
      </c>
      <c r="BH141" s="1052">
        <f t="shared" si="73"/>
        <v>6.6717356333667838E-4</v>
      </c>
      <c r="BI141" s="11">
        <v>44323</v>
      </c>
      <c r="BJ141" s="725">
        <v>6.2645360344632186E-6</v>
      </c>
      <c r="BK141" s="725">
        <v>4.4188479097199837E-5</v>
      </c>
      <c r="BL141" s="725">
        <v>1.4262527376286458E-4</v>
      </c>
      <c r="BM141" s="725">
        <v>4.3947817174177779E-4</v>
      </c>
      <c r="BN141" s="725">
        <v>1.0097288024682129E-3</v>
      </c>
      <c r="BO141" s="726">
        <v>2.1323947959114198E-3</v>
      </c>
      <c r="BP141" s="725">
        <v>3.8856845602637585E-3</v>
      </c>
      <c r="BQ141" s="725">
        <v>6.5651172819406614E-3</v>
      </c>
      <c r="BR141" s="725">
        <v>1.0471853733304108E-2</v>
      </c>
      <c r="BS141" s="725">
        <v>1.6530587268670276E-2</v>
      </c>
      <c r="BT141" s="725">
        <v>2.435510236088935E-2</v>
      </c>
      <c r="BW141" s="1189">
        <f>'2018'!R\Max</f>
        <v>0</v>
      </c>
      <c r="BX141" s="1187">
        <f>'2019'!R\Max</f>
        <v>0.73685187887665959</v>
      </c>
      <c r="BY141" s="1187">
        <f>'2020'!R\Max</f>
        <v>0.9676181158861501</v>
      </c>
      <c r="BZ141" s="1187">
        <f>'2021'!R\Max</f>
        <v>0.50484353063397047</v>
      </c>
      <c r="CA141" s="1187">
        <f>'2022'!R\Max</f>
        <v>0.92011543183998779</v>
      </c>
      <c r="CB141" s="1187">
        <f>'2023'!R\Max</f>
        <v>0.92010953625059377</v>
      </c>
      <c r="CC141" s="1187">
        <f>'2024'!R\Max</f>
        <v>0.92010364007465606</v>
      </c>
      <c r="CD141" s="1187">
        <f>'2025'!R\Max</f>
        <v>0.92012861689423053</v>
      </c>
      <c r="CE141" s="1187">
        <f>'2026'!R\Max</f>
        <v>0.9201266998678107</v>
      </c>
      <c r="CF141" s="1188">
        <f>'2027'!R\Max</f>
        <v>0.92012358406532346</v>
      </c>
    </row>
    <row r="142" spans="1:84" s="6" customFormat="1" ht="11.25" x14ac:dyDescent="0.2">
      <c r="A142" s="11">
        <v>43228</v>
      </c>
      <c r="B142" s="380">
        <f>'2022'!Maxi_hp</f>
        <v>57.498688083785559</v>
      </c>
      <c r="C142" s="13">
        <f>'2022'!An_max</f>
        <v>2021</v>
      </c>
      <c r="D142" s="1061"/>
      <c r="E142" s="13"/>
      <c r="F142" s="13">
        <f t="shared" si="74"/>
        <v>11</v>
      </c>
      <c r="G142" s="13">
        <f t="shared" si="58"/>
        <v>10</v>
      </c>
      <c r="H142" s="173">
        <f t="shared" si="59"/>
        <v>43234</v>
      </c>
      <c r="I142" s="752">
        <f t="shared" si="60"/>
        <v>0.42857142857142855</v>
      </c>
      <c r="J142" s="745">
        <f t="shared" si="61"/>
        <v>62.314577258697582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4">
        <v>43228</v>
      </c>
      <c r="AP142" s="13">
        <f t="shared" si="62"/>
        <v>7</v>
      </c>
      <c r="AQ142" s="13">
        <f t="shared" si="63"/>
        <v>6</v>
      </c>
      <c r="AR142" s="173">
        <f t="shared" si="64"/>
        <v>43248</v>
      </c>
      <c r="AS142" s="752">
        <f t="shared" si="65"/>
        <v>0.7142857142857143</v>
      </c>
      <c r="AT142" s="768">
        <f t="shared" si="66"/>
        <v>62.320116618062777</v>
      </c>
      <c r="AU142" s="13">
        <f t="shared" si="67"/>
        <v>5</v>
      </c>
      <c r="AV142" s="13">
        <f t="shared" si="68"/>
        <v>6</v>
      </c>
      <c r="AW142" s="173">
        <f t="shared" si="69"/>
        <v>43206</v>
      </c>
      <c r="AX142" s="752">
        <f t="shared" si="70"/>
        <v>0.7857142857142857</v>
      </c>
      <c r="AY142" s="768">
        <f t="shared" si="71"/>
        <v>62.272649418083688</v>
      </c>
      <c r="AZ142" s="745">
        <f t="shared" si="75"/>
        <v>62.296383018073229</v>
      </c>
      <c r="BA142" s="642">
        <f t="shared" si="72"/>
        <v>0.92271649128070043</v>
      </c>
      <c r="BC142" s="11">
        <v>43228</v>
      </c>
      <c r="BD142" s="290">
        <f>[2]!FeuilCaduc*(1-Persistant)+Persistant</f>
        <v>0.79349206090582647</v>
      </c>
      <c r="BE142" s="291">
        <f>[2]!CroissVégét</f>
        <v>0.2038251061465651</v>
      </c>
      <c r="BF142" s="815">
        <f>1+[2]!Salcycl*Ksac</f>
        <v>1.0155820101509712</v>
      </c>
      <c r="BH142" s="1052">
        <f t="shared" si="73"/>
        <v>6.6923755542511003E-4</v>
      </c>
      <c r="BI142" s="11">
        <v>44324</v>
      </c>
      <c r="BJ142" s="725">
        <v>6.6861319678206062E-6</v>
      </c>
      <c r="BK142" s="725">
        <v>4.6467455800292462E-5</v>
      </c>
      <c r="BL142" s="725">
        <v>1.4971165739145742E-4</v>
      </c>
      <c r="BM142" s="725">
        <v>4.4482903709205501E-4</v>
      </c>
      <c r="BN142" s="725">
        <v>1.0068478738521898E-3</v>
      </c>
      <c r="BO142" s="726">
        <v>2.0994995002243276E-3</v>
      </c>
      <c r="BP142" s="725">
        <v>3.7888052879762124E-3</v>
      </c>
      <c r="BQ142" s="725">
        <v>6.3434788055167961E-3</v>
      </c>
      <c r="BR142" s="725">
        <v>1.0051500813510479E-2</v>
      </c>
      <c r="BS142" s="725">
        <v>1.5812581811901941E-2</v>
      </c>
      <c r="BT142" s="725">
        <v>2.3266814469445913E-2</v>
      </c>
      <c r="BW142" s="1189">
        <f>'2018'!R\Max</f>
        <v>0</v>
      </c>
      <c r="BX142" s="1187">
        <f>'2019'!R\Max</f>
        <v>0.49384670617622861</v>
      </c>
      <c r="BY142" s="1187">
        <f>'2020'!R\Max</f>
        <v>0.84504045230622182</v>
      </c>
      <c r="BZ142" s="1187">
        <f>'2021'!R\Max</f>
        <v>0.92271649128070043</v>
      </c>
      <c r="CA142" s="1187">
        <f>'2022'!R\Max</f>
        <v>0.83447755038656957</v>
      </c>
      <c r="CB142" s="1187">
        <f>'2023'!R\Max</f>
        <v>0.83446685283537425</v>
      </c>
      <c r="CC142" s="1187">
        <f>'2024'!R\Max</f>
        <v>0.83445615439844112</v>
      </c>
      <c r="CD142" s="1187">
        <f>'2025'!R\Max</f>
        <v>0.83450180387986694</v>
      </c>
      <c r="CE142" s="1187">
        <f>'2026'!R\Max</f>
        <v>0.83449824565450115</v>
      </c>
      <c r="CF142" s="1188">
        <f>'2027'!R\Max</f>
        <v>0.83449249657010327</v>
      </c>
    </row>
    <row r="143" spans="1:84" s="6" customFormat="1" ht="11.25" x14ac:dyDescent="0.2">
      <c r="A143" s="11">
        <v>43229</v>
      </c>
      <c r="B143" s="380">
        <f>'2022'!Maxi_hp</f>
        <v>59.561802075724238</v>
      </c>
      <c r="C143" s="13">
        <f>'2022'!An_max</f>
        <v>2022</v>
      </c>
      <c r="D143" s="1061"/>
      <c r="E143" s="13"/>
      <c r="F143" s="13">
        <f t="shared" si="74"/>
        <v>11</v>
      </c>
      <c r="G143" s="13">
        <f t="shared" ref="G143:G206" si="76">INT((MATCH($A143,x.2m)+1)/2)*2</f>
        <v>10</v>
      </c>
      <c r="H143" s="173">
        <f t="shared" ref="H143:H206" si="77">INDEX(x.2m,F143)</f>
        <v>43234</v>
      </c>
      <c r="I143" s="752">
        <f t="shared" ref="I143:I206" si="78">($A143-H143)/(INDEX(x.2m,G143)-H143)</f>
        <v>0.35714285714285715</v>
      </c>
      <c r="J143" s="745">
        <f t="shared" ref="J143:J206" si="79">((1-I143)*(INDEX(a.m,F143)*$A143*$A143+INDEX(b.m,F143)*$A143+INDEX(c.m,F143))+I143*(INDEX(a.m,G143)*$A143*$A143+INDEX(b.m,G143)*$A143+INDEX(c.m,G143)))/10</f>
        <v>62.460240524900804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4">
        <v>43229</v>
      </c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3">
        <f t="shared" ref="AR143:AR206" si="82">INDEX(x.2lg,AP143)</f>
        <v>43248</v>
      </c>
      <c r="AS143" s="752">
        <f t="shared" ref="AS143:AS206" si="83">($A143-AR143)/(INDEX(x.2lg,AQ143)-AR143)</f>
        <v>0.6785714285714286</v>
      </c>
      <c r="AT143" s="768">
        <f t="shared" ref="AT143:AT206" si="84">((1-AS143)*(INDEX(a.lg,AP143)*$A143*$A143+INDEX(b.lg,AP143)*$A143+INDEX(c.lg,AP143))+AS143*(INDEX(a.lg,AQ143)*$A143*$A143+INDEX(b.lg,AQ143)*$A143+INDEX(c.lg,AQ143)))/10</f>
        <v>62.461777970141597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3">
        <f t="shared" ref="AW143:AW206" si="87">INDEX(x.2ld,AU143)</f>
        <v>43206</v>
      </c>
      <c r="AX143" s="752">
        <f t="shared" ref="AX143:AX206" si="88">($A143-AW143)/(INDEX(x.2ld,AV143)-AW143)</f>
        <v>0.8214285714285714</v>
      </c>
      <c r="AY143" s="768">
        <f t="shared" ref="AY143:AY206" si="89">((1-AX143)*(INDEX(a.ld,AU143)*$A143*$A143+INDEX(b.ld,AU143)*$A143+INDEX(c.ld,AU143))+AX143*(INDEX(a.ld,AV143)*$A143*$A143+INDEX(b.ld,AV143)*$A143+INDEX(c.ld,AV143)))/10</f>
        <v>62.423398779119758</v>
      </c>
      <c r="AZ143" s="745">
        <f t="shared" si="75"/>
        <v>62.442588374630674</v>
      </c>
      <c r="BA143" s="642">
        <f t="shared" ref="BA143:BA206" si="90">+B143/J143</f>
        <v>0.95359546449359167</v>
      </c>
      <c r="BC143" s="11">
        <v>43229</v>
      </c>
      <c r="BD143" s="290">
        <f>[2]!FeuilCaduc*(1-Persistant)+Persistant</f>
        <v>0.79720866345783026</v>
      </c>
      <c r="BE143" s="291">
        <f>[2]!CroissVégét</f>
        <v>0.21061232458125589</v>
      </c>
      <c r="BF143" s="815">
        <f>1+[2]!Salcycl*Ksac</f>
        <v>1.0162014439096383</v>
      </c>
      <c r="BH143" s="1052">
        <f t="shared" ref="BH143:BH206" si="91">INDEX($BJ143:$BT143,,$BH$10)*(1-Ratini)+INDEX($BJ143:$BT143,,$BH$10+1)*Ratini</f>
        <v>6.7174751620436082E-4</v>
      </c>
      <c r="BI143" s="11">
        <v>44325</v>
      </c>
      <c r="BJ143" s="725">
        <v>7.0097450679925965E-6</v>
      </c>
      <c r="BK143" s="725">
        <v>4.8258848510996448E-5</v>
      </c>
      <c r="BL143" s="725">
        <v>1.5627946421562191E-4</v>
      </c>
      <c r="BM143" s="725">
        <v>4.5023333502885429E-4</v>
      </c>
      <c r="BN143" s="725">
        <v>1.0050034629852402E-3</v>
      </c>
      <c r="BO143" s="726">
        <v>2.0686672107470367E-3</v>
      </c>
      <c r="BP143" s="725">
        <v>3.697820177110215E-3</v>
      </c>
      <c r="BQ143" s="725">
        <v>6.1368413691645857E-3</v>
      </c>
      <c r="BR143" s="725">
        <v>9.6609810984026739E-3</v>
      </c>
      <c r="BS143" s="725">
        <v>1.5141753295959228E-2</v>
      </c>
      <c r="BT143" s="725">
        <v>2.2243313514340449E-2</v>
      </c>
      <c r="BW143" s="1189">
        <f>'2018'!R\Max</f>
        <v>0</v>
      </c>
      <c r="BX143" s="1187">
        <f>'2019'!R\Max</f>
        <v>0.74457385090258577</v>
      </c>
      <c r="BY143" s="1187">
        <f>'2020'!R\Max</f>
        <v>0.8781434667485708</v>
      </c>
      <c r="BZ143" s="1187">
        <f>'2021'!R\Max</f>
        <v>0.36681037031670416</v>
      </c>
      <c r="CA143" s="1187">
        <f>'2022'!R\Max</f>
        <v>0.95359546449359167</v>
      </c>
      <c r="CB143" s="1187">
        <f>'2023'!R\Max</f>
        <v>0.95359215158763344</v>
      </c>
      <c r="CC143" s="1187">
        <f>'2024'!R\Max</f>
        <v>0.95358883835742625</v>
      </c>
      <c r="CD143" s="1187">
        <f>'2025'!R\Max</f>
        <v>0.95360307554491042</v>
      </c>
      <c r="CE143" s="1187">
        <f>'2026'!R\Max</f>
        <v>0.95360194770192652</v>
      </c>
      <c r="CF143" s="1188">
        <f>'2027'!R\Max</f>
        <v>0.95360013813838884</v>
      </c>
    </row>
    <row r="144" spans="1:84" s="6" customFormat="1" ht="11.25" x14ac:dyDescent="0.2">
      <c r="A144" s="11">
        <v>43230</v>
      </c>
      <c r="B144" s="380">
        <f>'2022'!Maxi_hp</f>
        <v>55.251134206932889</v>
      </c>
      <c r="C144" s="13">
        <f>'2022'!An_max</f>
        <v>2022</v>
      </c>
      <c r="D144" s="1061"/>
      <c r="E144" s="13"/>
      <c r="F144" s="13">
        <f t="shared" ref="F144:F207" si="92">INT(MATCH($A144,x.2m)/2)*2+1</f>
        <v>11</v>
      </c>
      <c r="G144" s="13">
        <f t="shared" si="76"/>
        <v>10</v>
      </c>
      <c r="H144" s="173">
        <f t="shared" si="77"/>
        <v>43234</v>
      </c>
      <c r="I144" s="752">
        <f t="shared" si="78"/>
        <v>0.2857142857142857</v>
      </c>
      <c r="J144" s="745">
        <f t="shared" si="79"/>
        <v>62.599708454417325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4">
        <v>43230</v>
      </c>
      <c r="AP144" s="13">
        <f t="shared" si="80"/>
        <v>7</v>
      </c>
      <c r="AQ144" s="13">
        <f t="shared" si="81"/>
        <v>6</v>
      </c>
      <c r="AR144" s="173">
        <f t="shared" si="82"/>
        <v>43248</v>
      </c>
      <c r="AS144" s="752">
        <f t="shared" si="83"/>
        <v>0.6428571428571429</v>
      </c>
      <c r="AT144" s="768">
        <f t="shared" si="84"/>
        <v>62.596337463813164</v>
      </c>
      <c r="AU144" s="13">
        <f t="shared" si="85"/>
        <v>5</v>
      </c>
      <c r="AV144" s="13">
        <f t="shared" si="86"/>
        <v>6</v>
      </c>
      <c r="AW144" s="173">
        <f t="shared" si="87"/>
        <v>43206</v>
      </c>
      <c r="AX144" s="752">
        <f t="shared" si="88"/>
        <v>0.8571428571428571</v>
      </c>
      <c r="AY144" s="768">
        <f t="shared" si="89"/>
        <v>62.568804664909841</v>
      </c>
      <c r="AZ144" s="745">
        <f t="shared" ref="AZ144:AZ207" si="93">(AY144+AT144)/2</f>
        <v>62.582571064361503</v>
      </c>
      <c r="BA144" s="642">
        <f t="shared" si="90"/>
        <v>0.88261008830679488</v>
      </c>
      <c r="BC144" s="11">
        <v>43230</v>
      </c>
      <c r="BD144" s="290">
        <f>[2]!FeuilCaduc*(1-Persistant)+Persistant</f>
        <v>0.80099042463646797</v>
      </c>
      <c r="BE144" s="291">
        <f>[2]!CroissVégét</f>
        <v>0.21756231167469237</v>
      </c>
      <c r="BF144" s="815">
        <f>1+[2]!Salcycl*Ksac</f>
        <v>1.0168317374394114</v>
      </c>
      <c r="BH144" s="1052">
        <f t="shared" si="91"/>
        <v>6.7470281591408142E-4</v>
      </c>
      <c r="BI144" s="11">
        <v>44326</v>
      </c>
      <c r="BJ144" s="725">
        <v>7.2354557828773664E-6</v>
      </c>
      <c r="BK144" s="725">
        <v>4.9563049936526424E-5</v>
      </c>
      <c r="BL144" s="725">
        <v>1.6232897183209141E-4</v>
      </c>
      <c r="BM144" s="725">
        <v>4.5569077702480444E-4</v>
      </c>
      <c r="BN144" s="725">
        <v>1.0041944267406985E-3</v>
      </c>
      <c r="BO144" s="726">
        <v>2.0398963088991313E-3</v>
      </c>
      <c r="BP144" s="725">
        <v>3.6127251936645005E-3</v>
      </c>
      <c r="BQ144" s="725">
        <v>5.9451948564463028E-3</v>
      </c>
      <c r="BR144" s="725">
        <v>9.3002745594073684E-3</v>
      </c>
      <c r="BS144" s="725">
        <v>1.4518071399743485E-2</v>
      </c>
      <c r="BT144" s="725">
        <v>2.1284560049183467E-2</v>
      </c>
      <c r="BW144" s="1189">
        <f>'2018'!R\Max</f>
        <v>0</v>
      </c>
      <c r="BX144" s="1187">
        <f>'2019'!R\Max</f>
        <v>0.6420518994839014</v>
      </c>
      <c r="BY144" s="1187">
        <f>'2020'!R\Max</f>
        <v>0.83892297869952082</v>
      </c>
      <c r="BZ144" s="1187">
        <f>'2021'!R\Max</f>
        <v>0.68690301354491878</v>
      </c>
      <c r="CA144" s="1187">
        <f>'2022'!R\Max</f>
        <v>0.88261008830679488</v>
      </c>
      <c r="CB144" s="1187">
        <f>'2023'!R\Max</f>
        <v>0.8826025809518161</v>
      </c>
      <c r="CC144" s="1187">
        <f>'2024'!R\Max</f>
        <v>0.8825950729629275</v>
      </c>
      <c r="CD144" s="1187">
        <f>'2025'!R\Max</f>
        <v>0.88262755778554192</v>
      </c>
      <c r="CE144" s="1187">
        <f>'2026'!R\Max</f>
        <v>0.88262494027932481</v>
      </c>
      <c r="CF144" s="1188">
        <f>'2027'!R\Max</f>
        <v>0.88262077463598099</v>
      </c>
    </row>
    <row r="145" spans="1:84" s="6" customFormat="1" ht="11.25" x14ac:dyDescent="0.2">
      <c r="A145" s="11">
        <v>43231</v>
      </c>
      <c r="B145" s="380">
        <f>'2022'!Maxi_hp</f>
        <v>60.05837368883941</v>
      </c>
      <c r="C145" s="13">
        <f>'2022'!An_max</f>
        <v>2022</v>
      </c>
      <c r="D145" s="1061"/>
      <c r="E145" s="13"/>
      <c r="F145" s="13">
        <f t="shared" si="92"/>
        <v>11</v>
      </c>
      <c r="G145" s="13">
        <f t="shared" si="76"/>
        <v>10</v>
      </c>
      <c r="H145" s="173">
        <f t="shared" si="77"/>
        <v>43234</v>
      </c>
      <c r="I145" s="752">
        <f t="shared" si="78"/>
        <v>0.21428571428571427</v>
      </c>
      <c r="J145" s="745">
        <f t="shared" si="79"/>
        <v>62.733199708216958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4">
        <v>43231</v>
      </c>
      <c r="AP145" s="13">
        <f t="shared" si="80"/>
        <v>7</v>
      </c>
      <c r="AQ145" s="13">
        <f t="shared" si="81"/>
        <v>6</v>
      </c>
      <c r="AR145" s="173">
        <f t="shared" si="82"/>
        <v>43248</v>
      </c>
      <c r="AS145" s="752">
        <f t="shared" si="83"/>
        <v>0.6071428571428571</v>
      </c>
      <c r="AT145" s="768">
        <f t="shared" si="84"/>
        <v>62.724054755563181</v>
      </c>
      <c r="AU145" s="13">
        <f t="shared" si="85"/>
        <v>5</v>
      </c>
      <c r="AV145" s="13">
        <f t="shared" si="86"/>
        <v>6</v>
      </c>
      <c r="AW145" s="173">
        <f t="shared" si="87"/>
        <v>43206</v>
      </c>
      <c r="AX145" s="752">
        <f t="shared" si="88"/>
        <v>0.8928571428571429</v>
      </c>
      <c r="AY145" s="768">
        <f t="shared" si="89"/>
        <v>62.709017401507921</v>
      </c>
      <c r="AZ145" s="745">
        <f t="shared" si="93"/>
        <v>62.716536078535555</v>
      </c>
      <c r="BA145" s="642">
        <f t="shared" si="90"/>
        <v>0.95736187486341151</v>
      </c>
      <c r="BC145" s="11">
        <v>43231</v>
      </c>
      <c r="BD145" s="290">
        <f>[2]!FeuilCaduc*(1-Persistant)+Persistant</f>
        <v>0.80483448053485185</v>
      </c>
      <c r="BE145" s="291">
        <f>[2]!CroissVégét</f>
        <v>0.22467491379142088</v>
      </c>
      <c r="BF145" s="815">
        <f>1+[2]!Salcycl*Ksac</f>
        <v>1.0174724134224753</v>
      </c>
      <c r="BH145" s="1052">
        <f t="shared" si="91"/>
        <v>6.7810279988832342E-4</v>
      </c>
      <c r="BI145" s="11">
        <v>44327</v>
      </c>
      <c r="BJ145" s="725">
        <v>7.3633491350373748E-6</v>
      </c>
      <c r="BK145" s="725">
        <v>5.0380475375434311E-5</v>
      </c>
      <c r="BL145" s="725">
        <v>1.6786047756414303E-4</v>
      </c>
      <c r="BM145" s="725">
        <v>4.61201066690678E-4</v>
      </c>
      <c r="BN145" s="725">
        <v>1.0044195714449234E-3</v>
      </c>
      <c r="BO145" s="726">
        <v>2.0131851000951611E-3</v>
      </c>
      <c r="BP145" s="725">
        <v>3.5335160905906235E-3</v>
      </c>
      <c r="BQ145" s="725">
        <v>5.7685285882749463E-3</v>
      </c>
      <c r="BR145" s="725">
        <v>8.969360032149239E-3</v>
      </c>
      <c r="BS145" s="725">
        <v>1.3941504054481225E-2</v>
      </c>
      <c r="BT145" s="725">
        <v>2.0390512319374176E-2</v>
      </c>
      <c r="BW145" s="1189">
        <f>'2018'!R\Max</f>
        <v>0</v>
      </c>
      <c r="BX145" s="1187">
        <f>'2019'!R\Max</f>
        <v>0.602273728816902</v>
      </c>
      <c r="BY145" s="1187">
        <f>'2020'!R\Max</f>
        <v>0.20269710530409912</v>
      </c>
      <c r="BZ145" s="1187">
        <f>'2021'!R\Max</f>
        <v>0.63893110384186103</v>
      </c>
      <c r="CA145" s="1187">
        <f>'2022'!R\Max</f>
        <v>0.95736187486341151</v>
      </c>
      <c r="CB145" s="1187">
        <f>'2023'!R\Max</f>
        <v>0.95735900822116826</v>
      </c>
      <c r="CC145" s="1187">
        <f>'2024'!R\Max</f>
        <v>0.95735614131422664</v>
      </c>
      <c r="CD145" s="1187">
        <f>'2025'!R\Max</f>
        <v>0.95736862722619198</v>
      </c>
      <c r="CE145" s="1187">
        <f>'2026'!R\Max</f>
        <v>0.95736760322005998</v>
      </c>
      <c r="CF145" s="1188">
        <f>'2027'!R\Max</f>
        <v>0.95736598859446775</v>
      </c>
    </row>
    <row r="146" spans="1:84" s="6" customFormat="1" ht="11.25" x14ac:dyDescent="0.2">
      <c r="A146" s="11">
        <v>43232</v>
      </c>
      <c r="B146" s="380">
        <f>'2022'!Maxi_hp</f>
        <v>59.107632705662361</v>
      </c>
      <c r="C146" s="13">
        <f>'2022'!An_max</f>
        <v>2019</v>
      </c>
      <c r="D146" s="1061"/>
      <c r="E146" s="13"/>
      <c r="F146" s="13">
        <f t="shared" si="92"/>
        <v>11</v>
      </c>
      <c r="G146" s="13">
        <f t="shared" si="76"/>
        <v>10</v>
      </c>
      <c r="H146" s="173">
        <f t="shared" si="77"/>
        <v>43234</v>
      </c>
      <c r="I146" s="752">
        <f t="shared" si="78"/>
        <v>0.14285714285714285</v>
      </c>
      <c r="J146" s="745">
        <f t="shared" si="79"/>
        <v>62.860932943331342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4">
        <v>43232</v>
      </c>
      <c r="AP146" s="13">
        <f t="shared" si="80"/>
        <v>7</v>
      </c>
      <c r="AQ146" s="13">
        <f t="shared" si="81"/>
        <v>6</v>
      </c>
      <c r="AR146" s="173">
        <f t="shared" si="82"/>
        <v>43248</v>
      </c>
      <c r="AS146" s="752">
        <f t="shared" si="83"/>
        <v>0.5714285714285714</v>
      </c>
      <c r="AT146" s="768">
        <f t="shared" si="84"/>
        <v>62.845189504218958</v>
      </c>
      <c r="AU146" s="13">
        <f t="shared" si="85"/>
        <v>5</v>
      </c>
      <c r="AV146" s="13">
        <f t="shared" si="86"/>
        <v>6</v>
      </c>
      <c r="AW146" s="173">
        <f t="shared" si="87"/>
        <v>43206</v>
      </c>
      <c r="AX146" s="752">
        <f t="shared" si="88"/>
        <v>0.9285714285714286</v>
      </c>
      <c r="AY146" s="768">
        <f t="shared" si="89"/>
        <v>62.844187319544815</v>
      </c>
      <c r="AZ146" s="745">
        <f t="shared" si="93"/>
        <v>62.84468841188189</v>
      </c>
      <c r="BA146" s="642">
        <f t="shared" si="90"/>
        <v>0.9402920055123497</v>
      </c>
      <c r="BC146" s="11">
        <v>43232</v>
      </c>
      <c r="BD146" s="290">
        <f>[2]!FeuilCaduc*(1-Persistant)+Persistant</f>
        <v>0.80873776758073679</v>
      </c>
      <c r="BE146" s="291">
        <f>[2]!CroissVégét</f>
        <v>0.23194968908707836</v>
      </c>
      <c r="BF146" s="815">
        <f>1+[2]!Salcycl*Ksac</f>
        <v>1.0181229612634561</v>
      </c>
      <c r="BH146" s="1052">
        <f t="shared" si="91"/>
        <v>6.8194678755492569E-4</v>
      </c>
      <c r="BI146" s="11">
        <v>44328</v>
      </c>
      <c r="BJ146" s="725">
        <v>7.3935149360069495E-6</v>
      </c>
      <c r="BK146" s="725">
        <v>5.0711563783434979E-5</v>
      </c>
      <c r="BL146" s="725">
        <v>1.7287429958612267E-4</v>
      </c>
      <c r="BM146" s="725">
        <v>4.667638996383518E-4</v>
      </c>
      <c r="BN146" s="725">
        <v>1.0056776505774825E-3</v>
      </c>
      <c r="BO146" s="726">
        <v>1.9885318092006466E-3</v>
      </c>
      <c r="BP146" s="725">
        <v>3.4601883948771179E-3</v>
      </c>
      <c r="BQ146" s="725">
        <v>5.6068312901032726E-3</v>
      </c>
      <c r="BR146" s="725">
        <v>8.6682151512441526E-3</v>
      </c>
      <c r="BS146" s="725">
        <v>1.3412017340682029E-2</v>
      </c>
      <c r="BT146" s="725">
        <v>1.9561126120687129E-2</v>
      </c>
      <c r="BW146" s="1189">
        <f>'2018'!R\Max</f>
        <v>0</v>
      </c>
      <c r="BX146" s="1187">
        <f>'2019'!R\Max</f>
        <v>0.9402920055123497</v>
      </c>
      <c r="BY146" s="1187">
        <f>'2020'!R\Max</f>
        <v>0.14603957511709836</v>
      </c>
      <c r="BZ146" s="1187">
        <f>'2021'!R\Max</f>
        <v>0.6764588945909491</v>
      </c>
      <c r="CA146" s="1187">
        <f>'2022'!R\Max</f>
        <v>0.73539216150584386</v>
      </c>
      <c r="CB146" s="1187">
        <f>'2023'!R\Max</f>
        <v>0.73537889674522394</v>
      </c>
      <c r="CC146" s="1187">
        <f>'2024'!R\Max</f>
        <v>0.73536563119713139</v>
      </c>
      <c r="CD146" s="1187">
        <f>'2025'!R\Max</f>
        <v>0.73542376983141722</v>
      </c>
      <c r="CE146" s="1187">
        <f>'2026'!R\Max</f>
        <v>0.73541891311666285</v>
      </c>
      <c r="CF146" s="1188">
        <f>'2027'!R\Max</f>
        <v>0.73541133484619392</v>
      </c>
    </row>
    <row r="147" spans="1:84" s="6" customFormat="1" ht="11.25" x14ac:dyDescent="0.2">
      <c r="A147" s="11">
        <v>43233</v>
      </c>
      <c r="B147" s="380">
        <f>'2022'!Maxi_hp</f>
        <v>65.445503800800012</v>
      </c>
      <c r="C147" s="13">
        <f>'2022'!An_max</f>
        <v>2019</v>
      </c>
      <c r="D147" s="1061"/>
      <c r="E147" s="13"/>
      <c r="F147" s="13">
        <f t="shared" si="92"/>
        <v>11</v>
      </c>
      <c r="G147" s="13">
        <f t="shared" si="76"/>
        <v>10</v>
      </c>
      <c r="H147" s="173">
        <f t="shared" si="77"/>
        <v>43234</v>
      </c>
      <c r="I147" s="752">
        <f t="shared" si="78"/>
        <v>7.1428571428571425E-2</v>
      </c>
      <c r="J147" s="745">
        <f t="shared" si="79"/>
        <v>62.983126820836752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4">
        <v>43233</v>
      </c>
      <c r="AP147" s="13">
        <f t="shared" si="80"/>
        <v>7</v>
      </c>
      <c r="AQ147" s="13">
        <f t="shared" si="81"/>
        <v>6</v>
      </c>
      <c r="AR147" s="173">
        <f t="shared" si="82"/>
        <v>43248</v>
      </c>
      <c r="AS147" s="752">
        <f t="shared" si="83"/>
        <v>0.5357142857142857</v>
      </c>
      <c r="AT147" s="768">
        <f t="shared" si="84"/>
        <v>62.960001366931408</v>
      </c>
      <c r="AU147" s="13">
        <f t="shared" si="85"/>
        <v>5</v>
      </c>
      <c r="AV147" s="13">
        <f t="shared" si="86"/>
        <v>6</v>
      </c>
      <c r="AW147" s="173">
        <f t="shared" si="87"/>
        <v>43206</v>
      </c>
      <c r="AX147" s="752">
        <f t="shared" si="88"/>
        <v>0.9642857142857143</v>
      </c>
      <c r="AY147" s="768">
        <f t="shared" si="89"/>
        <v>62.97446474249341</v>
      </c>
      <c r="AZ147" s="745">
        <f t="shared" si="93"/>
        <v>62.967233054712409</v>
      </c>
      <c r="BA147" s="642">
        <f t="shared" si="90"/>
        <v>1.0390958198529552</v>
      </c>
      <c r="BC147" s="11">
        <v>43233</v>
      </c>
      <c r="BD147" s="290">
        <f>[2]!FeuilCaduc*(1-Persistant)+Persistant</f>
        <v>0.81269702452914405</v>
      </c>
      <c r="BE147" s="291">
        <f>[2]!CroissVégét</f>
        <v>0.23938589533798257</v>
      </c>
      <c r="BF147" s="815">
        <f>1+[2]!Salcycl*Ksac</f>
        <v>1.018782837421524</v>
      </c>
      <c r="BH147" s="1052">
        <f t="shared" si="91"/>
        <v>6.8623407144129871E-4</v>
      </c>
      <c r="BI147" s="11">
        <v>44329</v>
      </c>
      <c r="BJ147" s="725">
        <v>7.3260480006628044E-6</v>
      </c>
      <c r="BK147" s="725">
        <v>5.0556778839669171E-5</v>
      </c>
      <c r="BL147" s="725">
        <v>1.773707780493332E-4</v>
      </c>
      <c r="BM147" s="725">
        <v>4.7237896334797368E-4</v>
      </c>
      <c r="BN147" s="725">
        <v>1.0079673624810361E-3</v>
      </c>
      <c r="BO147" s="726">
        <v>1.9659345760087029E-3</v>
      </c>
      <c r="BP147" s="725">
        <v>3.3927373946713211E-3</v>
      </c>
      <c r="BQ147" s="725">
        <v>5.4600910591764929E-3</v>
      </c>
      <c r="BR147" s="725">
        <v>8.3968162851940174E-3</v>
      </c>
      <c r="BS147" s="725">
        <v>1.2929575385257231E-2</v>
      </c>
      <c r="BT147" s="725">
        <v>1.8796354658096006E-2</v>
      </c>
      <c r="BW147" s="1189">
        <f>'2018'!R\Max</f>
        <v>0</v>
      </c>
      <c r="BX147" s="1187">
        <f>'2019'!R\Max</f>
        <v>1.0390958198529552</v>
      </c>
      <c r="BY147" s="1187">
        <f>'2020'!R\Max</f>
        <v>0.34860197630258039</v>
      </c>
      <c r="BZ147" s="1187">
        <f>'2021'!R\Max</f>
        <v>0.72408415003697713</v>
      </c>
      <c r="CA147" s="1187">
        <f>'2022'!R\Max</f>
        <v>0.76193232849479864</v>
      </c>
      <c r="CB147" s="1187">
        <f>'2023'!R\Max</f>
        <v>0.76192030503311858</v>
      </c>
      <c r="CC147" s="1187">
        <f>'2024'!R\Max</f>
        <v>0.76190828083506767</v>
      </c>
      <c r="CD147" s="1187">
        <f>'2025'!R\Max</f>
        <v>0.76196128713705769</v>
      </c>
      <c r="CE147" s="1187">
        <f>'2026'!R\Max</f>
        <v>0.7619567745628445</v>
      </c>
      <c r="CF147" s="1188">
        <f>'2027'!R\Max</f>
        <v>0.76194981467797374</v>
      </c>
    </row>
    <row r="148" spans="1:84" s="6" customFormat="1" ht="11.25" x14ac:dyDescent="0.2">
      <c r="A148" s="11">
        <v>43234</v>
      </c>
      <c r="B148" s="380">
        <f>'2022'!Maxi_hp</f>
        <v>63.25386320981476</v>
      </c>
      <c r="C148" s="13">
        <f>'2022'!An_max</f>
        <v>2019</v>
      </c>
      <c r="D148" s="1061"/>
      <c r="E148" s="1056">
        <f>W$13/10</f>
        <v>63.1</v>
      </c>
      <c r="F148" s="13">
        <f t="shared" si="92"/>
        <v>11</v>
      </c>
      <c r="G148" s="13">
        <f t="shared" si="76"/>
        <v>12</v>
      </c>
      <c r="H148" s="173">
        <f t="shared" si="77"/>
        <v>43234</v>
      </c>
      <c r="I148" s="752">
        <f t="shared" si="78"/>
        <v>0</v>
      </c>
      <c r="J148" s="745">
        <f t="shared" si="79"/>
        <v>63.099999998509887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4">
        <v>43234</v>
      </c>
      <c r="AP148" s="13">
        <f t="shared" si="80"/>
        <v>7</v>
      </c>
      <c r="AQ148" s="13">
        <f t="shared" si="81"/>
        <v>6</v>
      </c>
      <c r="AR148" s="173">
        <f t="shared" si="82"/>
        <v>43248</v>
      </c>
      <c r="AS148" s="752">
        <f t="shared" si="83"/>
        <v>0.5</v>
      </c>
      <c r="AT148" s="768">
        <f t="shared" si="84"/>
        <v>63.068750000745055</v>
      </c>
      <c r="AU148" s="13">
        <f t="shared" si="85"/>
        <v>7</v>
      </c>
      <c r="AV148" s="13">
        <f t="shared" si="86"/>
        <v>6</v>
      </c>
      <c r="AW148" s="173">
        <f t="shared" si="87"/>
        <v>43262</v>
      </c>
      <c r="AX148" s="752">
        <f t="shared" si="88"/>
        <v>1</v>
      </c>
      <c r="AY148" s="768">
        <f t="shared" si="89"/>
        <v>63.100000001490116</v>
      </c>
      <c r="AZ148" s="745">
        <f t="shared" si="93"/>
        <v>63.084375001117586</v>
      </c>
      <c r="BA148" s="642">
        <f t="shared" si="90"/>
        <v>1.0024384027148734</v>
      </c>
      <c r="BC148" s="11">
        <v>43234</v>
      </c>
      <c r="BD148" s="290">
        <f>[2]!FeuilCaduc*(1-Persistant)+Persistant</f>
        <v>0.81670879544632669</v>
      </c>
      <c r="BE148" s="291">
        <f>[2]!CroissVégét</f>
        <v>0.24698247846918731</v>
      </c>
      <c r="BF148" s="815">
        <f>1+[2]!Salcycl*Ksac</f>
        <v>1.0194514659077212</v>
      </c>
      <c r="BH148" s="1052">
        <f t="shared" si="91"/>
        <v>6.9096391618449562E-4</v>
      </c>
      <c r="BI148" s="11">
        <v>44330</v>
      </c>
      <c r="BJ148" s="725">
        <v>7.1610483616436325E-6</v>
      </c>
      <c r="BK148" s="725">
        <v>4.9916610013299627E-5</v>
      </c>
      <c r="BL148" s="725">
        <v>1.8135027620905613E-4</v>
      </c>
      <c r="BM148" s="725">
        <v>4.7804593703809021E-4</v>
      </c>
      <c r="BN148" s="725">
        <v>1.0112873480774996E-3</v>
      </c>
      <c r="BO148" s="726">
        <v>1.9453914507288786E-3</v>
      </c>
      <c r="BP148" s="725">
        <v>3.3311581264221591E-3</v>
      </c>
      <c r="BQ148" s="725">
        <v>5.3282953318185122E-3</v>
      </c>
      <c r="BR148" s="725">
        <v>8.1551384713328835E-3</v>
      </c>
      <c r="BS148" s="725">
        <v>1.2494140258717359E-2</v>
      </c>
      <c r="BT148" s="725">
        <v>1.8096148404712072E-2</v>
      </c>
      <c r="BW148" s="1189">
        <f>'2018'!R\Max</f>
        <v>0</v>
      </c>
      <c r="BX148" s="1187">
        <f>'2019'!R\Max</f>
        <v>1.0024384027148734</v>
      </c>
      <c r="BY148" s="1187">
        <f>'2020'!R\Max</f>
        <v>0.53608943572660972</v>
      </c>
      <c r="BZ148" s="1187">
        <f>'2021'!R\Max</f>
        <v>0.774870647310129</v>
      </c>
      <c r="CA148" s="1187">
        <f>'2022'!R\Max</f>
        <v>0.83818836180374023</v>
      </c>
      <c r="CB148" s="1187">
        <f>'2023'!R\Max</f>
        <v>0.83817960339853037</v>
      </c>
      <c r="CC148" s="1187">
        <f>'2024'!R\Max</f>
        <v>0.83817084438447742</v>
      </c>
      <c r="CD148" s="1187">
        <f>'2025'!R\Max</f>
        <v>0.83820966370149053</v>
      </c>
      <c r="CE148" s="1187">
        <f>'2026'!R\Max</f>
        <v>0.83820629411913705</v>
      </c>
      <c r="CF148" s="1188">
        <f>'2027'!R\Max</f>
        <v>0.8382011632919234</v>
      </c>
    </row>
    <row r="149" spans="1:84" s="6" customFormat="1" ht="11.25" x14ac:dyDescent="0.2">
      <c r="A149" s="11">
        <v>43235</v>
      </c>
      <c r="B149" s="380">
        <f>'2022'!Maxi_hp</f>
        <v>64.201306106001624</v>
      </c>
      <c r="C149" s="13">
        <f>'2022'!An_max</f>
        <v>2019</v>
      </c>
      <c r="D149" s="1061"/>
      <c r="E149" s="13"/>
      <c r="F149" s="13">
        <f t="shared" si="92"/>
        <v>11</v>
      </c>
      <c r="G149" s="13">
        <f t="shared" si="76"/>
        <v>12</v>
      </c>
      <c r="H149" s="173">
        <f t="shared" si="77"/>
        <v>43234</v>
      </c>
      <c r="I149" s="752">
        <f t="shared" si="78"/>
        <v>7.1428571428571425E-2</v>
      </c>
      <c r="J149" s="745">
        <f t="shared" si="79"/>
        <v>63.210513847534152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4">
        <v>43235</v>
      </c>
      <c r="AP149" s="13">
        <f t="shared" si="80"/>
        <v>7</v>
      </c>
      <c r="AQ149" s="13">
        <f t="shared" si="81"/>
        <v>6</v>
      </c>
      <c r="AR149" s="173">
        <f t="shared" si="82"/>
        <v>43248</v>
      </c>
      <c r="AS149" s="752">
        <f t="shared" si="83"/>
        <v>0.4642857142857143</v>
      </c>
      <c r="AT149" s="768">
        <f t="shared" si="84"/>
        <v>63.171695062518118</v>
      </c>
      <c r="AU149" s="13">
        <f t="shared" si="85"/>
        <v>7</v>
      </c>
      <c r="AV149" s="13">
        <f t="shared" si="86"/>
        <v>6</v>
      </c>
      <c r="AW149" s="173">
        <f t="shared" si="87"/>
        <v>43262</v>
      </c>
      <c r="AX149" s="752">
        <f t="shared" si="88"/>
        <v>0.9642857142857143</v>
      </c>
      <c r="AY149" s="768">
        <f t="shared" si="89"/>
        <v>63.218925382715781</v>
      </c>
      <c r="AZ149" s="745">
        <f t="shared" si="93"/>
        <v>63.195310222616953</v>
      </c>
      <c r="BA149" s="642">
        <f t="shared" si="90"/>
        <v>1.0156744851158352</v>
      </c>
      <c r="BC149" s="11">
        <v>43235</v>
      </c>
      <c r="BD149" s="290">
        <f>[2]!FeuilCaduc*(1-Persistant)+Persistant</f>
        <v>0.82076943372638256</v>
      </c>
      <c r="BE149" s="291">
        <f>[2]!CroissVégét</f>
        <v>0.25473806189926657</v>
      </c>
      <c r="BF149" s="815">
        <f>1+[2]!Salcycl*Ksac</f>
        <v>1.0201282389543971</v>
      </c>
      <c r="BH149" s="1052">
        <f t="shared" si="91"/>
        <v>6.9613555753783043E-4</v>
      </c>
      <c r="BI149" s="11">
        <v>44331</v>
      </c>
      <c r="BJ149" s="725">
        <v>6.8986214837301843E-6</v>
      </c>
      <c r="BK149" s="725">
        <v>4.8791573629841253E-5</v>
      </c>
      <c r="BL149" s="725">
        <v>1.8481318155075439E-4</v>
      </c>
      <c r="BM149" s="725">
        <v>4.837644915334573E-4</v>
      </c>
      <c r="BN149" s="725">
        <v>1.015636188579044E-3</v>
      </c>
      <c r="BO149" s="726">
        <v>1.9269003894653311E-3</v>
      </c>
      <c r="BP149" s="725">
        <v>3.2754453620039052E-3</v>
      </c>
      <c r="BQ149" s="725">
        <v>5.2114308506866856E-3</v>
      </c>
      <c r="BR149" s="725">
        <v>7.9431553507236501E-3</v>
      </c>
      <c r="BS149" s="725">
        <v>1.2105671872292148E-2</v>
      </c>
      <c r="BT149" s="725">
        <v>1.7460454960608537E-2</v>
      </c>
      <c r="BW149" s="1189">
        <f>'2018'!R\Max</f>
        <v>0</v>
      </c>
      <c r="BX149" s="1187">
        <f>'2019'!R\Max</f>
        <v>1.0156744851158352</v>
      </c>
      <c r="BY149" s="1187">
        <f>'2020'!R\Max</f>
        <v>0.33990163378663929</v>
      </c>
      <c r="BZ149" s="1187">
        <f>'2021'!R\Max</f>
        <v>0.35571526414448262</v>
      </c>
      <c r="CA149" s="1187">
        <f>'2022'!R\Max</f>
        <v>0.89123463824187943</v>
      </c>
      <c r="CB149" s="1187">
        <f>'2023'!R\Max</f>
        <v>0.89122852704416067</v>
      </c>
      <c r="CC149" s="1187">
        <f>'2024'!R\Max</f>
        <v>0.89122241539082425</v>
      </c>
      <c r="CD149" s="1187">
        <f>'2025'!R\Max</f>
        <v>0.891249632318452</v>
      </c>
      <c r="CE149" s="1187">
        <f>'2026'!R\Max</f>
        <v>0.89124722253213695</v>
      </c>
      <c r="CF149" s="1188">
        <f>'2027'!R\Max</f>
        <v>0.8912436042216707</v>
      </c>
    </row>
    <row r="150" spans="1:84" s="6" customFormat="1" ht="11.25" x14ac:dyDescent="0.2">
      <c r="A150" s="11">
        <v>43236</v>
      </c>
      <c r="B150" s="380">
        <f>'2022'!Maxi_hp</f>
        <v>54.349545015132634</v>
      </c>
      <c r="C150" s="13">
        <f>'2022'!An_max</f>
        <v>2022</v>
      </c>
      <c r="D150" s="1061"/>
      <c r="E150" s="13"/>
      <c r="F150" s="13">
        <f t="shared" si="92"/>
        <v>11</v>
      </c>
      <c r="G150" s="13">
        <f t="shared" si="76"/>
        <v>12</v>
      </c>
      <c r="H150" s="173">
        <f t="shared" si="77"/>
        <v>43234</v>
      </c>
      <c r="I150" s="752">
        <f t="shared" si="78"/>
        <v>0.14285714285714285</v>
      </c>
      <c r="J150" s="745">
        <f t="shared" si="79"/>
        <v>63.313702622907513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4">
        <v>43236</v>
      </c>
      <c r="AP150" s="13">
        <f t="shared" si="80"/>
        <v>7</v>
      </c>
      <c r="AQ150" s="13">
        <f t="shared" si="81"/>
        <v>6</v>
      </c>
      <c r="AR150" s="173">
        <f t="shared" si="82"/>
        <v>43248</v>
      </c>
      <c r="AS150" s="752">
        <f t="shared" si="83"/>
        <v>0.42857142857142855</v>
      </c>
      <c r="AT150" s="768">
        <f t="shared" si="84"/>
        <v>63.269096210386081</v>
      </c>
      <c r="AU150" s="13">
        <f t="shared" si="85"/>
        <v>7</v>
      </c>
      <c r="AV150" s="13">
        <f t="shared" si="86"/>
        <v>6</v>
      </c>
      <c r="AW150" s="173">
        <f t="shared" si="87"/>
        <v>43262</v>
      </c>
      <c r="AX150" s="752">
        <f t="shared" si="88"/>
        <v>0.9285714285714286</v>
      </c>
      <c r="AY150" s="768">
        <f t="shared" si="89"/>
        <v>63.32946428574089</v>
      </c>
      <c r="AZ150" s="745">
        <f t="shared" si="93"/>
        <v>63.299280248063482</v>
      </c>
      <c r="BA150" s="642">
        <f t="shared" si="90"/>
        <v>0.85841678441766633</v>
      </c>
      <c r="BC150" s="11">
        <v>43236</v>
      </c>
      <c r="BD150" s="290">
        <f>[2]!FeuilCaduc*(1-Persistant)+Persistant</f>
        <v>0.82487510717456147</v>
      </c>
      <c r="BE150" s="291">
        <f>[2]!CroissVégét</f>
        <v>0.2626509368215188</v>
      </c>
      <c r="BF150" s="815">
        <f>1+[2]!Salcycl*Ksac</f>
        <v>1.020812517862427</v>
      </c>
      <c r="BH150" s="1052">
        <f t="shared" si="91"/>
        <v>7.0291140310660004E-4</v>
      </c>
      <c r="BI150" s="11">
        <v>44332</v>
      </c>
      <c r="BJ150" s="725">
        <v>6.8706875841865268E-6</v>
      </c>
      <c r="BK150" s="725">
        <v>4.7942980032053885E-5</v>
      </c>
      <c r="BL150" s="725">
        <v>1.886479804641141E-4</v>
      </c>
      <c r="BM150" s="725">
        <v>4.9058955525056833E-4</v>
      </c>
      <c r="BN150" s="725">
        <v>1.0223379881407484E-3</v>
      </c>
      <c r="BO150" s="726">
        <v>1.9130525632737208E-3</v>
      </c>
      <c r="BP150" s="725">
        <v>3.2296490600505099E-3</v>
      </c>
      <c r="BQ150" s="725">
        <v>5.1151708437675789E-3</v>
      </c>
      <c r="BR150" s="725">
        <v>7.7687625644005821E-3</v>
      </c>
      <c r="BS150" s="725">
        <v>1.1776157963181103E-2</v>
      </c>
      <c r="BT150" s="725">
        <v>1.6907039319442423E-2</v>
      </c>
      <c r="BW150" s="1189">
        <f>'2018'!R\Max</f>
        <v>0</v>
      </c>
      <c r="BX150" s="1187">
        <f>'2019'!R\Max</f>
        <v>0.85710119249123262</v>
      </c>
      <c r="BY150" s="1187">
        <f>'2020'!R\Max</f>
        <v>0.27138128726609689</v>
      </c>
      <c r="BZ150" s="1187">
        <f>'2021'!R\Max</f>
        <v>0.22288788506697776</v>
      </c>
      <c r="CA150" s="1187">
        <f>'2022'!R\Max</f>
        <v>0.85841678441766633</v>
      </c>
      <c r="CB150" s="1187">
        <f>'2023'!R\Max</f>
        <v>0.85840927859990079</v>
      </c>
      <c r="CC150" s="1187">
        <f>'2024'!R\Max</f>
        <v>0.85840177226439096</v>
      </c>
      <c r="CD150" s="1187">
        <f>'2025'!R\Max</f>
        <v>0.85843534287616496</v>
      </c>
      <c r="CE150" s="1187">
        <f>'2026'!R\Max</f>
        <v>0.85843231199758008</v>
      </c>
      <c r="CF150" s="1188">
        <f>'2027'!R\Max</f>
        <v>0.8584278264294084</v>
      </c>
    </row>
    <row r="151" spans="1:84" s="6" customFormat="1" ht="11.25" x14ac:dyDescent="0.2">
      <c r="A151" s="11">
        <v>43237</v>
      </c>
      <c r="B151" s="380">
        <f>'2022'!Maxi_hp</f>
        <v>59.772823260261717</v>
      </c>
      <c r="C151" s="13">
        <f>'2022'!An_max</f>
        <v>2021</v>
      </c>
      <c r="D151" s="1061"/>
      <c r="E151" s="13"/>
      <c r="F151" s="13">
        <f t="shared" si="92"/>
        <v>11</v>
      </c>
      <c r="G151" s="13">
        <f t="shared" si="76"/>
        <v>12</v>
      </c>
      <c r="H151" s="173">
        <f t="shared" si="77"/>
        <v>43234</v>
      </c>
      <c r="I151" s="752">
        <f t="shared" si="78"/>
        <v>0.21428571428571427</v>
      </c>
      <c r="J151" s="745">
        <f t="shared" si="79"/>
        <v>63.409894314461518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4">
        <v>43237</v>
      </c>
      <c r="AP151" s="13">
        <f t="shared" si="80"/>
        <v>7</v>
      </c>
      <c r="AQ151" s="13">
        <f t="shared" si="81"/>
        <v>6</v>
      </c>
      <c r="AR151" s="173">
        <f t="shared" si="82"/>
        <v>43248</v>
      </c>
      <c r="AS151" s="752">
        <f t="shared" si="83"/>
        <v>0.39285714285714285</v>
      </c>
      <c r="AT151" s="768">
        <f t="shared" si="84"/>
        <v>63.361213101606289</v>
      </c>
      <c r="AU151" s="13">
        <f t="shared" si="85"/>
        <v>7</v>
      </c>
      <c r="AV151" s="13">
        <f t="shared" si="86"/>
        <v>6</v>
      </c>
      <c r="AW151" s="173">
        <f t="shared" si="87"/>
        <v>43262</v>
      </c>
      <c r="AX151" s="752">
        <f t="shared" si="88"/>
        <v>0.8928571428571429</v>
      </c>
      <c r="AY151" s="768">
        <f t="shared" si="89"/>
        <v>63.43190369877432</v>
      </c>
      <c r="AZ151" s="745">
        <f t="shared" si="93"/>
        <v>63.396558400190301</v>
      </c>
      <c r="BA151" s="642">
        <f t="shared" si="90"/>
        <v>0.94264190007693616</v>
      </c>
      <c r="BC151" s="11">
        <v>43237</v>
      </c>
      <c r="BD151" s="290">
        <f>[2]!FeuilCaduc*(1-Persistant)+Persistant</f>
        <v>0.82902180418340321</v>
      </c>
      <c r="BE151" s="291">
        <f>[2]!CroissVégét</f>
        <v>0.27071905354146641</v>
      </c>
      <c r="BF151" s="815">
        <f>1+[2]!Salcycl*Ksac</f>
        <v>1.0215036340305672</v>
      </c>
      <c r="BH151" s="1052">
        <f t="shared" si="91"/>
        <v>7.1049852924444726E-4</v>
      </c>
      <c r="BI151" s="11">
        <v>44333</v>
      </c>
      <c r="BJ151" s="725">
        <v>7.1164775731488468E-6</v>
      </c>
      <c r="BK151" s="725">
        <v>4.7597958502088333E-5</v>
      </c>
      <c r="BL151" s="725">
        <v>1.929145423226564E-4</v>
      </c>
      <c r="BM151" s="725">
        <v>4.9813696276905181E-4</v>
      </c>
      <c r="BN151" s="725">
        <v>1.02998486876488E-3</v>
      </c>
      <c r="BO151" s="726">
        <v>1.9014716162580071E-3</v>
      </c>
      <c r="BP151" s="725">
        <v>3.1885911841533889E-3</v>
      </c>
      <c r="BQ151" s="725">
        <v>5.0293042230601902E-3</v>
      </c>
      <c r="BR151" s="725">
        <v>7.6141006709367015E-3</v>
      </c>
      <c r="BS151" s="725">
        <v>1.1480630620965179E-2</v>
      </c>
      <c r="BT151" s="725">
        <v>1.640502668988857E-2</v>
      </c>
      <c r="BW151" s="1189">
        <f>'2018'!R\Max</f>
        <v>0</v>
      </c>
      <c r="BX151" s="1187">
        <f>'2019'!R\Max</f>
        <v>0.11100424620150161</v>
      </c>
      <c r="BY151" s="1187">
        <f>'2020'!R\Max</f>
        <v>0.62723671217011145</v>
      </c>
      <c r="BZ151" s="1187">
        <f>'2021'!R\Max</f>
        <v>0.94264190007693616</v>
      </c>
      <c r="CA151" s="1187">
        <f>'2022'!R\Max</f>
        <v>0.92196736452436423</v>
      </c>
      <c r="CB151" s="1187">
        <f>'2023'!R\Max</f>
        <v>0.92196300573766421</v>
      </c>
      <c r="CC151" s="1187">
        <f>'2024'!R\Max</f>
        <v>0.92195864662243343</v>
      </c>
      <c r="CD151" s="1187">
        <f>'2025'!R\Max</f>
        <v>0.92197822076341895</v>
      </c>
      <c r="CE151" s="1187">
        <f>'2026'!R\Max</f>
        <v>0.92197642005645331</v>
      </c>
      <c r="CF151" s="1188">
        <f>'2027'!R\Max</f>
        <v>0.92197379248341549</v>
      </c>
    </row>
    <row r="152" spans="1:84" s="6" customFormat="1" ht="11.25" x14ac:dyDescent="0.2">
      <c r="A152" s="11">
        <v>43238</v>
      </c>
      <c r="B152" s="380">
        <f>'2022'!Maxi_hp</f>
        <v>66.086546918529152</v>
      </c>
      <c r="C152" s="13">
        <f>'2022'!An_max</f>
        <v>2020</v>
      </c>
      <c r="D152" s="1061"/>
      <c r="E152" s="13"/>
      <c r="F152" s="13">
        <f t="shared" si="92"/>
        <v>11</v>
      </c>
      <c r="G152" s="13">
        <f t="shared" si="76"/>
        <v>12</v>
      </c>
      <c r="H152" s="173">
        <f t="shared" si="77"/>
        <v>43234</v>
      </c>
      <c r="I152" s="752">
        <f t="shared" si="78"/>
        <v>0.2857142857142857</v>
      </c>
      <c r="J152" s="745">
        <f t="shared" si="79"/>
        <v>63.499416908834654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4">
        <v>43238</v>
      </c>
      <c r="AP152" s="13">
        <f t="shared" si="80"/>
        <v>7</v>
      </c>
      <c r="AQ152" s="13">
        <f t="shared" si="81"/>
        <v>6</v>
      </c>
      <c r="AR152" s="173">
        <f t="shared" si="82"/>
        <v>43248</v>
      </c>
      <c r="AS152" s="752">
        <f t="shared" si="83"/>
        <v>0.35714285714285715</v>
      </c>
      <c r="AT152" s="768">
        <f t="shared" si="84"/>
        <v>63.448305394127964</v>
      </c>
      <c r="AU152" s="13">
        <f t="shared" si="85"/>
        <v>7</v>
      </c>
      <c r="AV152" s="13">
        <f t="shared" si="86"/>
        <v>6</v>
      </c>
      <c r="AW152" s="173">
        <f t="shared" si="87"/>
        <v>43262</v>
      </c>
      <c r="AX152" s="752">
        <f t="shared" si="88"/>
        <v>0.8571428571428571</v>
      </c>
      <c r="AY152" s="768">
        <f t="shared" si="89"/>
        <v>63.52653061183436</v>
      </c>
      <c r="AZ152" s="745">
        <f t="shared" si="93"/>
        <v>63.487418002981158</v>
      </c>
      <c r="BA152" s="642">
        <f t="shared" si="90"/>
        <v>1.0407425789973601</v>
      </c>
      <c r="BC152" s="11">
        <v>43238</v>
      </c>
      <c r="BD152" s="290">
        <f>[2]!FeuilCaduc*(1-Persistant)+Persistant</f>
        <v>0.83320534101934118</v>
      </c>
      <c r="BE152" s="291">
        <f>[2]!CroissVégét</f>
        <v>0.27894001398938062</v>
      </c>
      <c r="BF152" s="815">
        <f>1+[2]!Salcycl*Ksac</f>
        <v>1.0222008901698902</v>
      </c>
      <c r="BH152" s="1052">
        <f t="shared" si="91"/>
        <v>7.1889560939632018E-4</v>
      </c>
      <c r="BI152" s="11">
        <v>44334</v>
      </c>
      <c r="BJ152" s="725">
        <v>7.6356706991623382E-6</v>
      </c>
      <c r="BK152" s="725">
        <v>4.7755934811210678E-5</v>
      </c>
      <c r="BL152" s="725">
        <v>1.9761219914588731E-4</v>
      </c>
      <c r="BM152" s="725">
        <v>5.0640554152412342E-4</v>
      </c>
      <c r="BN152" s="725">
        <v>1.0385752722264683E-3</v>
      </c>
      <c r="BO152" s="726">
        <v>1.892154858740389E-3</v>
      </c>
      <c r="BP152" s="725">
        <v>3.1522668152432734E-3</v>
      </c>
      <c r="BQ152" s="725">
        <v>4.9538205484959442E-3</v>
      </c>
      <c r="BR152" s="725">
        <v>7.4791500664288706E-3</v>
      </c>
      <c r="BS152" s="725">
        <v>1.1219057360053339E-2</v>
      </c>
      <c r="BT152" s="725">
        <v>1.5954369845313347E-2</v>
      </c>
      <c r="BW152" s="1189">
        <f>'2018'!R\Max</f>
        <v>0</v>
      </c>
      <c r="BX152" s="1187">
        <f>'2019'!R\Max</f>
        <v>0.61608315213192433</v>
      </c>
      <c r="BY152" s="1187">
        <f>'2020'!R\Max</f>
        <v>1.0407425789973601</v>
      </c>
      <c r="BZ152" s="1187">
        <f>'2021'!R\Max</f>
        <v>0.58375324718072064</v>
      </c>
      <c r="CA152" s="1187">
        <f>'2022'!R\Max</f>
        <v>0.90003754159871319</v>
      </c>
      <c r="CB152" s="1187">
        <f>'2023'!R\Max</f>
        <v>0.90003218568121401</v>
      </c>
      <c r="CC152" s="1187">
        <f>'2024'!R\Max</f>
        <v>0.90002682938105072</v>
      </c>
      <c r="CD152" s="1187">
        <f>'2025'!R\Max</f>
        <v>0.90005097340017792</v>
      </c>
      <c r="CE152" s="1187">
        <f>'2026'!R\Max</f>
        <v>0.90004871194421199</v>
      </c>
      <c r="CF152" s="1188">
        <f>'2027'!R\Max</f>
        <v>0.90004545715121964</v>
      </c>
    </row>
    <row r="153" spans="1:84" s="6" customFormat="1" ht="11.25" x14ac:dyDescent="0.2">
      <c r="A153" s="11">
        <v>43239</v>
      </c>
      <c r="B153" s="380">
        <f>'2022'!Maxi_hp</f>
        <v>64.867381436850934</v>
      </c>
      <c r="C153" s="13">
        <f>'2022'!An_max</f>
        <v>2020</v>
      </c>
      <c r="D153" s="1061"/>
      <c r="E153" s="13"/>
      <c r="F153" s="13">
        <f t="shared" si="92"/>
        <v>11</v>
      </c>
      <c r="G153" s="13">
        <f t="shared" si="76"/>
        <v>12</v>
      </c>
      <c r="H153" s="173">
        <f t="shared" si="77"/>
        <v>43234</v>
      </c>
      <c r="I153" s="752">
        <f t="shared" si="78"/>
        <v>0.35714285714285715</v>
      </c>
      <c r="J153" s="745">
        <f t="shared" si="79"/>
        <v>63.58259839670999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4">
        <v>43239</v>
      </c>
      <c r="AP153" s="13">
        <f t="shared" si="80"/>
        <v>7</v>
      </c>
      <c r="AQ153" s="13">
        <f t="shared" si="81"/>
        <v>6</v>
      </c>
      <c r="AR153" s="173">
        <f t="shared" si="82"/>
        <v>43248</v>
      </c>
      <c r="AS153" s="752">
        <f t="shared" si="83"/>
        <v>0.32142857142857145</v>
      </c>
      <c r="AT153" s="768">
        <f t="shared" si="84"/>
        <v>63.530632744782736</v>
      </c>
      <c r="AU153" s="13">
        <f t="shared" si="85"/>
        <v>7</v>
      </c>
      <c r="AV153" s="13">
        <f t="shared" si="86"/>
        <v>6</v>
      </c>
      <c r="AW153" s="173">
        <f t="shared" si="87"/>
        <v>43262</v>
      </c>
      <c r="AX153" s="752">
        <f t="shared" si="88"/>
        <v>0.8214285714285714</v>
      </c>
      <c r="AY153" s="768">
        <f t="shared" si="89"/>
        <v>63.613632016362885</v>
      </c>
      <c r="AZ153" s="745">
        <f t="shared" si="93"/>
        <v>63.57213238057281</v>
      </c>
      <c r="BA153" s="642">
        <f t="shared" si="90"/>
        <v>1.020206519905412</v>
      </c>
      <c r="BC153" s="11">
        <v>43239</v>
      </c>
      <c r="BD153" s="290">
        <f>[2]!FeuilCaduc*(1-Persistant)+Persistant</f>
        <v>0.83742137022839525</v>
      </c>
      <c r="BE153" s="291">
        <f>[2]!CroissVégét</f>
        <v>0.28731106552397356</v>
      </c>
      <c r="BF153" s="815">
        <f>1+[2]!Salcycl*Ksac</f>
        <v>1.0229035617047326</v>
      </c>
      <c r="BH153" s="1052">
        <f t="shared" si="91"/>
        <v>7.2810126029806781E-4</v>
      </c>
      <c r="BI153" s="11">
        <v>44335</v>
      </c>
      <c r="BJ153" s="725">
        <v>8.4279294381678689E-6</v>
      </c>
      <c r="BK153" s="725">
        <v>4.8416304578406528E-5</v>
      </c>
      <c r="BL153" s="725">
        <v>2.0274025273724758E-4</v>
      </c>
      <c r="BM153" s="725">
        <v>5.1539406785399387E-4</v>
      </c>
      <c r="BN153" s="725">
        <v>1.0481075751483545E-3</v>
      </c>
      <c r="BO153" s="726">
        <v>1.8850994729796894E-3</v>
      </c>
      <c r="BP153" s="725">
        <v>3.1206707828906428E-3</v>
      </c>
      <c r="BQ153" s="725">
        <v>4.8887088266573488E-3</v>
      </c>
      <c r="BR153" s="725">
        <v>7.3638900906089731E-3</v>
      </c>
      <c r="BS153" s="725">
        <v>1.0991403903742833E-2</v>
      </c>
      <c r="BT153" s="725">
        <v>1.5555018901924789E-2</v>
      </c>
      <c r="BW153" s="1189">
        <f>'2018'!R\Max</f>
        <v>0</v>
      </c>
      <c r="BX153" s="1187">
        <f>'2019'!R\Max</f>
        <v>0.43825472722068765</v>
      </c>
      <c r="BY153" s="1187">
        <f>'2020'!R\Max</f>
        <v>1.020206519905412</v>
      </c>
      <c r="BZ153" s="1187">
        <f>'2021'!R\Max</f>
        <v>0.72810402464045143</v>
      </c>
      <c r="CA153" s="1187">
        <f>'2022'!R\Max</f>
        <v>0.95031773478757353</v>
      </c>
      <c r="CB153" s="1187">
        <f>'2023'!R\Max</f>
        <v>0.95031496854971587</v>
      </c>
      <c r="CC153" s="1187">
        <f>'2024'!R\Max</f>
        <v>0.95031220210104306</v>
      </c>
      <c r="CD153" s="1187">
        <f>'2025'!R\Max</f>
        <v>0.9503247164658426</v>
      </c>
      <c r="CE153" s="1187">
        <f>'2026'!R\Max</f>
        <v>0.95032352406447818</v>
      </c>
      <c r="CF153" s="1188">
        <f>'2027'!R\Max</f>
        <v>0.95032183061876974</v>
      </c>
    </row>
    <row r="154" spans="1:84" s="6" customFormat="1" ht="11.25" x14ac:dyDescent="0.2">
      <c r="A154" s="11">
        <v>43240</v>
      </c>
      <c r="B154" s="380">
        <f>'2022'!Maxi_hp</f>
        <v>62.875000616079284</v>
      </c>
      <c r="C154" s="13">
        <f>'2022'!An_max</f>
        <v>2020</v>
      </c>
      <c r="D154" s="1061"/>
      <c r="E154" s="13"/>
      <c r="F154" s="13">
        <f t="shared" si="92"/>
        <v>11</v>
      </c>
      <c r="G154" s="13">
        <f t="shared" si="76"/>
        <v>12</v>
      </c>
      <c r="H154" s="173">
        <f t="shared" si="77"/>
        <v>43234</v>
      </c>
      <c r="I154" s="752">
        <f t="shared" si="78"/>
        <v>0.42857142857142855</v>
      </c>
      <c r="J154" s="745">
        <f t="shared" si="79"/>
        <v>63.659766763129404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4">
        <v>43240</v>
      </c>
      <c r="AP154" s="13">
        <f t="shared" si="80"/>
        <v>7</v>
      </c>
      <c r="AQ154" s="13">
        <f t="shared" si="81"/>
        <v>6</v>
      </c>
      <c r="AR154" s="173">
        <f t="shared" si="82"/>
        <v>43248</v>
      </c>
      <c r="AS154" s="752">
        <f t="shared" si="83"/>
        <v>0.2857142857142857</v>
      </c>
      <c r="AT154" s="768">
        <f t="shared" si="84"/>
        <v>63.60845481072154</v>
      </c>
      <c r="AU154" s="13">
        <f t="shared" si="85"/>
        <v>7</v>
      </c>
      <c r="AV154" s="13">
        <f t="shared" si="86"/>
        <v>6</v>
      </c>
      <c r="AW154" s="173">
        <f t="shared" si="87"/>
        <v>43262</v>
      </c>
      <c r="AX154" s="752">
        <f t="shared" si="88"/>
        <v>0.7857142857142857</v>
      </c>
      <c r="AY154" s="768">
        <f t="shared" si="89"/>
        <v>63.693494898586401</v>
      </c>
      <c r="AZ154" s="745">
        <f t="shared" si="93"/>
        <v>63.650974854653967</v>
      </c>
      <c r="BA154" s="642">
        <f t="shared" si="90"/>
        <v>0.98767249415207337</v>
      </c>
      <c r="BC154" s="11">
        <v>43240</v>
      </c>
      <c r="BD154" s="290">
        <f>[2]!FeuilCaduc*(1-Persistant)+Persistant</f>
        <v>0.84166539016014374</v>
      </c>
      <c r="BE154" s="291">
        <f>[2]!CroissVégét</f>
        <v>0.29582909613929492</v>
      </c>
      <c r="BF154" s="815">
        <f>1+[2]!Salcycl*Ksac</f>
        <v>1.0236108983600241</v>
      </c>
      <c r="BH154" s="1052">
        <f t="shared" si="91"/>
        <v>7.3811404018187432E-4</v>
      </c>
      <c r="BI154" s="11">
        <v>44336</v>
      </c>
      <c r="BJ154" s="725">
        <v>9.4928988911372563E-6</v>
      </c>
      <c r="BK154" s="725">
        <v>4.9578432163558681E-5</v>
      </c>
      <c r="BL154" s="725">
        <v>2.0829797372823102E-4</v>
      </c>
      <c r="BM154" s="725">
        <v>5.2510126540044537E-4</v>
      </c>
      <c r="BN154" s="725">
        <v>1.058580086913047E-3</v>
      </c>
      <c r="BO154" s="726">
        <v>1.8803025082089553E-3</v>
      </c>
      <c r="BP154" s="725">
        <v>3.0937976549577956E-3</v>
      </c>
      <c r="BQ154" s="725">
        <v>4.8339574880691301E-3</v>
      </c>
      <c r="BR154" s="725">
        <v>7.2682989837152146E-3</v>
      </c>
      <c r="BS154" s="725">
        <v>1.0797634109972157E-2</v>
      </c>
      <c r="BT154" s="725">
        <v>1.5206921206562848E-2</v>
      </c>
      <c r="BW154" s="1189">
        <f>'2018'!R\Max</f>
        <v>0</v>
      </c>
      <c r="BX154" s="1187">
        <f>'2019'!R\Max</f>
        <v>0.8846887756585774</v>
      </c>
      <c r="BY154" s="1187">
        <f>'2020'!R\Max</f>
        <v>0.98767249415207337</v>
      </c>
      <c r="BZ154" s="1187">
        <f>'2021'!R\Max</f>
        <v>0.98328184726410017</v>
      </c>
      <c r="CA154" s="1187">
        <f>'2022'!R\Max</f>
        <v>0.83228072438064216</v>
      </c>
      <c r="CB154" s="1187">
        <f>'2023'!R\Max</f>
        <v>0.83227266117688059</v>
      </c>
      <c r="CC154" s="1187">
        <f>'2024'!R\Max</f>
        <v>0.83226459747724346</v>
      </c>
      <c r="CD154" s="1187">
        <f>'2025'!R\Max</f>
        <v>0.83230119517702172</v>
      </c>
      <c r="CE154" s="1187">
        <f>'2026'!R\Max</f>
        <v>0.83229765103201325</v>
      </c>
      <c r="CF154" s="1188">
        <f>'2027'!R\Max</f>
        <v>0.83229268186534333</v>
      </c>
    </row>
    <row r="155" spans="1:84" s="6" customFormat="1" ht="11.25" x14ac:dyDescent="0.2">
      <c r="A155" s="11">
        <v>43241</v>
      </c>
      <c r="B155" s="380">
        <f>'2022'!Maxi_hp</f>
        <v>62.49902622803689</v>
      </c>
      <c r="C155" s="13">
        <f>'2022'!An_max</f>
        <v>2020</v>
      </c>
      <c r="D155" s="1061"/>
      <c r="E155" s="13"/>
      <c r="F155" s="13">
        <f t="shared" si="92"/>
        <v>11</v>
      </c>
      <c r="G155" s="13">
        <f t="shared" si="76"/>
        <v>12</v>
      </c>
      <c r="H155" s="173">
        <f t="shared" si="77"/>
        <v>43234</v>
      </c>
      <c r="I155" s="752">
        <f t="shared" si="78"/>
        <v>0.5</v>
      </c>
      <c r="J155" s="745">
        <f t="shared" si="79"/>
        <v>63.731250000000003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4">
        <v>43241</v>
      </c>
      <c r="AP155" s="13">
        <f t="shared" si="80"/>
        <v>7</v>
      </c>
      <c r="AQ155" s="13">
        <f t="shared" si="81"/>
        <v>6</v>
      </c>
      <c r="AR155" s="173">
        <f t="shared" si="82"/>
        <v>43248</v>
      </c>
      <c r="AS155" s="752">
        <f t="shared" si="83"/>
        <v>0.25</v>
      </c>
      <c r="AT155" s="768">
        <f t="shared" si="84"/>
        <v>63.682031250000001</v>
      </c>
      <c r="AU155" s="13">
        <f t="shared" si="85"/>
        <v>7</v>
      </c>
      <c r="AV155" s="13">
        <f t="shared" si="86"/>
        <v>6</v>
      </c>
      <c r="AW155" s="173">
        <f t="shared" si="87"/>
        <v>43262</v>
      </c>
      <c r="AX155" s="752">
        <f t="shared" si="88"/>
        <v>0.75</v>
      </c>
      <c r="AY155" s="768">
        <f t="shared" si="89"/>
        <v>63.766406250651926</v>
      </c>
      <c r="AZ155" s="745">
        <f t="shared" si="93"/>
        <v>63.72421875032596</v>
      </c>
      <c r="BA155" s="642">
        <f t="shared" si="90"/>
        <v>0.98066531298282844</v>
      </c>
      <c r="BC155" s="11">
        <v>43241</v>
      </c>
      <c r="BD155" s="290">
        <f>[2]!FeuilCaduc*(1-Persistant)+Persistant</f>
        <v>0.84593275559939896</v>
      </c>
      <c r="BE155" s="291">
        <f>[2]!CroissVégét</f>
        <v>0.30449063118118064</v>
      </c>
      <c r="BF155" s="815">
        <f>1+[2]!Salcycl*Ksac</f>
        <v>1.0243221259332331</v>
      </c>
      <c r="BH155" s="1052">
        <f t="shared" si="91"/>
        <v>7.4893244694103074E-4</v>
      </c>
      <c r="BI155" s="11">
        <v>44337</v>
      </c>
      <c r="BJ155" s="725">
        <v>1.0830206181263892E-5</v>
      </c>
      <c r="BK155" s="725">
        <v>5.124164955792613E-5</v>
      </c>
      <c r="BL155" s="725">
        <v>2.1428460061127143E-4</v>
      </c>
      <c r="BM155" s="725">
        <v>5.3552580348071124E-4</v>
      </c>
      <c r="BN155" s="725">
        <v>1.06999104751591E-3</v>
      </c>
      <c r="BO155" s="726">
        <v>1.877760875566704E-3</v>
      </c>
      <c r="BP155" s="725">
        <v>3.0716417270741665E-3</v>
      </c>
      <c r="BQ155" s="725">
        <v>4.7895543642119441E-3</v>
      </c>
      <c r="BR155" s="725">
        <v>7.1923538429449797E-3</v>
      </c>
      <c r="BS155" s="725">
        <v>1.0637709896447547E-2</v>
      </c>
      <c r="BT155" s="725">
        <v>1.4910021223600448E-2</v>
      </c>
      <c r="BW155" s="1189">
        <f>'2018'!R\Max</f>
        <v>0</v>
      </c>
      <c r="BX155" s="1187">
        <f>'2019'!R\Max</f>
        <v>0.8202939273621298</v>
      </c>
      <c r="BY155" s="1187">
        <f>'2020'!R\Max</f>
        <v>0.98066531298282844</v>
      </c>
      <c r="BZ155" s="1187">
        <f>'2021'!R\Max</f>
        <v>0.62143431898739221</v>
      </c>
      <c r="CA155" s="1187">
        <f>'2022'!R\Max</f>
        <v>0.82424161728896117</v>
      </c>
      <c r="CB155" s="1187">
        <f>'2023'!R\Max</f>
        <v>0.82423335202303483</v>
      </c>
      <c r="CC155" s="1187">
        <f>'2024'!R\Max</f>
        <v>0.82422508626263358</v>
      </c>
      <c r="CD155" s="1187">
        <f>'2025'!R\Max</f>
        <v>0.82426271260454653</v>
      </c>
      <c r="CE155" s="1187">
        <f>'2026'!R\Max</f>
        <v>0.82425901311483663</v>
      </c>
      <c r="CF155" s="1188">
        <f>'2027'!R\Max</f>
        <v>0.82425388944882738</v>
      </c>
    </row>
    <row r="156" spans="1:84" s="6" customFormat="1" ht="11.25" x14ac:dyDescent="0.2">
      <c r="A156" s="11">
        <v>43242</v>
      </c>
      <c r="B156" s="380">
        <f>'2022'!Maxi_hp</f>
        <v>62.066231268120049</v>
      </c>
      <c r="C156" s="13">
        <f>'2022'!An_max</f>
        <v>2019</v>
      </c>
      <c r="D156" s="1061"/>
      <c r="E156" s="13"/>
      <c r="F156" s="13">
        <f t="shared" si="92"/>
        <v>11</v>
      </c>
      <c r="G156" s="13">
        <f t="shared" si="76"/>
        <v>12</v>
      </c>
      <c r="H156" s="173">
        <f t="shared" si="77"/>
        <v>43234</v>
      </c>
      <c r="I156" s="752">
        <f t="shared" si="78"/>
        <v>0.5714285714285714</v>
      </c>
      <c r="J156" s="745">
        <f t="shared" si="79"/>
        <v>63.79737609369414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4">
        <v>43242</v>
      </c>
      <c r="AP156" s="13">
        <f t="shared" si="80"/>
        <v>7</v>
      </c>
      <c r="AQ156" s="13">
        <f t="shared" si="81"/>
        <v>6</v>
      </c>
      <c r="AR156" s="173">
        <f t="shared" si="82"/>
        <v>43248</v>
      </c>
      <c r="AS156" s="752">
        <f t="shared" si="83"/>
        <v>0.21428571428571427</v>
      </c>
      <c r="AT156" s="768">
        <f t="shared" si="84"/>
        <v>63.751621719822289</v>
      </c>
      <c r="AU156" s="13">
        <f t="shared" si="85"/>
        <v>7</v>
      </c>
      <c r="AV156" s="13">
        <f t="shared" si="86"/>
        <v>6</v>
      </c>
      <c r="AW156" s="173">
        <f t="shared" si="87"/>
        <v>43262</v>
      </c>
      <c r="AX156" s="752">
        <f t="shared" si="88"/>
        <v>0.7142857142857143</v>
      </c>
      <c r="AY156" s="768">
        <f t="shared" si="89"/>
        <v>63.832653061726262</v>
      </c>
      <c r="AZ156" s="745">
        <f t="shared" si="93"/>
        <v>63.792137390774272</v>
      </c>
      <c r="BA156" s="642">
        <f t="shared" si="90"/>
        <v>0.97286495257999805</v>
      </c>
      <c r="BC156" s="11">
        <v>43242</v>
      </c>
      <c r="BD156" s="290">
        <f>[2]!FeuilCaduc*(1-Persistant)+Persistant</f>
        <v>0.85021868948499946</v>
      </c>
      <c r="BE156" s="291">
        <f>[2]!CroissVégét</f>
        <v>0.3132918316722918</v>
      </c>
      <c r="BF156" s="815">
        <f>1+[2]!Salcycl*Ksac</f>
        <v>1.0250364482474998</v>
      </c>
      <c r="BH156" s="1052">
        <f t="shared" si="91"/>
        <v>7.6139627650606621E-4</v>
      </c>
      <c r="BI156" s="11">
        <v>44338</v>
      </c>
      <c r="BJ156" s="725">
        <v>1.2557193944591068E-5</v>
      </c>
      <c r="BK156" s="725">
        <v>5.3796320526968524E-5</v>
      </c>
      <c r="BL156" s="725">
        <v>2.2112414083983825E-4</v>
      </c>
      <c r="BM156" s="725">
        <v>5.4735466931274282E-4</v>
      </c>
      <c r="BN156" s="725">
        <v>1.0834101452217517E-3</v>
      </c>
      <c r="BO156" s="726">
        <v>1.8791190637450148E-3</v>
      </c>
      <c r="BP156" s="725">
        <v>3.055843262024249E-3</v>
      </c>
      <c r="BQ156" s="725">
        <v>4.756321398270689E-3</v>
      </c>
      <c r="BR156" s="725">
        <v>7.135853358825322E-3</v>
      </c>
      <c r="BS156" s="725">
        <v>1.0512266663172025E-2</v>
      </c>
      <c r="BT156" s="725">
        <v>1.4668070985833529E-2</v>
      </c>
      <c r="BW156" s="1189">
        <f>'2018'!R\Max</f>
        <v>0</v>
      </c>
      <c r="BX156" s="1187">
        <f>'2019'!R\Max</f>
        <v>0.97286495257999805</v>
      </c>
      <c r="BY156" s="1187">
        <f>'2020'!R\Max</f>
        <v>0.9284306342380344</v>
      </c>
      <c r="BZ156" s="1187">
        <f>'2021'!R\Max</f>
        <v>0.45686127309158658</v>
      </c>
      <c r="CA156" s="1187">
        <f>'2022'!R\Max</f>
        <v>0.60997227425315792</v>
      </c>
      <c r="CB156" s="1187">
        <f>'2023'!R\Max</f>
        <v>0.60995884213597507</v>
      </c>
      <c r="CC156" s="1187">
        <f>'2024'!R\Max</f>
        <v>0.60994540954858611</v>
      </c>
      <c r="CD156" s="1187">
        <f>'2025'!R\Max</f>
        <v>0.61000674176951886</v>
      </c>
      <c r="CE156" s="1187">
        <f>'2026'!R\Max</f>
        <v>0.61000062339054451</v>
      </c>
      <c r="CF156" s="1188">
        <f>'2027'!R\Max</f>
        <v>0.60999224794606555</v>
      </c>
    </row>
    <row r="157" spans="1:84" s="6" customFormat="1" ht="11.25" x14ac:dyDescent="0.2">
      <c r="A157" s="11">
        <v>43243</v>
      </c>
      <c r="B157" s="380">
        <f>'2022'!Maxi_hp</f>
        <v>58.102638040850181</v>
      </c>
      <c r="C157" s="13">
        <f>'2022'!An_max</f>
        <v>2020</v>
      </c>
      <c r="D157" s="1061"/>
      <c r="E157" s="13"/>
      <c r="F157" s="13">
        <f t="shared" si="92"/>
        <v>11</v>
      </c>
      <c r="G157" s="13">
        <f t="shared" si="76"/>
        <v>12</v>
      </c>
      <c r="H157" s="173">
        <f t="shared" si="77"/>
        <v>43234</v>
      </c>
      <c r="I157" s="752">
        <f t="shared" si="78"/>
        <v>0.6428571428571429</v>
      </c>
      <c r="J157" s="745">
        <f t="shared" si="79"/>
        <v>63.858473031382481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4">
        <v>43243</v>
      </c>
      <c r="AP157" s="13">
        <f t="shared" si="80"/>
        <v>7</v>
      </c>
      <c r="AQ157" s="13">
        <f t="shared" si="81"/>
        <v>6</v>
      </c>
      <c r="AR157" s="173">
        <f t="shared" si="82"/>
        <v>43248</v>
      </c>
      <c r="AS157" s="752">
        <f t="shared" si="83"/>
        <v>0.17857142857142858</v>
      </c>
      <c r="AT157" s="768">
        <f t="shared" si="84"/>
        <v>63.817485878057781</v>
      </c>
      <c r="AU157" s="13">
        <f t="shared" si="85"/>
        <v>7</v>
      </c>
      <c r="AV157" s="13">
        <f t="shared" si="86"/>
        <v>6</v>
      </c>
      <c r="AW157" s="173">
        <f t="shared" si="87"/>
        <v>43262</v>
      </c>
      <c r="AX157" s="752">
        <f t="shared" si="88"/>
        <v>0.6785714285714286</v>
      </c>
      <c r="AY157" s="768">
        <f t="shared" si="89"/>
        <v>63.892522321947446</v>
      </c>
      <c r="AZ157" s="745">
        <f t="shared" si="93"/>
        <v>63.855004100002617</v>
      </c>
      <c r="BA157" s="642">
        <f t="shared" si="90"/>
        <v>0.9098657591185485</v>
      </c>
      <c r="BC157" s="11">
        <v>43243</v>
      </c>
      <c r="BD157" s="290">
        <f>[2]!FeuilCaduc*(1-Persistant)+Persistant</f>
        <v>0.85451829568499882</v>
      </c>
      <c r="BE157" s="291">
        <f>[2]!CroissVégét</f>
        <v>0.3222284943358365</v>
      </c>
      <c r="BF157" s="815">
        <f>1+[2]!Salcycl*Ksac</f>
        <v>1.0257530492808331</v>
      </c>
      <c r="BH157" s="1052">
        <f t="shared" si="91"/>
        <v>7.7583699865746295E-4</v>
      </c>
      <c r="BI157" s="11">
        <v>44339</v>
      </c>
      <c r="BJ157" s="725">
        <v>1.4730980289885288E-5</v>
      </c>
      <c r="BK157" s="725">
        <v>5.7497288933083258E-5</v>
      </c>
      <c r="BL157" s="725">
        <v>2.2926401657929167E-4</v>
      </c>
      <c r="BM157" s="725">
        <v>5.6090408636740247E-4</v>
      </c>
      <c r="BN157" s="725">
        <v>1.099191787048392E-3</v>
      </c>
      <c r="BO157" s="726">
        <v>1.8846769138536666E-3</v>
      </c>
      <c r="BP157" s="725">
        <v>3.0456960378507278E-3</v>
      </c>
      <c r="BQ157" s="725">
        <v>4.7295420143189026E-3</v>
      </c>
      <c r="BR157" s="725">
        <v>7.08700480266845E-3</v>
      </c>
      <c r="BS157" s="725">
        <v>1.0399425841338031E-2</v>
      </c>
      <c r="BT157" s="725">
        <v>1.4447662489284077E-2</v>
      </c>
      <c r="BW157" s="1189">
        <f>'2018'!R\Max</f>
        <v>0</v>
      </c>
      <c r="BX157" s="1187">
        <f>'2019'!R\Max</f>
        <v>0.80065504013741473</v>
      </c>
      <c r="BY157" s="1187">
        <f>'2020'!R\Max</f>
        <v>0.9098657591185485</v>
      </c>
      <c r="BZ157" s="1187">
        <f>'2021'!R\Max</f>
        <v>0.62885619252366698</v>
      </c>
      <c r="CA157" s="1187">
        <f>'2022'!R\Max</f>
        <v>0.34625285334376454</v>
      </c>
      <c r="CB157" s="1187">
        <f>'2023'!R\Max</f>
        <v>0.34624019213267909</v>
      </c>
      <c r="CC157" s="1187">
        <f>'2024'!R\Max</f>
        <v>0.34622753085603719</v>
      </c>
      <c r="CD157" s="1187">
        <f>'2025'!R\Max</f>
        <v>0.34628554266087819</v>
      </c>
      <c r="CE157" s="1187">
        <f>'2026'!R\Max</f>
        <v>0.3462796725821774</v>
      </c>
      <c r="CF157" s="1188">
        <f>'2027'!R\Max</f>
        <v>0.34627172549687918</v>
      </c>
    </row>
    <row r="158" spans="1:84" s="6" customFormat="1" ht="11.25" x14ac:dyDescent="0.2">
      <c r="A158" s="11">
        <v>43244</v>
      </c>
      <c r="B158" s="380">
        <f>'2022'!Maxi_hp</f>
        <v>29.473911948934084</v>
      </c>
      <c r="C158" s="13">
        <f>'2022'!An_max</f>
        <v>2021</v>
      </c>
      <c r="D158" s="1061"/>
      <c r="E158" s="13"/>
      <c r="F158" s="13">
        <f t="shared" si="92"/>
        <v>11</v>
      </c>
      <c r="G158" s="13">
        <f t="shared" si="76"/>
        <v>12</v>
      </c>
      <c r="H158" s="173">
        <f t="shared" si="77"/>
        <v>43234</v>
      </c>
      <c r="I158" s="752">
        <f t="shared" si="78"/>
        <v>0.7142857142857143</v>
      </c>
      <c r="J158" s="745">
        <f t="shared" si="79"/>
        <v>63.914868804386685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4">
        <v>43244</v>
      </c>
      <c r="AP158" s="13">
        <f t="shared" si="80"/>
        <v>7</v>
      </c>
      <c r="AQ158" s="13">
        <f t="shared" si="81"/>
        <v>6</v>
      </c>
      <c r="AR158" s="173">
        <f t="shared" si="82"/>
        <v>43248</v>
      </c>
      <c r="AS158" s="752">
        <f t="shared" si="83"/>
        <v>0.14285714285714285</v>
      </c>
      <c r="AT158" s="768">
        <f t="shared" si="84"/>
        <v>63.879883381617923</v>
      </c>
      <c r="AU158" s="13">
        <f t="shared" si="85"/>
        <v>7</v>
      </c>
      <c r="AV158" s="13">
        <f t="shared" si="86"/>
        <v>6</v>
      </c>
      <c r="AW158" s="173">
        <f t="shared" si="87"/>
        <v>43262</v>
      </c>
      <c r="AX158" s="752">
        <f t="shared" si="88"/>
        <v>0.6428571428571429</v>
      </c>
      <c r="AY158" s="768">
        <f t="shared" si="89"/>
        <v>63.946301020681858</v>
      </c>
      <c r="AZ158" s="745">
        <f t="shared" si="93"/>
        <v>63.913092201149894</v>
      </c>
      <c r="BA158" s="642">
        <f t="shared" si="90"/>
        <v>0.46114327542687833</v>
      </c>
      <c r="BC158" s="11">
        <v>43244</v>
      </c>
      <c r="BD158" s="290">
        <f>[2]!FeuilCaduc*(1-Persistant)+Persistant</f>
        <v>0.85882657278734897</v>
      </c>
      <c r="BE158" s="291">
        <f>[2]!CroissVégét</f>
        <v>0.33129605339749552</v>
      </c>
      <c r="BF158" s="815">
        <f>1+[2]!Salcycl*Ksac</f>
        <v>1.0264710954645582</v>
      </c>
      <c r="BH158" s="1052">
        <f t="shared" si="91"/>
        <v>7.9224746540708824E-4</v>
      </c>
      <c r="BI158" s="11">
        <v>44340</v>
      </c>
      <c r="BJ158" s="725">
        <v>1.7350770227553658E-5</v>
      </c>
      <c r="BK158" s="725">
        <v>6.2342526534900865E-5</v>
      </c>
      <c r="BL158" s="725">
        <v>2.387009313551469E-4</v>
      </c>
      <c r="BM158" s="725">
        <v>5.7616831966186464E-4</v>
      </c>
      <c r="BN158" s="725">
        <v>1.1173266992186455E-3</v>
      </c>
      <c r="BO158" s="726">
        <v>1.8944195223208901E-3</v>
      </c>
      <c r="BP158" s="725">
        <v>3.0411785716124083E-3</v>
      </c>
      <c r="BQ158" s="725">
        <v>4.7091866064231215E-3</v>
      </c>
      <c r="BR158" s="725">
        <v>7.0457670267039928E-3</v>
      </c>
      <c r="BS158" s="725">
        <v>1.0299127487455434E-2</v>
      </c>
      <c r="BT158" s="725">
        <v>1.4248710549522736E-2</v>
      </c>
      <c r="BW158" s="1189">
        <f>'2018'!R\Max</f>
        <v>0</v>
      </c>
      <c r="BX158" s="1187">
        <f>'2019'!R\Max</f>
        <v>0.203931314747369</v>
      </c>
      <c r="BY158" s="1187">
        <f>'2020'!R\Max</f>
        <v>0.30290401120864274</v>
      </c>
      <c r="BZ158" s="1187">
        <f>'2021'!R\Max</f>
        <v>0.46114327542687833</v>
      </c>
      <c r="CA158" s="1187">
        <f>'2022'!R\Max</f>
        <v>0.28168390663082271</v>
      </c>
      <c r="CB158" s="1187">
        <f>'2023'!R\Max</f>
        <v>0.28167296746170578</v>
      </c>
      <c r="CC158" s="1187">
        <f>'2024'!R\Max</f>
        <v>0.2816620282925888</v>
      </c>
      <c r="CD158" s="1187">
        <f>'2025'!R\Max</f>
        <v>0.28171234369248832</v>
      </c>
      <c r="CE158" s="1187">
        <f>'2026'!R\Max</f>
        <v>0.281707181472023</v>
      </c>
      <c r="CF158" s="1188">
        <f>'2027'!R\Max</f>
        <v>0.28170026478722804</v>
      </c>
    </row>
    <row r="159" spans="1:84" s="6" customFormat="1" ht="11.25" x14ac:dyDescent="0.2">
      <c r="A159" s="11">
        <v>43245</v>
      </c>
      <c r="B159" s="380">
        <f>'2022'!Maxi_hp</f>
        <v>60.701429062818967</v>
      </c>
      <c r="C159" s="13">
        <f>'2022'!An_max</f>
        <v>2020</v>
      </c>
      <c r="D159" s="1061"/>
      <c r="E159" s="13"/>
      <c r="F159" s="13">
        <f t="shared" si="92"/>
        <v>11</v>
      </c>
      <c r="G159" s="13">
        <f t="shared" si="76"/>
        <v>12</v>
      </c>
      <c r="H159" s="173">
        <f t="shared" si="77"/>
        <v>43234</v>
      </c>
      <c r="I159" s="752">
        <f t="shared" si="78"/>
        <v>0.7857142857142857</v>
      </c>
      <c r="J159" s="745">
        <f t="shared" si="79"/>
        <v>63.96689139971776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4">
        <v>43245</v>
      </c>
      <c r="AP159" s="13">
        <f t="shared" si="80"/>
        <v>7</v>
      </c>
      <c r="AQ159" s="13">
        <f t="shared" si="81"/>
        <v>6</v>
      </c>
      <c r="AR159" s="173">
        <f t="shared" si="82"/>
        <v>43248</v>
      </c>
      <c r="AS159" s="752">
        <f t="shared" si="83"/>
        <v>0.10714285714285714</v>
      </c>
      <c r="AT159" s="768">
        <f t="shared" si="84"/>
        <v>63.939073889303415</v>
      </c>
      <c r="AU159" s="13">
        <f t="shared" si="85"/>
        <v>7</v>
      </c>
      <c r="AV159" s="13">
        <f t="shared" si="86"/>
        <v>6</v>
      </c>
      <c r="AW159" s="173">
        <f t="shared" si="87"/>
        <v>43262</v>
      </c>
      <c r="AX159" s="752">
        <f t="shared" si="88"/>
        <v>0.6071428571428571</v>
      </c>
      <c r="AY159" s="768">
        <f t="shared" si="89"/>
        <v>63.994276148559791</v>
      </c>
      <c r="AZ159" s="745">
        <f t="shared" si="93"/>
        <v>63.966675018931603</v>
      </c>
      <c r="BA159" s="642">
        <f t="shared" si="90"/>
        <v>0.94895074208791075</v>
      </c>
      <c r="BC159" s="11">
        <v>43245</v>
      </c>
      <c r="BD159" s="290">
        <f>[2]!FeuilCaduc*(1-Persistant)+Persistant</f>
        <v>0.86313842885508407</v>
      </c>
      <c r="BE159" s="291">
        <f>[2]!CroissVégét</f>
        <v>0.34048958423292969</v>
      </c>
      <c r="BF159" s="815">
        <f>1+[2]!Salcycl*Ksac</f>
        <v>1.0271897381425139</v>
      </c>
      <c r="BH159" s="1052">
        <f t="shared" si="91"/>
        <v>8.1062486713965763E-4</v>
      </c>
      <c r="BI159" s="11">
        <v>44341</v>
      </c>
      <c r="BJ159" s="725">
        <v>2.0415789520880324E-5</v>
      </c>
      <c r="BK159" s="725">
        <v>6.8330189697125756E-5</v>
      </c>
      <c r="BL159" s="725">
        <v>2.494327591597109E-4</v>
      </c>
      <c r="BM159" s="725">
        <v>5.9314471493795127E-4</v>
      </c>
      <c r="BN159" s="725">
        <v>1.1378118383909746E-3</v>
      </c>
      <c r="BO159" s="726">
        <v>1.9083427963096763E-3</v>
      </c>
      <c r="BP159" s="725">
        <v>3.0422871157567682E-3</v>
      </c>
      <c r="BQ159" s="725">
        <v>4.6952534605109054E-3</v>
      </c>
      <c r="BR159" s="725">
        <v>7.0121409773738191E-3</v>
      </c>
      <c r="BS159" s="725">
        <v>1.0211373542160611E-2</v>
      </c>
      <c r="BT159" s="725">
        <v>1.4071215907161002E-2</v>
      </c>
      <c r="BW159" s="1189">
        <f>'2018'!R\Max</f>
        <v>0</v>
      </c>
      <c r="BX159" s="1187">
        <f>'2019'!R\Max</f>
        <v>0.41774088117081887</v>
      </c>
      <c r="BY159" s="1187">
        <f>'2020'!R\Max</f>
        <v>0.94895074208791075</v>
      </c>
      <c r="BZ159" s="1187">
        <f>'2021'!R\Max</f>
        <v>0.78396330455601526</v>
      </c>
      <c r="CA159" s="1187">
        <f>'2022'!R\Max</f>
        <v>0.68573838584161384</v>
      </c>
      <c r="CB159" s="1187">
        <f>'2023'!R\Max</f>
        <v>0.68572651436341903</v>
      </c>
      <c r="CC159" s="1187">
        <f>'2024'!R\Max</f>
        <v>0.68571464238064694</v>
      </c>
      <c r="CD159" s="1187">
        <f>'2025'!R\Max</f>
        <v>0.68576947846227521</v>
      </c>
      <c r="CE159" s="1187">
        <f>'2026'!R\Max</f>
        <v>0.68576377693654644</v>
      </c>
      <c r="CF159" s="1188">
        <f>'2027'!R\Max</f>
        <v>0.68575621039989054</v>
      </c>
    </row>
    <row r="160" spans="1:84" s="6" customFormat="1" ht="11.25" x14ac:dyDescent="0.2">
      <c r="A160" s="11">
        <v>43246</v>
      </c>
      <c r="B160" s="380">
        <f>'2022'!Maxi_hp</f>
        <v>63.484208413127426</v>
      </c>
      <c r="C160" s="13">
        <f>'2022'!An_max</f>
        <v>2020</v>
      </c>
      <c r="D160" s="1061"/>
      <c r="E160" s="13"/>
      <c r="F160" s="13">
        <f t="shared" si="92"/>
        <v>11</v>
      </c>
      <c r="G160" s="13">
        <f t="shared" si="76"/>
        <v>12</v>
      </c>
      <c r="H160" s="173">
        <f t="shared" si="77"/>
        <v>43234</v>
      </c>
      <c r="I160" s="752">
        <f t="shared" si="78"/>
        <v>0.8571428571428571</v>
      </c>
      <c r="J160" s="745">
        <f t="shared" si="79"/>
        <v>64.014868803960937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4">
        <v>43246</v>
      </c>
      <c r="AP160" s="13">
        <f t="shared" si="80"/>
        <v>7</v>
      </c>
      <c r="AQ160" s="13">
        <f t="shared" si="81"/>
        <v>6</v>
      </c>
      <c r="AR160" s="173">
        <f t="shared" si="82"/>
        <v>43248</v>
      </c>
      <c r="AS160" s="752">
        <f t="shared" si="83"/>
        <v>7.1428571428571425E-2</v>
      </c>
      <c r="AT160" s="768">
        <f t="shared" si="84"/>
        <v>63.99531705597682</v>
      </c>
      <c r="AU160" s="13">
        <f t="shared" si="85"/>
        <v>7</v>
      </c>
      <c r="AV160" s="13">
        <f t="shared" si="86"/>
        <v>6</v>
      </c>
      <c r="AW160" s="173">
        <f t="shared" si="87"/>
        <v>43262</v>
      </c>
      <c r="AX160" s="752">
        <f t="shared" si="88"/>
        <v>0.5714285714285714</v>
      </c>
      <c r="AY160" s="768">
        <f t="shared" si="89"/>
        <v>64.036734694721446</v>
      </c>
      <c r="AZ160" s="745">
        <f t="shared" si="93"/>
        <v>64.016025875349129</v>
      </c>
      <c r="BA160" s="642">
        <f t="shared" si="90"/>
        <v>0.99171035728498325</v>
      </c>
      <c r="BC160" s="11">
        <v>43246</v>
      </c>
      <c r="BD160" s="290">
        <f>[2]!FeuilCaduc*(1-Persistant)+Persistant</f>
        <v>0.86744869708508432</v>
      </c>
      <c r="BE160" s="291">
        <f>[2]!CroissVégét</f>
        <v>0.34980380891459434</v>
      </c>
      <c r="BF160" s="815">
        <f>1+[2]!Salcycl*Ksac</f>
        <v>1.0279081161808474</v>
      </c>
      <c r="BH160" s="1052">
        <f t="shared" si="91"/>
        <v>8.3096625001221225E-4</v>
      </c>
      <c r="BI160" s="11">
        <v>44342</v>
      </c>
      <c r="BJ160" s="725">
        <v>2.3925225502145015E-5</v>
      </c>
      <c r="BK160" s="725">
        <v>7.5458326299134015E-5</v>
      </c>
      <c r="BL160" s="725">
        <v>2.6145727180226688E-4</v>
      </c>
      <c r="BM160" s="725">
        <v>6.1183049752888035E-4</v>
      </c>
      <c r="BN160" s="725">
        <v>1.1606439811616804E-3</v>
      </c>
      <c r="BO160" s="726">
        <v>1.9264422041849081E-3</v>
      </c>
      <c r="BP160" s="725">
        <v>3.0490172395386669E-3</v>
      </c>
      <c r="BQ160" s="725">
        <v>4.6877400028230067E-3</v>
      </c>
      <c r="BR160" s="725">
        <v>6.9861264923707055E-3</v>
      </c>
      <c r="BS160" s="725">
        <v>1.0136163948483322E-2</v>
      </c>
      <c r="BT160" s="725">
        <v>1.3915175741279415E-2</v>
      </c>
      <c r="BW160" s="1189">
        <f>'2018'!R\Max</f>
        <v>0</v>
      </c>
      <c r="BX160" s="1187">
        <f>'2019'!R\Max</f>
        <v>0.45819027493757636</v>
      </c>
      <c r="BY160" s="1187">
        <f>'2020'!R\Max</f>
        <v>0.99171035728498325</v>
      </c>
      <c r="BZ160" s="1187">
        <f>'2021'!R\Max</f>
        <v>0.86363943429094236</v>
      </c>
      <c r="CA160" s="1187">
        <f>'2022'!R\Max</f>
        <v>0.40339152001277057</v>
      </c>
      <c r="CB160" s="1187">
        <f>'2023'!R\Max</f>
        <v>0.40337833969377607</v>
      </c>
      <c r="CC160" s="1187">
        <f>'2024'!R\Max</f>
        <v>0.40336515922547206</v>
      </c>
      <c r="CD160" s="1187">
        <f>'2025'!R\Max</f>
        <v>0.40342632978647747</v>
      </c>
      <c r="CE160" s="1187">
        <f>'2026'!R\Max</f>
        <v>0.40341988629788911</v>
      </c>
      <c r="CF160" s="1188">
        <f>'2027'!R\Max</f>
        <v>0.4034114096634106</v>
      </c>
    </row>
    <row r="161" spans="1:84" s="6" customFormat="1" ht="11.25" x14ac:dyDescent="0.2">
      <c r="A161" s="11">
        <v>43247</v>
      </c>
      <c r="B161" s="380">
        <f>'2022'!Maxi_hp</f>
        <v>63.520031293079448</v>
      </c>
      <c r="C161" s="13">
        <f>'2022'!An_max</f>
        <v>2020</v>
      </c>
      <c r="D161" s="1061"/>
      <c r="E161" s="13"/>
      <c r="F161" s="13">
        <f t="shared" si="92"/>
        <v>11</v>
      </c>
      <c r="G161" s="13">
        <f t="shared" si="76"/>
        <v>12</v>
      </c>
      <c r="H161" s="173">
        <f t="shared" si="77"/>
        <v>43234</v>
      </c>
      <c r="I161" s="752">
        <f t="shared" si="78"/>
        <v>0.9285714285714286</v>
      </c>
      <c r="J161" s="745">
        <f t="shared" si="79"/>
        <v>64.059129008384701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4">
        <v>43247</v>
      </c>
      <c r="AP161" s="13">
        <f t="shared" si="80"/>
        <v>7</v>
      </c>
      <c r="AQ161" s="13">
        <f t="shared" si="81"/>
        <v>6</v>
      </c>
      <c r="AR161" s="173">
        <f t="shared" si="82"/>
        <v>43248</v>
      </c>
      <c r="AS161" s="752">
        <f t="shared" si="83"/>
        <v>3.5714285714285712E-2</v>
      </c>
      <c r="AT161" s="768">
        <f t="shared" si="84"/>
        <v>64.048872540412205</v>
      </c>
      <c r="AU161" s="13">
        <f t="shared" si="85"/>
        <v>7</v>
      </c>
      <c r="AV161" s="13">
        <f t="shared" si="86"/>
        <v>6</v>
      </c>
      <c r="AW161" s="173">
        <f t="shared" si="87"/>
        <v>43262</v>
      </c>
      <c r="AX161" s="752">
        <f t="shared" si="88"/>
        <v>0.5357142857142857</v>
      </c>
      <c r="AY161" s="768">
        <f t="shared" si="89"/>
        <v>64.073963648852484</v>
      </c>
      <c r="AZ161" s="745">
        <f t="shared" si="93"/>
        <v>64.061418094632344</v>
      </c>
      <c r="BA161" s="642">
        <f t="shared" si="90"/>
        <v>0.99158437331805294</v>
      </c>
      <c r="BC161" s="11">
        <v>43247</v>
      </c>
      <c r="BD161" s="290">
        <f>[2]!FeuilCaduc*(1-Persistant)+Persistant</f>
        <v>0.87175215229987524</v>
      </c>
      <c r="BE161" s="291">
        <f>[2]!CroissVégét</f>
        <v>0.35923310369654604</v>
      </c>
      <c r="BF161" s="815">
        <f>1+[2]!Salcycl*Ksac</f>
        <v>1.0286253587166458</v>
      </c>
      <c r="BH161" s="1052">
        <f t="shared" si="91"/>
        <v>8.5326854282622962E-4</v>
      </c>
      <c r="BI161" s="11">
        <v>44343</v>
      </c>
      <c r="BJ161" s="725">
        <v>2.7878233099367495E-5</v>
      </c>
      <c r="BK161" s="725">
        <v>8.3724891179505747E-5</v>
      </c>
      <c r="BL161" s="725">
        <v>2.7477215650942153E-4</v>
      </c>
      <c r="BM161" s="725">
        <v>6.3222279573406175E-4</v>
      </c>
      <c r="BN161" s="725">
        <v>1.1858197561985344E-3</v>
      </c>
      <c r="BO161" s="726">
        <v>1.9487128323588839E-3</v>
      </c>
      <c r="BP161" s="725">
        <v>3.0613639054177712E-3</v>
      </c>
      <c r="BQ161" s="725">
        <v>4.6866428872463957E-3</v>
      </c>
      <c r="BR161" s="725">
        <v>6.967722404303104E-3</v>
      </c>
      <c r="BS161" s="725">
        <v>1.0073496821933661E-2</v>
      </c>
      <c r="BT161" s="725">
        <v>1.378058395913947E-2</v>
      </c>
      <c r="BW161" s="1189">
        <f>'2018'!R\Max</f>
        <v>0</v>
      </c>
      <c r="BX161" s="1187">
        <f>'2019'!R\Max</f>
        <v>0.52531670398911046</v>
      </c>
      <c r="BY161" s="1187">
        <f>'2020'!R\Max</f>
        <v>0.99158437331805294</v>
      </c>
      <c r="BZ161" s="1187">
        <f>'2021'!R\Max</f>
        <v>0.95473530758268199</v>
      </c>
      <c r="CA161" s="1187">
        <f>'2022'!R\Max</f>
        <v>0.79451388705792092</v>
      </c>
      <c r="CB161" s="1187">
        <f>'2023'!R\Max</f>
        <v>0.79450498693927418</v>
      </c>
      <c r="CC161" s="1187">
        <f>'2024'!R\Max</f>
        <v>0.794496086340721</v>
      </c>
      <c r="CD161" s="1187">
        <f>'2025'!R\Max</f>
        <v>0.79453760287443775</v>
      </c>
      <c r="CE161" s="1187">
        <f>'2026'!R\Max</f>
        <v>0.79453317533724765</v>
      </c>
      <c r="CF161" s="1188">
        <f>'2027'!R\Max</f>
        <v>0.79452739597705713</v>
      </c>
    </row>
    <row r="162" spans="1:84" s="6" customFormat="1" ht="11.25" x14ac:dyDescent="0.2">
      <c r="A162" s="11">
        <v>43248</v>
      </c>
      <c r="B162" s="380">
        <f>'2022'!Maxi_hp</f>
        <v>62.361941334367771</v>
      </c>
      <c r="C162" s="13">
        <f>'2022'!An_max</f>
        <v>2020</v>
      </c>
      <c r="D162" s="1061"/>
      <c r="E162" s="1056">
        <f>X$13/10</f>
        <v>64.099999999999994</v>
      </c>
      <c r="F162" s="13">
        <f t="shared" si="92"/>
        <v>13</v>
      </c>
      <c r="G162" s="13">
        <f t="shared" si="76"/>
        <v>12</v>
      </c>
      <c r="H162" s="173">
        <f t="shared" si="77"/>
        <v>43262</v>
      </c>
      <c r="I162" s="752">
        <f t="shared" si="78"/>
        <v>1</v>
      </c>
      <c r="J162" s="745">
        <f t="shared" si="79"/>
        <v>64.099999999254948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4">
        <v>43248</v>
      </c>
      <c r="AP162" s="13">
        <f t="shared" si="80"/>
        <v>7</v>
      </c>
      <c r="AQ162" s="13">
        <f t="shared" si="81"/>
        <v>8</v>
      </c>
      <c r="AR162" s="173">
        <f t="shared" si="82"/>
        <v>43248</v>
      </c>
      <c r="AS162" s="752">
        <f t="shared" si="83"/>
        <v>0</v>
      </c>
      <c r="AT162" s="768">
        <f t="shared" si="84"/>
        <v>64.100000000745055</v>
      </c>
      <c r="AU162" s="13">
        <f t="shared" si="85"/>
        <v>7</v>
      </c>
      <c r="AV162" s="13">
        <f t="shared" si="86"/>
        <v>6</v>
      </c>
      <c r="AW162" s="173">
        <f t="shared" si="87"/>
        <v>43262</v>
      </c>
      <c r="AX162" s="752">
        <f t="shared" si="88"/>
        <v>0.5</v>
      </c>
      <c r="AY162" s="768">
        <f t="shared" si="89"/>
        <v>64.106250000931325</v>
      </c>
      <c r="AZ162" s="745">
        <f t="shared" si="93"/>
        <v>64.10312500083819</v>
      </c>
      <c r="BA162" s="642">
        <f t="shared" si="90"/>
        <v>0.97288520023545433</v>
      </c>
      <c r="BC162" s="11">
        <v>43248</v>
      </c>
      <c r="BD162" s="290">
        <f>[2]!FeuilCaduc*(1-Persistant)+Persistant</f>
        <v>0.87604352819267073</v>
      </c>
      <c r="BE162" s="291">
        <f>[2]!CroissVégét</f>
        <v>0.3687715084596308</v>
      </c>
      <c r="BF162" s="815">
        <f>1+[2]!Salcycl*Ksac</f>
        <v>1.0293405880321118</v>
      </c>
      <c r="BH162" s="1052">
        <f t="shared" si="91"/>
        <v>8.7752858392715818E-4</v>
      </c>
      <c r="BI162" s="11">
        <v>44344</v>
      </c>
      <c r="BJ162" s="725">
        <v>3.2273940863743395E-5</v>
      </c>
      <c r="BK162" s="725">
        <v>9.3127761582870001E-5</v>
      </c>
      <c r="BL162" s="725">
        <v>2.8937503353389124E-4</v>
      </c>
      <c r="BM162" s="725">
        <v>6.543186642139579E-4</v>
      </c>
      <c r="BN162" s="725">
        <v>1.2133356764128999E-3</v>
      </c>
      <c r="BO162" s="726">
        <v>1.975149442201383E-3</v>
      </c>
      <c r="BP162" s="725">
        <v>3.0793215455588619E-3</v>
      </c>
      <c r="BQ162" s="725">
        <v>4.6919580828060541E-3</v>
      </c>
      <c r="BR162" s="725">
        <v>6.9569266445970541E-3</v>
      </c>
      <c r="BS162" s="725">
        <v>1.0023368620934303E-2</v>
      </c>
      <c r="BT162" s="725">
        <v>1.36674314863713E-2</v>
      </c>
      <c r="BW162" s="1189">
        <f>'2018'!R\Max</f>
        <v>0</v>
      </c>
      <c r="BX162" s="1187">
        <f>'2019'!R\Max</f>
        <v>0.46231186602171026</v>
      </c>
      <c r="BY162" s="1187">
        <f>'2020'!R\Max</f>
        <v>0.97288520023545433</v>
      </c>
      <c r="BZ162" s="1187">
        <f>'2021'!R\Max</f>
        <v>0.80611474714627274</v>
      </c>
      <c r="CA162" s="1187">
        <f>'2022'!R\Max</f>
        <v>0.94654094665984823</v>
      </c>
      <c r="CB162" s="1187">
        <f>'2023'!R\Max</f>
        <v>0.94653819743850964</v>
      </c>
      <c r="CC162" s="1187">
        <f>'2024'!R\Max</f>
        <v>0.94653544802400924</v>
      </c>
      <c r="CD162" s="1187">
        <f>'2025'!R\Max</f>
        <v>0.94654834320859815</v>
      </c>
      <c r="CE162" s="1187">
        <f>'2026'!R\Max</f>
        <v>0.9465469516281082</v>
      </c>
      <c r="CF162" s="1188">
        <f>'2027'!R\Max</f>
        <v>0.94654514751845442</v>
      </c>
    </row>
    <row r="163" spans="1:84" s="6" customFormat="1" ht="11.25" x14ac:dyDescent="0.2">
      <c r="A163" s="11">
        <v>43249</v>
      </c>
      <c r="B163" s="380">
        <f>'2022'!Maxi_hp</f>
        <v>65.39386312317626</v>
      </c>
      <c r="C163" s="13">
        <f>'2022'!An_max</f>
        <v>2022</v>
      </c>
      <c r="D163" s="1061"/>
      <c r="E163" s="13"/>
      <c r="F163" s="13">
        <f t="shared" si="92"/>
        <v>13</v>
      </c>
      <c r="G163" s="13">
        <f t="shared" si="76"/>
        <v>12</v>
      </c>
      <c r="H163" s="173">
        <f t="shared" si="77"/>
        <v>43262</v>
      </c>
      <c r="I163" s="752">
        <f t="shared" si="78"/>
        <v>0.9285714285714286</v>
      </c>
      <c r="J163" s="745">
        <f t="shared" si="79"/>
        <v>64.136279154728555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4">
        <v>43249</v>
      </c>
      <c r="AP163" s="13">
        <f t="shared" si="80"/>
        <v>7</v>
      </c>
      <c r="AQ163" s="13">
        <f t="shared" si="81"/>
        <v>8</v>
      </c>
      <c r="AR163" s="173">
        <f t="shared" si="82"/>
        <v>43248</v>
      </c>
      <c r="AS163" s="752">
        <f t="shared" si="83"/>
        <v>3.5714285714285712E-2</v>
      </c>
      <c r="AT163" s="768">
        <f t="shared" si="84"/>
        <v>64.146904610376808</v>
      </c>
      <c r="AU163" s="13">
        <f t="shared" si="85"/>
        <v>7</v>
      </c>
      <c r="AV163" s="13">
        <f t="shared" si="86"/>
        <v>6</v>
      </c>
      <c r="AW163" s="173">
        <f t="shared" si="87"/>
        <v>43262</v>
      </c>
      <c r="AX163" s="752">
        <f t="shared" si="88"/>
        <v>0.4642857142857143</v>
      </c>
      <c r="AY163" s="768">
        <f t="shared" si="89"/>
        <v>64.133880740231163</v>
      </c>
      <c r="AZ163" s="745">
        <f t="shared" si="93"/>
        <v>64.140392675303985</v>
      </c>
      <c r="BA163" s="642">
        <f t="shared" si="90"/>
        <v>1.0196079969873804</v>
      </c>
      <c r="BC163" s="11">
        <v>43249</v>
      </c>
      <c r="BD163" s="290">
        <f>[2]!FeuilCaduc*(1-Persistant)+Persistant</f>
        <v>0.88031753523713452</v>
      </c>
      <c r="BE163" s="291">
        <f>[2]!CroissVégét</f>
        <v>0.37841273812207477</v>
      </c>
      <c r="BF163" s="815">
        <f>1+[2]!Salcycl*Ksac</f>
        <v>1.0300529225395225</v>
      </c>
      <c r="BH163" s="1052">
        <f t="shared" si="91"/>
        <v>9.0374314808462208E-4</v>
      </c>
      <c r="BI163" s="11">
        <v>44345</v>
      </c>
      <c r="BJ163" s="725">
        <v>3.7111456996614173E-5</v>
      </c>
      <c r="BK163" s="725">
        <v>1.0366475260516058E-4</v>
      </c>
      <c r="BL163" s="725">
        <v>3.0526347375737996E-4</v>
      </c>
      <c r="BM163" s="725">
        <v>6.7811510737082563E-4</v>
      </c>
      <c r="BN163" s="725">
        <v>1.2431881711046887E-3</v>
      </c>
      <c r="BO163" s="726">
        <v>2.0057465269040569E-3</v>
      </c>
      <c r="BP163" s="725">
        <v>3.1028841382591864E-3</v>
      </c>
      <c r="BQ163" s="725">
        <v>4.7036809610440621E-3</v>
      </c>
      <c r="BR163" s="725">
        <v>6.9537363472296498E-3</v>
      </c>
      <c r="BS163" s="725">
        <v>9.9857743170072809E-3</v>
      </c>
      <c r="BT163" s="725">
        <v>1.357570655682285E-2</v>
      </c>
      <c r="BW163" s="1189">
        <f>'2018'!R\Max</f>
        <v>0</v>
      </c>
      <c r="BX163" s="1187">
        <f>'2019'!R\Max</f>
        <v>0.65405896521402318</v>
      </c>
      <c r="BY163" s="1187">
        <f>'2020'!R\Max</f>
        <v>0.96973746269613315</v>
      </c>
      <c r="BZ163" s="1187">
        <f>'2021'!R\Max</f>
        <v>0.62596768523978863</v>
      </c>
      <c r="CA163" s="1187">
        <f>'2022'!R\Max</f>
        <v>1.0196079969873804</v>
      </c>
      <c r="CB163" s="1187">
        <f>'2023'!R\Max</f>
        <v>1.0196079969873806</v>
      </c>
      <c r="CC163" s="1187">
        <f>'2024'!R\Max</f>
        <v>1.0196079969873806</v>
      </c>
      <c r="CD163" s="1187">
        <f>'2025'!R\Max</f>
        <v>1.0196079969873806</v>
      </c>
      <c r="CE163" s="1187">
        <f>'2026'!R\Max</f>
        <v>1.0196079969873806</v>
      </c>
      <c r="CF163" s="1188">
        <f>'2027'!R\Max</f>
        <v>1.0196079969873804</v>
      </c>
    </row>
    <row r="164" spans="1:84" s="6" customFormat="1" ht="11.25" x14ac:dyDescent="0.2">
      <c r="A164" s="11">
        <v>43250</v>
      </c>
      <c r="B164" s="380">
        <f>'2022'!Maxi_hp</f>
        <v>59.86002152871599</v>
      </c>
      <c r="C164" s="13">
        <f>'2022'!An_max</f>
        <v>2020</v>
      </c>
      <c r="D164" s="1061"/>
      <c r="E164" s="13"/>
      <c r="F164" s="13">
        <f t="shared" si="92"/>
        <v>13</v>
      </c>
      <c r="G164" s="13">
        <f t="shared" si="76"/>
        <v>12</v>
      </c>
      <c r="H164" s="173">
        <f t="shared" si="77"/>
        <v>43262</v>
      </c>
      <c r="I164" s="752">
        <f t="shared" si="78"/>
        <v>0.8571428571428571</v>
      </c>
      <c r="J164" s="745">
        <f t="shared" si="79"/>
        <v>64.166763848758166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4">
        <v>43250</v>
      </c>
      <c r="AP164" s="13">
        <f t="shared" si="80"/>
        <v>7</v>
      </c>
      <c r="AQ164" s="13">
        <f t="shared" si="81"/>
        <v>8</v>
      </c>
      <c r="AR164" s="173">
        <f t="shared" si="82"/>
        <v>43248</v>
      </c>
      <c r="AS164" s="752">
        <f t="shared" si="83"/>
        <v>7.1428571428571425E-2</v>
      </c>
      <c r="AT164" s="768">
        <f t="shared" si="84"/>
        <v>64.187736881018751</v>
      </c>
      <c r="AU164" s="13">
        <f t="shared" si="85"/>
        <v>7</v>
      </c>
      <c r="AV164" s="13">
        <f t="shared" si="86"/>
        <v>6</v>
      </c>
      <c r="AW164" s="173">
        <f t="shared" si="87"/>
        <v>43262</v>
      </c>
      <c r="AX164" s="752">
        <f t="shared" si="88"/>
        <v>0.42857142857142855</v>
      </c>
      <c r="AY164" s="768">
        <f t="shared" si="89"/>
        <v>64.157142857675041</v>
      </c>
      <c r="AZ164" s="745">
        <f t="shared" si="93"/>
        <v>64.172439869346903</v>
      </c>
      <c r="BA164" s="642">
        <f t="shared" si="90"/>
        <v>0.93288203952137561</v>
      </c>
      <c r="BC164" s="11">
        <v>43250</v>
      </c>
      <c r="BD164" s="290">
        <f>[2]!FeuilCaduc*(1-Persistant)+Persistant</f>
        <v>0.8845688791651769</v>
      </c>
      <c r="BE164" s="291">
        <f>[2]!CroissVégét</f>
        <v>0.38815019600224987</v>
      </c>
      <c r="BF164" s="815">
        <f>1+[2]!Salcycl*Ksac</f>
        <v>1.0307614798608629</v>
      </c>
      <c r="BH164" s="1052">
        <f t="shared" si="91"/>
        <v>9.3039687648640819E-4</v>
      </c>
      <c r="BI164" s="11">
        <v>44346</v>
      </c>
      <c r="BJ164" s="725">
        <v>4.1838350411240079E-5</v>
      </c>
      <c r="BK164" s="725">
        <v>1.1447196176171647E-4</v>
      </c>
      <c r="BL164" s="725">
        <v>3.2134896144826882E-4</v>
      </c>
      <c r="BM164" s="725">
        <v>7.0218390138576886E-4</v>
      </c>
      <c r="BN164" s="725">
        <v>1.2737307916391701E-3</v>
      </c>
      <c r="BO164" s="726">
        <v>2.038772653290733E-3</v>
      </c>
      <c r="BP164" s="725">
        <v>3.1305568509854501E-3</v>
      </c>
      <c r="BQ164" s="725">
        <v>4.7208060528757603E-3</v>
      </c>
      <c r="BR164" s="725">
        <v>6.9577562810758447E-3</v>
      </c>
      <c r="BS164" s="725">
        <v>9.9618515481909916E-3</v>
      </c>
      <c r="BT164" s="725">
        <v>1.3508935357003579E-2</v>
      </c>
      <c r="BW164" s="1189">
        <f>'2018'!R\Max</f>
        <v>0</v>
      </c>
      <c r="BX164" s="1187">
        <f>'2019'!R\Max</f>
        <v>0.90217951239004512</v>
      </c>
      <c r="BY164" s="1187">
        <f>'2020'!R\Max</f>
        <v>0.93288203952137561</v>
      </c>
      <c r="BZ164" s="1187">
        <f>'2021'!R\Max</f>
        <v>0.85922417585353306</v>
      </c>
      <c r="CA164" s="1187">
        <f>'2022'!R\Max</f>
        <v>0.8829530072974322</v>
      </c>
      <c r="CB164" s="1187">
        <f>'2023'!R\Max</f>
        <v>0.88294740714491704</v>
      </c>
      <c r="CC164" s="1187">
        <f>'2024'!R\Max</f>
        <v>0.88294180663856436</v>
      </c>
      <c r="CD164" s="1187">
        <f>'2025'!R\Max</f>
        <v>0.88296839096321067</v>
      </c>
      <c r="CE164" s="1187">
        <f>'2026'!R\Max</f>
        <v>0.88296545984725738</v>
      </c>
      <c r="CF164" s="1188">
        <f>'2027'!R\Max</f>
        <v>0.88296169861574825</v>
      </c>
    </row>
    <row r="165" spans="1:84" s="6" customFormat="1" ht="11.25" x14ac:dyDescent="0.2">
      <c r="A165" s="11">
        <v>43251</v>
      </c>
      <c r="B165" s="380">
        <f>'2022'!Maxi_hp</f>
        <v>63.940669699990565</v>
      </c>
      <c r="C165" s="13">
        <f>'2022'!An_max</f>
        <v>2019</v>
      </c>
      <c r="D165" s="1061"/>
      <c r="E165" s="13"/>
      <c r="F165" s="13">
        <f t="shared" si="92"/>
        <v>13</v>
      </c>
      <c r="G165" s="13">
        <f t="shared" si="76"/>
        <v>12</v>
      </c>
      <c r="H165" s="173">
        <f t="shared" si="77"/>
        <v>43262</v>
      </c>
      <c r="I165" s="752">
        <f t="shared" si="78"/>
        <v>0.7857142857142857</v>
      </c>
      <c r="J165" s="745">
        <f t="shared" si="79"/>
        <v>64.191782069179638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4">
        <v>43251</v>
      </c>
      <c r="AP165" s="13">
        <f t="shared" si="80"/>
        <v>7</v>
      </c>
      <c r="AQ165" s="13">
        <f t="shared" si="81"/>
        <v>8</v>
      </c>
      <c r="AR165" s="173">
        <f t="shared" si="82"/>
        <v>43248</v>
      </c>
      <c r="AS165" s="752">
        <f t="shared" si="83"/>
        <v>0.10714285714285714</v>
      </c>
      <c r="AT165" s="768">
        <f t="shared" si="84"/>
        <v>64.222674471685394</v>
      </c>
      <c r="AU165" s="13">
        <f t="shared" si="85"/>
        <v>7</v>
      </c>
      <c r="AV165" s="13">
        <f t="shared" si="86"/>
        <v>6</v>
      </c>
      <c r="AW165" s="173">
        <f t="shared" si="87"/>
        <v>43262</v>
      </c>
      <c r="AX165" s="752">
        <f t="shared" si="88"/>
        <v>0.39285714285714285</v>
      </c>
      <c r="AY165" s="768">
        <f t="shared" si="89"/>
        <v>64.176323341844338</v>
      </c>
      <c r="AZ165" s="745">
        <f t="shared" si="93"/>
        <v>64.199498906764859</v>
      </c>
      <c r="BA165" s="642">
        <f t="shared" si="90"/>
        <v>0.99608809163580392</v>
      </c>
      <c r="BC165" s="11">
        <v>43251</v>
      </c>
      <c r="BD165" s="290">
        <f>[2]!FeuilCaduc*(1-Persistant)+Persistant</f>
        <v>0.88879227990865417</v>
      </c>
      <c r="BE165" s="291">
        <f>[2]!CroissVégét</f>
        <v>0.3979769891015032</v>
      </c>
      <c r="BF165" s="815">
        <f>1+[2]!Salcycl*Ksac</f>
        <v>1.0314653799847757</v>
      </c>
      <c r="BH165" s="1052">
        <f t="shared" si="91"/>
        <v>9.5633422776460599E-4</v>
      </c>
      <c r="BI165" s="11">
        <v>44347</v>
      </c>
      <c r="BJ165" s="725">
        <v>4.612522682335604E-5</v>
      </c>
      <c r="BK165" s="725">
        <v>1.2479328674133594E-4</v>
      </c>
      <c r="BL165" s="725">
        <v>3.3674917441956355E-4</v>
      </c>
      <c r="BM165" s="725">
        <v>7.2547676554440886E-4</v>
      </c>
      <c r="BN165" s="725">
        <v>1.3036466288729905E-3</v>
      </c>
      <c r="BO165" s="726">
        <v>2.0716501219518865E-3</v>
      </c>
      <c r="BP165" s="725">
        <v>3.158308997974946E-3</v>
      </c>
      <c r="BQ165" s="725">
        <v>4.7376828230708832E-3</v>
      </c>
      <c r="BR165" s="725">
        <v>6.961115923648154E-3</v>
      </c>
      <c r="BS165" s="725">
        <v>9.9396463620356271E-3</v>
      </c>
      <c r="BT165" s="725">
        <v>1.3449401840577394E-2</v>
      </c>
      <c r="BW165" s="1189">
        <f>'2018'!R\Max</f>
        <v>0</v>
      </c>
      <c r="BX165" s="1187">
        <f>'2019'!R\Max</f>
        <v>0.99608809163580392</v>
      </c>
      <c r="BY165" s="1187">
        <f>'2020'!R\Max</f>
        <v>0.99349149779845347</v>
      </c>
      <c r="BZ165" s="1187">
        <f>'2021'!R\Max</f>
        <v>0.94566043246275078</v>
      </c>
      <c r="CA165" s="1187">
        <f>'2022'!R\Max</f>
        <v>0.93744972030686025</v>
      </c>
      <c r="CB165" s="1187">
        <f>'2023'!R\Max</f>
        <v>0.9374465438963957</v>
      </c>
      <c r="CC165" s="1187">
        <f>'2024'!R\Max</f>
        <v>0.93744336726654476</v>
      </c>
      <c r="CD165" s="1187">
        <f>'2025'!R\Max</f>
        <v>0.93745853996292372</v>
      </c>
      <c r="CE165" s="1187">
        <f>'2026'!R\Max</f>
        <v>0.93745685026709757</v>
      </c>
      <c r="CF165" s="1188">
        <f>'2027'!R\Max</f>
        <v>0.93745469100596168</v>
      </c>
    </row>
    <row r="166" spans="1:84" s="6" customFormat="1" ht="11.25" x14ac:dyDescent="0.2">
      <c r="A166" s="11">
        <v>43252</v>
      </c>
      <c r="B166" s="380">
        <f>'2022'!Maxi_hp</f>
        <v>65.184195459638048</v>
      </c>
      <c r="C166" s="13">
        <f>'2022'!An_max</f>
        <v>2019</v>
      </c>
      <c r="D166" s="1061"/>
      <c r="E166" s="13"/>
      <c r="F166" s="13">
        <f t="shared" si="92"/>
        <v>13</v>
      </c>
      <c r="G166" s="13">
        <f t="shared" si="76"/>
        <v>12</v>
      </c>
      <c r="H166" s="173">
        <f t="shared" si="77"/>
        <v>43262</v>
      </c>
      <c r="I166" s="752">
        <f t="shared" si="78"/>
        <v>0.7142857142857143</v>
      </c>
      <c r="J166" s="745">
        <f t="shared" si="79"/>
        <v>64.211661807447669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4">
        <v>43252</v>
      </c>
      <c r="AP166" s="13">
        <f t="shared" si="80"/>
        <v>7</v>
      </c>
      <c r="AQ166" s="13">
        <f t="shared" si="81"/>
        <v>8</v>
      </c>
      <c r="AR166" s="173">
        <f t="shared" si="82"/>
        <v>43248</v>
      </c>
      <c r="AS166" s="752">
        <f t="shared" si="83"/>
        <v>0.14285714285714285</v>
      </c>
      <c r="AT166" s="768">
        <f t="shared" si="84"/>
        <v>64.251895043998957</v>
      </c>
      <c r="AU166" s="13">
        <f t="shared" si="85"/>
        <v>7</v>
      </c>
      <c r="AV166" s="13">
        <f t="shared" si="86"/>
        <v>6</v>
      </c>
      <c r="AW166" s="173">
        <f t="shared" si="87"/>
        <v>43262</v>
      </c>
      <c r="AX166" s="752">
        <f t="shared" si="88"/>
        <v>0.35714285714285715</v>
      </c>
      <c r="AY166" s="768">
        <f t="shared" si="89"/>
        <v>64.191709183662056</v>
      </c>
      <c r="AZ166" s="745">
        <f t="shared" si="93"/>
        <v>64.221802113830506</v>
      </c>
      <c r="BA166" s="642">
        <f t="shared" si="90"/>
        <v>1.0151457480590789</v>
      </c>
      <c r="BC166" s="11">
        <v>43252</v>
      </c>
      <c r="BD166" s="290">
        <f>[2]!FeuilCaduc*(1-Persistant)+Persistant</f>
        <v>0.89298249089415127</v>
      </c>
      <c r="BE166" s="291">
        <f>[2]!CroissVégét</f>
        <v>0.4078859452556679</v>
      </c>
      <c r="BF166" s="815">
        <f>1+[2]!Salcycl*Ksac</f>
        <v>1.0321637484823585</v>
      </c>
      <c r="BH166" s="1052">
        <f t="shared" si="91"/>
        <v>9.8155675920297324E-4</v>
      </c>
      <c r="BI166" s="11">
        <v>44348</v>
      </c>
      <c r="BJ166" s="725">
        <v>4.9972760630323479E-5</v>
      </c>
      <c r="BK166" s="725">
        <v>1.3462936465814302E-4</v>
      </c>
      <c r="BL166" s="725">
        <v>3.5146519054108754E-4</v>
      </c>
      <c r="BM166" s="725">
        <v>7.4799515628753586E-4</v>
      </c>
      <c r="BN166" s="725">
        <v>1.3329373918026274E-3</v>
      </c>
      <c r="BO166" s="726">
        <v>2.1043807001096884E-3</v>
      </c>
      <c r="BP166" s="725">
        <v>3.1861435545839974E-3</v>
      </c>
      <c r="BQ166" s="725">
        <v>4.7543172828267517E-3</v>
      </c>
      <c r="BR166" s="725">
        <v>6.9638254078720242E-3</v>
      </c>
      <c r="BS166" s="725">
        <v>9.9191695537701498E-3</v>
      </c>
      <c r="BT166" s="725">
        <v>1.3397113085419078E-2</v>
      </c>
      <c r="BW166" s="1189">
        <f>'2018'!R\Max</f>
        <v>0</v>
      </c>
      <c r="BX166" s="1187">
        <f>'2019'!R\Max</f>
        <v>1.0151457480590789</v>
      </c>
      <c r="BY166" s="1187">
        <f>'2020'!R\Max</f>
        <v>0.98254916717358565</v>
      </c>
      <c r="BZ166" s="1187">
        <f>'2021'!R\Max</f>
        <v>0.57756350760843056</v>
      </c>
      <c r="CA166" s="1187">
        <f>'2022'!R\Max</f>
        <v>0.95123738323369356</v>
      </c>
      <c r="CB166" s="1187">
        <f>'2023'!R\Max</f>
        <v>0.9512348708671482</v>
      </c>
      <c r="CC166" s="1187">
        <f>'2024'!R\Max</f>
        <v>0.95123235832334829</v>
      </c>
      <c r="CD166" s="1187">
        <f>'2025'!R\Max</f>
        <v>0.9512444356852815</v>
      </c>
      <c r="CE166" s="1187">
        <f>'2026'!R\Max</f>
        <v>0.95124307746294456</v>
      </c>
      <c r="CF166" s="1188">
        <f>'2027'!R\Max</f>
        <v>0.9512413484155483</v>
      </c>
    </row>
    <row r="167" spans="1:84" s="6" customFormat="1" ht="11.25" x14ac:dyDescent="0.2">
      <c r="A167" s="11">
        <v>43253</v>
      </c>
      <c r="B167" s="380">
        <f>'2022'!Maxi_hp</f>
        <v>63.527913970143331</v>
      </c>
      <c r="C167" s="13">
        <f>'2022'!An_max</f>
        <v>2019</v>
      </c>
      <c r="D167" s="1061"/>
      <c r="E167" s="13"/>
      <c r="F167" s="13">
        <f t="shared" si="92"/>
        <v>13</v>
      </c>
      <c r="G167" s="13">
        <f t="shared" si="76"/>
        <v>12</v>
      </c>
      <c r="H167" s="173">
        <f t="shared" si="77"/>
        <v>43262</v>
      </c>
      <c r="I167" s="752">
        <f t="shared" si="78"/>
        <v>0.6428571428571429</v>
      </c>
      <c r="J167" s="745">
        <f t="shared" si="79"/>
        <v>64.226731049934671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4">
        <v>43253</v>
      </c>
      <c r="AP167" s="13">
        <f t="shared" si="80"/>
        <v>7</v>
      </c>
      <c r="AQ167" s="13">
        <f t="shared" si="81"/>
        <v>8</v>
      </c>
      <c r="AR167" s="173">
        <f t="shared" si="82"/>
        <v>43248</v>
      </c>
      <c r="AS167" s="752">
        <f t="shared" si="83"/>
        <v>0.17857142857142858</v>
      </c>
      <c r="AT167" s="768">
        <f t="shared" si="84"/>
        <v>64.275576257639159</v>
      </c>
      <c r="AU167" s="13">
        <f t="shared" si="85"/>
        <v>7</v>
      </c>
      <c r="AV167" s="13">
        <f t="shared" si="86"/>
        <v>6</v>
      </c>
      <c r="AW167" s="173">
        <f t="shared" si="87"/>
        <v>43262</v>
      </c>
      <c r="AX167" s="752">
        <f t="shared" si="88"/>
        <v>0.32142857142857145</v>
      </c>
      <c r="AY167" s="768">
        <f t="shared" si="89"/>
        <v>64.203587372428075</v>
      </c>
      <c r="AZ167" s="745">
        <f t="shared" si="93"/>
        <v>64.239581815033617</v>
      </c>
      <c r="BA167" s="642">
        <f t="shared" si="90"/>
        <v>0.98911952907508205</v>
      </c>
      <c r="BC167" s="11">
        <v>43253</v>
      </c>
      <c r="BD167" s="290">
        <f>[2]!FeuilCaduc*(1-Persistant)+Persistant</f>
        <v>0.89713431857421044</v>
      </c>
      <c r="BE167" s="291">
        <f>[2]!CroissVégét</f>
        <v>0.41786963208449301</v>
      </c>
      <c r="BF167" s="815">
        <f>1+[2]!Salcycl*Ksac</f>
        <v>1.0328557197623685</v>
      </c>
      <c r="BH167" s="1052">
        <f t="shared" si="91"/>
        <v>1.0060662121286991E-3</v>
      </c>
      <c r="BI167" s="11">
        <v>44349</v>
      </c>
      <c r="BJ167" s="725">
        <v>5.3381675975079103E-5</v>
      </c>
      <c r="BK167" s="725">
        <v>1.4398091748712811E-4</v>
      </c>
      <c r="BL167" s="725">
        <v>3.6549821224225444E-4</v>
      </c>
      <c r="BM167" s="725">
        <v>7.6974070309469551E-4</v>
      </c>
      <c r="BN167" s="725">
        <v>1.3616049900239202E-3</v>
      </c>
      <c r="BO167" s="726">
        <v>2.1369663440600727E-3</v>
      </c>
      <c r="BP167" s="725">
        <v>3.214063646648945E-3</v>
      </c>
      <c r="BQ167" s="725">
        <v>4.7707155596500546E-3</v>
      </c>
      <c r="BR167" s="725">
        <v>6.9658949414131517E-3</v>
      </c>
      <c r="BS167" s="725">
        <v>9.9004317194726875E-3</v>
      </c>
      <c r="BT167" s="725">
        <v>1.3352075443549253E-2</v>
      </c>
      <c r="BW167" s="1189">
        <f>'2018'!R\Max</f>
        <v>0</v>
      </c>
      <c r="BX167" s="1187">
        <f>'2019'!R\Max</f>
        <v>0.98911952907508205</v>
      </c>
      <c r="BY167" s="1187">
        <f>'2020'!R\Max</f>
        <v>0.5033834555828155</v>
      </c>
      <c r="BZ167" s="1187">
        <f>'2021'!R\Max</f>
        <v>0.84047287170304574</v>
      </c>
      <c r="CA167" s="1187">
        <f>'2022'!R\Max</f>
        <v>0.78831866683316709</v>
      </c>
      <c r="CB167" s="1187">
        <f>'2023'!R\Max</f>
        <v>0.788309627768356</v>
      </c>
      <c r="CC167" s="1187">
        <f>'2024'!R\Max</f>
        <v>0.78830058822531346</v>
      </c>
      <c r="CD167" s="1187">
        <f>'2025'!R\Max</f>
        <v>0.78834432447448599</v>
      </c>
      <c r="CE167" s="1187">
        <f>'2026'!R\Max</f>
        <v>0.78833935831915625</v>
      </c>
      <c r="CF167" s="1188">
        <f>'2027'!R\Max</f>
        <v>0.78833305842082124</v>
      </c>
    </row>
    <row r="168" spans="1:84" s="6" customFormat="1" ht="11.25" x14ac:dyDescent="0.2">
      <c r="A168" s="11">
        <v>43254</v>
      </c>
      <c r="B168" s="380">
        <f>'2022'!Maxi_hp</f>
        <v>59.023162907368395</v>
      </c>
      <c r="C168" s="13">
        <f>'2022'!An_max</f>
        <v>2022</v>
      </c>
      <c r="D168" s="1061"/>
      <c r="E168" s="13"/>
      <c r="F168" s="13">
        <f t="shared" si="92"/>
        <v>13</v>
      </c>
      <c r="G168" s="13">
        <f t="shared" si="76"/>
        <v>12</v>
      </c>
      <c r="H168" s="173">
        <f t="shared" si="77"/>
        <v>43262</v>
      </c>
      <c r="I168" s="752">
        <f t="shared" si="78"/>
        <v>0.5714285714285714</v>
      </c>
      <c r="J168" s="745">
        <f t="shared" si="79"/>
        <v>64.237317783704825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4">
        <v>43254</v>
      </c>
      <c r="AP168" s="13">
        <f t="shared" si="80"/>
        <v>7</v>
      </c>
      <c r="AQ168" s="13">
        <f t="shared" si="81"/>
        <v>8</v>
      </c>
      <c r="AR168" s="173">
        <f t="shared" si="82"/>
        <v>43248</v>
      </c>
      <c r="AS168" s="752">
        <f t="shared" si="83"/>
        <v>0.21428571428571427</v>
      </c>
      <c r="AT168" s="768">
        <f t="shared" si="84"/>
        <v>64.293895772365588</v>
      </c>
      <c r="AU168" s="13">
        <f t="shared" si="85"/>
        <v>7</v>
      </c>
      <c r="AV168" s="13">
        <f t="shared" si="86"/>
        <v>6</v>
      </c>
      <c r="AW168" s="173">
        <f t="shared" si="87"/>
        <v>43262</v>
      </c>
      <c r="AX168" s="752">
        <f t="shared" si="88"/>
        <v>0.2857142857142857</v>
      </c>
      <c r="AY168" s="768">
        <f t="shared" si="89"/>
        <v>64.212244898666228</v>
      </c>
      <c r="AZ168" s="745">
        <f t="shared" si="93"/>
        <v>64.253070335515901</v>
      </c>
      <c r="BA168" s="642">
        <f t="shared" si="90"/>
        <v>0.91882981643328965</v>
      </c>
      <c r="BC168" s="11">
        <v>43254</v>
      </c>
      <c r="BD168" s="290">
        <f>[2]!FeuilCaduc*(1-Persistant)+Persistant</f>
        <v>0.90124264207347859</v>
      </c>
      <c r="BE168" s="291">
        <f>[2]!CroissVégét</f>
        <v>0.42792037764903684</v>
      </c>
      <c r="BF168" s="815">
        <f>1+[2]!Salcycl*Ksac</f>
        <v>1.0335404403455797</v>
      </c>
      <c r="BH168" s="1052">
        <f t="shared" si="91"/>
        <v>1.0298645028156861E-3</v>
      </c>
      <c r="BI168" s="11">
        <v>44350</v>
      </c>
      <c r="BJ168" s="725">
        <v>5.635274088896825E-5</v>
      </c>
      <c r="BK168" s="725">
        <v>1.5284874569495955E-4</v>
      </c>
      <c r="BL168" s="725">
        <v>3.7884955756892203E-4</v>
      </c>
      <c r="BM168" s="725">
        <v>7.9071519850555736E-4</v>
      </c>
      <c r="BN168" s="725">
        <v>1.3896515259621436E-3</v>
      </c>
      <c r="BO168" s="726">
        <v>2.1694091980208889E-3</v>
      </c>
      <c r="BP168" s="725">
        <v>3.2420725525103156E-3</v>
      </c>
      <c r="BQ168" s="725">
        <v>4.7868838950579024E-3</v>
      </c>
      <c r="BR168" s="725">
        <v>6.9673347989865951E-3</v>
      </c>
      <c r="BS168" s="725">
        <v>9.8834432805317094E-3</v>
      </c>
      <c r="BT168" s="725">
        <v>1.331429464000855E-2</v>
      </c>
      <c r="BW168" s="1189">
        <f>'2018'!R\Max</f>
        <v>0</v>
      </c>
      <c r="BX168" s="1187">
        <f>'2019'!R\Max</f>
        <v>0.79623837883139781</v>
      </c>
      <c r="BY168" s="1187">
        <f>'2020'!R\Max</f>
        <v>0.79541527404848267</v>
      </c>
      <c r="BZ168" s="1187">
        <f>'2021'!R\Max</f>
        <v>0.88142695386236825</v>
      </c>
      <c r="CA168" s="1187">
        <f>'2022'!R\Max</f>
        <v>0.91882981643328965</v>
      </c>
      <c r="CB168" s="1187">
        <f>'2023'!R\Max</f>
        <v>0.91882577537242593</v>
      </c>
      <c r="CC168" s="1187">
        <f>'2024'!R\Max</f>
        <v>0.91882173404054335</v>
      </c>
      <c r="CD168" s="1187">
        <f>'2025'!R\Max</f>
        <v>0.91884141678006703</v>
      </c>
      <c r="CE168" s="1187">
        <f>'2026'!R\Max</f>
        <v>0.91883916086596951</v>
      </c>
      <c r="CF168" s="1188">
        <f>'2027'!R\Max</f>
        <v>0.91883630809868233</v>
      </c>
    </row>
    <row r="169" spans="1:84" s="6" customFormat="1" ht="11.25" x14ac:dyDescent="0.2">
      <c r="A169" s="11">
        <v>43255</v>
      </c>
      <c r="B169" s="380">
        <f>'2022'!Maxi_hp</f>
        <v>55.953130597510338</v>
      </c>
      <c r="C169" s="13">
        <f>'2022'!An_max</f>
        <v>2019</v>
      </c>
      <c r="D169" s="1061"/>
      <c r="E169" s="13"/>
      <c r="F169" s="13">
        <f t="shared" si="92"/>
        <v>13</v>
      </c>
      <c r="G169" s="13">
        <f t="shared" si="76"/>
        <v>12</v>
      </c>
      <c r="H169" s="173">
        <f t="shared" si="77"/>
        <v>43262</v>
      </c>
      <c r="I169" s="752">
        <f t="shared" si="78"/>
        <v>0.5</v>
      </c>
      <c r="J169" s="745">
        <f t="shared" si="79"/>
        <v>64.243749999627468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4">
        <v>43255</v>
      </c>
      <c r="AP169" s="13">
        <f t="shared" si="80"/>
        <v>7</v>
      </c>
      <c r="AQ169" s="13">
        <f t="shared" si="81"/>
        <v>8</v>
      </c>
      <c r="AR169" s="173">
        <f t="shared" si="82"/>
        <v>43248</v>
      </c>
      <c r="AS169" s="752">
        <f t="shared" si="83"/>
        <v>0.25</v>
      </c>
      <c r="AT169" s="768">
        <f t="shared" si="84"/>
        <v>64.307031249906871</v>
      </c>
      <c r="AU169" s="13">
        <f t="shared" si="85"/>
        <v>7</v>
      </c>
      <c r="AV169" s="13">
        <f t="shared" si="86"/>
        <v>6</v>
      </c>
      <c r="AW169" s="173">
        <f t="shared" si="87"/>
        <v>43262</v>
      </c>
      <c r="AX169" s="752">
        <f t="shared" si="88"/>
        <v>0.25</v>
      </c>
      <c r="AY169" s="768">
        <f t="shared" si="89"/>
        <v>64.217968750745058</v>
      </c>
      <c r="AZ169" s="745">
        <f t="shared" si="93"/>
        <v>64.262500000325957</v>
      </c>
      <c r="BA169" s="642">
        <f t="shared" si="90"/>
        <v>0.87095056869866394</v>
      </c>
      <c r="BC169" s="11">
        <v>43255</v>
      </c>
      <c r="BD169" s="290">
        <f>[2]!FeuilCaduc*(1-Persistant)+Persistant</f>
        <v>0.90530243282435707</v>
      </c>
      <c r="BE169" s="291">
        <f>[2]!CroissVégét</f>
        <v>0.43803029270835642</v>
      </c>
      <c r="BF169" s="815">
        <f>1+[2]!Salcycl*Ksac</f>
        <v>1.0342170721373929</v>
      </c>
      <c r="BH169" s="1052">
        <f t="shared" si="91"/>
        <v>1.0529537133930496E-3</v>
      </c>
      <c r="BI169" s="11">
        <v>44351</v>
      </c>
      <c r="BJ169" s="725">
        <v>5.8886761434829181E-5</v>
      </c>
      <c r="BK169" s="725">
        <v>1.6123372187146692E-4</v>
      </c>
      <c r="BL169" s="725">
        <v>3.9152065124207689E-4</v>
      </c>
      <c r="BM169" s="725">
        <v>8.1092058814523577E-4</v>
      </c>
      <c r="BN169" s="725">
        <v>1.4170792871092039E-3</v>
      </c>
      <c r="BO169" s="726">
        <v>2.2017115929913842E-3</v>
      </c>
      <c r="BP169" s="725">
        <v>3.2701737050543174E-3</v>
      </c>
      <c r="BQ169" s="725">
        <v>4.802828642304937E-3</v>
      </c>
      <c r="BR169" s="725">
        <v>6.968155314704262E-3</v>
      </c>
      <c r="BS169" s="725">
        <v>9.868214508161971E-3</v>
      </c>
      <c r="BT169" s="725">
        <v>1.3283775871805894E-2</v>
      </c>
      <c r="BW169" s="1189">
        <f>'2018'!R\Max</f>
        <v>0</v>
      </c>
      <c r="BX169" s="1187">
        <f>'2019'!R\Max</f>
        <v>0.87095056869866394</v>
      </c>
      <c r="BY169" s="1187">
        <f>'2020'!R\Max</f>
        <v>0.4370179487126884</v>
      </c>
      <c r="BZ169" s="1187">
        <f>'2021'!R\Max</f>
        <v>0.13164396762015687</v>
      </c>
      <c r="CA169" s="1187">
        <f>'2022'!R\Max</f>
        <v>0.45510534918842177</v>
      </c>
      <c r="CB169" s="1187">
        <f>'2023'!R\Max</f>
        <v>0.45509190663034227</v>
      </c>
      <c r="CC169" s="1187">
        <f>'2024'!R\Max</f>
        <v>0.45507846384616363</v>
      </c>
      <c r="CD169" s="1187">
        <f>'2025'!R\Max</f>
        <v>0.45514438485044251</v>
      </c>
      <c r="CE169" s="1187">
        <f>'2026'!R\Max</f>
        <v>0.45513675903404749</v>
      </c>
      <c r="CF169" s="1188">
        <f>'2027'!R\Max</f>
        <v>0.45512714315345054</v>
      </c>
    </row>
    <row r="170" spans="1:84" s="6" customFormat="1" ht="11.25" x14ac:dyDescent="0.2">
      <c r="A170" s="11">
        <v>43256</v>
      </c>
      <c r="B170" s="380">
        <f>'2022'!Maxi_hp</f>
        <v>47.290496424932876</v>
      </c>
      <c r="C170" s="13">
        <f>'2022'!An_max</f>
        <v>2021</v>
      </c>
      <c r="D170" s="1061"/>
      <c r="E170" s="13"/>
      <c r="F170" s="13">
        <f t="shared" si="92"/>
        <v>13</v>
      </c>
      <c r="G170" s="13">
        <f t="shared" si="76"/>
        <v>12</v>
      </c>
      <c r="H170" s="173">
        <f t="shared" si="77"/>
        <v>43262</v>
      </c>
      <c r="I170" s="752">
        <f t="shared" si="78"/>
        <v>0.42857142857142855</v>
      </c>
      <c r="J170" s="745">
        <f t="shared" si="79"/>
        <v>64.246355684314452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4">
        <v>43256</v>
      </c>
      <c r="AP170" s="13">
        <f t="shared" si="80"/>
        <v>7</v>
      </c>
      <c r="AQ170" s="13">
        <f t="shared" si="81"/>
        <v>8</v>
      </c>
      <c r="AR170" s="173">
        <f t="shared" si="82"/>
        <v>43248</v>
      </c>
      <c r="AS170" s="752">
        <f t="shared" si="83"/>
        <v>0.2857142857142857</v>
      </c>
      <c r="AT170" s="768">
        <f t="shared" si="84"/>
        <v>64.315160349117861</v>
      </c>
      <c r="AU170" s="13">
        <f t="shared" si="85"/>
        <v>7</v>
      </c>
      <c r="AV170" s="13">
        <f t="shared" si="86"/>
        <v>6</v>
      </c>
      <c r="AW170" s="173">
        <f t="shared" si="87"/>
        <v>43262</v>
      </c>
      <c r="AX170" s="752">
        <f t="shared" si="88"/>
        <v>0.21428571428571427</v>
      </c>
      <c r="AY170" s="768">
        <f t="shared" si="89"/>
        <v>64.221045918789287</v>
      </c>
      <c r="AZ170" s="745">
        <f t="shared" si="93"/>
        <v>64.268103133953574</v>
      </c>
      <c r="BA170" s="642">
        <f t="shared" si="90"/>
        <v>0.73608060599270231</v>
      </c>
      <c r="BC170" s="11">
        <v>43256</v>
      </c>
      <c r="BD170" s="290">
        <f>[2]!FeuilCaduc*(1-Persistant)+Persistant</f>
        <v>0.90930877406390342</v>
      </c>
      <c r="BE170" s="291">
        <f>[2]!CroissVégét</f>
        <v>0.44819129444890032</v>
      </c>
      <c r="BF170" s="815">
        <f>1+[2]!Salcycl*Ksac</f>
        <v>1.0348847956773173</v>
      </c>
      <c r="BH170" s="1052">
        <f t="shared" si="91"/>
        <v>1.0742656432800985E-3</v>
      </c>
      <c r="BI170" s="11">
        <v>44352</v>
      </c>
      <c r="BJ170" s="725">
        <v>6.0869667964700929E-5</v>
      </c>
      <c r="BK170" s="725">
        <v>1.6873183159738956E-4</v>
      </c>
      <c r="BL170" s="725">
        <v>4.0284484942350166E-4</v>
      </c>
      <c r="BM170" s="725">
        <v>8.2930533522135655E-4</v>
      </c>
      <c r="BN170" s="725">
        <v>1.4427950031280471E-3</v>
      </c>
      <c r="BO170" s="726">
        <v>2.2329694651387522E-3</v>
      </c>
      <c r="BP170" s="725">
        <v>3.2980063314202459E-3</v>
      </c>
      <c r="BQ170" s="725">
        <v>4.8186726215377227E-3</v>
      </c>
      <c r="BR170" s="725">
        <v>6.9688110255029957E-3</v>
      </c>
      <c r="BS170" s="725">
        <v>9.8547453372056157E-3</v>
      </c>
      <c r="BT170" s="725">
        <v>1.3259228143158525E-2</v>
      </c>
      <c r="BW170" s="1189">
        <f>'2018'!R\Max</f>
        <v>0</v>
      </c>
      <c r="BX170" s="1187">
        <f>'2019'!R\Max</f>
        <v>0.16923475708754032</v>
      </c>
      <c r="BY170" s="1187">
        <f>'2020'!R\Max</f>
        <v>0.59230825316570268</v>
      </c>
      <c r="BZ170" s="1187">
        <f>'2021'!R\Max</f>
        <v>0.73608060599270231</v>
      </c>
      <c r="CA170" s="1187">
        <f>'2022'!R\Max</f>
        <v>0.63345107076596818</v>
      </c>
      <c r="CB170" s="1187">
        <f>'2023'!R\Max</f>
        <v>0.63343846954286709</v>
      </c>
      <c r="CC170" s="1187">
        <f>'2024'!R\Max</f>
        <v>0.63342586786362653</v>
      </c>
      <c r="CD170" s="1187">
        <f>'2025'!R\Max</f>
        <v>0.63348807668100482</v>
      </c>
      <c r="CE170" s="1187">
        <f>'2026'!R\Max</f>
        <v>0.6334808188673603</v>
      </c>
      <c r="CF170" s="1188">
        <f>'2027'!R\Max</f>
        <v>0.63347168705722501</v>
      </c>
    </row>
    <row r="171" spans="1:84" s="6" customFormat="1" ht="11.25" x14ac:dyDescent="0.2">
      <c r="A171" s="11">
        <v>43257</v>
      </c>
      <c r="B171" s="380">
        <f>'2022'!Maxi_hp</f>
        <v>63.423622728283476</v>
      </c>
      <c r="C171" s="13">
        <f>'2022'!An_max</f>
        <v>2019</v>
      </c>
      <c r="D171" s="1061"/>
      <c r="E171" s="13"/>
      <c r="F171" s="13">
        <f t="shared" si="92"/>
        <v>13</v>
      </c>
      <c r="G171" s="13">
        <f t="shared" si="76"/>
        <v>12</v>
      </c>
      <c r="H171" s="173">
        <f t="shared" si="77"/>
        <v>43262</v>
      </c>
      <c r="I171" s="752">
        <f t="shared" si="78"/>
        <v>0.35714285714285715</v>
      </c>
      <c r="J171" s="745">
        <f t="shared" si="79"/>
        <v>64.245462827570734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4">
        <v>43257</v>
      </c>
      <c r="AP171" s="13">
        <f t="shared" si="80"/>
        <v>7</v>
      </c>
      <c r="AQ171" s="13">
        <f t="shared" si="81"/>
        <v>8</v>
      </c>
      <c r="AR171" s="173">
        <f t="shared" si="82"/>
        <v>43248</v>
      </c>
      <c r="AS171" s="752">
        <f t="shared" si="83"/>
        <v>0.32142857142857145</v>
      </c>
      <c r="AT171" s="768">
        <f t="shared" si="84"/>
        <v>64.318460732964539</v>
      </c>
      <c r="AU171" s="13">
        <f t="shared" si="85"/>
        <v>7</v>
      </c>
      <c r="AV171" s="13">
        <f t="shared" si="86"/>
        <v>6</v>
      </c>
      <c r="AW171" s="173">
        <f t="shared" si="87"/>
        <v>43262</v>
      </c>
      <c r="AX171" s="752">
        <f t="shared" si="88"/>
        <v>0.17857142857142858</v>
      </c>
      <c r="AY171" s="768">
        <f t="shared" si="89"/>
        <v>64.221763393109924</v>
      </c>
      <c r="AZ171" s="745">
        <f t="shared" si="93"/>
        <v>64.270112063037232</v>
      </c>
      <c r="BA171" s="642">
        <f t="shared" si="90"/>
        <v>0.98720781105596511</v>
      </c>
      <c r="BC171" s="11">
        <v>43257</v>
      </c>
      <c r="BD171" s="290">
        <f>[2]!FeuilCaduc*(1-Persistant)+Persistant</f>
        <v>0.91325688006199768</v>
      </c>
      <c r="BE171" s="291">
        <f>[2]!CroissVégét</f>
        <v>0.45839513154318023</v>
      </c>
      <c r="BF171" s="815">
        <f>1+[2]!Salcycl*Ksac</f>
        <v>1.0355428133436664</v>
      </c>
      <c r="BH171" s="1052">
        <f t="shared" si="91"/>
        <v>1.0929703826162663E-3</v>
      </c>
      <c r="BI171" s="11">
        <v>44353</v>
      </c>
      <c r="BJ171" s="725">
        <v>6.2185793294236631E-5</v>
      </c>
      <c r="BK171" s="725">
        <v>1.7495704510278674E-4</v>
      </c>
      <c r="BL171" s="725">
        <v>4.1240377907733323E-4</v>
      </c>
      <c r="BM171" s="725">
        <v>8.4519103972917299E-4</v>
      </c>
      <c r="BN171" s="725">
        <v>1.4657408258826447E-3</v>
      </c>
      <c r="BO171" s="726">
        <v>2.261553295495944E-3</v>
      </c>
      <c r="BP171" s="725">
        <v>3.3239423927894285E-3</v>
      </c>
      <c r="BQ171" s="725">
        <v>4.8335944331678142E-3</v>
      </c>
      <c r="BR171" s="725">
        <v>6.96948725910635E-3</v>
      </c>
      <c r="BS171" s="725">
        <v>9.842375986278502E-3</v>
      </c>
      <c r="BT171" s="725">
        <v>1.3236879661166759E-2</v>
      </c>
      <c r="BW171" s="1189">
        <f>'2018'!R\Max</f>
        <v>0</v>
      </c>
      <c r="BX171" s="1187">
        <f>'2019'!R\Max</f>
        <v>0.98720781105596511</v>
      </c>
      <c r="BY171" s="1187">
        <f>'2020'!R\Max</f>
        <v>0.39921192095276081</v>
      </c>
      <c r="BZ171" s="1187">
        <f>'2021'!R\Max</f>
        <v>0.7239795554651387</v>
      </c>
      <c r="CA171" s="1187">
        <f>'2022'!R\Max</f>
        <v>0.76380871145732487</v>
      </c>
      <c r="CB171" s="1187">
        <f>'2023'!R\Max</f>
        <v>0.7637989024230365</v>
      </c>
      <c r="CC171" s="1187">
        <f>'2024'!R\Max</f>
        <v>0.76378909289396113</v>
      </c>
      <c r="CD171" s="1187">
        <f>'2025'!R\Max</f>
        <v>0.76383782129939359</v>
      </c>
      <c r="CE171" s="1187">
        <f>'2026'!R\Max</f>
        <v>0.76383209268341734</v>
      </c>
      <c r="CF171" s="1188">
        <f>'2027'!R\Max</f>
        <v>0.76382489693259314</v>
      </c>
    </row>
    <row r="172" spans="1:84" s="6" customFormat="1" ht="11.25" x14ac:dyDescent="0.2">
      <c r="A172" s="11">
        <v>43258</v>
      </c>
      <c r="B172" s="380">
        <f>'2022'!Maxi_hp</f>
        <v>52.756129092485281</v>
      </c>
      <c r="C172" s="13">
        <f>'2022'!An_max</f>
        <v>2021</v>
      </c>
      <c r="D172" s="1061"/>
      <c r="E172" s="13"/>
      <c r="F172" s="13">
        <f t="shared" si="92"/>
        <v>13</v>
      </c>
      <c r="G172" s="13">
        <f t="shared" si="76"/>
        <v>12</v>
      </c>
      <c r="H172" s="173">
        <f t="shared" si="77"/>
        <v>43262</v>
      </c>
      <c r="I172" s="752">
        <f t="shared" si="78"/>
        <v>0.2857142857142857</v>
      </c>
      <c r="J172" s="745">
        <f t="shared" si="79"/>
        <v>64.241399416806445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4">
        <v>43258</v>
      </c>
      <c r="AP172" s="13">
        <f t="shared" si="80"/>
        <v>7</v>
      </c>
      <c r="AQ172" s="13">
        <f t="shared" si="81"/>
        <v>8</v>
      </c>
      <c r="AR172" s="173">
        <f t="shared" si="82"/>
        <v>43248</v>
      </c>
      <c r="AS172" s="752">
        <f t="shared" si="83"/>
        <v>0.35714285714285715</v>
      </c>
      <c r="AT172" s="768">
        <f t="shared" si="84"/>
        <v>64.317110058957979</v>
      </c>
      <c r="AU172" s="13">
        <f t="shared" si="85"/>
        <v>7</v>
      </c>
      <c r="AV172" s="13">
        <f t="shared" si="86"/>
        <v>6</v>
      </c>
      <c r="AW172" s="173">
        <f t="shared" si="87"/>
        <v>43262</v>
      </c>
      <c r="AX172" s="752">
        <f t="shared" si="88"/>
        <v>0.14285714285714285</v>
      </c>
      <c r="AY172" s="768">
        <f t="shared" si="89"/>
        <v>64.220408163751884</v>
      </c>
      <c r="AZ172" s="745">
        <f t="shared" si="93"/>
        <v>64.268759111354939</v>
      </c>
      <c r="BA172" s="642">
        <f t="shared" si="90"/>
        <v>0.82121699669393478</v>
      </c>
      <c r="BC172" s="11">
        <v>43258</v>
      </c>
      <c r="BD172" s="290">
        <f>[2]!FeuilCaduc*(1-Persistant)+Persistant</f>
        <v>0.91714211495018017</v>
      </c>
      <c r="BE172" s="291">
        <f>[2]!CroissVégét</f>
        <v>0.46863341037883222</v>
      </c>
      <c r="BF172" s="815">
        <f>1+[2]!Salcycl*Ksac</f>
        <v>1.0361903524916967</v>
      </c>
      <c r="BH172" s="1052">
        <f t="shared" si="91"/>
        <v>1.1090740821371767E-3</v>
      </c>
      <c r="BI172" s="11">
        <v>44354</v>
      </c>
      <c r="BJ172" s="725">
        <v>6.2836463286368937E-5</v>
      </c>
      <c r="BK172" s="725">
        <v>1.7991192182024933E-4</v>
      </c>
      <c r="BL172" s="725">
        <v>4.2020120529077406E-4</v>
      </c>
      <c r="BM172" s="725">
        <v>8.5858335202222116E-4</v>
      </c>
      <c r="BN172" s="725">
        <v>1.4859236589060505E-3</v>
      </c>
      <c r="BO172" s="726">
        <v>2.2874708009412458E-3</v>
      </c>
      <c r="BP172" s="725">
        <v>3.3479895939396102E-3</v>
      </c>
      <c r="BQ172" s="725">
        <v>4.847602102795303E-3</v>
      </c>
      <c r="BR172" s="725">
        <v>6.970193301329709E-3</v>
      </c>
      <c r="BS172" s="725">
        <v>9.8311177151818394E-3</v>
      </c>
      <c r="BT172" s="725">
        <v>1.3216744281317E-2</v>
      </c>
      <c r="BW172" s="1189">
        <f>'2018'!R\Max</f>
        <v>0</v>
      </c>
      <c r="BX172" s="1187">
        <f>'2019'!R\Max</f>
        <v>0.35090518777069701</v>
      </c>
      <c r="BY172" s="1187">
        <f>'2020'!R\Max</f>
        <v>0.44323894364904581</v>
      </c>
      <c r="BZ172" s="1187">
        <f>'2021'!R\Max</f>
        <v>0.82121699669393478</v>
      </c>
      <c r="CA172" s="1187">
        <f>'2022'!R\Max</f>
        <v>0.52132309707782376</v>
      </c>
      <c r="CB172" s="1187">
        <f>'2023'!R\Max</f>
        <v>0.52130949429223827</v>
      </c>
      <c r="CC172" s="1187">
        <f>'2024'!R\Max</f>
        <v>0.52129589117837527</v>
      </c>
      <c r="CD172" s="1187">
        <f>'2025'!R\Max</f>
        <v>0.52136386379486965</v>
      </c>
      <c r="CE172" s="1187">
        <f>'2026'!R\Max</f>
        <v>0.521355817811615</v>
      </c>
      <c r="CF172" s="1188">
        <f>'2027'!R\Max</f>
        <v>0.52134572307794802</v>
      </c>
    </row>
    <row r="173" spans="1:84" s="6" customFormat="1" ht="11.25" x14ac:dyDescent="0.2">
      <c r="A173" s="11">
        <v>43259</v>
      </c>
      <c r="B173" s="380">
        <f>'2022'!Maxi_hp</f>
        <v>64.288784503922017</v>
      </c>
      <c r="C173" s="13">
        <f>'2022'!An_max</f>
        <v>2019</v>
      </c>
      <c r="D173" s="1061"/>
      <c r="E173" s="13"/>
      <c r="F173" s="13">
        <f t="shared" si="92"/>
        <v>13</v>
      </c>
      <c r="G173" s="13">
        <f t="shared" si="76"/>
        <v>12</v>
      </c>
      <c r="H173" s="173">
        <f t="shared" si="77"/>
        <v>43262</v>
      </c>
      <c r="I173" s="752">
        <f t="shared" si="78"/>
        <v>0.21428571428571427</v>
      </c>
      <c r="J173" s="745">
        <f t="shared" si="79"/>
        <v>64.234493440043707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4">
        <v>43259</v>
      </c>
      <c r="AP173" s="13">
        <f t="shared" si="80"/>
        <v>7</v>
      </c>
      <c r="AQ173" s="13">
        <f t="shared" si="81"/>
        <v>8</v>
      </c>
      <c r="AR173" s="173">
        <f t="shared" si="82"/>
        <v>43248</v>
      </c>
      <c r="AS173" s="752">
        <f t="shared" si="83"/>
        <v>0.39285714285714285</v>
      </c>
      <c r="AT173" s="768">
        <f t="shared" si="84"/>
        <v>64.311285987828995</v>
      </c>
      <c r="AU173" s="13">
        <f t="shared" si="85"/>
        <v>7</v>
      </c>
      <c r="AV173" s="13">
        <f t="shared" si="86"/>
        <v>6</v>
      </c>
      <c r="AW173" s="173">
        <f t="shared" si="87"/>
        <v>43262</v>
      </c>
      <c r="AX173" s="752">
        <f t="shared" si="88"/>
        <v>0.10714285714285714</v>
      </c>
      <c r="AY173" s="768">
        <f t="shared" si="89"/>
        <v>64.217267219988372</v>
      </c>
      <c r="AZ173" s="745">
        <f t="shared" si="93"/>
        <v>64.264276603908684</v>
      </c>
      <c r="BA173" s="642">
        <f t="shared" si="90"/>
        <v>1.0008452010901119</v>
      </c>
      <c r="BC173" s="11">
        <v>43259</v>
      </c>
      <c r="BD173" s="290">
        <f>[2]!FeuilCaduc*(1-Persistant)+Persistant</f>
        <v>0.92096001102112868</v>
      </c>
      <c r="BE173" s="291">
        <f>[2]!CroissVégét</f>
        <v>0.4788976222853652</v>
      </c>
      <c r="BF173" s="815">
        <f>1+[2]!Salcycl*Ksac</f>
        <v>1.0368266685035215</v>
      </c>
      <c r="BH173" s="1052">
        <f t="shared" si="91"/>
        <v>1.1225830296806415E-3</v>
      </c>
      <c r="BI173" s="11">
        <v>44355</v>
      </c>
      <c r="BJ173" s="725">
        <v>6.2823019416756348E-5</v>
      </c>
      <c r="BK173" s="725">
        <v>1.8359907122048001E-4</v>
      </c>
      <c r="BL173" s="725">
        <v>4.2624096811259859E-4</v>
      </c>
      <c r="BM173" s="725">
        <v>8.694880421585313E-4</v>
      </c>
      <c r="BN173" s="725">
        <v>1.5033505690073836E-3</v>
      </c>
      <c r="BO173" s="726">
        <v>2.3107298935478434E-3</v>
      </c>
      <c r="BP173" s="725">
        <v>3.3701558144412437E-3</v>
      </c>
      <c r="BQ173" s="725">
        <v>4.8607037642933171E-3</v>
      </c>
      <c r="BR173" s="725">
        <v>6.9709384647946328E-3</v>
      </c>
      <c r="BS173" s="725">
        <v>9.8209817363101703E-3</v>
      </c>
      <c r="BT173" s="725">
        <v>1.3198835755532975E-2</v>
      </c>
      <c r="BW173" s="1189">
        <f>'2018'!R\Max</f>
        <v>0</v>
      </c>
      <c r="BX173" s="1187">
        <f>'2019'!R\Max</f>
        <v>1.0008452010901119</v>
      </c>
      <c r="BY173" s="1187">
        <f>'2020'!R\Max</f>
        <v>0.6881274442573887</v>
      </c>
      <c r="BZ173" s="1187">
        <f>'2021'!R\Max</f>
        <v>0.97698663129719132</v>
      </c>
      <c r="CA173" s="1187">
        <f>'2022'!R\Max</f>
        <v>0.36587330842803456</v>
      </c>
      <c r="CB173" s="1187">
        <f>'2023'!R\Max</f>
        <v>0.36586062066688868</v>
      </c>
      <c r="CC173" s="1187">
        <f>'2024'!R\Max</f>
        <v>0.36584793281427813</v>
      </c>
      <c r="CD173" s="1187">
        <f>'2025'!R\Max</f>
        <v>0.36591167879846459</v>
      </c>
      <c r="CE173" s="1187">
        <f>'2026'!R\Max</f>
        <v>0.3659040877916675</v>
      </c>
      <c r="CF173" s="1188">
        <f>'2027'!R\Max</f>
        <v>0.36589457012731419</v>
      </c>
    </row>
    <row r="174" spans="1:84" s="6" customFormat="1" ht="11.25" x14ac:dyDescent="0.2">
      <c r="A174" s="11">
        <v>43260</v>
      </c>
      <c r="B174" s="380">
        <f>'2022'!Maxi_hp</f>
        <v>60.786891370501721</v>
      </c>
      <c r="C174" s="13">
        <f>'2022'!An_max</f>
        <v>2021</v>
      </c>
      <c r="D174" s="1061"/>
      <c r="E174" s="13"/>
      <c r="F174" s="13">
        <f t="shared" si="92"/>
        <v>13</v>
      </c>
      <c r="G174" s="13">
        <f t="shared" si="76"/>
        <v>12</v>
      </c>
      <c r="H174" s="173">
        <f t="shared" si="77"/>
        <v>43262</v>
      </c>
      <c r="I174" s="752">
        <f t="shared" si="78"/>
        <v>0.14285714285714285</v>
      </c>
      <c r="J174" s="745">
        <f t="shared" si="79"/>
        <v>64.225072886049745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4">
        <v>43260</v>
      </c>
      <c r="AP174" s="13">
        <f t="shared" si="80"/>
        <v>7</v>
      </c>
      <c r="AQ174" s="13">
        <f t="shared" si="81"/>
        <v>8</v>
      </c>
      <c r="AR174" s="173">
        <f t="shared" si="82"/>
        <v>43248</v>
      </c>
      <c r="AS174" s="752">
        <f t="shared" si="83"/>
        <v>0.42857142857142855</v>
      </c>
      <c r="AT174" s="768">
        <f t="shared" si="84"/>
        <v>64.301166180840553</v>
      </c>
      <c r="AU174" s="13">
        <f t="shared" si="85"/>
        <v>7</v>
      </c>
      <c r="AV174" s="13">
        <f t="shared" si="86"/>
        <v>6</v>
      </c>
      <c r="AW174" s="173">
        <f t="shared" si="87"/>
        <v>43262</v>
      </c>
      <c r="AX174" s="752">
        <f t="shared" si="88"/>
        <v>7.1428571428571425E-2</v>
      </c>
      <c r="AY174" s="768">
        <f t="shared" si="89"/>
        <v>64.212627551465161</v>
      </c>
      <c r="AZ174" s="745">
        <f t="shared" si="93"/>
        <v>64.256896866152857</v>
      </c>
      <c r="BA174" s="642">
        <f t="shared" si="90"/>
        <v>0.94646667787130179</v>
      </c>
      <c r="BC174" s="11">
        <v>43260</v>
      </c>
      <c r="BD174" s="290">
        <f>[2]!FeuilCaduc*(1-Persistant)+Persistant</f>
        <v>0.92470628637046082</v>
      </c>
      <c r="BE174" s="291">
        <f>[2]!CroissVégét</f>
        <v>0.48917917157397695</v>
      </c>
      <c r="BF174" s="815">
        <f>1+[2]!Salcycl*Ksac</f>
        <v>1.0374510477284102</v>
      </c>
      <c r="BH174" s="1052">
        <f t="shared" si="91"/>
        <v>1.1335036152978384E-3</v>
      </c>
      <c r="BI174" s="11">
        <v>44356</v>
      </c>
      <c r="BJ174" s="725">
        <v>6.2146809779764332E-5</v>
      </c>
      <c r="BK174" s="725">
        <v>1.86021135708718E-4</v>
      </c>
      <c r="BL174" s="725">
        <v>4.3052695885919184E-4</v>
      </c>
      <c r="BM174" s="725">
        <v>8.7791096641270515E-4</v>
      </c>
      <c r="BN174" s="725">
        <v>1.5180287492754291E-3</v>
      </c>
      <c r="BO174" s="726">
        <v>2.3313386450255534E-3</v>
      </c>
      <c r="BP174" s="725">
        <v>3.3904490836330825E-3</v>
      </c>
      <c r="BQ174" s="725">
        <v>4.8729076478654047E-3</v>
      </c>
      <c r="BR174" s="725">
        <v>6.9717320896205371E-3</v>
      </c>
      <c r="BS174" s="725">
        <v>9.811979229888218E-3</v>
      </c>
      <c r="BT174" s="725">
        <v>1.3183167762312145E-2</v>
      </c>
      <c r="BW174" s="1189">
        <f>'2018'!R\Max</f>
        <v>0</v>
      </c>
      <c r="BX174" s="1187">
        <f>'2019'!R\Max</f>
        <v>0.80762112880527037</v>
      </c>
      <c r="BY174" s="1187">
        <f>'2020'!R\Max</f>
        <v>0.72000825997043771</v>
      </c>
      <c r="BZ174" s="1187">
        <f>'2021'!R\Max</f>
        <v>0.94646667787130179</v>
      </c>
      <c r="CA174" s="1187">
        <f>'2022'!R\Max</f>
        <v>0.75360645266662885</v>
      </c>
      <c r="CB174" s="1187">
        <f>'2023'!R\Max</f>
        <v>0.75359625832326715</v>
      </c>
      <c r="CC174" s="1187">
        <f>'2024'!R\Max</f>
        <v>0.75358606347209534</v>
      </c>
      <c r="CD174" s="1187">
        <f>'2025'!R\Max</f>
        <v>0.75363753625239194</v>
      </c>
      <c r="CE174" s="1187">
        <f>'2026'!R\Max</f>
        <v>0.75363137587018214</v>
      </c>
      <c r="CF174" s="1188">
        <f>'2027'!R\Max</f>
        <v>0.7536236527486373</v>
      </c>
    </row>
    <row r="175" spans="1:84" s="6" customFormat="1" ht="11.25" x14ac:dyDescent="0.2">
      <c r="A175" s="11">
        <v>43261</v>
      </c>
      <c r="B175" s="380">
        <f>'2022'!Maxi_hp</f>
        <v>62.838268627331253</v>
      </c>
      <c r="C175" s="13">
        <f>'2022'!An_max</f>
        <v>2022</v>
      </c>
      <c r="D175" s="1061"/>
      <c r="E175" s="13"/>
      <c r="F175" s="13">
        <f t="shared" si="92"/>
        <v>13</v>
      </c>
      <c r="G175" s="13">
        <f t="shared" si="76"/>
        <v>12</v>
      </c>
      <c r="H175" s="173">
        <f t="shared" si="77"/>
        <v>43262</v>
      </c>
      <c r="I175" s="752">
        <f t="shared" si="78"/>
        <v>7.1428571428571425E-2</v>
      </c>
      <c r="J175" s="745">
        <f t="shared" si="79"/>
        <v>64.213465743352259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4">
        <v>43261</v>
      </c>
      <c r="AP175" s="13">
        <f t="shared" si="80"/>
        <v>7</v>
      </c>
      <c r="AQ175" s="13">
        <f t="shared" si="81"/>
        <v>8</v>
      </c>
      <c r="AR175" s="173">
        <f t="shared" si="82"/>
        <v>43248</v>
      </c>
      <c r="AS175" s="752">
        <f t="shared" si="83"/>
        <v>0.4642857142857143</v>
      </c>
      <c r="AT175" s="768">
        <f t="shared" si="84"/>
        <v>64.286928297991736</v>
      </c>
      <c r="AU175" s="13">
        <f t="shared" si="85"/>
        <v>7</v>
      </c>
      <c r="AV175" s="13">
        <f t="shared" si="86"/>
        <v>6</v>
      </c>
      <c r="AW175" s="173">
        <f t="shared" si="87"/>
        <v>43262</v>
      </c>
      <c r="AX175" s="752">
        <f t="shared" si="88"/>
        <v>3.5714285714285712E-2</v>
      </c>
      <c r="AY175" s="768">
        <f t="shared" si="89"/>
        <v>64.206776148373535</v>
      </c>
      <c r="AZ175" s="745">
        <f t="shared" si="93"/>
        <v>64.246852223182628</v>
      </c>
      <c r="BA175" s="642">
        <f t="shared" si="90"/>
        <v>0.97858397611620307</v>
      </c>
      <c r="BC175" s="11">
        <v>43261</v>
      </c>
      <c r="BD175" s="290">
        <f>[2]!FeuilCaduc*(1-Persistant)+Persistant</f>
        <v>0.92837686175544398</v>
      </c>
      <c r="BE175" s="291">
        <f>[2]!CroissVégét</f>
        <v>0.499469404196</v>
      </c>
      <c r="BF175" s="815">
        <f>1+[2]!Salcycl*Ksac</f>
        <v>1.038062810292574</v>
      </c>
      <c r="BH175" s="1052">
        <f t="shared" si="91"/>
        <v>1.141842296378219E-3</v>
      </c>
      <c r="BI175" s="11">
        <v>44357</v>
      </c>
      <c r="BJ175" s="725">
        <v>6.0809180095219838E-5</v>
      </c>
      <c r="BK175" s="725">
        <v>1.8718077352339617E-4</v>
      </c>
      <c r="BL175" s="725">
        <v>4.3306309642579299E-4</v>
      </c>
      <c r="BM175" s="725">
        <v>8.8385803379862314E-4</v>
      </c>
      <c r="BN175" s="725">
        <v>1.5299654821006358E-3</v>
      </c>
      <c r="BO175" s="726">
        <v>2.3493052511908657E-3</v>
      </c>
      <c r="BP175" s="725">
        <v>3.4088775556391634E-3</v>
      </c>
      <c r="BQ175" s="725">
        <v>4.8842220681627677E-3</v>
      </c>
      <c r="BR175" s="725">
        <v>6.972583544202382E-3</v>
      </c>
      <c r="BS175" s="725">
        <v>9.804121359328977E-3</v>
      </c>
      <c r="BT175" s="725">
        <v>1.3169753937025052E-2</v>
      </c>
      <c r="BW175" s="1189">
        <f>'2018'!R\Max</f>
        <v>0</v>
      </c>
      <c r="BX175" s="1187">
        <f>'2019'!R\Max</f>
        <v>0.3369831515050617</v>
      </c>
      <c r="BY175" s="1187">
        <f>'2020'!R\Max</f>
        <v>0.42110144951587414</v>
      </c>
      <c r="BZ175" s="1187">
        <f>'2021'!R\Max</f>
        <v>0.94225027896072977</v>
      </c>
      <c r="CA175" s="1187">
        <f>'2022'!R\Max</f>
        <v>0.97858397611620307</v>
      </c>
      <c r="CB175" s="1187">
        <f>'2023'!R\Max</f>
        <v>0.97858282022624121</v>
      </c>
      <c r="CC175" s="1187">
        <f>'2024'!R\Max</f>
        <v>0.97858166424974879</v>
      </c>
      <c r="CD175" s="1187">
        <f>'2025'!R\Max</f>
        <v>0.97858752709452645</v>
      </c>
      <c r="CE175" s="1187">
        <f>'2026'!R\Max</f>
        <v>0.97858682242674155</v>
      </c>
      <c r="CF175" s="1188">
        <f>'2027'!R\Max</f>
        <v>0.97858593865795451</v>
      </c>
    </row>
    <row r="176" spans="1:84" s="6" customFormat="1" ht="11.25" x14ac:dyDescent="0.2">
      <c r="A176" s="11">
        <v>43262</v>
      </c>
      <c r="B176" s="380">
        <f>'2022'!Maxi_hp</f>
        <v>60.46388788681103</v>
      </c>
      <c r="C176" s="13">
        <f>'2022'!An_max</f>
        <v>2022</v>
      </c>
      <c r="D176" s="1061"/>
      <c r="E176" s="1056">
        <f>Y$13/10</f>
        <v>64.2</v>
      </c>
      <c r="F176" s="13">
        <f t="shared" si="92"/>
        <v>13</v>
      </c>
      <c r="G176" s="13">
        <f t="shared" si="76"/>
        <v>14</v>
      </c>
      <c r="H176" s="173">
        <f t="shared" si="77"/>
        <v>43262</v>
      </c>
      <c r="I176" s="752">
        <f t="shared" si="78"/>
        <v>0</v>
      </c>
      <c r="J176" s="745">
        <f t="shared" si="79"/>
        <v>64.199999999627465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4">
        <v>43262</v>
      </c>
      <c r="AP176" s="13">
        <f t="shared" si="80"/>
        <v>7</v>
      </c>
      <c r="AQ176" s="13">
        <f t="shared" si="81"/>
        <v>8</v>
      </c>
      <c r="AR176" s="173">
        <f t="shared" si="82"/>
        <v>43248</v>
      </c>
      <c r="AS176" s="752">
        <f t="shared" si="83"/>
        <v>0.5</v>
      </c>
      <c r="AT176" s="768">
        <f t="shared" si="84"/>
        <v>64.268749999813735</v>
      </c>
      <c r="AU176" s="13">
        <f t="shared" si="85"/>
        <v>7</v>
      </c>
      <c r="AV176" s="13">
        <f t="shared" si="86"/>
        <v>8</v>
      </c>
      <c r="AW176" s="173">
        <f t="shared" si="87"/>
        <v>43262</v>
      </c>
      <c r="AX176" s="752">
        <f t="shared" si="88"/>
        <v>0</v>
      </c>
      <c r="AY176" s="768">
        <f t="shared" si="89"/>
        <v>64.2</v>
      </c>
      <c r="AZ176" s="745">
        <f t="shared" si="93"/>
        <v>64.234374999906862</v>
      </c>
      <c r="BA176" s="642">
        <f t="shared" si="90"/>
        <v>0.94180510727666489</v>
      </c>
      <c r="BC176" s="11">
        <v>43262</v>
      </c>
      <c r="BD176" s="290">
        <f>[2]!FeuilCaduc*(1-Persistant)+Persistant</f>
        <v>0.93196787654924418</v>
      </c>
      <c r="BE176" s="291">
        <f>[2]!CroissVégét</f>
        <v>0.50975963681802305</v>
      </c>
      <c r="BF176" s="815">
        <f>1+[2]!Salcycl*Ksac</f>
        <v>1.0386613127582074</v>
      </c>
      <c r="BH176" s="1052">
        <f t="shared" si="91"/>
        <v>1.1476055627617937E-3</v>
      </c>
      <c r="BI176" s="11">
        <v>44358</v>
      </c>
      <c r="BJ176" s="725">
        <v>5.8811464714451446E-5</v>
      </c>
      <c r="BK176" s="725">
        <v>1.8708064163274035E-4</v>
      </c>
      <c r="BL176" s="725">
        <v>4.3385330359294825E-4</v>
      </c>
      <c r="BM176" s="725">
        <v>8.8733517258237423E-4</v>
      </c>
      <c r="BN176" s="725">
        <v>1.5391681021802051E-3</v>
      </c>
      <c r="BO176" s="726">
        <v>2.3646379964109799E-3</v>
      </c>
      <c r="BP176" s="725">
        <v>3.4254494843477742E-3</v>
      </c>
      <c r="BQ176" s="725">
        <v>4.8946554123465531E-3</v>
      </c>
      <c r="BR176" s="725">
        <v>6.9735022259093888E-3</v>
      </c>
      <c r="BS176" s="725">
        <v>9.7974192864805007E-3</v>
      </c>
      <c r="BT176" s="725">
        <v>1.3158607902065111E-2</v>
      </c>
      <c r="BW176" s="1189">
        <f>'2018'!R\Max</f>
        <v>0</v>
      </c>
      <c r="BX176" s="1187">
        <f>'2019'!R\Max</f>
        <v>0.54777580565738215</v>
      </c>
      <c r="BY176" s="1187">
        <f>'2020'!R\Max</f>
        <v>0.6738970248074555</v>
      </c>
      <c r="BZ176" s="1187">
        <f>'2021'!R\Max</f>
        <v>0.77267884438619949</v>
      </c>
      <c r="CA176" s="1187">
        <f>'2022'!R\Max</f>
        <v>0.94180510727666489</v>
      </c>
      <c r="CB176" s="1187">
        <f>'2023'!R\Max</f>
        <v>0.94180206848833969</v>
      </c>
      <c r="CC176" s="1187">
        <f>'2024'!R\Max</f>
        <v>0.94179902014264505</v>
      </c>
      <c r="CD176" s="1187">
        <f>'2025'!R\Max</f>
        <v>0.94181450678474865</v>
      </c>
      <c r="CE176" s="1187">
        <f>'2026'!R\Max</f>
        <v>0.94181263998833931</v>
      </c>
      <c r="CF176" s="1188">
        <f>'2027'!R\Max</f>
        <v>0.94181029667597349</v>
      </c>
    </row>
    <row r="177" spans="1:84" s="6" customFormat="1" ht="11.25" x14ac:dyDescent="0.2">
      <c r="A177" s="11">
        <v>43263</v>
      </c>
      <c r="B177" s="380">
        <f>'2022'!Maxi_hp</f>
        <v>55.539743241792053</v>
      </c>
      <c r="C177" s="13">
        <f>'2022'!An_max</f>
        <v>2019</v>
      </c>
      <c r="D177" s="1061"/>
      <c r="E177" s="13"/>
      <c r="F177" s="13">
        <f t="shared" si="92"/>
        <v>13</v>
      </c>
      <c r="G177" s="13">
        <f t="shared" si="76"/>
        <v>14</v>
      </c>
      <c r="H177" s="173">
        <f t="shared" si="77"/>
        <v>43262</v>
      </c>
      <c r="I177" s="752">
        <f t="shared" si="78"/>
        <v>7.1428571428571425E-2</v>
      </c>
      <c r="J177" s="745">
        <f t="shared" si="79"/>
        <v>64.183946792781356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4">
        <v>43263</v>
      </c>
      <c r="AP177" s="13">
        <f t="shared" si="80"/>
        <v>7</v>
      </c>
      <c r="AQ177" s="13">
        <f t="shared" si="81"/>
        <v>8</v>
      </c>
      <c r="AR177" s="173">
        <f t="shared" si="82"/>
        <v>43248</v>
      </c>
      <c r="AS177" s="752">
        <f t="shared" si="83"/>
        <v>0.5357142857142857</v>
      </c>
      <c r="AT177" s="768">
        <f t="shared" si="84"/>
        <v>64.246808946837803</v>
      </c>
      <c r="AU177" s="13">
        <f t="shared" si="85"/>
        <v>7</v>
      </c>
      <c r="AV177" s="13">
        <f t="shared" si="86"/>
        <v>8</v>
      </c>
      <c r="AW177" s="173">
        <f t="shared" si="87"/>
        <v>43262</v>
      </c>
      <c r="AX177" s="752">
        <f t="shared" si="88"/>
        <v>3.5714285714285712E-2</v>
      </c>
      <c r="AY177" s="768">
        <f t="shared" si="89"/>
        <v>64.191260477873897</v>
      </c>
      <c r="AZ177" s="745">
        <f t="shared" si="93"/>
        <v>64.21903471235585</v>
      </c>
      <c r="BA177" s="642">
        <f t="shared" si="90"/>
        <v>0.86532140849958605</v>
      </c>
      <c r="BC177" s="11">
        <v>43263</v>
      </c>
      <c r="BD177" s="290">
        <f>[2]!FeuilCaduc*(1-Persistant)+Persistant</f>
        <v>0.93547570367452659</v>
      </c>
      <c r="BE177" s="291">
        <f>[2]!CroissVégét</f>
        <v>0.52004118610663486</v>
      </c>
      <c r="BF177" s="815">
        <f>1+[2]!Salcycl*Ksac</f>
        <v>1.0392459506124212</v>
      </c>
      <c r="BH177" s="1052">
        <f t="shared" si="91"/>
        <v>1.150799901857397E-3</v>
      </c>
      <c r="BI177" s="11">
        <v>44359</v>
      </c>
      <c r="BJ177" s="725">
        <v>5.6154977626668392E-5</v>
      </c>
      <c r="BK177" s="725">
        <v>1.8572337863234005E-4</v>
      </c>
      <c r="BL177" s="725">
        <v>4.3290148333523042E-4</v>
      </c>
      <c r="BM177" s="725">
        <v>8.88348296799817E-4</v>
      </c>
      <c r="BN177" s="725">
        <v>1.5456439595311925E-3</v>
      </c>
      <c r="BO177" s="726">
        <v>2.3773452180601683E-3</v>
      </c>
      <c r="BP177" s="725">
        <v>3.4401731984084667E-3</v>
      </c>
      <c r="BQ177" s="725">
        <v>4.9042161281762451E-3</v>
      </c>
      <c r="BR177" s="725">
        <v>6.9744975618213296E-3</v>
      </c>
      <c r="BS177" s="725">
        <v>9.7918841869256493E-3</v>
      </c>
      <c r="BT177" s="725">
        <v>1.314974329706955E-2</v>
      </c>
      <c r="BW177" s="1189">
        <f>'2018'!R\Max</f>
        <v>0</v>
      </c>
      <c r="BX177" s="1187">
        <f>'2019'!R\Max</f>
        <v>0.86532140849958605</v>
      </c>
      <c r="BY177" s="1187">
        <f>'2020'!R\Max</f>
        <v>0.46006441306425239</v>
      </c>
      <c r="BZ177" s="1187">
        <f>'2021'!R\Max</f>
        <v>0.82132503023429415</v>
      </c>
      <c r="CA177" s="1187">
        <f>'2022'!R\Max</f>
        <v>0.73286990093121152</v>
      </c>
      <c r="CB177" s="1187">
        <f>'2023'!R\Max</f>
        <v>0.73285898238850411</v>
      </c>
      <c r="CC177" s="1187">
        <f>'2024'!R\Max</f>
        <v>0.73284798802843176</v>
      </c>
      <c r="CD177" s="1187">
        <f>'2025'!R\Max</f>
        <v>0.73290388323949085</v>
      </c>
      <c r="CE177" s="1187">
        <f>'2026'!R\Max</f>
        <v>0.73289713184957983</v>
      </c>
      <c r="CF177" s="1188">
        <f>'2027'!R\Max</f>
        <v>0.73288864557813926</v>
      </c>
    </row>
    <row r="178" spans="1:84" s="6" customFormat="1" ht="11.25" x14ac:dyDescent="0.2">
      <c r="A178" s="11">
        <v>43264</v>
      </c>
      <c r="B178" s="380">
        <f>'2022'!Maxi_hp</f>
        <v>65.896682461422955</v>
      </c>
      <c r="C178" s="13">
        <f>'2022'!An_max</f>
        <v>2019</v>
      </c>
      <c r="D178" s="1061"/>
      <c r="E178" s="13"/>
      <c r="F178" s="13">
        <f t="shared" si="92"/>
        <v>13</v>
      </c>
      <c r="G178" s="13">
        <f t="shared" si="76"/>
        <v>14</v>
      </c>
      <c r="H178" s="173">
        <f t="shared" si="77"/>
        <v>43262</v>
      </c>
      <c r="I178" s="752">
        <f t="shared" si="78"/>
        <v>0.14285714285714285</v>
      </c>
      <c r="J178" s="745">
        <f t="shared" si="79"/>
        <v>64.164431486385212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4">
        <v>43264</v>
      </c>
      <c r="AP178" s="13">
        <f t="shared" si="80"/>
        <v>7</v>
      </c>
      <c r="AQ178" s="13">
        <f t="shared" si="81"/>
        <v>8</v>
      </c>
      <c r="AR178" s="173">
        <f t="shared" si="82"/>
        <v>43248</v>
      </c>
      <c r="AS178" s="752">
        <f t="shared" si="83"/>
        <v>0.5714285714285714</v>
      </c>
      <c r="AT178" s="768">
        <f t="shared" si="84"/>
        <v>64.221282798477588</v>
      </c>
      <c r="AU178" s="13">
        <f t="shared" si="85"/>
        <v>7</v>
      </c>
      <c r="AV178" s="13">
        <f t="shared" si="86"/>
        <v>8</v>
      </c>
      <c r="AW178" s="173">
        <f t="shared" si="87"/>
        <v>43262</v>
      </c>
      <c r="AX178" s="752">
        <f t="shared" si="88"/>
        <v>7.1428571428571425E-2</v>
      </c>
      <c r="AY178" s="768">
        <f t="shared" si="89"/>
        <v>64.17931851374783</v>
      </c>
      <c r="AZ178" s="745">
        <f t="shared" si="93"/>
        <v>64.200300656112717</v>
      </c>
      <c r="BA178" s="642">
        <f t="shared" si="90"/>
        <v>1.0269970595064855</v>
      </c>
      <c r="BC178" s="11">
        <v>43264</v>
      </c>
      <c r="BD178" s="290">
        <f>[2]!FeuilCaduc*(1-Persistant)+Persistant</f>
        <v>0.93889696340650386</v>
      </c>
      <c r="BE178" s="291">
        <f>[2]!CroissVégét</f>
        <v>0.53030539801316789</v>
      </c>
      <c r="BF178" s="815">
        <f>1+[2]!Salcycl*Ksac</f>
        <v>1.0398161605677507</v>
      </c>
      <c r="BH178" s="1052">
        <f t="shared" si="91"/>
        <v>1.1517679101998295E-3</v>
      </c>
      <c r="BI178" s="11">
        <v>44360</v>
      </c>
      <c r="BJ178" s="725">
        <v>5.3105336734983261E-5</v>
      </c>
      <c r="BK178" s="725">
        <v>1.8343916621765957E-4</v>
      </c>
      <c r="BL178" s="725">
        <v>4.3063878612166994E-4</v>
      </c>
      <c r="BM178" s="725">
        <v>8.8738207603077199E-4</v>
      </c>
      <c r="BN178" s="725">
        <v>1.5495219095776546E-3</v>
      </c>
      <c r="BO178" s="726">
        <v>2.3870247670144881E-3</v>
      </c>
      <c r="BP178" s="725">
        <v>3.4522004245670927E-3</v>
      </c>
      <c r="BQ178" s="725">
        <v>4.9120831491603406E-3</v>
      </c>
      <c r="BR178" s="725">
        <v>6.975040766746275E-3</v>
      </c>
      <c r="BS178" s="725">
        <v>9.7874155126753074E-3</v>
      </c>
      <c r="BT178" s="725">
        <v>1.314358186974556E-2</v>
      </c>
      <c r="BW178" s="1189">
        <f>'2018'!R\Max</f>
        <v>0</v>
      </c>
      <c r="BX178" s="1187">
        <f>'2019'!R\Max</f>
        <v>1.0269970595064855</v>
      </c>
      <c r="BY178" s="1187">
        <f>'2020'!R\Max</f>
        <v>0.93264618523171361</v>
      </c>
      <c r="BZ178" s="1187">
        <f>'2021'!R\Max</f>
        <v>0.94092610487605577</v>
      </c>
      <c r="CA178" s="1187">
        <f>'2022'!R\Max</f>
        <v>0.92898568223966727</v>
      </c>
      <c r="CB178" s="1187">
        <f>'2023'!R\Max</f>
        <v>0.9289819801158804</v>
      </c>
      <c r="CC178" s="1187">
        <f>'2024'!R\Max</f>
        <v>0.92897823858848327</v>
      </c>
      <c r="CD178" s="1187">
        <f>'2025'!R\Max</f>
        <v>0.92899726498360669</v>
      </c>
      <c r="CE178" s="1187">
        <f>'2026'!R\Max</f>
        <v>0.9289949641898787</v>
      </c>
      <c r="CF178" s="1188">
        <f>'2027'!R\Max</f>
        <v>0.92899206697173664</v>
      </c>
    </row>
    <row r="179" spans="1:84" s="6" customFormat="1" ht="11.25" x14ac:dyDescent="0.2">
      <c r="A179" s="11">
        <v>43265</v>
      </c>
      <c r="B179" s="380">
        <f>'2022'!Maxi_hp</f>
        <v>55.28412997128946</v>
      </c>
      <c r="C179" s="13">
        <f>'2022'!An_max</f>
        <v>2021</v>
      </c>
      <c r="D179" s="1061"/>
      <c r="E179" s="13"/>
      <c r="F179" s="13">
        <f t="shared" si="92"/>
        <v>13</v>
      </c>
      <c r="G179" s="13">
        <f t="shared" si="76"/>
        <v>14</v>
      </c>
      <c r="H179" s="173">
        <f t="shared" si="77"/>
        <v>43262</v>
      </c>
      <c r="I179" s="752">
        <f t="shared" si="78"/>
        <v>0.21428571428571427</v>
      </c>
      <c r="J179" s="745">
        <f t="shared" si="79"/>
        <v>64.141563410444988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4">
        <v>43265</v>
      </c>
      <c r="AP179" s="13">
        <f t="shared" si="80"/>
        <v>7</v>
      </c>
      <c r="AQ179" s="13">
        <f t="shared" si="81"/>
        <v>8</v>
      </c>
      <c r="AR179" s="173">
        <f t="shared" si="82"/>
        <v>43248</v>
      </c>
      <c r="AS179" s="752">
        <f t="shared" si="83"/>
        <v>0.6071428571428571</v>
      </c>
      <c r="AT179" s="768">
        <f t="shared" si="84"/>
        <v>64.192349215863004</v>
      </c>
      <c r="AU179" s="13">
        <f t="shared" si="85"/>
        <v>7</v>
      </c>
      <c r="AV179" s="13">
        <f t="shared" si="86"/>
        <v>8</v>
      </c>
      <c r="AW179" s="173">
        <f t="shared" si="87"/>
        <v>43262</v>
      </c>
      <c r="AX179" s="752">
        <f t="shared" si="88"/>
        <v>0.10714285714285714</v>
      </c>
      <c r="AY179" s="768">
        <f t="shared" si="89"/>
        <v>64.164160441487496</v>
      </c>
      <c r="AZ179" s="745">
        <f t="shared" si="93"/>
        <v>64.17825482867525</v>
      </c>
      <c r="BA179" s="642">
        <f t="shared" si="90"/>
        <v>0.86190805199935061</v>
      </c>
      <c r="BC179" s="11">
        <v>43265</v>
      </c>
      <c r="BD179" s="290">
        <f>[2]!FeuilCaduc*(1-Persistant)+Persistant</f>
        <v>0.94222853594285483</v>
      </c>
      <c r="BE179" s="291">
        <f>[2]!CroissVégét</f>
        <v>0.54054367684881977</v>
      </c>
      <c r="BF179" s="815">
        <f>1+[2]!Salcycl*Ksac</f>
        <v>1.0403714226571426</v>
      </c>
      <c r="BH179" s="1052">
        <f t="shared" si="91"/>
        <v>1.1520134246189562E-3</v>
      </c>
      <c r="BI179" s="11">
        <v>44361</v>
      </c>
      <c r="BJ179" s="725">
        <v>5.020971239900042E-5</v>
      </c>
      <c r="BK179" s="725">
        <v>1.8108363306293805E-4</v>
      </c>
      <c r="BL179" s="725">
        <v>4.2814420212257279E-4</v>
      </c>
      <c r="BM179" s="725">
        <v>8.8585340076954226E-4</v>
      </c>
      <c r="BN179" s="725">
        <v>1.5524365951467207E-3</v>
      </c>
      <c r="BO179" s="726">
        <v>2.3953954562117943E-3</v>
      </c>
      <c r="BP179" s="725">
        <v>3.463015784260171E-3</v>
      </c>
      <c r="BQ179" s="725">
        <v>4.9192575985529292E-3</v>
      </c>
      <c r="BR179" s="725">
        <v>6.9755303643430815E-3</v>
      </c>
      <c r="BS179" s="725">
        <v>9.7828913405224351E-3</v>
      </c>
      <c r="BT179" s="725">
        <v>1.3136629095229993E-2</v>
      </c>
      <c r="BW179" s="1189">
        <f>'2018'!R\Max</f>
        <v>0</v>
      </c>
      <c r="BX179" s="1187">
        <f>'2019'!R\Max</f>
        <v>0.40834941809296832</v>
      </c>
      <c r="BY179" s="1187">
        <f>'2020'!R\Max</f>
        <v>0.67253727051071588</v>
      </c>
      <c r="BZ179" s="1187">
        <f>'2021'!R\Max</f>
        <v>0.86190805199935061</v>
      </c>
      <c r="CA179" s="1187">
        <f>'2022'!R\Max</f>
        <v>0.80345366253244366</v>
      </c>
      <c r="CB179" s="1187">
        <f>'2023'!R\Max</f>
        <v>0.80344474575428049</v>
      </c>
      <c r="CC179" s="1187">
        <f>'2024'!R\Max</f>
        <v>0.80343570262680197</v>
      </c>
      <c r="CD179" s="1187">
        <f>'2025'!R\Max</f>
        <v>0.80348169402372793</v>
      </c>
      <c r="CE179" s="1187">
        <f>'2026'!R\Max</f>
        <v>0.80347612776722066</v>
      </c>
      <c r="CF179" s="1188">
        <f>'2027'!R\Max</f>
        <v>0.80346910492282819</v>
      </c>
    </row>
    <row r="180" spans="1:84" s="6" customFormat="1" ht="11.25" x14ac:dyDescent="0.2">
      <c r="A180" s="11">
        <v>43266</v>
      </c>
      <c r="B180" s="380">
        <f>'2022'!Maxi_hp</f>
        <v>59.764706232208013</v>
      </c>
      <c r="C180" s="13">
        <f>'2022'!An_max</f>
        <v>2022</v>
      </c>
      <c r="D180" s="1061"/>
      <c r="E180" s="13"/>
      <c r="F180" s="13">
        <f t="shared" si="92"/>
        <v>13</v>
      </c>
      <c r="G180" s="13">
        <f t="shared" si="76"/>
        <v>14</v>
      </c>
      <c r="H180" s="173">
        <f t="shared" si="77"/>
        <v>43262</v>
      </c>
      <c r="I180" s="752">
        <f t="shared" si="78"/>
        <v>0.2857142857142857</v>
      </c>
      <c r="J180" s="745">
        <f t="shared" si="79"/>
        <v>64.115451894594088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4">
        <v>43266</v>
      </c>
      <c r="AP180" s="13">
        <f t="shared" si="80"/>
        <v>7</v>
      </c>
      <c r="AQ180" s="13">
        <f t="shared" si="81"/>
        <v>8</v>
      </c>
      <c r="AR180" s="173">
        <f t="shared" si="82"/>
        <v>43248</v>
      </c>
      <c r="AS180" s="752">
        <f t="shared" si="83"/>
        <v>0.6428571428571429</v>
      </c>
      <c r="AT180" s="768">
        <f t="shared" si="84"/>
        <v>64.160185859645054</v>
      </c>
      <c r="AU180" s="13">
        <f t="shared" si="85"/>
        <v>7</v>
      </c>
      <c r="AV180" s="13">
        <f t="shared" si="86"/>
        <v>8</v>
      </c>
      <c r="AW180" s="173">
        <f t="shared" si="87"/>
        <v>43262</v>
      </c>
      <c r="AX180" s="752">
        <f t="shared" si="88"/>
        <v>0.14285714285714285</v>
      </c>
      <c r="AY180" s="768">
        <f t="shared" si="89"/>
        <v>64.145772594905338</v>
      </c>
      <c r="AZ180" s="745">
        <f t="shared" si="93"/>
        <v>64.152979227275196</v>
      </c>
      <c r="BA180" s="642">
        <f t="shared" si="90"/>
        <v>0.93214201048541767</v>
      </c>
      <c r="BC180" s="11">
        <v>43266</v>
      </c>
      <c r="BD180" s="290">
        <f>[2]!FeuilCaduc*(1-Persistant)+Persistant</f>
        <v>0.94546757264626402</v>
      </c>
      <c r="BE180" s="291">
        <f>[2]!CroissVégét</f>
        <v>0.55074751394309984</v>
      </c>
      <c r="BF180" s="815">
        <f>1+[2]!Salcycl*Ksac</f>
        <v>1.0409112621077106</v>
      </c>
      <c r="BH180" s="1052">
        <f t="shared" si="91"/>
        <v>1.1515393801772101E-3</v>
      </c>
      <c r="BI180" s="11">
        <v>44362</v>
      </c>
      <c r="BJ180" s="725">
        <v>4.7467832151712458E-5</v>
      </c>
      <c r="BK180" s="725">
        <v>1.786571146736435E-4</v>
      </c>
      <c r="BL180" s="725">
        <v>4.2541870282769209E-4</v>
      </c>
      <c r="BM180" s="725">
        <v>8.8376450629295568E-4</v>
      </c>
      <c r="BN180" s="725">
        <v>1.554392004089918E-3</v>
      </c>
      <c r="BO180" s="726">
        <v>2.4024631890321277E-3</v>
      </c>
      <c r="BP180" s="725">
        <v>3.472626531133114E-3</v>
      </c>
      <c r="BQ180" s="725">
        <v>4.9257477182332171E-3</v>
      </c>
      <c r="BR180" s="725">
        <v>6.975976134989223E-3</v>
      </c>
      <c r="BS180" s="725">
        <v>9.7783252464383984E-3</v>
      </c>
      <c r="BT180" s="725">
        <v>1.312890450840134E-2</v>
      </c>
      <c r="BW180" s="1189">
        <f>'2018'!R\Max</f>
        <v>0</v>
      </c>
      <c r="BX180" s="1187">
        <f>'2019'!R\Max</f>
        <v>0.41942021510961808</v>
      </c>
      <c r="BY180" s="1187">
        <f>'2020'!R\Max</f>
        <v>0.82263335450757413</v>
      </c>
      <c r="BZ180" s="1187">
        <f>'2021'!R\Max</f>
        <v>0.84885488373076023</v>
      </c>
      <c r="CA180" s="1187">
        <f>'2022'!R\Max</f>
        <v>0.93214201048541767</v>
      </c>
      <c r="CB180" s="1187">
        <f>'2023'!R\Max</f>
        <v>0.9321384165574641</v>
      </c>
      <c r="CC180" s="1187">
        <f>'2024'!R\Max</f>
        <v>0.93213475938267842</v>
      </c>
      <c r="CD180" s="1187">
        <f>'2025'!R\Max</f>
        <v>0.93215335637672136</v>
      </c>
      <c r="CE180" s="1187">
        <f>'2026'!R\Max</f>
        <v>0.93215110475034313</v>
      </c>
      <c r="CF180" s="1188">
        <f>'2027'!R\Max</f>
        <v>0.93214825781116428</v>
      </c>
    </row>
    <row r="181" spans="1:84" s="6" customFormat="1" ht="11.25" x14ac:dyDescent="0.2">
      <c r="A181" s="11">
        <v>43267</v>
      </c>
      <c r="B181" s="380">
        <f>'2022'!Maxi_hp</f>
        <v>65.565674070131692</v>
      </c>
      <c r="C181" s="13">
        <f>'2022'!An_max</f>
        <v>2019</v>
      </c>
      <c r="D181" s="1061"/>
      <c r="E181" s="13"/>
      <c r="F181" s="13">
        <f t="shared" si="92"/>
        <v>13</v>
      </c>
      <c r="G181" s="13">
        <f t="shared" si="76"/>
        <v>14</v>
      </c>
      <c r="H181" s="173">
        <f t="shared" si="77"/>
        <v>43262</v>
      </c>
      <c r="I181" s="752">
        <f t="shared" si="78"/>
        <v>0.35714285714285715</v>
      </c>
      <c r="J181" s="745">
        <f t="shared" si="79"/>
        <v>64.086206267747485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4">
        <v>43267</v>
      </c>
      <c r="AP181" s="13">
        <f t="shared" si="80"/>
        <v>7</v>
      </c>
      <c r="AQ181" s="13">
        <f t="shared" si="81"/>
        <v>8</v>
      </c>
      <c r="AR181" s="173">
        <f t="shared" si="82"/>
        <v>43248</v>
      </c>
      <c r="AS181" s="752">
        <f t="shared" si="83"/>
        <v>0.6785714285714286</v>
      </c>
      <c r="AT181" s="768">
        <f t="shared" si="84"/>
        <v>64.124970389397021</v>
      </c>
      <c r="AU181" s="13">
        <f t="shared" si="85"/>
        <v>7</v>
      </c>
      <c r="AV181" s="13">
        <f t="shared" si="86"/>
        <v>8</v>
      </c>
      <c r="AW181" s="173">
        <f t="shared" si="87"/>
        <v>43262</v>
      </c>
      <c r="AX181" s="752">
        <f t="shared" si="88"/>
        <v>0.17857142857142858</v>
      </c>
      <c r="AY181" s="768">
        <f t="shared" si="89"/>
        <v>64.124141308199611</v>
      </c>
      <c r="AZ181" s="745">
        <f t="shared" si="93"/>
        <v>64.124555848798309</v>
      </c>
      <c r="BA181" s="642">
        <f t="shared" si="90"/>
        <v>1.0230855887490531</v>
      </c>
      <c r="BC181" s="11">
        <v>43267</v>
      </c>
      <c r="BD181" s="290">
        <f>[2]!FeuilCaduc*(1-Persistant)+Persistant</f>
        <v>0.94861150587457277</v>
      </c>
      <c r="BE181" s="291">
        <f>[2]!CroissVégét</f>
        <v>0.56090851568364364</v>
      </c>
      <c r="BF181" s="815">
        <f>1+[2]!Salcycl*Ksac</f>
        <v>1.0414352509790954</v>
      </c>
      <c r="BH181" s="1052">
        <f t="shared" si="91"/>
        <v>1.1503486786677728E-3</v>
      </c>
      <c r="BI181" s="11">
        <v>44363</v>
      </c>
      <c r="BJ181" s="725">
        <v>4.4879415855378475E-5</v>
      </c>
      <c r="BK181" s="725">
        <v>1.7615993036862142E-4</v>
      </c>
      <c r="BL181" s="725">
        <v>4.2246323505294736E-4</v>
      </c>
      <c r="BM181" s="725">
        <v>8.8111759247288125E-4</v>
      </c>
      <c r="BN181" s="725">
        <v>1.5553920942025798E-3</v>
      </c>
      <c r="BO181" s="726">
        <v>2.4082338531726611E-3</v>
      </c>
      <c r="BP181" s="725">
        <v>3.4810399249656262E-3</v>
      </c>
      <c r="BQ181" s="725">
        <v>4.9315617679709985E-3</v>
      </c>
      <c r="BR181" s="725">
        <v>6.9763878800762546E-3</v>
      </c>
      <c r="BS181" s="725">
        <v>9.7737308082056201E-3</v>
      </c>
      <c r="BT181" s="725">
        <v>1.3120427603921852E-2</v>
      </c>
      <c r="BW181" s="1189">
        <f>'2018'!R\Max</f>
        <v>0</v>
      </c>
      <c r="BX181" s="1187">
        <f>'2019'!R\Max</f>
        <v>1.0230855887490531</v>
      </c>
      <c r="BY181" s="1187">
        <f>'2020'!R\Max</f>
        <v>0.69532375428227322</v>
      </c>
      <c r="BZ181" s="1187">
        <f>'2021'!R\Max</f>
        <v>0.75783698286998302</v>
      </c>
      <c r="CA181" s="1187">
        <f>'2022'!R\Max</f>
        <v>0.88852447362467901</v>
      </c>
      <c r="CB181" s="1187">
        <f>'2023'!R\Max</f>
        <v>0.88851881063604943</v>
      </c>
      <c r="CC181" s="1187">
        <f>'2024'!R\Max</f>
        <v>0.88851302935340826</v>
      </c>
      <c r="CD181" s="1187">
        <f>'2025'!R\Max</f>
        <v>0.88854241882637797</v>
      </c>
      <c r="CE181" s="1187">
        <f>'2026'!R\Max</f>
        <v>0.88853885172789082</v>
      </c>
      <c r="CF181" s="1188">
        <f>'2027'!R\Max</f>
        <v>0.88853435065844721</v>
      </c>
    </row>
    <row r="182" spans="1:84" s="6" customFormat="1" ht="11.25" x14ac:dyDescent="0.2">
      <c r="A182" s="11">
        <v>43268</v>
      </c>
      <c r="B182" s="380">
        <f>'2022'!Maxi_hp</f>
        <v>63.498775239752014</v>
      </c>
      <c r="C182" s="13">
        <f>'2022'!An_max</f>
        <v>2019</v>
      </c>
      <c r="D182" s="1061"/>
      <c r="E182" s="13"/>
      <c r="F182" s="13">
        <f t="shared" si="92"/>
        <v>13</v>
      </c>
      <c r="G182" s="13">
        <f t="shared" si="76"/>
        <v>14</v>
      </c>
      <c r="H182" s="173">
        <f t="shared" si="77"/>
        <v>43262</v>
      </c>
      <c r="I182" s="752">
        <f t="shared" si="78"/>
        <v>0.42857142857142855</v>
      </c>
      <c r="J182" s="745">
        <f t="shared" si="79"/>
        <v>64.05393586025707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4">
        <v>43268</v>
      </c>
      <c r="AP182" s="13">
        <f t="shared" si="80"/>
        <v>7</v>
      </c>
      <c r="AQ182" s="13">
        <f t="shared" si="81"/>
        <v>8</v>
      </c>
      <c r="AR182" s="173">
        <f t="shared" si="82"/>
        <v>43248</v>
      </c>
      <c r="AS182" s="752">
        <f t="shared" si="83"/>
        <v>0.7142857142857143</v>
      </c>
      <c r="AT182" s="768">
        <f t="shared" si="84"/>
        <v>64.086880465969443</v>
      </c>
      <c r="AU182" s="13">
        <f t="shared" si="85"/>
        <v>7</v>
      </c>
      <c r="AV182" s="13">
        <f t="shared" si="86"/>
        <v>8</v>
      </c>
      <c r="AW182" s="173">
        <f t="shared" si="87"/>
        <v>43262</v>
      </c>
      <c r="AX182" s="752">
        <f t="shared" si="88"/>
        <v>0.21428571428571427</v>
      </c>
      <c r="AY182" s="768">
        <f t="shared" si="89"/>
        <v>64.099252915861342</v>
      </c>
      <c r="AZ182" s="745">
        <f t="shared" si="93"/>
        <v>64.093066690915393</v>
      </c>
      <c r="BA182" s="642">
        <f t="shared" si="90"/>
        <v>0.99133291946780255</v>
      </c>
      <c r="BC182" s="11">
        <v>43268</v>
      </c>
      <c r="BD182" s="290">
        <f>[2]!FeuilCaduc*(1-Persistant)+Persistant</f>
        <v>0.95165805732362552</v>
      </c>
      <c r="BE182" s="291">
        <f>[2]!CroissVégét</f>
        <v>0.57101843074296321</v>
      </c>
      <c r="BF182" s="815">
        <f>1+[2]!Salcycl*Ksac</f>
        <v>1.0419430095539377</v>
      </c>
      <c r="BH182" s="1052">
        <f t="shared" si="91"/>
        <v>1.1484441786799022E-3</v>
      </c>
      <c r="BI182" s="11">
        <v>44364</v>
      </c>
      <c r="BJ182" s="725">
        <v>4.2444177741509589E-5</v>
      </c>
      <c r="BK182" s="725">
        <v>1.7359238225236567E-4</v>
      </c>
      <c r="BL182" s="725">
        <v>4.1927871770245165E-4</v>
      </c>
      <c r="BM182" s="725">
        <v>8.7791481601418801E-4</v>
      </c>
      <c r="BN182" s="725">
        <v>1.5554407800205628E-3</v>
      </c>
      <c r="BO182" s="726">
        <v>2.4127133027532967E-3</v>
      </c>
      <c r="BP182" s="725">
        <v>3.4882632150301262E-3</v>
      </c>
      <c r="BQ182" s="725">
        <v>4.9367080156375353E-3</v>
      </c>
      <c r="BR182" s="725">
        <v>6.9767754205884332E-3</v>
      </c>
      <c r="BS182" s="725">
        <v>9.7691216036035738E-3</v>
      </c>
      <c r="BT182" s="725">
        <v>1.311121782404083E-2</v>
      </c>
      <c r="BW182" s="1189">
        <f>'2018'!R\Max</f>
        <v>0</v>
      </c>
      <c r="BX182" s="1187">
        <f>'2019'!R\Max</f>
        <v>0.99133291946780255</v>
      </c>
      <c r="BY182" s="1187">
        <f>'2020'!R\Max</f>
        <v>0.48179653488950963</v>
      </c>
      <c r="BZ182" s="1187">
        <f>'2021'!R\Max</f>
        <v>0.26633556619752935</v>
      </c>
      <c r="CA182" s="1187">
        <f>'2022'!R\Max</f>
        <v>0.89902216242049382</v>
      </c>
      <c r="CB182" s="1187">
        <f>'2023'!R\Max</f>
        <v>0.89901693948569683</v>
      </c>
      <c r="CC182" s="1187">
        <f>'2024'!R\Max</f>
        <v>0.89901159079332027</v>
      </c>
      <c r="CD182" s="1187">
        <f>'2025'!R\Max</f>
        <v>0.89903876728152787</v>
      </c>
      <c r="CE182" s="1187">
        <f>'2026'!R\Max</f>
        <v>0.89903546112383514</v>
      </c>
      <c r="CF182" s="1188">
        <f>'2027'!R\Max</f>
        <v>0.89903129891687406</v>
      </c>
    </row>
    <row r="183" spans="1:84" s="6" customFormat="1" ht="11.25" x14ac:dyDescent="0.2">
      <c r="A183" s="11">
        <v>43269</v>
      </c>
      <c r="B183" s="380">
        <f>'2022'!Maxi_hp</f>
        <v>60.833252001548445</v>
      </c>
      <c r="C183" s="13">
        <f>'2022'!An_max</f>
        <v>2019</v>
      </c>
      <c r="D183" s="1061"/>
      <c r="E183" s="13"/>
      <c r="F183" s="13">
        <f t="shared" si="92"/>
        <v>13</v>
      </c>
      <c r="G183" s="13">
        <f t="shared" si="76"/>
        <v>14</v>
      </c>
      <c r="H183" s="173">
        <f t="shared" si="77"/>
        <v>43262</v>
      </c>
      <c r="I183" s="752">
        <f t="shared" si="78"/>
        <v>0.5</v>
      </c>
      <c r="J183" s="745">
        <f t="shared" si="79"/>
        <v>64.018749999813735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4">
        <v>43269</v>
      </c>
      <c r="AP183" s="13">
        <f t="shared" si="80"/>
        <v>7</v>
      </c>
      <c r="AQ183" s="13">
        <f t="shared" si="81"/>
        <v>8</v>
      </c>
      <c r="AR183" s="173">
        <f t="shared" si="82"/>
        <v>43248</v>
      </c>
      <c r="AS183" s="752">
        <f t="shared" si="83"/>
        <v>0.75</v>
      </c>
      <c r="AT183" s="768">
        <f t="shared" si="84"/>
        <v>64.046093749534336</v>
      </c>
      <c r="AU183" s="13">
        <f t="shared" si="85"/>
        <v>7</v>
      </c>
      <c r="AV183" s="13">
        <f t="shared" si="86"/>
        <v>8</v>
      </c>
      <c r="AW183" s="173">
        <f t="shared" si="87"/>
        <v>43262</v>
      </c>
      <c r="AX183" s="752">
        <f t="shared" si="88"/>
        <v>0.25</v>
      </c>
      <c r="AY183" s="768">
        <f t="shared" si="89"/>
        <v>64.071093750558788</v>
      </c>
      <c r="AZ183" s="745">
        <f t="shared" si="93"/>
        <v>64.058593750046555</v>
      </c>
      <c r="BA183" s="642">
        <f t="shared" si="90"/>
        <v>0.95024117155872989</v>
      </c>
      <c r="BC183" s="11">
        <v>43269</v>
      </c>
      <c r="BD183" s="290">
        <f>[2]!FeuilCaduc*(1-Persistant)+Persistant</f>
        <v>0.95460524481874343</v>
      </c>
      <c r="BE183" s="291">
        <f>[2]!CroissVégét</f>
        <v>0.5810691763075071</v>
      </c>
      <c r="BF183" s="815">
        <f>1+[2]!Salcycl*Ksac</f>
        <v>1.0424342074697905</v>
      </c>
      <c r="BH183" s="1052">
        <f t="shared" si="91"/>
        <v>1.1458286857010387E-3</v>
      </c>
      <c r="BI183" s="11">
        <v>44365</v>
      </c>
      <c r="BJ183" s="725">
        <v>4.0161828452370179E-5</v>
      </c>
      <c r="BK183" s="725">
        <v>1.7095475419299394E-4</v>
      </c>
      <c r="BL183" s="725">
        <v>4.158660385441249E-4</v>
      </c>
      <c r="BM183" s="725">
        <v>8.7415828272092988E-4</v>
      </c>
      <c r="BN183" s="725">
        <v>1.5545419196666208E-3</v>
      </c>
      <c r="BO183" s="726">
        <v>2.4159073404990089E-3</v>
      </c>
      <c r="BP183" s="725">
        <v>3.4943036235611088E-3</v>
      </c>
      <c r="BQ183" s="725">
        <v>4.9411947275738071E-3</v>
      </c>
      <c r="BR183" s="725">
        <v>6.9771485959041514E-3</v>
      </c>
      <c r="BS183" s="725">
        <v>9.7645112089071867E-3</v>
      </c>
      <c r="BT183" s="725">
        <v>1.310129454681736E-2</v>
      </c>
      <c r="BW183" s="1189">
        <f>'2018'!R\Max</f>
        <v>0</v>
      </c>
      <c r="BX183" s="1187">
        <f>'2019'!R\Max</f>
        <v>0.95024117155872989</v>
      </c>
      <c r="BY183" s="1187">
        <f>'2020'!R\Max</f>
        <v>0.87869176731106313</v>
      </c>
      <c r="BZ183" s="1187">
        <f>'2021'!R\Max</f>
        <v>0.71412490868166134</v>
      </c>
      <c r="CA183" s="1187">
        <f>'2022'!R\Max</f>
        <v>0.93967706618870894</v>
      </c>
      <c r="CB183" s="1187">
        <f>'2023'!R\Max</f>
        <v>0.93967378440428029</v>
      </c>
      <c r="CC183" s="1187">
        <f>'2024'!R\Max</f>
        <v>0.93967041344671909</v>
      </c>
      <c r="CD183" s="1187">
        <f>'2025'!R\Max</f>
        <v>0.93968752881450535</v>
      </c>
      <c r="CE183" s="1187">
        <f>'2026'!R\Max</f>
        <v>0.93968544263906051</v>
      </c>
      <c r="CF183" s="1188">
        <f>'2027'!R\Max</f>
        <v>0.93968282183986163</v>
      </c>
    </row>
    <row r="184" spans="1:84" s="6" customFormat="1" ht="11.25" x14ac:dyDescent="0.2">
      <c r="A184" s="11">
        <v>43270</v>
      </c>
      <c r="B184" s="380">
        <f>'2022'!Maxi_hp</f>
        <v>61.659826867162181</v>
      </c>
      <c r="C184" s="13">
        <f>'2022'!An_max</f>
        <v>2022</v>
      </c>
      <c r="D184" s="1061"/>
      <c r="E184" s="13"/>
      <c r="F184" s="13">
        <f t="shared" si="92"/>
        <v>13</v>
      </c>
      <c r="G184" s="13">
        <f t="shared" si="76"/>
        <v>14</v>
      </c>
      <c r="H184" s="173">
        <f t="shared" si="77"/>
        <v>43262</v>
      </c>
      <c r="I184" s="752">
        <f t="shared" si="78"/>
        <v>0.5714285714285714</v>
      </c>
      <c r="J184" s="745">
        <f t="shared" si="79"/>
        <v>63.980758017514439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4">
        <v>43270</v>
      </c>
      <c r="AP184" s="13">
        <f t="shared" si="80"/>
        <v>7</v>
      </c>
      <c r="AQ184" s="13">
        <f t="shared" si="81"/>
        <v>8</v>
      </c>
      <c r="AR184" s="173">
        <f t="shared" si="82"/>
        <v>43248</v>
      </c>
      <c r="AS184" s="752">
        <f t="shared" si="83"/>
        <v>0.7857142857142857</v>
      </c>
      <c r="AT184" s="768">
        <f t="shared" si="84"/>
        <v>64.002787900609633</v>
      </c>
      <c r="AU184" s="13">
        <f t="shared" si="85"/>
        <v>7</v>
      </c>
      <c r="AV184" s="13">
        <f t="shared" si="86"/>
        <v>8</v>
      </c>
      <c r="AW184" s="173">
        <f t="shared" si="87"/>
        <v>43262</v>
      </c>
      <c r="AX184" s="752">
        <f t="shared" si="88"/>
        <v>0.2857142857142857</v>
      </c>
      <c r="AY184" s="768">
        <f t="shared" si="89"/>
        <v>64.039650145758472</v>
      </c>
      <c r="AZ184" s="745">
        <f t="shared" si="93"/>
        <v>64.021219023184045</v>
      </c>
      <c r="BA184" s="642">
        <f t="shared" si="90"/>
        <v>0.96372454434320842</v>
      </c>
      <c r="BC184" s="11">
        <v>43270</v>
      </c>
      <c r="BD184" s="290">
        <f>[2]!FeuilCaduc*(1-Persistant)+Persistant</f>
        <v>0.95745138750225678</v>
      </c>
      <c r="BE184" s="291">
        <f>[2]!CroissVégét</f>
        <v>0.5910528631363321</v>
      </c>
      <c r="BF184" s="815">
        <f>1+[2]!Salcycl*Ksac</f>
        <v>1.0429085645837095</v>
      </c>
      <c r="BH184" s="1052">
        <f t="shared" si="91"/>
        <v>1.1428398979094294E-3</v>
      </c>
      <c r="BI184" s="11">
        <v>44366</v>
      </c>
      <c r="BJ184" s="725">
        <v>3.8295474011935916E-5</v>
      </c>
      <c r="BK184" s="725">
        <v>1.6857372900002678E-4</v>
      </c>
      <c r="BL184" s="725">
        <v>4.1265182838789278E-4</v>
      </c>
      <c r="BM184" s="725">
        <v>8.7032714694873427E-4</v>
      </c>
      <c r="BN184" s="725">
        <v>1.5528203982518168E-3</v>
      </c>
      <c r="BO184" s="726">
        <v>2.4174126500170348E-3</v>
      </c>
      <c r="BP184" s="725">
        <v>3.4983147119674735E-3</v>
      </c>
      <c r="BQ184" s="725">
        <v>4.9442035344354051E-3</v>
      </c>
      <c r="BR184" s="725">
        <v>6.9769809263097345E-3</v>
      </c>
      <c r="BS184" s="725">
        <v>9.7598018403999409E-3</v>
      </c>
      <c r="BT184" s="725">
        <v>1.3091083689171194E-2</v>
      </c>
      <c r="BW184" s="1189">
        <f>'2018'!R\Max</f>
        <v>0</v>
      </c>
      <c r="BX184" s="1187">
        <f>'2019'!R\Max</f>
        <v>0.80959334547980688</v>
      </c>
      <c r="BY184" s="1187">
        <f>'2020'!R\Max</f>
        <v>0.78993816185727872</v>
      </c>
      <c r="BZ184" s="1187">
        <f>'2021'!R\Max</f>
        <v>0.55745572497076901</v>
      </c>
      <c r="CA184" s="1187">
        <f>'2022'!R\Max</f>
        <v>0.96372454434320842</v>
      </c>
      <c r="CB184" s="1187">
        <f>'2023'!R\Max</f>
        <v>0.96372250835854689</v>
      </c>
      <c r="CC184" s="1187">
        <f>'2024'!R\Max</f>
        <v>0.96372041083237869</v>
      </c>
      <c r="CD184" s="1187">
        <f>'2025'!R\Max</f>
        <v>0.9637310494274397</v>
      </c>
      <c r="CE184" s="1187">
        <f>'2026'!R\Max</f>
        <v>0.96372975074325939</v>
      </c>
      <c r="CF184" s="1188">
        <f>'2027'!R\Max</f>
        <v>0.96372812253382001</v>
      </c>
    </row>
    <row r="185" spans="1:84" s="6" customFormat="1" ht="11.25" x14ac:dyDescent="0.2">
      <c r="A185" s="11">
        <v>43271</v>
      </c>
      <c r="B185" s="380">
        <f>'2022'!Maxi_hp</f>
        <v>56.819376844927362</v>
      </c>
      <c r="C185" s="13">
        <f>'2022'!An_max</f>
        <v>2020</v>
      </c>
      <c r="D185" s="1061"/>
      <c r="E185" s="13"/>
      <c r="F185" s="13">
        <f t="shared" si="92"/>
        <v>13</v>
      </c>
      <c r="G185" s="13">
        <f t="shared" si="76"/>
        <v>14</v>
      </c>
      <c r="H185" s="173">
        <f t="shared" si="77"/>
        <v>43262</v>
      </c>
      <c r="I185" s="752">
        <f t="shared" si="78"/>
        <v>0.6428571428571429</v>
      </c>
      <c r="J185" s="745">
        <f t="shared" si="79"/>
        <v>63.94006924187498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4">
        <v>43271</v>
      </c>
      <c r="AP185" s="13">
        <f t="shared" si="80"/>
        <v>7</v>
      </c>
      <c r="AQ185" s="13">
        <f t="shared" si="81"/>
        <v>8</v>
      </c>
      <c r="AR185" s="173">
        <f t="shared" si="82"/>
        <v>43248</v>
      </c>
      <c r="AS185" s="752">
        <f t="shared" si="83"/>
        <v>0.8214285714285714</v>
      </c>
      <c r="AT185" s="768">
        <f t="shared" si="84"/>
        <v>63.957140578901658</v>
      </c>
      <c r="AU185" s="13">
        <f t="shared" si="85"/>
        <v>7</v>
      </c>
      <c r="AV185" s="13">
        <f t="shared" si="86"/>
        <v>8</v>
      </c>
      <c r="AW185" s="173">
        <f t="shared" si="87"/>
        <v>43262</v>
      </c>
      <c r="AX185" s="752">
        <f t="shared" si="88"/>
        <v>0.32142857142857145</v>
      </c>
      <c r="AY185" s="768">
        <f t="shared" si="89"/>
        <v>64.004908436550096</v>
      </c>
      <c r="AZ185" s="745">
        <f t="shared" si="93"/>
        <v>63.981024507725877</v>
      </c>
      <c r="BA185" s="642">
        <f t="shared" si="90"/>
        <v>0.88863489700001441</v>
      </c>
      <c r="BC185" s="11">
        <v>43271</v>
      </c>
      <c r="BD185" s="290">
        <f>[2]!FeuilCaduc*(1-Persistant)+Persistant</f>
        <v>0.96019510937659969</v>
      </c>
      <c r="BE185" s="291">
        <f>[2]!CroissVégét</f>
        <v>0.60096181929049675</v>
      </c>
      <c r="BF185" s="815">
        <f>1+[2]!Salcycl*Ksac</f>
        <v>1.0433658515627666</v>
      </c>
      <c r="BH185" s="1052">
        <f t="shared" si="91"/>
        <v>1.1405406282745173E-3</v>
      </c>
      <c r="BI185" s="11">
        <v>44367</v>
      </c>
      <c r="BJ185" s="725">
        <v>3.6958253255483066E-5</v>
      </c>
      <c r="BK185" s="725">
        <v>1.668502808603867E-4</v>
      </c>
      <c r="BL185" s="725">
        <v>4.1029828680553925E-4</v>
      </c>
      <c r="BM185" s="725">
        <v>8.6746663866297516E-4</v>
      </c>
      <c r="BN185" s="725">
        <v>1.5513654814116808E-3</v>
      </c>
      <c r="BO185" s="726">
        <v>2.4181338754439524E-3</v>
      </c>
      <c r="BP185" s="725">
        <v>3.5006660449036766E-3</v>
      </c>
      <c r="BQ185" s="725">
        <v>4.9456287293846348E-3</v>
      </c>
      <c r="BR185" s="725">
        <v>6.975843057298755E-3</v>
      </c>
      <c r="BS185" s="725">
        <v>9.7550173668316999E-3</v>
      </c>
      <c r="BT185" s="725">
        <v>1.3081887763183656E-2</v>
      </c>
      <c r="BW185" s="1189">
        <f>'2018'!R\Max</f>
        <v>0</v>
      </c>
      <c r="BX185" s="1187">
        <f>'2019'!R\Max</f>
        <v>0.42854842128394394</v>
      </c>
      <c r="BY185" s="1187">
        <f>'2020'!R\Max</f>
        <v>0.88863489700001441</v>
      </c>
      <c r="BZ185" s="1187">
        <f>'2021'!R\Max</f>
        <v>0.59707007015988689</v>
      </c>
      <c r="CA185" s="1187">
        <f>'2022'!R\Max</f>
        <v>0.56939036106926832</v>
      </c>
      <c r="CB185" s="1187">
        <f>'2023'!R\Max</f>
        <v>0.56937601058913656</v>
      </c>
      <c r="CC185" s="1187">
        <f>'2024'!R\Max</f>
        <v>0.56936118309216421</v>
      </c>
      <c r="CD185" s="1187">
        <f>'2025'!R\Max</f>
        <v>0.56943630210711293</v>
      </c>
      <c r="CE185" s="1187">
        <f>'2026'!R\Max</f>
        <v>0.56942711775383903</v>
      </c>
      <c r="CF185" s="1188">
        <f>'2027'!R\Max</f>
        <v>0.56941562848908045</v>
      </c>
    </row>
    <row r="186" spans="1:84" s="6" customFormat="1" ht="11.25" x14ac:dyDescent="0.2">
      <c r="A186" s="11">
        <v>43272</v>
      </c>
      <c r="B186" s="380">
        <f>'2022'!Maxi_hp</f>
        <v>51.722405668054598</v>
      </c>
      <c r="C186" s="13">
        <f>'2022'!An_max</f>
        <v>2020</v>
      </c>
      <c r="D186" s="1061"/>
      <c r="E186" s="13"/>
      <c r="F186" s="13">
        <f t="shared" si="92"/>
        <v>13</v>
      </c>
      <c r="G186" s="13">
        <f t="shared" si="76"/>
        <v>14</v>
      </c>
      <c r="H186" s="173">
        <f t="shared" si="77"/>
        <v>43262</v>
      </c>
      <c r="I186" s="752">
        <f t="shared" si="78"/>
        <v>0.7142857142857143</v>
      </c>
      <c r="J186" s="745">
        <f t="shared" si="79"/>
        <v>63.896793003273864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4">
        <v>43272</v>
      </c>
      <c r="AP186" s="13">
        <f t="shared" si="80"/>
        <v>7</v>
      </c>
      <c r="AQ186" s="13">
        <f t="shared" si="81"/>
        <v>8</v>
      </c>
      <c r="AR186" s="173">
        <f t="shared" si="82"/>
        <v>43248</v>
      </c>
      <c r="AS186" s="752">
        <f t="shared" si="83"/>
        <v>0.8571428571428571</v>
      </c>
      <c r="AT186" s="768">
        <f t="shared" si="84"/>
        <v>63.909329445979424</v>
      </c>
      <c r="AU186" s="13">
        <f t="shared" si="85"/>
        <v>7</v>
      </c>
      <c r="AV186" s="13">
        <f t="shared" si="86"/>
        <v>8</v>
      </c>
      <c r="AW186" s="173">
        <f t="shared" si="87"/>
        <v>43262</v>
      </c>
      <c r="AX186" s="752">
        <f t="shared" si="88"/>
        <v>0.35714285714285715</v>
      </c>
      <c r="AY186" s="768">
        <f t="shared" si="89"/>
        <v>63.96685495679931</v>
      </c>
      <c r="AZ186" s="745">
        <f t="shared" si="93"/>
        <v>63.938092201389367</v>
      </c>
      <c r="BA186" s="642">
        <f t="shared" si="90"/>
        <v>0.8094679441173912</v>
      </c>
      <c r="BC186" s="11">
        <v>43272</v>
      </c>
      <c r="BD186" s="290">
        <f>[2]!FeuilCaduc*(1-Persistant)+Persistant</f>
        <v>0.96283534117497305</v>
      </c>
      <c r="BE186" s="291">
        <f>[2]!CroissVégét</f>
        <v>0.61078861238975013</v>
      </c>
      <c r="BF186" s="815">
        <f>1+[2]!Salcycl*Ksac</f>
        <v>1.0438058901958289</v>
      </c>
      <c r="BH186" s="1052">
        <f t="shared" si="91"/>
        <v>1.1389312572698696E-3</v>
      </c>
      <c r="BI186" s="11">
        <v>44368</v>
      </c>
      <c r="BJ186" s="725">
        <v>3.614929068726815E-5</v>
      </c>
      <c r="BK186" s="725">
        <v>1.6578349016221612E-4</v>
      </c>
      <c r="BL186" s="725">
        <v>4.0880447744360724E-4</v>
      </c>
      <c r="BM186" s="725">
        <v>8.6557626556828813E-4</v>
      </c>
      <c r="BN186" s="725">
        <v>1.5501788626528104E-3</v>
      </c>
      <c r="BO186" s="726">
        <v>2.4180757580766145E-3</v>
      </c>
      <c r="BP186" s="725">
        <v>3.5013654053419369E-3</v>
      </c>
      <c r="BQ186" s="725">
        <v>4.9454799743755577E-3</v>
      </c>
      <c r="BR186" s="725">
        <v>6.9737464036582824E-3</v>
      </c>
      <c r="BS186" s="725">
        <v>9.7501715054196247E-3</v>
      </c>
      <c r="BT186" s="725">
        <v>1.3073723209757604E-2</v>
      </c>
      <c r="BW186" s="1189">
        <f>'2018'!R\Max</f>
        <v>0</v>
      </c>
      <c r="BX186" s="1187">
        <f>'2019'!R\Max</f>
        <v>0.18746602789277228</v>
      </c>
      <c r="BY186" s="1187">
        <f>'2020'!R\Max</f>
        <v>0.8094679441173912</v>
      </c>
      <c r="BZ186" s="1187">
        <f>'2021'!R\Max</f>
        <v>0.60415763640781917</v>
      </c>
      <c r="CA186" s="1187">
        <f>'2022'!R\Max</f>
        <v>0.39833540756428071</v>
      </c>
      <c r="CB186" s="1187">
        <f>'2023'!R\Max</f>
        <v>0.3983213223900603</v>
      </c>
      <c r="CC186" s="1187">
        <f>'2024'!R\Max</f>
        <v>0.39830672560768526</v>
      </c>
      <c r="CD186" s="1187">
        <f>'2025'!R\Max</f>
        <v>0.39838057184423081</v>
      </c>
      <c r="CE186" s="1187">
        <f>'2026'!R\Max</f>
        <v>0.39837153014244309</v>
      </c>
      <c r="CF186" s="1188">
        <f>'2027'!R\Max</f>
        <v>0.39836024590056857</v>
      </c>
    </row>
    <row r="187" spans="1:84" s="6" customFormat="1" ht="11.25" x14ac:dyDescent="0.2">
      <c r="A187" s="11">
        <v>43273</v>
      </c>
      <c r="B187" s="380">
        <f>'2022'!Maxi_hp</f>
        <v>65.775267938024328</v>
      </c>
      <c r="C187" s="13">
        <f>'2022'!An_max</f>
        <v>2020</v>
      </c>
      <c r="D187" s="1061"/>
      <c r="E187" s="13"/>
      <c r="F187" s="13">
        <f t="shared" si="92"/>
        <v>13</v>
      </c>
      <c r="G187" s="13">
        <f t="shared" si="76"/>
        <v>14</v>
      </c>
      <c r="H187" s="173">
        <f t="shared" si="77"/>
        <v>43262</v>
      </c>
      <c r="I187" s="752">
        <f t="shared" si="78"/>
        <v>0.7857142857142857</v>
      </c>
      <c r="J187" s="745">
        <f t="shared" si="79"/>
        <v>63.851038629960797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4">
        <v>43273</v>
      </c>
      <c r="AP187" s="13">
        <f t="shared" si="80"/>
        <v>7</v>
      </c>
      <c r="AQ187" s="13">
        <f t="shared" si="81"/>
        <v>8</v>
      </c>
      <c r="AR187" s="173">
        <f t="shared" si="82"/>
        <v>43248</v>
      </c>
      <c r="AS187" s="752">
        <f t="shared" si="83"/>
        <v>0.8928571428571429</v>
      </c>
      <c r="AT187" s="768">
        <f t="shared" si="84"/>
        <v>63.859532160298635</v>
      </c>
      <c r="AU187" s="13">
        <f t="shared" si="85"/>
        <v>7</v>
      </c>
      <c r="AV187" s="13">
        <f t="shared" si="86"/>
        <v>8</v>
      </c>
      <c r="AW187" s="173">
        <f t="shared" si="87"/>
        <v>43262</v>
      </c>
      <c r="AX187" s="752">
        <f t="shared" si="88"/>
        <v>0.39285714285714285</v>
      </c>
      <c r="AY187" s="768">
        <f t="shared" si="89"/>
        <v>63.925476038815191</v>
      </c>
      <c r="AZ187" s="745">
        <f t="shared" si="93"/>
        <v>63.892504099556916</v>
      </c>
      <c r="BA187" s="642">
        <f t="shared" si="90"/>
        <v>1.0301362256488122</v>
      </c>
      <c r="BC187" s="11">
        <v>43273</v>
      </c>
      <c r="BD187" s="290">
        <f>[2]!FeuilCaduc*(1-Persistant)+Persistant</f>
        <v>0.96537132054442232</v>
      </c>
      <c r="BE187" s="291">
        <f>[2]!CroissVégét</f>
        <v>0.62052607026992535</v>
      </c>
      <c r="BF187" s="815">
        <f>1+[2]!Salcycl*Ksac</f>
        <v>1.0442285534240705</v>
      </c>
      <c r="BH187" s="1052">
        <f t="shared" si="91"/>
        <v>1.1380122246394484E-3</v>
      </c>
      <c r="BI187" s="11">
        <v>44369</v>
      </c>
      <c r="BJ187" s="725">
        <v>3.5867757417605137E-5</v>
      </c>
      <c r="BK187" s="725">
        <v>1.6537249505112732E-4</v>
      </c>
      <c r="BL187" s="725">
        <v>4.0816953928749308E-4</v>
      </c>
      <c r="BM187" s="725">
        <v>8.6465561979162772E-4</v>
      </c>
      <c r="BN187" s="725">
        <v>1.5492622569125069E-3</v>
      </c>
      <c r="BO187" s="726">
        <v>2.417242966839454E-3</v>
      </c>
      <c r="BP187" s="725">
        <v>3.5004204252219711E-3</v>
      </c>
      <c r="BQ187" s="725">
        <v>4.9437667851092732E-3</v>
      </c>
      <c r="BR187" s="725">
        <v>6.9707022852913596E-3</v>
      </c>
      <c r="BS187" s="725">
        <v>9.7452779537000565E-3</v>
      </c>
      <c r="BT187" s="725">
        <v>1.3066606541773837E-2</v>
      </c>
      <c r="BW187" s="1189">
        <f>'2018'!R\Max</f>
        <v>0</v>
      </c>
      <c r="BX187" s="1187">
        <f>'2019'!R\Max</f>
        <v>0.934783127411419</v>
      </c>
      <c r="BY187" s="1187">
        <f>'2020'!R\Max</f>
        <v>1.0301362256488122</v>
      </c>
      <c r="BZ187" s="1187">
        <f>'2021'!R\Max</f>
        <v>0.62866867678314386</v>
      </c>
      <c r="CA187" s="1187">
        <f>'2022'!R\Max</f>
        <v>0.75000355527535223</v>
      </c>
      <c r="CB187" s="1187">
        <f>'2023'!R\Max</f>
        <v>0.74999249989386019</v>
      </c>
      <c r="CC187" s="1187">
        <f>'2024'!R\Max</f>
        <v>0.74998100735969842</v>
      </c>
      <c r="CD187" s="1187">
        <f>'2025'!R\Max</f>
        <v>0.7500390461489066</v>
      </c>
      <c r="CE187" s="1187">
        <f>'2026'!R\Max</f>
        <v>0.75003193131607859</v>
      </c>
      <c r="CF187" s="1188">
        <f>'2027'!R\Max</f>
        <v>0.75002307357989162</v>
      </c>
    </row>
    <row r="188" spans="1:84" s="6" customFormat="1" ht="11.25" x14ac:dyDescent="0.2">
      <c r="A188" s="11">
        <v>43274</v>
      </c>
      <c r="B188" s="380">
        <f>'2022'!Maxi_hp</f>
        <v>56.866605968442144</v>
      </c>
      <c r="C188" s="13">
        <f>'2022'!An_max</f>
        <v>2019</v>
      </c>
      <c r="D188" s="1061"/>
      <c r="E188" s="13"/>
      <c r="F188" s="13">
        <f t="shared" si="92"/>
        <v>13</v>
      </c>
      <c r="G188" s="13">
        <f t="shared" si="76"/>
        <v>14</v>
      </c>
      <c r="H188" s="173">
        <f t="shared" si="77"/>
        <v>43262</v>
      </c>
      <c r="I188" s="752">
        <f t="shared" si="78"/>
        <v>0.8571428571428571</v>
      </c>
      <c r="J188" s="745">
        <f t="shared" si="79"/>
        <v>63.802915451622439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4">
        <v>43274</v>
      </c>
      <c r="AP188" s="13">
        <f t="shared" si="80"/>
        <v>7</v>
      </c>
      <c r="AQ188" s="13">
        <f t="shared" si="81"/>
        <v>8</v>
      </c>
      <c r="AR188" s="173">
        <f t="shared" si="82"/>
        <v>43248</v>
      </c>
      <c r="AS188" s="752">
        <f t="shared" si="83"/>
        <v>0.9285714285714286</v>
      </c>
      <c r="AT188" s="768">
        <f t="shared" si="84"/>
        <v>63.807926384439419</v>
      </c>
      <c r="AU188" s="13">
        <f t="shared" si="85"/>
        <v>7</v>
      </c>
      <c r="AV188" s="13">
        <f t="shared" si="86"/>
        <v>8</v>
      </c>
      <c r="AW188" s="173">
        <f t="shared" si="87"/>
        <v>43262</v>
      </c>
      <c r="AX188" s="752">
        <f t="shared" si="88"/>
        <v>0.42857142857142855</v>
      </c>
      <c r="AY188" s="768">
        <f t="shared" si="89"/>
        <v>63.880758018099833</v>
      </c>
      <c r="AZ188" s="745">
        <f t="shared" si="93"/>
        <v>63.844342201269626</v>
      </c>
      <c r="BA188" s="642">
        <f t="shared" si="90"/>
        <v>0.89128538352703268</v>
      </c>
      <c r="BC188" s="11">
        <v>43274</v>
      </c>
      <c r="BD188" s="290">
        <f>[2]!FeuilCaduc*(1-Persistant)+Persistant</f>
        <v>0.96780259053923101</v>
      </c>
      <c r="BE188" s="291">
        <f>[2]!CroissVégét</f>
        <v>0.6301672999323692</v>
      </c>
      <c r="BF188" s="815">
        <f>1+[2]!Salcycl*Ksac</f>
        <v>1.0446337650898718</v>
      </c>
      <c r="BH188" s="1052">
        <f t="shared" si="91"/>
        <v>1.1377724035406859E-3</v>
      </c>
      <c r="BI188" s="11">
        <v>44370</v>
      </c>
      <c r="BJ188" s="725">
        <v>3.6112509064099159E-5</v>
      </c>
      <c r="BK188" s="725">
        <v>1.6561480674556102E-4</v>
      </c>
      <c r="BL188" s="725">
        <v>4.0838852205545836E-4</v>
      </c>
      <c r="BM188" s="725">
        <v>8.6469554842505056E-4</v>
      </c>
      <c r="BN188" s="725">
        <v>1.5486015676717303E-3</v>
      </c>
      <c r="BO188" s="726">
        <v>2.4156153847294001E-3</v>
      </c>
      <c r="BP188" s="725">
        <v>3.4978027931725757E-3</v>
      </c>
      <c r="BQ188" s="725">
        <v>4.9404479868220257E-3</v>
      </c>
      <c r="BR188" s="725">
        <v>6.9666506707291203E-3</v>
      </c>
      <c r="BS188" s="725">
        <v>9.7402507814627459E-3</v>
      </c>
      <c r="BT188" s="725">
        <v>1.3060420797694336E-2</v>
      </c>
      <c r="BW188" s="1189">
        <f>'2018'!R\Max</f>
        <v>0</v>
      </c>
      <c r="BX188" s="1187">
        <f>'2019'!R\Max</f>
        <v>0.89128538352703268</v>
      </c>
      <c r="BY188" s="1187">
        <f>'2020'!R\Max</f>
        <v>0.88033203741148058</v>
      </c>
      <c r="BZ188" s="1187">
        <f>'2021'!R\Max</f>
        <v>0.36415197276753569</v>
      </c>
      <c r="CA188" s="1187">
        <f>'2022'!R\Max</f>
        <v>0.71413448644421818</v>
      </c>
      <c r="CB188" s="1187">
        <f>'2023'!R\Max</f>
        <v>0.71412242108295376</v>
      </c>
      <c r="CC188" s="1187">
        <f>'2024'!R\Max</f>
        <v>0.71410983911784276</v>
      </c>
      <c r="CD188" s="1187">
        <f>'2025'!R\Max</f>
        <v>0.71417325716190339</v>
      </c>
      <c r="CE188" s="1187">
        <f>'2026'!R\Max</f>
        <v>0.71416547346738024</v>
      </c>
      <c r="CF188" s="1188">
        <f>'2027'!R\Max</f>
        <v>0.71415580834960957</v>
      </c>
    </row>
    <row r="189" spans="1:84" s="6" customFormat="1" ht="11.25" x14ac:dyDescent="0.2">
      <c r="A189" s="11">
        <v>43275</v>
      </c>
      <c r="B189" s="380">
        <f>'2022'!Maxi_hp</f>
        <v>64.123502417734827</v>
      </c>
      <c r="C189" s="13">
        <f>'2022'!An_max</f>
        <v>2020</v>
      </c>
      <c r="D189" s="1061"/>
      <c r="E189" s="13"/>
      <c r="F189" s="13">
        <f t="shared" si="92"/>
        <v>13</v>
      </c>
      <c r="G189" s="13">
        <f t="shared" si="76"/>
        <v>14</v>
      </c>
      <c r="H189" s="173">
        <f t="shared" si="77"/>
        <v>43262</v>
      </c>
      <c r="I189" s="752">
        <f t="shared" si="78"/>
        <v>0.9285714285714286</v>
      </c>
      <c r="J189" s="745">
        <f t="shared" si="79"/>
        <v>63.752532798823509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4">
        <v>43275</v>
      </c>
      <c r="AP189" s="13">
        <f t="shared" si="80"/>
        <v>7</v>
      </c>
      <c r="AQ189" s="13">
        <f t="shared" si="81"/>
        <v>8</v>
      </c>
      <c r="AR189" s="173">
        <f t="shared" si="82"/>
        <v>43248</v>
      </c>
      <c r="AS189" s="752">
        <f t="shared" si="83"/>
        <v>0.9642857142857143</v>
      </c>
      <c r="AT189" s="768">
        <f t="shared" si="84"/>
        <v>63.75468977699056</v>
      </c>
      <c r="AU189" s="13">
        <f t="shared" si="85"/>
        <v>7</v>
      </c>
      <c r="AV189" s="13">
        <f t="shared" si="86"/>
        <v>8</v>
      </c>
      <c r="AW189" s="173">
        <f t="shared" si="87"/>
        <v>43262</v>
      </c>
      <c r="AX189" s="752">
        <f t="shared" si="88"/>
        <v>0.4642857142857143</v>
      </c>
      <c r="AY189" s="768">
        <f t="shared" si="89"/>
        <v>63.832687226696201</v>
      </c>
      <c r="AZ189" s="745">
        <f t="shared" si="93"/>
        <v>63.793688501843377</v>
      </c>
      <c r="BA189" s="642">
        <f t="shared" si="90"/>
        <v>1.005818900091106</v>
      </c>
      <c r="BC189" s="11">
        <v>43275</v>
      </c>
      <c r="BD189" s="290">
        <f>[2]!FeuilCaduc*(1-Persistant)+Persistant</f>
        <v>0.97012899643566719</v>
      </c>
      <c r="BE189" s="291">
        <f>[2]!CroissVégét</f>
        <v>0.63970570469545396</v>
      </c>
      <c r="BF189" s="815">
        <f>1+[2]!Salcycl*Ksac</f>
        <v>1.0450214994059446</v>
      </c>
      <c r="BH189" s="1052">
        <f t="shared" si="91"/>
        <v>1.1382001097681683E-3</v>
      </c>
      <c r="BI189" s="11">
        <v>44371</v>
      </c>
      <c r="BJ189" s="725">
        <v>3.6882410735223485E-5</v>
      </c>
      <c r="BK189" s="725">
        <v>1.6650788519252343E-4</v>
      </c>
      <c r="BL189" s="725">
        <v>4.0945630826520047E-4</v>
      </c>
      <c r="BM189" s="725">
        <v>8.6568649890197177E-4</v>
      </c>
      <c r="BN189" s="725">
        <v>1.5481819037912606E-3</v>
      </c>
      <c r="BO189" s="726">
        <v>2.4131715909395685E-3</v>
      </c>
      <c r="BP189" s="725">
        <v>3.4934822818184111E-3</v>
      </c>
      <c r="BQ189" s="725">
        <v>4.9354797392656517E-3</v>
      </c>
      <c r="BR189" s="725">
        <v>6.9615278375089124E-3</v>
      </c>
      <c r="BS189" s="725">
        <v>9.7349989666881062E-3</v>
      </c>
      <c r="BT189" s="725">
        <v>1.3055042248303545E-2</v>
      </c>
      <c r="BW189" s="1189">
        <f>'2018'!R\Max</f>
        <v>0</v>
      </c>
      <c r="BX189" s="1187">
        <f>'2019'!R\Max</f>
        <v>0.63228549069458317</v>
      </c>
      <c r="BY189" s="1187">
        <f>'2020'!R\Max</f>
        <v>1.005818900091106</v>
      </c>
      <c r="BZ189" s="1187">
        <f>'2021'!R\Max</f>
        <v>0.67619360434873232</v>
      </c>
      <c r="CA189" s="1187">
        <f>'2022'!R\Max</f>
        <v>0.68899513632708609</v>
      </c>
      <c r="CB189" s="1187">
        <f>'2023'!R\Max</f>
        <v>0.68898245357848165</v>
      </c>
      <c r="CC189" s="1187">
        <f>'2024'!R\Max</f>
        <v>0.68896918453109246</v>
      </c>
      <c r="CD189" s="1187">
        <f>'2025'!R\Max</f>
        <v>0.68903591803518704</v>
      </c>
      <c r="CE189" s="1187">
        <f>'2026'!R\Max</f>
        <v>0.68902771844334554</v>
      </c>
      <c r="CF189" s="1188">
        <f>'2027'!R\Max</f>
        <v>0.68901756479160847</v>
      </c>
    </row>
    <row r="190" spans="1:84" s="6" customFormat="1" ht="11.25" x14ac:dyDescent="0.2">
      <c r="A190" s="11">
        <v>43276</v>
      </c>
      <c r="B190" s="380">
        <f>'2022'!Maxi_hp</f>
        <v>60.228576007833119</v>
      </c>
      <c r="C190" s="13">
        <f>'2022'!An_max</f>
        <v>2019</v>
      </c>
      <c r="D190" s="1061"/>
      <c r="E190" s="1056">
        <f>Z$13/10</f>
        <v>63.7</v>
      </c>
      <c r="F190" s="13">
        <f t="shared" si="92"/>
        <v>15</v>
      </c>
      <c r="G190" s="13">
        <f t="shared" si="76"/>
        <v>14</v>
      </c>
      <c r="H190" s="173">
        <f t="shared" si="77"/>
        <v>43290</v>
      </c>
      <c r="I190" s="752">
        <f t="shared" si="78"/>
        <v>1</v>
      </c>
      <c r="J190" s="745">
        <f t="shared" si="79"/>
        <v>63.699999999627472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4">
        <v>43276</v>
      </c>
      <c r="AP190" s="13">
        <f t="shared" si="80"/>
        <v>9</v>
      </c>
      <c r="AQ190" s="13">
        <f t="shared" si="81"/>
        <v>8</v>
      </c>
      <c r="AR190" s="173">
        <f t="shared" si="82"/>
        <v>43304</v>
      </c>
      <c r="AS190" s="752">
        <f t="shared" si="83"/>
        <v>1</v>
      </c>
      <c r="AT190" s="768">
        <f t="shared" si="84"/>
        <v>63.699999999627472</v>
      </c>
      <c r="AU190" s="13">
        <f t="shared" si="85"/>
        <v>7</v>
      </c>
      <c r="AV190" s="13">
        <f t="shared" si="86"/>
        <v>8</v>
      </c>
      <c r="AW190" s="173">
        <f t="shared" si="87"/>
        <v>43262</v>
      </c>
      <c r="AX190" s="752">
        <f t="shared" si="88"/>
        <v>0.5</v>
      </c>
      <c r="AY190" s="768">
        <f t="shared" si="89"/>
        <v>63.781250000186262</v>
      </c>
      <c r="AZ190" s="745">
        <f t="shared" si="93"/>
        <v>63.740624999906871</v>
      </c>
      <c r="BA190" s="642">
        <f t="shared" si="90"/>
        <v>0.94550354800918912</v>
      </c>
      <c r="BC190" s="11">
        <v>43276</v>
      </c>
      <c r="BD190" s="290">
        <f>[2]!FeuilCaduc*(1-Persistant)+Persistant</f>
        <v>0.97235068089222654</v>
      </c>
      <c r="BE190" s="291">
        <f>[2]!CroissVégét</f>
        <v>0.64913499947740572</v>
      </c>
      <c r="BF190" s="815">
        <f>1+[2]!Salcycl*Ksac</f>
        <v>1.0453917801487045</v>
      </c>
      <c r="BH190" s="1052">
        <f t="shared" si="91"/>
        <v>1.1392949978969713E-3</v>
      </c>
      <c r="BI190" s="11">
        <v>44372</v>
      </c>
      <c r="BJ190" s="725">
        <v>3.817668779651736E-5</v>
      </c>
      <c r="BK190" s="725">
        <v>1.6805084122272268E-4</v>
      </c>
      <c r="BL190" s="725">
        <v>4.1137185078624538E-4</v>
      </c>
      <c r="BM190" s="725">
        <v>8.6762753633861745E-4</v>
      </c>
      <c r="BN190" s="725">
        <v>1.548003806654711E-3</v>
      </c>
      <c r="BO190" s="726">
        <v>2.4099142365044878E-3</v>
      </c>
      <c r="BP190" s="725">
        <v>3.487463519347474E-3</v>
      </c>
      <c r="BQ190" s="725">
        <v>4.9288674342494775E-3</v>
      </c>
      <c r="BR190" s="725">
        <v>6.9553394874539189E-3</v>
      </c>
      <c r="BS190" s="725">
        <v>9.7295285521389104E-3</v>
      </c>
      <c r="BT190" s="725">
        <v>1.3050477316557041E-2</v>
      </c>
      <c r="BW190" s="1189">
        <f>'2018'!R\Max</f>
        <v>0</v>
      </c>
      <c r="BX190" s="1187">
        <f>'2019'!R\Max</f>
        <v>0.94550354800918912</v>
      </c>
      <c r="BY190" s="1187">
        <f>'2020'!R\Max</f>
        <v>0.90866849316241094</v>
      </c>
      <c r="BZ190" s="1187">
        <f>'2021'!R\Max</f>
        <v>0.89539113514568125</v>
      </c>
      <c r="CA190" s="1187">
        <f>'2022'!R\Max</f>
        <v>0.56799778095869402</v>
      </c>
      <c r="CB190" s="1187">
        <f>'2023'!R\Max</f>
        <v>0.56798324982277582</v>
      </c>
      <c r="CC190" s="1187">
        <f>'2024'!R\Max</f>
        <v>0.56796799514192775</v>
      </c>
      <c r="CD190" s="1187">
        <f>'2025'!R\Max</f>
        <v>0.56804452423634588</v>
      </c>
      <c r="CE190" s="1187">
        <f>'2026'!R\Max</f>
        <v>0.56803511173342813</v>
      </c>
      <c r="CF190" s="1188">
        <f>'2027'!R\Max</f>
        <v>0.56802348954912751</v>
      </c>
    </row>
    <row r="191" spans="1:84" s="6" customFormat="1" ht="11.25" x14ac:dyDescent="0.2">
      <c r="A191" s="11">
        <v>43277</v>
      </c>
      <c r="B191" s="380">
        <f>'2022'!Maxi_hp</f>
        <v>61.391181124623479</v>
      </c>
      <c r="C191" s="13">
        <f>'2022'!An_max</f>
        <v>2019</v>
      </c>
      <c r="D191" s="1061"/>
      <c r="E191" s="13"/>
      <c r="F191" s="13">
        <f t="shared" si="92"/>
        <v>15</v>
      </c>
      <c r="G191" s="13">
        <f t="shared" si="76"/>
        <v>14</v>
      </c>
      <c r="H191" s="173">
        <f t="shared" si="77"/>
        <v>43290</v>
      </c>
      <c r="I191" s="752">
        <f t="shared" si="78"/>
        <v>0.9285714285714286</v>
      </c>
      <c r="J191" s="745">
        <f t="shared" si="79"/>
        <v>63.645626822566342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4">
        <v>43277</v>
      </c>
      <c r="AP191" s="13">
        <f t="shared" si="80"/>
        <v>9</v>
      </c>
      <c r="AQ191" s="13">
        <f t="shared" si="81"/>
        <v>8</v>
      </c>
      <c r="AR191" s="173">
        <f t="shared" si="82"/>
        <v>43304</v>
      </c>
      <c r="AS191" s="752">
        <f t="shared" si="83"/>
        <v>0.9642857142857143</v>
      </c>
      <c r="AT191" s="768">
        <f t="shared" si="84"/>
        <v>63.643606504611668</v>
      </c>
      <c r="AU191" s="13">
        <f t="shared" si="85"/>
        <v>7</v>
      </c>
      <c r="AV191" s="13">
        <f t="shared" si="86"/>
        <v>8</v>
      </c>
      <c r="AW191" s="173">
        <f t="shared" si="87"/>
        <v>43262</v>
      </c>
      <c r="AX191" s="752">
        <f t="shared" si="88"/>
        <v>0.5357142857142857</v>
      </c>
      <c r="AY191" s="768">
        <f t="shared" si="89"/>
        <v>63.726432671730535</v>
      </c>
      <c r="AZ191" s="745">
        <f t="shared" si="93"/>
        <v>63.685019588171102</v>
      </c>
      <c r="BA191" s="642">
        <f t="shared" si="90"/>
        <v>0.96457815233357835</v>
      </c>
      <c r="BC191" s="11">
        <v>43277</v>
      </c>
      <c r="BD191" s="290">
        <f>[2]!FeuilCaduc*(1-Persistant)+Persistant</f>
        <v>0.97446807749246078</v>
      </c>
      <c r="BE191" s="291">
        <f>[2]!CroissVégét</f>
        <v>0.65844922415907026</v>
      </c>
      <c r="BF191" s="815">
        <f>1+[2]!Salcycl*Ksac</f>
        <v>1.0457446795820768</v>
      </c>
      <c r="BH191" s="1052">
        <f t="shared" si="91"/>
        <v>1.1410567269167023E-3</v>
      </c>
      <c r="BI191" s="11">
        <v>44373</v>
      </c>
      <c r="BJ191" s="725">
        <v>3.9994569077151251E-5</v>
      </c>
      <c r="BK191" s="725">
        <v>1.7024278996031621E-4</v>
      </c>
      <c r="BL191" s="725">
        <v>4.1413410809020755E-4</v>
      </c>
      <c r="BM191" s="725">
        <v>8.7051773213235898E-4</v>
      </c>
      <c r="BN191" s="725">
        <v>1.5480678192520084E-3</v>
      </c>
      <c r="BO191" s="726">
        <v>2.4058459671021798E-3</v>
      </c>
      <c r="BP191" s="725">
        <v>3.4797511227556421E-3</v>
      </c>
      <c r="BQ191" s="725">
        <v>4.9206164527587238E-3</v>
      </c>
      <c r="BR191" s="725">
        <v>6.9480913153984946E-3</v>
      </c>
      <c r="BS191" s="725">
        <v>9.7238455792021793E-3</v>
      </c>
      <c r="BT191" s="725">
        <v>1.3046732430875388E-2</v>
      </c>
      <c r="BW191" s="1189">
        <f>'2018'!R\Max</f>
        <v>0</v>
      </c>
      <c r="BX191" s="1187">
        <f>'2019'!R\Max</f>
        <v>0.96457815233357835</v>
      </c>
      <c r="BY191" s="1187">
        <f>'2020'!R\Max</f>
        <v>0.82466793400144034</v>
      </c>
      <c r="BZ191" s="1187">
        <f>'2021'!R\Max</f>
        <v>0.9570580255250688</v>
      </c>
      <c r="CA191" s="1187">
        <f>'2022'!R\Max</f>
        <v>0.21479613978345086</v>
      </c>
      <c r="CB191" s="1187">
        <f>'2023'!R\Max</f>
        <v>0.21478723841604763</v>
      </c>
      <c r="CC191" s="1187">
        <f>'2024'!R\Max</f>
        <v>0.2147778605024743</v>
      </c>
      <c r="CD191" s="1187">
        <f>'2025'!R\Max</f>
        <v>0.2148247767676652</v>
      </c>
      <c r="CE191" s="1187">
        <f>'2026'!R\Max</f>
        <v>0.21481900130863532</v>
      </c>
      <c r="CF191" s="1188">
        <f>'2027'!R\Max</f>
        <v>0.21481189137122211</v>
      </c>
    </row>
    <row r="192" spans="1:84" s="6" customFormat="1" ht="11.25" x14ac:dyDescent="0.2">
      <c r="A192" s="11">
        <v>43278</v>
      </c>
      <c r="B192" s="380">
        <f>'2022'!Maxi_hp</f>
        <v>61.300290769717577</v>
      </c>
      <c r="C192" s="13">
        <f>'2022'!An_max</f>
        <v>2019</v>
      </c>
      <c r="D192" s="1061"/>
      <c r="E192" s="13"/>
      <c r="F192" s="13">
        <f t="shared" si="92"/>
        <v>15</v>
      </c>
      <c r="G192" s="13">
        <f t="shared" si="76"/>
        <v>14</v>
      </c>
      <c r="H192" s="173">
        <f t="shared" si="77"/>
        <v>43290</v>
      </c>
      <c r="I192" s="752">
        <f t="shared" si="78"/>
        <v>0.8571428571428571</v>
      </c>
      <c r="J192" s="745">
        <f t="shared" si="79"/>
        <v>63.589504373392892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4">
        <v>43278</v>
      </c>
      <c r="AP192" s="13">
        <f t="shared" si="80"/>
        <v>9</v>
      </c>
      <c r="AQ192" s="13">
        <f t="shared" si="81"/>
        <v>8</v>
      </c>
      <c r="AR192" s="173">
        <f t="shared" si="82"/>
        <v>43304</v>
      </c>
      <c r="AS192" s="752">
        <f t="shared" si="83"/>
        <v>0.9285714285714286</v>
      </c>
      <c r="AT192" s="768">
        <f t="shared" si="84"/>
        <v>63.585076530330944</v>
      </c>
      <c r="AU192" s="13">
        <f t="shared" si="85"/>
        <v>7</v>
      </c>
      <c r="AV192" s="13">
        <f t="shared" si="86"/>
        <v>8</v>
      </c>
      <c r="AW192" s="173">
        <f t="shared" si="87"/>
        <v>43262</v>
      </c>
      <c r="AX192" s="752">
        <f t="shared" si="88"/>
        <v>0.5714285714285714</v>
      </c>
      <c r="AY192" s="768">
        <f t="shared" si="89"/>
        <v>63.668221574223466</v>
      </c>
      <c r="AZ192" s="745">
        <f t="shared" si="93"/>
        <v>63.626649052277202</v>
      </c>
      <c r="BA192" s="642">
        <f t="shared" si="90"/>
        <v>0.96400013451538757</v>
      </c>
      <c r="BC192" s="11">
        <v>43278</v>
      </c>
      <c r="BD192" s="290">
        <f>[2]!FeuilCaduc*(1-Persistant)+Persistant</f>
        <v>0.97648190272014168</v>
      </c>
      <c r="BE192" s="291">
        <f>[2]!CroissVégét</f>
        <v>0.66764275499450454</v>
      </c>
      <c r="BF192" s="815">
        <f>1+[2]!Salcycl*Ksac</f>
        <v>1.0460803171200237</v>
      </c>
      <c r="BH192" s="1052">
        <f t="shared" si="91"/>
        <v>1.1424280473369408E-3</v>
      </c>
      <c r="BI192" s="11">
        <v>44374</v>
      </c>
      <c r="BJ192" s="725">
        <v>4.2221833675705328E-5</v>
      </c>
      <c r="BK192" s="725">
        <v>1.7268301757347612E-4</v>
      </c>
      <c r="BL192" s="725">
        <v>4.1708232376199393E-4</v>
      </c>
      <c r="BM192" s="725">
        <v>8.7331585427175126E-4</v>
      </c>
      <c r="BN192" s="725">
        <v>1.5472925946733583E-3</v>
      </c>
      <c r="BO192" s="726">
        <v>2.4000742904340742E-3</v>
      </c>
      <c r="BP192" s="725">
        <v>3.4699899283958859E-3</v>
      </c>
      <c r="BQ192" s="725">
        <v>4.9108470427010314E-3</v>
      </c>
      <c r="BR192" s="725">
        <v>6.9402275429816572E-3</v>
      </c>
      <c r="BS192" s="725">
        <v>9.7179460046813888E-3</v>
      </c>
      <c r="BT192" s="725">
        <v>1.3042534635114511E-2</v>
      </c>
      <c r="BW192" s="1189">
        <f>'2018'!R\Max</f>
        <v>0</v>
      </c>
      <c r="BX192" s="1187">
        <f>'2019'!R\Max</f>
        <v>0.96400013451538757</v>
      </c>
      <c r="BY192" s="1187">
        <f>'2020'!R\Max</f>
        <v>0.79192128894988301</v>
      </c>
      <c r="BZ192" s="1187">
        <f>'2021'!R\Max</f>
        <v>0.15181029708636745</v>
      </c>
      <c r="CA192" s="1187">
        <f>'2022'!R\Max</f>
        <v>0.25028992227189906</v>
      </c>
      <c r="CB192" s="1187">
        <f>'2023'!R\Max</f>
        <v>0.25027955804413132</v>
      </c>
      <c r="CC192" s="1187">
        <f>'2024'!R\Max</f>
        <v>0.25026859780765542</v>
      </c>
      <c r="CD192" s="1187">
        <f>'2025'!R\Max</f>
        <v>0.25032324778049625</v>
      </c>
      <c r="CE192" s="1187">
        <f>'2026'!R\Max</f>
        <v>0.2503165182633178</v>
      </c>
      <c r="CF192" s="1188">
        <f>'2027'!R\Max</f>
        <v>0.25030825740291213</v>
      </c>
    </row>
    <row r="193" spans="1:84" s="6" customFormat="1" ht="11.25" x14ac:dyDescent="0.2">
      <c r="A193" s="11">
        <v>43279</v>
      </c>
      <c r="B193" s="380">
        <f>'2022'!Maxi_hp</f>
        <v>64.862126876574465</v>
      </c>
      <c r="C193" s="13">
        <f>'2022'!An_max</f>
        <v>2022</v>
      </c>
      <c r="D193" s="1061"/>
      <c r="E193" s="13"/>
      <c r="F193" s="13">
        <f t="shared" si="92"/>
        <v>15</v>
      </c>
      <c r="G193" s="13">
        <f t="shared" si="76"/>
        <v>14</v>
      </c>
      <c r="H193" s="173">
        <f t="shared" si="77"/>
        <v>43290</v>
      </c>
      <c r="I193" s="752">
        <f t="shared" si="78"/>
        <v>0.7857142857142857</v>
      </c>
      <c r="J193" s="745">
        <f t="shared" si="79"/>
        <v>63.531413993984458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4">
        <v>43279</v>
      </c>
      <c r="AP193" s="13">
        <f t="shared" si="80"/>
        <v>9</v>
      </c>
      <c r="AQ193" s="13">
        <f t="shared" si="81"/>
        <v>8</v>
      </c>
      <c r="AR193" s="173">
        <f t="shared" si="82"/>
        <v>43304</v>
      </c>
      <c r="AS193" s="752">
        <f t="shared" si="83"/>
        <v>0.8928571428571429</v>
      </c>
      <c r="AT193" s="768">
        <f t="shared" si="84"/>
        <v>63.524314412368199</v>
      </c>
      <c r="AU193" s="13">
        <f t="shared" si="85"/>
        <v>7</v>
      </c>
      <c r="AV193" s="13">
        <f t="shared" si="86"/>
        <v>8</v>
      </c>
      <c r="AW193" s="173">
        <f t="shared" si="87"/>
        <v>43262</v>
      </c>
      <c r="AX193" s="752">
        <f t="shared" si="88"/>
        <v>0.6071428571428571</v>
      </c>
      <c r="AY193" s="768">
        <f t="shared" si="89"/>
        <v>63.606603043393363</v>
      </c>
      <c r="AZ193" s="745">
        <f t="shared" si="93"/>
        <v>63.565458727880781</v>
      </c>
      <c r="BA193" s="642">
        <f t="shared" si="90"/>
        <v>1.0209457463470908</v>
      </c>
      <c r="BC193" s="11">
        <v>43279</v>
      </c>
      <c r="BD193" s="290">
        <f>[2]!FeuilCaduc*(1-Persistant)+Persistant</f>
        <v>0.97839314642876607</v>
      </c>
      <c r="BE193" s="291">
        <f>[2]!CroissVégét</f>
        <v>0.67671031405616355</v>
      </c>
      <c r="BF193" s="815">
        <f>1+[2]!Salcycl*Ksac</f>
        <v>1.0463988577381278</v>
      </c>
      <c r="BH193" s="1052">
        <f t="shared" si="91"/>
        <v>1.1430768146207231E-3</v>
      </c>
      <c r="BI193" s="11">
        <v>44375</v>
      </c>
      <c r="BJ193" s="725">
        <v>4.4595713168824969E-5</v>
      </c>
      <c r="BK193" s="725">
        <v>1.7504634534180861E-4</v>
      </c>
      <c r="BL193" s="725">
        <v>4.1979265762963981E-4</v>
      </c>
      <c r="BM193" s="725">
        <v>8.7554765749512558E-4</v>
      </c>
      <c r="BN193" s="725">
        <v>1.5455597711351112E-3</v>
      </c>
      <c r="BO193" s="726">
        <v>2.393010339208133E-3</v>
      </c>
      <c r="BP193" s="725">
        <v>3.459034728153457E-3</v>
      </c>
      <c r="BQ193" s="725">
        <v>4.9003871794472435E-3</v>
      </c>
      <c r="BR193" s="725">
        <v>6.9322870390493823E-3</v>
      </c>
      <c r="BS193" s="725">
        <v>9.711946722225669E-3</v>
      </c>
      <c r="BT193" s="725">
        <v>1.3037487563615663E-2</v>
      </c>
      <c r="BW193" s="1189">
        <f>'2018'!R\Max</f>
        <v>0</v>
      </c>
      <c r="BX193" s="1187">
        <f>'2019'!R\Max</f>
        <v>0.982753148420621</v>
      </c>
      <c r="BY193" s="1187">
        <f>'2020'!R\Max</f>
        <v>0.70919015290921772</v>
      </c>
      <c r="BZ193" s="1187">
        <f>'2021'!R\Max</f>
        <v>0.54184117306347701</v>
      </c>
      <c r="CA193" s="1187">
        <f>'2022'!R\Max</f>
        <v>1.0209457463470908</v>
      </c>
      <c r="CB193" s="1187">
        <f>'2023'!R\Max</f>
        <v>1.0209457463470906</v>
      </c>
      <c r="CC193" s="1187">
        <f>'2024'!R\Max</f>
        <v>1.0209457463470906</v>
      </c>
      <c r="CD193" s="1187">
        <f>'2025'!R\Max</f>
        <v>1.0209457463470906</v>
      </c>
      <c r="CE193" s="1187">
        <f>'2026'!R\Max</f>
        <v>1.0209457463470908</v>
      </c>
      <c r="CF193" s="1188">
        <f>'2027'!R\Max</f>
        <v>1.0209457463470906</v>
      </c>
    </row>
    <row r="194" spans="1:84" s="6" customFormat="1" ht="11.25" x14ac:dyDescent="0.2">
      <c r="A194" s="11">
        <v>43280</v>
      </c>
      <c r="B194" s="380">
        <f>'2022'!Maxi_hp</f>
        <v>62.211845559281812</v>
      </c>
      <c r="C194" s="13">
        <f>'2022'!An_max</f>
        <v>2022</v>
      </c>
      <c r="D194" s="1061"/>
      <c r="E194" s="13"/>
      <c r="F194" s="13">
        <f t="shared" si="92"/>
        <v>15</v>
      </c>
      <c r="G194" s="13">
        <f t="shared" si="76"/>
        <v>14</v>
      </c>
      <c r="H194" s="173">
        <f t="shared" si="77"/>
        <v>43290</v>
      </c>
      <c r="I194" s="752">
        <f t="shared" si="78"/>
        <v>0.7142857142857143</v>
      </c>
      <c r="J194" s="745">
        <f t="shared" si="79"/>
        <v>63.471137026378088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4">
        <v>43280</v>
      </c>
      <c r="AP194" s="13">
        <f t="shared" si="80"/>
        <v>9</v>
      </c>
      <c r="AQ194" s="13">
        <f t="shared" si="81"/>
        <v>8</v>
      </c>
      <c r="AR194" s="173">
        <f t="shared" si="82"/>
        <v>43304</v>
      </c>
      <c r="AS194" s="752">
        <f t="shared" si="83"/>
        <v>0.8571428571428571</v>
      </c>
      <c r="AT194" s="768">
        <f t="shared" si="84"/>
        <v>63.461224489552635</v>
      </c>
      <c r="AU194" s="13">
        <f t="shared" si="85"/>
        <v>7</v>
      </c>
      <c r="AV194" s="13">
        <f t="shared" si="86"/>
        <v>8</v>
      </c>
      <c r="AW194" s="173">
        <f t="shared" si="87"/>
        <v>43262</v>
      </c>
      <c r="AX194" s="752">
        <f t="shared" si="88"/>
        <v>0.6428571428571429</v>
      </c>
      <c r="AY194" s="768">
        <f t="shared" si="89"/>
        <v>63.541563411349692</v>
      </c>
      <c r="AZ194" s="745">
        <f t="shared" si="93"/>
        <v>63.50139395045116</v>
      </c>
      <c r="BA194" s="642">
        <f t="shared" si="90"/>
        <v>0.98015962016604607</v>
      </c>
      <c r="BC194" s="11">
        <v>43280</v>
      </c>
      <c r="BD194" s="290">
        <f>[2]!FeuilCaduc*(1-Persistant)+Persistant</f>
        <v>0.98020306087914655</v>
      </c>
      <c r="BE194" s="291">
        <f>[2]!CroissVégét</f>
        <v>0.6856469767197082</v>
      </c>
      <c r="BF194" s="815">
        <f>1+[2]!Salcycl*Ksac</f>
        <v>1.0467005101465245</v>
      </c>
      <c r="BH194" s="1052">
        <f t="shared" si="91"/>
        <v>1.143004795666305E-3</v>
      </c>
      <c r="BI194" s="11">
        <v>44376</v>
      </c>
      <c r="BJ194" s="725">
        <v>4.7116026358509011E-5</v>
      </c>
      <c r="BK194" s="725">
        <v>1.7733300516431692E-4</v>
      </c>
      <c r="BL194" s="725">
        <v>4.2226573043760001E-4</v>
      </c>
      <c r="BM194" s="725">
        <v>8.7721452372480871E-4</v>
      </c>
      <c r="BN194" s="725">
        <v>1.5428716947107123E-3</v>
      </c>
      <c r="BO194" s="726">
        <v>2.3846574365983921E-3</v>
      </c>
      <c r="BP194" s="725">
        <v>3.4468893091892097E-3</v>
      </c>
      <c r="BQ194" s="725">
        <v>4.8892407512077483E-3</v>
      </c>
      <c r="BR194" s="725">
        <v>6.9242739883713968E-3</v>
      </c>
      <c r="BS194" s="725">
        <v>9.7058536100988763E-3</v>
      </c>
      <c r="BT194" s="725">
        <v>1.3031600198195895E-2</v>
      </c>
      <c r="BW194" s="1189">
        <f>'2018'!R\Max</f>
        <v>0</v>
      </c>
      <c r="BX194" s="1187">
        <f>'2019'!R\Max</f>
        <v>0.9204500613416764</v>
      </c>
      <c r="BY194" s="1187">
        <f>'2020'!R\Max</f>
        <v>0.83921420999582963</v>
      </c>
      <c r="BZ194" s="1187">
        <f>'2021'!R\Max</f>
        <v>0.71558032671529037</v>
      </c>
      <c r="CA194" s="1187">
        <f>'2022'!R\Max</f>
        <v>0.98015962016604607</v>
      </c>
      <c r="CB194" s="1187">
        <f>'2023'!R\Max</f>
        <v>0.98015847158201097</v>
      </c>
      <c r="CC194" s="1187">
        <f>'2024'!R\Max</f>
        <v>0.98015724732152854</v>
      </c>
      <c r="CD194" s="1187">
        <f>'2025'!R\Max</f>
        <v>0.98016330396681017</v>
      </c>
      <c r="CE194" s="1187">
        <f>'2026'!R\Max</f>
        <v>0.98016255889885495</v>
      </c>
      <c r="CF194" s="1188">
        <f>'2027'!R\Max</f>
        <v>0.98016164887641211</v>
      </c>
    </row>
    <row r="195" spans="1:84" s="6" customFormat="1" ht="11.25" x14ac:dyDescent="0.2">
      <c r="A195" s="11">
        <v>43281</v>
      </c>
      <c r="B195" s="380">
        <f>'2022'!Maxi_hp</f>
        <v>56.806125451843101</v>
      </c>
      <c r="C195" s="13">
        <f>'2022'!An_max</f>
        <v>2019</v>
      </c>
      <c r="D195" s="1061"/>
      <c r="E195" s="13"/>
      <c r="F195" s="13">
        <f t="shared" si="92"/>
        <v>15</v>
      </c>
      <c r="G195" s="13">
        <f t="shared" si="76"/>
        <v>14</v>
      </c>
      <c r="H195" s="173">
        <f t="shared" si="77"/>
        <v>43290</v>
      </c>
      <c r="I195" s="752">
        <f t="shared" si="78"/>
        <v>0.6428571428571429</v>
      </c>
      <c r="J195" s="745">
        <f t="shared" si="79"/>
        <v>63.408454810827969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4">
        <v>43281</v>
      </c>
      <c r="AP195" s="13">
        <f t="shared" si="80"/>
        <v>9</v>
      </c>
      <c r="AQ195" s="13">
        <f t="shared" si="81"/>
        <v>8</v>
      </c>
      <c r="AR195" s="173">
        <f t="shared" si="82"/>
        <v>43304</v>
      </c>
      <c r="AS195" s="752">
        <f t="shared" si="83"/>
        <v>0.8214285714285714</v>
      </c>
      <c r="AT195" s="768">
        <f t="shared" si="84"/>
        <v>63.395711096495916</v>
      </c>
      <c r="AU195" s="13">
        <f t="shared" si="85"/>
        <v>7</v>
      </c>
      <c r="AV195" s="13">
        <f t="shared" si="86"/>
        <v>8</v>
      </c>
      <c r="AW195" s="173">
        <f t="shared" si="87"/>
        <v>43262</v>
      </c>
      <c r="AX195" s="752">
        <f t="shared" si="88"/>
        <v>0.6785714285714286</v>
      </c>
      <c r="AY195" s="768">
        <f t="shared" si="89"/>
        <v>63.47308901249032</v>
      </c>
      <c r="AZ195" s="745">
        <f t="shared" si="93"/>
        <v>63.434400054493118</v>
      </c>
      <c r="BA195" s="642">
        <f t="shared" si="90"/>
        <v>0.89587619854982781</v>
      </c>
      <c r="BC195" s="11">
        <v>43281</v>
      </c>
      <c r="BD195" s="290">
        <f>[2]!FeuilCaduc*(1-Persistant)+Persistant</f>
        <v>0.98191314842992194</v>
      </c>
      <c r="BE195" s="291">
        <f>[2]!CroissVégét</f>
        <v>0.69444817721081942</v>
      </c>
      <c r="BF195" s="815">
        <f>1+[2]!Salcycl*Ksac</f>
        <v>1.0469855247383204</v>
      </c>
      <c r="BH195" s="1052">
        <f t="shared" si="91"/>
        <v>1.1422137478266938E-3</v>
      </c>
      <c r="BI195" s="11">
        <v>44377</v>
      </c>
      <c r="BJ195" s="725">
        <v>4.9782600229274255E-5</v>
      </c>
      <c r="BK195" s="725">
        <v>1.7954323341267151E-4</v>
      </c>
      <c r="BL195" s="725">
        <v>4.245021657438126E-4</v>
      </c>
      <c r="BM195" s="725">
        <v>8.7831783145467983E-4</v>
      </c>
      <c r="BN195" s="725">
        <v>1.5392306927259651E-3</v>
      </c>
      <c r="BO195" s="726">
        <v>2.3750188696557012E-3</v>
      </c>
      <c r="BP195" s="725">
        <v>3.4335574162524555E-3</v>
      </c>
      <c r="BQ195" s="725">
        <v>4.877411615256645E-3</v>
      </c>
      <c r="BR195" s="725">
        <v>6.9161925636158162E-3</v>
      </c>
      <c r="BS195" s="725">
        <v>9.6996725418676769E-3</v>
      </c>
      <c r="BT195" s="725">
        <v>1.3024881509201933E-2</v>
      </c>
      <c r="BW195" s="1189">
        <f>'2018'!R\Max</f>
        <v>0</v>
      </c>
      <c r="BX195" s="1187">
        <f>'2019'!R\Max</f>
        <v>0.89587619854982781</v>
      </c>
      <c r="BY195" s="1187">
        <f>'2020'!R\Max</f>
        <v>0.45068817122246313</v>
      </c>
      <c r="BZ195" s="1187">
        <f>'2021'!R\Max</f>
        <v>0.87299947070216211</v>
      </c>
      <c r="CA195" s="1187">
        <f>'2022'!R\Max</f>
        <v>0.24809244658229135</v>
      </c>
      <c r="CB195" s="1187">
        <f>'2023'!R\Max</f>
        <v>0.24808219687973315</v>
      </c>
      <c r="CC195" s="1187">
        <f>'2024'!R\Max</f>
        <v>0.2480712283232703</v>
      </c>
      <c r="CD195" s="1187">
        <f>'2025'!R\Max</f>
        <v>0.24812526471404495</v>
      </c>
      <c r="CE195" s="1187">
        <f>'2026'!R\Max</f>
        <v>0.24811862354538497</v>
      </c>
      <c r="CF195" s="1188">
        <f>'2027'!R\Max</f>
        <v>0.24811053070810216</v>
      </c>
    </row>
    <row r="196" spans="1:84" s="6" customFormat="1" ht="11.25" x14ac:dyDescent="0.2">
      <c r="A196" s="11">
        <v>43282</v>
      </c>
      <c r="B196" s="380">
        <f>'2022'!Maxi_hp</f>
        <v>61.555241119105759</v>
      </c>
      <c r="C196" s="13">
        <f>'2022'!An_max</f>
        <v>2020</v>
      </c>
      <c r="D196" s="1061"/>
      <c r="E196" s="13"/>
      <c r="F196" s="13">
        <f t="shared" si="92"/>
        <v>15</v>
      </c>
      <c r="G196" s="13">
        <f t="shared" si="76"/>
        <v>14</v>
      </c>
      <c r="H196" s="173">
        <f t="shared" si="77"/>
        <v>43290</v>
      </c>
      <c r="I196" s="752">
        <f t="shared" si="78"/>
        <v>0.5714285714285714</v>
      </c>
      <c r="J196" s="745">
        <f t="shared" si="79"/>
        <v>63.343148688280152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4">
        <v>43282</v>
      </c>
      <c r="AP196" s="13">
        <f t="shared" si="80"/>
        <v>9</v>
      </c>
      <c r="AQ196" s="13">
        <f t="shared" si="81"/>
        <v>8</v>
      </c>
      <c r="AR196" s="173">
        <f t="shared" si="82"/>
        <v>43304</v>
      </c>
      <c r="AS196" s="752">
        <f t="shared" si="83"/>
        <v>0.7857142857142857</v>
      </c>
      <c r="AT196" s="768">
        <f t="shared" si="84"/>
        <v>63.327678571455181</v>
      </c>
      <c r="AU196" s="13">
        <f t="shared" si="85"/>
        <v>7</v>
      </c>
      <c r="AV196" s="13">
        <f t="shared" si="86"/>
        <v>8</v>
      </c>
      <c r="AW196" s="173">
        <f t="shared" si="87"/>
        <v>43262</v>
      </c>
      <c r="AX196" s="752">
        <f t="shared" si="88"/>
        <v>0.7142857142857143</v>
      </c>
      <c r="AY196" s="768">
        <f t="shared" si="89"/>
        <v>63.401166181159873</v>
      </c>
      <c r="AZ196" s="745">
        <f t="shared" si="93"/>
        <v>63.36442237630753</v>
      </c>
      <c r="BA196" s="642">
        <f t="shared" si="90"/>
        <v>0.97177425489261804</v>
      </c>
      <c r="BC196" s="11">
        <v>43282</v>
      </c>
      <c r="BD196" s="290">
        <f>[2]!FeuilCaduc*(1-Persistant)+Persistant</f>
        <v>0.98352514797618928</v>
      </c>
      <c r="BE196" s="291">
        <f>[2]!CroissVégét</f>
        <v>0.70310971225270513</v>
      </c>
      <c r="BF196" s="815">
        <f>1+[2]!Salcycl*Ksac</f>
        <v>1.0472541913293649</v>
      </c>
      <c r="BH196" s="1052">
        <f t="shared" si="91"/>
        <v>1.1407054146570163E-3</v>
      </c>
      <c r="BI196" s="11">
        <v>44378</v>
      </c>
      <c r="BJ196" s="725">
        <v>5.2595270821766035E-5</v>
      </c>
      <c r="BK196" s="725">
        <v>1.8167727049136847E-4</v>
      </c>
      <c r="BL196" s="725">
        <v>4.265025885337314E-4</v>
      </c>
      <c r="BM196" s="725">
        <v>8.7885895242754552E-4</v>
      </c>
      <c r="BN196" s="725">
        <v>1.5346390681072576E-3</v>
      </c>
      <c r="BO196" s="726">
        <v>2.3640978816482318E-3</v>
      </c>
      <c r="BP196" s="725">
        <v>3.4190427445592803E-3</v>
      </c>
      <c r="BQ196" s="725">
        <v>4.864903593746187E-3</v>
      </c>
      <c r="BR196" s="725">
        <v>6.9080469247493346E-3</v>
      </c>
      <c r="BS196" s="725">
        <v>9.6934093856372236E-3</v>
      </c>
      <c r="BT196" s="725">
        <v>1.3017340450304171E-2</v>
      </c>
      <c r="BW196" s="1189">
        <f>'2018'!R\Max</f>
        <v>0</v>
      </c>
      <c r="BX196" s="1187">
        <f>'2019'!R\Max</f>
        <v>0.30718847371666014</v>
      </c>
      <c r="BY196" s="1187">
        <f>'2020'!R\Max</f>
        <v>0.97177425489261804</v>
      </c>
      <c r="BZ196" s="1187">
        <f>'2021'!R\Max</f>
        <v>0.88800020371187349</v>
      </c>
      <c r="CA196" s="1187">
        <f>'2022'!R\Max</f>
        <v>0.92513737766693405</v>
      </c>
      <c r="CB196" s="1187">
        <f>'2023'!R\Max</f>
        <v>0.9251332931360795</v>
      </c>
      <c r="CC196" s="1187">
        <f>'2024'!R\Max</f>
        <v>0.92512890354121102</v>
      </c>
      <c r="CD196" s="1187">
        <f>'2025'!R\Max</f>
        <v>0.92515042374989553</v>
      </c>
      <c r="CE196" s="1187">
        <f>'2026'!R\Max</f>
        <v>0.92514778357897298</v>
      </c>
      <c r="CF196" s="1188">
        <f>'2027'!R\Max</f>
        <v>0.92514457271261852</v>
      </c>
    </row>
    <row r="197" spans="1:84" s="6" customFormat="1" ht="11.25" x14ac:dyDescent="0.2">
      <c r="A197" s="11">
        <v>43283</v>
      </c>
      <c r="B197" s="380">
        <f>'2022'!Maxi_hp</f>
        <v>61.53947491631434</v>
      </c>
      <c r="C197" s="13">
        <f>'2022'!An_max</f>
        <v>2022</v>
      </c>
      <c r="D197" s="1061"/>
      <c r="E197" s="13"/>
      <c r="F197" s="13">
        <f t="shared" si="92"/>
        <v>15</v>
      </c>
      <c r="G197" s="13">
        <f t="shared" si="76"/>
        <v>14</v>
      </c>
      <c r="H197" s="173">
        <f t="shared" si="77"/>
        <v>43290</v>
      </c>
      <c r="I197" s="752">
        <f t="shared" si="78"/>
        <v>0.5</v>
      </c>
      <c r="J197" s="745">
        <f t="shared" si="79"/>
        <v>63.274999999813737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4">
        <v>43283</v>
      </c>
      <c r="AP197" s="13">
        <f t="shared" si="80"/>
        <v>9</v>
      </c>
      <c r="AQ197" s="13">
        <f t="shared" si="81"/>
        <v>8</v>
      </c>
      <c r="AR197" s="173">
        <f t="shared" si="82"/>
        <v>43304</v>
      </c>
      <c r="AS197" s="752">
        <f t="shared" si="83"/>
        <v>0.75</v>
      </c>
      <c r="AT197" s="768">
        <f t="shared" si="84"/>
        <v>63.257031249254943</v>
      </c>
      <c r="AU197" s="13">
        <f t="shared" si="85"/>
        <v>7</v>
      </c>
      <c r="AV197" s="13">
        <f t="shared" si="86"/>
        <v>8</v>
      </c>
      <c r="AW197" s="173">
        <f t="shared" si="87"/>
        <v>43262</v>
      </c>
      <c r="AX197" s="752">
        <f t="shared" si="88"/>
        <v>0.75</v>
      </c>
      <c r="AY197" s="768">
        <f t="shared" si="89"/>
        <v>63.325781249813737</v>
      </c>
      <c r="AZ197" s="745">
        <f t="shared" si="93"/>
        <v>63.29140624953434</v>
      </c>
      <c r="BA197" s="642">
        <f t="shared" si="90"/>
        <v>0.97257170946654281</v>
      </c>
      <c r="BC197" s="11">
        <v>43283</v>
      </c>
      <c r="BD197" s="290">
        <f>[2]!FeuilCaduc*(1-Persistant)+Persistant</f>
        <v>0.98504102024095741</v>
      </c>
      <c r="BE197" s="291">
        <f>[2]!CroissVégét</f>
        <v>0.71162774286802644</v>
      </c>
      <c r="BF197" s="815">
        <f>1+[2]!Salcycl*Ksac</f>
        <v>1.0475068367068263</v>
      </c>
      <c r="BH197" s="1052">
        <f t="shared" si="91"/>
        <v>1.1384815216718656E-3</v>
      </c>
      <c r="BI197" s="11">
        <v>44379</v>
      </c>
      <c r="BJ197" s="725">
        <v>5.5553884106762079E-5</v>
      </c>
      <c r="BK197" s="725">
        <v>1.8373536039942046E-4</v>
      </c>
      <c r="BL197" s="725">
        <v>4.2826762383802602E-4</v>
      </c>
      <c r="BM197" s="725">
        <v>8.7883924832015759E-4</v>
      </c>
      <c r="BN197" s="725">
        <v>1.5290990937432782E-3</v>
      </c>
      <c r="BO197" s="726">
        <v>2.3518976644228643E-3</v>
      </c>
      <c r="BP197" s="725">
        <v>3.4033489327010454E-3</v>
      </c>
      <c r="BQ197" s="725">
        <v>4.8517204695640182E-3</v>
      </c>
      <c r="BR197" s="725">
        <v>6.8998412184979492E-3</v>
      </c>
      <c r="BS197" s="725">
        <v>9.6870700033716162E-3</v>
      </c>
      <c r="BT197" s="725">
        <v>1.3008985953404502E-2</v>
      </c>
      <c r="BW197" s="1189">
        <f>'2018'!R\Max</f>
        <v>0</v>
      </c>
      <c r="BX197" s="1187">
        <f>'2019'!R\Max</f>
        <v>0.53655352138493195</v>
      </c>
      <c r="BY197" s="1187">
        <f>'2020'!R\Max</f>
        <v>0.71922646614859775</v>
      </c>
      <c r="BZ197" s="1187">
        <f>'2021'!R\Max</f>
        <v>0.88641235675493313</v>
      </c>
      <c r="CA197" s="1187">
        <f>'2022'!R\Max</f>
        <v>0.97257170946654281</v>
      </c>
      <c r="CB197" s="1187">
        <f>'2023'!R\Max</f>
        <v>0.97257013733768449</v>
      </c>
      <c r="CC197" s="1187">
        <f>'2024'!R\Max</f>
        <v>0.97256844052715818</v>
      </c>
      <c r="CD197" s="1187">
        <f>'2025'!R\Max</f>
        <v>0.97257671705948789</v>
      </c>
      <c r="CE197" s="1187">
        <f>'2026'!R\Max</f>
        <v>0.97257570381694325</v>
      </c>
      <c r="CF197" s="1188">
        <f>'2027'!R\Max</f>
        <v>0.97257447382776641</v>
      </c>
    </row>
    <row r="198" spans="1:84" s="6" customFormat="1" ht="11.25" x14ac:dyDescent="0.2">
      <c r="A198" s="11">
        <v>43284</v>
      </c>
      <c r="B198" s="380">
        <f>'2022'!Maxi_hp</f>
        <v>50.673839895815256</v>
      </c>
      <c r="C198" s="13">
        <f>'2022'!An_max</f>
        <v>2019</v>
      </c>
      <c r="D198" s="1061"/>
      <c r="E198" s="13"/>
      <c r="F198" s="13">
        <f t="shared" si="92"/>
        <v>15</v>
      </c>
      <c r="G198" s="13">
        <f t="shared" si="76"/>
        <v>14</v>
      </c>
      <c r="H198" s="173">
        <f t="shared" si="77"/>
        <v>43290</v>
      </c>
      <c r="I198" s="752">
        <f t="shared" si="78"/>
        <v>0.42857142857142855</v>
      </c>
      <c r="J198" s="745">
        <f t="shared" si="79"/>
        <v>63.203790087572159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4">
        <v>43284</v>
      </c>
      <c r="AP198" s="13">
        <f t="shared" si="80"/>
        <v>9</v>
      </c>
      <c r="AQ198" s="13">
        <f t="shared" si="81"/>
        <v>8</v>
      </c>
      <c r="AR198" s="173">
        <f t="shared" si="82"/>
        <v>43304</v>
      </c>
      <c r="AS198" s="752">
        <f t="shared" si="83"/>
        <v>0.7142857142857143</v>
      </c>
      <c r="AT198" s="768">
        <f t="shared" si="84"/>
        <v>63.183673468870779</v>
      </c>
      <c r="AU198" s="13">
        <f t="shared" si="85"/>
        <v>7</v>
      </c>
      <c r="AV198" s="13">
        <f t="shared" si="86"/>
        <v>8</v>
      </c>
      <c r="AW198" s="173">
        <f t="shared" si="87"/>
        <v>43262</v>
      </c>
      <c r="AX198" s="752">
        <f t="shared" si="88"/>
        <v>0.7857142857142857</v>
      </c>
      <c r="AY198" s="768">
        <f t="shared" si="89"/>
        <v>63.24692055431327</v>
      </c>
      <c r="AZ198" s="745">
        <f t="shared" si="93"/>
        <v>63.215297011592028</v>
      </c>
      <c r="BA198" s="642">
        <f t="shared" si="90"/>
        <v>0.8017531832442959</v>
      </c>
      <c r="BC198" s="11">
        <v>43284</v>
      </c>
      <c r="BD198" s="290">
        <f>[2]!FeuilCaduc*(1-Persistant)+Persistant</f>
        <v>0.98646293203270541</v>
      </c>
      <c r="BE198" s="291">
        <f>[2]!CroissVégét</f>
        <v>0.71999879440261938</v>
      </c>
      <c r="BF198" s="815">
        <f>1+[2]!Salcycl*Ksac</f>
        <v>1.0477438220054509</v>
      </c>
      <c r="BH198" s="1052">
        <f t="shared" si="91"/>
        <v>1.1340606082558451E-3</v>
      </c>
      <c r="BI198" s="11">
        <v>44380</v>
      </c>
      <c r="BJ198" s="725">
        <v>5.8117324985755483E-5</v>
      </c>
      <c r="BK198" s="725">
        <v>1.8487256695788352E-4</v>
      </c>
      <c r="BL198" s="725">
        <v>4.2873262149614868E-4</v>
      </c>
      <c r="BM198" s="725">
        <v>8.7686213643288762E-4</v>
      </c>
      <c r="BN198" s="725">
        <v>1.5210016148455967E-3</v>
      </c>
      <c r="BO198" s="726">
        <v>2.3367286561953881E-3</v>
      </c>
      <c r="BP198" s="725">
        <v>3.3850196023975185E-3</v>
      </c>
      <c r="BQ198" s="725">
        <v>4.8368847923410362E-3</v>
      </c>
      <c r="BR198" s="725">
        <v>6.8911954007579313E-3</v>
      </c>
      <c r="BS198" s="725">
        <v>9.6817823439479846E-3</v>
      </c>
      <c r="BT198" s="725">
        <v>1.3003299535516105E-2</v>
      </c>
      <c r="BW198" s="1189">
        <f>'2018'!R\Max</f>
        <v>0</v>
      </c>
      <c r="BX198" s="1187">
        <f>'2019'!R\Max</f>
        <v>0.8017531832442959</v>
      </c>
      <c r="BY198" s="1187">
        <f>'2020'!R\Max</f>
        <v>0.33296805781942579</v>
      </c>
      <c r="BZ198" s="1187">
        <f>'2021'!R\Max</f>
        <v>0.59769287900539458</v>
      </c>
      <c r="CA198" s="1187">
        <f>'2022'!R\Max</f>
        <v>0.75907564455021759</v>
      </c>
      <c r="CB198" s="1187">
        <f>'2023'!R\Max</f>
        <v>0.75906487156342761</v>
      </c>
      <c r="CC198" s="1187">
        <f>'2024'!R\Max</f>
        <v>0.75905319285667094</v>
      </c>
      <c r="CD198" s="1187">
        <f>'2025'!R\Max</f>
        <v>0.75910984148792826</v>
      </c>
      <c r="CE198" s="1187">
        <f>'2026'!R\Max</f>
        <v>0.75910292642451449</v>
      </c>
      <c r="CF198" s="1188">
        <f>'2027'!R\Max</f>
        <v>0.75909454462916937</v>
      </c>
    </row>
    <row r="199" spans="1:84" s="6" customFormat="1" ht="11.25" x14ac:dyDescent="0.2">
      <c r="A199" s="11">
        <v>43285</v>
      </c>
      <c r="B199" s="380">
        <f>'2022'!Maxi_hp</f>
        <v>59.251249385209874</v>
      </c>
      <c r="C199" s="13">
        <f>'2022'!An_max</f>
        <v>2019</v>
      </c>
      <c r="D199" s="1061"/>
      <c r="E199" s="13"/>
      <c r="F199" s="13">
        <f t="shared" si="92"/>
        <v>15</v>
      </c>
      <c r="G199" s="13">
        <f t="shared" si="76"/>
        <v>14</v>
      </c>
      <c r="H199" s="173">
        <f t="shared" si="77"/>
        <v>43290</v>
      </c>
      <c r="I199" s="752">
        <f t="shared" si="78"/>
        <v>0.35714285714285715</v>
      </c>
      <c r="J199" s="745">
        <f t="shared" si="79"/>
        <v>63.129300291703217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4">
        <v>43285</v>
      </c>
      <c r="AP199" s="13">
        <f t="shared" si="80"/>
        <v>9</v>
      </c>
      <c r="AQ199" s="13">
        <f t="shared" si="81"/>
        <v>8</v>
      </c>
      <c r="AR199" s="173">
        <f t="shared" si="82"/>
        <v>43304</v>
      </c>
      <c r="AS199" s="752">
        <f t="shared" si="83"/>
        <v>0.6785714285714286</v>
      </c>
      <c r="AT199" s="768">
        <f t="shared" si="84"/>
        <v>63.107509566031922</v>
      </c>
      <c r="AU199" s="13">
        <f t="shared" si="85"/>
        <v>7</v>
      </c>
      <c r="AV199" s="13">
        <f t="shared" si="86"/>
        <v>8</v>
      </c>
      <c r="AW199" s="173">
        <f t="shared" si="87"/>
        <v>43262</v>
      </c>
      <c r="AX199" s="752">
        <f t="shared" si="88"/>
        <v>0.8214285714285714</v>
      </c>
      <c r="AY199" s="768">
        <f t="shared" si="89"/>
        <v>63.164570426901001</v>
      </c>
      <c r="AZ199" s="745">
        <f t="shared" si="93"/>
        <v>63.136039996466465</v>
      </c>
      <c r="BA199" s="642">
        <f t="shared" si="90"/>
        <v>0.93856971503606201</v>
      </c>
      <c r="BC199" s="11">
        <v>43285</v>
      </c>
      <c r="BD199" s="290">
        <f>[2]!FeuilCaduc*(1-Persistant)+Persistant</f>
        <v>0.98779323958988186</v>
      </c>
      <c r="BE199" s="291">
        <f>[2]!CroissVégét</f>
        <v>0.72821975485053358</v>
      </c>
      <c r="BF199" s="815">
        <f>1+[2]!Salcycl*Ksac</f>
        <v>1.047965539931647</v>
      </c>
      <c r="BH199" s="1052">
        <f t="shared" si="91"/>
        <v>1.1271140414942904E-3</v>
      </c>
      <c r="BI199" s="11">
        <v>44381</v>
      </c>
      <c r="BJ199" s="725">
        <v>6.0024822126903312E-5</v>
      </c>
      <c r="BK199" s="725">
        <v>1.8476638919854866E-4</v>
      </c>
      <c r="BL199" s="725">
        <v>4.2747715545547401E-4</v>
      </c>
      <c r="BM199" s="725">
        <v>8.7245743457026723E-4</v>
      </c>
      <c r="BN199" s="725">
        <v>1.5102309516357329E-3</v>
      </c>
      <c r="BO199" s="726">
        <v>2.3190023217500486E-3</v>
      </c>
      <c r="BP199" s="725">
        <v>3.364907545361207E-3</v>
      </c>
      <c r="BQ199" s="725">
        <v>4.821222065659987E-3</v>
      </c>
      <c r="BR199" s="725">
        <v>6.8826464417108815E-3</v>
      </c>
      <c r="BS199" s="725">
        <v>9.6776611653501977E-3</v>
      </c>
      <c r="BT199" s="725">
        <v>1.2999881535767572E-2</v>
      </c>
      <c r="BW199" s="1189">
        <f>'2018'!R\Max</f>
        <v>0</v>
      </c>
      <c r="BX199" s="1187">
        <f>'2019'!R\Max</f>
        <v>0.93856971503606201</v>
      </c>
      <c r="BY199" s="1187">
        <f>'2020'!R\Max</f>
        <v>0.76087601335632016</v>
      </c>
      <c r="BZ199" s="1187">
        <f>'2021'!R\Max</f>
        <v>0.63311726802963908</v>
      </c>
      <c r="CA199" s="1187">
        <f>'2022'!R\Max</f>
        <v>0.75498789938666033</v>
      </c>
      <c r="CB199" s="1187">
        <f>'2023'!R\Max</f>
        <v>0.75497699991098777</v>
      </c>
      <c r="CC199" s="1187">
        <f>'2024'!R\Max</f>
        <v>0.75496513128951026</v>
      </c>
      <c r="CD199" s="1187">
        <f>'2025'!R\Max</f>
        <v>0.75502235754665126</v>
      </c>
      <c r="CE199" s="1187">
        <f>'2026'!R\Max</f>
        <v>0.75501539803278417</v>
      </c>
      <c r="CF199" s="1188">
        <f>'2027'!R\Max</f>
        <v>0.75500697094250424</v>
      </c>
    </row>
    <row r="200" spans="1:84" s="6" customFormat="1" ht="11.25" x14ac:dyDescent="0.2">
      <c r="A200" s="11">
        <v>43286</v>
      </c>
      <c r="B200" s="380">
        <f>'2022'!Maxi_hp</f>
        <v>63.499188646110007</v>
      </c>
      <c r="C200" s="13">
        <f>'2022'!An_max</f>
        <v>2020</v>
      </c>
      <c r="D200" s="1061"/>
      <c r="E200" s="13"/>
      <c r="F200" s="13">
        <f t="shared" si="92"/>
        <v>15</v>
      </c>
      <c r="G200" s="13">
        <f t="shared" si="76"/>
        <v>14</v>
      </c>
      <c r="H200" s="173">
        <f t="shared" si="77"/>
        <v>43290</v>
      </c>
      <c r="I200" s="752">
        <f t="shared" si="78"/>
        <v>0.2857142857142857</v>
      </c>
      <c r="J200" s="745">
        <f t="shared" si="79"/>
        <v>63.051311953578683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4">
        <v>43286</v>
      </c>
      <c r="AP200" s="13">
        <f t="shared" si="80"/>
        <v>9</v>
      </c>
      <c r="AQ200" s="13">
        <f t="shared" si="81"/>
        <v>8</v>
      </c>
      <c r="AR200" s="173">
        <f t="shared" si="82"/>
        <v>43304</v>
      </c>
      <c r="AS200" s="752">
        <f t="shared" si="83"/>
        <v>0.6428571428571429</v>
      </c>
      <c r="AT200" s="768">
        <f t="shared" si="84"/>
        <v>63.028443877319134</v>
      </c>
      <c r="AU200" s="13">
        <f t="shared" si="85"/>
        <v>7</v>
      </c>
      <c r="AV200" s="13">
        <f t="shared" si="86"/>
        <v>8</v>
      </c>
      <c r="AW200" s="173">
        <f t="shared" si="87"/>
        <v>43262</v>
      </c>
      <c r="AX200" s="752">
        <f t="shared" si="88"/>
        <v>0.8571428571428571</v>
      </c>
      <c r="AY200" s="768">
        <f t="shared" si="89"/>
        <v>63.078717200937014</v>
      </c>
      <c r="AZ200" s="745">
        <f t="shared" si="93"/>
        <v>63.053580539128077</v>
      </c>
      <c r="BA200" s="642">
        <f t="shared" si="90"/>
        <v>1.0071033683305601</v>
      </c>
      <c r="BC200" s="11">
        <v>43286</v>
      </c>
      <c r="BD200" s="290">
        <f>[2]!FeuilCaduc*(1-Persistant)+Persistant</f>
        <v>0.98903447113964404</v>
      </c>
      <c r="BE200" s="291">
        <f>[2]!CroissVégét</f>
        <v>0.73628787157048126</v>
      </c>
      <c r="BF200" s="815">
        <f>1+[2]!Salcycl*Ksac</f>
        <v>1.0481724118566074</v>
      </c>
      <c r="BH200" s="1052">
        <f t="shared" si="91"/>
        <v>1.1176460086901826E-3</v>
      </c>
      <c r="BI200" s="11">
        <v>44382</v>
      </c>
      <c r="BJ200" s="725">
        <v>6.1277381885483308E-5</v>
      </c>
      <c r="BK200" s="725">
        <v>1.8341871790345752E-4</v>
      </c>
      <c r="BL200" s="725">
        <v>4.245039280938372E-4</v>
      </c>
      <c r="BM200" s="725">
        <v>8.6562907639132971E-4</v>
      </c>
      <c r="BN200" s="725">
        <v>1.4967916730100866E-3</v>
      </c>
      <c r="BO200" s="726">
        <v>2.2987234415069242E-3</v>
      </c>
      <c r="BP200" s="725">
        <v>3.3430170268968417E-3</v>
      </c>
      <c r="BQ200" s="725">
        <v>4.8047361383330026E-3</v>
      </c>
      <c r="BR200" s="725">
        <v>6.8741982279203031E-3</v>
      </c>
      <c r="BS200" s="725">
        <v>9.6747105837452808E-3</v>
      </c>
      <c r="BT200" s="725">
        <v>1.2998736512692755E-2</v>
      </c>
      <c r="BW200" s="1189">
        <f>'2018'!R\Max</f>
        <v>0</v>
      </c>
      <c r="BX200" s="1187">
        <f>'2019'!R\Max</f>
        <v>0.92032077373030008</v>
      </c>
      <c r="BY200" s="1187">
        <f>'2020'!R\Max</f>
        <v>1.0071033683305601</v>
      </c>
      <c r="BZ200" s="1187">
        <f>'2021'!R\Max</f>
        <v>0.97326581155265124</v>
      </c>
      <c r="CA200" s="1187">
        <f>'2022'!R\Max</f>
        <v>0.97307896003741623</v>
      </c>
      <c r="CB200" s="1187">
        <f>'2023'!R\Max</f>
        <v>0.97307741501068956</v>
      </c>
      <c r="CC200" s="1187">
        <f>'2024'!R\Max</f>
        <v>0.97307572501381723</v>
      </c>
      <c r="CD200" s="1187">
        <f>'2025'!R\Max</f>
        <v>0.97308382169418017</v>
      </c>
      <c r="CE200" s="1187">
        <f>'2026'!R\Max</f>
        <v>0.97308284152812963</v>
      </c>
      <c r="CF200" s="1188">
        <f>'2027'!R\Max</f>
        <v>0.97308165532198954</v>
      </c>
    </row>
    <row r="201" spans="1:84" s="6" customFormat="1" ht="11.25" x14ac:dyDescent="0.2">
      <c r="A201" s="11">
        <v>43287</v>
      </c>
      <c r="B201" s="380">
        <f>'2022'!Maxi_hp</f>
        <v>62.806622289088963</v>
      </c>
      <c r="C201" s="13">
        <f>'2022'!An_max</f>
        <v>2020</v>
      </c>
      <c r="D201" s="1061"/>
      <c r="E201" s="13"/>
      <c r="F201" s="13">
        <f t="shared" si="92"/>
        <v>15</v>
      </c>
      <c r="G201" s="13">
        <f t="shared" si="76"/>
        <v>14</v>
      </c>
      <c r="H201" s="173">
        <f t="shared" si="77"/>
        <v>43290</v>
      </c>
      <c r="I201" s="752">
        <f t="shared" si="78"/>
        <v>0.21428571428571427</v>
      </c>
      <c r="J201" s="745">
        <f t="shared" si="79"/>
        <v>62.969606413559191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4">
        <v>43287</v>
      </c>
      <c r="AP201" s="13">
        <f t="shared" si="80"/>
        <v>9</v>
      </c>
      <c r="AQ201" s="13">
        <f t="shared" si="81"/>
        <v>8</v>
      </c>
      <c r="AR201" s="173">
        <f t="shared" si="82"/>
        <v>43304</v>
      </c>
      <c r="AS201" s="752">
        <f t="shared" si="83"/>
        <v>0.6071428571428571</v>
      </c>
      <c r="AT201" s="768">
        <f t="shared" si="84"/>
        <v>62.946380739153497</v>
      </c>
      <c r="AU201" s="13">
        <f t="shared" si="85"/>
        <v>7</v>
      </c>
      <c r="AV201" s="13">
        <f t="shared" si="86"/>
        <v>8</v>
      </c>
      <c r="AW201" s="173">
        <f t="shared" si="87"/>
        <v>43262</v>
      </c>
      <c r="AX201" s="752">
        <f t="shared" si="88"/>
        <v>0.8928571428571429</v>
      </c>
      <c r="AY201" s="768">
        <f t="shared" si="89"/>
        <v>62.989347212468942</v>
      </c>
      <c r="AZ201" s="745">
        <f t="shared" si="93"/>
        <v>62.96786397581122</v>
      </c>
      <c r="BA201" s="642">
        <f t="shared" si="90"/>
        <v>0.99741170171209559</v>
      </c>
      <c r="BC201" s="11">
        <v>43287</v>
      </c>
      <c r="BD201" s="290">
        <f>[2]!FeuilCaduc*(1-Persistant)+Persistant</f>
        <v>0.99018930880344358</v>
      </c>
      <c r="BE201" s="291">
        <f>[2]!CroissVégét</f>
        <v>0.74420074649273349</v>
      </c>
      <c r="BF201" s="815">
        <f>1+[2]!Salcycl*Ksac</f>
        <v>1.048364884800574</v>
      </c>
      <c r="BH201" s="1052">
        <f t="shared" si="91"/>
        <v>1.1056605845918385E-3</v>
      </c>
      <c r="BI201" s="11">
        <v>44383</v>
      </c>
      <c r="BJ201" s="725">
        <v>6.1875990049409412E-5</v>
      </c>
      <c r="BK201" s="725">
        <v>1.8083139602948083E-4</v>
      </c>
      <c r="BL201" s="725">
        <v>4.1981557312018036E-4</v>
      </c>
      <c r="BM201" s="725">
        <v>8.5638089261166482E-4</v>
      </c>
      <c r="BN201" s="725">
        <v>1.4806882208508417E-3</v>
      </c>
      <c r="BO201" s="726">
        <v>2.2758966574265532E-3</v>
      </c>
      <c r="BP201" s="725">
        <v>3.3193521988487138E-3</v>
      </c>
      <c r="BQ201" s="725">
        <v>4.7874307943931819E-3</v>
      </c>
      <c r="BR201" s="725">
        <v>6.8658546355642256E-3</v>
      </c>
      <c r="BS201" s="725">
        <v>9.6729347591541677E-3</v>
      </c>
      <c r="BT201" s="725">
        <v>1.299986911573558E-2</v>
      </c>
      <c r="BW201" s="1189">
        <f>'2018'!R\Max</f>
        <v>0</v>
      </c>
      <c r="BX201" s="1187">
        <f>'2019'!R\Max</f>
        <v>0.89859844049648518</v>
      </c>
      <c r="BY201" s="1187">
        <f>'2020'!R\Max</f>
        <v>0.99741170171209559</v>
      </c>
      <c r="BZ201" s="1187">
        <f>'2021'!R\Max</f>
        <v>0.35636325369935229</v>
      </c>
      <c r="CA201" s="1187">
        <f>'2022'!R\Max</f>
        <v>0.85561101998993894</v>
      </c>
      <c r="CB201" s="1187">
        <f>'2023'!R\Max</f>
        <v>0.85560372163961873</v>
      </c>
      <c r="CC201" s="1187">
        <f>'2024'!R\Max</f>
        <v>0.85559570273837049</v>
      </c>
      <c r="CD201" s="1187">
        <f>'2025'!R\Max</f>
        <v>0.85563386669520636</v>
      </c>
      <c r="CE201" s="1187">
        <f>'2026'!R\Max</f>
        <v>0.85562927099284125</v>
      </c>
      <c r="CF201" s="1188">
        <f>'2027'!R\Max</f>
        <v>0.85562370993978853</v>
      </c>
    </row>
    <row r="202" spans="1:84" s="6" customFormat="1" ht="11.25" x14ac:dyDescent="0.2">
      <c r="A202" s="11">
        <v>43288</v>
      </c>
      <c r="B202" s="380">
        <f>'2022'!Maxi_hp</f>
        <v>61.475793870617331</v>
      </c>
      <c r="C202" s="13">
        <f>'2022'!An_max</f>
        <v>2022</v>
      </c>
      <c r="D202" s="1061"/>
      <c r="E202" s="13"/>
      <c r="F202" s="13">
        <f t="shared" si="92"/>
        <v>15</v>
      </c>
      <c r="G202" s="13">
        <f t="shared" si="76"/>
        <v>14</v>
      </c>
      <c r="H202" s="173">
        <f t="shared" si="77"/>
        <v>43290</v>
      </c>
      <c r="I202" s="752">
        <f t="shared" si="78"/>
        <v>0.14285714285714285</v>
      </c>
      <c r="J202" s="745">
        <f t="shared" si="79"/>
        <v>62.883965014347005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4">
        <v>43288</v>
      </c>
      <c r="AP202" s="13">
        <f t="shared" si="80"/>
        <v>9</v>
      </c>
      <c r="AQ202" s="13">
        <f t="shared" si="81"/>
        <v>8</v>
      </c>
      <c r="AR202" s="173">
        <f t="shared" si="82"/>
        <v>43304</v>
      </c>
      <c r="AS202" s="752">
        <f t="shared" si="83"/>
        <v>0.5714285714285714</v>
      </c>
      <c r="AT202" s="768">
        <f t="shared" si="84"/>
        <v>62.861224489126883</v>
      </c>
      <c r="AU202" s="13">
        <f t="shared" si="85"/>
        <v>7</v>
      </c>
      <c r="AV202" s="13">
        <f t="shared" si="86"/>
        <v>8</v>
      </c>
      <c r="AW202" s="173">
        <f t="shared" si="87"/>
        <v>43262</v>
      </c>
      <c r="AX202" s="752">
        <f t="shared" si="88"/>
        <v>0.9285714285714286</v>
      </c>
      <c r="AY202" s="768">
        <f t="shared" si="89"/>
        <v>62.896446793127268</v>
      </c>
      <c r="AZ202" s="745">
        <f t="shared" si="93"/>
        <v>62.878835641127075</v>
      </c>
      <c r="BA202" s="642">
        <f t="shared" si="90"/>
        <v>0.97760683278466298</v>
      </c>
      <c r="BC202" s="11">
        <v>43288</v>
      </c>
      <c r="BD202" s="290">
        <f>[2]!FeuilCaduc*(1-Persistant)+Persistant</f>
        <v>0.99126056998616618</v>
      </c>
      <c r="BE202" s="291">
        <f>[2]!CroissVégét</f>
        <v>0.75195632992281269</v>
      </c>
      <c r="BF202" s="815">
        <f>1+[2]!Salcycl*Ksac</f>
        <v>1.0485434283310278</v>
      </c>
      <c r="BH202" s="1052">
        <f t="shared" si="91"/>
        <v>1.0911617164609333E-3</v>
      </c>
      <c r="BI202" s="11">
        <v>44384</v>
      </c>
      <c r="BJ202" s="725">
        <v>6.1821607988318548E-5</v>
      </c>
      <c r="BK202" s="725">
        <v>1.7700621138569482E-4</v>
      </c>
      <c r="BL202" s="725">
        <v>4.1341464543152422E-4</v>
      </c>
      <c r="BM202" s="725">
        <v>8.4471659666957499E-4</v>
      </c>
      <c r="BN202" s="725">
        <v>1.4619248941941236E-3</v>
      </c>
      <c r="BO202" s="726">
        <v>2.2505264577994139E-3</v>
      </c>
      <c r="BP202" s="725">
        <v>3.2939170889078988E-3</v>
      </c>
      <c r="BQ202" s="725">
        <v>4.769309748013313E-3</v>
      </c>
      <c r="BR202" s="725">
        <v>6.8576195307778545E-3</v>
      </c>
      <c r="BS202" s="725">
        <v>9.6723379020415071E-3</v>
      </c>
      <c r="BT202" s="725">
        <v>1.3003284098242354E-2</v>
      </c>
      <c r="BW202" s="1189">
        <f>'2018'!R\Max</f>
        <v>0</v>
      </c>
      <c r="BX202" s="1187">
        <f>'2019'!R\Max</f>
        <v>0.86092984182176335</v>
      </c>
      <c r="BY202" s="1187">
        <f>'2020'!R\Max</f>
        <v>0.74251485324330102</v>
      </c>
      <c r="BZ202" s="1187">
        <f>'2021'!R\Max</f>
        <v>0.75120783231000898</v>
      </c>
      <c r="CA202" s="1187">
        <f>'2022'!R\Max</f>
        <v>0.97760683278466298</v>
      </c>
      <c r="CB202" s="1187">
        <f>'2023'!R\Max</f>
        <v>0.97760553640934567</v>
      </c>
      <c r="CC202" s="1187">
        <f>'2024'!R\Max</f>
        <v>0.97760410562962041</v>
      </c>
      <c r="CD202" s="1187">
        <f>'2025'!R\Max</f>
        <v>0.97761086748784853</v>
      </c>
      <c r="CE202" s="1187">
        <f>'2026'!R\Max</f>
        <v>0.97761005820947133</v>
      </c>
      <c r="CF202" s="1188">
        <f>'2027'!R\Max</f>
        <v>0.97760907860564761</v>
      </c>
    </row>
    <row r="203" spans="1:84" s="6" customFormat="1" ht="11.25" x14ac:dyDescent="0.2">
      <c r="A203" s="11">
        <v>43289</v>
      </c>
      <c r="B203" s="380">
        <f>'2022'!Maxi_hp</f>
        <v>64.296413487200894</v>
      </c>
      <c r="C203" s="13">
        <f>'2022'!An_max</f>
        <v>2020</v>
      </c>
      <c r="D203" s="1061"/>
      <c r="E203" s="13"/>
      <c r="F203" s="13">
        <f t="shared" si="92"/>
        <v>15</v>
      </c>
      <c r="G203" s="13">
        <f t="shared" si="76"/>
        <v>14</v>
      </c>
      <c r="H203" s="173">
        <f t="shared" si="77"/>
        <v>43290</v>
      </c>
      <c r="I203" s="752">
        <f t="shared" si="78"/>
        <v>7.1428571428571425E-2</v>
      </c>
      <c r="J203" s="745">
        <f t="shared" si="79"/>
        <v>62.794169096169718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4">
        <v>43289</v>
      </c>
      <c r="AP203" s="13">
        <f t="shared" si="80"/>
        <v>9</v>
      </c>
      <c r="AQ203" s="13">
        <f t="shared" si="81"/>
        <v>8</v>
      </c>
      <c r="AR203" s="173">
        <f t="shared" si="82"/>
        <v>43304</v>
      </c>
      <c r="AS203" s="752">
        <f t="shared" si="83"/>
        <v>0.5357142857142857</v>
      </c>
      <c r="AT203" s="768">
        <f t="shared" si="84"/>
        <v>62.772879463607183</v>
      </c>
      <c r="AU203" s="13">
        <f t="shared" si="85"/>
        <v>7</v>
      </c>
      <c r="AV203" s="13">
        <f t="shared" si="86"/>
        <v>8</v>
      </c>
      <c r="AW203" s="173">
        <f t="shared" si="87"/>
        <v>43262</v>
      </c>
      <c r="AX203" s="752">
        <f t="shared" si="88"/>
        <v>0.9642857142857143</v>
      </c>
      <c r="AY203" s="768">
        <f t="shared" si="89"/>
        <v>62.800002277695704</v>
      </c>
      <c r="AZ203" s="745">
        <f t="shared" si="93"/>
        <v>62.786440870651447</v>
      </c>
      <c r="BA203" s="642">
        <f t="shared" si="90"/>
        <v>1.0239233102795018</v>
      </c>
      <c r="BC203" s="11">
        <v>43289</v>
      </c>
      <c r="BD203" s="290">
        <f>[2]!FeuilCaduc*(1-Persistant)+Persistant</f>
        <v>0.99225118838838622</v>
      </c>
      <c r="BE203" s="291">
        <f>[2]!CroissVégét</f>
        <v>0.75955291305401751</v>
      </c>
      <c r="BF203" s="815">
        <f>1+[2]!Salcycl*Ksac</f>
        <v>1.0487085313980644</v>
      </c>
      <c r="BH203" s="1052">
        <f t="shared" si="91"/>
        <v>1.0741532091464807E-3</v>
      </c>
      <c r="BI203" s="11">
        <v>44385</v>
      </c>
      <c r="BJ203" s="725">
        <v>6.1115168803047007E-5</v>
      </c>
      <c r="BK203" s="725">
        <v>1.7194488931172164E-4</v>
      </c>
      <c r="BL203" s="725">
        <v>4.053036109722128E-4</v>
      </c>
      <c r="BM203" s="725">
        <v>8.3063977039685849E-4</v>
      </c>
      <c r="BN203" s="725">
        <v>1.4405058334061248E-3</v>
      </c>
      <c r="BO203" s="726">
        <v>2.2226171620477117E-3</v>
      </c>
      <c r="BP203" s="725">
        <v>3.2667155899377609E-3</v>
      </c>
      <c r="BQ203" s="725">
        <v>4.7503766384515578E-3</v>
      </c>
      <c r="BR203" s="725">
        <v>6.8494967700355137E-3</v>
      </c>
      <c r="BS203" s="725">
        <v>9.6729242799611492E-3</v>
      </c>
      <c r="BT203" s="725">
        <v>1.3008986330528995E-2</v>
      </c>
      <c r="BW203" s="1189">
        <f>'2018'!R\Max</f>
        <v>0</v>
      </c>
      <c r="BX203" s="1187">
        <f>'2019'!R\Max</f>
        <v>0.57611618715089197</v>
      </c>
      <c r="BY203" s="1187">
        <f>'2020'!R\Max</f>
        <v>1.0239233102795018</v>
      </c>
      <c r="BZ203" s="1187">
        <f>'2021'!R\Max</f>
        <v>0.8333366742567111</v>
      </c>
      <c r="CA203" s="1187">
        <f>'2022'!R\Max</f>
        <v>1.0220028205169975</v>
      </c>
      <c r="CB203" s="1187">
        <f>'2023'!R\Max</f>
        <v>1.0220028205169978</v>
      </c>
      <c r="CC203" s="1187">
        <f>'2024'!R\Max</f>
        <v>1.0220028205169973</v>
      </c>
      <c r="CD203" s="1187">
        <f>'2025'!R\Max</f>
        <v>1.0220028205169975</v>
      </c>
      <c r="CE203" s="1187">
        <f>'2026'!R\Max</f>
        <v>1.0220028205169978</v>
      </c>
      <c r="CF203" s="1188">
        <f>'2027'!R\Max</f>
        <v>1.0220028205169978</v>
      </c>
    </row>
    <row r="204" spans="1:84" s="6" customFormat="1" ht="11.25" x14ac:dyDescent="0.2">
      <c r="A204" s="11">
        <v>43290</v>
      </c>
      <c r="B204" s="380">
        <f>'2022'!Maxi_hp</f>
        <v>63.090588335933631</v>
      </c>
      <c r="C204" s="13">
        <f>'2022'!An_max</f>
        <v>2022</v>
      </c>
      <c r="D204" s="1061"/>
      <c r="E204" s="1056">
        <f>AA$13/10</f>
        <v>62.7</v>
      </c>
      <c r="F204" s="13">
        <f t="shared" si="92"/>
        <v>15</v>
      </c>
      <c r="G204" s="13">
        <f t="shared" si="76"/>
        <v>16</v>
      </c>
      <c r="H204" s="173">
        <f t="shared" si="77"/>
        <v>43290</v>
      </c>
      <c r="I204" s="752">
        <f t="shared" si="78"/>
        <v>0</v>
      </c>
      <c r="J204" s="745">
        <f t="shared" si="79"/>
        <v>62.700000000372526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4">
        <v>43290</v>
      </c>
      <c r="AP204" s="13">
        <f t="shared" si="80"/>
        <v>9</v>
      </c>
      <c r="AQ204" s="13">
        <f t="shared" si="81"/>
        <v>8</v>
      </c>
      <c r="AR204" s="173">
        <f t="shared" si="82"/>
        <v>43304</v>
      </c>
      <c r="AS204" s="752">
        <f t="shared" si="83"/>
        <v>0.5</v>
      </c>
      <c r="AT204" s="768">
        <f t="shared" si="84"/>
        <v>62.681249999254945</v>
      </c>
      <c r="AU204" s="13">
        <f t="shared" si="85"/>
        <v>9</v>
      </c>
      <c r="AV204" s="13">
        <f t="shared" si="86"/>
        <v>8</v>
      </c>
      <c r="AW204" s="173">
        <f t="shared" si="87"/>
        <v>43318</v>
      </c>
      <c r="AX204" s="752">
        <f t="shared" si="88"/>
        <v>1</v>
      </c>
      <c r="AY204" s="768">
        <f t="shared" si="89"/>
        <v>62.699999999627472</v>
      </c>
      <c r="AZ204" s="745">
        <f t="shared" si="93"/>
        <v>62.690624999441212</v>
      </c>
      <c r="BA204" s="642">
        <f t="shared" si="90"/>
        <v>1.0062294790360253</v>
      </c>
      <c r="BC204" s="11">
        <v>43290</v>
      </c>
      <c r="BD204" s="290">
        <f>[2]!FeuilCaduc*(1-Persistant)+Persistant</f>
        <v>0.99316419478288387</v>
      </c>
      <c r="BE204" s="291">
        <f>[2]!CroissVégét</f>
        <v>0.76698911930492164</v>
      </c>
      <c r="BF204" s="815">
        <f>1+[2]!Salcycl*Ksac</f>
        <v>1.0488606991304807</v>
      </c>
      <c r="BH204" s="1052">
        <f t="shared" si="91"/>
        <v>1.0546387101254789E-3</v>
      </c>
      <c r="BI204" s="11">
        <v>44386</v>
      </c>
      <c r="BJ204" s="725">
        <v>5.9757573473212511E-5</v>
      </c>
      <c r="BK204" s="725">
        <v>1.6564908535065414E-4</v>
      </c>
      <c r="BL204" s="725">
        <v>3.9548483658051768E-4</v>
      </c>
      <c r="BM204" s="725">
        <v>8.1415384966378017E-4</v>
      </c>
      <c r="BN204" s="725">
        <v>1.4164350043145786E-3</v>
      </c>
      <c r="BO204" s="726">
        <v>2.1921729054584409E-3</v>
      </c>
      <c r="BP204" s="725">
        <v>3.2377514491988856E-3</v>
      </c>
      <c r="BQ204" s="725">
        <v>4.7306350248515396E-3</v>
      </c>
      <c r="BR204" s="725">
        <v>6.8414902003232038E-3</v>
      </c>
      <c r="BS204" s="725">
        <v>9.6746982239063733E-3</v>
      </c>
      <c r="BT204" s="725">
        <v>1.3016980812551331E-2</v>
      </c>
      <c r="BW204" s="1189">
        <f>'2018'!R\Max</f>
        <v>0</v>
      </c>
      <c r="BX204" s="1187">
        <f>'2019'!R\Max</f>
        <v>0.34357106398170234</v>
      </c>
      <c r="BY204" s="1187">
        <f>'2020'!R\Max</f>
        <v>0.98762336976985499</v>
      </c>
      <c r="BZ204" s="1187">
        <f>'2021'!R\Max</f>
        <v>0.98471237872496165</v>
      </c>
      <c r="CA204" s="1187">
        <f>'2022'!R\Max</f>
        <v>1.0062294790360253</v>
      </c>
      <c r="CB204" s="1187">
        <f>'2023'!R\Max</f>
        <v>1.0062294790360253</v>
      </c>
      <c r="CC204" s="1187">
        <f>'2024'!R\Max</f>
        <v>1.0062294790360253</v>
      </c>
      <c r="CD204" s="1187">
        <f>'2025'!R\Max</f>
        <v>1.0062294790360251</v>
      </c>
      <c r="CE204" s="1187">
        <f>'2026'!R\Max</f>
        <v>1.0062294790360253</v>
      </c>
      <c r="CF204" s="1188">
        <f>'2027'!R\Max</f>
        <v>1.0062294790360253</v>
      </c>
    </row>
    <row r="205" spans="1:84" s="6" customFormat="1" ht="11.25" x14ac:dyDescent="0.2">
      <c r="A205" s="11">
        <v>43291</v>
      </c>
      <c r="B205" s="380">
        <f>'2022'!Maxi_hp</f>
        <v>63.53664171225423</v>
      </c>
      <c r="C205" s="13">
        <f>'2022'!An_max</f>
        <v>2019</v>
      </c>
      <c r="D205" s="1061"/>
      <c r="E205" s="13"/>
      <c r="F205" s="13">
        <f t="shared" si="92"/>
        <v>15</v>
      </c>
      <c r="G205" s="13">
        <f t="shared" si="76"/>
        <v>16</v>
      </c>
      <c r="H205" s="173">
        <f t="shared" si="77"/>
        <v>43290</v>
      </c>
      <c r="I205" s="752">
        <f t="shared" si="78"/>
        <v>7.1428571428571425E-2</v>
      </c>
      <c r="J205" s="745">
        <f t="shared" si="79"/>
        <v>62.602022594639244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4">
        <v>43291</v>
      </c>
      <c r="AP205" s="13">
        <f t="shared" si="80"/>
        <v>9</v>
      </c>
      <c r="AQ205" s="13">
        <f t="shared" si="81"/>
        <v>8</v>
      </c>
      <c r="AR205" s="173">
        <f t="shared" si="82"/>
        <v>43304</v>
      </c>
      <c r="AS205" s="752">
        <f t="shared" si="83"/>
        <v>0.4642857142857143</v>
      </c>
      <c r="AT205" s="768">
        <f t="shared" si="84"/>
        <v>62.586240433356053</v>
      </c>
      <c r="AU205" s="13">
        <f t="shared" si="85"/>
        <v>9</v>
      </c>
      <c r="AV205" s="13">
        <f t="shared" si="86"/>
        <v>8</v>
      </c>
      <c r="AW205" s="173">
        <f t="shared" si="87"/>
        <v>43318</v>
      </c>
      <c r="AX205" s="752">
        <f t="shared" si="88"/>
        <v>0.9642857142857143</v>
      </c>
      <c r="AY205" s="768">
        <f t="shared" si="89"/>
        <v>62.596738338031415</v>
      </c>
      <c r="AZ205" s="745">
        <f t="shared" si="93"/>
        <v>62.591489385693734</v>
      </c>
      <c r="BA205" s="642">
        <f t="shared" si="90"/>
        <v>1.0149295354826926</v>
      </c>
      <c r="BC205" s="11">
        <v>43291</v>
      </c>
      <c r="BD205" s="290">
        <f>[2]!FeuilCaduc*(1-Persistant)+Persistant</f>
        <v>0.99400269769686422</v>
      </c>
      <c r="BE205" s="291">
        <f>[2]!CroissVégét</f>
        <v>0.77426389460057909</v>
      </c>
      <c r="BF205" s="815">
        <f>1+[2]!Salcycl*Ksac</f>
        <v>1.049000449616144</v>
      </c>
      <c r="BH205" s="1052">
        <f t="shared" si="91"/>
        <v>1.0326216945899689E-3</v>
      </c>
      <c r="BI205" s="11">
        <v>44387</v>
      </c>
      <c r="BJ205" s="725">
        <v>5.7749687007419329E-5</v>
      </c>
      <c r="BK205" s="725">
        <v>1.5812037792948329E-4</v>
      </c>
      <c r="BL205" s="725">
        <v>3.8396057985280686E-4</v>
      </c>
      <c r="BM205" s="725">
        <v>7.9526211005996042E-4</v>
      </c>
      <c r="BN205" s="725">
        <v>1.3897161824024298E-3</v>
      </c>
      <c r="BO205" s="726">
        <v>2.1591976240122445E-3</v>
      </c>
      <c r="BP205" s="725">
        <v>3.207028257714331E-3</v>
      </c>
      <c r="BQ205" s="725">
        <v>4.7100883812457427E-3</v>
      </c>
      <c r="BR205" s="725">
        <v>6.8336036596036657E-3</v>
      </c>
      <c r="BS205" s="725">
        <v>9.6776641350726986E-3</v>
      </c>
      <c r="BT205" s="725">
        <v>1.3027272687130149E-2</v>
      </c>
      <c r="BW205" s="1189">
        <f>'2018'!R\Max</f>
        <v>0</v>
      </c>
      <c r="BX205" s="1187">
        <f>'2019'!R\Max</f>
        <v>1.0149295354826926</v>
      </c>
      <c r="BY205" s="1187">
        <f>'2020'!R\Max</f>
        <v>0.92721180671484149</v>
      </c>
      <c r="BZ205" s="1187">
        <f>'2021'!R\Max</f>
        <v>0.86377715085389561</v>
      </c>
      <c r="CA205" s="1187">
        <f>'2022'!R\Max</f>
        <v>0.99625196605561972</v>
      </c>
      <c r="CB205" s="1187">
        <f>'2023'!R\Max</f>
        <v>0.9962517423795344</v>
      </c>
      <c r="CC205" s="1187">
        <f>'2024'!R\Max</f>
        <v>0.99625149220205289</v>
      </c>
      <c r="CD205" s="1187">
        <f>'2025'!R\Max</f>
        <v>0.99625264803254265</v>
      </c>
      <c r="CE205" s="1187">
        <f>'2026'!R\Max</f>
        <v>0.99625251285990113</v>
      </c>
      <c r="CF205" s="1188">
        <f>'2027'!R\Max</f>
        <v>0.99625234863718559</v>
      </c>
    </row>
    <row r="206" spans="1:84" s="6" customFormat="1" ht="11.25" x14ac:dyDescent="0.2">
      <c r="A206" s="11">
        <v>43292</v>
      </c>
      <c r="B206" s="380">
        <f>'2022'!Maxi_hp</f>
        <v>62.742397262991474</v>
      </c>
      <c r="C206" s="13">
        <f>'2022'!An_max</f>
        <v>2019</v>
      </c>
      <c r="D206" s="1061"/>
      <c r="E206" s="13"/>
      <c r="F206" s="13">
        <f t="shared" si="92"/>
        <v>15</v>
      </c>
      <c r="G206" s="13">
        <f t="shared" si="76"/>
        <v>16</v>
      </c>
      <c r="H206" s="173">
        <f t="shared" si="77"/>
        <v>43290</v>
      </c>
      <c r="I206" s="752">
        <f t="shared" si="78"/>
        <v>0.14285714285714285</v>
      </c>
      <c r="J206" s="745">
        <f t="shared" si="79"/>
        <v>62.500874635364333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4">
        <v>43292</v>
      </c>
      <c r="AP206" s="13">
        <f t="shared" si="80"/>
        <v>9</v>
      </c>
      <c r="AQ206" s="13">
        <f t="shared" si="81"/>
        <v>8</v>
      </c>
      <c r="AR206" s="173">
        <f t="shared" si="82"/>
        <v>43304</v>
      </c>
      <c r="AS206" s="752">
        <f t="shared" si="83"/>
        <v>0.42857142857142855</v>
      </c>
      <c r="AT206" s="768">
        <f t="shared" si="84"/>
        <v>62.48775510149342</v>
      </c>
      <c r="AU206" s="13">
        <f t="shared" si="85"/>
        <v>9</v>
      </c>
      <c r="AV206" s="13">
        <f t="shared" si="86"/>
        <v>8</v>
      </c>
      <c r="AW206" s="173">
        <f t="shared" si="87"/>
        <v>43318</v>
      </c>
      <c r="AX206" s="752">
        <f t="shared" si="88"/>
        <v>0.9285714285714286</v>
      </c>
      <c r="AY206" s="768">
        <f t="shared" si="89"/>
        <v>62.490488338390627</v>
      </c>
      <c r="AZ206" s="745">
        <f t="shared" si="93"/>
        <v>62.48912171994202</v>
      </c>
      <c r="BA206" s="642">
        <f t="shared" si="90"/>
        <v>1.0038643079642677</v>
      </c>
      <c r="BC206" s="11">
        <v>43292</v>
      </c>
      <c r="BD206" s="290">
        <f>[2]!FeuilCaduc*(1-Persistant)+Persistant</f>
        <v>0.9947698641403302</v>
      </c>
      <c r="BE206" s="291">
        <f>[2]!CroissVégét</f>
        <v>0.78137649671730769</v>
      </c>
      <c r="BF206" s="815">
        <f>1+[2]!Salcycl*Ksac</f>
        <v>1.0491283106900551</v>
      </c>
      <c r="BH206" s="1052">
        <f t="shared" si="91"/>
        <v>1.0089243430443078E-3</v>
      </c>
      <c r="BI206" s="11">
        <v>44388</v>
      </c>
      <c r="BJ206" s="725">
        <v>5.5206924721361909E-5</v>
      </c>
      <c r="BK206" s="725">
        <v>1.4974088330436695E-4</v>
      </c>
      <c r="BL206" s="725">
        <v>3.7114643716510223E-4</v>
      </c>
      <c r="BM206" s="725">
        <v>7.7463764408447185E-4</v>
      </c>
      <c r="BN206" s="725">
        <v>1.3613958429080839E-3</v>
      </c>
      <c r="BO206" s="726">
        <v>2.1252987591312542E-3</v>
      </c>
      <c r="BP206" s="725">
        <v>3.1761517279218828E-3</v>
      </c>
      <c r="BQ206" s="725">
        <v>4.6895525341890728E-3</v>
      </c>
      <c r="BR206" s="725">
        <v>6.8256684890277844E-3</v>
      </c>
      <c r="BS206" s="725">
        <v>9.6824839496490039E-3</v>
      </c>
      <c r="BT206" s="725">
        <v>1.3043576058833328E-2</v>
      </c>
      <c r="BW206" s="1189">
        <f>'2018'!R\Max</f>
        <v>0</v>
      </c>
      <c r="BX206" s="1187">
        <f>'2019'!R\Max</f>
        <v>1.0038643079642677</v>
      </c>
      <c r="BY206" s="1187">
        <f>'2020'!R\Max</f>
        <v>0.77417518269177321</v>
      </c>
      <c r="BZ206" s="1187">
        <f>'2021'!R\Max</f>
        <v>0.84870177847523798</v>
      </c>
      <c r="CA206" s="1187">
        <f>'2022'!R\Max</f>
        <v>0.9664080494364673</v>
      </c>
      <c r="CB206" s="1187">
        <f>'2023'!R\Max</f>
        <v>0.96640609451171922</v>
      </c>
      <c r="CC206" s="1187">
        <f>'2024'!R\Max</f>
        <v>0.96640389880689981</v>
      </c>
      <c r="CD206" s="1187">
        <f>'2025'!R\Max</f>
        <v>0.96641396621500131</v>
      </c>
      <c r="CE206" s="1187">
        <f>'2026'!R\Max</f>
        <v>0.9664127992861935</v>
      </c>
      <c r="CF206" s="1188">
        <f>'2027'!R\Max</f>
        <v>0.96641137847360814</v>
      </c>
    </row>
    <row r="207" spans="1:84" s="6" customFormat="1" ht="11.25" x14ac:dyDescent="0.2">
      <c r="A207" s="11">
        <v>43293</v>
      </c>
      <c r="B207" s="380">
        <f>'2022'!Maxi_hp</f>
        <v>63.292549815565977</v>
      </c>
      <c r="C207" s="13">
        <f>'2022'!An_max</f>
        <v>2019</v>
      </c>
      <c r="D207" s="1061"/>
      <c r="E207" s="13"/>
      <c r="F207" s="13">
        <f t="shared" si="92"/>
        <v>15</v>
      </c>
      <c r="G207" s="13">
        <f t="shared" ref="G207:G270" si="94">INT((MATCH($A207,x.2m)+1)/2)*2</f>
        <v>16</v>
      </c>
      <c r="H207" s="173">
        <f t="shared" ref="H207:H270" si="95">INDEX(x.2m,F207)</f>
        <v>43290</v>
      </c>
      <c r="I207" s="752">
        <f t="shared" ref="I207:I270" si="96">($A207-H207)/(INDEX(x.2m,G207)-H207)</f>
        <v>0.21428571428571427</v>
      </c>
      <c r="J207" s="745">
        <f t="shared" ref="J207:J270" si="97">((1-I207)*(INDEX(a.m,F207)*$A207*$A207+INDEX(b.m,F207)*$A207+INDEX(c.m,F207))+I207*(INDEX(a.m,G207)*$A207*$A207+INDEX(b.m,G207)*$A207+INDEX(c.m,G207)))/10</f>
        <v>62.396446792967616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4">
        <v>43293</v>
      </c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3">
        <f t="shared" ref="AR207:AR270" si="100">INDEX(x.2lg,AP207)</f>
        <v>43304</v>
      </c>
      <c r="AS207" s="752">
        <f t="shared" ref="AS207:AS270" si="101">($A207-AR207)/(INDEX(x.2lg,AQ207)-AR207)</f>
        <v>0.39285714285714285</v>
      </c>
      <c r="AT207" s="768">
        <f t="shared" ref="AT207:AT270" si="102">((1-AS207)*(INDEX(a.lg,AP207)*$A207*$A207+INDEX(b.lg,AP207)*$A207+INDEX(c.lg,AP207))+AS207*(INDEX(a.lg,AQ207)*$A207*$A207+INDEX(b.lg,AQ207)*$A207+INDEX(c.lg,AQ207)))/10</f>
        <v>62.385698341192416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3">
        <f t="shared" ref="AW207:AW270" si="105">INDEX(x.2ld,AU207)</f>
        <v>43318</v>
      </c>
      <c r="AX207" s="752">
        <f t="shared" ref="AX207:AX270" si="106">($A207-AW207)/(INDEX(x.2ld,AV207)-AW207)</f>
        <v>0.8928571428571429</v>
      </c>
      <c r="AY207" s="768">
        <f t="shared" ref="AY207:AY270" si="107">((1-AX207)*(INDEX(a.ld,AU207)*$A207*$A207+INDEX(b.ld,AU207)*$A207+INDEX(c.ld,AU207))+AX207*(INDEX(a.ld,AV207)*$A207*$A207+INDEX(b.ld,AV207)*$A207+INDEX(c.ld,AV207)))/10</f>
        <v>62.381195335103463</v>
      </c>
      <c r="AZ207" s="745">
        <f t="shared" si="93"/>
        <v>62.38344683814794</v>
      </c>
      <c r="BA207" s="642">
        <f t="shared" ref="BA207:BA270" si="108">+B207/J207</f>
        <v>1.0143614431374857</v>
      </c>
      <c r="BC207" s="11">
        <v>43293</v>
      </c>
      <c r="BD207" s="290">
        <f>[2]!FeuilCaduc*(1-Persistant)+Persistant</f>
        <v>0.99546890051879178</v>
      </c>
      <c r="BE207" s="291">
        <f>[2]!CroissVégét</f>
        <v>0.78832648381074411</v>
      </c>
      <c r="BF207" s="815">
        <f>1+[2]!Salcycl*Ksac</f>
        <v>1.0492448167531321</v>
      </c>
      <c r="BH207" s="1052">
        <f t="shared" ref="BH207:BH270" si="109">INDEX($BJ207:$BT207,,$BH$10)*(1-Ratini)+INDEX($BJ207:$BT207,,$BH$10+1)*Ratini</f>
        <v>9.8459827516052061E-4</v>
      </c>
      <c r="BI207" s="11">
        <v>44389</v>
      </c>
      <c r="BJ207" s="725">
        <v>5.2242591448361965E-5</v>
      </c>
      <c r="BK207" s="725">
        <v>1.4090858166671113E-4</v>
      </c>
      <c r="BL207" s="725">
        <v>3.5769903114681083E-4</v>
      </c>
      <c r="BM207" s="725">
        <v>7.5331559638038264E-4</v>
      </c>
      <c r="BN207" s="725">
        <v>1.3325503912818132E-3</v>
      </c>
      <c r="BO207" s="726">
        <v>2.0913667023820838E-3</v>
      </c>
      <c r="BP207" s="725">
        <v>3.1454803715661051E-3</v>
      </c>
      <c r="BQ207" s="725">
        <v>4.6689156783967373E-3</v>
      </c>
      <c r="BR207" s="725">
        <v>6.8172532399760283E-3</v>
      </c>
      <c r="BS207" s="725">
        <v>9.6891714251212003E-3</v>
      </c>
      <c r="BT207" s="725">
        <v>1.3067162273261995E-2</v>
      </c>
      <c r="BW207" s="1189">
        <f>'2018'!R\Max</f>
        <v>0</v>
      </c>
      <c r="BX207" s="1187">
        <f>'2019'!R\Max</f>
        <v>1.0143614431374857</v>
      </c>
      <c r="BY207" s="1187">
        <f>'2020'!R\Max</f>
        <v>0.8726053838011073</v>
      </c>
      <c r="BZ207" s="1187">
        <f>'2021'!R\Max</f>
        <v>0.23358533954683569</v>
      </c>
      <c r="CA207" s="1187">
        <f>'2022'!R\Max</f>
        <v>0.96152332678809471</v>
      </c>
      <c r="CB207" s="1187">
        <f>'2023'!R\Max</f>
        <v>0.9615210866832965</v>
      </c>
      <c r="CC207" s="1187">
        <f>'2024'!R\Max</f>
        <v>0.96151856056935137</v>
      </c>
      <c r="CD207" s="1187">
        <f>'2025'!R\Max</f>
        <v>0.96153005880795139</v>
      </c>
      <c r="CE207" s="1187">
        <f>'2026'!R\Max</f>
        <v>0.96152873792736582</v>
      </c>
      <c r="CF207" s="1188">
        <f>'2027'!R\Max</f>
        <v>0.96152712569133114</v>
      </c>
    </row>
    <row r="208" spans="1:84" s="6" customFormat="1" ht="11.25" x14ac:dyDescent="0.2">
      <c r="A208" s="11">
        <v>43294</v>
      </c>
      <c r="B208" s="380">
        <f>'2022'!Maxi_hp</f>
        <v>59.464663470930297</v>
      </c>
      <c r="C208" s="13">
        <f>'2022'!An_max</f>
        <v>2022</v>
      </c>
      <c r="D208" s="1061"/>
      <c r="E208" s="13"/>
      <c r="F208" s="13">
        <f t="shared" ref="F208:F271" si="110">INT(MATCH($A208,x.2m)/2)*2+1</f>
        <v>15</v>
      </c>
      <c r="G208" s="13">
        <f t="shared" si="94"/>
        <v>16</v>
      </c>
      <c r="H208" s="173">
        <f t="shared" si="95"/>
        <v>43290</v>
      </c>
      <c r="I208" s="752">
        <f t="shared" si="96"/>
        <v>0.2857142857142857</v>
      </c>
      <c r="J208" s="745">
        <f t="shared" si="97"/>
        <v>62.288629737602811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4">
        <v>43294</v>
      </c>
      <c r="AP208" s="13">
        <f t="shared" si="98"/>
        <v>9</v>
      </c>
      <c r="AQ208" s="13">
        <f t="shared" si="99"/>
        <v>8</v>
      </c>
      <c r="AR208" s="173">
        <f t="shared" si="100"/>
        <v>43304</v>
      </c>
      <c r="AS208" s="752">
        <f t="shared" si="101"/>
        <v>0.35714285714285715</v>
      </c>
      <c r="AT208" s="768">
        <f t="shared" si="102"/>
        <v>62.279974489579239</v>
      </c>
      <c r="AU208" s="13">
        <f t="shared" si="103"/>
        <v>9</v>
      </c>
      <c r="AV208" s="13">
        <f t="shared" si="104"/>
        <v>8</v>
      </c>
      <c r="AW208" s="173">
        <f t="shared" si="105"/>
        <v>43318</v>
      </c>
      <c r="AX208" s="752">
        <f t="shared" si="106"/>
        <v>0.8571428571428571</v>
      </c>
      <c r="AY208" s="768">
        <f t="shared" si="107"/>
        <v>62.268804664803405</v>
      </c>
      <c r="AZ208" s="745">
        <f t="shared" ref="AZ208:AZ271" si="111">(AY208+AT208)/2</f>
        <v>62.274389577191322</v>
      </c>
      <c r="BA208" s="642">
        <f t="shared" si="108"/>
        <v>0.95466321416013233</v>
      </c>
      <c r="BC208" s="11">
        <v>43294</v>
      </c>
      <c r="BD208" s="290">
        <f>[2]!FeuilCaduc*(1-Persistant)+Persistant</f>
        <v>0.99610303386498111</v>
      </c>
      <c r="BE208" s="291">
        <f>[2]!CroissVégét</f>
        <v>0.79511370224543498</v>
      </c>
      <c r="BF208" s="815">
        <f>1+[2]!Salcycl*Ksac</f>
        <v>1.0493505056441634</v>
      </c>
      <c r="BH208" s="1052">
        <f t="shared" si="109"/>
        <v>9.5964413143625853E-4</v>
      </c>
      <c r="BI208" s="11">
        <v>44390</v>
      </c>
      <c r="BJ208" s="725">
        <v>4.8857150664928738E-5</v>
      </c>
      <c r="BK208" s="725">
        <v>1.3162385007473918E-4</v>
      </c>
      <c r="BL208" s="725">
        <v>3.4361895462953619E-4</v>
      </c>
      <c r="BM208" s="725">
        <v>7.3129664213910945E-4</v>
      </c>
      <c r="BN208" s="725">
        <v>1.3031804158264001E-3</v>
      </c>
      <c r="BO208" s="726">
        <v>2.0574017449666304E-3</v>
      </c>
      <c r="BP208" s="725">
        <v>3.1150149345950643E-3</v>
      </c>
      <c r="BQ208" s="725">
        <v>4.6481801858869508E-3</v>
      </c>
      <c r="BR208" s="725">
        <v>6.8083624531683172E-3</v>
      </c>
      <c r="BS208" s="725">
        <v>9.6977304284737303E-3</v>
      </c>
      <c r="BT208" s="725">
        <v>1.3098031092007157E-2</v>
      </c>
      <c r="BW208" s="1189">
        <f>'2018'!R\Max</f>
        <v>0</v>
      </c>
      <c r="BX208" s="1187">
        <f>'2019'!R\Max</f>
        <v>0.86937461921706982</v>
      </c>
      <c r="BY208" s="1187">
        <f>'2020'!R\Max</f>
        <v>0.64004355919699718</v>
      </c>
      <c r="BZ208" s="1187">
        <f>'2021'!R\Max</f>
        <v>0.42865902882928364</v>
      </c>
      <c r="CA208" s="1187">
        <f>'2022'!R\Max</f>
        <v>0.95466321416013233</v>
      </c>
      <c r="CB208" s="1187">
        <f>'2023'!R\Max</f>
        <v>0.95466057856406616</v>
      </c>
      <c r="CC208" s="1187">
        <f>'2024'!R\Max</f>
        <v>0.95465759508364567</v>
      </c>
      <c r="CD208" s="1187">
        <f>'2025'!R\Max</f>
        <v>0.95467108099184528</v>
      </c>
      <c r="CE208" s="1187">
        <f>'2026'!R\Max</f>
        <v>0.95466954565423789</v>
      </c>
      <c r="CF208" s="1188">
        <f>'2027'!R\Max</f>
        <v>0.95466766649907664</v>
      </c>
    </row>
    <row r="209" spans="1:84" s="6" customFormat="1" ht="11.25" x14ac:dyDescent="0.2">
      <c r="A209" s="11">
        <v>43295</v>
      </c>
      <c r="B209" s="380">
        <f>'2022'!Maxi_hp</f>
        <v>63.373727610861152</v>
      </c>
      <c r="C209" s="13">
        <f>'2022'!An_max</f>
        <v>2020</v>
      </c>
      <c r="D209" s="1061"/>
      <c r="E209" s="13"/>
      <c r="F209" s="13">
        <f t="shared" si="110"/>
        <v>15</v>
      </c>
      <c r="G209" s="13">
        <f t="shared" si="94"/>
        <v>16</v>
      </c>
      <c r="H209" s="173">
        <f t="shared" si="95"/>
        <v>43290</v>
      </c>
      <c r="I209" s="752">
        <f t="shared" si="96"/>
        <v>0.35714285714285715</v>
      </c>
      <c r="J209" s="745">
        <f t="shared" si="97"/>
        <v>62.177314139982421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4">
        <v>43295</v>
      </c>
      <c r="AP209" s="13">
        <f t="shared" si="98"/>
        <v>9</v>
      </c>
      <c r="AQ209" s="13">
        <f t="shared" si="99"/>
        <v>8</v>
      </c>
      <c r="AR209" s="173">
        <f t="shared" si="100"/>
        <v>43304</v>
      </c>
      <c r="AS209" s="752">
        <f t="shared" si="101"/>
        <v>0.32142857142857145</v>
      </c>
      <c r="AT209" s="768">
        <f t="shared" si="102"/>
        <v>62.170487882130388</v>
      </c>
      <c r="AU209" s="13">
        <f t="shared" si="103"/>
        <v>9</v>
      </c>
      <c r="AV209" s="13">
        <f t="shared" si="104"/>
        <v>8</v>
      </c>
      <c r="AW209" s="173">
        <f t="shared" si="105"/>
        <v>43318</v>
      </c>
      <c r="AX209" s="752">
        <f t="shared" si="106"/>
        <v>0.8214285714285714</v>
      </c>
      <c r="AY209" s="768">
        <f t="shared" si="107"/>
        <v>62.153261661729104</v>
      </c>
      <c r="AZ209" s="745">
        <f t="shared" si="111"/>
        <v>62.161874771929746</v>
      </c>
      <c r="BA209" s="642">
        <f t="shared" si="108"/>
        <v>1.0192419612752199</v>
      </c>
      <c r="BC209" s="11">
        <v>43295</v>
      </c>
      <c r="BD209" s="290">
        <f>[2]!FeuilCaduc*(1-Persistant)+Persistant</f>
        <v>0.99667549351950901</v>
      </c>
      <c r="BE209" s="291">
        <f>[2]!CroissVégét</f>
        <v>0.80173827384170082</v>
      </c>
      <c r="BF209" s="815">
        <f>1+[2]!Salcycl*Ksac</f>
        <v>1.0494459155865847</v>
      </c>
      <c r="BH209" s="1052">
        <f t="shared" si="109"/>
        <v>9.3406245172776884E-4</v>
      </c>
      <c r="BI209" s="11">
        <v>44391</v>
      </c>
      <c r="BJ209" s="725">
        <v>4.5051030489445285E-5</v>
      </c>
      <c r="BK209" s="725">
        <v>1.2188701396293658E-4</v>
      </c>
      <c r="BL209" s="725">
        <v>3.2890672564431342E-4</v>
      </c>
      <c r="BM209" s="725">
        <v>7.0858135850674394E-4</v>
      </c>
      <c r="BN209" s="725">
        <v>1.2732864002975644E-3</v>
      </c>
      <c r="BO209" s="726">
        <v>2.0234040943568608E-3</v>
      </c>
      <c r="BP209" s="725">
        <v>3.0847561033740221E-3</v>
      </c>
      <c r="BQ209" s="725">
        <v>4.6273483733506766E-3</v>
      </c>
      <c r="BR209" s="725">
        <v>6.7990006188552417E-3</v>
      </c>
      <c r="BS209" s="725">
        <v>9.7081649706625764E-3</v>
      </c>
      <c r="BT209" s="725">
        <v>1.3136182824749701E-2</v>
      </c>
      <c r="BW209" s="1189">
        <f>'2018'!R\Max</f>
        <v>0</v>
      </c>
      <c r="BX209" s="1187">
        <f>'2019'!R\Max</f>
        <v>1.0103963156024949</v>
      </c>
      <c r="BY209" s="1187">
        <f>'2020'!R\Max</f>
        <v>1.0192419612752199</v>
      </c>
      <c r="BZ209" s="1187">
        <f>'2021'!R\Max</f>
        <v>0.48339246810872827</v>
      </c>
      <c r="CA209" s="1187">
        <f>'2022'!R\Max</f>
        <v>0.94043975498107624</v>
      </c>
      <c r="CB209" s="1187">
        <f>'2023'!R\Max</f>
        <v>0.94043632395505083</v>
      </c>
      <c r="CC209" s="1187">
        <f>'2024'!R\Max</f>
        <v>0.94043242595005749</v>
      </c>
      <c r="CD209" s="1187">
        <f>'2025'!R\Max</f>
        <v>0.94044992950685613</v>
      </c>
      <c r="CE209" s="1187">
        <f>'2026'!R\Max</f>
        <v>0.94044795464306974</v>
      </c>
      <c r="CF209" s="1188">
        <f>'2027'!R\Max</f>
        <v>0.94044553022486754</v>
      </c>
    </row>
    <row r="210" spans="1:84" s="6" customFormat="1" ht="11.25" x14ac:dyDescent="0.2">
      <c r="A210" s="11">
        <v>43296</v>
      </c>
      <c r="B210" s="380">
        <f>'2022'!Maxi_hp</f>
        <v>64.452290266215414</v>
      </c>
      <c r="C210" s="13">
        <f>'2022'!An_max</f>
        <v>2019</v>
      </c>
      <c r="D210" s="1061"/>
      <c r="E210" s="13"/>
      <c r="F210" s="13">
        <f t="shared" si="110"/>
        <v>15</v>
      </c>
      <c r="G210" s="13">
        <f t="shared" si="94"/>
        <v>16</v>
      </c>
      <c r="H210" s="173">
        <f t="shared" si="95"/>
        <v>43290</v>
      </c>
      <c r="I210" s="752">
        <f t="shared" si="96"/>
        <v>0.42857142857142855</v>
      </c>
      <c r="J210" s="745">
        <f t="shared" si="97"/>
        <v>62.062390670925382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4">
        <v>43296</v>
      </c>
      <c r="AP210" s="13">
        <f t="shared" si="98"/>
        <v>9</v>
      </c>
      <c r="AQ210" s="13">
        <f t="shared" si="99"/>
        <v>8</v>
      </c>
      <c r="AR210" s="173">
        <f t="shared" si="100"/>
        <v>43304</v>
      </c>
      <c r="AS210" s="752">
        <f t="shared" si="101"/>
        <v>0.2857142857142857</v>
      </c>
      <c r="AT210" s="768">
        <f t="shared" si="102"/>
        <v>62.057142856504228</v>
      </c>
      <c r="AU210" s="13">
        <f t="shared" si="103"/>
        <v>9</v>
      </c>
      <c r="AV210" s="13">
        <f t="shared" si="104"/>
        <v>8</v>
      </c>
      <c r="AW210" s="173">
        <f t="shared" si="105"/>
        <v>43318</v>
      </c>
      <c r="AX210" s="752">
        <f t="shared" si="106"/>
        <v>0.7857142857142857</v>
      </c>
      <c r="AY210" s="768">
        <f t="shared" si="107"/>
        <v>62.034511662274596</v>
      </c>
      <c r="AZ210" s="745">
        <f t="shared" si="111"/>
        <v>62.045827259389412</v>
      </c>
      <c r="BA210" s="642">
        <f t="shared" si="108"/>
        <v>1.0385080170044052</v>
      </c>
      <c r="BC210" s="11">
        <v>43296</v>
      </c>
      <c r="BD210" s="290">
        <f>[2]!FeuilCaduc*(1-Persistant)+Persistant</f>
        <v>0.99718949338450957</v>
      </c>
      <c r="BE210" s="291">
        <f>[2]!CroissVégét</f>
        <v>0.80820058265200556</v>
      </c>
      <c r="BF210" s="815">
        <f>1+[2]!Salcycl*Ksac</f>
        <v>1.0495315822307516</v>
      </c>
      <c r="BH210" s="1052">
        <f t="shared" si="109"/>
        <v>9.0785367137821813E-4</v>
      </c>
      <c r="BI210" s="11">
        <v>44392</v>
      </c>
      <c r="BJ210" s="725">
        <v>4.0824621175313627E-5</v>
      </c>
      <c r="BK210" s="725">
        <v>1.1169834441803336E-4</v>
      </c>
      <c r="BL210" s="725">
        <v>3.1356278360060696E-4</v>
      </c>
      <c r="BM210" s="725">
        <v>6.8517022032915599E-4</v>
      </c>
      <c r="BN210" s="725">
        <v>1.2428687206088198E-3</v>
      </c>
      <c r="BO210" s="726">
        <v>1.9893738738519309E-3</v>
      </c>
      <c r="BP210" s="725">
        <v>3.0547045056281332E-3</v>
      </c>
      <c r="BQ210" s="725">
        <v>4.6064225012801647E-3</v>
      </c>
      <c r="BR210" s="725">
        <v>6.7891721736899431E-3</v>
      </c>
      <c r="BS210" s="725">
        <v>9.7204792173247317E-3</v>
      </c>
      <c r="BT210" s="725">
        <v>1.3181618371916233E-2</v>
      </c>
      <c r="BW210" s="1189">
        <f>'2018'!R\Max</f>
        <v>0</v>
      </c>
      <c r="BX210" s="1187">
        <f>'2019'!R\Max</f>
        <v>1.0385080170044052</v>
      </c>
      <c r="BY210" s="1187">
        <f>'2020'!R\Max</f>
        <v>0.83449583087063639</v>
      </c>
      <c r="BZ210" s="1187">
        <f>'2021'!R\Max</f>
        <v>0.67091204254094694</v>
      </c>
      <c r="CA210" s="1187">
        <f>'2022'!R\Max</f>
        <v>0.92471067485096148</v>
      </c>
      <c r="CB210" s="1187">
        <f>'2023'!R\Max</f>
        <v>0.92470638415397721</v>
      </c>
      <c r="CC210" s="1187">
        <f>'2024'!R\Max</f>
        <v>0.92470149277991343</v>
      </c>
      <c r="CD210" s="1187">
        <f>'2025'!R\Max</f>
        <v>0.92472331970871613</v>
      </c>
      <c r="CE210" s="1187">
        <f>'2026'!R\Max</f>
        <v>0.92472087911930523</v>
      </c>
      <c r="CF210" s="1188">
        <f>'2027'!R\Max</f>
        <v>0.92471787310048659</v>
      </c>
    </row>
    <row r="211" spans="1:84" s="6" customFormat="1" ht="11.25" x14ac:dyDescent="0.2">
      <c r="A211" s="11">
        <v>43297</v>
      </c>
      <c r="B211" s="380">
        <f>'2022'!Maxi_hp</f>
        <v>62.090421221534129</v>
      </c>
      <c r="C211" s="13">
        <f>'2022'!An_max</f>
        <v>2019</v>
      </c>
      <c r="D211" s="1061"/>
      <c r="E211" s="13"/>
      <c r="F211" s="13">
        <f t="shared" si="110"/>
        <v>15</v>
      </c>
      <c r="G211" s="13">
        <f t="shared" si="94"/>
        <v>16</v>
      </c>
      <c r="H211" s="173">
        <f t="shared" si="95"/>
        <v>43290</v>
      </c>
      <c r="I211" s="752">
        <f t="shared" si="96"/>
        <v>0.5</v>
      </c>
      <c r="J211" s="745">
        <f t="shared" si="97"/>
        <v>61.943749999441209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4">
        <v>43297</v>
      </c>
      <c r="AP211" s="13">
        <f t="shared" si="98"/>
        <v>9</v>
      </c>
      <c r="AQ211" s="13">
        <f t="shared" si="99"/>
        <v>8</v>
      </c>
      <c r="AR211" s="173">
        <f t="shared" si="100"/>
        <v>43304</v>
      </c>
      <c r="AS211" s="752">
        <f t="shared" si="101"/>
        <v>0.25</v>
      </c>
      <c r="AT211" s="768">
        <f t="shared" si="102"/>
        <v>61.939843749906871</v>
      </c>
      <c r="AU211" s="13">
        <f t="shared" si="103"/>
        <v>9</v>
      </c>
      <c r="AV211" s="13">
        <f t="shared" si="104"/>
        <v>8</v>
      </c>
      <c r="AW211" s="173">
        <f t="shared" si="105"/>
        <v>43318</v>
      </c>
      <c r="AX211" s="752">
        <f t="shared" si="106"/>
        <v>0.75</v>
      </c>
      <c r="AY211" s="768">
        <f t="shared" si="107"/>
        <v>61.912500000279394</v>
      </c>
      <c r="AZ211" s="745">
        <f t="shared" si="111"/>
        <v>61.926171875093132</v>
      </c>
      <c r="BA211" s="642">
        <f t="shared" si="108"/>
        <v>1.0023678130900089</v>
      </c>
      <c r="BC211" s="11">
        <v>43297</v>
      </c>
      <c r="BD211" s="290">
        <f>[2]!FeuilCaduc*(1-Persistant)+Persistant</f>
        <v>0.99764821486732314</v>
      </c>
      <c r="BE211" s="291">
        <f>[2]!CroissVégét</f>
        <v>0.81450126137468837</v>
      </c>
      <c r="BF211" s="815">
        <f>1+[2]!Salcycl*Ksac</f>
        <v>1.0496080358112205</v>
      </c>
      <c r="BH211" s="1052">
        <f t="shared" si="109"/>
        <v>8.8101811730854451E-4</v>
      </c>
      <c r="BI211" s="11">
        <v>44393</v>
      </c>
      <c r="BJ211" s="725">
        <v>3.6178272602153705E-5</v>
      </c>
      <c r="BK211" s="725">
        <v>1.0105805544973589E-4</v>
      </c>
      <c r="BL211" s="725">
        <v>2.9758748545179642E-4</v>
      </c>
      <c r="BM211" s="725">
        <v>6.6106359586848643E-4</v>
      </c>
      <c r="BN211" s="725">
        <v>1.2119276414855316E-3</v>
      </c>
      <c r="BO211" s="726">
        <v>1.9553111220553363E-3</v>
      </c>
      <c r="BP211" s="725">
        <v>3.0248607112644838E-3</v>
      </c>
      <c r="BQ211" s="725">
        <v>4.5854047729179115E-3</v>
      </c>
      <c r="BR211" s="725">
        <v>6.7788814973373567E-3</v>
      </c>
      <c r="BS211" s="725">
        <v>9.7346774991139418E-3</v>
      </c>
      <c r="BT211" s="725">
        <v>1.3234339266830505E-2</v>
      </c>
      <c r="BW211" s="1189">
        <f>'2018'!R\Max</f>
        <v>0</v>
      </c>
      <c r="BX211" s="1187">
        <f>'2019'!R\Max</f>
        <v>1.0023678130900089</v>
      </c>
      <c r="BY211" s="1187">
        <f>'2020'!R\Max</f>
        <v>0.3503266692701395</v>
      </c>
      <c r="BZ211" s="1187">
        <f>'2021'!R\Max</f>
        <v>0.69627941639013968</v>
      </c>
      <c r="CA211" s="1187">
        <f>'2022'!R\Max</f>
        <v>0.95457164903091141</v>
      </c>
      <c r="CB211" s="1187">
        <f>'2023'!R\Max</f>
        <v>0.95456895952661203</v>
      </c>
      <c r="CC211" s="1187">
        <f>'2024'!R\Max</f>
        <v>0.95456588364454353</v>
      </c>
      <c r="CD211" s="1187">
        <f>'2025'!R\Max</f>
        <v>0.95457952815660985</v>
      </c>
      <c r="CE211" s="1187">
        <f>'2026'!R\Max</f>
        <v>0.9545780161323838</v>
      </c>
      <c r="CF211" s="1188">
        <f>'2027'!R\Max</f>
        <v>0.95457614719239392</v>
      </c>
    </row>
    <row r="212" spans="1:84" s="6" customFormat="1" ht="11.25" x14ac:dyDescent="0.2">
      <c r="A212" s="11">
        <v>43298</v>
      </c>
      <c r="B212" s="380">
        <f>'2022'!Maxi_hp</f>
        <v>61.577914063437071</v>
      </c>
      <c r="C212" s="13">
        <f>'2022'!An_max</f>
        <v>2021</v>
      </c>
      <c r="D212" s="1061"/>
      <c r="E212" s="13"/>
      <c r="F212" s="13">
        <f t="shared" si="110"/>
        <v>15</v>
      </c>
      <c r="G212" s="13">
        <f t="shared" si="94"/>
        <v>16</v>
      </c>
      <c r="H212" s="173">
        <f t="shared" si="95"/>
        <v>43290</v>
      </c>
      <c r="I212" s="752">
        <f t="shared" si="96"/>
        <v>0.5714285714285714</v>
      </c>
      <c r="J212" s="745">
        <f t="shared" si="97"/>
        <v>61.821282798796894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4">
        <v>43298</v>
      </c>
      <c r="AP212" s="13">
        <f t="shared" si="98"/>
        <v>9</v>
      </c>
      <c r="AQ212" s="13">
        <f t="shared" si="99"/>
        <v>8</v>
      </c>
      <c r="AR212" s="173">
        <f t="shared" si="100"/>
        <v>43304</v>
      </c>
      <c r="AS212" s="752">
        <f t="shared" si="101"/>
        <v>0.21428571428571427</v>
      </c>
      <c r="AT212" s="768">
        <f t="shared" si="102"/>
        <v>61.81849489781473</v>
      </c>
      <c r="AU212" s="13">
        <f t="shared" si="103"/>
        <v>9</v>
      </c>
      <c r="AV212" s="13">
        <f t="shared" si="104"/>
        <v>8</v>
      </c>
      <c r="AW212" s="173">
        <f t="shared" si="105"/>
        <v>43318</v>
      </c>
      <c r="AX212" s="752">
        <f t="shared" si="106"/>
        <v>0.7142857142857143</v>
      </c>
      <c r="AY212" s="768">
        <f t="shared" si="107"/>
        <v>61.787172011871419</v>
      </c>
      <c r="AZ212" s="745">
        <f t="shared" si="111"/>
        <v>61.802833454843075</v>
      </c>
      <c r="BA212" s="642">
        <f t="shared" si="108"/>
        <v>0.99606335028420734</v>
      </c>
      <c r="BC212" s="11">
        <v>43298</v>
      </c>
      <c r="BD212" s="290">
        <f>[2]!FeuilCaduc*(1-Persistant)+Persistant</f>
        <v>0.99805479062324698</v>
      </c>
      <c r="BE212" s="291">
        <f>[2]!CroissVégét</f>
        <v>0.82064117750784105</v>
      </c>
      <c r="BF212" s="815">
        <f>1+[2]!Salcycl*Ksac</f>
        <v>1.0496757984372078</v>
      </c>
      <c r="BH212" s="1052">
        <f t="shared" si="109"/>
        <v>8.5468279048145682E-4</v>
      </c>
      <c r="BI212" s="11">
        <v>44394</v>
      </c>
      <c r="BJ212" s="725">
        <v>3.1433713206027502E-5</v>
      </c>
      <c r="BK212" s="725">
        <v>9.0703250696100559E-5</v>
      </c>
      <c r="BL212" s="725">
        <v>2.8184137324573024E-4</v>
      </c>
      <c r="BM212" s="725">
        <v>6.3728397232574454E-4</v>
      </c>
      <c r="BN212" s="725">
        <v>1.1817473991176154E-3</v>
      </c>
      <c r="BO212" s="726">
        <v>1.9237279192932809E-3</v>
      </c>
      <c r="BP212" s="725">
        <v>2.9991537364740524E-3</v>
      </c>
      <c r="BQ212" s="725">
        <v>4.5698065003060657E-3</v>
      </c>
      <c r="BR212" s="725">
        <v>6.7758083174559803E-3</v>
      </c>
      <c r="BS212" s="725">
        <v>9.7624177945587198E-3</v>
      </c>
      <c r="BT212" s="725">
        <v>1.3311610237479843E-2</v>
      </c>
      <c r="BW212" s="1189">
        <f>'2018'!R\Max</f>
        <v>0</v>
      </c>
      <c r="BX212" s="1187">
        <f>'2019'!R\Max</f>
        <v>0.86849967334870015</v>
      </c>
      <c r="BY212" s="1187">
        <f>'2020'!R\Max</f>
        <v>0.41670708264051676</v>
      </c>
      <c r="BZ212" s="1187">
        <f>'2021'!R\Max</f>
        <v>0.99606335028420734</v>
      </c>
      <c r="CA212" s="1187">
        <f>'2022'!R\Max</f>
        <v>0.94000453886499824</v>
      </c>
      <c r="CB212" s="1187">
        <f>'2023'!R\Max</f>
        <v>0.94000101352616716</v>
      </c>
      <c r="CC212" s="1187">
        <f>'2024'!R\Max</f>
        <v>0.9399969701950398</v>
      </c>
      <c r="CD212" s="1187">
        <f>'2025'!R\Max</f>
        <v>0.9400148096116101</v>
      </c>
      <c r="CE212" s="1187">
        <f>'2026'!R\Max</f>
        <v>0.94001285120454359</v>
      </c>
      <c r="CF212" s="1188">
        <f>'2027'!R\Max</f>
        <v>0.94001041941729713</v>
      </c>
    </row>
    <row r="213" spans="1:84" s="6" customFormat="1" ht="11.25" x14ac:dyDescent="0.2">
      <c r="A213" s="11">
        <v>43299</v>
      </c>
      <c r="B213" s="380">
        <f>'2022'!Maxi_hp</f>
        <v>58.939073040406903</v>
      </c>
      <c r="C213" s="13">
        <f>'2022'!An_max</f>
        <v>2022</v>
      </c>
      <c r="D213" s="1061"/>
      <c r="E213" s="13"/>
      <c r="F213" s="13">
        <f t="shared" si="110"/>
        <v>15</v>
      </c>
      <c r="G213" s="13">
        <f t="shared" si="94"/>
        <v>16</v>
      </c>
      <c r="H213" s="173">
        <f t="shared" si="95"/>
        <v>43290</v>
      </c>
      <c r="I213" s="752">
        <f t="shared" si="96"/>
        <v>0.6428571428571429</v>
      </c>
      <c r="J213" s="745">
        <f t="shared" si="97"/>
        <v>61.69487973731011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4">
        <v>43299</v>
      </c>
      <c r="AP213" s="13">
        <f t="shared" si="98"/>
        <v>9</v>
      </c>
      <c r="AQ213" s="13">
        <f t="shared" si="99"/>
        <v>8</v>
      </c>
      <c r="AR213" s="173">
        <f t="shared" si="100"/>
        <v>43304</v>
      </c>
      <c r="AS213" s="752">
        <f t="shared" si="101"/>
        <v>0.17857142857142858</v>
      </c>
      <c r="AT213" s="768">
        <f t="shared" si="102"/>
        <v>61.693000636768659</v>
      </c>
      <c r="AU213" s="13">
        <f t="shared" si="103"/>
        <v>9</v>
      </c>
      <c r="AV213" s="13">
        <f t="shared" si="104"/>
        <v>8</v>
      </c>
      <c r="AW213" s="173">
        <f t="shared" si="105"/>
        <v>43318</v>
      </c>
      <c r="AX213" s="752">
        <f t="shared" si="106"/>
        <v>0.6785714285714286</v>
      </c>
      <c r="AY213" s="768">
        <f t="shared" si="107"/>
        <v>61.658473032260574</v>
      </c>
      <c r="AZ213" s="745">
        <f t="shared" si="111"/>
        <v>61.675736834514616</v>
      </c>
      <c r="BA213" s="642">
        <f t="shared" si="108"/>
        <v>0.95533167892315984</v>
      </c>
      <c r="BC213" s="11">
        <v>43299</v>
      </c>
      <c r="BD213" s="290">
        <f>[2]!FeuilCaduc*(1-Persistant)+Persistant</f>
        <v>0.99841228919741609</v>
      </c>
      <c r="BE213" s="291">
        <f>[2]!CroissVégét</f>
        <v>0.82662141934042188</v>
      </c>
      <c r="BF213" s="815">
        <f>1+[2]!Salcycl*Ksac</f>
        <v>1.0497353815329027</v>
      </c>
      <c r="BH213" s="1052">
        <f t="shared" si="109"/>
        <v>8.3032053960386187E-4</v>
      </c>
      <c r="BI213" s="11">
        <v>44395</v>
      </c>
      <c r="BJ213" s="725">
        <v>2.7128469395575955E-5</v>
      </c>
      <c r="BK213" s="725">
        <v>8.1473174426634687E-5</v>
      </c>
      <c r="BL213" s="725">
        <v>2.6738237003949041E-4</v>
      </c>
      <c r="BM213" s="725">
        <v>6.1521964839465E-4</v>
      </c>
      <c r="BN213" s="725">
        <v>1.1539280430735454E-3</v>
      </c>
      <c r="BO213" s="726">
        <v>1.8963036948928277E-3</v>
      </c>
      <c r="BP213" s="725">
        <v>2.9790308704582551E-3</v>
      </c>
      <c r="BQ213" s="725">
        <v>4.5605992202404737E-3</v>
      </c>
      <c r="BR213" s="725">
        <v>6.7803308526857165E-3</v>
      </c>
      <c r="BS213" s="725">
        <v>9.8025778486822077E-3</v>
      </c>
      <c r="BT213" s="725">
        <v>1.340996571971277E-2</v>
      </c>
      <c r="BW213" s="1189">
        <f>'2018'!R\Max</f>
        <v>0</v>
      </c>
      <c r="BX213" s="1187">
        <f>'2019'!R\Max</f>
        <v>0.74486497229701876</v>
      </c>
      <c r="BY213" s="1187">
        <f>'2020'!R\Max</f>
        <v>0.47544084958999022</v>
      </c>
      <c r="BZ213" s="1187">
        <f>'2021'!R\Max</f>
        <v>0.89387810833345038</v>
      </c>
      <c r="CA213" s="1187">
        <f>'2022'!R\Max</f>
        <v>0.95533167892315984</v>
      </c>
      <c r="CB213" s="1187">
        <f>'2023'!R\Max</f>
        <v>0.95532898683023948</v>
      </c>
      <c r="CC213" s="1187">
        <f>'2024'!R\Max</f>
        <v>0.95532589155012682</v>
      </c>
      <c r="CD213" s="1187">
        <f>'2025'!R\Max</f>
        <v>0.9553394841058821</v>
      </c>
      <c r="CE213" s="1187">
        <f>'2026'!R\Max</f>
        <v>0.9553380058495432</v>
      </c>
      <c r="CF213" s="1188">
        <f>'2027'!R\Max</f>
        <v>0.95533616038936497</v>
      </c>
    </row>
    <row r="214" spans="1:84" s="6" customFormat="1" ht="11.25" x14ac:dyDescent="0.2">
      <c r="A214" s="11">
        <v>43300</v>
      </c>
      <c r="B214" s="380">
        <f>'2022'!Maxi_hp</f>
        <v>61.968501061499985</v>
      </c>
      <c r="C214" s="13">
        <f>'2022'!An_max</f>
        <v>2020</v>
      </c>
      <c r="D214" s="1061"/>
      <c r="E214" s="13"/>
      <c r="F214" s="13">
        <f t="shared" si="110"/>
        <v>15</v>
      </c>
      <c r="G214" s="13">
        <f t="shared" si="94"/>
        <v>16</v>
      </c>
      <c r="H214" s="173">
        <f t="shared" si="95"/>
        <v>43290</v>
      </c>
      <c r="I214" s="752">
        <f t="shared" si="96"/>
        <v>0.7142857142857143</v>
      </c>
      <c r="J214" s="745">
        <f t="shared" si="97"/>
        <v>61.564431486278771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4">
        <v>43300</v>
      </c>
      <c r="AP214" s="13">
        <f t="shared" si="98"/>
        <v>9</v>
      </c>
      <c r="AQ214" s="13">
        <f t="shared" si="99"/>
        <v>8</v>
      </c>
      <c r="AR214" s="173">
        <f t="shared" si="100"/>
        <v>43304</v>
      </c>
      <c r="AS214" s="752">
        <f t="shared" si="101"/>
        <v>0.14285714285714285</v>
      </c>
      <c r="AT214" s="768">
        <f t="shared" si="102"/>
        <v>61.563265306396147</v>
      </c>
      <c r="AU214" s="13">
        <f t="shared" si="103"/>
        <v>9</v>
      </c>
      <c r="AV214" s="13">
        <f t="shared" si="104"/>
        <v>8</v>
      </c>
      <c r="AW214" s="173">
        <f t="shared" si="105"/>
        <v>43318</v>
      </c>
      <c r="AX214" s="752">
        <f t="shared" si="106"/>
        <v>0.6428571428571429</v>
      </c>
      <c r="AY214" s="768">
        <f t="shared" si="107"/>
        <v>61.526348396390674</v>
      </c>
      <c r="AZ214" s="745">
        <f t="shared" si="111"/>
        <v>61.54480685139341</v>
      </c>
      <c r="BA214" s="642">
        <f t="shared" si="108"/>
        <v>1.0065633607826181</v>
      </c>
      <c r="BC214" s="11">
        <v>43300</v>
      </c>
      <c r="BD214" s="290">
        <f>[2]!FeuilCaduc*(1-Persistant)+Persistant</f>
        <v>0.99872370065605742</v>
      </c>
      <c r="BE214" s="291">
        <f>[2]!CroissVégét</f>
        <v>0.83244328187154937</v>
      </c>
      <c r="BF214" s="815">
        <f>1+[2]!Salcycl*Ksac</f>
        <v>1.0497872834426762</v>
      </c>
      <c r="BH214" s="1052">
        <f t="shared" si="109"/>
        <v>8.0792885734409553E-4</v>
      </c>
      <c r="BI214" s="11">
        <v>44396</v>
      </c>
      <c r="BJ214" s="725">
        <v>2.3261931638455539E-5</v>
      </c>
      <c r="BK214" s="725">
        <v>7.3366348324088108E-5</v>
      </c>
      <c r="BL214" s="725">
        <v>2.5420872971484179E-4</v>
      </c>
      <c r="BM214" s="725">
        <v>5.9486834122265855E-4</v>
      </c>
      <c r="BN214" s="725">
        <v>1.1284667283051235E-3</v>
      </c>
      <c r="BO214" s="726">
        <v>1.8730342522860341E-3</v>
      </c>
      <c r="BP214" s="725">
        <v>2.9644874437761101E-3</v>
      </c>
      <c r="BQ214" s="725">
        <v>4.5577788796492495E-3</v>
      </c>
      <c r="BR214" s="725">
        <v>6.7924457752158128E-3</v>
      </c>
      <c r="BS214" s="725">
        <v>9.8551527894546742E-3</v>
      </c>
      <c r="BT214" s="725">
        <v>1.3529396694786255E-2</v>
      </c>
      <c r="BW214" s="1189">
        <f>'2018'!R\Max</f>
        <v>0</v>
      </c>
      <c r="BX214" s="1187">
        <f>'2019'!R\Max</f>
        <v>0.97524906327801542</v>
      </c>
      <c r="BY214" s="1187">
        <f>'2020'!R\Max</f>
        <v>1.0065633607826181</v>
      </c>
      <c r="BZ214" s="1187">
        <f>'2021'!R\Max</f>
        <v>0.96930178135324951</v>
      </c>
      <c r="CA214" s="1187">
        <f>'2022'!R\Max</f>
        <v>0.80844601188240428</v>
      </c>
      <c r="CB214" s="1187">
        <f>'2023'!R\Max</f>
        <v>0.80843613964596062</v>
      </c>
      <c r="CC214" s="1187">
        <f>'2024'!R\Max</f>
        <v>0.80842476566800847</v>
      </c>
      <c r="CD214" s="1187">
        <f>'2025'!R\Max</f>
        <v>0.80847451712855922</v>
      </c>
      <c r="CE214" s="1187">
        <f>'2026'!R\Max</f>
        <v>0.80846915617028714</v>
      </c>
      <c r="CF214" s="1188">
        <f>'2027'!R\Max</f>
        <v>0.80846242262109769</v>
      </c>
    </row>
    <row r="215" spans="1:84" s="6" customFormat="1" ht="11.25" x14ac:dyDescent="0.2">
      <c r="A215" s="11">
        <v>43301</v>
      </c>
      <c r="B215" s="380">
        <f>'2022'!Maxi_hp</f>
        <v>60.24378453040314</v>
      </c>
      <c r="C215" s="13">
        <f>'2022'!An_max</f>
        <v>2020</v>
      </c>
      <c r="D215" s="1061"/>
      <c r="E215" s="13"/>
      <c r="F215" s="13">
        <f t="shared" si="110"/>
        <v>15</v>
      </c>
      <c r="G215" s="13">
        <f t="shared" si="94"/>
        <v>16</v>
      </c>
      <c r="H215" s="173">
        <f t="shared" si="95"/>
        <v>43290</v>
      </c>
      <c r="I215" s="752">
        <f t="shared" si="96"/>
        <v>0.7857142857142857</v>
      </c>
      <c r="J215" s="745">
        <f t="shared" si="97"/>
        <v>61.429828717666012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4">
        <v>43301</v>
      </c>
      <c r="AP215" s="13">
        <f t="shared" si="98"/>
        <v>9</v>
      </c>
      <c r="AQ215" s="13">
        <f t="shared" si="99"/>
        <v>8</v>
      </c>
      <c r="AR215" s="173">
        <f t="shared" si="100"/>
        <v>43304</v>
      </c>
      <c r="AS215" s="752">
        <f t="shared" si="101"/>
        <v>0.10714285714285714</v>
      </c>
      <c r="AT215" s="768">
        <f t="shared" si="102"/>
        <v>61.429193239765503</v>
      </c>
      <c r="AU215" s="13">
        <f t="shared" si="103"/>
        <v>9</v>
      </c>
      <c r="AV215" s="13">
        <f t="shared" si="104"/>
        <v>8</v>
      </c>
      <c r="AW215" s="173">
        <f t="shared" si="105"/>
        <v>43318</v>
      </c>
      <c r="AX215" s="752">
        <f t="shared" si="106"/>
        <v>0.6071428571428571</v>
      </c>
      <c r="AY215" s="768">
        <f t="shared" si="107"/>
        <v>61.390743440535985</v>
      </c>
      <c r="AZ215" s="745">
        <f t="shared" si="111"/>
        <v>61.409968340150741</v>
      </c>
      <c r="BA215" s="642">
        <f t="shared" si="108"/>
        <v>0.98069269910039991</v>
      </c>
      <c r="BC215" s="11">
        <v>43301</v>
      </c>
      <c r="BD215" s="290">
        <f>[2]!FeuilCaduc*(1-Persistant)+Persistant</f>
        <v>0.99899192328679354</v>
      </c>
      <c r="BE215" s="291">
        <f>[2]!CroissVégét</f>
        <v>0.83810825274241962</v>
      </c>
      <c r="BF215" s="815">
        <f>1+[2]!Salcycl*Ksac</f>
        <v>1.0498319872144657</v>
      </c>
      <c r="BH215" s="1052">
        <f t="shared" si="109"/>
        <v>7.8750535114863467E-4</v>
      </c>
      <c r="BI215" s="11">
        <v>44397</v>
      </c>
      <c r="BJ215" s="725">
        <v>1.983351874258204E-5</v>
      </c>
      <c r="BK215" s="725">
        <v>6.6381370980341716E-5</v>
      </c>
      <c r="BL215" s="725">
        <v>2.4231878462247977E-4</v>
      </c>
      <c r="BM215" s="725">
        <v>5.7622786563083991E-4</v>
      </c>
      <c r="BN215" s="725">
        <v>1.1053607502751158E-3</v>
      </c>
      <c r="BO215" s="726">
        <v>1.853915694965851E-3</v>
      </c>
      <c r="BP215" s="725">
        <v>2.9555192302979762E-3</v>
      </c>
      <c r="BQ215" s="725">
        <v>4.5613419659804935E-3</v>
      </c>
      <c r="BR215" s="725">
        <v>6.8121504367064161E-3</v>
      </c>
      <c r="BS215" s="725">
        <v>9.920138936033461E-3</v>
      </c>
      <c r="BT215" s="725">
        <v>1.3669896240856337E-2</v>
      </c>
      <c r="BW215" s="1189">
        <f>'2018'!R\Max</f>
        <v>0</v>
      </c>
      <c r="BX215" s="1187">
        <f>'2019'!R\Max</f>
        <v>0.49564586024810614</v>
      </c>
      <c r="BY215" s="1187">
        <f>'2020'!R\Max</f>
        <v>0.98069269910039991</v>
      </c>
      <c r="BZ215" s="1187">
        <f>'2021'!R\Max</f>
        <v>0.75898024808571185</v>
      </c>
      <c r="CA215" s="1187">
        <f>'2022'!R\Max</f>
        <v>0.78871375836069113</v>
      </c>
      <c r="CB215" s="1187">
        <f>'2023'!R\Max</f>
        <v>0.78870300977700569</v>
      </c>
      <c r="CC215" s="1187">
        <f>'2024'!R\Max</f>
        <v>0.78869060567086613</v>
      </c>
      <c r="CD215" s="1187">
        <f>'2025'!R\Max</f>
        <v>0.7887446879483041</v>
      </c>
      <c r="CE215" s="1187">
        <f>'2026'!R\Max</f>
        <v>0.78873891314097011</v>
      </c>
      <c r="CF215" s="1188">
        <f>'2027'!R\Max</f>
        <v>0.78873161048012252</v>
      </c>
    </row>
    <row r="216" spans="1:84" s="6" customFormat="1" ht="11.25" x14ac:dyDescent="0.2">
      <c r="A216" s="11">
        <v>43302</v>
      </c>
      <c r="B216" s="380">
        <f>'2022'!Maxi_hp</f>
        <v>56.281812291305535</v>
      </c>
      <c r="C216" s="13">
        <f>'2022'!An_max</f>
        <v>2022</v>
      </c>
      <c r="D216" s="1061"/>
      <c r="E216" s="13"/>
      <c r="F216" s="13">
        <f t="shared" si="110"/>
        <v>15</v>
      </c>
      <c r="G216" s="13">
        <f t="shared" si="94"/>
        <v>16</v>
      </c>
      <c r="H216" s="173">
        <f t="shared" si="95"/>
        <v>43290</v>
      </c>
      <c r="I216" s="752">
        <f t="shared" si="96"/>
        <v>0.8571428571428571</v>
      </c>
      <c r="J216" s="745">
        <f t="shared" si="97"/>
        <v>61.29096209859209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4">
        <v>43302</v>
      </c>
      <c r="AP216" s="13">
        <f t="shared" si="98"/>
        <v>9</v>
      </c>
      <c r="AQ216" s="13">
        <f t="shared" si="99"/>
        <v>8</v>
      </c>
      <c r="AR216" s="173">
        <f t="shared" si="100"/>
        <v>43304</v>
      </c>
      <c r="AS216" s="752">
        <f t="shared" si="101"/>
        <v>7.1428571428571425E-2</v>
      </c>
      <c r="AT216" s="768">
        <f t="shared" si="102"/>
        <v>61.29068877470813</v>
      </c>
      <c r="AU216" s="13">
        <f t="shared" si="103"/>
        <v>9</v>
      </c>
      <c r="AV216" s="13">
        <f t="shared" si="104"/>
        <v>8</v>
      </c>
      <c r="AW216" s="173">
        <f t="shared" si="105"/>
        <v>43318</v>
      </c>
      <c r="AX216" s="752">
        <f t="shared" si="106"/>
        <v>0.5714285714285714</v>
      </c>
      <c r="AY216" s="768">
        <f t="shared" si="107"/>
        <v>61.251603498629152</v>
      </c>
      <c r="AZ216" s="745">
        <f t="shared" si="111"/>
        <v>61.271146136668641</v>
      </c>
      <c r="BA216" s="642">
        <f t="shared" si="108"/>
        <v>0.91827261906528923</v>
      </c>
      <c r="BC216" s="11">
        <v>43302</v>
      </c>
      <c r="BD216" s="290">
        <f>[2]!FeuilCaduc*(1-Persistant)+Persistant</f>
        <v>0.99921975143645969</v>
      </c>
      <c r="BE216" s="291">
        <f>[2]!CroissVégét</f>
        <v>0.84361799825853956</v>
      </c>
      <c r="BF216" s="815">
        <f>1+[2]!Salcycl*Ksac</f>
        <v>1.0498699585727433</v>
      </c>
      <c r="BH216" s="1052">
        <f t="shared" si="109"/>
        <v>7.6904775474677953E-4</v>
      </c>
      <c r="BI216" s="11">
        <v>44398</v>
      </c>
      <c r="BJ216" s="725">
        <v>1.6842680436687744E-5</v>
      </c>
      <c r="BK216" s="725">
        <v>6.0516924509529751E-5</v>
      </c>
      <c r="BL216" s="725">
        <v>2.3171095311780404E-4</v>
      </c>
      <c r="BM216" s="725">
        <v>5.5929614412145699E-4</v>
      </c>
      <c r="BN216" s="725">
        <v>1.0846075587142439E-3</v>
      </c>
      <c r="BO216" s="726">
        <v>1.8389444508234991E-3</v>
      </c>
      <c r="BP216" s="725">
        <v>2.9521224799132248E-3</v>
      </c>
      <c r="BQ216" s="725">
        <v>4.5712855445897722E-3</v>
      </c>
      <c r="BR216" s="725">
        <v>6.8394429126653515E-3</v>
      </c>
      <c r="BS216" s="725">
        <v>9.9975338715770599E-3</v>
      </c>
      <c r="BT216" s="725">
        <v>1.3831459657010811E-2</v>
      </c>
      <c r="BW216" s="1189">
        <f>'2018'!R\Max</f>
        <v>0</v>
      </c>
      <c r="BX216" s="1187">
        <f>'2019'!R\Max</f>
        <v>0.79816401421537508</v>
      </c>
      <c r="BY216" s="1187">
        <f>'2020'!R\Max</f>
        <v>0.82105375439748829</v>
      </c>
      <c r="BZ216" s="1187">
        <f>'2021'!R\Max</f>
        <v>0.79699083438535101</v>
      </c>
      <c r="CA216" s="1187">
        <f>'2022'!R\Max</f>
        <v>0.91827261906528923</v>
      </c>
      <c r="CB216" s="1187">
        <f>'2023'!R\Max</f>
        <v>0.91826771535026319</v>
      </c>
      <c r="CC216" s="1187">
        <f>'2024'!R\Max</f>
        <v>0.91826204919628818</v>
      </c>
      <c r="CD216" s="1187">
        <f>'2025'!R\Max</f>
        <v>0.91828669111182148</v>
      </c>
      <c r="CE216" s="1187">
        <f>'2026'!R\Max</f>
        <v>0.91828408322911037</v>
      </c>
      <c r="CF216" s="1188">
        <f>'2027'!R\Max</f>
        <v>0.91828076093371602</v>
      </c>
    </row>
    <row r="217" spans="1:84" s="6" customFormat="1" ht="11.25" x14ac:dyDescent="0.2">
      <c r="A217" s="11">
        <v>43303</v>
      </c>
      <c r="B217" s="380">
        <f>'2022'!Maxi_hp</f>
        <v>55.15109317310074</v>
      </c>
      <c r="C217" s="13">
        <f>'2022'!An_max</f>
        <v>2020</v>
      </c>
      <c r="D217" s="1061"/>
      <c r="E217" s="13"/>
      <c r="F217" s="13">
        <f t="shared" si="110"/>
        <v>15</v>
      </c>
      <c r="G217" s="13">
        <f t="shared" si="94"/>
        <v>16</v>
      </c>
      <c r="H217" s="173">
        <f t="shared" si="95"/>
        <v>43290</v>
      </c>
      <c r="I217" s="752">
        <f t="shared" si="96"/>
        <v>0.9285714285714286</v>
      </c>
      <c r="J217" s="745">
        <f t="shared" si="97"/>
        <v>61.147722302696536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4">
        <v>43303</v>
      </c>
      <c r="AP217" s="13">
        <f t="shared" si="98"/>
        <v>9</v>
      </c>
      <c r="AQ217" s="13">
        <f t="shared" si="99"/>
        <v>8</v>
      </c>
      <c r="AR217" s="173">
        <f t="shared" si="100"/>
        <v>43304</v>
      </c>
      <c r="AS217" s="752">
        <f t="shared" si="101"/>
        <v>3.5714285714285712E-2</v>
      </c>
      <c r="AT217" s="768">
        <f t="shared" si="102"/>
        <v>61.147656250146362</v>
      </c>
      <c r="AU217" s="13">
        <f t="shared" si="103"/>
        <v>9</v>
      </c>
      <c r="AV217" s="13">
        <f t="shared" si="104"/>
        <v>8</v>
      </c>
      <c r="AW217" s="173">
        <f t="shared" si="105"/>
        <v>43318</v>
      </c>
      <c r="AX217" s="752">
        <f t="shared" si="106"/>
        <v>0.5357142857142857</v>
      </c>
      <c r="AY217" s="768">
        <f t="shared" si="107"/>
        <v>61.108873907183963</v>
      </c>
      <c r="AZ217" s="745">
        <f t="shared" si="111"/>
        <v>61.128265078665166</v>
      </c>
      <c r="BA217" s="642">
        <f t="shared" si="108"/>
        <v>0.90193209323626189</v>
      </c>
      <c r="BC217" s="11">
        <v>43303</v>
      </c>
      <c r="BD217" s="290">
        <f>[2]!FeuilCaduc*(1-Persistant)+Persistant</f>
        <v>0.9994098645431696</v>
      </c>
      <c r="BE217" s="291">
        <f>[2]!CroissVégét</f>
        <v>0.84897434957309781</v>
      </c>
      <c r="BF217" s="815">
        <f>1+[2]!Salcycl*Ksac</f>
        <v>1.0499016440905282</v>
      </c>
      <c r="BH217" s="1052">
        <f t="shared" si="109"/>
        <v>7.5255393966081638E-4</v>
      </c>
      <c r="BI217" s="11">
        <v>44399</v>
      </c>
      <c r="BJ217" s="725">
        <v>1.4288899951152611E-5</v>
      </c>
      <c r="BK217" s="725">
        <v>5.5771781161872585E-5</v>
      </c>
      <c r="BL217" s="725">
        <v>2.2238374709863937E-4</v>
      </c>
      <c r="BM217" s="725">
        <v>5.4407121688972713E-4</v>
      </c>
      <c r="BN217" s="725">
        <v>1.0662047713856132E-3</v>
      </c>
      <c r="BO217" s="726">
        <v>1.8281172964974353E-3</v>
      </c>
      <c r="BP217" s="725">
        <v>2.9542939512554219E-3</v>
      </c>
      <c r="BQ217" s="725">
        <v>4.5876072961537999E-3</v>
      </c>
      <c r="BR217" s="725">
        <v>6.8743220468633244E-3</v>
      </c>
      <c r="BS217" s="725">
        <v>1.0087336516113637E-2</v>
      </c>
      <c r="BT217" s="725">
        <v>1.401408458737461E-2</v>
      </c>
      <c r="BW217" s="1189">
        <f>'2018'!R\Max</f>
        <v>0</v>
      </c>
      <c r="BX217" s="1187">
        <f>'2019'!R\Max</f>
        <v>0.86614937200539821</v>
      </c>
      <c r="BY217" s="1187">
        <f>'2020'!R\Max</f>
        <v>0.90193209323626189</v>
      </c>
      <c r="BZ217" s="1187">
        <f>'2021'!R\Max</f>
        <v>0.89398287686132694</v>
      </c>
      <c r="CA217" s="1187">
        <f>'2022'!R\Max</f>
        <v>0.70330590573767038</v>
      </c>
      <c r="CB217" s="1187">
        <f>'2023'!R\Max</f>
        <v>0.70329207726174592</v>
      </c>
      <c r="CC217" s="1187">
        <f>'2024'!R\Max</f>
        <v>0.70327608578922118</v>
      </c>
      <c r="CD217" s="1187">
        <f>'2025'!R\Max</f>
        <v>0.70334551193616401</v>
      </c>
      <c r="CE217" s="1187">
        <f>'2026'!R\Max</f>
        <v>0.70333822668760559</v>
      </c>
      <c r="CF217" s="1188">
        <f>'2027'!R\Max</f>
        <v>0.70332887231020436</v>
      </c>
    </row>
    <row r="218" spans="1:84" s="6" customFormat="1" ht="11.25" x14ac:dyDescent="0.2">
      <c r="A218" s="11">
        <v>43304</v>
      </c>
      <c r="B218" s="380">
        <f>'2022'!Maxi_hp</f>
        <v>57.142071976400118</v>
      </c>
      <c r="C218" s="13">
        <f>'2022'!An_max</f>
        <v>2019</v>
      </c>
      <c r="D218" s="1061"/>
      <c r="E218" s="1056">
        <f>AB$13/10</f>
        <v>61</v>
      </c>
      <c r="F218" s="13">
        <f t="shared" si="110"/>
        <v>17</v>
      </c>
      <c r="G218" s="13">
        <f t="shared" si="94"/>
        <v>16</v>
      </c>
      <c r="H218" s="173">
        <f t="shared" si="95"/>
        <v>43318</v>
      </c>
      <c r="I218" s="752">
        <f t="shared" si="96"/>
        <v>1</v>
      </c>
      <c r="J218" s="745">
        <f t="shared" si="97"/>
        <v>61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4">
        <v>43304</v>
      </c>
      <c r="AP218" s="13">
        <f t="shared" si="98"/>
        <v>9</v>
      </c>
      <c r="AQ218" s="13">
        <f t="shared" si="99"/>
        <v>10</v>
      </c>
      <c r="AR218" s="173">
        <f t="shared" si="100"/>
        <v>43304</v>
      </c>
      <c r="AS218" s="752">
        <f t="shared" si="101"/>
        <v>0</v>
      </c>
      <c r="AT218" s="768">
        <f t="shared" si="102"/>
        <v>60.999999999254939</v>
      </c>
      <c r="AU218" s="13">
        <f t="shared" si="103"/>
        <v>9</v>
      </c>
      <c r="AV218" s="13">
        <f t="shared" si="104"/>
        <v>8</v>
      </c>
      <c r="AW218" s="173">
        <f t="shared" si="105"/>
        <v>43318</v>
      </c>
      <c r="AX218" s="752">
        <f t="shared" si="106"/>
        <v>0.5</v>
      </c>
      <c r="AY218" s="768">
        <f t="shared" si="107"/>
        <v>60.962500000558791</v>
      </c>
      <c r="AZ218" s="745">
        <f t="shared" si="111"/>
        <v>60.981249999906865</v>
      </c>
      <c r="BA218" s="642">
        <f t="shared" si="108"/>
        <v>0.93675527830164129</v>
      </c>
      <c r="BC218" s="11">
        <v>43304</v>
      </c>
      <c r="BD218" s="290">
        <f>[2]!FeuilCaduc*(1-Persistant)+Persistant</f>
        <v>0.99956481740722358</v>
      </c>
      <c r="BE218" s="291">
        <f>[2]!CroissVégét</f>
        <v>0.854179289095362</v>
      </c>
      <c r="BF218" s="815">
        <f>1+[2]!Salcycl*Ksac</f>
        <v>1.0499274695678706</v>
      </c>
      <c r="BH218" s="1052">
        <f t="shared" si="109"/>
        <v>7.3802192673286802E-4</v>
      </c>
      <c r="BI218" s="11">
        <v>44400</v>
      </c>
      <c r="BJ218" s="725">
        <v>1.2171696599138238E-5</v>
      </c>
      <c r="BK218" s="725">
        <v>5.2144809938712555E-5</v>
      </c>
      <c r="BL218" s="725">
        <v>2.1433577954786245E-4</v>
      </c>
      <c r="BM218" s="725">
        <v>5.3055125184763604E-4</v>
      </c>
      <c r="BN218" s="725">
        <v>1.0501501878727969E-3</v>
      </c>
      <c r="BO218" s="726">
        <v>1.821431381762884E-3</v>
      </c>
      <c r="BP218" s="725">
        <v>2.9620309444930945E-3</v>
      </c>
      <c r="BQ218" s="725">
        <v>4.6103055541860611E-3</v>
      </c>
      <c r="BR218" s="725">
        <v>6.9167874959019616E-3</v>
      </c>
      <c r="BS218" s="725">
        <v>1.0189547199633702E-2</v>
      </c>
      <c r="BT218" s="725">
        <v>1.42177711455266E-2</v>
      </c>
      <c r="BW218" s="1189">
        <f>'2018'!R\Max</f>
        <v>0</v>
      </c>
      <c r="BX218" s="1187">
        <f>'2019'!R\Max</f>
        <v>0.93675527830164129</v>
      </c>
      <c r="BY218" s="1187">
        <f>'2020'!R\Max</f>
        <v>0.90023894691530348</v>
      </c>
      <c r="BZ218" s="1187">
        <f>'2021'!R\Max</f>
        <v>0.74441071438724615</v>
      </c>
      <c r="CA218" s="1187">
        <f>'2022'!R\Max</f>
        <v>0.91864703138369097</v>
      </c>
      <c r="CB218" s="1187">
        <f>'2023'!R\Max</f>
        <v>0.91864200223300496</v>
      </c>
      <c r="CC218" s="1187">
        <f>'2024'!R\Max</f>
        <v>0.9186361837225</v>
      </c>
      <c r="CD218" s="1187">
        <f>'2025'!R\Max</f>
        <v>0.91866141595964179</v>
      </c>
      <c r="CE218" s="1187">
        <f>'2026'!R\Max</f>
        <v>0.91865879000215422</v>
      </c>
      <c r="CF218" s="1188">
        <f>'2027'!R\Max</f>
        <v>0.91865538996409934</v>
      </c>
    </row>
    <row r="219" spans="1:84" s="6" customFormat="1" ht="11.25" x14ac:dyDescent="0.2">
      <c r="A219" s="11">
        <v>43305</v>
      </c>
      <c r="B219" s="380">
        <f>'2022'!Maxi_hp</f>
        <v>57.379495039905848</v>
      </c>
      <c r="C219" s="13">
        <f>'2022'!An_max</f>
        <v>2019</v>
      </c>
      <c r="D219" s="1061"/>
      <c r="E219" s="13"/>
      <c r="F219" s="13">
        <f t="shared" si="110"/>
        <v>17</v>
      </c>
      <c r="G219" s="13">
        <f t="shared" si="94"/>
        <v>16</v>
      </c>
      <c r="H219" s="173">
        <f t="shared" si="95"/>
        <v>43318</v>
      </c>
      <c r="I219" s="752">
        <f t="shared" si="96"/>
        <v>0.9285714285714286</v>
      </c>
      <c r="J219" s="745">
        <f t="shared" si="97"/>
        <v>60.847722302776354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4">
        <v>43305</v>
      </c>
      <c r="AP219" s="13">
        <f t="shared" si="98"/>
        <v>9</v>
      </c>
      <c r="AQ219" s="13">
        <f t="shared" si="99"/>
        <v>10</v>
      </c>
      <c r="AR219" s="173">
        <f t="shared" si="100"/>
        <v>43304</v>
      </c>
      <c r="AS219" s="752">
        <f t="shared" si="101"/>
        <v>3.5714285714285712E-2</v>
      </c>
      <c r="AT219" s="768">
        <f t="shared" si="102"/>
        <v>60.848455721033474</v>
      </c>
      <c r="AU219" s="13">
        <f t="shared" si="103"/>
        <v>9</v>
      </c>
      <c r="AV219" s="13">
        <f t="shared" si="104"/>
        <v>8</v>
      </c>
      <c r="AW219" s="173">
        <f t="shared" si="105"/>
        <v>43318</v>
      </c>
      <c r="AX219" s="752">
        <f t="shared" si="106"/>
        <v>0.4642857142857143</v>
      </c>
      <c r="AY219" s="768">
        <f t="shared" si="107"/>
        <v>60.812427113271724</v>
      </c>
      <c r="AZ219" s="745">
        <f t="shared" si="111"/>
        <v>60.830441417152599</v>
      </c>
      <c r="BA219" s="642">
        <f t="shared" si="108"/>
        <v>0.94300152690000927</v>
      </c>
      <c r="BC219" s="11">
        <v>43305</v>
      </c>
      <c r="BD219" s="290">
        <f>[2]!FeuilCaduc*(1-Persistant)+Persistant</f>
        <v>0.9996870317330393</v>
      </c>
      <c r="BE219" s="291">
        <f>[2]!CroissVégét</f>
        <v>0.85923493718111654</v>
      </c>
      <c r="BF219" s="815">
        <f>1+[2]!Salcycl*Ksac</f>
        <v>1.0499478386221732</v>
      </c>
      <c r="BH219" s="1052">
        <f t="shared" si="109"/>
        <v>7.2544872614611162E-4</v>
      </c>
      <c r="BI219" s="11">
        <v>44401</v>
      </c>
      <c r="BJ219" s="725">
        <v>1.0490611416541092E-5</v>
      </c>
      <c r="BK219" s="725">
        <v>4.9634903053345623E-5</v>
      </c>
      <c r="BL219" s="725">
        <v>2.075654368843431E-4</v>
      </c>
      <c r="BM219" s="725">
        <v>5.1873371695971421E-4</v>
      </c>
      <c r="BN219" s="725">
        <v>1.0364401296520118E-3</v>
      </c>
      <c r="BO219" s="726">
        <v>1.8188813166671769E-3</v>
      </c>
      <c r="BP219" s="725">
        <v>2.9753265293613975E-3</v>
      </c>
      <c r="BQ219" s="725">
        <v>4.6393718505811843E-3</v>
      </c>
      <c r="BR219" s="725">
        <v>6.9668285232771538E-3</v>
      </c>
      <c r="BS219" s="725">
        <v>1.0304151095348907E-2</v>
      </c>
      <c r="BT219" s="725">
        <v>1.444249871620811E-2</v>
      </c>
      <c r="BW219" s="1189">
        <f>'2018'!R\Max</f>
        <v>0</v>
      </c>
      <c r="BX219" s="1187">
        <f>'2019'!R\Max</f>
        <v>0.94300152690000927</v>
      </c>
      <c r="BY219" s="1187">
        <f>'2020'!R\Max</f>
        <v>0.82289959959288583</v>
      </c>
      <c r="BZ219" s="1187">
        <f>'2021'!R\Max</f>
        <v>0.49649134111625831</v>
      </c>
      <c r="CA219" s="1187">
        <f>'2022'!R\Max</f>
        <v>0.92733169543550076</v>
      </c>
      <c r="CB219" s="1187">
        <f>'2023'!R\Max</f>
        <v>0.92732708561219357</v>
      </c>
      <c r="CC219" s="1187">
        <f>'2024'!R\Max</f>
        <v>0.92732175201373468</v>
      </c>
      <c r="CD219" s="1187">
        <f>'2025'!R\Max</f>
        <v>0.92734487254468823</v>
      </c>
      <c r="CE219" s="1187">
        <f>'2026'!R\Max</f>
        <v>0.92734248501481209</v>
      </c>
      <c r="CF219" s="1188">
        <f>'2027'!R\Max</f>
        <v>0.92733936671667005</v>
      </c>
    </row>
    <row r="220" spans="1:84" s="6" customFormat="1" ht="11.25" x14ac:dyDescent="0.2">
      <c r="A220" s="11">
        <v>43306</v>
      </c>
      <c r="B220" s="380">
        <f>'2022'!Maxi_hp</f>
        <v>60.574640900410465</v>
      </c>
      <c r="C220" s="13">
        <f>'2022'!An_max</f>
        <v>2020</v>
      </c>
      <c r="D220" s="1061"/>
      <c r="E220" s="13"/>
      <c r="F220" s="13">
        <f t="shared" si="110"/>
        <v>17</v>
      </c>
      <c r="G220" s="13">
        <f t="shared" si="94"/>
        <v>16</v>
      </c>
      <c r="H220" s="173">
        <f t="shared" si="95"/>
        <v>43318</v>
      </c>
      <c r="I220" s="752">
        <f t="shared" si="96"/>
        <v>0.8571428571428571</v>
      </c>
      <c r="J220" s="745">
        <f t="shared" si="97"/>
        <v>60.690962098645308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4">
        <v>43306</v>
      </c>
      <c r="AP220" s="13">
        <f t="shared" si="98"/>
        <v>9</v>
      </c>
      <c r="AQ220" s="13">
        <f t="shared" si="99"/>
        <v>10</v>
      </c>
      <c r="AR220" s="173">
        <f t="shared" si="100"/>
        <v>43304</v>
      </c>
      <c r="AS220" s="752">
        <f t="shared" si="101"/>
        <v>7.1428571428571425E-2</v>
      </c>
      <c r="AT220" s="768">
        <f t="shared" si="102"/>
        <v>60.693768221565655</v>
      </c>
      <c r="AU220" s="13">
        <f t="shared" si="103"/>
        <v>9</v>
      </c>
      <c r="AV220" s="13">
        <f t="shared" si="104"/>
        <v>8</v>
      </c>
      <c r="AW220" s="173">
        <f t="shared" si="105"/>
        <v>43318</v>
      </c>
      <c r="AX220" s="752">
        <f t="shared" si="106"/>
        <v>0.42857142857142855</v>
      </c>
      <c r="AY220" s="768">
        <f t="shared" si="107"/>
        <v>60.658600583246781</v>
      </c>
      <c r="AZ220" s="745">
        <f t="shared" si="111"/>
        <v>60.676184402406221</v>
      </c>
      <c r="BA220" s="642">
        <f t="shared" si="108"/>
        <v>0.99808338516621675</v>
      </c>
      <c r="BC220" s="11">
        <v>43306</v>
      </c>
      <c r="BD220" s="290">
        <f>[2]!FeuilCaduc*(1-Persistant)+Persistant</f>
        <v>0.99977878896172245</v>
      </c>
      <c r="BE220" s="291">
        <f>[2]!CroissVégét</f>
        <v>0.86414353915538655</v>
      </c>
      <c r="BF220" s="815">
        <f>1+[2]!Salcycl*Ksac</f>
        <v>1.0499631314936204</v>
      </c>
      <c r="BH220" s="1052">
        <f t="shared" si="109"/>
        <v>7.1450306996690793E-4</v>
      </c>
      <c r="BI220" s="11">
        <v>44402</v>
      </c>
      <c r="BJ220" s="725">
        <v>9.1892377483183228E-6</v>
      </c>
      <c r="BK220" s="725">
        <v>4.7992505299425231E-5</v>
      </c>
      <c r="BL220" s="725">
        <v>2.0163488782849222E-4</v>
      </c>
      <c r="BM220" s="725">
        <v>5.0830419928020736E-4</v>
      </c>
      <c r="BN220" s="725">
        <v>1.0247179713839861E-3</v>
      </c>
      <c r="BO220" s="726">
        <v>1.8201549373735477E-3</v>
      </c>
      <c r="BP220" s="725">
        <v>2.9948325082382694E-3</v>
      </c>
      <c r="BQ220" s="725">
        <v>4.6793276882578566E-3</v>
      </c>
      <c r="BR220" s="725">
        <v>7.0357988801056388E-3</v>
      </c>
      <c r="BS220" s="725">
        <v>1.0452236781803414E-2</v>
      </c>
      <c r="BT220" s="725">
        <v>1.4720478537648135E-2</v>
      </c>
      <c r="BW220" s="1189">
        <f>'2018'!R\Max</f>
        <v>0</v>
      </c>
      <c r="BX220" s="1187">
        <f>'2019'!R\Max</f>
        <v>0.95199588546009406</v>
      </c>
      <c r="BY220" s="1187">
        <f>'2020'!R\Max</f>
        <v>0.99808338516621675</v>
      </c>
      <c r="BZ220" s="1187">
        <f>'2021'!R\Max</f>
        <v>0.59679846163413386</v>
      </c>
      <c r="CA220" s="1187">
        <f>'2022'!R\Max</f>
        <v>0.49994520378630197</v>
      </c>
      <c r="CB220" s="1187">
        <f>'2023'!R\Max</f>
        <v>0.49992778627986056</v>
      </c>
      <c r="CC220" s="1187">
        <f>'2024'!R\Max</f>
        <v>0.4999076289175764</v>
      </c>
      <c r="CD220" s="1187">
        <f>'2025'!R\Max</f>
        <v>0.49999497232030238</v>
      </c>
      <c r="CE220" s="1187">
        <f>'2026'!R\Max</f>
        <v>0.49998602354678851</v>
      </c>
      <c r="CF220" s="1188">
        <f>'2027'!R\Max</f>
        <v>0.49997423004558605</v>
      </c>
    </row>
    <row r="221" spans="1:84" s="6" customFormat="1" ht="11.25" x14ac:dyDescent="0.2">
      <c r="A221" s="11">
        <v>43307</v>
      </c>
      <c r="B221" s="380">
        <f>'2022'!Maxi_hp</f>
        <v>63.373229232524743</v>
      </c>
      <c r="C221" s="13">
        <f>'2022'!An_max</f>
        <v>2022</v>
      </c>
      <c r="D221" s="1061"/>
      <c r="E221" s="13"/>
      <c r="F221" s="13">
        <f t="shared" si="110"/>
        <v>17</v>
      </c>
      <c r="G221" s="13">
        <f t="shared" si="94"/>
        <v>16</v>
      </c>
      <c r="H221" s="173">
        <f t="shared" si="95"/>
        <v>43318</v>
      </c>
      <c r="I221" s="752">
        <f t="shared" si="96"/>
        <v>0.7857142857142857</v>
      </c>
      <c r="J221" s="745">
        <f t="shared" si="97"/>
        <v>60.529828717666007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4">
        <v>43307</v>
      </c>
      <c r="AP221" s="13">
        <f t="shared" si="98"/>
        <v>9</v>
      </c>
      <c r="AQ221" s="13">
        <f t="shared" si="99"/>
        <v>10</v>
      </c>
      <c r="AR221" s="173">
        <f t="shared" si="100"/>
        <v>43304</v>
      </c>
      <c r="AS221" s="752">
        <f t="shared" si="101"/>
        <v>0.10714285714285714</v>
      </c>
      <c r="AT221" s="768">
        <f t="shared" si="102"/>
        <v>60.535855502901335</v>
      </c>
      <c r="AU221" s="13">
        <f t="shared" si="103"/>
        <v>9</v>
      </c>
      <c r="AV221" s="13">
        <f t="shared" si="104"/>
        <v>8</v>
      </c>
      <c r="AW221" s="173">
        <f t="shared" si="105"/>
        <v>43318</v>
      </c>
      <c r="AX221" s="752">
        <f t="shared" si="106"/>
        <v>0.39285714285714285</v>
      </c>
      <c r="AY221" s="768">
        <f t="shared" si="107"/>
        <v>60.500965743591749</v>
      </c>
      <c r="AZ221" s="745">
        <f t="shared" si="111"/>
        <v>60.518410623246538</v>
      </c>
      <c r="BA221" s="642">
        <f t="shared" si="108"/>
        <v>1.0469751951243977</v>
      </c>
      <c r="BC221" s="11">
        <v>43307</v>
      </c>
      <c r="BD221" s="290">
        <f>[2]!FeuilCaduc*(1-Persistant)+Persistant</f>
        <v>0.99984222440130677</v>
      </c>
      <c r="BE221" s="291">
        <f>[2]!CroissVégét</f>
        <v>0.86890745271110437</v>
      </c>
      <c r="BF221" s="815">
        <f>1+[2]!Salcycl*Ksac</f>
        <v>1.0499737040668844</v>
      </c>
      <c r="BH221" s="1052">
        <f t="shared" si="109"/>
        <v>7.0436819435316976E-4</v>
      </c>
      <c r="BI221" s="11">
        <v>44403</v>
      </c>
      <c r="BJ221" s="725">
        <v>8.1532140708945046E-6</v>
      </c>
      <c r="BK221" s="725">
        <v>4.6838134875888528E-5</v>
      </c>
      <c r="BL221" s="725">
        <v>1.9613176563487865E-4</v>
      </c>
      <c r="BM221" s="725">
        <v>4.98594369698025E-4</v>
      </c>
      <c r="BN221" s="725">
        <v>1.0139436373079503E-3</v>
      </c>
      <c r="BO221" s="726">
        <v>1.8236530883290103E-3</v>
      </c>
      <c r="BP221" s="725">
        <v>3.0189499241019355E-3</v>
      </c>
      <c r="BQ221" s="725">
        <v>4.7293572978315841E-3</v>
      </c>
      <c r="BR221" s="725">
        <v>7.1238579705438926E-3</v>
      </c>
      <c r="BS221" s="725">
        <v>1.0633129954913592E-2</v>
      </c>
      <c r="BT221" s="725">
        <v>1.5047990127901817E-2</v>
      </c>
      <c r="BW221" s="1189">
        <f>'2018'!R\Max</f>
        <v>0</v>
      </c>
      <c r="BX221" s="1187">
        <f>'2019'!R\Max</f>
        <v>0.39703974723625124</v>
      </c>
      <c r="BY221" s="1187">
        <f>'2020'!R\Max</f>
        <v>0.96519646495052824</v>
      </c>
      <c r="BZ221" s="1187">
        <f>'2021'!R\Max</f>
        <v>0.63139867161012286</v>
      </c>
      <c r="CA221" s="1187">
        <f>'2022'!R\Max</f>
        <v>1.0469751951243977</v>
      </c>
      <c r="CB221" s="1187">
        <f>'2023'!R\Max</f>
        <v>1.0469751951243975</v>
      </c>
      <c r="CC221" s="1187">
        <f>'2024'!R\Max</f>
        <v>1.0469751951243975</v>
      </c>
      <c r="CD221" s="1187">
        <f>'2025'!R\Max</f>
        <v>1.0469751951243975</v>
      </c>
      <c r="CE221" s="1187">
        <f>'2026'!R\Max</f>
        <v>1.0469751951243975</v>
      </c>
      <c r="CF221" s="1188">
        <f>'2027'!R\Max</f>
        <v>1.0469751951243975</v>
      </c>
    </row>
    <row r="222" spans="1:84" s="6" customFormat="1" ht="11.25" x14ac:dyDescent="0.2">
      <c r="A222" s="11">
        <v>43308</v>
      </c>
      <c r="B222" s="380">
        <f>'2022'!Maxi_hp</f>
        <v>61.517482793724284</v>
      </c>
      <c r="C222" s="13">
        <f>'2022'!An_max</f>
        <v>2022</v>
      </c>
      <c r="D222" s="1061"/>
      <c r="E222" s="13"/>
      <c r="F222" s="13">
        <f t="shared" si="110"/>
        <v>17</v>
      </c>
      <c r="G222" s="13">
        <f t="shared" si="94"/>
        <v>16</v>
      </c>
      <c r="H222" s="173">
        <f t="shared" si="95"/>
        <v>43318</v>
      </c>
      <c r="I222" s="752">
        <f t="shared" si="96"/>
        <v>0.7142857142857143</v>
      </c>
      <c r="J222" s="745">
        <f t="shared" si="97"/>
        <v>60.36443148681095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4">
        <v>43308</v>
      </c>
      <c r="AP222" s="13">
        <f t="shared" si="98"/>
        <v>9</v>
      </c>
      <c r="AQ222" s="13">
        <f t="shared" si="99"/>
        <v>10</v>
      </c>
      <c r="AR222" s="173">
        <f t="shared" si="100"/>
        <v>43304</v>
      </c>
      <c r="AS222" s="752">
        <f t="shared" si="101"/>
        <v>0.14285714285714285</v>
      </c>
      <c r="AT222" s="768">
        <f t="shared" si="102"/>
        <v>60.374635568261148</v>
      </c>
      <c r="AU222" s="13">
        <f t="shared" si="103"/>
        <v>9</v>
      </c>
      <c r="AV222" s="13">
        <f t="shared" si="104"/>
        <v>8</v>
      </c>
      <c r="AW222" s="173">
        <f t="shared" si="105"/>
        <v>43318</v>
      </c>
      <c r="AX222" s="752">
        <f t="shared" si="106"/>
        <v>0.35714285714285715</v>
      </c>
      <c r="AY222" s="768">
        <f t="shared" si="107"/>
        <v>60.339467930181755</v>
      </c>
      <c r="AZ222" s="745">
        <f t="shared" si="111"/>
        <v>60.357051749221455</v>
      </c>
      <c r="BA222" s="642">
        <f t="shared" si="108"/>
        <v>1.0191015019691732</v>
      </c>
      <c r="BC222" s="11">
        <v>43308</v>
      </c>
      <c r="BD222" s="290">
        <f>[2]!FeuilCaduc*(1-Persistant)+Persistant</f>
        <v>0.99987932264921642</v>
      </c>
      <c r="BE222" s="291">
        <f>[2]!CroissVégét</f>
        <v>0.87352913572103608</v>
      </c>
      <c r="BF222" s="815">
        <f>1+[2]!Salcycl*Ksac</f>
        <v>1.0499798871082027</v>
      </c>
      <c r="BH222" s="1052">
        <f t="shared" si="109"/>
        <v>6.9504294614234523E-4</v>
      </c>
      <c r="BI222" s="11">
        <v>44404</v>
      </c>
      <c r="BJ222" s="725">
        <v>7.3823222581302615E-6</v>
      </c>
      <c r="BK222" s="725">
        <v>4.6171412362412956E-5</v>
      </c>
      <c r="BL222" s="725">
        <v>1.9105550693703879E-4</v>
      </c>
      <c r="BM222" s="725">
        <v>4.8960321209820718E-4</v>
      </c>
      <c r="BN222" s="725">
        <v>1.004115768080761E-3</v>
      </c>
      <c r="BO222" s="726">
        <v>1.8293739318853666E-3</v>
      </c>
      <c r="BP222" s="725">
        <v>3.0476758873701471E-3</v>
      </c>
      <c r="BQ222" s="725">
        <v>4.7894548021769215E-3</v>
      </c>
      <c r="BR222" s="725">
        <v>7.230994916183512E-3</v>
      </c>
      <c r="BS222" s="725">
        <v>1.0846813610420345E-2</v>
      </c>
      <c r="BT222" s="725">
        <v>1.5425010357822261E-2</v>
      </c>
      <c r="BW222" s="1189">
        <f>'2018'!R\Max</f>
        <v>0</v>
      </c>
      <c r="BX222" s="1187">
        <f>'2019'!R\Max</f>
        <v>0.22120503107784925</v>
      </c>
      <c r="BY222" s="1187">
        <f>'2020'!R\Max</f>
        <v>0.84733437543898094</v>
      </c>
      <c r="BZ222" s="1187">
        <f>'2021'!R\Max</f>
        <v>0.77320322462502089</v>
      </c>
      <c r="CA222" s="1187">
        <f>'2022'!R\Max</f>
        <v>1.0191015019691732</v>
      </c>
      <c r="CB222" s="1187">
        <f>'2023'!R\Max</f>
        <v>1.0191015019691729</v>
      </c>
      <c r="CC222" s="1187">
        <f>'2024'!R\Max</f>
        <v>1.0191015019691729</v>
      </c>
      <c r="CD222" s="1187">
        <f>'2025'!R\Max</f>
        <v>1.0191015019691729</v>
      </c>
      <c r="CE222" s="1187">
        <f>'2026'!R\Max</f>
        <v>1.0191015019691729</v>
      </c>
      <c r="CF222" s="1188">
        <f>'2027'!R\Max</f>
        <v>1.0191015019691729</v>
      </c>
    </row>
    <row r="223" spans="1:84" s="6" customFormat="1" ht="11.25" x14ac:dyDescent="0.2">
      <c r="A223" s="11">
        <v>43309</v>
      </c>
      <c r="B223" s="380">
        <f>'2022'!Maxi_hp</f>
        <v>57.712856761591276</v>
      </c>
      <c r="C223" s="13">
        <f>'2022'!An_max</f>
        <v>2019</v>
      </c>
      <c r="D223" s="1061"/>
      <c r="E223" s="13"/>
      <c r="F223" s="13">
        <f t="shared" si="110"/>
        <v>17</v>
      </c>
      <c r="G223" s="13">
        <f t="shared" si="94"/>
        <v>16</v>
      </c>
      <c r="H223" s="173">
        <f t="shared" si="95"/>
        <v>43318</v>
      </c>
      <c r="I223" s="752">
        <f t="shared" si="96"/>
        <v>0.6428571428571429</v>
      </c>
      <c r="J223" s="745">
        <f t="shared" si="97"/>
        <v>60.194879737709257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4">
        <v>43309</v>
      </c>
      <c r="AP223" s="13">
        <f t="shared" si="98"/>
        <v>9</v>
      </c>
      <c r="AQ223" s="13">
        <f t="shared" si="99"/>
        <v>10</v>
      </c>
      <c r="AR223" s="173">
        <f t="shared" si="100"/>
        <v>43304</v>
      </c>
      <c r="AS223" s="752">
        <f t="shared" si="101"/>
        <v>0.17857142857142858</v>
      </c>
      <c r="AT223" s="768">
        <f t="shared" si="102"/>
        <v>60.210026421584189</v>
      </c>
      <c r="AU223" s="13">
        <f t="shared" si="103"/>
        <v>9</v>
      </c>
      <c r="AV223" s="13">
        <f t="shared" si="104"/>
        <v>8</v>
      </c>
      <c r="AW223" s="173">
        <f t="shared" si="105"/>
        <v>43318</v>
      </c>
      <c r="AX223" s="752">
        <f t="shared" si="106"/>
        <v>0.32142857142857145</v>
      </c>
      <c r="AY223" s="768">
        <f t="shared" si="107"/>
        <v>60.174052478585928</v>
      </c>
      <c r="AZ223" s="745">
        <f t="shared" si="111"/>
        <v>60.192039450085062</v>
      </c>
      <c r="BA223" s="642">
        <f t="shared" si="108"/>
        <v>0.95876687540646233</v>
      </c>
      <c r="BC223" s="11">
        <v>43309</v>
      </c>
      <c r="BD223" s="290">
        <f>[2]!FeuilCaduc*(1-Persistant)+Persistant</f>
        <v>0.99989191428926705</v>
      </c>
      <c r="BE223" s="291">
        <f>[2]!CroissVégét</f>
        <v>0.8780111344941991</v>
      </c>
      <c r="BF223" s="815">
        <f>1+[2]!Salcycl*Ksac</f>
        <v>1.0499819857148778</v>
      </c>
      <c r="BH223" s="1052">
        <f t="shared" si="109"/>
        <v>6.8652624939677018E-4</v>
      </c>
      <c r="BI223" s="11">
        <v>44405</v>
      </c>
      <c r="BJ223" s="725">
        <v>6.8763670241591716E-6</v>
      </c>
      <c r="BK223" s="725">
        <v>4.5991999398128518E-5</v>
      </c>
      <c r="BL223" s="725">
        <v>1.864055895171339E-4</v>
      </c>
      <c r="BM223" s="725">
        <v>4.81329779949588E-4</v>
      </c>
      <c r="BN223" s="725">
        <v>9.952330930797686E-4</v>
      </c>
      <c r="BO223" s="726">
        <v>1.8373158047662863E-3</v>
      </c>
      <c r="BP223" s="725">
        <v>3.0810078507049077E-3</v>
      </c>
      <c r="BQ223" s="725">
        <v>4.8596150776055022E-3</v>
      </c>
      <c r="BR223" s="725">
        <v>7.3572002769750379E-3</v>
      </c>
      <c r="BS223" s="725">
        <v>1.1093273182848799E-2</v>
      </c>
      <c r="BT223" s="725">
        <v>1.5851519716219221E-2</v>
      </c>
      <c r="BW223" s="1189">
        <f>'2018'!R\Max</f>
        <v>0</v>
      </c>
      <c r="BX223" s="1187">
        <f>'2019'!R\Max</f>
        <v>0.95876687540646233</v>
      </c>
      <c r="BY223" s="1187">
        <f>'2020'!R\Max</f>
        <v>0.93320784523985212</v>
      </c>
      <c r="BZ223" s="1187">
        <f>'2021'!R\Max</f>
        <v>0.44611093039032929</v>
      </c>
      <c r="CA223" s="1187">
        <f>'2022'!R\Max</f>
        <v>0.81836047162225845</v>
      </c>
      <c r="CB223" s="1187">
        <f>'2023'!R\Max</f>
        <v>0.81834941501799485</v>
      </c>
      <c r="CC223" s="1187">
        <f>'2024'!R\Max</f>
        <v>0.81833656816540001</v>
      </c>
      <c r="CD223" s="1187">
        <f>'2025'!R\Max</f>
        <v>0.81839194884337785</v>
      </c>
      <c r="CE223" s="1187">
        <f>'2026'!R\Max</f>
        <v>0.81838642960257346</v>
      </c>
      <c r="CF223" s="1188">
        <f>'2027'!R\Max</f>
        <v>0.81837894481265827</v>
      </c>
    </row>
    <row r="224" spans="1:84" s="6" customFormat="1" ht="11.25" x14ac:dyDescent="0.2">
      <c r="A224" s="11">
        <v>43310</v>
      </c>
      <c r="B224" s="380">
        <f>'2022'!Maxi_hp</f>
        <v>59.638650832887429</v>
      </c>
      <c r="C224" s="13">
        <f>'2022'!An_max</f>
        <v>2019</v>
      </c>
      <c r="D224" s="1061"/>
      <c r="E224" s="13"/>
      <c r="F224" s="13">
        <f t="shared" si="110"/>
        <v>17</v>
      </c>
      <c r="G224" s="13">
        <f t="shared" si="94"/>
        <v>16</v>
      </c>
      <c r="H224" s="173">
        <f t="shared" si="95"/>
        <v>43318</v>
      </c>
      <c r="I224" s="752">
        <f t="shared" si="96"/>
        <v>0.5714285714285714</v>
      </c>
      <c r="J224" s="745">
        <f t="shared" si="97"/>
        <v>60.021282799382291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4">
        <v>43310</v>
      </c>
      <c r="AP224" s="13">
        <f t="shared" si="98"/>
        <v>9</v>
      </c>
      <c r="AQ224" s="13">
        <f t="shared" si="99"/>
        <v>10</v>
      </c>
      <c r="AR224" s="173">
        <f t="shared" si="100"/>
        <v>43304</v>
      </c>
      <c r="AS224" s="752">
        <f t="shared" si="101"/>
        <v>0.21428571428571427</v>
      </c>
      <c r="AT224" s="768">
        <f t="shared" si="102"/>
        <v>60.041946064308284</v>
      </c>
      <c r="AU224" s="13">
        <f t="shared" si="103"/>
        <v>9</v>
      </c>
      <c r="AV224" s="13">
        <f t="shared" si="104"/>
        <v>8</v>
      </c>
      <c r="AW224" s="173">
        <f t="shared" si="105"/>
        <v>43318</v>
      </c>
      <c r="AX224" s="752">
        <f t="shared" si="106"/>
        <v>0.2857142857142857</v>
      </c>
      <c r="AY224" s="768">
        <f t="shared" si="107"/>
        <v>60.004664723787997</v>
      </c>
      <c r="AZ224" s="745">
        <f t="shared" si="111"/>
        <v>60.023305394048137</v>
      </c>
      <c r="BA224" s="642">
        <f t="shared" si="108"/>
        <v>0.99362506183391996</v>
      </c>
      <c r="BC224" s="11">
        <v>43310</v>
      </c>
      <c r="BD224" s="290">
        <f>[2]!FeuilCaduc*(1-Persistant)+Persistant</f>
        <v>0.99988167383364468</v>
      </c>
      <c r="BE224" s="291">
        <f>[2]!CroissVégét</f>
        <v>0.88235607250226589</v>
      </c>
      <c r="BF224" s="815">
        <f>1+[2]!Salcycl*Ksac</f>
        <v>1.0499802789722741</v>
      </c>
      <c r="BH224" s="1052">
        <f t="shared" si="109"/>
        <v>6.7881710292551139E-4</v>
      </c>
      <c r="BI224" s="11">
        <v>44406</v>
      </c>
      <c r="BJ224" s="725">
        <v>6.6351751022830828E-6</v>
      </c>
      <c r="BK224" s="725">
        <v>4.6299597171336427E-5</v>
      </c>
      <c r="BL224" s="725">
        <v>1.8218153099442306E-4</v>
      </c>
      <c r="BM224" s="725">
        <v>4.7377319410224689E-4</v>
      </c>
      <c r="BN224" s="725">
        <v>9.8729442751002445E-4</v>
      </c>
      <c r="BO224" s="726">
        <v>1.8474772112193917E-3</v>
      </c>
      <c r="BP224" s="725">
        <v>3.1189435947692394E-3</v>
      </c>
      <c r="BQ224" s="725">
        <v>4.9398337226985714E-3</v>
      </c>
      <c r="BR224" s="725">
        <v>7.502465992122777E-3</v>
      </c>
      <c r="BS224" s="725">
        <v>1.1372496443833448E-2</v>
      </c>
      <c r="BT224" s="725">
        <v>1.6327502156244157E-2</v>
      </c>
      <c r="BW224" s="1189">
        <f>'2018'!R\Max</f>
        <v>0</v>
      </c>
      <c r="BX224" s="1187">
        <f>'2019'!R\Max</f>
        <v>0.99362506183391996</v>
      </c>
      <c r="BY224" s="1187">
        <f>'2020'!R\Max</f>
        <v>0.62934006136762821</v>
      </c>
      <c r="BZ224" s="1187">
        <f>'2021'!R\Max</f>
        <v>0.93541647680307638</v>
      </c>
      <c r="CA224" s="1187">
        <f>'2022'!R\Max</f>
        <v>0.60296290564038901</v>
      </c>
      <c r="CB224" s="1187">
        <f>'2023'!R\Max</f>
        <v>0.60294464884804666</v>
      </c>
      <c r="CC224" s="1187">
        <f>'2024'!R\Max</f>
        <v>0.60292338855956573</v>
      </c>
      <c r="CD224" s="1187">
        <f>'2025'!R\Max</f>
        <v>0.60301479153532023</v>
      </c>
      <c r="CE224" s="1187">
        <f>'2026'!R\Max</f>
        <v>0.60300577361354935</v>
      </c>
      <c r="CF224" s="1188">
        <f>'2027'!R\Max</f>
        <v>0.60299342381246257</v>
      </c>
    </row>
    <row r="225" spans="1:84" s="6" customFormat="1" ht="11.25" x14ac:dyDescent="0.2">
      <c r="A225" s="11">
        <v>43311</v>
      </c>
      <c r="B225" s="380">
        <f>'2022'!Maxi_hp</f>
        <v>55.521981770565908</v>
      </c>
      <c r="C225" s="13">
        <f>'2022'!An_max</f>
        <v>2022</v>
      </c>
      <c r="D225" s="1061"/>
      <c r="E225" s="13"/>
      <c r="F225" s="13">
        <f t="shared" si="110"/>
        <v>17</v>
      </c>
      <c r="G225" s="13">
        <f t="shared" si="94"/>
        <v>16</v>
      </c>
      <c r="H225" s="173">
        <f t="shared" si="95"/>
        <v>43318</v>
      </c>
      <c r="I225" s="752">
        <f t="shared" si="96"/>
        <v>0.5</v>
      </c>
      <c r="J225" s="745">
        <f t="shared" si="97"/>
        <v>59.84375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4">
        <v>43311</v>
      </c>
      <c r="AP225" s="13">
        <f t="shared" si="98"/>
        <v>9</v>
      </c>
      <c r="AQ225" s="13">
        <f t="shared" si="99"/>
        <v>10</v>
      </c>
      <c r="AR225" s="173">
        <f t="shared" si="100"/>
        <v>43304</v>
      </c>
      <c r="AS225" s="752">
        <f t="shared" si="101"/>
        <v>0.25</v>
      </c>
      <c r="AT225" s="768">
        <f t="shared" si="102"/>
        <v>59.870312499627474</v>
      </c>
      <c r="AU225" s="13">
        <f t="shared" si="103"/>
        <v>9</v>
      </c>
      <c r="AV225" s="13">
        <f t="shared" si="104"/>
        <v>8</v>
      </c>
      <c r="AW225" s="173">
        <f t="shared" si="105"/>
        <v>43318</v>
      </c>
      <c r="AX225" s="752">
        <f t="shared" si="106"/>
        <v>0.25</v>
      </c>
      <c r="AY225" s="768">
        <f t="shared" si="107"/>
        <v>59.831250000093135</v>
      </c>
      <c r="AZ225" s="745">
        <f t="shared" si="111"/>
        <v>59.850781249860304</v>
      </c>
      <c r="BA225" s="642">
        <f t="shared" si="108"/>
        <v>0.92778246300684541</v>
      </c>
      <c r="BC225" s="11">
        <v>43311</v>
      </c>
      <c r="BD225" s="290">
        <f>[2]!FeuilCaduc*(1-Persistant)+Persistant</f>
        <v>0.99985011886890685</v>
      </c>
      <c r="BE225" s="291">
        <f>[2]!CroissVégét</f>
        <v>0.88656663959603077</v>
      </c>
      <c r="BF225" s="815">
        <f>1+[2]!Salcycl*Ksac</f>
        <v>1.0499750198114846</v>
      </c>
      <c r="BH225" s="1052">
        <f t="shared" si="109"/>
        <v>6.7191457782932E-4</v>
      </c>
      <c r="BI225" s="11">
        <v>44407</v>
      </c>
      <c r="BJ225" s="725">
        <v>6.6585944241081892E-6</v>
      </c>
      <c r="BK225" s="725">
        <v>4.7093944910781792E-5</v>
      </c>
      <c r="BL225" s="725">
        <v>1.7838288752003637E-4</v>
      </c>
      <c r="BM225" s="725">
        <v>4.6693264060118693E-4</v>
      </c>
      <c r="BN225" s="725">
        <v>9.8029866954495084E-4</v>
      </c>
      <c r="BO225" s="726">
        <v>1.8598568162299209E-3</v>
      </c>
      <c r="BP225" s="725">
        <v>3.1614812140870387E-3</v>
      </c>
      <c r="BQ225" s="725">
        <v>5.0301070273020025E-3</v>
      </c>
      <c r="BR225" s="725">
        <v>7.6667853212255277E-3</v>
      </c>
      <c r="BS225" s="725">
        <v>1.1684473400813782E-2</v>
      </c>
      <c r="BT225" s="725">
        <v>1.685294494230398E-2</v>
      </c>
      <c r="BW225" s="1189">
        <f>'2018'!R\Max</f>
        <v>0</v>
      </c>
      <c r="BX225" s="1187">
        <f>'2019'!R\Max</f>
        <v>0.50084849019946676</v>
      </c>
      <c r="BY225" s="1187">
        <f>'2020'!R\Max</f>
        <v>0.88434784458363924</v>
      </c>
      <c r="BZ225" s="1187">
        <f>'2021'!R\Max</f>
        <v>0.32729648757202667</v>
      </c>
      <c r="CA225" s="1187">
        <f>'2022'!R\Max</f>
        <v>0.92778246300684541</v>
      </c>
      <c r="CB225" s="1187">
        <f>'2023'!R\Max</f>
        <v>0.92777721665431134</v>
      </c>
      <c r="CC225" s="1187">
        <f>'2024'!R\Max</f>
        <v>0.92777109026071869</v>
      </c>
      <c r="CD225" s="1187">
        <f>'2025'!R\Max</f>
        <v>0.92779734142785475</v>
      </c>
      <c r="CE225" s="1187">
        <f>'2026'!R\Max</f>
        <v>0.92779477884274175</v>
      </c>
      <c r="CF225" s="1188">
        <f>'2027'!R\Max</f>
        <v>0.92779123455333856</v>
      </c>
    </row>
    <row r="226" spans="1:84" s="6" customFormat="1" ht="11.25" x14ac:dyDescent="0.2">
      <c r="A226" s="11">
        <v>43312</v>
      </c>
      <c r="B226" s="380">
        <f>'2022'!Maxi_hp</f>
        <v>59.170431840667312</v>
      </c>
      <c r="C226" s="13">
        <f>'2022'!An_max</f>
        <v>2022</v>
      </c>
      <c r="D226" s="1061"/>
      <c r="E226" s="13"/>
      <c r="F226" s="13">
        <f t="shared" si="110"/>
        <v>17</v>
      </c>
      <c r="G226" s="13">
        <f t="shared" si="94"/>
        <v>16</v>
      </c>
      <c r="H226" s="173">
        <f t="shared" si="95"/>
        <v>43318</v>
      </c>
      <c r="I226" s="752">
        <f t="shared" si="96"/>
        <v>0.42857142857142855</v>
      </c>
      <c r="J226" s="745">
        <f t="shared" si="97"/>
        <v>59.662390670393187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4">
        <v>43312</v>
      </c>
      <c r="AP226" s="13">
        <f t="shared" si="98"/>
        <v>9</v>
      </c>
      <c r="AQ226" s="13">
        <f t="shared" si="99"/>
        <v>10</v>
      </c>
      <c r="AR226" s="173">
        <f t="shared" si="100"/>
        <v>43304</v>
      </c>
      <c r="AS226" s="752">
        <f t="shared" si="101"/>
        <v>0.2857142857142857</v>
      </c>
      <c r="AT226" s="768">
        <f t="shared" si="102"/>
        <v>59.695043731161526</v>
      </c>
      <c r="AU226" s="13">
        <f t="shared" si="103"/>
        <v>9</v>
      </c>
      <c r="AV226" s="13">
        <f t="shared" si="104"/>
        <v>8</v>
      </c>
      <c r="AW226" s="173">
        <f t="shared" si="105"/>
        <v>43318</v>
      </c>
      <c r="AX226" s="752">
        <f t="shared" si="106"/>
        <v>0.21428571428571427</v>
      </c>
      <c r="AY226" s="768">
        <f t="shared" si="107"/>
        <v>59.653753644307812</v>
      </c>
      <c r="AZ226" s="745">
        <f t="shared" si="111"/>
        <v>59.674398687734666</v>
      </c>
      <c r="BA226" s="642">
        <f t="shared" si="108"/>
        <v>0.99175428902197837</v>
      </c>
      <c r="BC226" s="11">
        <v>43312</v>
      </c>
      <c r="BD226" s="290">
        <f>[2]!FeuilCaduc*(1-Persistant)+Persistant</f>
        <v>0.99979861035426443</v>
      </c>
      <c r="BE226" s="291">
        <f>[2]!CroissVégét</f>
        <v>0.89064558172697694</v>
      </c>
      <c r="BF226" s="815">
        <f>1+[2]!Salcycl*Ksac</f>
        <v>1.0499664350590441</v>
      </c>
      <c r="BH226" s="1052">
        <f t="shared" si="109"/>
        <v>6.6658153157957167E-4</v>
      </c>
      <c r="BI226" s="11">
        <v>44408</v>
      </c>
      <c r="BJ226" s="725">
        <v>6.9083529151256491E-6</v>
      </c>
      <c r="BK226" s="725">
        <v>4.8155177968860856E-5</v>
      </c>
      <c r="BL226" s="725">
        <v>1.7495087954134684E-4</v>
      </c>
      <c r="BM226" s="725">
        <v>4.6117689420869336E-4</v>
      </c>
      <c r="BN226" s="725">
        <v>9.756015524963374E-4</v>
      </c>
      <c r="BO226" s="726">
        <v>1.8767434628270947E-3</v>
      </c>
      <c r="BP226" s="725">
        <v>3.2136099061522072E-3</v>
      </c>
      <c r="BQ226" s="725">
        <v>5.1402731456724991E-3</v>
      </c>
      <c r="BR226" s="725">
        <v>7.8673640766691883E-3</v>
      </c>
      <c r="BS226" s="725">
        <v>1.205325336728876E-2</v>
      </c>
      <c r="BT226" s="725">
        <v>1.7457580688024443E-2</v>
      </c>
      <c r="BW226" s="1189">
        <f>'2018'!R\Max</f>
        <v>0</v>
      </c>
      <c r="BX226" s="1187">
        <f>'2019'!R\Max</f>
        <v>0.94559975482136316</v>
      </c>
      <c r="BY226" s="1187">
        <f>'2020'!R\Max</f>
        <v>0.94396189108982897</v>
      </c>
      <c r="BZ226" s="1187">
        <f>'2021'!R\Max</f>
        <v>0.23141506555070554</v>
      </c>
      <c r="CA226" s="1187">
        <f>'2022'!R\Max</f>
        <v>0.99175428902197837</v>
      </c>
      <c r="CB226" s="1187">
        <f>'2023'!R\Max</f>
        <v>0.99175362938813405</v>
      </c>
      <c r="CC226" s="1187">
        <f>'2024'!R\Max</f>
        <v>0.99175285649318923</v>
      </c>
      <c r="CD226" s="1187">
        <f>'2025'!R\Max</f>
        <v>0.99175615435741649</v>
      </c>
      <c r="CE226" s="1187">
        <f>'2026'!R\Max</f>
        <v>0.99175583597525752</v>
      </c>
      <c r="CF226" s="1188">
        <f>'2027'!R\Max</f>
        <v>0.99175539146015745</v>
      </c>
    </row>
    <row r="227" spans="1:84" s="6" customFormat="1" ht="11.25" x14ac:dyDescent="0.2">
      <c r="A227" s="11">
        <v>43313</v>
      </c>
      <c r="B227" s="380">
        <f>'2022'!Maxi_hp</f>
        <v>58.826618975995636</v>
      </c>
      <c r="C227" s="13">
        <f>'2022'!An_max</f>
        <v>2022</v>
      </c>
      <c r="D227" s="1061"/>
      <c r="E227" s="13"/>
      <c r="F227" s="13">
        <f t="shared" si="110"/>
        <v>17</v>
      </c>
      <c r="G227" s="13">
        <f t="shared" si="94"/>
        <v>16</v>
      </c>
      <c r="H227" s="173">
        <f t="shared" si="95"/>
        <v>43318</v>
      </c>
      <c r="I227" s="752">
        <f t="shared" si="96"/>
        <v>0.35714285714285715</v>
      </c>
      <c r="J227" s="745">
        <f t="shared" si="97"/>
        <v>59.477314140700869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4">
        <v>43313</v>
      </c>
      <c r="AP227" s="13">
        <f t="shared" si="98"/>
        <v>9</v>
      </c>
      <c r="AQ227" s="13">
        <f t="shared" si="99"/>
        <v>10</v>
      </c>
      <c r="AR227" s="173">
        <f t="shared" si="100"/>
        <v>43304</v>
      </c>
      <c r="AS227" s="752">
        <f t="shared" si="101"/>
        <v>0.32142857142857145</v>
      </c>
      <c r="AT227" s="768">
        <f t="shared" si="102"/>
        <v>59.516057762317359</v>
      </c>
      <c r="AU227" s="13">
        <f t="shared" si="103"/>
        <v>9</v>
      </c>
      <c r="AV227" s="13">
        <f t="shared" si="104"/>
        <v>8</v>
      </c>
      <c r="AW227" s="173">
        <f t="shared" si="105"/>
        <v>43318</v>
      </c>
      <c r="AX227" s="752">
        <f t="shared" si="106"/>
        <v>0.17857142857142858</v>
      </c>
      <c r="AY227" s="768">
        <f t="shared" si="107"/>
        <v>59.47212099091017</v>
      </c>
      <c r="AZ227" s="745">
        <f t="shared" si="111"/>
        <v>59.494089376613765</v>
      </c>
      <c r="BA227" s="642">
        <f t="shared" si="108"/>
        <v>0.98905977557819891</v>
      </c>
      <c r="BC227" s="11">
        <v>43313</v>
      </c>
      <c r="BD227" s="290">
        <f>[2]!FeuilCaduc*(1-Persistant)+Persistant</f>
        <v>0.99972835401031901</v>
      </c>
      <c r="BE227" s="291">
        <f>[2]!CroissVégét</f>
        <v>0.89459569118431537</v>
      </c>
      <c r="BF227" s="815">
        <f>1+[2]!Salcycl*Ksac</f>
        <v>1.0499547256683865</v>
      </c>
      <c r="BH227" s="1052">
        <f t="shared" si="109"/>
        <v>6.6169403478604405E-4</v>
      </c>
      <c r="BI227" s="11">
        <v>44409</v>
      </c>
      <c r="BJ227" s="725">
        <v>7.0640652546052891E-6</v>
      </c>
      <c r="BK227" s="725">
        <v>4.8748845865295987E-5</v>
      </c>
      <c r="BL227" s="725">
        <v>1.7102791986719755E-4</v>
      </c>
      <c r="BM227" s="725">
        <v>4.5548648079987844E-4</v>
      </c>
      <c r="BN227" s="725">
        <v>9.719219997513294E-4</v>
      </c>
      <c r="BO227" s="726">
        <v>1.8956318781905091E-3</v>
      </c>
      <c r="BP227" s="725">
        <v>3.271411591287614E-3</v>
      </c>
      <c r="BQ227" s="725">
        <v>5.264835766107469E-3</v>
      </c>
      <c r="BR227" s="725">
        <v>8.096542387406756E-3</v>
      </c>
      <c r="BS227" s="725">
        <v>1.2467207999119316E-2</v>
      </c>
      <c r="BT227" s="725">
        <v>1.8124188626866964E-2</v>
      </c>
      <c r="BW227" s="1189">
        <f>'2018'!R\Max</f>
        <v>0</v>
      </c>
      <c r="BX227" s="1187">
        <f>'2019'!R\Max</f>
        <v>0.90406445149709325</v>
      </c>
      <c r="BY227" s="1187">
        <f>'2020'!R\Max</f>
        <v>0.90533959741598302</v>
      </c>
      <c r="BZ227" s="1187">
        <f>'2021'!R\Max</f>
        <v>0.83108655829495071</v>
      </c>
      <c r="CA227" s="1187">
        <f>'2022'!R\Max</f>
        <v>0.98905977557819891</v>
      </c>
      <c r="CB227" s="1187">
        <f>'2023'!R\Max</f>
        <v>0.98905887462748809</v>
      </c>
      <c r="CC227" s="1187">
        <f>'2024'!R\Max</f>
        <v>0.98905781465896025</v>
      </c>
      <c r="CD227" s="1187">
        <f>'2025'!R\Max</f>
        <v>0.9890623139210889</v>
      </c>
      <c r="CE227" s="1187">
        <f>'2026'!R\Max</f>
        <v>0.98906188443703624</v>
      </c>
      <c r="CF227" s="1188">
        <f>'2027'!R\Max</f>
        <v>0.98906127970515401</v>
      </c>
    </row>
    <row r="228" spans="1:84" s="6" customFormat="1" ht="11.25" x14ac:dyDescent="0.2">
      <c r="A228" s="11">
        <v>43314</v>
      </c>
      <c r="B228" s="380">
        <f>'2022'!Maxi_hp</f>
        <v>58.57051952904542</v>
      </c>
      <c r="C228" s="13">
        <f>'2022'!An_max</f>
        <v>2022</v>
      </c>
      <c r="D228" s="1061"/>
      <c r="E228" s="13"/>
      <c r="F228" s="13">
        <f t="shared" si="110"/>
        <v>17</v>
      </c>
      <c r="G228" s="13">
        <f t="shared" si="94"/>
        <v>16</v>
      </c>
      <c r="H228" s="173">
        <f t="shared" si="95"/>
        <v>43318</v>
      </c>
      <c r="I228" s="752">
        <f t="shared" si="96"/>
        <v>0.2857142857142857</v>
      </c>
      <c r="J228" s="745">
        <f t="shared" si="97"/>
        <v>59.28862973781569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4">
        <v>43314</v>
      </c>
      <c r="AP228" s="13">
        <f t="shared" si="98"/>
        <v>9</v>
      </c>
      <c r="AQ228" s="13">
        <f t="shared" si="99"/>
        <v>10</v>
      </c>
      <c r="AR228" s="173">
        <f t="shared" si="100"/>
        <v>43304</v>
      </c>
      <c r="AS228" s="752">
        <f t="shared" si="101"/>
        <v>0.35714285714285715</v>
      </c>
      <c r="AT228" s="768">
        <f t="shared" si="102"/>
        <v>59.333272594319922</v>
      </c>
      <c r="AU228" s="13">
        <f t="shared" si="103"/>
        <v>9</v>
      </c>
      <c r="AV228" s="13">
        <f t="shared" si="104"/>
        <v>8</v>
      </c>
      <c r="AW228" s="173">
        <f t="shared" si="105"/>
        <v>43318</v>
      </c>
      <c r="AX228" s="752">
        <f t="shared" si="106"/>
        <v>0.14285714285714285</v>
      </c>
      <c r="AY228" s="768">
        <f t="shared" si="107"/>
        <v>59.286297376400661</v>
      </c>
      <c r="AZ228" s="745">
        <f t="shared" si="111"/>
        <v>59.309784985360295</v>
      </c>
      <c r="BA228" s="642">
        <f t="shared" si="108"/>
        <v>0.98788789331199134</v>
      </c>
      <c r="BC228" s="11">
        <v>43314</v>
      </c>
      <c r="BD228" s="290">
        <f>[2]!FeuilCaduc*(1-Persistant)+Persistant</f>
        <v>0.9996404027271617</v>
      </c>
      <c r="BE228" s="291">
        <f>[2]!CroissVégét</f>
        <v>0.89841979735358901</v>
      </c>
      <c r="BF228" s="815">
        <f>1+[2]!Salcycl*Ksac</f>
        <v>1.0499400671211936</v>
      </c>
      <c r="BH228" s="1052">
        <f t="shared" si="109"/>
        <v>6.5725152570795696E-4</v>
      </c>
      <c r="BI228" s="11">
        <v>44410</v>
      </c>
      <c r="BJ228" s="725">
        <v>7.1257744162974678E-6</v>
      </c>
      <c r="BK228" s="725">
        <v>4.8875151662789371E-5</v>
      </c>
      <c r="BL228" s="725">
        <v>1.6661402213808671E-4</v>
      </c>
      <c r="BM228" s="725">
        <v>4.4986103136088667E-4</v>
      </c>
      <c r="BN228" s="725">
        <v>9.6925915962204983E-4</v>
      </c>
      <c r="BO228" s="726">
        <v>1.9165213318211606E-3</v>
      </c>
      <c r="BP228" s="725">
        <v>3.3348849840967696E-3</v>
      </c>
      <c r="BQ228" s="725">
        <v>5.403791743077431E-3</v>
      </c>
      <c r="BR228" s="725">
        <v>8.3543140568884608E-3</v>
      </c>
      <c r="BS228" s="725">
        <v>1.2926329474460423E-2</v>
      </c>
      <c r="BT228" s="725">
        <v>1.8852761274063306E-2</v>
      </c>
      <c r="BW228" s="1189">
        <f>'2018'!R\Max</f>
        <v>0</v>
      </c>
      <c r="BX228" s="1187">
        <f>'2019'!R\Max</f>
        <v>0.9495024273609789</v>
      </c>
      <c r="BY228" s="1187">
        <f>'2020'!R\Max</f>
        <v>0.80390587453758233</v>
      </c>
      <c r="BZ228" s="1187">
        <f>'2021'!R\Max</f>
        <v>0.90377401870799023</v>
      </c>
      <c r="CA228" s="1187">
        <f>'2022'!R\Max</f>
        <v>0.98788789331199134</v>
      </c>
      <c r="CB228" s="1187">
        <f>'2023'!R\Max</f>
        <v>0.98788686301577544</v>
      </c>
      <c r="CC228" s="1187">
        <f>'2024'!R\Max</f>
        <v>0.98788564512681531</v>
      </c>
      <c r="CD228" s="1187">
        <f>'2025'!R\Max</f>
        <v>0.9878907831881828</v>
      </c>
      <c r="CE228" s="1187">
        <f>'2026'!R\Max</f>
        <v>0.98789029833048936</v>
      </c>
      <c r="CF228" s="1188">
        <f>'2027'!R\Max</f>
        <v>0.9878896104451611</v>
      </c>
    </row>
    <row r="229" spans="1:84" s="6" customFormat="1" ht="11.25" x14ac:dyDescent="0.2">
      <c r="A229" s="11">
        <v>43315</v>
      </c>
      <c r="B229" s="380">
        <f>'2022'!Maxi_hp</f>
        <v>56.763758259198227</v>
      </c>
      <c r="C229" s="13">
        <f>'2022'!An_max</f>
        <v>2019</v>
      </c>
      <c r="D229" s="1061"/>
      <c r="E229" s="13"/>
      <c r="F229" s="13">
        <f t="shared" si="110"/>
        <v>17</v>
      </c>
      <c r="G229" s="13">
        <f t="shared" si="94"/>
        <v>16</v>
      </c>
      <c r="H229" s="173">
        <f t="shared" si="95"/>
        <v>43318</v>
      </c>
      <c r="I229" s="752">
        <f t="shared" si="96"/>
        <v>0.21428571428571427</v>
      </c>
      <c r="J229" s="745">
        <f t="shared" si="97"/>
        <v>59.096446793100668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4">
        <v>43315</v>
      </c>
      <c r="AP229" s="13">
        <f t="shared" si="98"/>
        <v>9</v>
      </c>
      <c r="AQ229" s="13">
        <f t="shared" si="99"/>
        <v>10</v>
      </c>
      <c r="AR229" s="173">
        <f t="shared" si="100"/>
        <v>43304</v>
      </c>
      <c r="AS229" s="752">
        <f t="shared" si="101"/>
        <v>0.39285714285714285</v>
      </c>
      <c r="AT229" s="768">
        <f t="shared" si="102"/>
        <v>59.146606231055088</v>
      </c>
      <c r="AU229" s="13">
        <f t="shared" si="103"/>
        <v>9</v>
      </c>
      <c r="AV229" s="13">
        <f t="shared" si="104"/>
        <v>8</v>
      </c>
      <c r="AW229" s="173">
        <f t="shared" si="105"/>
        <v>43318</v>
      </c>
      <c r="AX229" s="752">
        <f t="shared" si="106"/>
        <v>0.10714285714285714</v>
      </c>
      <c r="AY229" s="768">
        <f t="shared" si="107"/>
        <v>59.096228134871602</v>
      </c>
      <c r="AZ229" s="745">
        <f t="shared" si="111"/>
        <v>59.121417182963341</v>
      </c>
      <c r="BA229" s="642">
        <f t="shared" si="108"/>
        <v>0.96052743167335775</v>
      </c>
      <c r="BC229" s="11">
        <v>43315</v>
      </c>
      <c r="BD229" s="290">
        <f>[2]!FeuilCaduc*(1-Persistant)+Persistant</f>
        <v>0.99953565991238458</v>
      </c>
      <c r="BE229" s="291">
        <f>[2]!CroissVégét</f>
        <v>0.90212075799903491</v>
      </c>
      <c r="BF229" s="815">
        <f>1+[2]!Salcycl*Ksac</f>
        <v>1.0499226099853973</v>
      </c>
      <c r="BH229" s="1052">
        <f t="shared" si="109"/>
        <v>6.5325347923055564E-4</v>
      </c>
      <c r="BI229" s="11">
        <v>44411</v>
      </c>
      <c r="BJ229" s="725">
        <v>7.0935165612716055E-6</v>
      </c>
      <c r="BK229" s="725">
        <v>4.8534264760021544E-5</v>
      </c>
      <c r="BL229" s="725">
        <v>1.6170917007294201E-4</v>
      </c>
      <c r="BM229" s="725">
        <v>4.4430018795107003E-4</v>
      </c>
      <c r="BN229" s="725">
        <v>9.676122554894618E-4</v>
      </c>
      <c r="BO229" s="726">
        <v>1.9394112090215011E-3</v>
      </c>
      <c r="BP229" s="725">
        <v>3.4040291243092138E-3</v>
      </c>
      <c r="BQ229" s="725">
        <v>5.5571387862609267E-3</v>
      </c>
      <c r="BR229" s="725">
        <v>8.6406746122238975E-3</v>
      </c>
      <c r="BS229" s="725">
        <v>1.3430612631000259E-2</v>
      </c>
      <c r="BT229" s="725">
        <v>1.9643294671719953E-2</v>
      </c>
      <c r="BW229" s="1189">
        <f>'2018'!R\Max</f>
        <v>0</v>
      </c>
      <c r="BX229" s="1187">
        <f>'2019'!R\Max</f>
        <v>0.96052743167335775</v>
      </c>
      <c r="BY229" s="1187">
        <f>'2020'!R\Max</f>
        <v>0.63449582736501109</v>
      </c>
      <c r="BZ229" s="1187">
        <f>'2021'!R\Max</f>
        <v>0.64038397799910285</v>
      </c>
      <c r="CA229" s="1187">
        <f>'2022'!R\Max</f>
        <v>0.91071826535095202</v>
      </c>
      <c r="CB229" s="1187">
        <f>'2023'!R\Max</f>
        <v>0.91071101294688672</v>
      </c>
      <c r="CC229" s="1187">
        <f>'2024'!R\Max</f>
        <v>0.91070239464717084</v>
      </c>
      <c r="CD229" s="1187">
        <f>'2025'!R\Max</f>
        <v>0.91073850446549098</v>
      </c>
      <c r="CE229" s="1187">
        <f>'2026'!R\Max</f>
        <v>0.91073513618701296</v>
      </c>
      <c r="CF229" s="1188">
        <f>'2027'!R\Max</f>
        <v>0.91073032540106991</v>
      </c>
    </row>
    <row r="230" spans="1:84" s="6" customFormat="1" ht="11.25" x14ac:dyDescent="0.2">
      <c r="A230" s="11">
        <v>43316</v>
      </c>
      <c r="B230" s="380">
        <f>'2022'!Maxi_hp</f>
        <v>53.564425607951186</v>
      </c>
      <c r="C230" s="13">
        <f>'2022'!An_max</f>
        <v>2022</v>
      </c>
      <c r="D230" s="1061"/>
      <c r="E230" s="13"/>
      <c r="F230" s="13">
        <f t="shared" si="110"/>
        <v>17</v>
      </c>
      <c r="G230" s="13">
        <f t="shared" si="94"/>
        <v>16</v>
      </c>
      <c r="H230" s="173">
        <f t="shared" si="95"/>
        <v>43318</v>
      </c>
      <c r="I230" s="752">
        <f t="shared" si="96"/>
        <v>0.14285714285714285</v>
      </c>
      <c r="J230" s="745">
        <f t="shared" si="97"/>
        <v>58.900874635683635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4">
        <v>43316</v>
      </c>
      <c r="AP230" s="13">
        <f t="shared" si="98"/>
        <v>9</v>
      </c>
      <c r="AQ230" s="13">
        <f t="shared" si="99"/>
        <v>10</v>
      </c>
      <c r="AR230" s="173">
        <f t="shared" si="100"/>
        <v>43304</v>
      </c>
      <c r="AS230" s="752">
        <f t="shared" si="101"/>
        <v>0.42857142857142855</v>
      </c>
      <c r="AT230" s="768">
        <f t="shared" si="102"/>
        <v>58.955976676940921</v>
      </c>
      <c r="AU230" s="13">
        <f t="shared" si="103"/>
        <v>9</v>
      </c>
      <c r="AV230" s="13">
        <f t="shared" si="104"/>
        <v>8</v>
      </c>
      <c r="AW230" s="173">
        <f t="shared" si="105"/>
        <v>43318</v>
      </c>
      <c r="AX230" s="752">
        <f t="shared" si="106"/>
        <v>7.1428571428571425E-2</v>
      </c>
      <c r="AY230" s="768">
        <f t="shared" si="107"/>
        <v>58.901858600042758</v>
      </c>
      <c r="AZ230" s="745">
        <f t="shared" si="111"/>
        <v>58.928917638491839</v>
      </c>
      <c r="BA230" s="642">
        <f t="shared" si="108"/>
        <v>0.90939949430734779</v>
      </c>
      <c r="BC230" s="11">
        <v>43316</v>
      </c>
      <c r="BD230" s="290">
        <f>[2]!FeuilCaduc*(1-Persistant)+Persistant</f>
        <v>0.99941488369217324</v>
      </c>
      <c r="BE230" s="291">
        <f>[2]!CroissVégét</f>
        <v>0.90570145106838851</v>
      </c>
      <c r="BF230" s="815">
        <f>1+[2]!Salcycl*Ksac</f>
        <v>1.0499024806153623</v>
      </c>
      <c r="BH230" s="1052">
        <f t="shared" si="109"/>
        <v>6.4969940551351719E-4</v>
      </c>
      <c r="BI230" s="11">
        <v>44412</v>
      </c>
      <c r="BJ230" s="725">
        <v>6.9673213300378305E-6</v>
      </c>
      <c r="BK230" s="725">
        <v>4.7726322344708533E-5</v>
      </c>
      <c r="BL230" s="725">
        <v>1.5631331900408209E-4</v>
      </c>
      <c r="BM230" s="725">
        <v>4.3880360352417685E-4</v>
      </c>
      <c r="BN230" s="725">
        <v>9.6698058268738672E-4</v>
      </c>
      <c r="BO230" s="726">
        <v>1.9643010047400693E-3</v>
      </c>
      <c r="BP230" s="725">
        <v>3.478843359246378E-3</v>
      </c>
      <c r="BQ230" s="725">
        <v>5.7248754159446953E-3</v>
      </c>
      <c r="BR230" s="725">
        <v>8.9556212155025502E-3</v>
      </c>
      <c r="BS230" s="725">
        <v>1.3980054825823179E-2</v>
      </c>
      <c r="BT230" s="725">
        <v>2.0495788196520922E-2</v>
      </c>
      <c r="BW230" s="1189">
        <f>'2018'!R\Max</f>
        <v>0</v>
      </c>
      <c r="BX230" s="1187">
        <f>'2019'!R\Max</f>
        <v>0.90842382428342727</v>
      </c>
      <c r="BY230" s="1187">
        <f>'2020'!R\Max</f>
        <v>0.83951467701321292</v>
      </c>
      <c r="BZ230" s="1187">
        <f>'2021'!R\Max</f>
        <v>0.68443680904339976</v>
      </c>
      <c r="CA230" s="1187">
        <f>'2022'!R\Max</f>
        <v>0.90939949430734779</v>
      </c>
      <c r="CB230" s="1187">
        <f>'2023'!R\Max</f>
        <v>0.9093918705834777</v>
      </c>
      <c r="CC230" s="1187">
        <f>'2024'!R\Max</f>
        <v>0.90938275844260397</v>
      </c>
      <c r="CD230" s="1187">
        <f>'2025'!R\Max</f>
        <v>0.90942064920746701</v>
      </c>
      <c r="CE230" s="1187">
        <f>'2026'!R\Max</f>
        <v>0.90941715587304262</v>
      </c>
      <c r="CF230" s="1188">
        <f>'2027'!R\Max</f>
        <v>0.90941213708796487</v>
      </c>
    </row>
    <row r="231" spans="1:84" s="6" customFormat="1" ht="11.25" x14ac:dyDescent="0.2">
      <c r="A231" s="11">
        <v>43317</v>
      </c>
      <c r="B231" s="380">
        <f>'2022'!Maxi_hp</f>
        <v>59.003544823424903</v>
      </c>
      <c r="C231" s="13">
        <f>'2022'!An_max</f>
        <v>2020</v>
      </c>
      <c r="D231" s="1061"/>
      <c r="E231" s="13"/>
      <c r="F231" s="13">
        <f t="shared" si="110"/>
        <v>17</v>
      </c>
      <c r="G231" s="13">
        <f t="shared" si="94"/>
        <v>16</v>
      </c>
      <c r="H231" s="173">
        <f t="shared" si="95"/>
        <v>43318</v>
      </c>
      <c r="I231" s="752">
        <f t="shared" si="96"/>
        <v>7.1428571428571425E-2</v>
      </c>
      <c r="J231" s="745">
        <f t="shared" si="97"/>
        <v>58.702022595384292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4">
        <v>43317</v>
      </c>
      <c r="AP231" s="13">
        <f t="shared" si="98"/>
        <v>9</v>
      </c>
      <c r="AQ231" s="13">
        <f t="shared" si="99"/>
        <v>10</v>
      </c>
      <c r="AR231" s="173">
        <f t="shared" si="100"/>
        <v>43304</v>
      </c>
      <c r="AS231" s="752">
        <f t="shared" si="101"/>
        <v>0.4642857142857143</v>
      </c>
      <c r="AT231" s="768">
        <f t="shared" si="102"/>
        <v>58.761301931472758</v>
      </c>
      <c r="AU231" s="13">
        <f t="shared" si="103"/>
        <v>9</v>
      </c>
      <c r="AV231" s="13">
        <f t="shared" si="104"/>
        <v>8</v>
      </c>
      <c r="AW231" s="173">
        <f t="shared" si="105"/>
        <v>43318</v>
      </c>
      <c r="AX231" s="752">
        <f t="shared" si="106"/>
        <v>3.5714285714285712E-2</v>
      </c>
      <c r="AY231" s="768">
        <f t="shared" si="107"/>
        <v>58.703134110663086</v>
      </c>
      <c r="AZ231" s="745">
        <f t="shared" si="111"/>
        <v>58.732218021067922</v>
      </c>
      <c r="BA231" s="642">
        <f t="shared" si="108"/>
        <v>1.0051364878876305</v>
      </c>
      <c r="BC231" s="11">
        <v>43317</v>
      </c>
      <c r="BD231" s="290">
        <f>[2]!FeuilCaduc*(1-Persistant)+Persistant</f>
        <v>0.99927869187235074</v>
      </c>
      <c r="BE231" s="291">
        <f>[2]!CroissVégét</f>
        <v>0.90916476701567317</v>
      </c>
      <c r="BF231" s="815">
        <f>1+[2]!Salcycl*Ksac</f>
        <v>1.0498797819787251</v>
      </c>
      <c r="BH231" s="1052">
        <f t="shared" si="109"/>
        <v>6.4658884863692009E-4</v>
      </c>
      <c r="BI231" s="11">
        <v>44413</v>
      </c>
      <c r="BJ231" s="725">
        <v>6.7472121346449408E-6</v>
      </c>
      <c r="BK231" s="725">
        <v>4.6451430846490673E-5</v>
      </c>
      <c r="BL231" s="725">
        <v>1.5042639741154245E-4</v>
      </c>
      <c r="BM231" s="725">
        <v>4.3337094174785703E-4</v>
      </c>
      <c r="BN231" s="725">
        <v>9.6736350538295527E-4</v>
      </c>
      <c r="BO231" s="726">
        <v>1.9911903174093084E-3</v>
      </c>
      <c r="BP231" s="725">
        <v>3.5593273262757843E-3</v>
      </c>
      <c r="BQ231" s="725">
        <v>5.9070009184051695E-3</v>
      </c>
      <c r="BR231" s="725">
        <v>9.2991525750857427E-3</v>
      </c>
      <c r="BS231" s="725">
        <v>1.4574655795228993E-2</v>
      </c>
      <c r="BT231" s="725">
        <v>2.1410244367367371E-2</v>
      </c>
      <c r="BW231" s="1189">
        <f>'2018'!R\Max</f>
        <v>0</v>
      </c>
      <c r="BX231" s="1187">
        <f>'2019'!R\Max</f>
        <v>0.92807222141736201</v>
      </c>
      <c r="BY231" s="1187">
        <f>'2020'!R\Max</f>
        <v>1.0051364878876305</v>
      </c>
      <c r="BZ231" s="1187">
        <f>'2021'!R\Max</f>
        <v>0.91140593871602915</v>
      </c>
      <c r="CA231" s="1187">
        <f>'2022'!R\Max</f>
        <v>0.87325269366531988</v>
      </c>
      <c r="CB231" s="1187">
        <f>'2023'!R\Max</f>
        <v>0.87324205533311983</v>
      </c>
      <c r="CC231" s="1187">
        <f>'2024'!R\Max</f>
        <v>0.87322926100364517</v>
      </c>
      <c r="CD231" s="1187">
        <f>'2025'!R\Max</f>
        <v>0.87328203280915417</v>
      </c>
      <c r="CE231" s="1187">
        <f>'2026'!R\Max</f>
        <v>0.87327722407187169</v>
      </c>
      <c r="CF231" s="1188">
        <f>'2027'!R\Max</f>
        <v>0.87327028026935727</v>
      </c>
    </row>
    <row r="232" spans="1:84" s="6" customFormat="1" ht="11.25" x14ac:dyDescent="0.2">
      <c r="A232" s="11">
        <v>43318</v>
      </c>
      <c r="B232" s="380">
        <f>'2022'!Maxi_hp</f>
        <v>58.033046610049119</v>
      </c>
      <c r="C232" s="13">
        <f>'2022'!An_max</f>
        <v>2020</v>
      </c>
      <c r="D232" s="1061"/>
      <c r="E232" s="1056">
        <f>AC$13/10</f>
        <v>58.5</v>
      </c>
      <c r="F232" s="13">
        <f t="shared" si="110"/>
        <v>17</v>
      </c>
      <c r="G232" s="13">
        <f t="shared" si="94"/>
        <v>18</v>
      </c>
      <c r="H232" s="173">
        <f t="shared" si="95"/>
        <v>43318</v>
      </c>
      <c r="I232" s="752">
        <f t="shared" si="96"/>
        <v>0</v>
      </c>
      <c r="J232" s="745">
        <f t="shared" si="97"/>
        <v>58.50000000037253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4">
        <v>43318</v>
      </c>
      <c r="AP232" s="13">
        <f t="shared" si="98"/>
        <v>9</v>
      </c>
      <c r="AQ232" s="13">
        <f t="shared" si="99"/>
        <v>10</v>
      </c>
      <c r="AR232" s="173">
        <f t="shared" si="100"/>
        <v>43304</v>
      </c>
      <c r="AS232" s="752">
        <f t="shared" si="101"/>
        <v>0.5</v>
      </c>
      <c r="AT232" s="768">
        <f t="shared" si="102"/>
        <v>58.562499999254939</v>
      </c>
      <c r="AU232" s="13">
        <f t="shared" si="103"/>
        <v>9</v>
      </c>
      <c r="AV232" s="13">
        <f t="shared" si="104"/>
        <v>10</v>
      </c>
      <c r="AW232" s="173">
        <f t="shared" si="105"/>
        <v>43318</v>
      </c>
      <c r="AX232" s="752">
        <f t="shared" si="106"/>
        <v>0</v>
      </c>
      <c r="AY232" s="768">
        <f t="shared" si="107"/>
        <v>58.5</v>
      </c>
      <c r="AZ232" s="745">
        <f t="shared" si="111"/>
        <v>58.53124999962747</v>
      </c>
      <c r="BA232" s="642">
        <f t="shared" si="108"/>
        <v>0.99201789076375324</v>
      </c>
      <c r="BC232" s="11">
        <v>43318</v>
      </c>
      <c r="BD232" s="290">
        <f>[2]!FeuilCaduc*(1-Persistant)+Persistant</f>
        <v>0.99912756756105314</v>
      </c>
      <c r="BE232" s="291">
        <f>[2]!CroissVégét</f>
        <v>0.91251360163473627</v>
      </c>
      <c r="BF232" s="815">
        <f>1+[2]!Salcycl*Ksac</f>
        <v>1.0498545945935089</v>
      </c>
      <c r="BH232" s="1052">
        <f t="shared" si="109"/>
        <v>6.4392138524968089E-4</v>
      </c>
      <c r="BI232" s="11">
        <v>44414</v>
      </c>
      <c r="BJ232" s="725">
        <v>6.4332064508041502E-6</v>
      </c>
      <c r="BK232" s="725">
        <v>4.4709667389998919E-5</v>
      </c>
      <c r="BL232" s="725">
        <v>1.4404830845796829E-4</v>
      </c>
      <c r="BM232" s="725">
        <v>4.2800187682481426E-4</v>
      </c>
      <c r="BN232" s="725">
        <v>9.6876045346075683E-4</v>
      </c>
      <c r="BO232" s="726">
        <v>2.0200788427910408E-3</v>
      </c>
      <c r="BP232" s="725">
        <v>3.6454809352789957E-3</v>
      </c>
      <c r="BQ232" s="725">
        <v>6.1035153013128517E-3</v>
      </c>
      <c r="BR232" s="725">
        <v>9.671268856934678E-3</v>
      </c>
      <c r="BS232" s="725">
        <v>1.5214417514608848E-2</v>
      </c>
      <c r="BT232" s="725">
        <v>2.2386668653100517E-2</v>
      </c>
      <c r="BW232" s="1189">
        <f>'2018'!R\Max</f>
        <v>0</v>
      </c>
      <c r="BX232" s="1187">
        <f>'2019'!R\Max</f>
        <v>0.6855275981935951</v>
      </c>
      <c r="BY232" s="1187">
        <f>'2020'!R\Max</f>
        <v>0.99201789076375324</v>
      </c>
      <c r="BZ232" s="1187">
        <f>'2021'!R\Max</f>
        <v>0.37949328377180991</v>
      </c>
      <c r="CA232" s="1187">
        <f>'2022'!R\Max</f>
        <v>0.91811815844516753</v>
      </c>
      <c r="CB232" s="1187">
        <f>'2023'!R\Max</f>
        <v>0.91811064405213694</v>
      </c>
      <c r="CC232" s="1187">
        <f>'2024'!R\Max</f>
        <v>0.91810154734702865</v>
      </c>
      <c r="CD232" s="1187">
        <f>'2025'!R\Max</f>
        <v>0.91813874628434922</v>
      </c>
      <c r="CE232" s="1187">
        <f>'2026'!R\Max</f>
        <v>0.9181353960219496</v>
      </c>
      <c r="CF232" s="1188">
        <f>'2027'!R\Max</f>
        <v>0.91813053715791793</v>
      </c>
    </row>
    <row r="233" spans="1:84" s="6" customFormat="1" ht="11.25" x14ac:dyDescent="0.2">
      <c r="A233" s="11">
        <v>43319</v>
      </c>
      <c r="B233" s="380">
        <f>'2022'!Maxi_hp</f>
        <v>56.928210437267175</v>
      </c>
      <c r="C233" s="13">
        <f>'2022'!An_max</f>
        <v>2022</v>
      </c>
      <c r="D233" s="1061"/>
      <c r="E233" s="13"/>
      <c r="F233" s="13">
        <f t="shared" si="110"/>
        <v>17</v>
      </c>
      <c r="G233" s="13">
        <f t="shared" si="94"/>
        <v>18</v>
      </c>
      <c r="H233" s="173">
        <f t="shared" si="95"/>
        <v>43318</v>
      </c>
      <c r="I233" s="752">
        <f t="shared" si="96"/>
        <v>7.1428571428571425E-2</v>
      </c>
      <c r="J233" s="745">
        <f t="shared" si="97"/>
        <v>58.295116618435294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4">
        <v>43319</v>
      </c>
      <c r="AP233" s="13">
        <f t="shared" si="98"/>
        <v>9</v>
      </c>
      <c r="AQ233" s="13">
        <f t="shared" si="99"/>
        <v>10</v>
      </c>
      <c r="AR233" s="173">
        <f t="shared" si="100"/>
        <v>43304</v>
      </c>
      <c r="AS233" s="752">
        <f t="shared" si="101"/>
        <v>0.5357142857142857</v>
      </c>
      <c r="AT233" s="768">
        <f t="shared" si="102"/>
        <v>58.359488884918392</v>
      </c>
      <c r="AU233" s="13">
        <f t="shared" si="103"/>
        <v>9</v>
      </c>
      <c r="AV233" s="13">
        <f t="shared" si="104"/>
        <v>10</v>
      </c>
      <c r="AW233" s="173">
        <f t="shared" si="105"/>
        <v>43318</v>
      </c>
      <c r="AX233" s="752">
        <f t="shared" si="106"/>
        <v>3.5714285714285712E-2</v>
      </c>
      <c r="AY233" s="768">
        <f t="shared" si="107"/>
        <v>58.293096301491779</v>
      </c>
      <c r="AZ233" s="745">
        <f t="shared" si="111"/>
        <v>58.326292593205082</v>
      </c>
      <c r="BA233" s="642">
        <f t="shared" si="108"/>
        <v>0.97655196077374606</v>
      </c>
      <c r="BC233" s="11">
        <v>43319</v>
      </c>
      <c r="BD233" s="290">
        <f>[2]!FeuilCaduc*(1-Persistant)+Persistant</f>
        <v>0.99896186535070641</v>
      </c>
      <c r="BE233" s="291">
        <f>[2]!CroissVégét</f>
        <v>0.91575084939386342</v>
      </c>
      <c r="BF233" s="815">
        <f>1+[2]!Salcycl*Ksac</f>
        <v>1.049826977558451</v>
      </c>
      <c r="BH233" s="1052">
        <f t="shared" si="109"/>
        <v>6.4169662321433884E-4</v>
      </c>
      <c r="BI233" s="11">
        <v>44415</v>
      </c>
      <c r="BJ233" s="725">
        <v>6.0253161099715184E-6</v>
      </c>
      <c r="BK233" s="725">
        <v>4.2501081247641304E-5</v>
      </c>
      <c r="BL233" s="725">
        <v>1.3717893152259938E-4</v>
      </c>
      <c r="BM233" s="725">
        <v>4.2269609331147532E-4</v>
      </c>
      <c r="BN233" s="725">
        <v>9.711709194015803E-4</v>
      </c>
      <c r="BO233" s="726">
        <v>2.0509663678110568E-3</v>
      </c>
      <c r="BP233" s="725">
        <v>3.7373043511004312E-3</v>
      </c>
      <c r="BQ233" s="725">
        <v>6.3144192491054862E-3</v>
      </c>
      <c r="BR233" s="725">
        <v>1.0071971595889956E-2</v>
      </c>
      <c r="BS233" s="725">
        <v>1.5899344058245741E-2</v>
      </c>
      <c r="BT233" s="725">
        <v>2.3425069280114074E-2</v>
      </c>
      <c r="BW233" s="1189">
        <f>'2018'!R\Max</f>
        <v>0</v>
      </c>
      <c r="BX233" s="1187">
        <f>'2019'!R\Max</f>
        <v>0.79267921244343742</v>
      </c>
      <c r="BY233" s="1187">
        <f>'2020'!R\Max</f>
        <v>0.95882465385165072</v>
      </c>
      <c r="BZ233" s="1187">
        <f>'2021'!R\Max</f>
        <v>0.44903517186369701</v>
      </c>
      <c r="CA233" s="1187">
        <f>'2022'!R\Max</f>
        <v>0.97655196077374606</v>
      </c>
      <c r="CB233" s="1187">
        <f>'2023'!R\Max</f>
        <v>0.97654957817702637</v>
      </c>
      <c r="CC233" s="1187">
        <f>'2024'!R\Max</f>
        <v>0.97654667411313378</v>
      </c>
      <c r="CD233" s="1187">
        <f>'2025'!R\Max</f>
        <v>0.976558443625684</v>
      </c>
      <c r="CE233" s="1187">
        <f>'2026'!R\Max</f>
        <v>0.97655739588619428</v>
      </c>
      <c r="CF233" s="1188">
        <f>'2027'!R\Max</f>
        <v>0.97655587079117978</v>
      </c>
    </row>
    <row r="234" spans="1:84" s="6" customFormat="1" ht="11.25" x14ac:dyDescent="0.2">
      <c r="A234" s="11">
        <v>43320</v>
      </c>
      <c r="B234" s="380">
        <f>'2022'!Maxi_hp</f>
        <v>57.269796399460986</v>
      </c>
      <c r="C234" s="13">
        <f>'2022'!An_max</f>
        <v>2022</v>
      </c>
      <c r="D234" s="1061"/>
      <c r="E234" s="13"/>
      <c r="F234" s="13">
        <f t="shared" si="110"/>
        <v>17</v>
      </c>
      <c r="G234" s="13">
        <f t="shared" si="94"/>
        <v>18</v>
      </c>
      <c r="H234" s="173">
        <f t="shared" si="95"/>
        <v>43318</v>
      </c>
      <c r="I234" s="752">
        <f t="shared" si="96"/>
        <v>0.14285714285714285</v>
      </c>
      <c r="J234" s="745">
        <f t="shared" si="97"/>
        <v>58.087463556975123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4">
        <v>43320</v>
      </c>
      <c r="AP234" s="13">
        <f t="shared" si="98"/>
        <v>9</v>
      </c>
      <c r="AQ234" s="13">
        <f t="shared" si="99"/>
        <v>10</v>
      </c>
      <c r="AR234" s="173">
        <f t="shared" si="100"/>
        <v>43304</v>
      </c>
      <c r="AS234" s="752">
        <f t="shared" si="101"/>
        <v>0.5714285714285714</v>
      </c>
      <c r="AT234" s="768">
        <f t="shared" si="102"/>
        <v>58.152186588943003</v>
      </c>
      <c r="AU234" s="13">
        <f t="shared" si="103"/>
        <v>9</v>
      </c>
      <c r="AV234" s="13">
        <f t="shared" si="104"/>
        <v>10</v>
      </c>
      <c r="AW234" s="173">
        <f t="shared" si="105"/>
        <v>43318</v>
      </c>
      <c r="AX234" s="752">
        <f t="shared" si="106"/>
        <v>7.1428571428571425E-2</v>
      </c>
      <c r="AY234" s="768">
        <f t="shared" si="107"/>
        <v>58.083035714977555</v>
      </c>
      <c r="AZ234" s="745">
        <f t="shared" si="111"/>
        <v>58.117611151960276</v>
      </c>
      <c r="BA234" s="642">
        <f t="shared" si="108"/>
        <v>0.98592351761560171</v>
      </c>
      <c r="BC234" s="11">
        <v>43320</v>
      </c>
      <c r="BD234" s="290">
        <f>[2]!FeuilCaduc*(1-Persistant)+Persistant</f>
        <v>0.99878181795417498</v>
      </c>
      <c r="BE234" s="291">
        <f>[2]!CroissVégét</f>
        <v>0.91887939725970647</v>
      </c>
      <c r="BF234" s="815">
        <f>1+[2]!Salcycl*Ksac</f>
        <v>1.0497969696590292</v>
      </c>
      <c r="BH234" s="1052">
        <f t="shared" si="109"/>
        <v>6.4259288046046538E-4</v>
      </c>
      <c r="BI234" s="11">
        <v>44416</v>
      </c>
      <c r="BJ234" s="725">
        <v>5.5572548363409276E-6</v>
      </c>
      <c r="BK234" s="725">
        <v>4.0161497519160896E-5</v>
      </c>
      <c r="BL234" s="725">
        <v>1.3098305492174894E-4</v>
      </c>
      <c r="BM234" s="725">
        <v>4.193594216740118E-4</v>
      </c>
      <c r="BN234" s="725">
        <v>9.7843538619199455E-4</v>
      </c>
      <c r="BO234" s="726">
        <v>2.0901756555904635E-3</v>
      </c>
      <c r="BP234" s="725">
        <v>3.8448512062748737E-3</v>
      </c>
      <c r="BQ234" s="725">
        <v>6.5541393569645513E-3</v>
      </c>
      <c r="BR234" s="725">
        <v>1.0521432059430156E-2</v>
      </c>
      <c r="BS234" s="725">
        <v>1.665434250153891E-2</v>
      </c>
      <c r="BT234" s="725">
        <v>2.4553264151951203E-2</v>
      </c>
      <c r="BW234" s="1189">
        <f>'2018'!R\Max</f>
        <v>0</v>
      </c>
      <c r="BX234" s="1187">
        <f>'2019'!R\Max</f>
        <v>0.94630720531505341</v>
      </c>
      <c r="BY234" s="1187">
        <f>'2020'!R\Max</f>
        <v>0.92554930033714999</v>
      </c>
      <c r="BZ234" s="1187">
        <f>'2021'!R\Max</f>
        <v>0.73182706850406898</v>
      </c>
      <c r="CA234" s="1187">
        <f>'2022'!R\Max</f>
        <v>0.98592351761560171</v>
      </c>
      <c r="CB234" s="1187">
        <f>'2023'!R\Max</f>
        <v>0.98592200992080237</v>
      </c>
      <c r="CC234" s="1187">
        <f>'2024'!R\Max</f>
        <v>0.98592015979168901</v>
      </c>
      <c r="CD234" s="1187">
        <f>'2025'!R\Max</f>
        <v>0.98592759136648056</v>
      </c>
      <c r="CE234" s="1187">
        <f>'2026'!R\Max</f>
        <v>0.98592693693546873</v>
      </c>
      <c r="CF234" s="1188">
        <f>'2027'!R\Max</f>
        <v>0.98592598202804194</v>
      </c>
    </row>
    <row r="235" spans="1:84" s="6" customFormat="1" ht="11.25" x14ac:dyDescent="0.2">
      <c r="A235" s="11">
        <v>43321</v>
      </c>
      <c r="B235" s="380">
        <f>'2022'!Maxi_hp</f>
        <v>54.742421949273385</v>
      </c>
      <c r="C235" s="13">
        <f>'2022'!An_max</f>
        <v>2022</v>
      </c>
      <c r="D235" s="1061"/>
      <c r="E235" s="13"/>
      <c r="F235" s="13">
        <f t="shared" si="110"/>
        <v>17</v>
      </c>
      <c r="G235" s="13">
        <f t="shared" si="94"/>
        <v>18</v>
      </c>
      <c r="H235" s="173">
        <f t="shared" si="95"/>
        <v>43318</v>
      </c>
      <c r="I235" s="752">
        <f t="shared" si="96"/>
        <v>0.21428571428571427</v>
      </c>
      <c r="J235" s="745">
        <f t="shared" si="97"/>
        <v>57.876822157576683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4">
        <v>43321</v>
      </c>
      <c r="AP235" s="13">
        <f t="shared" si="98"/>
        <v>9</v>
      </c>
      <c r="AQ235" s="13">
        <f t="shared" si="99"/>
        <v>10</v>
      </c>
      <c r="AR235" s="173">
        <f t="shared" si="100"/>
        <v>43304</v>
      </c>
      <c r="AS235" s="752">
        <f t="shared" si="101"/>
        <v>0.6071428571428571</v>
      </c>
      <c r="AT235" s="768">
        <f t="shared" si="102"/>
        <v>57.940511115321087</v>
      </c>
      <c r="AU235" s="13">
        <f t="shared" si="103"/>
        <v>9</v>
      </c>
      <c r="AV235" s="13">
        <f t="shared" si="104"/>
        <v>10</v>
      </c>
      <c r="AW235" s="173">
        <f t="shared" si="105"/>
        <v>43318</v>
      </c>
      <c r="AX235" s="752">
        <f t="shared" si="106"/>
        <v>0.10714285714285714</v>
      </c>
      <c r="AY235" s="768">
        <f t="shared" si="107"/>
        <v>57.86972257766341</v>
      </c>
      <c r="AZ235" s="745">
        <f t="shared" si="111"/>
        <v>57.905116846492248</v>
      </c>
      <c r="BA235" s="642">
        <f t="shared" si="108"/>
        <v>0.94584360212850815</v>
      </c>
      <c r="BC235" s="11">
        <v>43321</v>
      </c>
      <c r="BD235" s="290">
        <f>[2]!FeuilCaduc*(1-Persistant)+Persistant</f>
        <v>0.99858754318838638</v>
      </c>
      <c r="BE235" s="291">
        <f>[2]!CroissVégét</f>
        <v>0.92190211899696306</v>
      </c>
      <c r="BF235" s="815">
        <f>1+[2]!Salcycl*Ksac</f>
        <v>1.0497645905313977</v>
      </c>
      <c r="BH235" s="1052">
        <f t="shared" si="109"/>
        <v>6.469368326916026E-4</v>
      </c>
      <c r="BI235" s="11">
        <v>44417</v>
      </c>
      <c r="BJ235" s="725">
        <v>5.0849001104416912E-6</v>
      </c>
      <c r="BK235" s="725">
        <v>3.7938909280846698E-5</v>
      </c>
      <c r="BL235" s="725">
        <v>1.2589571757507762E-4</v>
      </c>
      <c r="BM235" s="725">
        <v>4.1830243278218575E-4</v>
      </c>
      <c r="BN235" s="725">
        <v>9.9090475837543181E-4</v>
      </c>
      <c r="BO235" s="726">
        <v>2.1380111177904098E-3</v>
      </c>
      <c r="BP235" s="725">
        <v>3.9674617334950609E-3</v>
      </c>
      <c r="BQ235" s="725">
        <v>6.8181517898946954E-3</v>
      </c>
      <c r="BR235" s="725">
        <v>1.1008305093588999E-2</v>
      </c>
      <c r="BS235" s="725">
        <v>1.7458349113815878E-2</v>
      </c>
      <c r="BT235" s="725">
        <v>2.573908559712354E-2</v>
      </c>
      <c r="BW235" s="1189">
        <f>'2018'!R\Max</f>
        <v>0</v>
      </c>
      <c r="BX235" s="1187">
        <f>'2019'!R\Max</f>
        <v>0.86680344076283133</v>
      </c>
      <c r="BY235" s="1187">
        <f>'2020'!R\Max</f>
        <v>0.9050288928093696</v>
      </c>
      <c r="BZ235" s="1187">
        <f>'2021'!R\Max</f>
        <v>0.94061660771072242</v>
      </c>
      <c r="CA235" s="1187">
        <f>'2022'!R\Max</f>
        <v>0.94584360212850815</v>
      </c>
      <c r="CB235" s="1187">
        <f>'2023'!R\Max</f>
        <v>0.94583778023880904</v>
      </c>
      <c r="CC235" s="1187">
        <f>'2024'!R\Max</f>
        <v>0.94583059179871853</v>
      </c>
      <c r="CD235" s="1187">
        <f>'2025'!R\Max</f>
        <v>0.94585922862790173</v>
      </c>
      <c r="CE235" s="1187">
        <f>'2026'!R\Max</f>
        <v>0.94585673078626953</v>
      </c>
      <c r="CF235" s="1188">
        <f>'2027'!R\Max</f>
        <v>0.94585308164001791</v>
      </c>
    </row>
    <row r="236" spans="1:84" s="6" customFormat="1" ht="11.25" x14ac:dyDescent="0.2">
      <c r="A236" s="11">
        <v>43322</v>
      </c>
      <c r="B236" s="380">
        <f>'2022'!Maxi_hp</f>
        <v>51.246080606802998</v>
      </c>
      <c r="C236" s="13">
        <f>'2022'!An_max</f>
        <v>2022</v>
      </c>
      <c r="D236" s="1061"/>
      <c r="E236" s="13"/>
      <c r="F236" s="13">
        <f t="shared" si="110"/>
        <v>17</v>
      </c>
      <c r="G236" s="13">
        <f t="shared" si="94"/>
        <v>18</v>
      </c>
      <c r="H236" s="173">
        <f t="shared" si="95"/>
        <v>43318</v>
      </c>
      <c r="I236" s="752">
        <f t="shared" si="96"/>
        <v>0.2857142857142857</v>
      </c>
      <c r="J236" s="745">
        <f t="shared" si="97"/>
        <v>57.662973761239222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4">
        <v>43322</v>
      </c>
      <c r="AP236" s="13">
        <f t="shared" si="98"/>
        <v>9</v>
      </c>
      <c r="AQ236" s="13">
        <f t="shared" si="99"/>
        <v>10</v>
      </c>
      <c r="AR236" s="173">
        <f t="shared" si="100"/>
        <v>43304</v>
      </c>
      <c r="AS236" s="752">
        <f t="shared" si="101"/>
        <v>0.6428571428571429</v>
      </c>
      <c r="AT236" s="768">
        <f t="shared" si="102"/>
        <v>57.724380467193463</v>
      </c>
      <c r="AU236" s="13">
        <f t="shared" si="103"/>
        <v>9</v>
      </c>
      <c r="AV236" s="13">
        <f t="shared" si="104"/>
        <v>10</v>
      </c>
      <c r="AW236" s="173">
        <f t="shared" si="105"/>
        <v>43318</v>
      </c>
      <c r="AX236" s="752">
        <f t="shared" si="106"/>
        <v>0.14285714285714285</v>
      </c>
      <c r="AY236" s="768">
        <f t="shared" si="107"/>
        <v>57.653061223988026</v>
      </c>
      <c r="AZ236" s="745">
        <f t="shared" si="111"/>
        <v>57.688720845590744</v>
      </c>
      <c r="BA236" s="642">
        <f t="shared" si="108"/>
        <v>0.88871726975084264</v>
      </c>
      <c r="BC236" s="11">
        <v>43322</v>
      </c>
      <c r="BD236" s="290">
        <f>[2]!FeuilCaduc*(1-Persistant)+Persistant</f>
        <v>0.99837905119841519</v>
      </c>
      <c r="BE236" s="291">
        <f>[2]!CroissVégét</f>
        <v>0.92482186992875737</v>
      </c>
      <c r="BF236" s="815">
        <f>1+[2]!Salcycl*Ksac</f>
        <v>1.0497298418664025</v>
      </c>
      <c r="BH236" s="1052">
        <f t="shared" si="109"/>
        <v>6.5472784576134228E-4</v>
      </c>
      <c r="BI236" s="11">
        <v>44418</v>
      </c>
      <c r="BJ236" s="725">
        <v>4.6082375281293317E-6</v>
      </c>
      <c r="BK236" s="725">
        <v>3.5833222176511124E-5</v>
      </c>
      <c r="BL236" s="725">
        <v>1.2191655502999077E-4</v>
      </c>
      <c r="BM236" s="725">
        <v>4.1952459763333784E-4</v>
      </c>
      <c r="BN236" s="725">
        <v>1.0085782436224759E-3</v>
      </c>
      <c r="BO236" s="726">
        <v>2.1944720673676816E-3</v>
      </c>
      <c r="BP236" s="725">
        <v>4.1051357808800353E-3</v>
      </c>
      <c r="BQ236" s="725">
        <v>7.1064580733239445E-3</v>
      </c>
      <c r="BR236" s="725">
        <v>1.153259519178043E-2</v>
      </c>
      <c r="BS236" s="725">
        <v>1.8311373610322083E-2</v>
      </c>
      <c r="BT236" s="725">
        <v>2.6982550326332497E-2</v>
      </c>
      <c r="BW236" s="1189">
        <f>'2018'!R\Max</f>
        <v>0</v>
      </c>
      <c r="BX236" s="1187">
        <f>'2019'!R\Max</f>
        <v>0.71355228214493027</v>
      </c>
      <c r="BY236" s="1187">
        <f>'2020'!R\Max</f>
        <v>0.71350666341024027</v>
      </c>
      <c r="BZ236" s="1187">
        <f>'2021'!R\Max</f>
        <v>0.88688752479467048</v>
      </c>
      <c r="CA236" s="1187">
        <f>'2022'!R\Max</f>
        <v>0.88871726975084264</v>
      </c>
      <c r="CB236" s="1187">
        <f>'2023'!R\Max</f>
        <v>0.88870548914146941</v>
      </c>
      <c r="CC236" s="1187">
        <f>'2024'!R\Max</f>
        <v>0.88869086137857956</v>
      </c>
      <c r="CD236" s="1187">
        <f>'2025'!R\Max</f>
        <v>0.88874869239865206</v>
      </c>
      <c r="CE236" s="1187">
        <f>'2026'!R\Max</f>
        <v>0.88874368965539596</v>
      </c>
      <c r="CF236" s="1188">
        <f>'2027'!R\Max</f>
        <v>0.88873638026565716</v>
      </c>
    </row>
    <row r="237" spans="1:84" s="6" customFormat="1" ht="11.25" x14ac:dyDescent="0.2">
      <c r="A237" s="11">
        <v>43323</v>
      </c>
      <c r="B237" s="380">
        <f>'2022'!Maxi_hp</f>
        <v>49.662737318224281</v>
      </c>
      <c r="C237" s="13">
        <f>'2022'!An_max</f>
        <v>2022</v>
      </c>
      <c r="D237" s="1061"/>
      <c r="E237" s="13"/>
      <c r="F237" s="13">
        <f t="shared" si="110"/>
        <v>17</v>
      </c>
      <c r="G237" s="13">
        <f t="shared" si="94"/>
        <v>18</v>
      </c>
      <c r="H237" s="173">
        <f t="shared" si="95"/>
        <v>43318</v>
      </c>
      <c r="I237" s="752">
        <f t="shared" si="96"/>
        <v>0.35714285714285715</v>
      </c>
      <c r="J237" s="745">
        <f t="shared" si="97"/>
        <v>57.445699708775749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4">
        <v>43323</v>
      </c>
      <c r="AP237" s="13">
        <f t="shared" si="98"/>
        <v>9</v>
      </c>
      <c r="AQ237" s="13">
        <f t="shared" si="99"/>
        <v>10</v>
      </c>
      <c r="AR237" s="173">
        <f t="shared" si="100"/>
        <v>43304</v>
      </c>
      <c r="AS237" s="752">
        <f t="shared" si="101"/>
        <v>0.6785714285714286</v>
      </c>
      <c r="AT237" s="768">
        <f t="shared" si="102"/>
        <v>57.503712645359336</v>
      </c>
      <c r="AU237" s="13">
        <f t="shared" si="103"/>
        <v>9</v>
      </c>
      <c r="AV237" s="13">
        <f t="shared" si="104"/>
        <v>10</v>
      </c>
      <c r="AW237" s="173">
        <f t="shared" si="105"/>
        <v>43318</v>
      </c>
      <c r="AX237" s="752">
        <f t="shared" si="106"/>
        <v>0.17857142857142858</v>
      </c>
      <c r="AY237" s="768">
        <f t="shared" si="107"/>
        <v>57.432955994882754</v>
      </c>
      <c r="AZ237" s="745">
        <f t="shared" si="111"/>
        <v>57.468334320121045</v>
      </c>
      <c r="BA237" s="642">
        <f t="shared" si="108"/>
        <v>0.86451618780852801</v>
      </c>
      <c r="BC237" s="11">
        <v>43323</v>
      </c>
      <c r="BD237" s="290">
        <f>[2]!FeuilCaduc*(1-Persistant)+Persistant</f>
        <v>0.9981562518159266</v>
      </c>
      <c r="BE237" s="291">
        <f>[2]!CroissVégét</f>
        <v>0.92764148214144238</v>
      </c>
      <c r="BF237" s="815">
        <f>1+[2]!Salcycl*Ksac</f>
        <v>1.0496927086359877</v>
      </c>
      <c r="BH237" s="1052">
        <f t="shared" si="109"/>
        <v>6.6596547106475461E-4</v>
      </c>
      <c r="BI237" s="11">
        <v>44419</v>
      </c>
      <c r="BJ237" s="725">
        <v>4.1272530277192473E-6</v>
      </c>
      <c r="BK237" s="725">
        <v>3.3844351065661686E-5</v>
      </c>
      <c r="BL237" s="725">
        <v>1.1904527055578583E-4</v>
      </c>
      <c r="BM237" s="725">
        <v>4.230255147707892E-4</v>
      </c>
      <c r="BN237" s="725">
        <v>1.0314553223962368E-3</v>
      </c>
      <c r="BO237" s="726">
        <v>2.2595582354965208E-3</v>
      </c>
      <c r="BP237" s="725">
        <v>4.2578738784296525E-3</v>
      </c>
      <c r="BQ237" s="725">
        <v>7.4190607501248181E-3</v>
      </c>
      <c r="BR237" s="725">
        <v>1.2094308314861241E-2</v>
      </c>
      <c r="BS237" s="725">
        <v>1.9213427421234913E-2</v>
      </c>
      <c r="BT237" s="725">
        <v>2.8283676766429993E-2</v>
      </c>
      <c r="BW237" s="1189">
        <f>'2018'!R\Max</f>
        <v>0</v>
      </c>
      <c r="BX237" s="1187">
        <f>'2019'!R\Max</f>
        <v>0.44096351513187015</v>
      </c>
      <c r="BY237" s="1187">
        <f>'2020'!R\Max</f>
        <v>0.64228056059631833</v>
      </c>
      <c r="BZ237" s="1187">
        <f>'2021'!R\Max</f>
        <v>0.79458358044400912</v>
      </c>
      <c r="CA237" s="1187">
        <f>'2022'!R\Max</f>
        <v>0.86451618780852801</v>
      </c>
      <c r="CB237" s="1187">
        <f>'2023'!R\Max</f>
        <v>0.86450154372708243</v>
      </c>
      <c r="CC237" s="1187">
        <f>'2024'!R\Max</f>
        <v>0.86448326761758587</v>
      </c>
      <c r="CD237" s="1187">
        <f>'2025'!R\Max</f>
        <v>0.86455501847666627</v>
      </c>
      <c r="CE237" s="1187">
        <f>'2026'!R\Max</f>
        <v>0.86454885537990767</v>
      </c>
      <c r="CF237" s="1188">
        <f>'2027'!R\Max</f>
        <v>0.86453985865989869</v>
      </c>
    </row>
    <row r="238" spans="1:84" s="6" customFormat="1" ht="11.25" x14ac:dyDescent="0.2">
      <c r="A238" s="11">
        <v>43324</v>
      </c>
      <c r="B238" s="380">
        <f>'2022'!Maxi_hp</f>
        <v>50.958333427693667</v>
      </c>
      <c r="C238" s="13">
        <f>'2022'!An_max</f>
        <v>2022</v>
      </c>
      <c r="D238" s="1061"/>
      <c r="E238" s="13"/>
      <c r="F238" s="13">
        <f t="shared" si="110"/>
        <v>17</v>
      </c>
      <c r="G238" s="13">
        <f t="shared" si="94"/>
        <v>18</v>
      </c>
      <c r="H238" s="173">
        <f t="shared" si="95"/>
        <v>43318</v>
      </c>
      <c r="I238" s="752">
        <f t="shared" si="96"/>
        <v>0.42857142857142855</v>
      </c>
      <c r="J238" s="745">
        <f t="shared" si="97"/>
        <v>57.224781341318568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4">
        <v>43324</v>
      </c>
      <c r="AP238" s="13">
        <f t="shared" si="98"/>
        <v>9</v>
      </c>
      <c r="AQ238" s="13">
        <f t="shared" si="99"/>
        <v>10</v>
      </c>
      <c r="AR238" s="173">
        <f t="shared" si="100"/>
        <v>43304</v>
      </c>
      <c r="AS238" s="752">
        <f t="shared" si="101"/>
        <v>0.7142857142857143</v>
      </c>
      <c r="AT238" s="768">
        <f t="shared" si="102"/>
        <v>57.278425655513999</v>
      </c>
      <c r="AU238" s="13">
        <f t="shared" si="103"/>
        <v>9</v>
      </c>
      <c r="AV238" s="13">
        <f t="shared" si="104"/>
        <v>10</v>
      </c>
      <c r="AW238" s="173">
        <f t="shared" si="105"/>
        <v>43318</v>
      </c>
      <c r="AX238" s="752">
        <f t="shared" si="106"/>
        <v>0.21428571428571427</v>
      </c>
      <c r="AY238" s="768">
        <f t="shared" si="107"/>
        <v>57.20931122446698</v>
      </c>
      <c r="AZ238" s="745">
        <f t="shared" si="111"/>
        <v>57.243868439990493</v>
      </c>
      <c r="BA238" s="642">
        <f t="shared" si="108"/>
        <v>0.89049415713362845</v>
      </c>
      <c r="BC238" s="11">
        <v>43324</v>
      </c>
      <c r="BD238" s="290">
        <f>[2]!FeuilCaduc*(1-Persistant)+Persistant</f>
        <v>0.9979189619480302</v>
      </c>
      <c r="BE238" s="291">
        <f>[2]!CroissVégét</f>
        <v>0.93036376011657451</v>
      </c>
      <c r="BF238" s="815">
        <f>1+[2]!Salcycl*Ksac</f>
        <v>1.0496531603246717</v>
      </c>
      <c r="BH238" s="1052">
        <f t="shared" si="109"/>
        <v>6.8064943485405898E-4</v>
      </c>
      <c r="BI238" s="11">
        <v>44420</v>
      </c>
      <c r="BJ238" s="725">
        <v>3.6419329037601543E-6</v>
      </c>
      <c r="BK238" s="725">
        <v>3.1972219662646198E-5</v>
      </c>
      <c r="BL238" s="725">
        <v>1.1728163170698764E-4</v>
      </c>
      <c r="BM238" s="725">
        <v>4.2880490322027621E-4</v>
      </c>
      <c r="BN238" s="725">
        <v>1.0595357318207818E-3</v>
      </c>
      <c r="BO238" s="726">
        <v>2.3332697448463151E-3</v>
      </c>
      <c r="BP238" s="725">
        <v>4.4256771913556139E-3</v>
      </c>
      <c r="BQ238" s="725">
        <v>7.7559633053474741E-3</v>
      </c>
      <c r="BR238" s="725">
        <v>1.2693451775204827E-2</v>
      </c>
      <c r="BS238" s="725">
        <v>2.0164523539886035E-2</v>
      </c>
      <c r="BT238" s="725">
        <v>2.9642484882102346E-2</v>
      </c>
      <c r="BW238" s="1189">
        <f>'2018'!R\Max</f>
        <v>0</v>
      </c>
      <c r="BX238" s="1187">
        <f>'2019'!R\Max</f>
        <v>0.51321825986578806</v>
      </c>
      <c r="BY238" s="1187">
        <f>'2020'!R\Max</f>
        <v>0.78600560258473151</v>
      </c>
      <c r="BZ238" s="1187">
        <f>'2021'!R\Max</f>
        <v>0.84159040947311947</v>
      </c>
      <c r="CA238" s="1187">
        <f>'2022'!R\Max</f>
        <v>0.89049415713362845</v>
      </c>
      <c r="CB238" s="1187">
        <f>'2023'!R\Max</f>
        <v>0.89048134480251284</v>
      </c>
      <c r="CC238" s="1187">
        <f>'2024'!R\Max</f>
        <v>0.89046528103484579</v>
      </c>
      <c r="CD238" s="1187">
        <f>'2025'!R\Max</f>
        <v>0.89052794333062457</v>
      </c>
      <c r="CE238" s="1187">
        <f>'2026'!R\Max</f>
        <v>0.89052259294190439</v>
      </c>
      <c r="CF238" s="1188">
        <f>'2027'!R\Max</f>
        <v>0.89051479647468201</v>
      </c>
    </row>
    <row r="239" spans="1:84" s="6" customFormat="1" ht="11.25" x14ac:dyDescent="0.2">
      <c r="A239" s="11">
        <v>43325</v>
      </c>
      <c r="B239" s="380">
        <f>'2022'!Maxi_hp</f>
        <v>49.519418885775274</v>
      </c>
      <c r="C239" s="13">
        <f>'2022'!An_max</f>
        <v>2019</v>
      </c>
      <c r="D239" s="1061"/>
      <c r="E239" s="13"/>
      <c r="F239" s="13">
        <f t="shared" si="110"/>
        <v>17</v>
      </c>
      <c r="G239" s="13">
        <f t="shared" si="94"/>
        <v>18</v>
      </c>
      <c r="H239" s="173">
        <f t="shared" si="95"/>
        <v>43318</v>
      </c>
      <c r="I239" s="752">
        <f t="shared" si="96"/>
        <v>0.5</v>
      </c>
      <c r="J239" s="745">
        <f t="shared" si="97"/>
        <v>56.99999999962747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4">
        <v>43325</v>
      </c>
      <c r="AP239" s="13">
        <f t="shared" si="98"/>
        <v>9</v>
      </c>
      <c r="AQ239" s="13">
        <f t="shared" si="99"/>
        <v>10</v>
      </c>
      <c r="AR239" s="173">
        <f t="shared" si="100"/>
        <v>43304</v>
      </c>
      <c r="AS239" s="752">
        <f t="shared" si="101"/>
        <v>0.75</v>
      </c>
      <c r="AT239" s="768">
        <f t="shared" si="102"/>
        <v>57.048437500186267</v>
      </c>
      <c r="AU239" s="13">
        <f t="shared" si="103"/>
        <v>9</v>
      </c>
      <c r="AV239" s="13">
        <f t="shared" si="104"/>
        <v>10</v>
      </c>
      <c r="AW239" s="173">
        <f t="shared" si="105"/>
        <v>43318</v>
      </c>
      <c r="AX239" s="752">
        <f t="shared" si="106"/>
        <v>0.25</v>
      </c>
      <c r="AY239" s="768">
        <f t="shared" si="107"/>
        <v>56.982031250186267</v>
      </c>
      <c r="AZ239" s="745">
        <f t="shared" si="111"/>
        <v>57.015234375186267</v>
      </c>
      <c r="BA239" s="642">
        <f t="shared" si="108"/>
        <v>0.86876173484384056</v>
      </c>
      <c r="BC239" s="11">
        <v>43325</v>
      </c>
      <c r="BD239" s="290">
        <f>[2]!FeuilCaduc*(1-Persistant)+Persistant</f>
        <v>0.99766691289593035</v>
      </c>
      <c r="BE239" s="291">
        <f>[2]!CroissVégét</f>
        <v>0.93299147677206173</v>
      </c>
      <c r="BF239" s="815">
        <f>1+[2]!Salcycl*Ksac</f>
        <v>1.0496111521493217</v>
      </c>
      <c r="BH239" s="1052">
        <f t="shared" si="109"/>
        <v>6.9877962753858486E-4</v>
      </c>
      <c r="BI239" s="11">
        <v>44421</v>
      </c>
      <c r="BJ239" s="725">
        <v>3.1522638206792522E-6</v>
      </c>
      <c r="BK239" s="725">
        <v>3.0216760174854027E-5</v>
      </c>
      <c r="BL239" s="725">
        <v>1.1662546688357766E-4</v>
      </c>
      <c r="BM239" s="725">
        <v>4.3686259541619345E-4</v>
      </c>
      <c r="BN239" s="725">
        <v>1.0928194495255529E-3</v>
      </c>
      <c r="BO239" s="726">
        <v>2.4156070828076416E-3</v>
      </c>
      <c r="BP239" s="725">
        <v>4.6085474733169544E-3</v>
      </c>
      <c r="BQ239" s="725">
        <v>8.1171700907891539E-3</v>
      </c>
      <c r="BR239" s="725">
        <v>1.3330034120511137E-2</v>
      </c>
      <c r="BS239" s="725">
        <v>2.1164676370565481E-2</v>
      </c>
      <c r="BT239" s="725">
        <v>3.1058995996937355E-2</v>
      </c>
      <c r="BW239" s="1189">
        <f>'2018'!R\Max</f>
        <v>0</v>
      </c>
      <c r="BX239" s="1187">
        <f>'2019'!R\Max</f>
        <v>0.86876173484384056</v>
      </c>
      <c r="BY239" s="1187">
        <f>'2020'!R\Max</f>
        <v>0.50298454489882571</v>
      </c>
      <c r="BZ239" s="1187">
        <f>'2021'!R\Max</f>
        <v>0.62248179949162663</v>
      </c>
      <c r="CA239" s="1187">
        <f>'2022'!R\Max</f>
        <v>0.65324004956685</v>
      </c>
      <c r="CB239" s="1187">
        <f>'2023'!R\Max</f>
        <v>0.65320874322882783</v>
      </c>
      <c r="CC239" s="1187">
        <f>'2024'!R\Max</f>
        <v>0.65316933317856851</v>
      </c>
      <c r="CD239" s="1187">
        <f>'2025'!R\Max</f>
        <v>0.65332219249721557</v>
      </c>
      <c r="CE239" s="1187">
        <f>'2026'!R\Max</f>
        <v>0.65330920250688962</v>
      </c>
      <c r="CF239" s="1188">
        <f>'2027'!R\Max</f>
        <v>0.65329032287781696</v>
      </c>
    </row>
    <row r="240" spans="1:84" s="6" customFormat="1" ht="11.25" x14ac:dyDescent="0.2">
      <c r="A240" s="11">
        <v>43326</v>
      </c>
      <c r="B240" s="380">
        <f>'2022'!Maxi_hp</f>
        <v>56.438545472421865</v>
      </c>
      <c r="C240" s="13">
        <f>'2022'!An_max</f>
        <v>2019</v>
      </c>
      <c r="D240" s="1061"/>
      <c r="E240" s="13"/>
      <c r="F240" s="13">
        <f t="shared" si="110"/>
        <v>17</v>
      </c>
      <c r="G240" s="13">
        <f t="shared" si="94"/>
        <v>18</v>
      </c>
      <c r="H240" s="173">
        <f t="shared" si="95"/>
        <v>43318</v>
      </c>
      <c r="I240" s="752">
        <f t="shared" si="96"/>
        <v>0.5714285714285714</v>
      </c>
      <c r="J240" s="745">
        <f t="shared" si="97"/>
        <v>56.771137026697396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4">
        <v>43326</v>
      </c>
      <c r="AP240" s="13">
        <f t="shared" si="98"/>
        <v>9</v>
      </c>
      <c r="AQ240" s="13">
        <f t="shared" si="99"/>
        <v>10</v>
      </c>
      <c r="AR240" s="173">
        <f t="shared" si="100"/>
        <v>43304</v>
      </c>
      <c r="AS240" s="752">
        <f t="shared" si="101"/>
        <v>0.7857142857142857</v>
      </c>
      <c r="AT240" s="768">
        <f t="shared" si="102"/>
        <v>56.813666180893776</v>
      </c>
      <c r="AU240" s="13">
        <f t="shared" si="103"/>
        <v>9</v>
      </c>
      <c r="AV240" s="13">
        <f t="shared" si="104"/>
        <v>10</v>
      </c>
      <c r="AW240" s="173">
        <f t="shared" si="105"/>
        <v>43318</v>
      </c>
      <c r="AX240" s="752">
        <f t="shared" si="106"/>
        <v>0.2857142857142857</v>
      </c>
      <c r="AY240" s="768">
        <f t="shared" si="107"/>
        <v>56.751020408528191</v>
      </c>
      <c r="AZ240" s="745">
        <f t="shared" si="111"/>
        <v>56.782343294710984</v>
      </c>
      <c r="BA240" s="642">
        <f t="shared" si="108"/>
        <v>0.99414153790650472</v>
      </c>
      <c r="BC240" s="11">
        <v>43326</v>
      </c>
      <c r="BD240" s="290">
        <f>[2]!FeuilCaduc*(1-Persistant)+Persistant</f>
        <v>0.99739975750725041</v>
      </c>
      <c r="BE240" s="291">
        <f>[2]!CroissVégét</f>
        <v>0.93552736989395957</v>
      </c>
      <c r="BF240" s="815">
        <f>1+[2]!Salcycl*Ksac</f>
        <v>1.0495666262512084</v>
      </c>
      <c r="BH240" s="1052">
        <f t="shared" si="109"/>
        <v>7.2299808608283322E-4</v>
      </c>
      <c r="BI240" s="11">
        <v>44422</v>
      </c>
      <c r="BJ240" s="725">
        <v>2.6772840403065301E-6</v>
      </c>
      <c r="BK240" s="725">
        <v>2.8603048817344295E-5</v>
      </c>
      <c r="BL240" s="725">
        <v>1.1764000574128767E-4</v>
      </c>
      <c r="BM240" s="725">
        <v>4.4890497149619921E-4</v>
      </c>
      <c r="BN240" s="725">
        <v>1.1353561568977996E-3</v>
      </c>
      <c r="BO240" s="726">
        <v>2.5139397499373056E-3</v>
      </c>
      <c r="BP240" s="725">
        <v>4.818289844070618E-3</v>
      </c>
      <c r="BQ240" s="725">
        <v>8.5196427974669805E-3</v>
      </c>
      <c r="BR240" s="725">
        <v>1.4027153478962495E-2</v>
      </c>
      <c r="BS240" s="725">
        <v>2.2240318600596928E-2</v>
      </c>
      <c r="BT240" s="725">
        <v>3.2560040694737377E-2</v>
      </c>
      <c r="BW240" s="1189">
        <f>'2018'!R\Max</f>
        <v>0</v>
      </c>
      <c r="BX240" s="1187">
        <f>'2019'!R\Max</f>
        <v>0.99414153790650472</v>
      </c>
      <c r="BY240" s="1187">
        <f>'2020'!R\Max</f>
        <v>0.32293198057933331</v>
      </c>
      <c r="BZ240" s="1187">
        <f>'2021'!R\Max</f>
        <v>0.86401273873382223</v>
      </c>
      <c r="CA240" s="1187">
        <f>'2022'!R\Max</f>
        <v>0.64300859446978242</v>
      </c>
      <c r="CB240" s="1187">
        <f>'2023'!R\Max</f>
        <v>0.64297513171609755</v>
      </c>
      <c r="CC240" s="1187">
        <f>'2024'!R\Max</f>
        <v>0.64293286480869916</v>
      </c>
      <c r="CD240" s="1187">
        <f>'2025'!R\Max</f>
        <v>0.6430960152762123</v>
      </c>
      <c r="CE240" s="1187">
        <f>'2026'!R\Max</f>
        <v>0.64308219368111286</v>
      </c>
      <c r="CF240" s="1188">
        <f>'2027'!R\Max</f>
        <v>0.6430621793058553</v>
      </c>
    </row>
    <row r="241" spans="1:84" s="6" customFormat="1" ht="11.25" x14ac:dyDescent="0.2">
      <c r="A241" s="11">
        <v>43327</v>
      </c>
      <c r="B241" s="380">
        <f>'2022'!Maxi_hp</f>
        <v>49.907980603306648</v>
      </c>
      <c r="C241" s="13">
        <f>'2022'!An_max</f>
        <v>2020</v>
      </c>
      <c r="D241" s="1061"/>
      <c r="E241" s="13"/>
      <c r="F241" s="13">
        <f t="shared" si="110"/>
        <v>17</v>
      </c>
      <c r="G241" s="13">
        <f t="shared" si="94"/>
        <v>18</v>
      </c>
      <c r="H241" s="173">
        <f t="shared" si="95"/>
        <v>43318</v>
      </c>
      <c r="I241" s="752">
        <f t="shared" si="96"/>
        <v>0.6428571428571429</v>
      </c>
      <c r="J241" s="745">
        <f t="shared" si="97"/>
        <v>56.537973761186002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4">
        <v>43327</v>
      </c>
      <c r="AP241" s="13">
        <f t="shared" si="98"/>
        <v>9</v>
      </c>
      <c r="AQ241" s="13">
        <f t="shared" si="99"/>
        <v>10</v>
      </c>
      <c r="AR241" s="173">
        <f t="shared" si="100"/>
        <v>43304</v>
      </c>
      <c r="AS241" s="752">
        <f t="shared" si="101"/>
        <v>0.8214285714285714</v>
      </c>
      <c r="AT241" s="768">
        <f t="shared" si="102"/>
        <v>56.574029701974766</v>
      </c>
      <c r="AU241" s="13">
        <f t="shared" si="103"/>
        <v>9</v>
      </c>
      <c r="AV241" s="13">
        <f t="shared" si="104"/>
        <v>10</v>
      </c>
      <c r="AW241" s="173">
        <f t="shared" si="105"/>
        <v>43318</v>
      </c>
      <c r="AX241" s="752">
        <f t="shared" si="106"/>
        <v>0.32142857142857145</v>
      </c>
      <c r="AY241" s="768">
        <f t="shared" si="107"/>
        <v>56.516183036273084</v>
      </c>
      <c r="AZ241" s="745">
        <f t="shared" si="111"/>
        <v>56.545106369123928</v>
      </c>
      <c r="BA241" s="642">
        <f t="shared" si="108"/>
        <v>0.88273380319775585</v>
      </c>
      <c r="BC241" s="11">
        <v>43327</v>
      </c>
      <c r="BD241" s="290">
        <f>[2]!FeuilCaduc*(1-Persistant)+Persistant</f>
        <v>0.99711707707150365</v>
      </c>
      <c r="BE241" s="291">
        <f>[2]!CroissVégét</f>
        <v>0.93797413894004</v>
      </c>
      <c r="BF241" s="815">
        <f>1+[2]!Salcycl*Ksac</f>
        <v>1.0495195128452506</v>
      </c>
      <c r="BH241" s="1052">
        <f t="shared" si="109"/>
        <v>7.5254202229207675E-4</v>
      </c>
      <c r="BI241" s="11">
        <v>44423</v>
      </c>
      <c r="BJ241" s="725">
        <v>2.2550831925013048E-6</v>
      </c>
      <c r="BK241" s="725">
        <v>2.7350454776621676E-5</v>
      </c>
      <c r="BL241" s="725">
        <v>1.2038349842428248E-4</v>
      </c>
      <c r="BM241" s="725">
        <v>4.6456289938032712E-4</v>
      </c>
      <c r="BN241" s="725">
        <v>1.1857908316901728E-3</v>
      </c>
      <c r="BO241" s="726">
        <v>2.6259810869578956E-3</v>
      </c>
      <c r="BP241" s="725">
        <v>5.0499211795338355E-3</v>
      </c>
      <c r="BQ241" s="725">
        <v>8.9535557689042495E-3</v>
      </c>
      <c r="BR241" s="725">
        <v>1.4767626223930887E-2</v>
      </c>
      <c r="BS241" s="725">
        <v>2.3367433627486854E-2</v>
      </c>
      <c r="BT241" s="725">
        <v>3.4115929757374625E-2</v>
      </c>
      <c r="BW241" s="1189">
        <f>'2018'!R\Max</f>
        <v>0</v>
      </c>
      <c r="BX241" s="1187">
        <f>'2019'!R\Max</f>
        <v>0.54322005308257737</v>
      </c>
      <c r="BY241" s="1187">
        <f>'2020'!R\Max</f>
        <v>0.88273380319775585</v>
      </c>
      <c r="BZ241" s="1187">
        <f>'2021'!R\Max</f>
        <v>0.40795841374369052</v>
      </c>
      <c r="CA241" s="1187">
        <f>'2022'!R\Max</f>
        <v>0.7808888460811475</v>
      </c>
      <c r="CB241" s="1187">
        <f>'2023'!R\Max</f>
        <v>0.780862507474263</v>
      </c>
      <c r="CC241" s="1187">
        <f>'2024'!R\Max</f>
        <v>0.7808291498965696</v>
      </c>
      <c r="CD241" s="1187">
        <f>'2025'!R\Max</f>
        <v>0.78095741893700354</v>
      </c>
      <c r="CE241" s="1187">
        <f>'2026'!R\Max</f>
        <v>0.78094656943260021</v>
      </c>
      <c r="CF241" s="1188">
        <f>'2027'!R\Max</f>
        <v>0.78093092582982471</v>
      </c>
    </row>
    <row r="242" spans="1:84" s="6" customFormat="1" ht="11.25" x14ac:dyDescent="0.2">
      <c r="A242" s="11">
        <v>43328</v>
      </c>
      <c r="B242" s="380">
        <f>'2022'!Maxi_hp</f>
        <v>54.750781223498663</v>
      </c>
      <c r="C242" s="13">
        <f>'2022'!An_max</f>
        <v>2019</v>
      </c>
      <c r="D242" s="1061"/>
      <c r="E242" s="13"/>
      <c r="F242" s="13">
        <f t="shared" si="110"/>
        <v>17</v>
      </c>
      <c r="G242" s="13">
        <f t="shared" si="94"/>
        <v>18</v>
      </c>
      <c r="H242" s="173">
        <f t="shared" si="95"/>
        <v>43318</v>
      </c>
      <c r="I242" s="752">
        <f t="shared" si="96"/>
        <v>0.7142857142857143</v>
      </c>
      <c r="J242" s="745">
        <f t="shared" si="97"/>
        <v>56.300291545263363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4">
        <v>43328</v>
      </c>
      <c r="AP242" s="13">
        <f t="shared" si="98"/>
        <v>9</v>
      </c>
      <c r="AQ242" s="13">
        <f t="shared" si="99"/>
        <v>10</v>
      </c>
      <c r="AR242" s="173">
        <f t="shared" si="100"/>
        <v>43304</v>
      </c>
      <c r="AS242" s="752">
        <f t="shared" si="101"/>
        <v>0.8571428571428571</v>
      </c>
      <c r="AT242" s="768">
        <f t="shared" si="102"/>
        <v>56.329446065319438</v>
      </c>
      <c r="AU242" s="13">
        <f t="shared" si="103"/>
        <v>9</v>
      </c>
      <c r="AV242" s="13">
        <f t="shared" si="104"/>
        <v>10</v>
      </c>
      <c r="AW242" s="173">
        <f t="shared" si="105"/>
        <v>43318</v>
      </c>
      <c r="AX242" s="752">
        <f t="shared" si="106"/>
        <v>0.35714285714285715</v>
      </c>
      <c r="AY242" s="768">
        <f t="shared" si="107"/>
        <v>56.277423469669046</v>
      </c>
      <c r="AZ242" s="745">
        <f t="shared" si="111"/>
        <v>56.303434767494238</v>
      </c>
      <c r="BA242" s="642">
        <f t="shared" si="108"/>
        <v>0.97247775670008829</v>
      </c>
      <c r="BC242" s="11">
        <v>43328</v>
      </c>
      <c r="BD242" s="290">
        <f>[2]!FeuilCaduc*(1-Persistant)+Persistant</f>
        <v>0.99681838787479471</v>
      </c>
      <c r="BE242" s="291">
        <f>[2]!CroissVégét</f>
        <v>0.94033444219607754</v>
      </c>
      <c r="BF242" s="815">
        <f>1+[2]!Salcycl*Ksac</f>
        <v>1.0494697313124659</v>
      </c>
      <c r="BH242" s="1052">
        <f t="shared" si="109"/>
        <v>7.8741184206205974E-4</v>
      </c>
      <c r="BI242" s="11">
        <v>44424</v>
      </c>
      <c r="BJ242" s="725">
        <v>1.885650408015227E-6</v>
      </c>
      <c r="BK242" s="725">
        <v>2.645893775711959E-5</v>
      </c>
      <c r="BL242" s="725">
        <v>1.2485595710017767E-4</v>
      </c>
      <c r="BM242" s="725">
        <v>4.8383656744948228E-4</v>
      </c>
      <c r="BN242" s="725">
        <v>1.2441242070375734E-3</v>
      </c>
      <c r="BO242" s="726">
        <v>2.7517327556723734E-3</v>
      </c>
      <c r="BP242" s="725">
        <v>5.3034450844169729E-3</v>
      </c>
      <c r="BQ242" s="725">
        <v>9.4189159913081119E-3</v>
      </c>
      <c r="BR242" s="725">
        <v>1.5551464518391919E-2</v>
      </c>
      <c r="BS242" s="725">
        <v>2.4546039804677181E-2</v>
      </c>
      <c r="BT242" s="725">
        <v>3.5726688071748613E-2</v>
      </c>
      <c r="BW242" s="1189">
        <f>'2018'!R\Max</f>
        <v>0</v>
      </c>
      <c r="BX242" s="1187">
        <f>'2019'!R\Max</f>
        <v>0.97247775670008829</v>
      </c>
      <c r="BY242" s="1187">
        <f>'2020'!R\Max</f>
        <v>0.82918898703334565</v>
      </c>
      <c r="BZ242" s="1187">
        <f>'2021'!R\Max</f>
        <v>0.60177844766462063</v>
      </c>
      <c r="CA242" s="1187">
        <f>'2022'!R\Max</f>
        <v>0.674327531758803</v>
      </c>
      <c r="CB242" s="1187">
        <f>'2023'!R\Max</f>
        <v>0.67429180456924454</v>
      </c>
      <c r="CC242" s="1187">
        <f>'2024'!R\Max</f>
        <v>0.67424646905218089</v>
      </c>
      <c r="CD242" s="1187">
        <f>'2025'!R\Max</f>
        <v>0.67442032308203859</v>
      </c>
      <c r="CE242" s="1187">
        <f>'2026'!R\Max</f>
        <v>0.67440561736283267</v>
      </c>
      <c r="CF242" s="1188">
        <f>'2027'!R\Max</f>
        <v>0.67438451508862562</v>
      </c>
    </row>
    <row r="243" spans="1:84" s="6" customFormat="1" ht="11.25" x14ac:dyDescent="0.2">
      <c r="A243" s="11">
        <v>43329</v>
      </c>
      <c r="B243" s="380">
        <f>'2022'!Maxi_hp</f>
        <v>54.337378968983657</v>
      </c>
      <c r="C243" s="13">
        <f>'2022'!An_max</f>
        <v>2019</v>
      </c>
      <c r="D243" s="1061"/>
      <c r="E243" s="13"/>
      <c r="F243" s="13">
        <f t="shared" si="110"/>
        <v>17</v>
      </c>
      <c r="G243" s="13">
        <f t="shared" si="94"/>
        <v>18</v>
      </c>
      <c r="H243" s="173">
        <f t="shared" si="95"/>
        <v>43318</v>
      </c>
      <c r="I243" s="752">
        <f t="shared" si="96"/>
        <v>0.7857142857142857</v>
      </c>
      <c r="J243" s="745">
        <f t="shared" si="97"/>
        <v>56.057871720567348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4">
        <v>43329</v>
      </c>
      <c r="AP243" s="13">
        <f t="shared" si="98"/>
        <v>9</v>
      </c>
      <c r="AQ243" s="13">
        <f t="shared" si="99"/>
        <v>10</v>
      </c>
      <c r="AR243" s="173">
        <f t="shared" si="100"/>
        <v>43304</v>
      </c>
      <c r="AS243" s="752">
        <f t="shared" si="101"/>
        <v>0.8928571428571429</v>
      </c>
      <c r="AT243" s="768">
        <f t="shared" si="102"/>
        <v>56.079833272578455</v>
      </c>
      <c r="AU243" s="13">
        <f t="shared" si="103"/>
        <v>9</v>
      </c>
      <c r="AV243" s="13">
        <f t="shared" si="104"/>
        <v>10</v>
      </c>
      <c r="AW243" s="173">
        <f t="shared" si="105"/>
        <v>43318</v>
      </c>
      <c r="AX243" s="752">
        <f t="shared" si="106"/>
        <v>0.39285714285714285</v>
      </c>
      <c r="AY243" s="768">
        <f t="shared" si="107"/>
        <v>56.034646045948783</v>
      </c>
      <c r="AZ243" s="745">
        <f t="shared" si="111"/>
        <v>56.057239659263615</v>
      </c>
      <c r="BA243" s="642">
        <f t="shared" si="108"/>
        <v>0.96930863233338826</v>
      </c>
      <c r="BC243" s="11">
        <v>43329</v>
      </c>
      <c r="BD243" s="290">
        <f>[2]!FeuilCaduc*(1-Persistant)+Persistant</f>
        <v>0.99650314733740697</v>
      </c>
      <c r="BE243" s="291">
        <f>[2]!CroissVégét</f>
        <v>0.94261089426578282</v>
      </c>
      <c r="BF243" s="815">
        <f>1+[2]!Salcycl*Ksac</f>
        <v>1.0494171912229011</v>
      </c>
      <c r="BH243" s="1052">
        <f t="shared" si="109"/>
        <v>8.2760815031225317E-4</v>
      </c>
      <c r="BI243" s="11">
        <v>44425</v>
      </c>
      <c r="BJ243" s="725">
        <v>1.5689776801318757E-6</v>
      </c>
      <c r="BK243" s="725">
        <v>2.5928475012154343E-5</v>
      </c>
      <c r="BL243" s="725">
        <v>1.3105746710148449E-4</v>
      </c>
      <c r="BM243" s="725">
        <v>5.0672630468717467E-4</v>
      </c>
      <c r="BN243" s="725">
        <v>1.3103573029900036E-3</v>
      </c>
      <c r="BO243" s="726">
        <v>2.8911968852545536E-3</v>
      </c>
      <c r="BP243" s="725">
        <v>5.5788658438859599E-3</v>
      </c>
      <c r="BQ243" s="725">
        <v>9.9157313019379092E-3</v>
      </c>
      <c r="BR243" s="725">
        <v>1.6378681521421568E-2</v>
      </c>
      <c r="BS243" s="725">
        <v>2.5776156358201133E-2</v>
      </c>
      <c r="BT243" s="725">
        <v>3.7392341010371054E-2</v>
      </c>
      <c r="BW243" s="1189">
        <f>'2018'!R\Max</f>
        <v>0</v>
      </c>
      <c r="BX243" s="1187">
        <f>'2019'!R\Max</f>
        <v>0.96930863233338826</v>
      </c>
      <c r="BY243" s="1187">
        <f>'2020'!R\Max</f>
        <v>0.38134752316593523</v>
      </c>
      <c r="BZ243" s="1187">
        <f>'2021'!R\Max</f>
        <v>0.76495236679239809</v>
      </c>
      <c r="CA243" s="1187">
        <f>'2022'!R\Max</f>
        <v>0.56397130181182209</v>
      </c>
      <c r="CB243" s="1187">
        <f>'2023'!R\Max</f>
        <v>0.56392899623883386</v>
      </c>
      <c r="CC243" s="1187">
        <f>'2024'!R\Max</f>
        <v>0.563875241317909</v>
      </c>
      <c r="CD243" s="1187">
        <f>'2025'!R\Max</f>
        <v>0.56408100039308517</v>
      </c>
      <c r="CE243" s="1187">
        <f>'2026'!R\Max</f>
        <v>0.56406357363891102</v>
      </c>
      <c r="CF243" s="1188">
        <f>'2027'!R\Max</f>
        <v>0.56403869564199038</v>
      </c>
    </row>
    <row r="244" spans="1:84" s="6" customFormat="1" ht="11.25" x14ac:dyDescent="0.2">
      <c r="A244" s="11">
        <v>43330</v>
      </c>
      <c r="B244" s="380">
        <f>'2022'!Maxi_hp</f>
        <v>54.641783425949193</v>
      </c>
      <c r="C244" s="13">
        <f>'2022'!An_max</f>
        <v>2021</v>
      </c>
      <c r="D244" s="1061"/>
      <c r="E244" s="13"/>
      <c r="F244" s="13">
        <f t="shared" si="110"/>
        <v>17</v>
      </c>
      <c r="G244" s="13">
        <f t="shared" si="94"/>
        <v>18</v>
      </c>
      <c r="H244" s="173">
        <f t="shared" si="95"/>
        <v>43318</v>
      </c>
      <c r="I244" s="752">
        <f t="shared" si="96"/>
        <v>0.8571428571428571</v>
      </c>
      <c r="J244" s="745">
        <f t="shared" si="97"/>
        <v>55.810495626979638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4">
        <v>43330</v>
      </c>
      <c r="AP244" s="13">
        <f t="shared" si="98"/>
        <v>9</v>
      </c>
      <c r="AQ244" s="13">
        <f t="shared" si="99"/>
        <v>10</v>
      </c>
      <c r="AR244" s="173">
        <f t="shared" si="100"/>
        <v>43304</v>
      </c>
      <c r="AS244" s="752">
        <f t="shared" si="101"/>
        <v>0.9285714285714286</v>
      </c>
      <c r="AT244" s="768">
        <f t="shared" si="102"/>
        <v>55.825109329447152</v>
      </c>
      <c r="AU244" s="13">
        <f t="shared" si="103"/>
        <v>9</v>
      </c>
      <c r="AV244" s="13">
        <f t="shared" si="104"/>
        <v>10</v>
      </c>
      <c r="AW244" s="173">
        <f t="shared" si="105"/>
        <v>43318</v>
      </c>
      <c r="AX244" s="752">
        <f t="shared" si="106"/>
        <v>0.42857142857142855</v>
      </c>
      <c r="AY244" s="768">
        <f t="shared" si="107"/>
        <v>55.787755102238478</v>
      </c>
      <c r="AZ244" s="745">
        <f t="shared" si="111"/>
        <v>55.806432215842818</v>
      </c>
      <c r="BA244" s="642">
        <f t="shared" si="108"/>
        <v>0.97905927571685147</v>
      </c>
      <c r="BC244" s="11">
        <v>43330</v>
      </c>
      <c r="BD244" s="290">
        <f>[2]!FeuilCaduc*(1-Persistant)+Persistant</f>
        <v>0.99617075966636248</v>
      </c>
      <c r="BE244" s="291">
        <f>[2]!CroissVégét</f>
        <v>0.94480606387541</v>
      </c>
      <c r="BF244" s="815">
        <f>1+[2]!Salcycl*Ksac</f>
        <v>1.0493617932777271</v>
      </c>
      <c r="BH244" s="1052">
        <f t="shared" si="109"/>
        <v>8.7313173444079006E-4</v>
      </c>
      <c r="BI244" s="11">
        <v>44426</v>
      </c>
      <c r="BJ244" s="725">
        <v>1.3050597006782518E-6</v>
      </c>
      <c r="BK244" s="725">
        <v>2.575906022194109E-5</v>
      </c>
      <c r="BL244" s="725">
        <v>1.3898818155303697E-4</v>
      </c>
      <c r="BM244" s="725">
        <v>5.3323256944652825E-4</v>
      </c>
      <c r="BN244" s="725">
        <v>1.3844914019757824E-3</v>
      </c>
      <c r="BO244" s="726">
        <v>3.0443760296656169E-3</v>
      </c>
      <c r="BP244" s="725">
        <v>5.8761883555754346E-3</v>
      </c>
      <c r="BQ244" s="725">
        <v>1.04440102914667E-2</v>
      </c>
      <c r="BR244" s="725">
        <v>1.7249291253582169E-2</v>
      </c>
      <c r="BS244" s="725">
        <v>2.7057803226915176E-2</v>
      </c>
      <c r="BT244" s="725">
        <v>3.911291426122538E-2</v>
      </c>
      <c r="BW244" s="1189">
        <f>'2018'!R\Max</f>
        <v>0</v>
      </c>
      <c r="BX244" s="1187">
        <f>'2019'!R\Max</f>
        <v>0.6287572297930667</v>
      </c>
      <c r="BY244" s="1187">
        <f>'2020'!R\Max</f>
        <v>0.79651760361891943</v>
      </c>
      <c r="BZ244" s="1187">
        <f>'2021'!R\Max</f>
        <v>0.97905927571685147</v>
      </c>
      <c r="CA244" s="1187">
        <f>'2022'!R\Max</f>
        <v>0.70536857971321687</v>
      </c>
      <c r="CB244" s="1187">
        <f>'2023'!R\Max</f>
        <v>0.70533075266371104</v>
      </c>
      <c r="CC244" s="1187">
        <f>'2024'!R\Max</f>
        <v>0.7052826439285117</v>
      </c>
      <c r="CD244" s="1187">
        <f>'2025'!R\Max</f>
        <v>0.70546655882050302</v>
      </c>
      <c r="CE244" s="1187">
        <f>'2026'!R\Max</f>
        <v>0.70545094884510162</v>
      </c>
      <c r="CF244" s="1188">
        <f>'2027'!R\Max</f>
        <v>0.70542878408498244</v>
      </c>
    </row>
    <row r="245" spans="1:84" s="6" customFormat="1" ht="11.25" x14ac:dyDescent="0.2">
      <c r="A245" s="11">
        <v>43331</v>
      </c>
      <c r="B245" s="380">
        <f>'2022'!Maxi_hp</f>
        <v>47.020901429543109</v>
      </c>
      <c r="C245" s="13">
        <f>'2022'!An_max</f>
        <v>2022</v>
      </c>
      <c r="D245" s="1061"/>
      <c r="E245" s="13"/>
      <c r="F245" s="13">
        <f t="shared" si="110"/>
        <v>17</v>
      </c>
      <c r="G245" s="13">
        <f t="shared" si="94"/>
        <v>18</v>
      </c>
      <c r="H245" s="173">
        <f t="shared" si="95"/>
        <v>43318</v>
      </c>
      <c r="I245" s="752">
        <f t="shared" si="96"/>
        <v>0.9285714285714286</v>
      </c>
      <c r="J245" s="745">
        <f t="shared" si="97"/>
        <v>55.557944606856573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4">
        <v>43331</v>
      </c>
      <c r="AP245" s="13">
        <f t="shared" si="98"/>
        <v>9</v>
      </c>
      <c r="AQ245" s="13">
        <f t="shared" si="99"/>
        <v>10</v>
      </c>
      <c r="AR245" s="173">
        <f t="shared" si="100"/>
        <v>43304</v>
      </c>
      <c r="AS245" s="752">
        <f t="shared" si="101"/>
        <v>0.9642857142857143</v>
      </c>
      <c r="AT245" s="768">
        <f t="shared" si="102"/>
        <v>55.565192237629425</v>
      </c>
      <c r="AU245" s="13">
        <f t="shared" si="103"/>
        <v>9</v>
      </c>
      <c r="AV245" s="13">
        <f t="shared" si="104"/>
        <v>10</v>
      </c>
      <c r="AW245" s="173">
        <f t="shared" si="105"/>
        <v>43318</v>
      </c>
      <c r="AX245" s="752">
        <f t="shared" si="106"/>
        <v>0.4642857142857143</v>
      </c>
      <c r="AY245" s="768">
        <f t="shared" si="107"/>
        <v>55.536654974546806</v>
      </c>
      <c r="AZ245" s="745">
        <f t="shared" si="111"/>
        <v>55.550923606088119</v>
      </c>
      <c r="BA245" s="642">
        <f t="shared" si="108"/>
        <v>0.84633983064485285</v>
      </c>
      <c r="BC245" s="11">
        <v>43331</v>
      </c>
      <c r="BD245" s="290">
        <f>[2]!FeuilCaduc*(1-Persistant)+Persistant</f>
        <v>0.99582058096423187</v>
      </c>
      <c r="BE245" s="291">
        <f>[2]!CroissVégét</f>
        <v>0.94692247197428869</v>
      </c>
      <c r="BF245" s="815">
        <f>1+[2]!Salcycl*Ksac</f>
        <v>1.0493034301607054</v>
      </c>
      <c r="BH245" s="1052">
        <f t="shared" si="109"/>
        <v>9.2398354779107494E-4</v>
      </c>
      <c r="BI245" s="11">
        <v>44427</v>
      </c>
      <c r="BJ245" s="725">
        <v>1.0938936960727504E-6</v>
      </c>
      <c r="BK245" s="725">
        <v>2.5950702372040812E-5</v>
      </c>
      <c r="BL245" s="725">
        <v>1.4864831600126978E-4</v>
      </c>
      <c r="BM245" s="725">
        <v>5.6335593822449904E-4</v>
      </c>
      <c r="BN245" s="725">
        <v>1.4665280242831442E-3</v>
      </c>
      <c r="BO245" s="726">
        <v>3.2112731251114374E-3</v>
      </c>
      <c r="BP245" s="725">
        <v>6.1954180616804553E-3</v>
      </c>
      <c r="BQ245" s="725">
        <v>1.10037622064822E-2</v>
      </c>
      <c r="BR245" s="725">
        <v>1.8163308462538455E-2</v>
      </c>
      <c r="BS245" s="725">
        <v>2.8391000903095778E-2</v>
      </c>
      <c r="BT245" s="725">
        <v>4.0888433658160091E-2</v>
      </c>
      <c r="BW245" s="1189">
        <f>'2018'!R\Max</f>
        <v>0</v>
      </c>
      <c r="BX245" s="1187">
        <f>'2019'!R\Max</f>
        <v>0.64556777206147764</v>
      </c>
      <c r="BY245" s="1187">
        <f>'2020'!R\Max</f>
        <v>0.8002757125484482</v>
      </c>
      <c r="BZ245" s="1187">
        <f>'2021'!R\Max</f>
        <v>0.82321683469556084</v>
      </c>
      <c r="CA245" s="1187">
        <f>'2022'!R\Max</f>
        <v>0.84633983064485285</v>
      </c>
      <c r="CB245" s="1187">
        <f>'2023'!R\Max</f>
        <v>0.84631478081254186</v>
      </c>
      <c r="CC245" s="1187">
        <f>'2024'!R\Max</f>
        <v>0.84628290687573338</v>
      </c>
      <c r="CD245" s="1187">
        <f>'2025'!R\Max</f>
        <v>0.84640468225372778</v>
      </c>
      <c r="CE245" s="1187">
        <f>'2026'!R\Max</f>
        <v>0.84639431538410603</v>
      </c>
      <c r="CF245" s="1188">
        <f>'2027'!R\Max</f>
        <v>0.84637967680149262</v>
      </c>
    </row>
    <row r="246" spans="1:84" s="6" customFormat="1" ht="11.25" x14ac:dyDescent="0.2">
      <c r="A246" s="11">
        <v>43332</v>
      </c>
      <c r="B246" s="380">
        <f>'2022'!Maxi_hp</f>
        <v>52.793741266565121</v>
      </c>
      <c r="C246" s="13">
        <f>'2022'!An_max</f>
        <v>2022</v>
      </c>
      <c r="D246" s="1061"/>
      <c r="E246" s="1056">
        <f>AD$13/10</f>
        <v>55.3</v>
      </c>
      <c r="F246" s="13">
        <f t="shared" si="110"/>
        <v>19</v>
      </c>
      <c r="G246" s="13">
        <f t="shared" si="94"/>
        <v>18</v>
      </c>
      <c r="H246" s="173">
        <f t="shared" si="95"/>
        <v>43346</v>
      </c>
      <c r="I246" s="752">
        <f t="shared" si="96"/>
        <v>1</v>
      </c>
      <c r="J246" s="745">
        <f t="shared" si="97"/>
        <v>55.3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4">
        <v>43332</v>
      </c>
      <c r="AP246" s="13">
        <f t="shared" si="98"/>
        <v>11</v>
      </c>
      <c r="AQ246" s="13">
        <f t="shared" si="99"/>
        <v>10</v>
      </c>
      <c r="AR246" s="173">
        <f t="shared" si="100"/>
        <v>43360</v>
      </c>
      <c r="AS246" s="752">
        <f t="shared" si="101"/>
        <v>1</v>
      </c>
      <c r="AT246" s="768">
        <f t="shared" si="102"/>
        <v>55.3</v>
      </c>
      <c r="AU246" s="13">
        <f t="shared" si="103"/>
        <v>9</v>
      </c>
      <c r="AV246" s="13">
        <f t="shared" si="104"/>
        <v>10</v>
      </c>
      <c r="AW246" s="173">
        <f t="shared" si="105"/>
        <v>43318</v>
      </c>
      <c r="AX246" s="752">
        <f t="shared" si="106"/>
        <v>0.5</v>
      </c>
      <c r="AY246" s="768">
        <f t="shared" si="107"/>
        <v>55.28125000037253</v>
      </c>
      <c r="AZ246" s="745">
        <f t="shared" si="111"/>
        <v>55.290625000186267</v>
      </c>
      <c r="BA246" s="642">
        <f t="shared" si="108"/>
        <v>0.9546788655798395</v>
      </c>
      <c r="BC246" s="11">
        <v>43332</v>
      </c>
      <c r="BD246" s="290">
        <f>[2]!FeuilCaduc*(1-Persistant)+Persistant</f>
        <v>0.99545192374531943</v>
      </c>
      <c r="BE246" s="291">
        <f>[2]!CroissVégét</f>
        <v>0.94896259011285922</v>
      </c>
      <c r="BF246" s="815">
        <f>1+[2]!Salcycl*Ksac</f>
        <v>1.0492419872908867</v>
      </c>
      <c r="BH246" s="1052">
        <f t="shared" si="109"/>
        <v>9.8016469312274925E-4</v>
      </c>
      <c r="BI246" s="11">
        <v>44428</v>
      </c>
      <c r="BJ246" s="725">
        <v>9.3547926336751101E-7</v>
      </c>
      <c r="BK246" s="725">
        <v>2.6503424631880548E-5</v>
      </c>
      <c r="BL246" s="725">
        <v>1.6003814304419242E-4</v>
      </c>
      <c r="BM246" s="725">
        <v>5.9709709443870338E-4</v>
      </c>
      <c r="BN246" s="725">
        <v>1.5564689035488279E-3</v>
      </c>
      <c r="BO246" s="726">
        <v>3.3918914475150551E-3</v>
      </c>
      <c r="BP246" s="725">
        <v>6.5365608810775732E-3</v>
      </c>
      <c r="BQ246" s="725">
        <v>1.1594996852040039E-2</v>
      </c>
      <c r="BR246" s="725">
        <v>1.9120748488760185E-2</v>
      </c>
      <c r="BS246" s="725">
        <v>2.9775770273169553E-2</v>
      </c>
      <c r="BT246" s="725">
        <v>4.2718925011470843E-2</v>
      </c>
      <c r="BW246" s="1189">
        <f>'2018'!R\Max</f>
        <v>0</v>
      </c>
      <c r="BX246" s="1187">
        <f>'2019'!R\Max</f>
        <v>0.61853256785027477</v>
      </c>
      <c r="BY246" s="1187">
        <f>'2020'!R\Max</f>
        <v>0.94983816092623963</v>
      </c>
      <c r="BZ246" s="1187">
        <f>'2021'!R\Max</f>
        <v>0.93104638265925466</v>
      </c>
      <c r="CA246" s="1187">
        <f>'2022'!R\Max</f>
        <v>0.9546788655798395</v>
      </c>
      <c r="CB246" s="1187">
        <f>'2023'!R\Max</f>
        <v>0.95467004514307729</v>
      </c>
      <c r="CC246" s="1187">
        <f>'2024'!R\Max</f>
        <v>0.95465882085038722</v>
      </c>
      <c r="CD246" s="1187">
        <f>'2025'!R\Max</f>
        <v>0.95470170167685031</v>
      </c>
      <c r="CE246" s="1187">
        <f>'2026'!R\Max</f>
        <v>0.95469803753269433</v>
      </c>
      <c r="CF246" s="1188">
        <f>'2027'!R\Max</f>
        <v>0.95469289265621393</v>
      </c>
    </row>
    <row r="247" spans="1:84" s="6" customFormat="1" ht="11.25" x14ac:dyDescent="0.2">
      <c r="A247" s="11">
        <v>43333</v>
      </c>
      <c r="B247" s="380">
        <f>'2022'!Maxi_hp</f>
        <v>52.989538136778435</v>
      </c>
      <c r="C247" s="13">
        <f>'2022'!An_max</f>
        <v>2020</v>
      </c>
      <c r="D247" s="1061"/>
      <c r="E247" s="13"/>
      <c r="F247" s="13">
        <f t="shared" si="110"/>
        <v>19</v>
      </c>
      <c r="G247" s="13">
        <f t="shared" si="94"/>
        <v>18</v>
      </c>
      <c r="H247" s="173">
        <f t="shared" si="95"/>
        <v>43346</v>
      </c>
      <c r="I247" s="752">
        <f t="shared" si="96"/>
        <v>0.9285714285714286</v>
      </c>
      <c r="J247" s="745">
        <f t="shared" si="97"/>
        <v>55.037463556336505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4">
        <v>43333</v>
      </c>
      <c r="AP247" s="13">
        <f t="shared" si="98"/>
        <v>11</v>
      </c>
      <c r="AQ247" s="13">
        <f t="shared" si="99"/>
        <v>10</v>
      </c>
      <c r="AR247" s="173">
        <f t="shared" si="100"/>
        <v>43360</v>
      </c>
      <c r="AS247" s="752">
        <f t="shared" si="101"/>
        <v>0.9642857142857143</v>
      </c>
      <c r="AT247" s="768">
        <f t="shared" si="102"/>
        <v>55.028985970014979</v>
      </c>
      <c r="AU247" s="13">
        <f t="shared" si="103"/>
        <v>9</v>
      </c>
      <c r="AV247" s="13">
        <f t="shared" si="104"/>
        <v>10</v>
      </c>
      <c r="AW247" s="173">
        <f t="shared" si="105"/>
        <v>43318</v>
      </c>
      <c r="AX247" s="752">
        <f t="shared" si="106"/>
        <v>0.5357142857142857</v>
      </c>
      <c r="AY247" s="768">
        <f t="shared" si="107"/>
        <v>55.021444516256452</v>
      </c>
      <c r="AZ247" s="745">
        <f t="shared" si="111"/>
        <v>55.025215243135719</v>
      </c>
      <c r="BA247" s="642">
        <f t="shared" si="108"/>
        <v>0.96279033794023217</v>
      </c>
      <c r="BC247" s="11">
        <v>43333</v>
      </c>
      <c r="BD247" s="290">
        <f>[2]!FeuilCaduc*(1-Persistant)+Persistant</f>
        <v>0.9950640608207395</v>
      </c>
      <c r="BE247" s="291">
        <f>[2]!CroissVégét</f>
        <v>0.95092883908018766</v>
      </c>
      <c r="BF247" s="815">
        <f>1+[2]!Salcycl*Ksac</f>
        <v>1.0491773434701233</v>
      </c>
      <c r="BH247" s="1052">
        <f t="shared" si="109"/>
        <v>1.0416764060631079E-3</v>
      </c>
      <c r="BI247" s="11">
        <v>44429</v>
      </c>
      <c r="BJ247" s="725">
        <v>8.2981820626695234E-7</v>
      </c>
      <c r="BK247" s="725">
        <v>2.7417263232721562E-5</v>
      </c>
      <c r="BL247" s="725">
        <v>1.7315798695823295E-4</v>
      </c>
      <c r="BM247" s="725">
        <v>6.3445681719232546E-4</v>
      </c>
      <c r="BN247" s="725">
        <v>1.6543159622156365E-3</v>
      </c>
      <c r="BO247" s="726">
        <v>3.5862345699210884E-3</v>
      </c>
      <c r="BP247" s="725">
        <v>6.8996231413145873E-3</v>
      </c>
      <c r="BQ247" s="725">
        <v>1.2217724493983718E-2</v>
      </c>
      <c r="BR247" s="725">
        <v>2.0121627130839471E-2</v>
      </c>
      <c r="BS247" s="725">
        <v>3.1212132457840547E-2</v>
      </c>
      <c r="BT247" s="725">
        <v>4.460441393761358E-2</v>
      </c>
      <c r="BW247" s="1189">
        <f>'2018'!R\Max</f>
        <v>0</v>
      </c>
      <c r="BX247" s="1187">
        <f>'2019'!R\Max</f>
        <v>0.92429113559155041</v>
      </c>
      <c r="BY247" s="1187">
        <f>'2020'!R\Max</f>
        <v>0.96279033794023217</v>
      </c>
      <c r="BZ247" s="1187">
        <f>'2021'!R\Max</f>
        <v>0.87726957589908316</v>
      </c>
      <c r="CA247" s="1187">
        <f>'2022'!R\Max</f>
        <v>0.61591377152806637</v>
      </c>
      <c r="CB247" s="1187">
        <f>'2023'!R\Max</f>
        <v>0.61586273827806914</v>
      </c>
      <c r="CC247" s="1187">
        <f>'2024'!R\Max</f>
        <v>0.61579782654245185</v>
      </c>
      <c r="CD247" s="1187">
        <f>'2025'!R\Max</f>
        <v>0.61604600443085245</v>
      </c>
      <c r="CE247" s="1187">
        <f>'2026'!R\Max</f>
        <v>0.61602469729013754</v>
      </c>
      <c r="CF247" s="1188">
        <f>'2027'!R\Max</f>
        <v>0.61599495128796755</v>
      </c>
    </row>
    <row r="248" spans="1:84" s="6" customFormat="1" ht="11.25" x14ac:dyDescent="0.2">
      <c r="A248" s="11">
        <v>43334</v>
      </c>
      <c r="B248" s="380">
        <f>'2022'!Maxi_hp</f>
        <v>55.477484592844142</v>
      </c>
      <c r="C248" s="13">
        <f>'2022'!An_max</f>
        <v>2019</v>
      </c>
      <c r="D248" s="1061"/>
      <c r="E248" s="13"/>
      <c r="F248" s="13">
        <f t="shared" si="110"/>
        <v>19</v>
      </c>
      <c r="G248" s="13">
        <f t="shared" si="94"/>
        <v>18</v>
      </c>
      <c r="H248" s="173">
        <f t="shared" si="95"/>
        <v>43346</v>
      </c>
      <c r="I248" s="752">
        <f t="shared" si="96"/>
        <v>0.8571428571428571</v>
      </c>
      <c r="J248" s="745">
        <f t="shared" si="97"/>
        <v>54.771137025845903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4">
        <v>43334</v>
      </c>
      <c r="AP248" s="13">
        <f t="shared" si="98"/>
        <v>11</v>
      </c>
      <c r="AQ248" s="13">
        <f t="shared" si="99"/>
        <v>10</v>
      </c>
      <c r="AR248" s="173">
        <f t="shared" si="100"/>
        <v>43360</v>
      </c>
      <c r="AS248" s="752">
        <f t="shared" si="101"/>
        <v>0.9285714285714286</v>
      </c>
      <c r="AT248" s="768">
        <f t="shared" si="102"/>
        <v>54.751785714072845</v>
      </c>
      <c r="AU248" s="13">
        <f t="shared" si="103"/>
        <v>9</v>
      </c>
      <c r="AV248" s="13">
        <f t="shared" si="104"/>
        <v>10</v>
      </c>
      <c r="AW248" s="173">
        <f t="shared" si="105"/>
        <v>43318</v>
      </c>
      <c r="AX248" s="752">
        <f t="shared" si="106"/>
        <v>0.5714285714285714</v>
      </c>
      <c r="AY248" s="768">
        <f t="shared" si="107"/>
        <v>54.75714285703642</v>
      </c>
      <c r="AZ248" s="745">
        <f t="shared" si="111"/>
        <v>54.754464285554633</v>
      </c>
      <c r="BA248" s="642">
        <f t="shared" si="108"/>
        <v>1.0128963466043241</v>
      </c>
      <c r="BC248" s="11">
        <v>43334</v>
      </c>
      <c r="BD248" s="290">
        <f>[2]!FeuilCaduc*(1-Persistant)+Persistant</f>
        <v>0.99465622852470448</v>
      </c>
      <c r="BE248" s="291">
        <f>[2]!CroissVégét</f>
        <v>0.95282358778342446</v>
      </c>
      <c r="BF248" s="815">
        <f>1+[2]!Salcycl*Ksac</f>
        <v>1.049109371420784</v>
      </c>
      <c r="BH248" s="1052">
        <f t="shared" si="109"/>
        <v>1.1116691039472922E-3</v>
      </c>
      <c r="BI248" s="11">
        <v>44430</v>
      </c>
      <c r="BJ248" s="725">
        <v>7.6872942039702005E-7</v>
      </c>
      <c r="BK248" s="725">
        <v>2.8662608508248917E-5</v>
      </c>
      <c r="BL248" s="725">
        <v>1.8832650783360462E-4</v>
      </c>
      <c r="BM248" s="725">
        <v>6.7709206508467031E-4</v>
      </c>
      <c r="BN248" s="725">
        <v>1.7654664444464467E-3</v>
      </c>
      <c r="BO248" s="726">
        <v>3.8060947015620991E-3</v>
      </c>
      <c r="BP248" s="725">
        <v>7.3031577377826312E-3</v>
      </c>
      <c r="BQ248" s="725">
        <v>1.2893196224565921E-2</v>
      </c>
      <c r="BR248" s="725">
        <v>2.1189991577935625E-2</v>
      </c>
      <c r="BS248" s="725">
        <v>3.2720964583392881E-2</v>
      </c>
      <c r="BT248" s="725">
        <v>4.6559555193670103E-2</v>
      </c>
      <c r="BW248" s="1189">
        <f>'2018'!R\Max</f>
        <v>0</v>
      </c>
      <c r="BX248" s="1187">
        <f>'2019'!R\Max</f>
        <v>1.0128963466043241</v>
      </c>
      <c r="BY248" s="1187">
        <f>'2020'!R\Max</f>
        <v>0.89806968429814804</v>
      </c>
      <c r="BZ248" s="1187">
        <f>'2021'!R\Max</f>
        <v>0.40308658739292769</v>
      </c>
      <c r="CA248" s="1187">
        <f>'2022'!R\Max</f>
        <v>0.53019030742163065</v>
      </c>
      <c r="CB248" s="1187">
        <f>'2023'!R\Max</f>
        <v>0.53013334110943122</v>
      </c>
      <c r="CC248" s="1187">
        <f>'2024'!R\Max</f>
        <v>0.53006098809340418</v>
      </c>
      <c r="CD248" s="1187">
        <f>'2025'!R\Max</f>
        <v>0.53033817908527614</v>
      </c>
      <c r="CE248" s="1187">
        <f>'2026'!R\Max</f>
        <v>0.53031423558133883</v>
      </c>
      <c r="CF248" s="1188">
        <f>'2027'!R\Max</f>
        <v>0.53028100258721311</v>
      </c>
    </row>
    <row r="249" spans="1:84" s="6" customFormat="1" ht="11.25" x14ac:dyDescent="0.2">
      <c r="A249" s="11">
        <v>43335</v>
      </c>
      <c r="B249" s="380">
        <f>'2022'!Maxi_hp</f>
        <v>53.090277151118499</v>
      </c>
      <c r="C249" s="13">
        <f>'2022'!An_max</f>
        <v>2022</v>
      </c>
      <c r="D249" s="1061"/>
      <c r="E249" s="13"/>
      <c r="F249" s="13">
        <f t="shared" si="110"/>
        <v>19</v>
      </c>
      <c r="G249" s="13">
        <f t="shared" si="94"/>
        <v>18</v>
      </c>
      <c r="H249" s="173">
        <f t="shared" si="95"/>
        <v>43346</v>
      </c>
      <c r="I249" s="752">
        <f t="shared" si="96"/>
        <v>0.7857142857142857</v>
      </c>
      <c r="J249" s="745">
        <f t="shared" si="97"/>
        <v>54.500801749899985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4">
        <v>43335</v>
      </c>
      <c r="AP249" s="13">
        <f t="shared" si="98"/>
        <v>11</v>
      </c>
      <c r="AQ249" s="13">
        <f t="shared" si="99"/>
        <v>10</v>
      </c>
      <c r="AR249" s="173">
        <f t="shared" si="100"/>
        <v>43360</v>
      </c>
      <c r="AS249" s="752">
        <f t="shared" si="101"/>
        <v>0.8928571428571429</v>
      </c>
      <c r="AT249" s="768">
        <f t="shared" si="102"/>
        <v>54.468590560888074</v>
      </c>
      <c r="AU249" s="13">
        <f t="shared" si="103"/>
        <v>9</v>
      </c>
      <c r="AV249" s="13">
        <f t="shared" si="104"/>
        <v>10</v>
      </c>
      <c r="AW249" s="173">
        <f t="shared" si="105"/>
        <v>43318</v>
      </c>
      <c r="AX249" s="752">
        <f t="shared" si="106"/>
        <v>0.6071428571428571</v>
      </c>
      <c r="AY249" s="768">
        <f t="shared" si="107"/>
        <v>54.488249362020625</v>
      </c>
      <c r="AZ249" s="745">
        <f t="shared" si="111"/>
        <v>54.47841996145435</v>
      </c>
      <c r="BA249" s="642">
        <f t="shared" si="108"/>
        <v>0.97411919543396308</v>
      </c>
      <c r="BC249" s="11">
        <v>43335</v>
      </c>
      <c r="BD249" s="290">
        <f>[2]!FeuilCaduc*(1-Persistant)+Persistant</f>
        <v>0.99422762926545261</v>
      </c>
      <c r="BE249" s="291">
        <f>[2]!CroissVégét</f>
        <v>0.95464915235219705</v>
      </c>
      <c r="BF249" s="815">
        <f>1+[2]!Salcycl*Ksac</f>
        <v>1.0490379382109087</v>
      </c>
      <c r="BH249" s="1052">
        <f t="shared" si="109"/>
        <v>1.1874659361290195E-3</v>
      </c>
      <c r="BI249" s="11">
        <v>44431</v>
      </c>
      <c r="BJ249" s="725">
        <v>7.1850916197448183E-7</v>
      </c>
      <c r="BK249" s="725">
        <v>2.9903702638046682E-5</v>
      </c>
      <c r="BL249" s="725">
        <v>2.0437919688284881E-4</v>
      </c>
      <c r="BM249" s="725">
        <v>7.2309782266957961E-4</v>
      </c>
      <c r="BN249" s="725">
        <v>1.8860823158323343E-3</v>
      </c>
      <c r="BO249" s="726">
        <v>4.0451545183146581E-3</v>
      </c>
      <c r="BP249" s="725">
        <v>7.7371207811656679E-3</v>
      </c>
      <c r="BQ249" s="725">
        <v>1.3607000319606532E-2</v>
      </c>
      <c r="BR249" s="725">
        <v>2.2305692580651675E-2</v>
      </c>
      <c r="BS249" s="725">
        <v>3.4277389001903351E-2</v>
      </c>
      <c r="BT249" s="725">
        <v>4.855656767355785E-2</v>
      </c>
      <c r="BW249" s="1189">
        <f>'2018'!R\Max</f>
        <v>0</v>
      </c>
      <c r="BX249" s="1187">
        <f>'2019'!R\Max</f>
        <v>0.96415035032646434</v>
      </c>
      <c r="BY249" s="1187">
        <f>'2020'!R\Max</f>
        <v>0.7305074975762974</v>
      </c>
      <c r="BZ249" s="1187">
        <f>'2021'!R\Max</f>
        <v>0.94818792106900684</v>
      </c>
      <c r="CA249" s="1187">
        <f>'2022'!R\Max</f>
        <v>0.97411919543396308</v>
      </c>
      <c r="CB249" s="1187">
        <f>'2023'!R\Max</f>
        <v>0.97411308002231378</v>
      </c>
      <c r="CC249" s="1187">
        <f>'2024'!R\Max</f>
        <v>0.97410532798761962</v>
      </c>
      <c r="CD249" s="1187">
        <f>'2025'!R\Max</f>
        <v>0.97413510429566097</v>
      </c>
      <c r="CE249" s="1187">
        <f>'2026'!R\Max</f>
        <v>0.9741325156110987</v>
      </c>
      <c r="CF249" s="1188">
        <f>'2027'!R\Max</f>
        <v>0.97412894209169221</v>
      </c>
    </row>
    <row r="250" spans="1:84" s="6" customFormat="1" ht="11.25" x14ac:dyDescent="0.2">
      <c r="A250" s="11">
        <v>43336</v>
      </c>
      <c r="B250" s="380">
        <f>'2022'!Maxi_hp</f>
        <v>52.284492274475099</v>
      </c>
      <c r="C250" s="13">
        <f>'2022'!An_max</f>
        <v>2019</v>
      </c>
      <c r="D250" s="1061"/>
      <c r="E250" s="13"/>
      <c r="F250" s="13">
        <f t="shared" si="110"/>
        <v>19</v>
      </c>
      <c r="G250" s="13">
        <f t="shared" si="94"/>
        <v>18</v>
      </c>
      <c r="H250" s="173">
        <f t="shared" si="95"/>
        <v>43346</v>
      </c>
      <c r="I250" s="752">
        <f t="shared" si="96"/>
        <v>0.7142857142857143</v>
      </c>
      <c r="J250" s="745">
        <f t="shared" si="97"/>
        <v>54.226239067316058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4">
        <v>43336</v>
      </c>
      <c r="AP250" s="13">
        <f t="shared" si="98"/>
        <v>11</v>
      </c>
      <c r="AQ250" s="13">
        <f t="shared" si="99"/>
        <v>10</v>
      </c>
      <c r="AR250" s="173">
        <f t="shared" si="100"/>
        <v>43360</v>
      </c>
      <c r="AS250" s="752">
        <f t="shared" si="101"/>
        <v>0.8571428571428571</v>
      </c>
      <c r="AT250" s="768">
        <f t="shared" si="102"/>
        <v>54.179591836833524</v>
      </c>
      <c r="AU250" s="13">
        <f t="shared" si="103"/>
        <v>9</v>
      </c>
      <c r="AV250" s="13">
        <f t="shared" si="104"/>
        <v>10</v>
      </c>
      <c r="AW250" s="173">
        <f t="shared" si="105"/>
        <v>43318</v>
      </c>
      <c r="AX250" s="752">
        <f t="shared" si="106"/>
        <v>0.6428571428571429</v>
      </c>
      <c r="AY250" s="768">
        <f t="shared" si="107"/>
        <v>54.214668367643434</v>
      </c>
      <c r="AZ250" s="745">
        <f t="shared" si="111"/>
        <v>54.197130102238475</v>
      </c>
      <c r="BA250" s="642">
        <f t="shared" si="108"/>
        <v>0.96419174875044367</v>
      </c>
      <c r="BC250" s="11">
        <v>43336</v>
      </c>
      <c r="BD250" s="290">
        <f>[2]!FeuilCaduc*(1-Persistant)+Persistant</f>
        <v>0.99377743339550839</v>
      </c>
      <c r="BE250" s="291">
        <f>[2]!CroissVégét</f>
        <v>0.95640779545152554</v>
      </c>
      <c r="BF250" s="815">
        <f>1+[2]!Salcycl*Ksac</f>
        <v>1.048962905565918</v>
      </c>
      <c r="BH250" s="1052">
        <f t="shared" si="109"/>
        <v>1.2690695847372201E-3</v>
      </c>
      <c r="BI250" s="11">
        <v>44432</v>
      </c>
      <c r="BJ250" s="725">
        <v>6.7915855350153085E-7</v>
      </c>
      <c r="BK250" s="725">
        <v>3.1140580172908796E-5</v>
      </c>
      <c r="BL250" s="725">
        <v>2.2131654830215663E-4</v>
      </c>
      <c r="BM250" s="725">
        <v>7.7247569674354362E-4</v>
      </c>
      <c r="BN250" s="725">
        <v>2.0161678762809568E-3</v>
      </c>
      <c r="BO250" s="726">
        <v>4.3034227587592459E-3</v>
      </c>
      <c r="BP250" s="725">
        <v>8.2015276814463665E-3</v>
      </c>
      <c r="BQ250" s="725">
        <v>1.4359160845737981E-2</v>
      </c>
      <c r="BR250" s="725">
        <v>2.3468766427101814E-2</v>
      </c>
      <c r="BS250" s="725">
        <v>3.5881455198463676E-2</v>
      </c>
      <c r="BT250" s="725">
        <v>5.0595514323319123E-2</v>
      </c>
      <c r="BW250" s="1189">
        <f>'2018'!R\Max</f>
        <v>0</v>
      </c>
      <c r="BX250" s="1187">
        <f>'2019'!R\Max</f>
        <v>0.96419174875044367</v>
      </c>
      <c r="BY250" s="1187">
        <f>'2020'!R\Max</f>
        <v>0.81099826772181849</v>
      </c>
      <c r="BZ250" s="1187">
        <f>'2021'!R\Max</f>
        <v>0.83573848663528039</v>
      </c>
      <c r="CA250" s="1187">
        <f>'2022'!R\Max</f>
        <v>0.87231518030494548</v>
      </c>
      <c r="CB250" s="1187">
        <f>'2023'!R\Max</f>
        <v>0.87228652256559025</v>
      </c>
      <c r="CC250" s="1187">
        <f>'2024'!R\Max</f>
        <v>0.87225030067836884</v>
      </c>
      <c r="CD250" s="1187">
        <f>'2025'!R\Max</f>
        <v>0.87238997960151599</v>
      </c>
      <c r="CE250" s="1187">
        <f>'2026'!R\Max</f>
        <v>0.87237774227102938</v>
      </c>
      <c r="CF250" s="1188">
        <f>'2027'!R\Max</f>
        <v>0.87236093887048993</v>
      </c>
    </row>
    <row r="251" spans="1:84" s="6" customFormat="1" ht="11.25" x14ac:dyDescent="0.2">
      <c r="A251" s="11">
        <v>43337</v>
      </c>
      <c r="B251" s="380">
        <f>'2022'!Maxi_hp</f>
        <v>49.886993974579291</v>
      </c>
      <c r="C251" s="13">
        <f>'2022'!An_max</f>
        <v>2020</v>
      </c>
      <c r="D251" s="1061"/>
      <c r="E251" s="13"/>
      <c r="F251" s="13">
        <f t="shared" si="110"/>
        <v>19</v>
      </c>
      <c r="G251" s="13">
        <f t="shared" si="94"/>
        <v>18</v>
      </c>
      <c r="H251" s="173">
        <f t="shared" si="95"/>
        <v>43346</v>
      </c>
      <c r="I251" s="752">
        <f t="shared" si="96"/>
        <v>0.6428571428571429</v>
      </c>
      <c r="J251" s="745">
        <f t="shared" si="97"/>
        <v>53.947230321009251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4">
        <v>43337</v>
      </c>
      <c r="AP251" s="13">
        <f t="shared" si="98"/>
        <v>11</v>
      </c>
      <c r="AQ251" s="13">
        <f t="shared" si="99"/>
        <v>10</v>
      </c>
      <c r="AR251" s="173">
        <f t="shared" si="100"/>
        <v>43360</v>
      </c>
      <c r="AS251" s="752">
        <f t="shared" si="101"/>
        <v>0.8214285714285714</v>
      </c>
      <c r="AT251" s="768">
        <f t="shared" si="102"/>
        <v>53.884980867217692</v>
      </c>
      <c r="AU251" s="13">
        <f t="shared" si="103"/>
        <v>9</v>
      </c>
      <c r="AV251" s="13">
        <f t="shared" si="104"/>
        <v>10</v>
      </c>
      <c r="AW251" s="173">
        <f t="shared" si="105"/>
        <v>43318</v>
      </c>
      <c r="AX251" s="752">
        <f t="shared" si="106"/>
        <v>0.6785714285714286</v>
      </c>
      <c r="AY251" s="768">
        <f t="shared" si="107"/>
        <v>53.936304208928981</v>
      </c>
      <c r="AZ251" s="745">
        <f t="shared" si="111"/>
        <v>53.910642538073333</v>
      </c>
      <c r="BA251" s="642">
        <f t="shared" si="108"/>
        <v>0.92473688969257917</v>
      </c>
      <c r="BC251" s="11">
        <v>43337</v>
      </c>
      <c r="BD251" s="290">
        <f>[2]!FeuilCaduc*(1-Persistant)+Persistant</f>
        <v>0.99330478040726922</v>
      </c>
      <c r="BE251" s="291">
        <f>[2]!CroissVégét</f>
        <v>0.95810172578745478</v>
      </c>
      <c r="BF251" s="815">
        <f>1+[2]!Salcycl*Ksac</f>
        <v>1.0488841300678782</v>
      </c>
      <c r="BH251" s="1052">
        <f t="shared" si="109"/>
        <v>1.3564835304628923E-3</v>
      </c>
      <c r="BI251" s="11">
        <v>44433</v>
      </c>
      <c r="BJ251" s="725">
        <v>6.5067921868446845E-7</v>
      </c>
      <c r="BK251" s="725">
        <v>3.2373288477971244E-5</v>
      </c>
      <c r="BL251" s="725">
        <v>2.3913919741772665E-4</v>
      </c>
      <c r="BM251" s="725">
        <v>8.2522777395197206E-4</v>
      </c>
      <c r="BN251" s="725">
        <v>2.1557287037485087E-3</v>
      </c>
      <c r="BO251" s="726">
        <v>4.5809108103521384E-3</v>
      </c>
      <c r="BP251" s="725">
        <v>8.6963986220294394E-3</v>
      </c>
      <c r="BQ251" s="725">
        <v>1.5149709575467222E-2</v>
      </c>
      <c r="BR251" s="725">
        <v>2.4679261323493844E-2</v>
      </c>
      <c r="BS251" s="725">
        <v>3.7533229630714898E-2</v>
      </c>
      <c r="BT251" s="725">
        <v>5.2676480644415991E-2</v>
      </c>
      <c r="BW251" s="1189">
        <f>'2018'!R\Max</f>
        <v>0</v>
      </c>
      <c r="BX251" s="1187">
        <f>'2019'!R\Max</f>
        <v>0.90230077882118531</v>
      </c>
      <c r="BY251" s="1187">
        <f>'2020'!R\Max</f>
        <v>0.92473688969257917</v>
      </c>
      <c r="BZ251" s="1187">
        <f>'2021'!R\Max</f>
        <v>0.88208584854203964</v>
      </c>
      <c r="CA251" s="1187">
        <f>'2022'!R\Max</f>
        <v>0.69843855076734673</v>
      </c>
      <c r="CB251" s="1187">
        <f>'2023'!R\Max</f>
        <v>0.69838106946305067</v>
      </c>
      <c r="CC251" s="1187">
        <f>'2024'!R\Max</f>
        <v>0.69830867016701981</v>
      </c>
      <c r="CD251" s="1187">
        <f>'2025'!R\Max</f>
        <v>0.69858917594991565</v>
      </c>
      <c r="CE251" s="1187">
        <f>'2026'!R\Max</f>
        <v>0.69856439552790206</v>
      </c>
      <c r="CF251" s="1188">
        <f>'2027'!R\Max</f>
        <v>0.69853054048654117</v>
      </c>
    </row>
    <row r="252" spans="1:84" s="6" customFormat="1" ht="11.25" x14ac:dyDescent="0.2">
      <c r="A252" s="11">
        <v>43338</v>
      </c>
      <c r="B252" s="380">
        <f>'2022'!Maxi_hp</f>
        <v>51.84257425367344</v>
      </c>
      <c r="C252" s="13">
        <f>'2022'!An_max</f>
        <v>2020</v>
      </c>
      <c r="D252" s="1061"/>
      <c r="E252" s="13"/>
      <c r="F252" s="13">
        <f t="shared" si="110"/>
        <v>19</v>
      </c>
      <c r="G252" s="13">
        <f t="shared" si="94"/>
        <v>18</v>
      </c>
      <c r="H252" s="173">
        <f t="shared" si="95"/>
        <v>43346</v>
      </c>
      <c r="I252" s="752">
        <f t="shared" si="96"/>
        <v>0.5714285714285714</v>
      </c>
      <c r="J252" s="745">
        <f t="shared" si="97"/>
        <v>53.663556851127318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4">
        <v>43338</v>
      </c>
      <c r="AP252" s="13">
        <f t="shared" si="98"/>
        <v>11</v>
      </c>
      <c r="AQ252" s="13">
        <f t="shared" si="99"/>
        <v>10</v>
      </c>
      <c r="AR252" s="173">
        <f t="shared" si="100"/>
        <v>43360</v>
      </c>
      <c r="AS252" s="752">
        <f t="shared" si="101"/>
        <v>0.7857142857142857</v>
      </c>
      <c r="AT252" s="768">
        <f t="shared" si="102"/>
        <v>53.584948979850324</v>
      </c>
      <c r="AU252" s="13">
        <f t="shared" si="103"/>
        <v>9</v>
      </c>
      <c r="AV252" s="13">
        <f t="shared" si="104"/>
        <v>10</v>
      </c>
      <c r="AW252" s="173">
        <f t="shared" si="105"/>
        <v>43318</v>
      </c>
      <c r="AX252" s="752">
        <f t="shared" si="106"/>
        <v>0.7142857142857143</v>
      </c>
      <c r="AY252" s="768">
        <f t="shared" si="107"/>
        <v>53.653061225691012</v>
      </c>
      <c r="AZ252" s="745">
        <f t="shared" si="111"/>
        <v>53.619005102770672</v>
      </c>
      <c r="BA252" s="642">
        <f t="shared" si="108"/>
        <v>0.96606668092266745</v>
      </c>
      <c r="BC252" s="11">
        <v>43338</v>
      </c>
      <c r="BD252" s="290">
        <f>[2]!FeuilCaduc*(1-Persistant)+Persistant</f>
        <v>0.99280877947111956</v>
      </c>
      <c r="BE252" s="291">
        <f>[2]!CroissVégét</f>
        <v>0.95973309779026206</v>
      </c>
      <c r="BF252" s="815">
        <f>1+[2]!Salcycl*Ksac</f>
        <v>1.0488014632451865</v>
      </c>
      <c r="BH252" s="1052">
        <f t="shared" si="109"/>
        <v>1.4497108274018128E-3</v>
      </c>
      <c r="BI252" s="11">
        <v>44434</v>
      </c>
      <c r="BJ252" s="725">
        <v>6.3307269410221207E-7</v>
      </c>
      <c r="BK252" s="725">
        <v>3.3601857132884856E-5</v>
      </c>
      <c r="BL252" s="725">
        <v>2.5784770549553527E-4</v>
      </c>
      <c r="BM252" s="725">
        <v>8.8135587427369099E-4</v>
      </c>
      <c r="BN252" s="725">
        <v>2.3047697089920898E-3</v>
      </c>
      <c r="BO252" s="726">
        <v>4.8776285581647906E-3</v>
      </c>
      <c r="BP252" s="725">
        <v>9.2217506242805655E-3</v>
      </c>
      <c r="BQ252" s="725">
        <v>1.5978672033785592E-2</v>
      </c>
      <c r="BR252" s="725">
        <v>2.5937214528209431E-2</v>
      </c>
      <c r="BS252" s="725">
        <v>3.9232760692519582E-2</v>
      </c>
      <c r="BT252" s="725">
        <v>5.4799525226276291E-2</v>
      </c>
      <c r="BW252" s="1189">
        <f>'2018'!R\Max</f>
        <v>0</v>
      </c>
      <c r="BX252" s="1187">
        <f>'2019'!R\Max</f>
        <v>0.79357398043102101</v>
      </c>
      <c r="BY252" s="1187">
        <f>'2020'!R\Max</f>
        <v>0.96606668092266745</v>
      </c>
      <c r="BZ252" s="1187">
        <f>'2021'!R\Max</f>
        <v>0.94604051850300996</v>
      </c>
      <c r="CA252" s="1187">
        <f>'2022'!R\Max</f>
        <v>0.88097968420235662</v>
      </c>
      <c r="CB252" s="1187">
        <f>'2023'!R\Max</f>
        <v>0.88094933145224308</v>
      </c>
      <c r="CC252" s="1187">
        <f>'2024'!R\Max</f>
        <v>0.88091124381655384</v>
      </c>
      <c r="CD252" s="1187">
        <f>'2025'!R\Max</f>
        <v>0.88105954194088287</v>
      </c>
      <c r="CE252" s="1187">
        <f>'2026'!R\Max</f>
        <v>0.88104633277150046</v>
      </c>
      <c r="CF252" s="1188">
        <f>'2027'!R\Max</f>
        <v>0.8810283704996259</v>
      </c>
    </row>
    <row r="253" spans="1:84" s="6" customFormat="1" ht="11.25" x14ac:dyDescent="0.2">
      <c r="A253" s="11">
        <v>43339</v>
      </c>
      <c r="B253" s="380">
        <f>'2022'!Maxi_hp</f>
        <v>52.392884111456645</v>
      </c>
      <c r="C253" s="13">
        <f>'2022'!An_max</f>
        <v>2022</v>
      </c>
      <c r="D253" s="1061"/>
      <c r="E253" s="13"/>
      <c r="F253" s="13">
        <f t="shared" si="110"/>
        <v>19</v>
      </c>
      <c r="G253" s="13">
        <f t="shared" si="94"/>
        <v>18</v>
      </c>
      <c r="H253" s="173">
        <f t="shared" si="95"/>
        <v>43346</v>
      </c>
      <c r="I253" s="752">
        <f t="shared" si="96"/>
        <v>0.5</v>
      </c>
      <c r="J253" s="745">
        <f t="shared" si="97"/>
        <v>53.37499999962747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4">
        <v>43339</v>
      </c>
      <c r="AP253" s="13">
        <f t="shared" si="98"/>
        <v>11</v>
      </c>
      <c r="AQ253" s="13">
        <f t="shared" si="99"/>
        <v>10</v>
      </c>
      <c r="AR253" s="173">
        <f t="shared" si="100"/>
        <v>43360</v>
      </c>
      <c r="AS253" s="752">
        <f t="shared" si="101"/>
        <v>0.75</v>
      </c>
      <c r="AT253" s="768">
        <f t="shared" si="102"/>
        <v>53.279687500465663</v>
      </c>
      <c r="AU253" s="13">
        <f t="shared" si="103"/>
        <v>9</v>
      </c>
      <c r="AV253" s="13">
        <f t="shared" si="104"/>
        <v>10</v>
      </c>
      <c r="AW253" s="173">
        <f t="shared" si="105"/>
        <v>43318</v>
      </c>
      <c r="AX253" s="752">
        <f t="shared" si="106"/>
        <v>0.75</v>
      </c>
      <c r="AY253" s="768">
        <f t="shared" si="107"/>
        <v>53.364843750745059</v>
      </c>
      <c r="AZ253" s="745">
        <f t="shared" si="111"/>
        <v>53.322265625605361</v>
      </c>
      <c r="BA253" s="642">
        <f t="shared" si="108"/>
        <v>0.98159970232922378</v>
      </c>
      <c r="BC253" s="11">
        <v>43339</v>
      </c>
      <c r="BD253" s="290">
        <f>[2]!FeuilCaduc*(1-Persistant)+Persistant</f>
        <v>0.99228850934424251</v>
      </c>
      <c r="BE253" s="291">
        <f>[2]!CroissVégét</f>
        <v>0.9613040114607565</v>
      </c>
      <c r="BF253" s="815">
        <f>1+[2]!Salcycl*Ksac</f>
        <v>1.0487147515573738</v>
      </c>
      <c r="BH253" s="1052">
        <f t="shared" si="109"/>
        <v>1.5487548298650719E-3</v>
      </c>
      <c r="BI253" s="11">
        <v>44435</v>
      </c>
      <c r="BJ253" s="725">
        <v>6.263409439268998E-7</v>
      </c>
      <c r="BK253" s="725">
        <v>3.4826316399903464E-5</v>
      </c>
      <c r="BL253" s="725">
        <v>2.7744268269376603E-4</v>
      </c>
      <c r="BM253" s="725">
        <v>9.4086199341385105E-4</v>
      </c>
      <c r="BN253" s="725">
        <v>2.4632962902709768E-3</v>
      </c>
      <c r="BO253" s="726">
        <v>5.1935868721303662E-3</v>
      </c>
      <c r="BP253" s="725">
        <v>9.7776023087551619E-3</v>
      </c>
      <c r="BQ253" s="725">
        <v>1.6846075876619345E-2</v>
      </c>
      <c r="BR253" s="725">
        <v>2.7242666094162874E-2</v>
      </c>
      <c r="BS253" s="725">
        <v>4.0980099889519624E-2</v>
      </c>
      <c r="BT253" s="725">
        <v>5.6964709831984185E-2</v>
      </c>
      <c r="BW253" s="1189">
        <f>'2018'!R\Max</f>
        <v>0</v>
      </c>
      <c r="BX253" s="1187">
        <f>'2019'!R\Max</f>
        <v>0.60516144900527913</v>
      </c>
      <c r="BY253" s="1187">
        <f>'2020'!R\Max</f>
        <v>0.56168571882205165</v>
      </c>
      <c r="BZ253" s="1187">
        <f>'2021'!R\Max</f>
        <v>0.85167198014928391</v>
      </c>
      <c r="CA253" s="1187">
        <f>'2022'!R\Max</f>
        <v>0.98159970232922378</v>
      </c>
      <c r="CB253" s="1187">
        <f>'2023'!R\Max</f>
        <v>0.98159415791189042</v>
      </c>
      <c r="CC253" s="1187">
        <f>'2024'!R\Max</f>
        <v>0.98158722936101084</v>
      </c>
      <c r="CD253" s="1187">
        <f>'2025'!R\Max</f>
        <v>0.98161435422307097</v>
      </c>
      <c r="CE253" s="1187">
        <f>'2026'!R\Max</f>
        <v>0.98161191748360854</v>
      </c>
      <c r="CF253" s="1188">
        <f>'2027'!R\Max</f>
        <v>0.98160861849103054</v>
      </c>
    </row>
    <row r="254" spans="1:84" s="6" customFormat="1" ht="11.25" x14ac:dyDescent="0.2">
      <c r="A254" s="11">
        <v>43340</v>
      </c>
      <c r="B254" s="380">
        <f>'2022'!Maxi_hp</f>
        <v>52.208096554658312</v>
      </c>
      <c r="C254" s="13">
        <f>'2022'!An_max</f>
        <v>2021</v>
      </c>
      <c r="D254" s="1061"/>
      <c r="E254" s="13"/>
      <c r="F254" s="13">
        <f t="shared" si="110"/>
        <v>19</v>
      </c>
      <c r="G254" s="13">
        <f t="shared" si="94"/>
        <v>18</v>
      </c>
      <c r="H254" s="173">
        <f t="shared" si="95"/>
        <v>43346</v>
      </c>
      <c r="I254" s="752">
        <f t="shared" si="96"/>
        <v>0.42857142857142855</v>
      </c>
      <c r="J254" s="745">
        <f t="shared" si="97"/>
        <v>53.081341107508969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4">
        <v>43340</v>
      </c>
      <c r="AP254" s="13">
        <f t="shared" si="98"/>
        <v>11</v>
      </c>
      <c r="AQ254" s="13">
        <f t="shared" si="99"/>
        <v>10</v>
      </c>
      <c r="AR254" s="173">
        <f t="shared" si="100"/>
        <v>43360</v>
      </c>
      <c r="AS254" s="752">
        <f t="shared" si="101"/>
        <v>0.7142857142857143</v>
      </c>
      <c r="AT254" s="768">
        <f t="shared" si="102"/>
        <v>52.969387754797935</v>
      </c>
      <c r="AU254" s="13">
        <f t="shared" si="103"/>
        <v>9</v>
      </c>
      <c r="AV254" s="13">
        <f t="shared" si="104"/>
        <v>10</v>
      </c>
      <c r="AW254" s="173">
        <f t="shared" si="105"/>
        <v>43318</v>
      </c>
      <c r="AX254" s="752">
        <f t="shared" si="106"/>
        <v>0.7857142857142857</v>
      </c>
      <c r="AY254" s="768">
        <f t="shared" si="107"/>
        <v>53.071556122494599</v>
      </c>
      <c r="AZ254" s="745">
        <f t="shared" si="111"/>
        <v>53.020471938646267</v>
      </c>
      <c r="BA254" s="642">
        <f t="shared" si="108"/>
        <v>0.98354893575348779</v>
      </c>
      <c r="BC254" s="11">
        <v>43340</v>
      </c>
      <c r="BD254" s="290">
        <f>[2]!FeuilCaduc*(1-Persistant)+Persistant</f>
        <v>0.99174301768891882</v>
      </c>
      <c r="BE254" s="291">
        <f>[2]!CroissVégét</f>
        <v>0.96281651236587618</v>
      </c>
      <c r="BF254" s="815">
        <f>1+[2]!Salcycl*Ksac</f>
        <v>1.0486238362814864</v>
      </c>
      <c r="BH254" s="1052">
        <f t="shared" si="109"/>
        <v>1.6613960700236077E-3</v>
      </c>
      <c r="BI254" s="11">
        <v>44436</v>
      </c>
      <c r="BJ254" s="725">
        <v>8.5992070234573094E-7</v>
      </c>
      <c r="BK254" s="725">
        <v>3.8176131515455517E-5</v>
      </c>
      <c r="BL254" s="725">
        <v>3.0204749170963997E-4</v>
      </c>
      <c r="BM254" s="725">
        <v>1.0105667794884688E-3</v>
      </c>
      <c r="BN254" s="725">
        <v>2.6405330727158676E-3</v>
      </c>
      <c r="BO254" s="726">
        <v>5.5423668023752972E-3</v>
      </c>
      <c r="BP254" s="725">
        <v>1.0377732447640444E-2</v>
      </c>
      <c r="BQ254" s="725">
        <v>1.7759616677886822E-2</v>
      </c>
      <c r="BR254" s="725">
        <v>2.8585189802813247E-2</v>
      </c>
      <c r="BS254" s="725">
        <v>4.2749706961370398E-2</v>
      </c>
      <c r="BT254" s="725">
        <v>5.913694639593934E-2</v>
      </c>
      <c r="BW254" s="1189">
        <f>'2018'!R\Max</f>
        <v>0</v>
      </c>
      <c r="BX254" s="1187">
        <f>'2019'!R\Max</f>
        <v>0.77299103646746337</v>
      </c>
      <c r="BY254" s="1187">
        <f>'2020'!R\Max</f>
        <v>0.93421155823420921</v>
      </c>
      <c r="BZ254" s="1187">
        <f>'2021'!R\Max</f>
        <v>0.98354893575348779</v>
      </c>
      <c r="CA254" s="1187">
        <f>'2022'!R\Max</f>
        <v>0.93863735509442903</v>
      </c>
      <c r="CB254" s="1187">
        <f>'2023'!R\Max</f>
        <v>0.93861861166820071</v>
      </c>
      <c r="CC254" s="1187">
        <f>'2024'!R\Max</f>
        <v>0.93859530638865774</v>
      </c>
      <c r="CD254" s="1187">
        <f>'2025'!R\Max</f>
        <v>0.93868717254008527</v>
      </c>
      <c r="CE254" s="1187">
        <f>'2026'!R\Max</f>
        <v>0.93867883782978356</v>
      </c>
      <c r="CF254" s="1188">
        <f>'2027'!R\Max</f>
        <v>0.93866760067601396</v>
      </c>
    </row>
    <row r="255" spans="1:84" s="6" customFormat="1" ht="11.25" x14ac:dyDescent="0.2">
      <c r="A255" s="11">
        <v>43341</v>
      </c>
      <c r="B255" s="380">
        <f>'2022'!Maxi_hp</f>
        <v>51.532555468070449</v>
      </c>
      <c r="C255" s="13">
        <f>'2022'!An_max</f>
        <v>2021</v>
      </c>
      <c r="D255" s="1061"/>
      <c r="E255" s="13"/>
      <c r="F255" s="13">
        <f t="shared" si="110"/>
        <v>19</v>
      </c>
      <c r="G255" s="13">
        <f t="shared" si="94"/>
        <v>18</v>
      </c>
      <c r="H255" s="173">
        <f t="shared" si="95"/>
        <v>43346</v>
      </c>
      <c r="I255" s="752">
        <f t="shared" si="96"/>
        <v>0.35714285714285715</v>
      </c>
      <c r="J255" s="745">
        <f t="shared" si="97"/>
        <v>52.782361515026004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4">
        <v>43341</v>
      </c>
      <c r="AP255" s="13">
        <f t="shared" si="98"/>
        <v>11</v>
      </c>
      <c r="AQ255" s="13">
        <f t="shared" si="99"/>
        <v>10</v>
      </c>
      <c r="AR255" s="173">
        <f t="shared" si="100"/>
        <v>43360</v>
      </c>
      <c r="AS255" s="752">
        <f t="shared" si="101"/>
        <v>0.6785714285714286</v>
      </c>
      <c r="AT255" s="768">
        <f t="shared" si="102"/>
        <v>52.654241071388654</v>
      </c>
      <c r="AU255" s="13">
        <f t="shared" si="103"/>
        <v>9</v>
      </c>
      <c r="AV255" s="13">
        <f t="shared" si="104"/>
        <v>10</v>
      </c>
      <c r="AW255" s="173">
        <f t="shared" si="105"/>
        <v>43318</v>
      </c>
      <c r="AX255" s="752">
        <f t="shared" si="106"/>
        <v>0.8214285714285714</v>
      </c>
      <c r="AY255" s="768">
        <f t="shared" si="107"/>
        <v>52.773102679422927</v>
      </c>
      <c r="AZ255" s="745">
        <f t="shared" si="111"/>
        <v>52.713671875405794</v>
      </c>
      <c r="BA255" s="642">
        <f t="shared" si="108"/>
        <v>0.97632152084366741</v>
      </c>
      <c r="BC255" s="11">
        <v>43341</v>
      </c>
      <c r="BD255" s="290">
        <f>[2]!FeuilCaduc*(1-Persistant)+Persistant</f>
        <v>0.99117131984922979</v>
      </c>
      <c r="BE255" s="291">
        <f>[2]!CroissVégét</f>
        <v>0.96427259177046543</v>
      </c>
      <c r="BF255" s="815">
        <f>1+[2]!Salcycl*Ksac</f>
        <v>1.0485285533082049</v>
      </c>
      <c r="BH255" s="1052">
        <f t="shared" si="109"/>
        <v>1.7849969063736685E-3</v>
      </c>
      <c r="BI255" s="11">
        <v>44437</v>
      </c>
      <c r="BJ255" s="725">
        <v>1.3148127350418032E-6</v>
      </c>
      <c r="BK255" s="725">
        <v>4.362675258584719E-5</v>
      </c>
      <c r="BL255" s="725">
        <v>3.3110023990260632E-4</v>
      </c>
      <c r="BM255" s="725">
        <v>1.0887668738215786E-3</v>
      </c>
      <c r="BN255" s="725">
        <v>2.83243683750655E-3</v>
      </c>
      <c r="BO255" s="726">
        <v>5.916611459558868E-3</v>
      </c>
      <c r="BP255" s="725">
        <v>1.1010356208112771E-2</v>
      </c>
      <c r="BQ255" s="725">
        <v>1.8702361037240971E-2</v>
      </c>
      <c r="BR255" s="725">
        <v>2.9941725263789756E-2</v>
      </c>
      <c r="BS255" s="725">
        <v>4.4515198824486735E-2</v>
      </c>
      <c r="BT255" s="725">
        <v>6.1289468313227735E-2</v>
      </c>
      <c r="BW255" s="1189">
        <f>'2018'!R\Max</f>
        <v>0</v>
      </c>
      <c r="BX255" s="1187">
        <f>'2019'!R\Max</f>
        <v>0.93991823448716816</v>
      </c>
      <c r="BY255" s="1187">
        <f>'2020'!R\Max</f>
        <v>0.19567545697171376</v>
      </c>
      <c r="BZ255" s="1187">
        <f>'2021'!R\Max</f>
        <v>0.97632152084366741</v>
      </c>
      <c r="CA255" s="1187">
        <f>'2022'!R\Max</f>
        <v>0.66393185278939282</v>
      </c>
      <c r="CB255" s="1187">
        <f>'2023'!R\Max</f>
        <v>0.66385497801156423</v>
      </c>
      <c r="CC255" s="1187">
        <f>'2024'!R\Max</f>
        <v>0.66375994072116684</v>
      </c>
      <c r="CD255" s="1187">
        <f>'2025'!R\Max</f>
        <v>0.66413757530583006</v>
      </c>
      <c r="CE255" s="1187">
        <f>'2026'!R\Max</f>
        <v>0.66410293982749546</v>
      </c>
      <c r="CF255" s="1188">
        <f>'2027'!R\Max</f>
        <v>0.66405642176801127</v>
      </c>
    </row>
    <row r="256" spans="1:84" s="6" customFormat="1" ht="11.25" x14ac:dyDescent="0.2">
      <c r="A256" s="11">
        <v>43342</v>
      </c>
      <c r="B256" s="380">
        <f>'2022'!Maxi_hp</f>
        <v>50.059646058487751</v>
      </c>
      <c r="C256" s="13">
        <f>'2022'!An_max</f>
        <v>2021</v>
      </c>
      <c r="D256" s="1061"/>
      <c r="E256" s="13"/>
      <c r="F256" s="13">
        <f t="shared" si="110"/>
        <v>19</v>
      </c>
      <c r="G256" s="13">
        <f t="shared" si="94"/>
        <v>18</v>
      </c>
      <c r="H256" s="173">
        <f t="shared" si="95"/>
        <v>43346</v>
      </c>
      <c r="I256" s="752">
        <f t="shared" si="96"/>
        <v>0.2857142857142857</v>
      </c>
      <c r="J256" s="745">
        <f t="shared" si="97"/>
        <v>52.477842565200163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4">
        <v>43342</v>
      </c>
      <c r="AP256" s="13">
        <f t="shared" si="98"/>
        <v>11</v>
      </c>
      <c r="AQ256" s="13">
        <f t="shared" si="99"/>
        <v>10</v>
      </c>
      <c r="AR256" s="173">
        <f t="shared" si="100"/>
        <v>43360</v>
      </c>
      <c r="AS256" s="752">
        <f t="shared" si="101"/>
        <v>0.6428571428571429</v>
      </c>
      <c r="AT256" s="768">
        <f t="shared" si="102"/>
        <v>52.334438775506406</v>
      </c>
      <c r="AU256" s="13">
        <f t="shared" si="103"/>
        <v>9</v>
      </c>
      <c r="AV256" s="13">
        <f t="shared" si="104"/>
        <v>10</v>
      </c>
      <c r="AW256" s="173">
        <f t="shared" si="105"/>
        <v>43318</v>
      </c>
      <c r="AX256" s="752">
        <f t="shared" si="106"/>
        <v>0.8571428571428571</v>
      </c>
      <c r="AY256" s="768">
        <f t="shared" si="107"/>
        <v>52.469387754904368</v>
      </c>
      <c r="AZ256" s="745">
        <f t="shared" si="111"/>
        <v>52.401913265205387</v>
      </c>
      <c r="BA256" s="642">
        <f t="shared" si="108"/>
        <v>0.95391966611988732</v>
      </c>
      <c r="BC256" s="11">
        <v>43342</v>
      </c>
      <c r="BD256" s="290">
        <f>[2]!FeuilCaduc*(1-Persistant)+Persistant</f>
        <v>0.99057239714460921</v>
      </c>
      <c r="BE256" s="291">
        <f>[2]!CroissVégét</f>
        <v>0.96567418689281481</v>
      </c>
      <c r="BF256" s="815">
        <f>1+[2]!Salcycl*Ksac</f>
        <v>1.0484287328574349</v>
      </c>
      <c r="BH256" s="1052">
        <f t="shared" si="109"/>
        <v>1.9195633219748433E-3</v>
      </c>
      <c r="BI256" s="11">
        <v>44438</v>
      </c>
      <c r="BJ256" s="725">
        <v>1.9910866960822921E-6</v>
      </c>
      <c r="BK256" s="725">
        <v>5.1178871241599695E-5</v>
      </c>
      <c r="BL256" s="725">
        <v>3.6460282040632068E-4</v>
      </c>
      <c r="BM256" s="725">
        <v>1.175466473573499E-3</v>
      </c>
      <c r="BN256" s="725">
        <v>3.0390162544901987E-3</v>
      </c>
      <c r="BO256" s="726">
        <v>6.3163369773672961E-3</v>
      </c>
      <c r="BP256" s="725">
        <v>1.1675498206430256E-2</v>
      </c>
      <c r="BQ256" s="725">
        <v>1.9674340879223071E-2</v>
      </c>
      <c r="BR256" s="725">
        <v>3.1312311424150488E-2</v>
      </c>
      <c r="BS256" s="725">
        <v>4.6276621129395769E-2</v>
      </c>
      <c r="BT256" s="725">
        <v>6.3422328510173931E-2</v>
      </c>
      <c r="BW256" s="1189">
        <f>'2018'!R\Max</f>
        <v>0</v>
      </c>
      <c r="BX256" s="1187">
        <f>'2019'!R\Max</f>
        <v>0.92636189624048537</v>
      </c>
      <c r="BY256" s="1187">
        <f>'2020'!R\Max</f>
        <v>0.45667345974841411</v>
      </c>
      <c r="BZ256" s="1187">
        <f>'2021'!R\Max</f>
        <v>0.95391966611988732</v>
      </c>
      <c r="CA256" s="1187">
        <f>'2022'!R\Max</f>
        <v>0.94659776861299061</v>
      </c>
      <c r="CB256" s="1187">
        <f>'2023'!R\Max</f>
        <v>0.94657934700085866</v>
      </c>
      <c r="CC256" s="1187">
        <f>'2024'!R\Max</f>
        <v>0.94655670424266081</v>
      </c>
      <c r="CD256" s="1187">
        <f>'2025'!R\Max</f>
        <v>0.94664739992370095</v>
      </c>
      <c r="CE256" s="1187">
        <f>'2026'!R\Max</f>
        <v>0.94663899436787824</v>
      </c>
      <c r="CF256" s="1188">
        <f>'2027'!R\Max</f>
        <v>0.94662774179992815</v>
      </c>
    </row>
    <row r="257" spans="1:84" s="6" customFormat="1" ht="11.25" x14ac:dyDescent="0.2">
      <c r="A257" s="11">
        <v>43343</v>
      </c>
      <c r="B257" s="380">
        <f>'2022'!Maxi_hp</f>
        <v>49.645877215409939</v>
      </c>
      <c r="C257" s="13">
        <f>'2022'!An_max</f>
        <v>2021</v>
      </c>
      <c r="D257" s="1061"/>
      <c r="E257" s="13"/>
      <c r="F257" s="13">
        <f t="shared" si="110"/>
        <v>19</v>
      </c>
      <c r="G257" s="13">
        <f t="shared" si="94"/>
        <v>18</v>
      </c>
      <c r="H257" s="173">
        <f t="shared" si="95"/>
        <v>43346</v>
      </c>
      <c r="I257" s="752">
        <f t="shared" si="96"/>
        <v>0.21428571428571427</v>
      </c>
      <c r="J257" s="745">
        <f t="shared" si="97"/>
        <v>52.167565598125975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4">
        <v>43343</v>
      </c>
      <c r="AP257" s="13">
        <f t="shared" si="98"/>
        <v>11</v>
      </c>
      <c r="AQ257" s="13">
        <f t="shared" si="99"/>
        <v>10</v>
      </c>
      <c r="AR257" s="173">
        <f t="shared" si="100"/>
        <v>43360</v>
      </c>
      <c r="AS257" s="752">
        <f t="shared" si="101"/>
        <v>0.6071428571428571</v>
      </c>
      <c r="AT257" s="768">
        <f t="shared" si="102"/>
        <v>52.010172194069511</v>
      </c>
      <c r="AU257" s="13">
        <f t="shared" si="103"/>
        <v>9</v>
      </c>
      <c r="AV257" s="13">
        <f t="shared" si="104"/>
        <v>10</v>
      </c>
      <c r="AW257" s="173">
        <f t="shared" si="105"/>
        <v>43318</v>
      </c>
      <c r="AX257" s="752">
        <f t="shared" si="106"/>
        <v>0.8928571428571429</v>
      </c>
      <c r="AY257" s="768">
        <f t="shared" si="107"/>
        <v>52.160315689550977</v>
      </c>
      <c r="AZ257" s="745">
        <f t="shared" si="111"/>
        <v>52.085243941810248</v>
      </c>
      <c r="BA257" s="642">
        <f t="shared" si="108"/>
        <v>0.95166175853130819</v>
      </c>
      <c r="BC257" s="11">
        <v>43343</v>
      </c>
      <c r="BD257" s="290">
        <f>[2]!FeuilCaduc*(1-Persistant)+Persistant</f>
        <v>0.9899451947474921</v>
      </c>
      <c r="BE257" s="291">
        <f>[2]!CroissVégét</f>
        <v>0.9670231812722152</v>
      </c>
      <c r="BF257" s="815">
        <f>1+[2]!Salcycl*Ksac</f>
        <v>1.048324199124582</v>
      </c>
      <c r="BH257" s="1052">
        <f t="shared" si="109"/>
        <v>2.0651018832304395E-3</v>
      </c>
      <c r="BI257" s="11">
        <v>44439</v>
      </c>
      <c r="BJ257" s="725">
        <v>2.8888226076688656E-6</v>
      </c>
      <c r="BK257" s="725">
        <v>6.0833278311216194E-5</v>
      </c>
      <c r="BL257" s="725">
        <v>4.0255734851734053E-4</v>
      </c>
      <c r="BM257" s="725">
        <v>1.2706702159018778E-3</v>
      </c>
      <c r="BN257" s="725">
        <v>3.2602807925144941E-3</v>
      </c>
      <c r="BO257" s="726">
        <v>6.7415609049848689E-3</v>
      </c>
      <c r="BP257" s="725">
        <v>1.2373184971983895E-2</v>
      </c>
      <c r="BQ257" s="725">
        <v>2.0675590105597306E-2</v>
      </c>
      <c r="BR257" s="725">
        <v>3.269698880272736E-2</v>
      </c>
      <c r="BS257" s="725">
        <v>4.8034020554928378E-2</v>
      </c>
      <c r="BT257" s="725">
        <v>6.5535580496522236E-2</v>
      </c>
      <c r="BW257" s="1189">
        <f>'2018'!R\Max</f>
        <v>0</v>
      </c>
      <c r="BX257" s="1187">
        <f>'2019'!R\Max</f>
        <v>0.8843298718474113</v>
      </c>
      <c r="BY257" s="1187">
        <f>'2020'!R\Max</f>
        <v>0.68284613854859555</v>
      </c>
      <c r="BZ257" s="1187">
        <f>'2021'!R\Max</f>
        <v>0.95166175853130819</v>
      </c>
      <c r="CA257" s="1187">
        <f>'2022'!R\Max</f>
        <v>0.50507789626698851</v>
      </c>
      <c r="CB257" s="1187">
        <f>'2023'!R\Max</f>
        <v>0.50498167310274755</v>
      </c>
      <c r="CC257" s="1187">
        <f>'2024'!R\Max</f>
        <v>0.50486419843116936</v>
      </c>
      <c r="CD257" s="1187">
        <f>'2025'!R\Max</f>
        <v>0.50533928126696459</v>
      </c>
      <c r="CE257" s="1187">
        <f>'2026'!R\Max</f>
        <v>0.50529472334126757</v>
      </c>
      <c r="CF257" s="1188">
        <f>'2027'!R\Max</f>
        <v>0.50523526440570465</v>
      </c>
    </row>
    <row r="258" spans="1:84" s="6" customFormat="1" ht="11.25" x14ac:dyDescent="0.2">
      <c r="A258" s="11">
        <v>43344</v>
      </c>
      <c r="B258" s="380">
        <f>'2022'!Maxi_hp</f>
        <v>49.265411804235086</v>
      </c>
      <c r="C258" s="13">
        <f>'2022'!An_max</f>
        <v>2020</v>
      </c>
      <c r="D258" s="1061"/>
      <c r="E258" s="13"/>
      <c r="F258" s="13">
        <f t="shared" si="110"/>
        <v>19</v>
      </c>
      <c r="G258" s="13">
        <f t="shared" si="94"/>
        <v>18</v>
      </c>
      <c r="H258" s="173">
        <f t="shared" si="95"/>
        <v>43346</v>
      </c>
      <c r="I258" s="752">
        <f t="shared" si="96"/>
        <v>0.14285714285714285</v>
      </c>
      <c r="J258" s="745">
        <f t="shared" si="97"/>
        <v>51.851311952194997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4">
        <v>43344</v>
      </c>
      <c r="AP258" s="13">
        <f t="shared" si="98"/>
        <v>11</v>
      </c>
      <c r="AQ258" s="13">
        <f t="shared" si="99"/>
        <v>10</v>
      </c>
      <c r="AR258" s="173">
        <f t="shared" si="100"/>
        <v>43360</v>
      </c>
      <c r="AS258" s="752">
        <f t="shared" si="101"/>
        <v>0.5714285714285714</v>
      </c>
      <c r="AT258" s="768">
        <f t="shared" si="102"/>
        <v>51.68163265346417</v>
      </c>
      <c r="AU258" s="13">
        <f t="shared" si="103"/>
        <v>9</v>
      </c>
      <c r="AV258" s="13">
        <f t="shared" si="104"/>
        <v>10</v>
      </c>
      <c r="AW258" s="173">
        <f t="shared" si="105"/>
        <v>43318</v>
      </c>
      <c r="AX258" s="752">
        <f t="shared" si="106"/>
        <v>0.9285714285714286</v>
      </c>
      <c r="AY258" s="768">
        <f t="shared" si="107"/>
        <v>51.845790817535352</v>
      </c>
      <c r="AZ258" s="745">
        <f t="shared" si="111"/>
        <v>51.763711735499761</v>
      </c>
      <c r="BA258" s="642">
        <f t="shared" si="108"/>
        <v>0.95012854929603296</v>
      </c>
      <c r="BC258" s="11">
        <v>43344</v>
      </c>
      <c r="BD258" s="290">
        <f>[2]!FeuilCaduc*(1-Persistant)+Persistant</f>
        <v>0.9892886192202891</v>
      </c>
      <c r="BE258" s="291">
        <f>[2]!CroissVégét</f>
        <v>0.96832140523745813</v>
      </c>
      <c r="BF258" s="815">
        <f>1+[2]!Salcycl*Ksac</f>
        <v>1.0482147698700481</v>
      </c>
      <c r="BH258" s="1052">
        <f t="shared" si="109"/>
        <v>2.2216197591870984E-3</v>
      </c>
      <c r="BI258" s="11">
        <v>44440</v>
      </c>
      <c r="BJ258" s="725">
        <v>4.0081112505938562E-6</v>
      </c>
      <c r="BK258" s="725">
        <v>7.2590867527139543E-5</v>
      </c>
      <c r="BL258" s="725">
        <v>4.4496616953552059E-4</v>
      </c>
      <c r="BM258" s="725">
        <v>1.3743831929280328E-3</v>
      </c>
      <c r="BN258" s="725">
        <v>3.4962407452464148E-3</v>
      </c>
      <c r="BO258" s="726">
        <v>7.192302251904671E-3</v>
      </c>
      <c r="BP258" s="725">
        <v>1.3103445004418868E-2</v>
      </c>
      <c r="BQ258" s="725">
        <v>2.1706144646546171E-2</v>
      </c>
      <c r="BR258" s="725">
        <v>3.4095799514346915E-2</v>
      </c>
      <c r="BS258" s="725">
        <v>4.9787444800274874E-2</v>
      </c>
      <c r="BT258" s="725">
        <v>6.7629278329787365E-2</v>
      </c>
      <c r="BW258" s="1189">
        <f>'2018'!R\Max</f>
        <v>0</v>
      </c>
      <c r="BX258" s="1187">
        <f>'2019'!R\Max</f>
        <v>0.35242839898745043</v>
      </c>
      <c r="BY258" s="1187">
        <f>'2020'!R\Max</f>
        <v>0.95012854929603296</v>
      </c>
      <c r="BZ258" s="1187">
        <f>'2021'!R\Max</f>
        <v>0.64556527472226122</v>
      </c>
      <c r="CA258" s="1187">
        <f>'2022'!R\Max</f>
        <v>0.83637810858738015</v>
      </c>
      <c r="CB258" s="1187">
        <f>'2023'!R\Max</f>
        <v>0.83632250631587779</v>
      </c>
      <c r="CC258" s="1187">
        <f>'2024'!R\Max</f>
        <v>0.83625505964258928</v>
      </c>
      <c r="CD258" s="1187">
        <f>'2025'!R\Max</f>
        <v>0.8365302874343562</v>
      </c>
      <c r="CE258" s="1187">
        <f>'2026'!R\Max</f>
        <v>0.8365041943252346</v>
      </c>
      <c r="CF258" s="1188">
        <f>'2027'!R\Max</f>
        <v>0.83646946509145359</v>
      </c>
    </row>
    <row r="259" spans="1:84" s="6" customFormat="1" ht="11.25" x14ac:dyDescent="0.2">
      <c r="A259" s="11">
        <v>43345</v>
      </c>
      <c r="B259" s="380">
        <f>'2022'!Maxi_hp</f>
        <v>50.515118630968004</v>
      </c>
      <c r="C259" s="13">
        <f>'2022'!An_max</f>
        <v>2019</v>
      </c>
      <c r="D259" s="1061"/>
      <c r="E259" s="13"/>
      <c r="F259" s="13">
        <f t="shared" si="110"/>
        <v>19</v>
      </c>
      <c r="G259" s="13">
        <f t="shared" si="94"/>
        <v>18</v>
      </c>
      <c r="H259" s="173">
        <f t="shared" si="95"/>
        <v>43346</v>
      </c>
      <c r="I259" s="752">
        <f t="shared" si="96"/>
        <v>7.1428571428571425E-2</v>
      </c>
      <c r="J259" s="745">
        <f t="shared" si="97"/>
        <v>51.52886297394123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4">
        <v>43345</v>
      </c>
      <c r="AP259" s="13">
        <f t="shared" si="98"/>
        <v>11</v>
      </c>
      <c r="AQ259" s="13">
        <f t="shared" si="99"/>
        <v>10</v>
      </c>
      <c r="AR259" s="173">
        <f t="shared" si="100"/>
        <v>43360</v>
      </c>
      <c r="AS259" s="752">
        <f t="shared" si="101"/>
        <v>0.5357142857142857</v>
      </c>
      <c r="AT259" s="768">
        <f t="shared" si="102"/>
        <v>51.349011479491104</v>
      </c>
      <c r="AU259" s="13">
        <f t="shared" si="103"/>
        <v>9</v>
      </c>
      <c r="AV259" s="13">
        <f t="shared" si="104"/>
        <v>10</v>
      </c>
      <c r="AW259" s="173">
        <f t="shared" si="105"/>
        <v>43318</v>
      </c>
      <c r="AX259" s="752">
        <f t="shared" si="106"/>
        <v>0.9642857142857143</v>
      </c>
      <c r="AY259" s="768">
        <f t="shared" si="107"/>
        <v>51.525717474679858</v>
      </c>
      <c r="AZ259" s="745">
        <f t="shared" si="111"/>
        <v>51.437364477085481</v>
      </c>
      <c r="BA259" s="642">
        <f t="shared" si="108"/>
        <v>0.98032666966694204</v>
      </c>
      <c r="BC259" s="11">
        <v>43345</v>
      </c>
      <c r="BD259" s="290">
        <f>[2]!FeuilCaduc*(1-Persistant)+Persistant</f>
        <v>0.98860153579396659</v>
      </c>
      <c r="BE259" s="291">
        <f>[2]!CroissVégét</f>
        <v>0.96957063646587138</v>
      </c>
      <c r="BF259" s="815">
        <f>1+[2]!Salcycl*Ksac</f>
        <v>1.0481002559656611</v>
      </c>
      <c r="BH259" s="1052">
        <f t="shared" si="109"/>
        <v>2.3891247408285659E-3</v>
      </c>
      <c r="BI259" s="11">
        <v>44441</v>
      </c>
      <c r="BJ259" s="725">
        <v>5.3490545547157956E-6</v>
      </c>
      <c r="BK259" s="725">
        <v>8.6452639231747523E-5</v>
      </c>
      <c r="BL259" s="725">
        <v>4.91831866603656E-4</v>
      </c>
      <c r="BM259" s="725">
        <v>1.4866109666999139E-3</v>
      </c>
      <c r="BN259" s="725">
        <v>3.7469072569814663E-3</v>
      </c>
      <c r="BO259" s="726">
        <v>7.6685815327181368E-3</v>
      </c>
      <c r="BP259" s="725">
        <v>1.3866308830713527E-2</v>
      </c>
      <c r="BQ259" s="725">
        <v>2.2766042511788185E-2</v>
      </c>
      <c r="BR259" s="725">
        <v>3.5508787293919895E-2</v>
      </c>
      <c r="BS259" s="725">
        <v>5.1536942576836081E-2</v>
      </c>
      <c r="BT259" s="725">
        <v>6.9703476579313126E-2</v>
      </c>
      <c r="BW259" s="1189">
        <f>'2018'!R\Max</f>
        <v>0</v>
      </c>
      <c r="BX259" s="1187">
        <f>'2019'!R\Max</f>
        <v>0.98032666966694204</v>
      </c>
      <c r="BY259" s="1187">
        <f>'2020'!R\Max</f>
        <v>0.9496501235144007</v>
      </c>
      <c r="BZ259" s="1187">
        <f>'2021'!R\Max</f>
        <v>0.3967371682082444</v>
      </c>
      <c r="CA259" s="1187">
        <f>'2022'!R\Max</f>
        <v>0.82377750526258864</v>
      </c>
      <c r="CB259" s="1187">
        <f>'2023'!R\Max</f>
        <v>0.82371531750060456</v>
      </c>
      <c r="CC259" s="1187">
        <f>'2024'!R\Max</f>
        <v>0.823640409909565</v>
      </c>
      <c r="CD259" s="1187">
        <f>'2025'!R\Max</f>
        <v>0.82394912388221708</v>
      </c>
      <c r="CE259" s="1187">
        <f>'2026'!R\Max</f>
        <v>0.82391951922077045</v>
      </c>
      <c r="CF259" s="1188">
        <f>'2027'!R\Max</f>
        <v>0.82388021286910074</v>
      </c>
    </row>
    <row r="260" spans="1:84" s="6" customFormat="1" ht="11.25" x14ac:dyDescent="0.2">
      <c r="A260" s="11">
        <v>43346</v>
      </c>
      <c r="B260" s="380">
        <f>'2022'!Maxi_hp</f>
        <v>52.304535343399913</v>
      </c>
      <c r="C260" s="13">
        <f>'2022'!An_max</f>
        <v>2020</v>
      </c>
      <c r="D260" s="1061"/>
      <c r="E260" s="1056">
        <f>AE$13/10</f>
        <v>51.2</v>
      </c>
      <c r="F260" s="13">
        <f t="shared" si="110"/>
        <v>19</v>
      </c>
      <c r="G260" s="13">
        <f t="shared" si="94"/>
        <v>20</v>
      </c>
      <c r="H260" s="173">
        <f t="shared" si="95"/>
        <v>43346</v>
      </c>
      <c r="I260" s="752">
        <f t="shared" si="96"/>
        <v>0</v>
      </c>
      <c r="J260" s="745">
        <f t="shared" si="97"/>
        <v>51.2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4">
        <v>43346</v>
      </c>
      <c r="AP260" s="13">
        <f t="shared" si="98"/>
        <v>11</v>
      </c>
      <c r="AQ260" s="13">
        <f t="shared" si="99"/>
        <v>10</v>
      </c>
      <c r="AR260" s="173">
        <f t="shared" si="100"/>
        <v>43360</v>
      </c>
      <c r="AS260" s="752">
        <f t="shared" si="101"/>
        <v>0.5</v>
      </c>
      <c r="AT260" s="768">
        <f t="shared" si="102"/>
        <v>51.012500000000003</v>
      </c>
      <c r="AU260" s="13">
        <f t="shared" si="103"/>
        <v>11</v>
      </c>
      <c r="AV260" s="13">
        <f t="shared" si="104"/>
        <v>10</v>
      </c>
      <c r="AW260" s="173">
        <f t="shared" si="105"/>
        <v>43374</v>
      </c>
      <c r="AX260" s="752">
        <f t="shared" si="106"/>
        <v>1</v>
      </c>
      <c r="AY260" s="768">
        <f t="shared" si="107"/>
        <v>51.200000000745057</v>
      </c>
      <c r="AZ260" s="745">
        <f t="shared" si="111"/>
        <v>51.106250000372526</v>
      </c>
      <c r="BA260" s="642">
        <f t="shared" si="108"/>
        <v>1.0215729559257796</v>
      </c>
      <c r="BC260" s="11">
        <v>43346</v>
      </c>
      <c r="BD260" s="290">
        <f>[2]!FeuilCaduc*(1-Persistant)+Persistant</f>
        <v>0.98788276547655218</v>
      </c>
      <c r="BE260" s="291">
        <f>[2]!CroissVégét</f>
        <v>0.97077260062312232</v>
      </c>
      <c r="BF260" s="815">
        <f>1+[2]!Salcycl*Ksac</f>
        <v>1.0479804609127588</v>
      </c>
      <c r="BH260" s="1052">
        <f t="shared" si="109"/>
        <v>2.5676252603464324E-3</v>
      </c>
      <c r="BI260" s="11">
        <v>44442</v>
      </c>
      <c r="BJ260" s="725">
        <v>6.9117659894015315E-6</v>
      </c>
      <c r="BK260" s="725">
        <v>1.0241970408266573E-4</v>
      </c>
      <c r="BL260" s="725">
        <v>5.4315726854260596E-4</v>
      </c>
      <c r="BM260" s="725">
        <v>1.6073595841408907E-3</v>
      </c>
      <c r="BN260" s="725">
        <v>4.0122923484165671E-3</v>
      </c>
      <c r="BO260" s="726">
        <v>8.1704208118296741E-3</v>
      </c>
      <c r="BP260" s="725">
        <v>1.4661809062121287E-2</v>
      </c>
      <c r="BQ260" s="725">
        <v>2.385532384146756E-2</v>
      </c>
      <c r="BR260" s="725">
        <v>3.6935997520171134E-2</v>
      </c>
      <c r="BS260" s="725">
        <v>5.3282563599548284E-2</v>
      </c>
      <c r="BT260" s="725">
        <v>7.1758230289615935E-2</v>
      </c>
      <c r="BW260" s="1189">
        <f>'2018'!R\Max</f>
        <v>0</v>
      </c>
      <c r="BX260" s="1187">
        <f>'2019'!R\Max</f>
        <v>1.0053355789470162</v>
      </c>
      <c r="BY260" s="1187">
        <f>'2020'!R\Max</f>
        <v>1.0215729559257796</v>
      </c>
      <c r="BZ260" s="1187">
        <f>'2021'!R\Max</f>
        <v>0.66099666818892788</v>
      </c>
      <c r="CA260" s="1187">
        <f>'2022'!R\Max</f>
        <v>0.78172470208741496</v>
      </c>
      <c r="CB260" s="1187">
        <f>'2023'!R\Max</f>
        <v>0.78164770513934523</v>
      </c>
      <c r="CC260" s="1187">
        <f>'2024'!R\Max</f>
        <v>0.78155563241961379</v>
      </c>
      <c r="CD260" s="1187">
        <f>'2025'!R\Max</f>
        <v>0.78193901144279065</v>
      </c>
      <c r="CE260" s="1187">
        <f>'2026'!R\Max</f>
        <v>0.78190182113311579</v>
      </c>
      <c r="CF260" s="1188">
        <f>'2027'!R\Max</f>
        <v>0.78185255310961022</v>
      </c>
    </row>
    <row r="261" spans="1:84" s="6" customFormat="1" ht="11.25" x14ac:dyDescent="0.2">
      <c r="A261" s="11">
        <v>43347</v>
      </c>
      <c r="B261" s="380">
        <f>'2022'!Maxi_hp</f>
        <v>50.854678643962053</v>
      </c>
      <c r="C261" s="13">
        <f>'2022'!An_max</f>
        <v>2019</v>
      </c>
      <c r="D261" s="1061"/>
      <c r="E261" s="13"/>
      <c r="F261" s="13">
        <f t="shared" si="110"/>
        <v>19</v>
      </c>
      <c r="G261" s="13">
        <f t="shared" si="94"/>
        <v>20</v>
      </c>
      <c r="H261" s="173">
        <f t="shared" si="95"/>
        <v>43346</v>
      </c>
      <c r="I261" s="752">
        <f t="shared" si="96"/>
        <v>7.1428571428571425E-2</v>
      </c>
      <c r="J261" s="745">
        <f t="shared" si="97"/>
        <v>50.86410349737853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4">
        <v>43347</v>
      </c>
      <c r="AP261" s="13">
        <f t="shared" si="98"/>
        <v>11</v>
      </c>
      <c r="AQ261" s="13">
        <f t="shared" si="99"/>
        <v>10</v>
      </c>
      <c r="AR261" s="173">
        <f t="shared" si="100"/>
        <v>43360</v>
      </c>
      <c r="AS261" s="752">
        <f t="shared" si="101"/>
        <v>0.4642857142857143</v>
      </c>
      <c r="AT261" s="768">
        <f t="shared" si="102"/>
        <v>50.672289540618657</v>
      </c>
      <c r="AU261" s="13">
        <f t="shared" si="103"/>
        <v>11</v>
      </c>
      <c r="AV261" s="13">
        <f t="shared" si="104"/>
        <v>10</v>
      </c>
      <c r="AW261" s="173">
        <f t="shared" si="105"/>
        <v>43374</v>
      </c>
      <c r="AX261" s="752">
        <f t="shared" si="106"/>
        <v>0.9642857142857143</v>
      </c>
      <c r="AY261" s="768">
        <f t="shared" si="107"/>
        <v>50.866422193766837</v>
      </c>
      <c r="AZ261" s="745">
        <f t="shared" si="111"/>
        <v>50.769355867192743</v>
      </c>
      <c r="BA261" s="642">
        <f t="shared" si="108"/>
        <v>0.9998147052092059</v>
      </c>
      <c r="BC261" s="11">
        <v>43347</v>
      </c>
      <c r="BD261" s="290">
        <f>[2]!FeuilCaduc*(1-Persistant)+Persistant</f>
        <v>0.98713108208483058</v>
      </c>
      <c r="BE261" s="291">
        <f>[2]!CroissVégét</f>
        <v>0.97192897207465079</v>
      </c>
      <c r="BF261" s="815">
        <f>1+[2]!Salcycl*Ksac</f>
        <v>1.0478551803474718</v>
      </c>
      <c r="BH261" s="1052">
        <f t="shared" si="109"/>
        <v>2.7571304103996396E-3</v>
      </c>
      <c r="BI261" s="11">
        <v>44443</v>
      </c>
      <c r="BJ261" s="725">
        <v>8.6963709538982186E-6</v>
      </c>
      <c r="BK261" s="725">
        <v>1.2049328675731006E-4</v>
      </c>
      <c r="BL261" s="725">
        <v>5.9894545768352978E-4</v>
      </c>
      <c r="BM261" s="725">
        <v>1.7366355919911775E-3</v>
      </c>
      <c r="BN261" s="725">
        <v>4.2924089424058696E-3</v>
      </c>
      <c r="BO261" s="726">
        <v>8.6978437481380448E-3</v>
      </c>
      <c r="BP261" s="725">
        <v>1.5489980451056949E-2</v>
      </c>
      <c r="BQ261" s="725">
        <v>2.4974030956961418E-2</v>
      </c>
      <c r="BR261" s="725">
        <v>3.8377477239252139E-2</v>
      </c>
      <c r="BS261" s="725">
        <v>5.5024358578051338E-2</v>
      </c>
      <c r="BT261" s="725">
        <v>7.3793594943529536E-2</v>
      </c>
      <c r="BW261" s="1189">
        <f>'2018'!R\Max</f>
        <v>0</v>
      </c>
      <c r="BX261" s="1187">
        <f>'2019'!R\Max</f>
        <v>0.9998147052092059</v>
      </c>
      <c r="BY261" s="1187">
        <f>'2020'!R\Max</f>
        <v>0.98526090789837506</v>
      </c>
      <c r="BZ261" s="1187">
        <f>'2021'!R\Max</f>
        <v>0.85104412914830918</v>
      </c>
      <c r="CA261" s="1187">
        <f>'2022'!R\Max</f>
        <v>0.92473759385739862</v>
      </c>
      <c r="CB261" s="1187">
        <f>'2023'!R\Max</f>
        <v>0.9247045372466608</v>
      </c>
      <c r="CC261" s="1187">
        <f>'2024'!R\Max</f>
        <v>0.92466529557367272</v>
      </c>
      <c r="CD261" s="1187">
        <f>'2025'!R\Max</f>
        <v>0.92483037310135963</v>
      </c>
      <c r="CE261" s="1187">
        <f>'2026'!R\Max</f>
        <v>0.92481418140916472</v>
      </c>
      <c r="CF261" s="1188">
        <f>'2027'!R\Max</f>
        <v>0.92479277234515689</v>
      </c>
    </row>
    <row r="262" spans="1:84" s="6" customFormat="1" ht="11.25" x14ac:dyDescent="0.2">
      <c r="A262" s="11">
        <v>43348</v>
      </c>
      <c r="B262" s="380">
        <f>'2022'!Maxi_hp</f>
        <v>50.429886494595955</v>
      </c>
      <c r="C262" s="13">
        <f>'2022'!An_max</f>
        <v>2020</v>
      </c>
      <c r="D262" s="1061"/>
      <c r="E262" s="13"/>
      <c r="F262" s="13">
        <f t="shared" si="110"/>
        <v>19</v>
      </c>
      <c r="G262" s="13">
        <f t="shared" si="94"/>
        <v>20</v>
      </c>
      <c r="H262" s="173">
        <f t="shared" si="95"/>
        <v>43346</v>
      </c>
      <c r="I262" s="752">
        <f t="shared" si="96"/>
        <v>0.14285714285714285</v>
      </c>
      <c r="J262" s="745">
        <f t="shared" si="97"/>
        <v>50.520991253799629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4">
        <v>43348</v>
      </c>
      <c r="AP262" s="13">
        <f t="shared" si="98"/>
        <v>11</v>
      </c>
      <c r="AQ262" s="13">
        <f t="shared" si="99"/>
        <v>10</v>
      </c>
      <c r="AR262" s="173">
        <f t="shared" si="100"/>
        <v>43360</v>
      </c>
      <c r="AS262" s="752">
        <f t="shared" si="101"/>
        <v>0.42857142857142855</v>
      </c>
      <c r="AT262" s="768">
        <f t="shared" si="102"/>
        <v>50.32857142846499</v>
      </c>
      <c r="AU262" s="13">
        <f t="shared" si="103"/>
        <v>11</v>
      </c>
      <c r="AV262" s="13">
        <f t="shared" si="104"/>
        <v>10</v>
      </c>
      <c r="AW262" s="173">
        <f t="shared" si="105"/>
        <v>43374</v>
      </c>
      <c r="AX262" s="752">
        <f t="shared" si="106"/>
        <v>0.9285714285714286</v>
      </c>
      <c r="AY262" s="768">
        <f t="shared" si="107"/>
        <v>50.523214285561281</v>
      </c>
      <c r="AZ262" s="745">
        <f t="shared" si="111"/>
        <v>50.425892857013139</v>
      </c>
      <c r="BA262" s="642">
        <f t="shared" si="108"/>
        <v>0.99819669493921848</v>
      </c>
      <c r="BC262" s="11">
        <v>43348</v>
      </c>
      <c r="BD262" s="290">
        <f>[2]!FeuilCaduc*(1-Persistant)+Persistant</f>
        <v>0.98634520929628633</v>
      </c>
      <c r="BE262" s="291">
        <f>[2]!CroissVégét</f>
        <v>0.97304137466019458</v>
      </c>
      <c r="BF262" s="815">
        <f>1+[2]!Salcycl*Ksac</f>
        <v>1.0477242015493811</v>
      </c>
      <c r="BH262" s="1052">
        <f t="shared" si="109"/>
        <v>2.9654489695886579E-3</v>
      </c>
      <c r="BI262" s="11">
        <v>44444</v>
      </c>
      <c r="BJ262" s="725">
        <v>1.1491905954340764E-5</v>
      </c>
      <c r="BK262" s="725">
        <v>1.4438530199122567E-4</v>
      </c>
      <c r="BL262" s="725">
        <v>6.6558725545780035E-4</v>
      </c>
      <c r="BM262" s="725">
        <v>1.8832886666801879E-3</v>
      </c>
      <c r="BN262" s="725">
        <v>4.5934998438065568E-3</v>
      </c>
      <c r="BO262" s="726">
        <v>9.2507892316852375E-3</v>
      </c>
      <c r="BP262" s="725">
        <v>1.6344497247388828E-2</v>
      </c>
      <c r="BQ262" s="725">
        <v>2.6108935055674694E-2</v>
      </c>
      <c r="BR262" s="725">
        <v>3.9798550363307116E-2</v>
      </c>
      <c r="BS262" s="725">
        <v>5.6700764875482194E-2</v>
      </c>
      <c r="BT262" s="725">
        <v>7.5720566564595665E-2</v>
      </c>
      <c r="BW262" s="1189">
        <f>'2018'!R\Max</f>
        <v>0</v>
      </c>
      <c r="BX262" s="1187">
        <f>'2019'!R\Max</f>
        <v>0.77268922624666758</v>
      </c>
      <c r="BY262" s="1187">
        <f>'2020'!R\Max</f>
        <v>0.99819669493921848</v>
      </c>
      <c r="BZ262" s="1187">
        <f>'2021'!R\Max</f>
        <v>0.86085466100886376</v>
      </c>
      <c r="CA262" s="1187">
        <f>'2022'!R\Max</f>
        <v>0.81158653459857399</v>
      </c>
      <c r="CB262" s="1187">
        <f>'2023'!R\Max</f>
        <v>0.81151022717065457</v>
      </c>
      <c r="CC262" s="1187">
        <f>'2024'!R\Max</f>
        <v>0.81142033066989527</v>
      </c>
      <c r="CD262" s="1187">
        <f>'2025'!R\Max</f>
        <v>0.81180255634163989</v>
      </c>
      <c r="CE262" s="1187">
        <f>'2026'!R\Max</f>
        <v>0.81176463837089619</v>
      </c>
      <c r="CF262" s="1188">
        <f>'2027'!R\Max</f>
        <v>0.81171460375927329</v>
      </c>
    </row>
    <row r="263" spans="1:84" s="6" customFormat="1" ht="11.25" x14ac:dyDescent="0.2">
      <c r="A263" s="11">
        <v>43349</v>
      </c>
      <c r="B263" s="380">
        <f>'2022'!Maxi_hp</f>
        <v>52.380979169463878</v>
      </c>
      <c r="C263" s="13">
        <f>'2022'!An_max</f>
        <v>2019</v>
      </c>
      <c r="D263" s="1061"/>
      <c r="E263" s="13"/>
      <c r="F263" s="13">
        <f t="shared" si="110"/>
        <v>19</v>
      </c>
      <c r="G263" s="13">
        <f t="shared" si="94"/>
        <v>20</v>
      </c>
      <c r="H263" s="173">
        <f t="shared" si="95"/>
        <v>43346</v>
      </c>
      <c r="I263" s="752">
        <f t="shared" si="96"/>
        <v>0.21428571428571427</v>
      </c>
      <c r="J263" s="745">
        <f t="shared" si="97"/>
        <v>50.171100582421886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4">
        <v>43349</v>
      </c>
      <c r="AP263" s="13">
        <f t="shared" si="98"/>
        <v>11</v>
      </c>
      <c r="AQ263" s="13">
        <f t="shared" si="99"/>
        <v>10</v>
      </c>
      <c r="AR263" s="173">
        <f t="shared" si="100"/>
        <v>43360</v>
      </c>
      <c r="AS263" s="752">
        <f t="shared" si="101"/>
        <v>0.39285714285714285</v>
      </c>
      <c r="AT263" s="768">
        <f t="shared" si="102"/>
        <v>49.98153698997838</v>
      </c>
      <c r="AU263" s="13">
        <f t="shared" si="103"/>
        <v>11</v>
      </c>
      <c r="AV263" s="13">
        <f t="shared" si="104"/>
        <v>10</v>
      </c>
      <c r="AW263" s="173">
        <f t="shared" si="105"/>
        <v>43374</v>
      </c>
      <c r="AX263" s="752">
        <f t="shared" si="106"/>
        <v>0.8928571428571429</v>
      </c>
      <c r="AY263" s="768">
        <f t="shared" si="107"/>
        <v>50.170950256321319</v>
      </c>
      <c r="AZ263" s="745">
        <f t="shared" si="111"/>
        <v>50.07624362314985</v>
      </c>
      <c r="BA263" s="642">
        <f t="shared" si="108"/>
        <v>1.0440468429312522</v>
      </c>
      <c r="BC263" s="11">
        <v>43349</v>
      </c>
      <c r="BD263" s="290">
        <f>[2]!FeuilCaduc*(1-Persistant)+Persistant</f>
        <v>0.98552381782092224</v>
      </c>
      <c r="BE263" s="291">
        <f>[2]!CroissVégét</f>
        <v>0.97411138252345786</v>
      </c>
      <c r="BF263" s="815">
        <f>1+[2]!Salcycl*Ksac</f>
        <v>1.0475873029701537</v>
      </c>
      <c r="BH263" s="1052">
        <f t="shared" si="109"/>
        <v>3.1894412958278534E-3</v>
      </c>
      <c r="BI263" s="11">
        <v>44445</v>
      </c>
      <c r="BJ263" s="725">
        <v>1.5307083453214294E-5</v>
      </c>
      <c r="BK263" s="725">
        <v>1.7412863198284074E-4</v>
      </c>
      <c r="BL263" s="725">
        <v>7.4277046971985212E-4</v>
      </c>
      <c r="BM263" s="725">
        <v>2.0456719466397477E-3</v>
      </c>
      <c r="BN263" s="725">
        <v>4.9101796040476398E-3</v>
      </c>
      <c r="BO263" s="726">
        <v>9.8174783923156012E-3</v>
      </c>
      <c r="BP263" s="725">
        <v>1.7206822063117383E-2</v>
      </c>
      <c r="BQ263" s="725">
        <v>2.7238804963972255E-2</v>
      </c>
      <c r="BR263" s="725">
        <v>4.1175184680644301E-2</v>
      </c>
      <c r="BS263" s="725">
        <v>5.8290919892685596E-2</v>
      </c>
      <c r="BT263" s="725">
        <v>7.7524509067062916E-2</v>
      </c>
      <c r="BW263" s="1189">
        <f>'2018'!R\Max</f>
        <v>0</v>
      </c>
      <c r="BX263" s="1187">
        <f>'2019'!R\Max</f>
        <v>1.0440468429312522</v>
      </c>
      <c r="BY263" s="1187">
        <f>'2020'!R\Max</f>
        <v>0.94632532945024916</v>
      </c>
      <c r="BZ263" s="1187">
        <f>'2021'!R\Max</f>
        <v>0.92952707144846392</v>
      </c>
      <c r="CA263" s="1187">
        <f>'2022'!R\Max</f>
        <v>0.94715960351728912</v>
      </c>
      <c r="CB263" s="1187">
        <f>'2023'!R\Max</f>
        <v>0.94713342468475814</v>
      </c>
      <c r="CC263" s="1187">
        <f>'2024'!R\Max</f>
        <v>0.94710280121886414</v>
      </c>
      <c r="CD263" s="1187">
        <f>'2025'!R\Max</f>
        <v>0.94723428639516372</v>
      </c>
      <c r="CE263" s="1187">
        <f>'2026'!R\Max</f>
        <v>0.94722110909989321</v>
      </c>
      <c r="CF263" s="1188">
        <f>'2027'!R\Max</f>
        <v>0.94720375324628914</v>
      </c>
    </row>
    <row r="264" spans="1:84" s="6" customFormat="1" ht="11.25" x14ac:dyDescent="0.2">
      <c r="A264" s="11">
        <v>43350</v>
      </c>
      <c r="B264" s="380">
        <f>'2022'!Maxi_hp</f>
        <v>46.142327737727975</v>
      </c>
      <c r="C264" s="13">
        <f>'2022'!An_max</f>
        <v>2019</v>
      </c>
      <c r="D264" s="1061"/>
      <c r="E264" s="13"/>
      <c r="F264" s="13">
        <f t="shared" si="110"/>
        <v>19</v>
      </c>
      <c r="G264" s="13">
        <f t="shared" si="94"/>
        <v>20</v>
      </c>
      <c r="H264" s="173">
        <f t="shared" si="95"/>
        <v>43346</v>
      </c>
      <c r="I264" s="752">
        <f t="shared" si="96"/>
        <v>0.2857142857142857</v>
      </c>
      <c r="J264" s="745">
        <f t="shared" si="97"/>
        <v>49.814868804067373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4">
        <v>43350</v>
      </c>
      <c r="AP264" s="13">
        <f t="shared" si="98"/>
        <v>11</v>
      </c>
      <c r="AQ264" s="13">
        <f t="shared" si="99"/>
        <v>10</v>
      </c>
      <c r="AR264" s="173">
        <f t="shared" si="100"/>
        <v>43360</v>
      </c>
      <c r="AS264" s="752">
        <f t="shared" si="101"/>
        <v>0.35714285714285715</v>
      </c>
      <c r="AT264" s="768">
        <f t="shared" si="102"/>
        <v>49.631377551092633</v>
      </c>
      <c r="AU264" s="13">
        <f t="shared" si="103"/>
        <v>11</v>
      </c>
      <c r="AV264" s="13">
        <f t="shared" si="104"/>
        <v>10</v>
      </c>
      <c r="AW264" s="173">
        <f t="shared" si="105"/>
        <v>43374</v>
      </c>
      <c r="AX264" s="752">
        <f t="shared" si="106"/>
        <v>0.8571428571428571</v>
      </c>
      <c r="AY264" s="768">
        <f t="shared" si="107"/>
        <v>49.81020408226177</v>
      </c>
      <c r="AZ264" s="745">
        <f t="shared" si="111"/>
        <v>49.720790816677201</v>
      </c>
      <c r="BA264" s="642">
        <f t="shared" si="108"/>
        <v>0.92627620719459691</v>
      </c>
      <c r="BC264" s="11">
        <v>43350</v>
      </c>
      <c r="BD264" s="290">
        <f>[2]!FeuilCaduc*(1-Persistant)+Persistant</f>
        <v>0.98466552279390618</v>
      </c>
      <c r="BE264" s="291">
        <f>[2]!CroissVégét</f>
        <v>0.97514052098953308</v>
      </c>
      <c r="BF264" s="815">
        <f>1+[2]!Salcycl*Ksac</f>
        <v>1.0474442537989843</v>
      </c>
      <c r="BH264" s="1052">
        <f t="shared" si="109"/>
        <v>3.4291210611009848E-3</v>
      </c>
      <c r="BI264" s="11">
        <v>44446</v>
      </c>
      <c r="BJ264" s="725">
        <v>2.0142478161657809E-5</v>
      </c>
      <c r="BK264" s="725">
        <v>2.09726795350261E-4</v>
      </c>
      <c r="BL264" s="725">
        <v>8.3050213113077366E-4</v>
      </c>
      <c r="BM264" s="725">
        <v>2.2237973202086339E-3</v>
      </c>
      <c r="BN264" s="725">
        <v>5.2424645785090103E-3</v>
      </c>
      <c r="BO264" s="726">
        <v>1.0397934120062381E-2</v>
      </c>
      <c r="BP264" s="725">
        <v>1.8076984044783435E-2</v>
      </c>
      <c r="BQ264" s="725">
        <v>2.8363672594999126E-2</v>
      </c>
      <c r="BR264" s="725">
        <v>4.2507402686808929E-2</v>
      </c>
      <c r="BS264" s="725">
        <v>5.9794835255082085E-2</v>
      </c>
      <c r="BT264" s="725">
        <v>7.9205425899919205E-2</v>
      </c>
      <c r="BW264" s="1189">
        <f>'2018'!R\Max</f>
        <v>0</v>
      </c>
      <c r="BX264" s="1187">
        <f>'2019'!R\Max</f>
        <v>0.92627620719459691</v>
      </c>
      <c r="BY264" s="1187">
        <f>'2020'!R\Max</f>
        <v>0.61435778935065466</v>
      </c>
      <c r="BZ264" s="1187">
        <f>'2021'!R\Max</f>
        <v>0.72330360607877364</v>
      </c>
      <c r="CA264" s="1187">
        <f>'2022'!R\Max</f>
        <v>0.77962163675348972</v>
      </c>
      <c r="CB264" s="1187">
        <f>'2023'!R\Max</f>
        <v>0.77952766124907724</v>
      </c>
      <c r="CC264" s="1187">
        <f>'2024'!R\Max</f>
        <v>0.77941851781063731</v>
      </c>
      <c r="CD264" s="1187">
        <f>'2025'!R\Max</f>
        <v>0.77989186574815217</v>
      </c>
      <c r="CE264" s="1187">
        <f>'2026'!R\Max</f>
        <v>0.779843930579461</v>
      </c>
      <c r="CF264" s="1188">
        <f>'2027'!R\Max</f>
        <v>0.77978092220160578</v>
      </c>
    </row>
    <row r="265" spans="1:84" s="6" customFormat="1" ht="11.25" x14ac:dyDescent="0.2">
      <c r="A265" s="11">
        <v>43351</v>
      </c>
      <c r="B265" s="380">
        <f>'2022'!Maxi_hp</f>
        <v>44.813483820108679</v>
      </c>
      <c r="C265" s="13">
        <f>'2022'!An_max</f>
        <v>2019</v>
      </c>
      <c r="D265" s="1061"/>
      <c r="E265" s="13"/>
      <c r="F265" s="13">
        <f t="shared" si="110"/>
        <v>19</v>
      </c>
      <c r="G265" s="13">
        <f t="shared" si="94"/>
        <v>20</v>
      </c>
      <c r="H265" s="173">
        <f t="shared" si="95"/>
        <v>43346</v>
      </c>
      <c r="I265" s="752">
        <f t="shared" si="96"/>
        <v>0.35714285714285715</v>
      </c>
      <c r="J265" s="745">
        <f t="shared" si="97"/>
        <v>49.45273323641824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4">
        <v>43351</v>
      </c>
      <c r="AP265" s="13">
        <f t="shared" si="98"/>
        <v>11</v>
      </c>
      <c r="AQ265" s="13">
        <f t="shared" si="99"/>
        <v>10</v>
      </c>
      <c r="AR265" s="173">
        <f t="shared" si="100"/>
        <v>43360</v>
      </c>
      <c r="AS265" s="752">
        <f t="shared" si="101"/>
        <v>0.32142857142857145</v>
      </c>
      <c r="AT265" s="768">
        <f t="shared" si="102"/>
        <v>49.278284438579746</v>
      </c>
      <c r="AU265" s="13">
        <f t="shared" si="103"/>
        <v>11</v>
      </c>
      <c r="AV265" s="13">
        <f t="shared" si="104"/>
        <v>10</v>
      </c>
      <c r="AW265" s="173">
        <f t="shared" si="105"/>
        <v>43374</v>
      </c>
      <c r="AX265" s="752">
        <f t="shared" si="106"/>
        <v>0.8214285714285714</v>
      </c>
      <c r="AY265" s="768">
        <f t="shared" si="107"/>
        <v>49.441549745631143</v>
      </c>
      <c r="AZ265" s="745">
        <f t="shared" si="111"/>
        <v>49.359917092105448</v>
      </c>
      <c r="BA265" s="642">
        <f t="shared" si="108"/>
        <v>0.90618821018181661</v>
      </c>
      <c r="BC265" s="11">
        <v>43351</v>
      </c>
      <c r="BD265" s="290">
        <f>[2]!FeuilCaduc*(1-Persistant)+Persistant</f>
        <v>0.9837688814900456</v>
      </c>
      <c r="BE265" s="291">
        <f>[2]!CroissVégét</f>
        <v>0.97613026748322473</v>
      </c>
      <c r="BF265" s="815">
        <f>1+[2]!Salcycl*Ksac</f>
        <v>1.0472948135816742</v>
      </c>
      <c r="BH265" s="1052">
        <f t="shared" si="109"/>
        <v>3.6845029338442858E-3</v>
      </c>
      <c r="BI265" s="11">
        <v>44447</v>
      </c>
      <c r="BJ265" s="725">
        <v>2.5998722310128878E-5</v>
      </c>
      <c r="BK265" s="725">
        <v>2.5118364615361438E-4</v>
      </c>
      <c r="BL265" s="725">
        <v>9.2878989068637238E-4</v>
      </c>
      <c r="BM265" s="725">
        <v>2.4176776334075369E-3</v>
      </c>
      <c r="BN265" s="725">
        <v>5.5903721773512211E-3</v>
      </c>
      <c r="BO265" s="726">
        <v>1.0992180429899688E-2</v>
      </c>
      <c r="BP265" s="725">
        <v>1.8955013343795447E-2</v>
      </c>
      <c r="BQ265" s="725">
        <v>2.9483570353915443E-2</v>
      </c>
      <c r="BR265" s="725">
        <v>4.3795225409755473E-2</v>
      </c>
      <c r="BS265" s="725">
        <v>6.1212519006455288E-2</v>
      </c>
      <c r="BT265" s="725">
        <v>8.0763315086467127E-2</v>
      </c>
      <c r="BW265" s="1189">
        <f>'2018'!R\Max</f>
        <v>0</v>
      </c>
      <c r="BX265" s="1187">
        <f>'2019'!R\Max</f>
        <v>0.90618821018181661</v>
      </c>
      <c r="BY265" s="1187">
        <f>'2020'!R\Max</f>
        <v>0.88250727418131469</v>
      </c>
      <c r="BZ265" s="1187">
        <f>'2021'!R\Max</f>
        <v>0.65416400376782657</v>
      </c>
      <c r="CA265" s="1187">
        <f>'2022'!R\Max</f>
        <v>0.73729451844929272</v>
      </c>
      <c r="CB265" s="1187">
        <f>'2023'!R\Max</f>
        <v>0.7371839539521704</v>
      </c>
      <c r="CC265" s="1187">
        <f>'2024'!R\Max</f>
        <v>0.73705642187400267</v>
      </c>
      <c r="CD265" s="1187">
        <f>'2025'!R\Max</f>
        <v>0.73761480458268236</v>
      </c>
      <c r="CE265" s="1187">
        <f>'2026'!R\Max</f>
        <v>0.73755770601182746</v>
      </c>
      <c r="CF265" s="1188">
        <f>'2027'!R\Max</f>
        <v>0.73748279673771788</v>
      </c>
    </row>
    <row r="266" spans="1:84" s="6" customFormat="1" ht="11.25" x14ac:dyDescent="0.2">
      <c r="A266" s="11">
        <v>43352</v>
      </c>
      <c r="B266" s="380">
        <f>'2022'!Maxi_hp</f>
        <v>47.032768626922746</v>
      </c>
      <c r="C266" s="13">
        <f>'2022'!An_max</f>
        <v>2020</v>
      </c>
      <c r="D266" s="1061"/>
      <c r="E266" s="13"/>
      <c r="F266" s="13">
        <f t="shared" si="110"/>
        <v>19</v>
      </c>
      <c r="G266" s="13">
        <f t="shared" si="94"/>
        <v>20</v>
      </c>
      <c r="H266" s="173">
        <f t="shared" si="95"/>
        <v>43346</v>
      </c>
      <c r="I266" s="752">
        <f t="shared" si="96"/>
        <v>0.42857142857142855</v>
      </c>
      <c r="J266" s="745">
        <f t="shared" si="97"/>
        <v>49.085131194602162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4">
        <v>43352</v>
      </c>
      <c r="AP266" s="13">
        <f t="shared" si="98"/>
        <v>11</v>
      </c>
      <c r="AQ266" s="13">
        <f t="shared" si="99"/>
        <v>10</v>
      </c>
      <c r="AR266" s="173">
        <f t="shared" si="100"/>
        <v>43360</v>
      </c>
      <c r="AS266" s="752">
        <f t="shared" si="101"/>
        <v>0.2857142857142857</v>
      </c>
      <c r="AT266" s="768">
        <f t="shared" si="102"/>
        <v>48.922448979531012</v>
      </c>
      <c r="AU266" s="13">
        <f t="shared" si="103"/>
        <v>11</v>
      </c>
      <c r="AV266" s="13">
        <f t="shared" si="104"/>
        <v>10</v>
      </c>
      <c r="AW266" s="173">
        <f t="shared" si="105"/>
        <v>43374</v>
      </c>
      <c r="AX266" s="752">
        <f t="shared" si="106"/>
        <v>0.7857142857142857</v>
      </c>
      <c r="AY266" s="768">
        <f t="shared" si="107"/>
        <v>49.065561224826212</v>
      </c>
      <c r="AZ266" s="745">
        <f t="shared" si="111"/>
        <v>48.994005102178612</v>
      </c>
      <c r="BA266" s="642">
        <f t="shared" si="108"/>
        <v>0.95818769314188745</v>
      </c>
      <c r="BC266" s="11">
        <v>43352</v>
      </c>
      <c r="BD266" s="290">
        <f>[2]!FeuilCaduc*(1-Persistant)+Persistant</f>
        <v>0.98283239145983137</v>
      </c>
      <c r="BE266" s="291">
        <f>[2]!CroissVégét</f>
        <v>0.97708205248193514</v>
      </c>
      <c r="BF266" s="815">
        <f>1+[2]!Salcycl*Ksac</f>
        <v>1.0471387319099719</v>
      </c>
      <c r="BH266" s="1052">
        <f t="shared" si="109"/>
        <v>3.9556026065094606E-3</v>
      </c>
      <c r="BI266" s="11">
        <v>44448</v>
      </c>
      <c r="BJ266" s="725">
        <v>3.2876507444698588E-5</v>
      </c>
      <c r="BK266" s="725">
        <v>2.9850338420030274E-4</v>
      </c>
      <c r="BL266" s="725">
        <v>1.0376420382756078E-3</v>
      </c>
      <c r="BM266" s="725">
        <v>2.6273267176194701E-3</v>
      </c>
      <c r="BN266" s="725">
        <v>5.9539208929018346E-3</v>
      </c>
      <c r="BO266" s="726">
        <v>1.1600242485805453E-2</v>
      </c>
      <c r="BP266" s="725">
        <v>1.9840941129961424E-2</v>
      </c>
      <c r="BQ266" s="725">
        <v>3.0598531128762436E-2</v>
      </c>
      <c r="BR266" s="725">
        <v>4.5038672331262512E-2</v>
      </c>
      <c r="BS266" s="725">
        <v>6.2543975456722384E-2</v>
      </c>
      <c r="BT266" s="725">
        <v>8.2198169007352301E-2</v>
      </c>
      <c r="BW266" s="1189">
        <f>'2018'!R\Max</f>
        <v>0</v>
      </c>
      <c r="BX266" s="1187">
        <f>'2019'!R\Max</f>
        <v>0.76078100546664362</v>
      </c>
      <c r="BY266" s="1187">
        <f>'2020'!R\Max</f>
        <v>0.95818769314188745</v>
      </c>
      <c r="BZ266" s="1187">
        <f>'2021'!R\Max</f>
        <v>0.37945372874656053</v>
      </c>
      <c r="CA266" s="1187">
        <f>'2022'!R\Max</f>
        <v>0.55073985937702852</v>
      </c>
      <c r="CB266" s="1187">
        <f>'2023'!R\Max</f>
        <v>0.55059274820417081</v>
      </c>
      <c r="CC266" s="1187">
        <f>'2024'!R\Max</f>
        <v>0.55042422707046645</v>
      </c>
      <c r="CD266" s="1187">
        <f>'2025'!R\Max</f>
        <v>0.55116920596875874</v>
      </c>
      <c r="CE266" s="1187">
        <f>'2026'!R\Max</f>
        <v>0.55109227941392125</v>
      </c>
      <c r="CF266" s="1188">
        <f>'2027'!R\Max</f>
        <v>0.55099155934120281</v>
      </c>
    </row>
    <row r="267" spans="1:84" s="6" customFormat="1" ht="11.25" x14ac:dyDescent="0.2">
      <c r="A267" s="11">
        <v>43353</v>
      </c>
      <c r="B267" s="380">
        <f>'2022'!Maxi_hp</f>
        <v>47.337511417487256</v>
      </c>
      <c r="C267" s="13">
        <f>'2022'!An_max</f>
        <v>2022</v>
      </c>
      <c r="D267" s="1061"/>
      <c r="E267" s="13"/>
      <c r="F267" s="13">
        <f t="shared" si="110"/>
        <v>19</v>
      </c>
      <c r="G267" s="13">
        <f t="shared" si="94"/>
        <v>20</v>
      </c>
      <c r="H267" s="173">
        <f t="shared" si="95"/>
        <v>43346</v>
      </c>
      <c r="I267" s="752">
        <f t="shared" si="96"/>
        <v>0.5</v>
      </c>
      <c r="J267" s="745">
        <f t="shared" si="97"/>
        <v>48.712499999068676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4">
        <v>43353</v>
      </c>
      <c r="AP267" s="13">
        <f t="shared" si="98"/>
        <v>11</v>
      </c>
      <c r="AQ267" s="13">
        <f t="shared" si="99"/>
        <v>10</v>
      </c>
      <c r="AR267" s="173">
        <f t="shared" si="100"/>
        <v>43360</v>
      </c>
      <c r="AS267" s="752">
        <f t="shared" si="101"/>
        <v>0.25</v>
      </c>
      <c r="AT267" s="768">
        <f t="shared" si="102"/>
        <v>48.564062499720606</v>
      </c>
      <c r="AU267" s="13">
        <f t="shared" si="103"/>
        <v>11</v>
      </c>
      <c r="AV267" s="13">
        <f t="shared" si="104"/>
        <v>10</v>
      </c>
      <c r="AW267" s="173">
        <f t="shared" si="105"/>
        <v>43374</v>
      </c>
      <c r="AX267" s="752">
        <f t="shared" si="106"/>
        <v>0.75</v>
      </c>
      <c r="AY267" s="768">
        <f t="shared" si="107"/>
        <v>48.682812500023282</v>
      </c>
      <c r="AZ267" s="745">
        <f t="shared" si="111"/>
        <v>48.62343749987194</v>
      </c>
      <c r="BA267" s="642">
        <f t="shared" si="108"/>
        <v>0.97177339324387568</v>
      </c>
      <c r="BC267" s="11">
        <v>43353</v>
      </c>
      <c r="BD267" s="290">
        <f>[2]!FeuilCaduc*(1-Persistant)+Persistant</f>
        <v>0.98185448918425511</v>
      </c>
      <c r="BE267" s="291">
        <f>[2]!CroissVégét</f>
        <v>0.97799726049726488</v>
      </c>
      <c r="BF267" s="815">
        <f>1+[2]!Salcycl*Ksac</f>
        <v>1.0469757481973758</v>
      </c>
      <c r="BH267" s="1052">
        <f t="shared" si="109"/>
        <v>4.2424368229880306E-3</v>
      </c>
      <c r="BI267" s="11">
        <v>44449</v>
      </c>
      <c r="BJ267" s="725">
        <v>4.077658622265806E-5</v>
      </c>
      <c r="BK267" s="725">
        <v>3.5169056534252902E-4</v>
      </c>
      <c r="BL267" s="725">
        <v>1.1570675212065145E-3</v>
      </c>
      <c r="BM267" s="725">
        <v>2.852759417181092E-3</v>
      </c>
      <c r="BN267" s="725">
        <v>6.3331303268285705E-3</v>
      </c>
      <c r="BO267" s="726">
        <v>1.222214662439871E-2</v>
      </c>
      <c r="BP267" s="725">
        <v>2.0734799604275891E-2</v>
      </c>
      <c r="BQ267" s="725">
        <v>3.1708588280151578E-2</v>
      </c>
      <c r="BR267" s="725">
        <v>4.623776130657202E-2</v>
      </c>
      <c r="BS267" s="725">
        <v>6.3789205027194956E-2</v>
      </c>
      <c r="BT267" s="725">
        <v>8.3509974180257227E-2</v>
      </c>
      <c r="BW267" s="1189">
        <f>'2018'!R\Max</f>
        <v>0</v>
      </c>
      <c r="BX267" s="1187">
        <f>'2019'!R\Max</f>
        <v>0.28950532875217844</v>
      </c>
      <c r="BY267" s="1187">
        <f>'2020'!R\Max</f>
        <v>0.55541127166226156</v>
      </c>
      <c r="BZ267" s="1187">
        <f>'2021'!R\Max</f>
        <v>0.81977850680291897</v>
      </c>
      <c r="CA267" s="1187">
        <f>'2022'!R\Max</f>
        <v>0.97177339324387568</v>
      </c>
      <c r="CB267" s="1187">
        <f>'2023'!R\Max</f>
        <v>0.97175642898022851</v>
      </c>
      <c r="CC267" s="1187">
        <f>'2024'!R\Max</f>
        <v>0.97173711186968903</v>
      </c>
      <c r="CD267" s="1187">
        <f>'2025'!R\Max</f>
        <v>0.97182319150259955</v>
      </c>
      <c r="CE267" s="1187">
        <f>'2026'!R\Max</f>
        <v>0.97181423339233242</v>
      </c>
      <c r="CF267" s="1188">
        <f>'2027'!R\Max</f>
        <v>0.97180252257199584</v>
      </c>
    </row>
    <row r="268" spans="1:84" s="6" customFormat="1" ht="11.25" x14ac:dyDescent="0.2">
      <c r="A268" s="11">
        <v>43354</v>
      </c>
      <c r="B268" s="380">
        <f>'2022'!Maxi_hp</f>
        <v>47.199084138700862</v>
      </c>
      <c r="C268" s="13">
        <f>'2022'!An_max</f>
        <v>2019</v>
      </c>
      <c r="D268" s="1061"/>
      <c r="E268" s="13"/>
      <c r="F268" s="13">
        <f t="shared" si="110"/>
        <v>19</v>
      </c>
      <c r="G268" s="13">
        <f t="shared" si="94"/>
        <v>20</v>
      </c>
      <c r="H268" s="173">
        <f t="shared" si="95"/>
        <v>43346</v>
      </c>
      <c r="I268" s="752">
        <f t="shared" si="96"/>
        <v>0.5714285714285714</v>
      </c>
      <c r="J268" s="745">
        <f t="shared" si="97"/>
        <v>48.33527696781924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4">
        <v>43354</v>
      </c>
      <c r="AP268" s="13">
        <f t="shared" si="98"/>
        <v>11</v>
      </c>
      <c r="AQ268" s="13">
        <f t="shared" si="99"/>
        <v>10</v>
      </c>
      <c r="AR268" s="173">
        <f t="shared" si="100"/>
        <v>43360</v>
      </c>
      <c r="AS268" s="752">
        <f t="shared" si="101"/>
        <v>0.21428571428571427</v>
      </c>
      <c r="AT268" s="768">
        <f t="shared" si="102"/>
        <v>48.203316326359548</v>
      </c>
      <c r="AU268" s="13">
        <f t="shared" si="103"/>
        <v>11</v>
      </c>
      <c r="AV268" s="13">
        <f t="shared" si="104"/>
        <v>10</v>
      </c>
      <c r="AW268" s="173">
        <f t="shared" si="105"/>
        <v>43374</v>
      </c>
      <c r="AX268" s="752">
        <f t="shared" si="106"/>
        <v>0.7142857142857143</v>
      </c>
      <c r="AY268" s="768">
        <f t="shared" si="107"/>
        <v>48.293877551305499</v>
      </c>
      <c r="AZ268" s="745">
        <f t="shared" si="111"/>
        <v>48.24859693883252</v>
      </c>
      <c r="BA268" s="642">
        <f t="shared" si="108"/>
        <v>0.97649350742574959</v>
      </c>
      <c r="BC268" s="11">
        <v>43354</v>
      </c>
      <c r="BD268" s="290">
        <f>[2]!FeuilCaduc*(1-Persistant)+Persistant</f>
        <v>0.98083354934177946</v>
      </c>
      <c r="BE268" s="291">
        <f>[2]!CroissVégét</f>
        <v>0.97887723107993829</v>
      </c>
      <c r="BF268" s="815">
        <f>1+[2]!Salcycl*Ksac</f>
        <v>1.0468055915569632</v>
      </c>
      <c r="BH268" s="1052">
        <f t="shared" si="109"/>
        <v>4.5442384308007214E-3</v>
      </c>
      <c r="BI268" s="11">
        <v>44450</v>
      </c>
      <c r="BJ268" s="725">
        <v>5.1179114101317871E-5</v>
      </c>
      <c r="BK268" s="725">
        <v>4.1271230425597477E-4</v>
      </c>
      <c r="BL268" s="725">
        <v>1.2892092584379745E-3</v>
      </c>
      <c r="BM268" s="725">
        <v>3.0947179176342298E-3</v>
      </c>
      <c r="BN268" s="725">
        <v>6.724962610309906E-3</v>
      </c>
      <c r="BO268" s="726">
        <v>1.2842160563336879E-2</v>
      </c>
      <c r="BP268" s="725">
        <v>2.1606107053354903E-2</v>
      </c>
      <c r="BQ268" s="725">
        <v>3.2768975288748559E-2</v>
      </c>
      <c r="BR268" s="725">
        <v>4.7341351220596475E-2</v>
      </c>
      <c r="BS268" s="725">
        <v>6.48814365351634E-2</v>
      </c>
      <c r="BT268" s="725">
        <v>8.4605925936247162E-2</v>
      </c>
      <c r="BW268" s="1189">
        <f>'2018'!R\Max</f>
        <v>0</v>
      </c>
      <c r="BX268" s="1187">
        <f>'2019'!R\Max</f>
        <v>0.97649350742574959</v>
      </c>
      <c r="BY268" s="1187">
        <f>'2020'!R\Max</f>
        <v>0.92403266359073721</v>
      </c>
      <c r="BZ268" s="1187">
        <f>'2021'!R\Max</f>
        <v>0.86666428915617921</v>
      </c>
      <c r="CA268" s="1187">
        <f>'2022'!R\Max</f>
        <v>0.95052433922304103</v>
      </c>
      <c r="CB268" s="1187">
        <f>'2023'!R\Max</f>
        <v>0.95049419238262089</v>
      </c>
      <c r="CC268" s="1187">
        <f>'2024'!R\Max</f>
        <v>0.95046007819224432</v>
      </c>
      <c r="CD268" s="1187">
        <f>'2025'!R\Max</f>
        <v>0.95061340832482677</v>
      </c>
      <c r="CE268" s="1187">
        <f>'2026'!R\Max</f>
        <v>0.95059730968065526</v>
      </c>
      <c r="CF268" s="1188">
        <f>'2027'!R\Max</f>
        <v>0.95057631245215823</v>
      </c>
    </row>
    <row r="269" spans="1:84" s="6" customFormat="1" ht="11.25" x14ac:dyDescent="0.2">
      <c r="A269" s="11">
        <v>43355</v>
      </c>
      <c r="B269" s="380">
        <f>'2022'!Maxi_hp</f>
        <v>47.524500971153024</v>
      </c>
      <c r="C269" s="13">
        <f>'2022'!An_max</f>
        <v>2019</v>
      </c>
      <c r="D269" s="1061"/>
      <c r="E269" s="13"/>
      <c r="F269" s="13">
        <f t="shared" si="110"/>
        <v>19</v>
      </c>
      <c r="G269" s="13">
        <f t="shared" si="94"/>
        <v>20</v>
      </c>
      <c r="H269" s="173">
        <f t="shared" si="95"/>
        <v>43346</v>
      </c>
      <c r="I269" s="752">
        <f t="shared" si="96"/>
        <v>0.6428571428571429</v>
      </c>
      <c r="J269" s="745">
        <f t="shared" si="97"/>
        <v>47.953899416300871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4">
        <v>43355</v>
      </c>
      <c r="AP269" s="13">
        <f t="shared" si="98"/>
        <v>11</v>
      </c>
      <c r="AQ269" s="13">
        <f t="shared" si="99"/>
        <v>10</v>
      </c>
      <c r="AR269" s="173">
        <f t="shared" si="100"/>
        <v>43360</v>
      </c>
      <c r="AS269" s="752">
        <f t="shared" si="101"/>
        <v>0.17857142857142858</v>
      </c>
      <c r="AT269" s="768">
        <f t="shared" si="102"/>
        <v>47.840401785794107</v>
      </c>
      <c r="AU269" s="13">
        <f t="shared" si="103"/>
        <v>11</v>
      </c>
      <c r="AV269" s="13">
        <f t="shared" si="104"/>
        <v>10</v>
      </c>
      <c r="AW269" s="173">
        <f t="shared" si="105"/>
        <v>43374</v>
      </c>
      <c r="AX269" s="752">
        <f t="shared" si="106"/>
        <v>0.6785714285714286</v>
      </c>
      <c r="AY269" s="768">
        <f t="shared" si="107"/>
        <v>47.899330357774829</v>
      </c>
      <c r="AZ269" s="745">
        <f t="shared" si="111"/>
        <v>47.869866071784472</v>
      </c>
      <c r="BA269" s="642">
        <f t="shared" si="108"/>
        <v>0.99104559899456512</v>
      </c>
      <c r="BC269" s="11">
        <v>43355</v>
      </c>
      <c r="BD269" s="290">
        <f>[2]!FeuilCaduc*(1-Persistant)+Persistant</f>
        <v>0.97976788477577414</v>
      </c>
      <c r="BE269" s="291">
        <f>[2]!CroissVégét</f>
        <v>0.97972325984311226</v>
      </c>
      <c r="BF269" s="815">
        <f>1+[2]!Salcycl*Ksac</f>
        <v>1.0466279807959624</v>
      </c>
      <c r="BH269" s="1052">
        <f t="shared" si="109"/>
        <v>4.8532318185698902E-3</v>
      </c>
      <c r="BI269" s="11">
        <v>44451</v>
      </c>
      <c r="BJ269" s="725">
        <v>6.3855962720920932E-5</v>
      </c>
      <c r="BK269" s="725">
        <v>4.7944099862004205E-4</v>
      </c>
      <c r="BL269" s="725">
        <v>1.4299471036902395E-3</v>
      </c>
      <c r="BM269" s="725">
        <v>3.3463860978150506E-3</v>
      </c>
      <c r="BN269" s="725">
        <v>7.1201986315208117E-3</v>
      </c>
      <c r="BO269" s="726">
        <v>1.3446703987352367E-2</v>
      </c>
      <c r="BP269" s="725">
        <v>2.244108965488157E-2</v>
      </c>
      <c r="BQ269" s="725">
        <v>3.3772015538861597E-2</v>
      </c>
      <c r="BR269" s="725">
        <v>4.835991646479984E-2</v>
      </c>
      <c r="BS269" s="725">
        <v>6.5846271575700291E-2</v>
      </c>
      <c r="BT269" s="725">
        <v>8.5521170649845657E-2</v>
      </c>
      <c r="BW269" s="1189">
        <f>'2018'!R\Max</f>
        <v>0</v>
      </c>
      <c r="BX269" s="1187">
        <f>'2019'!R\Max</f>
        <v>0.99104559899456512</v>
      </c>
      <c r="BY269" s="1187">
        <f>'2020'!R\Max</f>
        <v>0.88776175333489982</v>
      </c>
      <c r="BZ269" s="1187">
        <f>'2021'!R\Max</f>
        <v>0.92480061997675966</v>
      </c>
      <c r="CA269" s="1187">
        <f>'2022'!R\Max</f>
        <v>0.68013958133123009</v>
      </c>
      <c r="CB269" s="1187">
        <f>'2023'!R\Max</f>
        <v>0.67999549301979378</v>
      </c>
      <c r="CC269" s="1187">
        <f>'2024'!R\Max</f>
        <v>0.67983342793528867</v>
      </c>
      <c r="CD269" s="1187">
        <f>'2025'!R\Max</f>
        <v>0.68056801860778093</v>
      </c>
      <c r="CE269" s="1187">
        <f>'2026'!R\Max</f>
        <v>0.68049018736444999</v>
      </c>
      <c r="CF269" s="1188">
        <f>'2027'!R\Max</f>
        <v>0.68038896985235431</v>
      </c>
    </row>
    <row r="270" spans="1:84" s="6" customFormat="1" ht="11.25" x14ac:dyDescent="0.2">
      <c r="A270" s="11">
        <v>43356</v>
      </c>
      <c r="B270" s="380">
        <f>'2022'!Maxi_hp</f>
        <v>45.574582062693615</v>
      </c>
      <c r="C270" s="13">
        <f>'2022'!An_max</f>
        <v>2020</v>
      </c>
      <c r="D270" s="1061"/>
      <c r="E270" s="13"/>
      <c r="F270" s="13">
        <f t="shared" si="110"/>
        <v>19</v>
      </c>
      <c r="G270" s="13">
        <f t="shared" si="94"/>
        <v>20</v>
      </c>
      <c r="H270" s="173">
        <f t="shared" si="95"/>
        <v>43346</v>
      </c>
      <c r="I270" s="752">
        <f t="shared" si="96"/>
        <v>0.7142857142857143</v>
      </c>
      <c r="J270" s="745">
        <f t="shared" si="97"/>
        <v>47.568804664537311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4">
        <v>43356</v>
      </c>
      <c r="AP270" s="13">
        <f t="shared" si="98"/>
        <v>11</v>
      </c>
      <c r="AQ270" s="13">
        <f t="shared" si="99"/>
        <v>10</v>
      </c>
      <c r="AR270" s="173">
        <f t="shared" si="100"/>
        <v>43360</v>
      </c>
      <c r="AS270" s="752">
        <f t="shared" si="101"/>
        <v>0.14285714285714285</v>
      </c>
      <c r="AT270" s="768">
        <f t="shared" si="102"/>
        <v>47.475510203731915</v>
      </c>
      <c r="AU270" s="13">
        <f t="shared" si="103"/>
        <v>11</v>
      </c>
      <c r="AV270" s="13">
        <f t="shared" si="104"/>
        <v>10</v>
      </c>
      <c r="AW270" s="173">
        <f t="shared" si="105"/>
        <v>43374</v>
      </c>
      <c r="AX270" s="752">
        <f t="shared" si="106"/>
        <v>0.6428571428571429</v>
      </c>
      <c r="AY270" s="768">
        <f t="shared" si="107"/>
        <v>47.499744898014306</v>
      </c>
      <c r="AZ270" s="745">
        <f t="shared" si="111"/>
        <v>47.487627550873114</v>
      </c>
      <c r="BA270" s="642">
        <f t="shared" si="108"/>
        <v>0.95807709241576977</v>
      </c>
      <c r="BC270" s="11">
        <v>43356</v>
      </c>
      <c r="BD270" s="290">
        <f>[2]!FeuilCaduc*(1-Persistant)+Persistant</f>
        <v>0.97865574724445248</v>
      </c>
      <c r="BE270" s="291">
        <f>[2]!CroissVégét</f>
        <v>0.98053659949953242</v>
      </c>
      <c r="BF270" s="815">
        <f>1+[2]!Salcycl*Ksac</f>
        <v>1.0464426245407421</v>
      </c>
      <c r="BH270" s="1052">
        <f t="shared" si="109"/>
        <v>5.1694313628976611E-3</v>
      </c>
      <c r="BI270" s="11">
        <v>44452</v>
      </c>
      <c r="BJ270" s="725">
        <v>7.8808947971555795E-5</v>
      </c>
      <c r="BK270" s="725">
        <v>5.5188227962939729E-4</v>
      </c>
      <c r="BL270" s="725">
        <v>1.5792908326045319E-3</v>
      </c>
      <c r="BM270" s="725">
        <v>3.607777997165679E-3</v>
      </c>
      <c r="BN270" s="725">
        <v>7.5188532743021485E-3</v>
      </c>
      <c r="BO270" s="726">
        <v>1.4035787041194693E-2</v>
      </c>
      <c r="BP270" s="725">
        <v>2.3239752621367411E-2</v>
      </c>
      <c r="BQ270" s="725">
        <v>3.4717707761411074E-2</v>
      </c>
      <c r="BR270" s="725">
        <v>4.9293441158659086E-2</v>
      </c>
      <c r="BS270" s="725">
        <v>6.6683668837283258E-2</v>
      </c>
      <c r="BT270" s="725">
        <v>8.6255635159631014E-2</v>
      </c>
      <c r="BW270" s="1189">
        <f>'2018'!R\Max</f>
        <v>0</v>
      </c>
      <c r="BX270" s="1187">
        <f>'2019'!R\Max</f>
        <v>0.75179377990200114</v>
      </c>
      <c r="BY270" s="1187">
        <f>'2020'!R\Max</f>
        <v>0.95807709241576977</v>
      </c>
      <c r="BZ270" s="1187">
        <f>'2021'!R\Max</f>
        <v>0.64833391343518754</v>
      </c>
      <c r="CA270" s="1187">
        <f>'2022'!R\Max</f>
        <v>0.32192705975161162</v>
      </c>
      <c r="CB270" s="1187">
        <f>'2023'!R\Max</f>
        <v>0.32177811423291275</v>
      </c>
      <c r="CC270" s="1187">
        <f>'2024'!R\Max</f>
        <v>0.32161154520020241</v>
      </c>
      <c r="CD270" s="1187">
        <f>'2025'!R\Max</f>
        <v>0.32237262284502599</v>
      </c>
      <c r="CE270" s="1187">
        <f>'2026'!R\Max</f>
        <v>0.32229125701626926</v>
      </c>
      <c r="CF270" s="1188">
        <f>'2027'!R\Max</f>
        <v>0.32218580343231618</v>
      </c>
    </row>
    <row r="271" spans="1:84" s="6" customFormat="1" ht="11.25" x14ac:dyDescent="0.2">
      <c r="A271" s="11">
        <v>43357</v>
      </c>
      <c r="B271" s="380">
        <f>'2022'!Maxi_hp</f>
        <v>44.733439415558536</v>
      </c>
      <c r="C271" s="13">
        <f>'2022'!An_max</f>
        <v>2020</v>
      </c>
      <c r="D271" s="1061"/>
      <c r="E271" s="13"/>
      <c r="F271" s="13">
        <f t="shared" si="110"/>
        <v>19</v>
      </c>
      <c r="G271" s="13">
        <f t="shared" ref="G271:G334" si="112">INT((MATCH($A271,x.2m)+1)/2)*2</f>
        <v>20</v>
      </c>
      <c r="H271" s="173">
        <f t="shared" ref="H271:H334" si="113">INDEX(x.2m,F271)</f>
        <v>43346</v>
      </c>
      <c r="I271" s="752">
        <f t="shared" ref="I271:I334" si="114">($A271-H271)/(INDEX(x.2m,G271)-H271)</f>
        <v>0.7857142857142857</v>
      </c>
      <c r="J271" s="745">
        <f t="shared" ref="J271:J334" si="115">((1-I271)*(INDEX(a.m,F271)*$A271*$A271+INDEX(b.m,F271)*$A271+INDEX(c.m,F271))+I271*(INDEX(a.m,G271)*$A271*$A271+INDEX(b.m,G271)*$A271+INDEX(c.m,G271)))/10</f>
        <v>47.180430028880281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4">
        <v>43357</v>
      </c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3">
        <f t="shared" ref="AR271:AR334" si="118">INDEX(x.2lg,AP271)</f>
        <v>43360</v>
      </c>
      <c r="AS271" s="752">
        <f t="shared" ref="AS271:AS334" si="119">($A271-AR271)/(INDEX(x.2lg,AQ271)-AR271)</f>
        <v>0.10714285714285714</v>
      </c>
      <c r="AT271" s="768">
        <f t="shared" ref="AT271:AT334" si="120">((1-AS271)*(INDEX(a.lg,AP271)*$A271*$A271+INDEX(b.lg,AP271)*$A271+INDEX(c.lg,AP271))+AS271*(INDEX(a.lg,AQ271)*$A271*$A271+INDEX(b.lg,AQ271)*$A271+INDEX(c.lg,AQ271)))/10</f>
        <v>47.10883290812906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3">
        <f t="shared" ref="AW271:AW334" si="123">INDEX(x.2ld,AU271)</f>
        <v>43374</v>
      </c>
      <c r="AX271" s="752">
        <f t="shared" ref="AX271:AX334" si="124">($A271-AW271)/(INDEX(x.2ld,AV271)-AW271)</f>
        <v>0.6071428571428571</v>
      </c>
      <c r="AY271" s="768">
        <f t="shared" ref="AY271:AY334" si="125">((1-AX271)*(INDEX(a.ld,AU271)*$A271*$A271+INDEX(b.ld,AU271)*$A271+INDEX(c.ld,AU271))+AX271*(INDEX(a.ld,AV271)*$A271*$A271+INDEX(b.ld,AV271)*$A271+INDEX(c.ld,AV271)))/10</f>
        <v>47.095695153434221</v>
      </c>
      <c r="AZ271" s="745">
        <f t="shared" si="111"/>
        <v>47.10226403078164</v>
      </c>
      <c r="BA271" s="642">
        <f t="shared" ref="BA271:BA334" si="126">+B271/J271</f>
        <v>0.94813547456384173</v>
      </c>
      <c r="BC271" s="11">
        <v>43357</v>
      </c>
      <c r="BD271" s="290">
        <f>[2]!FeuilCaduc*(1-Persistant)+Persistant</f>
        <v>0.97749532902792469</v>
      </c>
      <c r="BE271" s="291">
        <f>[2]!CroissVégét</f>
        <v>0.98131846090840358</v>
      </c>
      <c r="BF271" s="815">
        <f>1+[2]!Salcycl*Ksac</f>
        <v>1.0462492215046542</v>
      </c>
      <c r="BH271" s="1052">
        <f t="shared" ref="BH271:BH334" si="127">INDEX($BJ271:$BT271,,$BH$10)*(1-Ratini)+INDEX($BJ271:$BT271,,$BH$10+1)*Ratini</f>
        <v>5.4928520795254256E-3</v>
      </c>
      <c r="BI271" s="11">
        <v>44453</v>
      </c>
      <c r="BJ271" s="725">
        <v>9.604003107182424E-5</v>
      </c>
      <c r="BK271" s="725">
        <v>6.3004216667889306E-4</v>
      </c>
      <c r="BL271" s="725">
        <v>1.7372508324059027E-3</v>
      </c>
      <c r="BM271" s="725">
        <v>3.8789084077536112E-3</v>
      </c>
      <c r="BN271" s="725">
        <v>7.9209418909004323E-3</v>
      </c>
      <c r="BO271" s="726">
        <v>1.460941934097095E-2</v>
      </c>
      <c r="BP271" s="725">
        <v>2.4002099533013688E-2</v>
      </c>
      <c r="BQ271" s="725">
        <v>3.5606047897117556E-2</v>
      </c>
      <c r="BR271" s="725">
        <v>5.0141904967196754E-2</v>
      </c>
      <c r="BS271" s="725">
        <v>6.739357995694191E-2</v>
      </c>
      <c r="BT271" s="725">
        <v>8.6809235999242604E-2</v>
      </c>
      <c r="BW271" s="1189">
        <f>'2018'!R\Max</f>
        <v>0</v>
      </c>
      <c r="BX271" s="1187">
        <f>'2019'!R\Max</f>
        <v>0.87645874678233138</v>
      </c>
      <c r="BY271" s="1187">
        <f>'2020'!R\Max</f>
        <v>0.94813547456384173</v>
      </c>
      <c r="BZ271" s="1187">
        <f>'2021'!R\Max</f>
        <v>0.4108294679981993</v>
      </c>
      <c r="CA271" s="1187">
        <f>'2022'!R\Max</f>
        <v>0.77361646357628222</v>
      </c>
      <c r="CB271" s="1187">
        <f>'2023'!R\Max</f>
        <v>0.77349361363515579</v>
      </c>
      <c r="CC271" s="1187">
        <f>'2024'!R\Max</f>
        <v>0.77335679830032444</v>
      </c>
      <c r="CD271" s="1187">
        <f>'2025'!R\Max</f>
        <v>0.77398516836854558</v>
      </c>
      <c r="CE271" s="1187">
        <f>'2026'!R\Max</f>
        <v>0.77391757762453817</v>
      </c>
      <c r="CF271" s="1188">
        <f>'2027'!R\Max</f>
        <v>0.77383024778039167</v>
      </c>
    </row>
    <row r="272" spans="1:84" s="6" customFormat="1" ht="11.25" x14ac:dyDescent="0.2">
      <c r="A272" s="11">
        <v>43358</v>
      </c>
      <c r="B272" s="380">
        <f>'2022'!Maxi_hp</f>
        <v>45.524121434792207</v>
      </c>
      <c r="C272" s="13">
        <f>'2022'!An_max</f>
        <v>2020</v>
      </c>
      <c r="D272" s="1061"/>
      <c r="E272" s="13"/>
      <c r="F272" s="13">
        <f t="shared" ref="F272:F335" si="128">INT(MATCH($A272,x.2m)/2)*2+1</f>
        <v>19</v>
      </c>
      <c r="G272" s="13">
        <f t="shared" si="112"/>
        <v>20</v>
      </c>
      <c r="H272" s="173">
        <f t="shared" si="113"/>
        <v>43346</v>
      </c>
      <c r="I272" s="752">
        <f t="shared" si="114"/>
        <v>0.8571428571428571</v>
      </c>
      <c r="J272" s="745">
        <f t="shared" si="115"/>
        <v>46.789212827703786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4">
        <v>43358</v>
      </c>
      <c r="AP272" s="13">
        <f t="shared" si="116"/>
        <v>11</v>
      </c>
      <c r="AQ272" s="13">
        <f t="shared" si="117"/>
        <v>10</v>
      </c>
      <c r="AR272" s="173">
        <f t="shared" si="118"/>
        <v>43360</v>
      </c>
      <c r="AS272" s="752">
        <f t="shared" si="119"/>
        <v>7.1428571428571425E-2</v>
      </c>
      <c r="AT272" s="768">
        <f t="shared" si="120"/>
        <v>46.740561224626639</v>
      </c>
      <c r="AU272" s="13">
        <f t="shared" si="121"/>
        <v>11</v>
      </c>
      <c r="AV272" s="13">
        <f t="shared" si="122"/>
        <v>10</v>
      </c>
      <c r="AW272" s="173">
        <f t="shared" si="123"/>
        <v>43374</v>
      </c>
      <c r="AX272" s="752">
        <f t="shared" si="124"/>
        <v>0.5714285714285714</v>
      </c>
      <c r="AY272" s="768">
        <f t="shared" si="125"/>
        <v>46.687755101999002</v>
      </c>
      <c r="AZ272" s="745">
        <f t="shared" ref="AZ272:AZ335" si="129">(AY272+AT272)/2</f>
        <v>46.714158163312817</v>
      </c>
      <c r="BA272" s="642">
        <f t="shared" si="126"/>
        <v>0.97296190047970799</v>
      </c>
      <c r="BC272" s="11">
        <v>43358</v>
      </c>
      <c r="BD272" s="290">
        <f>[2]!FeuilCaduc*(1-Persistant)+Persistant</f>
        <v>0.97628476545847698</v>
      </c>
      <c r="BE272" s="291">
        <f>[2]!CroissVégét</f>
        <v>0.98207001412819972</v>
      </c>
      <c r="BF272" s="815">
        <f>1+[2]!Salcycl*Ksac</f>
        <v>1.0460474609097461</v>
      </c>
      <c r="BH272" s="1052">
        <f t="shared" si="127"/>
        <v>5.8235096356585615E-3</v>
      </c>
      <c r="BI272" s="11">
        <v>44454</v>
      </c>
      <c r="BJ272" s="725">
        <v>1.1555132256465526E-4</v>
      </c>
      <c r="BK272" s="725">
        <v>7.1392707735720077E-4</v>
      </c>
      <c r="BL272" s="725">
        <v>1.903838116909361E-3</v>
      </c>
      <c r="BM272" s="725">
        <v>4.1597928911114241E-3</v>
      </c>
      <c r="BN272" s="725">
        <v>8.3264803074999776E-3</v>
      </c>
      <c r="BO272" s="726">
        <v>1.5167609946117615E-2</v>
      </c>
      <c r="BP272" s="725">
        <v>2.4728132272551464E-2</v>
      </c>
      <c r="BQ272" s="725">
        <v>3.6437028993899674E-2</v>
      </c>
      <c r="BR272" s="725">
        <v>5.0905282949236762E-2</v>
      </c>
      <c r="BS272" s="725">
        <v>6.7975949293461901E-2</v>
      </c>
      <c r="BT272" s="725">
        <v>8.7181879076204186E-2</v>
      </c>
      <c r="BW272" s="1189">
        <f>'2018'!R\Max</f>
        <v>0</v>
      </c>
      <c r="BX272" s="1187">
        <f>'2019'!R\Max</f>
        <v>0.88446183102752141</v>
      </c>
      <c r="BY272" s="1187">
        <f>'2020'!R\Max</f>
        <v>0.97296190047970799</v>
      </c>
      <c r="BZ272" s="1187">
        <f>'2021'!R\Max</f>
        <v>0.62964582793767432</v>
      </c>
      <c r="CA272" s="1187">
        <f>'2022'!R\Max</f>
        <v>0.88961612593820283</v>
      </c>
      <c r="CB272" s="1187">
        <f>'2023'!R\Max</f>
        <v>0.88954550470955662</v>
      </c>
      <c r="CC272" s="1187">
        <f>'2024'!R\Max</f>
        <v>0.8894671914151121</v>
      </c>
      <c r="CD272" s="1187">
        <f>'2025'!R\Max</f>
        <v>0.88982886102575309</v>
      </c>
      <c r="CE272" s="1187">
        <f>'2026'!R\Max</f>
        <v>0.88978968934822289</v>
      </c>
      <c r="CF272" s="1188">
        <f>'2027'!R\Max</f>
        <v>0.88973926706983975</v>
      </c>
    </row>
    <row r="273" spans="1:84" s="6" customFormat="1" ht="11.25" x14ac:dyDescent="0.2">
      <c r="A273" s="11">
        <v>43359</v>
      </c>
      <c r="B273" s="380">
        <f>'2022'!Maxi_hp</f>
        <v>41.220294819613947</v>
      </c>
      <c r="C273" s="13">
        <f>'2022'!An_max</f>
        <v>2020</v>
      </c>
      <c r="D273" s="1061"/>
      <c r="E273" s="13"/>
      <c r="F273" s="13">
        <f t="shared" si="128"/>
        <v>19</v>
      </c>
      <c r="G273" s="13">
        <f t="shared" si="112"/>
        <v>20</v>
      </c>
      <c r="H273" s="173">
        <f t="shared" si="113"/>
        <v>43346</v>
      </c>
      <c r="I273" s="752">
        <f t="shared" si="114"/>
        <v>0.9285714285714286</v>
      </c>
      <c r="J273" s="745">
        <f t="shared" si="115"/>
        <v>46.395590378956072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4">
        <v>43359</v>
      </c>
      <c r="AP273" s="13">
        <f t="shared" si="116"/>
        <v>11</v>
      </c>
      <c r="AQ273" s="13">
        <f t="shared" si="117"/>
        <v>10</v>
      </c>
      <c r="AR273" s="173">
        <f t="shared" si="118"/>
        <v>43360</v>
      </c>
      <c r="AS273" s="752">
        <f t="shared" si="119"/>
        <v>3.5714285714285712E-2</v>
      </c>
      <c r="AT273" s="768">
        <f t="shared" si="120"/>
        <v>46.370886479025444</v>
      </c>
      <c r="AU273" s="13">
        <f t="shared" si="121"/>
        <v>11</v>
      </c>
      <c r="AV273" s="13">
        <f t="shared" si="122"/>
        <v>10</v>
      </c>
      <c r="AW273" s="173">
        <f t="shared" si="123"/>
        <v>43374</v>
      </c>
      <c r="AX273" s="752">
        <f t="shared" si="124"/>
        <v>0.5357142857142857</v>
      </c>
      <c r="AY273" s="768">
        <f t="shared" si="125"/>
        <v>46.276498724909366</v>
      </c>
      <c r="AZ273" s="745">
        <f t="shared" si="129"/>
        <v>46.323692601967409</v>
      </c>
      <c r="BA273" s="642">
        <f t="shared" si="126"/>
        <v>0.8884528568971608</v>
      </c>
      <c r="BC273" s="11">
        <v>43359</v>
      </c>
      <c r="BD273" s="290">
        <f>[2]!FeuilCaduc*(1-Persistant)+Persistant</f>
        <v>0.97502213843069208</v>
      </c>
      <c r="BE273" s="291">
        <f>[2]!CroissVégét</f>
        <v>0.98279238947199099</v>
      </c>
      <c r="BF273" s="815">
        <f>1+[2]!Salcycl*Ksac</f>
        <v>1.0458370230717819</v>
      </c>
      <c r="BH273" s="1052">
        <f t="shared" si="127"/>
        <v>6.1614203623336777E-3</v>
      </c>
      <c r="BI273" s="11">
        <v>44455</v>
      </c>
      <c r="BJ273" s="725">
        <v>1.3734508631345666E-4</v>
      </c>
      <c r="BK273" s="725">
        <v>8.0354383744393786E-4</v>
      </c>
      <c r="BL273" s="725">
        <v>2.0790643415375927E-3</v>
      </c>
      <c r="BM273" s="725">
        <v>4.450447795105077E-3</v>
      </c>
      <c r="BN273" s="725">
        <v>8.7354848298185576E-3</v>
      </c>
      <c r="BO273" s="726">
        <v>1.5710367331495306E-2</v>
      </c>
      <c r="BP273" s="725">
        <v>2.5417850960289461E-2</v>
      </c>
      <c r="BQ273" s="725">
        <v>3.7210641104588008E-2</v>
      </c>
      <c r="BR273" s="725">
        <v>5.158354540611812E-2</v>
      </c>
      <c r="BS273" s="725">
        <v>6.843071370121806E-2</v>
      </c>
      <c r="BT273" s="725">
        <v>8.7373459351569552E-2</v>
      </c>
      <c r="BW273" s="1189">
        <f>'2018'!R\Max</f>
        <v>0</v>
      </c>
      <c r="BX273" s="1187">
        <f>'2019'!R\Max</f>
        <v>0.88500776576869744</v>
      </c>
      <c r="BY273" s="1187">
        <f>'2020'!R\Max</f>
        <v>0.8884528568971608</v>
      </c>
      <c r="BZ273" s="1187">
        <f>'2021'!R\Max</f>
        <v>0.45931663443345466</v>
      </c>
      <c r="CA273" s="1187">
        <f>'2022'!R\Max</f>
        <v>0.7696065723963087</v>
      </c>
      <c r="CB273" s="1187">
        <f>'2023'!R\Max</f>
        <v>0.76947617300354754</v>
      </c>
      <c r="CC273" s="1187">
        <f>'2024'!R\Max</f>
        <v>0.76933219487018933</v>
      </c>
      <c r="CD273" s="1187">
        <f>'2025'!R\Max</f>
        <v>0.77000092843161849</v>
      </c>
      <c r="CE273" s="1187">
        <f>'2026'!R\Max</f>
        <v>0.76992795750041176</v>
      </c>
      <c r="CF273" s="1188">
        <f>'2027'!R\Max</f>
        <v>0.76983443352391268</v>
      </c>
    </row>
    <row r="274" spans="1:84" s="6" customFormat="1" ht="11.25" x14ac:dyDescent="0.2">
      <c r="A274" s="11">
        <v>43360</v>
      </c>
      <c r="B274" s="380">
        <f>'2022'!Maxi_hp</f>
        <v>46.687439753460573</v>
      </c>
      <c r="C274" s="13">
        <f>'2022'!An_max</f>
        <v>2022</v>
      </c>
      <c r="D274" s="1061"/>
      <c r="E274" s="1056">
        <f>AF$13/10</f>
        <v>46</v>
      </c>
      <c r="F274" s="13">
        <f t="shared" si="128"/>
        <v>21</v>
      </c>
      <c r="G274" s="13">
        <f t="shared" si="112"/>
        <v>20</v>
      </c>
      <c r="H274" s="173">
        <f t="shared" si="113"/>
        <v>43374</v>
      </c>
      <c r="I274" s="752">
        <f t="shared" si="114"/>
        <v>1</v>
      </c>
      <c r="J274" s="745">
        <f t="shared" si="115"/>
        <v>45.99999999962747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4">
        <v>43360</v>
      </c>
      <c r="AP274" s="13">
        <f t="shared" si="116"/>
        <v>11</v>
      </c>
      <c r="AQ274" s="13">
        <f t="shared" si="117"/>
        <v>12</v>
      </c>
      <c r="AR274" s="173">
        <f t="shared" si="118"/>
        <v>43360</v>
      </c>
      <c r="AS274" s="752">
        <f t="shared" si="119"/>
        <v>0</v>
      </c>
      <c r="AT274" s="768">
        <f t="shared" si="120"/>
        <v>45.999999999254939</v>
      </c>
      <c r="AU274" s="13">
        <f t="shared" si="121"/>
        <v>11</v>
      </c>
      <c r="AV274" s="13">
        <f t="shared" si="122"/>
        <v>10</v>
      </c>
      <c r="AW274" s="173">
        <f t="shared" si="123"/>
        <v>43374</v>
      </c>
      <c r="AX274" s="752">
        <f t="shared" si="124"/>
        <v>0.5</v>
      </c>
      <c r="AY274" s="768">
        <f t="shared" si="125"/>
        <v>45.862499999999997</v>
      </c>
      <c r="AZ274" s="745">
        <f t="shared" si="129"/>
        <v>45.931249999627468</v>
      </c>
      <c r="BA274" s="642">
        <f t="shared" si="126"/>
        <v>1.0149443424747537</v>
      </c>
      <c r="BC274" s="11">
        <v>43360</v>
      </c>
      <c r="BD274" s="290">
        <f>[2]!FeuilCaduc*(1-Persistant)+Persistant</f>
        <v>0.97370548093762199</v>
      </c>
      <c r="BE274" s="291">
        <f>[2]!CroissVégét</f>
        <v>0.98348667856218763</v>
      </c>
      <c r="BF274" s="815">
        <f>1+[2]!Salcycl*Ksac</f>
        <v>1.0456175801562704</v>
      </c>
      <c r="BH274" s="1052">
        <f t="shared" si="127"/>
        <v>6.5066012668774341E-3</v>
      </c>
      <c r="BI274" s="11">
        <v>44456</v>
      </c>
      <c r="BJ274" s="725">
        <v>1.6142374350049094E-4</v>
      </c>
      <c r="BK274" s="725">
        <v>8.988996909194203E-4</v>
      </c>
      <c r="BL274" s="725">
        <v>2.2629418183705017E-3</v>
      </c>
      <c r="BM274" s="725">
        <v>4.7508902708690908E-3</v>
      </c>
      <c r="BN274" s="725">
        <v>9.1479722488317823E-3</v>
      </c>
      <c r="BO274" s="726">
        <v>1.6237699359712116E-2</v>
      </c>
      <c r="BP274" s="725">
        <v>2.6071253889528603E-2</v>
      </c>
      <c r="BQ274" s="725">
        <v>3.792687118517097E-2</v>
      </c>
      <c r="BR274" s="725">
        <v>5.2176657731138179E-2</v>
      </c>
      <c r="BS274" s="725">
        <v>6.8757802304967239E-2</v>
      </c>
      <c r="BT274" s="725">
        <v>8.7383860520785742E-2</v>
      </c>
      <c r="BW274" s="1189">
        <f>'2018'!R\Max</f>
        <v>0</v>
      </c>
      <c r="BX274" s="1187">
        <f>'2019'!R\Max</f>
        <v>0.86718134947399605</v>
      </c>
      <c r="BY274" s="1187">
        <f>'2020'!R\Max</f>
        <v>0.88205350419993178</v>
      </c>
      <c r="BZ274" s="1187">
        <f>'2021'!R\Max</f>
        <v>0.93704669855317724</v>
      </c>
      <c r="CA274" s="1187">
        <f>'2022'!R\Max</f>
        <v>1.0149443424747537</v>
      </c>
      <c r="CB274" s="1187">
        <f>'2023'!R\Max</f>
        <v>1.0149443424747537</v>
      </c>
      <c r="CC274" s="1187">
        <f>'2024'!R\Max</f>
        <v>1.014944342474754</v>
      </c>
      <c r="CD274" s="1187">
        <f>'2025'!R\Max</f>
        <v>1.0149443424747537</v>
      </c>
      <c r="CE274" s="1187">
        <f>'2026'!R\Max</f>
        <v>1.0149443424747535</v>
      </c>
      <c r="CF274" s="1188">
        <f>'2027'!R\Max</f>
        <v>1.014944342474754</v>
      </c>
    </row>
    <row r="275" spans="1:84" s="6" customFormat="1" ht="11.25" x14ac:dyDescent="0.2">
      <c r="A275" s="11">
        <v>43361</v>
      </c>
      <c r="B275" s="380">
        <f>'2022'!Maxi_hp</f>
        <v>46.156800921335282</v>
      </c>
      <c r="C275" s="13">
        <f>'2022'!An_max</f>
        <v>2022</v>
      </c>
      <c r="D275" s="1061"/>
      <c r="E275" s="13"/>
      <c r="F275" s="13">
        <f t="shared" si="128"/>
        <v>21</v>
      </c>
      <c r="G275" s="13">
        <f t="shared" si="112"/>
        <v>20</v>
      </c>
      <c r="H275" s="173">
        <f t="shared" si="113"/>
        <v>43374</v>
      </c>
      <c r="I275" s="752">
        <f t="shared" si="114"/>
        <v>0.9285714285714286</v>
      </c>
      <c r="J275" s="745">
        <f t="shared" si="115"/>
        <v>45.599416909167282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4">
        <v>43361</v>
      </c>
      <c r="AP275" s="13">
        <f t="shared" si="116"/>
        <v>11</v>
      </c>
      <c r="AQ275" s="13">
        <f t="shared" si="117"/>
        <v>12</v>
      </c>
      <c r="AR275" s="173">
        <f t="shared" si="118"/>
        <v>43360</v>
      </c>
      <c r="AS275" s="752">
        <f t="shared" si="119"/>
        <v>3.5714285714285712E-2</v>
      </c>
      <c r="AT275" s="768">
        <f t="shared" si="120"/>
        <v>45.624708454896293</v>
      </c>
      <c r="AU275" s="13">
        <f t="shared" si="121"/>
        <v>11</v>
      </c>
      <c r="AV275" s="13">
        <f t="shared" si="122"/>
        <v>10</v>
      </c>
      <c r="AW275" s="173">
        <f t="shared" si="123"/>
        <v>43374</v>
      </c>
      <c r="AX275" s="752">
        <f t="shared" si="124"/>
        <v>0.4642857142857143</v>
      </c>
      <c r="AY275" s="768">
        <f t="shared" si="125"/>
        <v>45.446332908325296</v>
      </c>
      <c r="AZ275" s="745">
        <f t="shared" si="129"/>
        <v>45.535520681610791</v>
      </c>
      <c r="BA275" s="642">
        <f t="shared" si="126"/>
        <v>1.0122234899029146</v>
      </c>
      <c r="BC275" s="11">
        <v>43361</v>
      </c>
      <c r="BD275" s="290">
        <f>[2]!FeuilCaduc*(1-Persistant)+Persistant</f>
        <v>0.97233278266802214</v>
      </c>
      <c r="BE275" s="291">
        <f>[2]!CroissVégét</f>
        <v>0.98415393538190332</v>
      </c>
      <c r="BF275" s="815">
        <f>1+[2]!Salcycl*Ksac</f>
        <v>1.0453887971113371</v>
      </c>
      <c r="BH275" s="1052">
        <f t="shared" si="127"/>
        <v>6.8590700451869636E-3</v>
      </c>
      <c r="BI275" s="11">
        <v>44457</v>
      </c>
      <c r="BJ275" s="725">
        <v>1.877898766217492E-4</v>
      </c>
      <c r="BK275" s="725">
        <v>1.0000023099526062E-3</v>
      </c>
      <c r="BL275" s="725">
        <v>2.4554835311365059E-3</v>
      </c>
      <c r="BM275" s="725">
        <v>5.0611382896143401E-3</v>
      </c>
      <c r="BN275" s="725">
        <v>9.5639598462423543E-3</v>
      </c>
      <c r="BO275" s="726">
        <v>1.6749613252981941E-2</v>
      </c>
      <c r="BP275" s="725">
        <v>2.6688337461218417E-2</v>
      </c>
      <c r="BQ275" s="725">
        <v>3.8585702991924112E-2</v>
      </c>
      <c r="BR275" s="725">
        <v>5.2684580257436588E-2</v>
      </c>
      <c r="BS275" s="725">
        <v>6.8957136272559227E-2</v>
      </c>
      <c r="BT275" s="725">
        <v>8.721295469188739E-2</v>
      </c>
      <c r="BW275" s="1189">
        <f>'2018'!R\Max</f>
        <v>0</v>
      </c>
      <c r="BX275" s="1187">
        <f>'2019'!R\Max</f>
        <v>0.59334534410102624</v>
      </c>
      <c r="BY275" s="1187">
        <f>'2020'!R\Max</f>
        <v>0.89279979366561379</v>
      </c>
      <c r="BZ275" s="1187">
        <f>'2021'!R\Max</f>
        <v>0.22761494443614241</v>
      </c>
      <c r="CA275" s="1187">
        <f>'2022'!R\Max</f>
        <v>1.0122234899029146</v>
      </c>
      <c r="CB275" s="1187">
        <f>'2023'!R\Max</f>
        <v>1.0122234899029148</v>
      </c>
      <c r="CC275" s="1187">
        <f>'2024'!R\Max</f>
        <v>1.012223489902915</v>
      </c>
      <c r="CD275" s="1187">
        <f>'2025'!R\Max</f>
        <v>1.0122234899029146</v>
      </c>
      <c r="CE275" s="1187">
        <f>'2026'!R\Max</f>
        <v>1.0122234899029148</v>
      </c>
      <c r="CF275" s="1188">
        <f>'2027'!R\Max</f>
        <v>1.0122234899029148</v>
      </c>
    </row>
    <row r="276" spans="1:84" s="6" customFormat="1" ht="11.25" x14ac:dyDescent="0.2">
      <c r="A276" s="11">
        <v>43362</v>
      </c>
      <c r="B276" s="380">
        <f>'2022'!Maxi_hp</f>
        <v>44.370974570384895</v>
      </c>
      <c r="C276" s="13">
        <f>'2022'!An_max</f>
        <v>2022</v>
      </c>
      <c r="D276" s="1061"/>
      <c r="E276" s="13"/>
      <c r="F276" s="13">
        <f t="shared" si="128"/>
        <v>21</v>
      </c>
      <c r="G276" s="13">
        <f t="shared" si="112"/>
        <v>20</v>
      </c>
      <c r="H276" s="173">
        <f t="shared" si="113"/>
        <v>43374</v>
      </c>
      <c r="I276" s="752">
        <f t="shared" si="114"/>
        <v>0.8571428571428571</v>
      </c>
      <c r="J276" s="745">
        <f t="shared" si="115"/>
        <v>45.191253643908674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4">
        <v>43362</v>
      </c>
      <c r="AP276" s="13">
        <f t="shared" si="116"/>
        <v>11</v>
      </c>
      <c r="AQ276" s="13">
        <f t="shared" si="117"/>
        <v>12</v>
      </c>
      <c r="AR276" s="173">
        <f t="shared" si="118"/>
        <v>43360</v>
      </c>
      <c r="AS276" s="752">
        <f t="shared" si="119"/>
        <v>7.1428571428571425E-2</v>
      </c>
      <c r="AT276" s="768">
        <f t="shared" si="120"/>
        <v>45.242055393276473</v>
      </c>
      <c r="AU276" s="13">
        <f t="shared" si="121"/>
        <v>11</v>
      </c>
      <c r="AV276" s="13">
        <f t="shared" si="122"/>
        <v>10</v>
      </c>
      <c r="AW276" s="173">
        <f t="shared" si="123"/>
        <v>43374</v>
      </c>
      <c r="AX276" s="752">
        <f t="shared" si="124"/>
        <v>0.42857142857142855</v>
      </c>
      <c r="AY276" s="768">
        <f t="shared" si="125"/>
        <v>45.028571429156827</v>
      </c>
      <c r="AZ276" s="745">
        <f t="shared" si="129"/>
        <v>45.13531341121665</v>
      </c>
      <c r="BA276" s="642">
        <f t="shared" si="126"/>
        <v>0.98184872055138606</v>
      </c>
      <c r="BC276" s="11">
        <v>43362</v>
      </c>
      <c r="BD276" s="290">
        <f>[2]!FeuilCaduc*(1-Persistant)+Persistant</f>
        <v>0.97090199668777588</v>
      </c>
      <c r="BE276" s="291">
        <f>[2]!CroissVégét</f>
        <v>0.98479517732042654</v>
      </c>
      <c r="BF276" s="815">
        <f>1+[2]!Salcycl*Ksac</f>
        <v>1.0451503327812959</v>
      </c>
      <c r="BH276" s="1052">
        <f t="shared" si="127"/>
        <v>7.2091453844664102E-3</v>
      </c>
      <c r="BI276" s="11">
        <v>44458</v>
      </c>
      <c r="BJ276" s="725">
        <v>2.1702866764271463E-4</v>
      </c>
      <c r="BK276" s="725">
        <v>1.105568113504369E-3</v>
      </c>
      <c r="BL276" s="725">
        <v>2.6534324383102052E-3</v>
      </c>
      <c r="BM276" s="725">
        <v>5.3735025857818731E-3</v>
      </c>
      <c r="BN276" s="725">
        <v>9.9707693833490617E-3</v>
      </c>
      <c r="BO276" s="726">
        <v>1.7224816873991553E-2</v>
      </c>
      <c r="BP276" s="725">
        <v>2.7231298185617012E-2</v>
      </c>
      <c r="BQ276" s="725">
        <v>3.9138044867849379E-2</v>
      </c>
      <c r="BR276" s="725">
        <v>5.3060001299108324E-2</v>
      </c>
      <c r="BS276" s="725">
        <v>6.8998662635047933E-2</v>
      </c>
      <c r="BT276" s="725">
        <v>8.6849385240759483E-2</v>
      </c>
      <c r="BW276" s="1189">
        <f>'2018'!R\Max</f>
        <v>0</v>
      </c>
      <c r="BX276" s="1187">
        <f>'2019'!R\Max</f>
        <v>0.91335776880712338</v>
      </c>
      <c r="BY276" s="1187">
        <f>'2020'!R\Max</f>
        <v>0.42956504341124729</v>
      </c>
      <c r="BZ276" s="1187">
        <f>'2021'!R\Max</f>
        <v>0.78611133257195898</v>
      </c>
      <c r="CA276" s="1187">
        <f>'2022'!R\Max</f>
        <v>0.98184872055138606</v>
      </c>
      <c r="CB276" s="1187">
        <f>'2023'!R\Max</f>
        <v>0.98183490539410689</v>
      </c>
      <c r="CC276" s="1187">
        <f>'2024'!R\Max</f>
        <v>0.98181980631463428</v>
      </c>
      <c r="CD276" s="1187">
        <f>'2025'!R\Max</f>
        <v>0.98189084698599971</v>
      </c>
      <c r="CE276" s="1187">
        <f>'2026'!R\Max</f>
        <v>0.98188293885970146</v>
      </c>
      <c r="CF276" s="1188">
        <f>'2027'!R\Max</f>
        <v>0.98187295145578624</v>
      </c>
    </row>
    <row r="277" spans="1:84" s="6" customFormat="1" ht="11.25" x14ac:dyDescent="0.2">
      <c r="A277" s="11">
        <v>43363</v>
      </c>
      <c r="B277" s="380">
        <f>'2022'!Maxi_hp</f>
        <v>46.243426743251511</v>
      </c>
      <c r="C277" s="13">
        <f>'2022'!An_max</f>
        <v>2022</v>
      </c>
      <c r="D277" s="1061"/>
      <c r="E277" s="13"/>
      <c r="F277" s="13">
        <f t="shared" si="128"/>
        <v>21</v>
      </c>
      <c r="G277" s="13">
        <f t="shared" si="112"/>
        <v>20</v>
      </c>
      <c r="H277" s="173">
        <f t="shared" si="113"/>
        <v>43374</v>
      </c>
      <c r="I277" s="752">
        <f t="shared" si="114"/>
        <v>0.7857142857142857</v>
      </c>
      <c r="J277" s="745">
        <f t="shared" si="115"/>
        <v>44.776603497844192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4">
        <v>43363</v>
      </c>
      <c r="AP277" s="13">
        <f t="shared" si="116"/>
        <v>11</v>
      </c>
      <c r="AQ277" s="13">
        <f t="shared" si="117"/>
        <v>12</v>
      </c>
      <c r="AR277" s="173">
        <f t="shared" si="118"/>
        <v>43360</v>
      </c>
      <c r="AS277" s="752">
        <f t="shared" si="119"/>
        <v>0.10714285714285714</v>
      </c>
      <c r="AT277" s="768">
        <f t="shared" si="120"/>
        <v>44.852587462722191</v>
      </c>
      <c r="AU277" s="13">
        <f t="shared" si="121"/>
        <v>11</v>
      </c>
      <c r="AV277" s="13">
        <f t="shared" si="122"/>
        <v>10</v>
      </c>
      <c r="AW277" s="173">
        <f t="shared" si="123"/>
        <v>43374</v>
      </c>
      <c r="AX277" s="752">
        <f t="shared" si="124"/>
        <v>0.39285714285714285</v>
      </c>
      <c r="AY277" s="768">
        <f t="shared" si="125"/>
        <v>44.609789540868121</v>
      </c>
      <c r="AZ277" s="745">
        <f t="shared" si="129"/>
        <v>44.73118850179516</v>
      </c>
      <c r="BA277" s="642">
        <f t="shared" si="126"/>
        <v>1.0327586983116739</v>
      </c>
      <c r="BC277" s="11">
        <v>43363</v>
      </c>
      <c r="BD277" s="290">
        <f>[2]!FeuilCaduc*(1-Persistant)+Persistant</f>
        <v>0.96941104721618121</v>
      </c>
      <c r="BE277" s="291">
        <f>[2]!CroissVégét</f>
        <v>0.98541138621054403</v>
      </c>
      <c r="BF277" s="815">
        <f>1+[2]!Salcycl*Ksac</f>
        <v>1.0449018412026969</v>
      </c>
      <c r="BH277" s="1052">
        <f t="shared" si="127"/>
        <v>7.5490128637457363E-3</v>
      </c>
      <c r="BI277" s="11">
        <v>44459</v>
      </c>
      <c r="BJ277" s="725">
        <v>2.4835202235880428E-4</v>
      </c>
      <c r="BK277" s="725">
        <v>1.2118815942141728E-3</v>
      </c>
      <c r="BL277" s="725">
        <v>2.8503912819758618E-3</v>
      </c>
      <c r="BM277" s="725">
        <v>5.6791239644888268E-3</v>
      </c>
      <c r="BN277" s="725">
        <v>1.0362158244280956E-2</v>
      </c>
      <c r="BO277" s="726">
        <v>1.7663383981361941E-2</v>
      </c>
      <c r="BP277" s="725">
        <v>2.7706479013834925E-2</v>
      </c>
      <c r="BQ277" s="725">
        <v>3.9597148107303567E-2</v>
      </c>
      <c r="BR277" s="725">
        <v>5.3337669341069593E-2</v>
      </c>
      <c r="BS277" s="725">
        <v>6.8944078993053229E-2</v>
      </c>
      <c r="BT277" s="725">
        <v>8.6382346614107888E-2</v>
      </c>
      <c r="BW277" s="1189">
        <f>'2018'!R\Max</f>
        <v>0</v>
      </c>
      <c r="BX277" s="1187">
        <f>'2019'!R\Max</f>
        <v>0.93705222484847428</v>
      </c>
      <c r="BY277" s="1187">
        <f>'2020'!R\Max</f>
        <v>0.72900485134483295</v>
      </c>
      <c r="BZ277" s="1187">
        <f>'2021'!R\Max</f>
        <v>0.66698954947083622</v>
      </c>
      <c r="CA277" s="1187">
        <f>'2022'!R\Max</f>
        <v>1.0327586983116739</v>
      </c>
      <c r="CB277" s="1187">
        <f>'2023'!R\Max</f>
        <v>1.0327586983116739</v>
      </c>
      <c r="CC277" s="1187">
        <f>'2024'!R\Max</f>
        <v>1.0327586983116739</v>
      </c>
      <c r="CD277" s="1187">
        <f>'2025'!R\Max</f>
        <v>1.0327586983116741</v>
      </c>
      <c r="CE277" s="1187">
        <f>'2026'!R\Max</f>
        <v>1.0327586983116737</v>
      </c>
      <c r="CF277" s="1188">
        <f>'2027'!R\Max</f>
        <v>1.0327586983116739</v>
      </c>
    </row>
    <row r="278" spans="1:84" s="6" customFormat="1" ht="11.25" x14ac:dyDescent="0.2">
      <c r="A278" s="11">
        <v>43364</v>
      </c>
      <c r="B278" s="380">
        <f>'2022'!Maxi_hp</f>
        <v>44.716228492902502</v>
      </c>
      <c r="C278" s="13">
        <f>'2022'!An_max</f>
        <v>2022</v>
      </c>
      <c r="D278" s="1061"/>
      <c r="E278" s="13"/>
      <c r="F278" s="13">
        <f t="shared" si="128"/>
        <v>21</v>
      </c>
      <c r="G278" s="13">
        <f t="shared" si="112"/>
        <v>20</v>
      </c>
      <c r="H278" s="173">
        <f t="shared" si="113"/>
        <v>43374</v>
      </c>
      <c r="I278" s="752">
        <f t="shared" si="114"/>
        <v>0.7142857142857143</v>
      </c>
      <c r="J278" s="745">
        <f t="shared" si="115"/>
        <v>44.356559766456485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4">
        <v>43364</v>
      </c>
      <c r="AP278" s="13">
        <f t="shared" si="116"/>
        <v>11</v>
      </c>
      <c r="AQ278" s="13">
        <f t="shared" si="117"/>
        <v>12</v>
      </c>
      <c r="AR278" s="173">
        <f t="shared" si="118"/>
        <v>43360</v>
      </c>
      <c r="AS278" s="752">
        <f t="shared" si="119"/>
        <v>0.14285714285714285</v>
      </c>
      <c r="AT278" s="768">
        <f t="shared" si="120"/>
        <v>44.456851312092375</v>
      </c>
      <c r="AU278" s="13">
        <f t="shared" si="121"/>
        <v>11</v>
      </c>
      <c r="AV278" s="13">
        <f t="shared" si="122"/>
        <v>10</v>
      </c>
      <c r="AW278" s="173">
        <f t="shared" si="123"/>
        <v>43374</v>
      </c>
      <c r="AX278" s="752">
        <f t="shared" si="124"/>
        <v>0.35714285714285715</v>
      </c>
      <c r="AY278" s="768">
        <f t="shared" si="125"/>
        <v>44.190561224460325</v>
      </c>
      <c r="AZ278" s="745">
        <f t="shared" si="129"/>
        <v>44.323706268276354</v>
      </c>
      <c r="BA278" s="642">
        <f t="shared" si="126"/>
        <v>1.0081085802943177</v>
      </c>
      <c r="BC278" s="11">
        <v>43364</v>
      </c>
      <c r="BD278" s="290">
        <f>[2]!FeuilCaduc*(1-Persistant)+Persistant</f>
        <v>0.96785783849489715</v>
      </c>
      <c r="BE278" s="291">
        <f>[2]!CroissVégét</f>
        <v>0.98600350935571934</v>
      </c>
      <c r="BF278" s="815">
        <f>1+[2]!Salcycl*Ksac</f>
        <v>1.0446429730824829</v>
      </c>
      <c r="BH278" s="1052">
        <f t="shared" si="127"/>
        <v>7.8786759295471596E-3</v>
      </c>
      <c r="BI278" s="11">
        <v>44460</v>
      </c>
      <c r="BJ278" s="725">
        <v>2.8176285959676477E-4</v>
      </c>
      <c r="BK278" s="725">
        <v>1.3189471299695043E-3</v>
      </c>
      <c r="BL278" s="725">
        <v>3.0463661701532092E-3</v>
      </c>
      <c r="BM278" s="725">
        <v>5.9780075028294608E-3</v>
      </c>
      <c r="BN278" s="725">
        <v>1.0738127422453968E-2</v>
      </c>
      <c r="BO278" s="726">
        <v>1.8065299543150129E-2</v>
      </c>
      <c r="BP278" s="725">
        <v>2.8113840201138433E-2</v>
      </c>
      <c r="BQ278" s="725">
        <v>3.996295181121387E-2</v>
      </c>
      <c r="BR278" s="725">
        <v>5.3517515621805865E-2</v>
      </c>
      <c r="BS278" s="725">
        <v>6.8793309444470166E-2</v>
      </c>
      <c r="BT278" s="725">
        <v>8.5811745445400781E-2</v>
      </c>
      <c r="BW278" s="1189">
        <f>'2018'!R\Max</f>
        <v>0</v>
      </c>
      <c r="BX278" s="1187">
        <f>'2019'!R\Max</f>
        <v>0.74585435215617191</v>
      </c>
      <c r="BY278" s="1187">
        <f>'2020'!R\Max</f>
        <v>0.73519323468255571</v>
      </c>
      <c r="BZ278" s="1187">
        <f>'2021'!R\Max</f>
        <v>0.27629507345201609</v>
      </c>
      <c r="CA278" s="1187">
        <f>'2022'!R\Max</f>
        <v>1.0081085802943177</v>
      </c>
      <c r="CB278" s="1187">
        <f>'2023'!R\Max</f>
        <v>1.0081085802943182</v>
      </c>
      <c r="CC278" s="1187">
        <f>'2024'!R\Max</f>
        <v>1.0081085802943179</v>
      </c>
      <c r="CD278" s="1187">
        <f>'2025'!R\Max</f>
        <v>1.0081085802943179</v>
      </c>
      <c r="CE278" s="1187">
        <f>'2026'!R\Max</f>
        <v>1.0081085802943179</v>
      </c>
      <c r="CF278" s="1188">
        <f>'2027'!R\Max</f>
        <v>1.0081085802943182</v>
      </c>
    </row>
    <row r="279" spans="1:84" s="6" customFormat="1" ht="11.25" x14ac:dyDescent="0.2">
      <c r="A279" s="11">
        <v>43365</v>
      </c>
      <c r="B279" s="380">
        <f>'2022'!Maxi_hp</f>
        <v>42.751746792119995</v>
      </c>
      <c r="C279" s="13">
        <f>'2022'!An_max</f>
        <v>2022</v>
      </c>
      <c r="D279" s="1061"/>
      <c r="E279" s="13"/>
      <c r="F279" s="13">
        <f t="shared" si="128"/>
        <v>21</v>
      </c>
      <c r="G279" s="13">
        <f t="shared" si="112"/>
        <v>20</v>
      </c>
      <c r="H279" s="173">
        <f t="shared" si="113"/>
        <v>43374</v>
      </c>
      <c r="I279" s="752">
        <f t="shared" si="114"/>
        <v>0.6428571428571429</v>
      </c>
      <c r="J279" s="745">
        <f t="shared" si="115"/>
        <v>43.932215743232518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4">
        <v>43365</v>
      </c>
      <c r="AP279" s="13">
        <f t="shared" si="116"/>
        <v>11</v>
      </c>
      <c r="AQ279" s="13">
        <f t="shared" si="117"/>
        <v>12</v>
      </c>
      <c r="AR279" s="173">
        <f t="shared" si="118"/>
        <v>43360</v>
      </c>
      <c r="AS279" s="752">
        <f t="shared" si="119"/>
        <v>0.17857142857142858</v>
      </c>
      <c r="AT279" s="768">
        <f t="shared" si="120"/>
        <v>44.055393585748973</v>
      </c>
      <c r="AU279" s="13">
        <f t="shared" si="121"/>
        <v>11</v>
      </c>
      <c r="AV279" s="13">
        <f t="shared" si="122"/>
        <v>10</v>
      </c>
      <c r="AW279" s="173">
        <f t="shared" si="123"/>
        <v>43374</v>
      </c>
      <c r="AX279" s="752">
        <f t="shared" si="124"/>
        <v>0.32142857142857145</v>
      </c>
      <c r="AY279" s="768">
        <f t="shared" si="125"/>
        <v>43.771460459387995</v>
      </c>
      <c r="AZ279" s="745">
        <f t="shared" si="129"/>
        <v>43.913427022568484</v>
      </c>
      <c r="BA279" s="642">
        <f t="shared" si="126"/>
        <v>0.97312976522714156</v>
      </c>
      <c r="BC279" s="11">
        <v>43365</v>
      </c>
      <c r="BD279" s="290">
        <f>[2]!FeuilCaduc*(1-Persistant)+Persistant</f>
        <v>0.9662402647341648</v>
      </c>
      <c r="BE279" s="291">
        <f>[2]!CroissVégét</f>
        <v>0.98657246054533965</v>
      </c>
      <c r="BF279" s="815">
        <f>1+[2]!Salcycl*Ksac</f>
        <v>1.0443733774556943</v>
      </c>
      <c r="BH279" s="1052">
        <f t="shared" si="127"/>
        <v>8.1981379417811109E-3</v>
      </c>
      <c r="BI279" s="11">
        <v>44461</v>
      </c>
      <c r="BJ279" s="725">
        <v>3.1726427668548831E-4</v>
      </c>
      <c r="BK279" s="725">
        <v>1.4267692878112274E-3</v>
      </c>
      <c r="BL279" s="725">
        <v>3.2413634268315204E-3</v>
      </c>
      <c r="BM279" s="725">
        <v>6.2701583149547746E-3</v>
      </c>
      <c r="BN279" s="725">
        <v>1.1098677638619723E-2</v>
      </c>
      <c r="BO279" s="726">
        <v>1.8430547178778144E-2</v>
      </c>
      <c r="BP279" s="725">
        <v>2.8453339018146943E-2</v>
      </c>
      <c r="BQ279" s="725">
        <v>4.0235390896667035E-2</v>
      </c>
      <c r="BR279" s="725">
        <v>5.359946739481232E-2</v>
      </c>
      <c r="BS279" s="725">
        <v>6.8546274696543563E-2</v>
      </c>
      <c r="BT279" s="725">
        <v>8.5137484979462427E-2</v>
      </c>
      <c r="BW279" s="1189">
        <f>'2018'!R\Max</f>
        <v>0</v>
      </c>
      <c r="BX279" s="1187">
        <f>'2019'!R\Max</f>
        <v>0.20949245812627373</v>
      </c>
      <c r="BY279" s="1187">
        <f>'2020'!R\Max</f>
        <v>0.64920168161636238</v>
      </c>
      <c r="BZ279" s="1187">
        <f>'2021'!R\Max</f>
        <v>0.93170653197657927</v>
      </c>
      <c r="CA279" s="1187">
        <f>'2022'!R\Max</f>
        <v>0.97312976522714156</v>
      </c>
      <c r="CB279" s="1187">
        <f>'2023'!R\Max</f>
        <v>0.97310897991645529</v>
      </c>
      <c r="CC279" s="1187">
        <f>'2024'!R\Max</f>
        <v>0.97308640069258501</v>
      </c>
      <c r="CD279" s="1187">
        <f>'2025'!R\Max</f>
        <v>0.9731937660261829</v>
      </c>
      <c r="CE279" s="1187">
        <f>'2026'!R\Max</f>
        <v>0.97318153838921817</v>
      </c>
      <c r="CF279" s="1188">
        <f>'2027'!R\Max</f>
        <v>0.973166376251416</v>
      </c>
    </row>
    <row r="280" spans="1:84" s="6" customFormat="1" ht="11.25" x14ac:dyDescent="0.2">
      <c r="A280" s="11">
        <v>43366</v>
      </c>
      <c r="B280" s="380">
        <f>'2022'!Maxi_hp</f>
        <v>39.201858465251448</v>
      </c>
      <c r="C280" s="13">
        <f>'2022'!An_max</f>
        <v>2019</v>
      </c>
      <c r="D280" s="1061"/>
      <c r="E280" s="13"/>
      <c r="F280" s="13">
        <f t="shared" si="128"/>
        <v>21</v>
      </c>
      <c r="G280" s="13">
        <f t="shared" si="112"/>
        <v>20</v>
      </c>
      <c r="H280" s="173">
        <f t="shared" si="113"/>
        <v>43374</v>
      </c>
      <c r="I280" s="752">
        <f t="shared" si="114"/>
        <v>0.5714285714285714</v>
      </c>
      <c r="J280" s="745">
        <f t="shared" si="115"/>
        <v>43.504664722351087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4">
        <v>43366</v>
      </c>
      <c r="AP280" s="13">
        <f t="shared" si="116"/>
        <v>11</v>
      </c>
      <c r="AQ280" s="13">
        <f t="shared" si="117"/>
        <v>12</v>
      </c>
      <c r="AR280" s="173">
        <f t="shared" si="118"/>
        <v>43360</v>
      </c>
      <c r="AS280" s="752">
        <f t="shared" si="119"/>
        <v>0.21428571428571427</v>
      </c>
      <c r="AT280" s="768">
        <f t="shared" si="120"/>
        <v>43.648760932816991</v>
      </c>
      <c r="AU280" s="13">
        <f t="shared" si="121"/>
        <v>11</v>
      </c>
      <c r="AV280" s="13">
        <f t="shared" si="122"/>
        <v>10</v>
      </c>
      <c r="AW280" s="173">
        <f t="shared" si="123"/>
        <v>43374</v>
      </c>
      <c r="AX280" s="752">
        <f t="shared" si="124"/>
        <v>0.2857142857142857</v>
      </c>
      <c r="AY280" s="768">
        <f t="shared" si="125"/>
        <v>43.353061224320641</v>
      </c>
      <c r="AZ280" s="745">
        <f t="shared" si="129"/>
        <v>43.500911078568819</v>
      </c>
      <c r="BA280" s="642">
        <f t="shared" si="126"/>
        <v>0.90109551965150492</v>
      </c>
      <c r="BC280" s="11">
        <v>43366</v>
      </c>
      <c r="BD280" s="290">
        <f>[2]!FeuilCaduc*(1-Persistant)+Persistant</f>
        <v>0.96455622110757722</v>
      </c>
      <c r="BE280" s="291">
        <f>[2]!CroissVégét</f>
        <v>0.98711912105647015</v>
      </c>
      <c r="BF280" s="815">
        <f>1+[2]!Salcycl*Ksac</f>
        <v>1.0440927035179295</v>
      </c>
      <c r="BH280" s="1052">
        <f t="shared" si="127"/>
        <v>8.5074474082414663E-3</v>
      </c>
      <c r="BI280" s="11">
        <v>44462</v>
      </c>
      <c r="BJ280" s="725">
        <v>3.5486144659739442E-4</v>
      </c>
      <c r="BK280" s="725">
        <v>1.5353610046994204E-3</v>
      </c>
      <c r="BL280" s="725">
        <v>3.4354078802429234E-3</v>
      </c>
      <c r="BM280" s="725">
        <v>6.5556164218343906E-3</v>
      </c>
      <c r="BN280" s="725">
        <v>1.1443870168534117E-2</v>
      </c>
      <c r="BO280" s="726">
        <v>1.8759208793241579E-2</v>
      </c>
      <c r="BP280" s="725">
        <v>2.8725082240015156E-2</v>
      </c>
      <c r="BQ280" s="725">
        <v>4.0414610595975432E-2</v>
      </c>
      <c r="BR280" s="725">
        <v>5.3583732307271113E-2</v>
      </c>
      <c r="BS280" s="725">
        <v>6.8203254005659797E-2</v>
      </c>
      <c r="BT280" s="725">
        <v>8.4359912694789277E-2</v>
      </c>
      <c r="BW280" s="1189">
        <f>'2018'!R\Max</f>
        <v>0</v>
      </c>
      <c r="BX280" s="1187">
        <f>'2019'!R\Max</f>
        <v>0.90109551965150492</v>
      </c>
      <c r="BY280" s="1187">
        <f>'2020'!R\Max</f>
        <v>0.62410427544217273</v>
      </c>
      <c r="BZ280" s="1187">
        <f>'2021'!R\Max</f>
        <v>0.78659155454905172</v>
      </c>
      <c r="CA280" s="1187">
        <f>'2022'!R\Max</f>
        <v>0.61630345150722865</v>
      </c>
      <c r="CB280" s="1187">
        <f>'2023'!R\Max</f>
        <v>0.61611508913099089</v>
      </c>
      <c r="CC280" s="1187">
        <f>'2024'!R\Max</f>
        <v>0.61591080763591266</v>
      </c>
      <c r="CD280" s="1187">
        <f>'2025'!R\Max</f>
        <v>0.61688628097873333</v>
      </c>
      <c r="CE280" s="1187">
        <f>'2026'!R\Max</f>
        <v>0.61677410432559887</v>
      </c>
      <c r="CF280" s="1188">
        <f>'2027'!R\Max</f>
        <v>0.61663602266198492</v>
      </c>
    </row>
    <row r="281" spans="1:84" s="6" customFormat="1" ht="11.25" x14ac:dyDescent="0.2">
      <c r="A281" s="11">
        <v>43367</v>
      </c>
      <c r="B281" s="380">
        <f>'2022'!Maxi_hp</f>
        <v>36.19529357264706</v>
      </c>
      <c r="C281" s="13">
        <f>'2022'!An_max</f>
        <v>2021</v>
      </c>
      <c r="D281" s="1061"/>
      <c r="E281" s="13"/>
      <c r="F281" s="13">
        <f t="shared" si="128"/>
        <v>21</v>
      </c>
      <c r="G281" s="13">
        <f t="shared" si="112"/>
        <v>20</v>
      </c>
      <c r="H281" s="173">
        <f t="shared" si="113"/>
        <v>43374</v>
      </c>
      <c r="I281" s="752">
        <f t="shared" si="114"/>
        <v>0.5</v>
      </c>
      <c r="J281" s="745">
        <f t="shared" si="115"/>
        <v>43.074999999720603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4">
        <v>43367</v>
      </c>
      <c r="AP281" s="13">
        <f t="shared" si="116"/>
        <v>11</v>
      </c>
      <c r="AQ281" s="13">
        <f t="shared" si="117"/>
        <v>12</v>
      </c>
      <c r="AR281" s="173">
        <f t="shared" si="118"/>
        <v>43360</v>
      </c>
      <c r="AS281" s="752">
        <f t="shared" si="119"/>
        <v>0.25</v>
      </c>
      <c r="AT281" s="768">
        <f t="shared" si="120"/>
        <v>43.237500000093135</v>
      </c>
      <c r="AU281" s="13">
        <f t="shared" si="121"/>
        <v>11</v>
      </c>
      <c r="AV281" s="13">
        <f t="shared" si="122"/>
        <v>10</v>
      </c>
      <c r="AW281" s="173">
        <f t="shared" si="123"/>
        <v>43374</v>
      </c>
      <c r="AX281" s="752">
        <f t="shared" si="124"/>
        <v>0.25</v>
      </c>
      <c r="AY281" s="768">
        <f t="shared" si="125"/>
        <v>42.935937500442378</v>
      </c>
      <c r="AZ281" s="745">
        <f t="shared" si="129"/>
        <v>43.086718750267757</v>
      </c>
      <c r="BA281" s="642">
        <f t="shared" si="126"/>
        <v>0.84028539925436641</v>
      </c>
      <c r="BC281" s="11">
        <v>43367</v>
      </c>
      <c r="BD281" s="290">
        <f>[2]!FeuilCaduc*(1-Persistant)+Persistant</f>
        <v>0.96280361575332274</v>
      </c>
      <c r="BE281" s="291">
        <f>[2]!CroissVégét</f>
        <v>0.98764434064074225</v>
      </c>
      <c r="BF281" s="815">
        <f>1+[2]!Salcycl*Ksac</f>
        <v>1.0438006026255537</v>
      </c>
      <c r="BH281" s="1052">
        <f t="shared" si="127"/>
        <v>8.8066356200829782E-3</v>
      </c>
      <c r="BI281" s="11">
        <v>44463</v>
      </c>
      <c r="BJ281" s="725">
        <v>3.9455953401530789E-4</v>
      </c>
      <c r="BK281" s="725">
        <v>1.6447333794668228E-3</v>
      </c>
      <c r="BL281" s="725">
        <v>3.6285190456936964E-3</v>
      </c>
      <c r="BM281" s="725">
        <v>6.8344096044631831E-3</v>
      </c>
      <c r="BN281" s="725">
        <v>1.1773741584195091E-2</v>
      </c>
      <c r="BO281" s="726">
        <v>1.9051320117563834E-2</v>
      </c>
      <c r="BP281" s="725">
        <v>2.8929100341970375E-2</v>
      </c>
      <c r="BQ281" s="725">
        <v>4.0500644987534411E-2</v>
      </c>
      <c r="BR281" s="725">
        <v>5.3470367961757741E-2</v>
      </c>
      <c r="BS281" s="725">
        <v>6.7764331824178126E-2</v>
      </c>
      <c r="BT281" s="725">
        <v>8.3479129548128819E-2</v>
      </c>
      <c r="BW281" s="1189">
        <f>'2018'!R\Max</f>
        <v>0</v>
      </c>
      <c r="BX281" s="1187">
        <f>'2019'!R\Max</f>
        <v>0.63058234588106177</v>
      </c>
      <c r="BY281" s="1187">
        <f>'2020'!R\Max</f>
        <v>0.82590528971124932</v>
      </c>
      <c r="BZ281" s="1187">
        <f>'2021'!R\Max</f>
        <v>0.84028539925436641</v>
      </c>
      <c r="CA281" s="1187">
        <f>'2022'!R\Max</f>
        <v>0.40495576966924729</v>
      </c>
      <c r="CB281" s="1187">
        <f>'2023'!R\Max</f>
        <v>0.40476400760557035</v>
      </c>
      <c r="CC281" s="1187">
        <f>'2024'!R\Max</f>
        <v>0.40455623292419007</v>
      </c>
      <c r="CD281" s="1187">
        <f>'2025'!R\Max</f>
        <v>0.40555191593963974</v>
      </c>
      <c r="CE281" s="1187">
        <f>'2026'!R\Max</f>
        <v>0.40543630387849733</v>
      </c>
      <c r="CF281" s="1188">
        <f>'2027'!R\Max</f>
        <v>0.40529508336827302</v>
      </c>
    </row>
    <row r="282" spans="1:84" s="6" customFormat="1" ht="11.25" x14ac:dyDescent="0.2">
      <c r="A282" s="11">
        <v>43368</v>
      </c>
      <c r="B282" s="380">
        <f>'2022'!Maxi_hp</f>
        <v>35.644929578113675</v>
      </c>
      <c r="C282" s="13">
        <f>'2022'!An_max</f>
        <v>2022</v>
      </c>
      <c r="D282" s="1061"/>
      <c r="E282" s="13"/>
      <c r="F282" s="13">
        <f t="shared" si="128"/>
        <v>21</v>
      </c>
      <c r="G282" s="13">
        <f t="shared" si="112"/>
        <v>20</v>
      </c>
      <c r="H282" s="173">
        <f t="shared" si="113"/>
        <v>43374</v>
      </c>
      <c r="I282" s="752">
        <f t="shared" si="114"/>
        <v>0.42857142857142855</v>
      </c>
      <c r="J282" s="745">
        <f t="shared" si="115"/>
        <v>42.644314868801402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4">
        <v>43368</v>
      </c>
      <c r="AP282" s="13">
        <f t="shared" si="116"/>
        <v>11</v>
      </c>
      <c r="AQ282" s="13">
        <f t="shared" si="117"/>
        <v>12</v>
      </c>
      <c r="AR282" s="173">
        <f t="shared" si="118"/>
        <v>43360</v>
      </c>
      <c r="AS282" s="752">
        <f t="shared" si="119"/>
        <v>0.2857142857142857</v>
      </c>
      <c r="AT282" s="768">
        <f t="shared" si="120"/>
        <v>42.822157434108</v>
      </c>
      <c r="AU282" s="13">
        <f t="shared" si="121"/>
        <v>11</v>
      </c>
      <c r="AV282" s="13">
        <f t="shared" si="122"/>
        <v>10</v>
      </c>
      <c r="AW282" s="173">
        <f t="shared" si="123"/>
        <v>43374</v>
      </c>
      <c r="AX282" s="752">
        <f t="shared" si="124"/>
        <v>0.21428571428571427</v>
      </c>
      <c r="AY282" s="768">
        <f t="shared" si="125"/>
        <v>42.520663265544655</v>
      </c>
      <c r="AZ282" s="745">
        <f t="shared" si="129"/>
        <v>42.671410349826331</v>
      </c>
      <c r="BA282" s="642">
        <f t="shared" si="126"/>
        <v>0.83586592228713519</v>
      </c>
      <c r="BC282" s="11">
        <v>43368</v>
      </c>
      <c r="BD282" s="290">
        <f>[2]!FeuilCaduc*(1-Persistant)+Persistant</f>
        <v>0.96098038272660347</v>
      </c>
      <c r="BE282" s="291">
        <f>[2]!CroissVégét</f>
        <v>0.98814893849517882</v>
      </c>
      <c r="BF282" s="815">
        <f>1+[2]!Salcycl*Ksac</f>
        <v>1.043496730454434</v>
      </c>
      <c r="BH282" s="1052">
        <f t="shared" si="127"/>
        <v>9.0843666342760032E-3</v>
      </c>
      <c r="BI282" s="11">
        <v>44464</v>
      </c>
      <c r="BJ282" s="725">
        <v>4.3678559591979455E-4</v>
      </c>
      <c r="BK282" s="725">
        <v>1.7534507280351377E-3</v>
      </c>
      <c r="BL282" s="725">
        <v>3.8156459648285013E-3</v>
      </c>
      <c r="BM282" s="725">
        <v>7.0970401800650512E-3</v>
      </c>
      <c r="BN282" s="725">
        <v>1.2074190380756709E-2</v>
      </c>
      <c r="BO282" s="726">
        <v>1.929390762761575E-2</v>
      </c>
      <c r="BP282" s="725">
        <v>2.905901945222435E-2</v>
      </c>
      <c r="BQ282" s="725">
        <v>4.0516533109181005E-2</v>
      </c>
      <c r="BR282" s="725">
        <v>5.3315636603650574E-2</v>
      </c>
      <c r="BS282" s="725">
        <v>6.7328165912697024E-2</v>
      </c>
      <c r="BT282" s="725">
        <v>8.262707759170225E-2</v>
      </c>
      <c r="BW282" s="1189">
        <f>'2018'!R\Max</f>
        <v>0</v>
      </c>
      <c r="BX282" s="1187">
        <f>'2019'!R\Max</f>
        <v>0.71700867746726415</v>
      </c>
      <c r="BY282" s="1187">
        <f>'2020'!R\Max</f>
        <v>0.46980449469326391</v>
      </c>
      <c r="BZ282" s="1187">
        <f>'2021'!R\Max</f>
        <v>0.76903428935956519</v>
      </c>
      <c r="CA282" s="1187">
        <f>'2022'!R\Max</f>
        <v>0.83586592228713519</v>
      </c>
      <c r="CB282" s="1187">
        <f>'2023'!R\Max</f>
        <v>0.83575706695499652</v>
      </c>
      <c r="CC282" s="1187">
        <f>'2024'!R\Max</f>
        <v>0.83563893102441011</v>
      </c>
      <c r="CD282" s="1187">
        <f>'2025'!R\Max</f>
        <v>0.83620517115962911</v>
      </c>
      <c r="CE282" s="1187">
        <f>'2026'!R\Max</f>
        <v>0.83613896667047827</v>
      </c>
      <c r="CF282" s="1188">
        <f>'2027'!R\Max</f>
        <v>0.83605866649759142</v>
      </c>
    </row>
    <row r="283" spans="1:84" s="6" customFormat="1" ht="11.25" x14ac:dyDescent="0.2">
      <c r="A283" s="11">
        <v>43369</v>
      </c>
      <c r="B283" s="380">
        <f>'2022'!Maxi_hp</f>
        <v>36.254189031669213</v>
      </c>
      <c r="C283" s="13">
        <f>'2022'!An_max</f>
        <v>2021</v>
      </c>
      <c r="D283" s="1061"/>
      <c r="E283" s="13"/>
      <c r="F283" s="13">
        <f t="shared" si="128"/>
        <v>21</v>
      </c>
      <c r="G283" s="13">
        <f t="shared" si="112"/>
        <v>20</v>
      </c>
      <c r="H283" s="173">
        <f t="shared" si="113"/>
        <v>43374</v>
      </c>
      <c r="I283" s="752">
        <f t="shared" si="114"/>
        <v>0.35714285714285715</v>
      </c>
      <c r="J283" s="745">
        <f t="shared" si="115"/>
        <v>42.213702623519509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4">
        <v>43369</v>
      </c>
      <c r="AP283" s="13">
        <f t="shared" si="116"/>
        <v>11</v>
      </c>
      <c r="AQ283" s="13">
        <f t="shared" si="117"/>
        <v>12</v>
      </c>
      <c r="AR283" s="173">
        <f t="shared" si="118"/>
        <v>43360</v>
      </c>
      <c r="AS283" s="752">
        <f t="shared" si="119"/>
        <v>0.32142857142857145</v>
      </c>
      <c r="AT283" s="768">
        <f t="shared" si="120"/>
        <v>42.403279883175024</v>
      </c>
      <c r="AU283" s="13">
        <f t="shared" si="121"/>
        <v>11</v>
      </c>
      <c r="AV283" s="13">
        <f t="shared" si="122"/>
        <v>10</v>
      </c>
      <c r="AW283" s="173">
        <f t="shared" si="123"/>
        <v>43374</v>
      </c>
      <c r="AX283" s="752">
        <f t="shared" si="124"/>
        <v>0.17857142857142858</v>
      </c>
      <c r="AY283" s="768">
        <f t="shared" si="125"/>
        <v>42.107812500133051</v>
      </c>
      <c r="AZ283" s="745">
        <f t="shared" si="129"/>
        <v>42.255546191654034</v>
      </c>
      <c r="BA283" s="642">
        <f t="shared" si="126"/>
        <v>0.85882513919710202</v>
      </c>
      <c r="BC283" s="11">
        <v>43369</v>
      </c>
      <c r="BD283" s="290">
        <f>[2]!FeuilCaduc*(1-Persistant)+Persistant</f>
        <v>0.95908449583497291</v>
      </c>
      <c r="BE283" s="291">
        <f>[2]!CroissVégét</f>
        <v>0.98863370421593466</v>
      </c>
      <c r="BF283" s="815">
        <f>1+[2]!Salcycl*Ksac</f>
        <v>1.0431807493058287</v>
      </c>
      <c r="BH283" s="1052">
        <f t="shared" si="127"/>
        <v>9.3414097625470205E-3</v>
      </c>
      <c r="BI283" s="11">
        <v>44465</v>
      </c>
      <c r="BJ283" s="725">
        <v>4.800585169456246E-4</v>
      </c>
      <c r="BK283" s="725">
        <v>1.8595455835665766E-3</v>
      </c>
      <c r="BL283" s="725">
        <v>3.9946453282610579E-3</v>
      </c>
      <c r="BM283" s="725">
        <v>7.3427669771453435E-3</v>
      </c>
      <c r="BN283" s="725">
        <v>1.2348258309178389E-2</v>
      </c>
      <c r="BO283" s="726">
        <v>1.9502735553410568E-2</v>
      </c>
      <c r="BP283" s="725">
        <v>2.9145378208714767E-2</v>
      </c>
      <c r="BQ283" s="725">
        <v>4.0507146079588524E-2</v>
      </c>
      <c r="BR283" s="725">
        <v>5.3170802022098215E-2</v>
      </c>
      <c r="BS283" s="725">
        <v>6.6961715964924423E-2</v>
      </c>
      <c r="BT283" s="725">
        <v>8.1896835723530001E-2</v>
      </c>
      <c r="BW283" s="1189">
        <f>'2018'!R\Max</f>
        <v>0</v>
      </c>
      <c r="BX283" s="1187">
        <f>'2019'!R\Max</f>
        <v>0.83547770922256115</v>
      </c>
      <c r="BY283" s="1187">
        <f>'2020'!R\Max</f>
        <v>0.50434301520052871</v>
      </c>
      <c r="BZ283" s="1187">
        <f>'2021'!R\Max</f>
        <v>0.85882513919710202</v>
      </c>
      <c r="CA283" s="1187">
        <f>'2022'!R\Max</f>
        <v>0.7512470674444004</v>
      </c>
      <c r="CB283" s="1187">
        <f>'2023'!R\Max</f>
        <v>0.75109946108072201</v>
      </c>
      <c r="CC283" s="1187">
        <f>'2024'!R\Max</f>
        <v>0.75093892314075794</v>
      </c>
      <c r="CD283" s="1187">
        <f>'2025'!R\Max</f>
        <v>0.75170899580554629</v>
      </c>
      <c r="CE283" s="1187">
        <f>'2026'!R\Max</f>
        <v>0.7516182173394701</v>
      </c>
      <c r="CF283" s="1188">
        <f>'2027'!R\Max</f>
        <v>0.75150890555339567</v>
      </c>
    </row>
    <row r="284" spans="1:84" s="6" customFormat="1" ht="11.25" x14ac:dyDescent="0.2">
      <c r="A284" s="11">
        <v>43370</v>
      </c>
      <c r="B284" s="380">
        <f>'2022'!Maxi_hp</f>
        <v>33.919915372274694</v>
      </c>
      <c r="C284" s="13">
        <f>'2022'!An_max</f>
        <v>2019</v>
      </c>
      <c r="D284" s="1061"/>
      <c r="E284" s="13"/>
      <c r="F284" s="13">
        <f t="shared" si="128"/>
        <v>21</v>
      </c>
      <c r="G284" s="13">
        <f t="shared" si="112"/>
        <v>20</v>
      </c>
      <c r="H284" s="173">
        <f t="shared" si="113"/>
        <v>43374</v>
      </c>
      <c r="I284" s="752">
        <f t="shared" si="114"/>
        <v>0.2857142857142857</v>
      </c>
      <c r="J284" s="745">
        <f t="shared" si="115"/>
        <v>41.784256559264449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4">
        <v>43370</v>
      </c>
      <c r="AP284" s="13">
        <f t="shared" si="116"/>
        <v>11</v>
      </c>
      <c r="AQ284" s="13">
        <f t="shared" si="117"/>
        <v>12</v>
      </c>
      <c r="AR284" s="173">
        <f t="shared" si="118"/>
        <v>43360</v>
      </c>
      <c r="AS284" s="752">
        <f t="shared" si="119"/>
        <v>0.35714285714285715</v>
      </c>
      <c r="AT284" s="768">
        <f t="shared" si="120"/>
        <v>41.981413994090893</v>
      </c>
      <c r="AU284" s="13">
        <f t="shared" si="121"/>
        <v>11</v>
      </c>
      <c r="AV284" s="13">
        <f t="shared" si="122"/>
        <v>10</v>
      </c>
      <c r="AW284" s="173">
        <f t="shared" si="123"/>
        <v>43374</v>
      </c>
      <c r="AX284" s="752">
        <f t="shared" si="124"/>
        <v>0.14285714285714285</v>
      </c>
      <c r="AY284" s="768">
        <f t="shared" si="125"/>
        <v>41.697959183848333</v>
      </c>
      <c r="AZ284" s="745">
        <f t="shared" si="129"/>
        <v>41.839686588969613</v>
      </c>
      <c r="BA284" s="642">
        <f t="shared" si="126"/>
        <v>0.81178697828845148</v>
      </c>
      <c r="BC284" s="11">
        <v>43370</v>
      </c>
      <c r="BD284" s="290">
        <f>[2]!FeuilCaduc*(1-Persistant)+Persistant</f>
        <v>0.95711398327581643</v>
      </c>
      <c r="BE284" s="291">
        <f>[2]!CroissVégét</f>
        <v>0.98909939873407315</v>
      </c>
      <c r="BF284" s="815">
        <f>1+[2]!Salcycl*Ksac</f>
        <v>1.0428523305459694</v>
      </c>
      <c r="BH284" s="1052">
        <f t="shared" si="127"/>
        <v>9.5777433897703441E-3</v>
      </c>
      <c r="BI284" s="11">
        <v>44466</v>
      </c>
      <c r="BJ284" s="725">
        <v>5.2438120998292046E-4</v>
      </c>
      <c r="BK284" s="725">
        <v>1.9630182321989614E-3</v>
      </c>
      <c r="BL284" s="725">
        <v>4.1655123036665256E-3</v>
      </c>
      <c r="BM284" s="725">
        <v>7.5715745099210708E-3</v>
      </c>
      <c r="BN284" s="725">
        <v>1.2595914533074244E-2</v>
      </c>
      <c r="BO284" s="726">
        <v>1.9677752875244064E-2</v>
      </c>
      <c r="BP284" s="725">
        <v>2.9188096773412671E-2</v>
      </c>
      <c r="BQ284" s="725">
        <v>4.0472407544081136E-2</v>
      </c>
      <c r="BR284" s="725">
        <v>5.3035807579570611E-2</v>
      </c>
      <c r="BS284" s="725">
        <v>6.6664968179805772E-2</v>
      </c>
      <c r="BT284" s="725">
        <v>8.1288415281668303E-2</v>
      </c>
      <c r="BW284" s="1189">
        <f>'2018'!R\Max</f>
        <v>0</v>
      </c>
      <c r="BX284" s="1187">
        <f>'2019'!R\Max</f>
        <v>0.81178697828845148</v>
      </c>
      <c r="BY284" s="1187">
        <f>'2020'!R\Max</f>
        <v>0.35940111116270546</v>
      </c>
      <c r="BZ284" s="1187">
        <f>'2021'!R\Max</f>
        <v>0.54287912107325387</v>
      </c>
      <c r="CA284" s="1187">
        <f>'2022'!R\Max</f>
        <v>0.45505722647864377</v>
      </c>
      <c r="CB284" s="1187">
        <f>'2023'!R\Max</f>
        <v>0.45486250364667746</v>
      </c>
      <c r="CC284" s="1187">
        <f>'2024'!R\Max</f>
        <v>0.45465002609734734</v>
      </c>
      <c r="CD284" s="1187">
        <f>'2025'!R\Max</f>
        <v>0.4556695510838869</v>
      </c>
      <c r="CE284" s="1187">
        <f>'2026'!R\Max</f>
        <v>0.45554835315689313</v>
      </c>
      <c r="CF284" s="1188">
        <f>'2027'!R\Max</f>
        <v>0.4554034475174692</v>
      </c>
    </row>
    <row r="285" spans="1:84" s="6" customFormat="1" ht="11.25" x14ac:dyDescent="0.2">
      <c r="A285" s="11">
        <v>43371</v>
      </c>
      <c r="B285" s="380">
        <f>'2022'!Maxi_hp</f>
        <v>35.820962356484351</v>
      </c>
      <c r="C285" s="13">
        <f>'2022'!An_max</f>
        <v>2019</v>
      </c>
      <c r="D285" s="1061"/>
      <c r="E285" s="13"/>
      <c r="F285" s="13">
        <f t="shared" si="128"/>
        <v>21</v>
      </c>
      <c r="G285" s="13">
        <f t="shared" si="112"/>
        <v>20</v>
      </c>
      <c r="H285" s="173">
        <f t="shared" si="113"/>
        <v>43374</v>
      </c>
      <c r="I285" s="752">
        <f t="shared" si="114"/>
        <v>0.21428571428571427</v>
      </c>
      <c r="J285" s="745">
        <f t="shared" si="115"/>
        <v>41.357069970654052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4">
        <v>43371</v>
      </c>
      <c r="AP285" s="13">
        <f t="shared" si="116"/>
        <v>11</v>
      </c>
      <c r="AQ285" s="13">
        <f t="shared" si="117"/>
        <v>12</v>
      </c>
      <c r="AR285" s="173">
        <f t="shared" si="118"/>
        <v>43360</v>
      </c>
      <c r="AS285" s="752">
        <f t="shared" si="119"/>
        <v>0.39285714285714285</v>
      </c>
      <c r="AT285" s="768">
        <f t="shared" si="120"/>
        <v>41.557106413718849</v>
      </c>
      <c r="AU285" s="13">
        <f t="shared" si="121"/>
        <v>11</v>
      </c>
      <c r="AV285" s="13">
        <f t="shared" si="122"/>
        <v>10</v>
      </c>
      <c r="AW285" s="173">
        <f t="shared" si="123"/>
        <v>43374</v>
      </c>
      <c r="AX285" s="752">
        <f t="shared" si="124"/>
        <v>0.10714285714285714</v>
      </c>
      <c r="AY285" s="768">
        <f t="shared" si="125"/>
        <v>41.29167729602861</v>
      </c>
      <c r="AZ285" s="745">
        <f t="shared" si="129"/>
        <v>41.424391854873733</v>
      </c>
      <c r="BA285" s="642">
        <f t="shared" si="126"/>
        <v>0.86613878550637202</v>
      </c>
      <c r="BC285" s="11">
        <v>43371</v>
      </c>
      <c r="BD285" s="290">
        <f>[2]!FeuilCaduc*(1-Persistant)+Persistant</f>
        <v>0.9550669429832106</v>
      </c>
      <c r="BE285" s="291">
        <f>[2]!CroissVégét</f>
        <v>0.98954675523264646</v>
      </c>
      <c r="BF285" s="815">
        <f>1+[2]!Salcycl*Ksac</f>
        <v>1.0425111571638683</v>
      </c>
      <c r="BH285" s="1052">
        <f t="shared" si="127"/>
        <v>9.793342711536885E-3</v>
      </c>
      <c r="BI285" s="11">
        <v>44467</v>
      </c>
      <c r="BJ285" s="725">
        <v>5.697564971567043E-4</v>
      </c>
      <c r="BK285" s="725">
        <v>2.063868226428785E-3</v>
      </c>
      <c r="BL285" s="725">
        <v>4.3282404562218178E-3</v>
      </c>
      <c r="BM285" s="725">
        <v>7.7834445267383973E-3</v>
      </c>
      <c r="BN285" s="725">
        <v>1.2817124389773987E-2</v>
      </c>
      <c r="BO285" s="726">
        <v>1.9818904312682368E-2</v>
      </c>
      <c r="BP285" s="725">
        <v>2.9187090630969637E-2</v>
      </c>
      <c r="BQ285" s="725">
        <v>4.0412238700707231E-2</v>
      </c>
      <c r="BR285" s="725">
        <v>5.2910598262465081E-2</v>
      </c>
      <c r="BS285" s="725">
        <v>6.6437917265142754E-2</v>
      </c>
      <c r="BT285" s="725">
        <v>8.0801842874078059E-2</v>
      </c>
      <c r="BW285" s="1189">
        <f>'2018'!R\Max</f>
        <v>0</v>
      </c>
      <c r="BX285" s="1187">
        <f>'2019'!R\Max</f>
        <v>0.86613878550637202</v>
      </c>
      <c r="BY285" s="1187">
        <f>'2020'!R\Max</f>
        <v>0.3143832017834392</v>
      </c>
      <c r="BZ285" s="1187">
        <f>'2021'!R\Max</f>
        <v>0.60032175808208055</v>
      </c>
      <c r="CA285" s="1187">
        <f>'2022'!R\Max</f>
        <v>0.51907668733365675</v>
      </c>
      <c r="CB285" s="1187">
        <f>'2023'!R\Max</f>
        <v>0.51888200775537785</v>
      </c>
      <c r="CC285" s="1187">
        <f>'2024'!R\Max</f>
        <v>0.51866842869293805</v>
      </c>
      <c r="CD285" s="1187">
        <f>'2025'!R\Max</f>
        <v>0.5196911163827983</v>
      </c>
      <c r="CE285" s="1187">
        <f>'2026'!R\Max</f>
        <v>0.51956874670767106</v>
      </c>
      <c r="CF285" s="1188">
        <f>'2027'!R\Max</f>
        <v>0.51942337552238049</v>
      </c>
    </row>
    <row r="286" spans="1:84" s="6" customFormat="1" ht="11.25" x14ac:dyDescent="0.2">
      <c r="A286" s="11">
        <v>43372</v>
      </c>
      <c r="B286" s="380">
        <f>'2022'!Maxi_hp</f>
        <v>39.441971628235159</v>
      </c>
      <c r="C286" s="13">
        <f>'2022'!An_max</f>
        <v>2019</v>
      </c>
      <c r="D286" s="1061"/>
      <c r="E286" s="13"/>
      <c r="F286" s="13">
        <f t="shared" si="128"/>
        <v>21</v>
      </c>
      <c r="G286" s="13">
        <f t="shared" si="112"/>
        <v>20</v>
      </c>
      <c r="H286" s="173">
        <f t="shared" si="113"/>
        <v>43374</v>
      </c>
      <c r="I286" s="752">
        <f t="shared" si="114"/>
        <v>0.14285714285714285</v>
      </c>
      <c r="J286" s="745">
        <f t="shared" si="115"/>
        <v>40.933236151135397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4">
        <v>43372</v>
      </c>
      <c r="AP286" s="13">
        <f t="shared" si="116"/>
        <v>11</v>
      </c>
      <c r="AQ286" s="13">
        <f t="shared" si="117"/>
        <v>12</v>
      </c>
      <c r="AR286" s="173">
        <f t="shared" si="118"/>
        <v>43360</v>
      </c>
      <c r="AS286" s="752">
        <f t="shared" si="119"/>
        <v>0.42857142857142855</v>
      </c>
      <c r="AT286" s="768">
        <f t="shared" si="120"/>
        <v>41.130903790146114</v>
      </c>
      <c r="AU286" s="13">
        <f t="shared" si="121"/>
        <v>11</v>
      </c>
      <c r="AV286" s="13">
        <f t="shared" si="122"/>
        <v>10</v>
      </c>
      <c r="AW286" s="173">
        <f t="shared" si="123"/>
        <v>43374</v>
      </c>
      <c r="AX286" s="752">
        <f t="shared" si="124"/>
        <v>7.1428571428571425E-2</v>
      </c>
      <c r="AY286" s="768">
        <f t="shared" si="125"/>
        <v>40.889540816397805</v>
      </c>
      <c r="AZ286" s="745">
        <f t="shared" si="129"/>
        <v>41.010222303271959</v>
      </c>
      <c r="BA286" s="642">
        <f t="shared" si="126"/>
        <v>0.96356836978649507</v>
      </c>
      <c r="BC286" s="11">
        <v>43372</v>
      </c>
      <c r="BD286" s="290">
        <f>[2]!FeuilCaduc*(1-Persistant)+Persistant</f>
        <v>0.95294155858012253</v>
      </c>
      <c r="BE286" s="291">
        <f>[2]!CroissVégét</f>
        <v>0.98997648004446692</v>
      </c>
      <c r="BF286" s="815">
        <f>1+[2]!Salcycl*Ksac</f>
        <v>1.0421569264300203</v>
      </c>
      <c r="BH286" s="1052">
        <f t="shared" si="127"/>
        <v>9.9881799658959915E-3</v>
      </c>
      <c r="BI286" s="11">
        <v>44468</v>
      </c>
      <c r="BJ286" s="725">
        <v>6.1618709872807902E-4</v>
      </c>
      <c r="BK286" s="725">
        <v>2.1620944152096187E-3</v>
      </c>
      <c r="BL286" s="725">
        <v>4.4828218403471353E-3</v>
      </c>
      <c r="BM286" s="725">
        <v>7.9783561996692592E-3</v>
      </c>
      <c r="BN286" s="725">
        <v>1.3011849685469966E-2</v>
      </c>
      <c r="BO286" s="726">
        <v>1.9926130701733758E-2</v>
      </c>
      <c r="BP286" s="725">
        <v>2.9142271074568307E-2</v>
      </c>
      <c r="BQ286" s="725">
        <v>4.0326558585736971E-2</v>
      </c>
      <c r="BR286" s="725">
        <v>5.2795120580032578E-2</v>
      </c>
      <c r="BS286" s="725">
        <v>6.6280565677784536E-2</v>
      </c>
      <c r="BT286" s="725">
        <v>8.0437159044251194E-2</v>
      </c>
      <c r="BW286" s="1189">
        <f>'2018'!R\Max</f>
        <v>0</v>
      </c>
      <c r="BX286" s="1187">
        <f>'2019'!R\Max</f>
        <v>0.96356836978649507</v>
      </c>
      <c r="BY286" s="1187">
        <f>'2020'!R\Max</f>
        <v>0.7960743865432971</v>
      </c>
      <c r="BZ286" s="1187">
        <f>'2021'!R\Max</f>
        <v>0.76250848390552339</v>
      </c>
      <c r="CA286" s="1187">
        <f>'2022'!R\Max</f>
        <v>0.61878222419723017</v>
      </c>
      <c r="CB286" s="1187">
        <f>'2023'!R\Max</f>
        <v>0.61859976940183647</v>
      </c>
      <c r="CC286" s="1187">
        <f>'2024'!R\Max</f>
        <v>0.61839818758446519</v>
      </c>
      <c r="CD286" s="1187">
        <f>'2025'!R\Max</f>
        <v>0.61936012196097512</v>
      </c>
      <c r="CE286" s="1187">
        <f>'2026'!R\Max</f>
        <v>0.61924434705030384</v>
      </c>
      <c r="CF286" s="1188">
        <f>'2027'!R\Max</f>
        <v>0.61910764256889828</v>
      </c>
    </row>
    <row r="287" spans="1:84" s="6" customFormat="1" ht="11.25" x14ac:dyDescent="0.2">
      <c r="A287" s="11">
        <v>43373</v>
      </c>
      <c r="B287" s="380">
        <f>'2022'!Maxi_hp</f>
        <v>33.387052918801814</v>
      </c>
      <c r="C287" s="13">
        <f>'2022'!An_max</f>
        <v>2020</v>
      </c>
      <c r="D287" s="1061"/>
      <c r="E287" s="13"/>
      <c r="F287" s="13">
        <f t="shared" si="128"/>
        <v>21</v>
      </c>
      <c r="G287" s="13">
        <f t="shared" si="112"/>
        <v>20</v>
      </c>
      <c r="H287" s="173">
        <f t="shared" si="113"/>
        <v>43374</v>
      </c>
      <c r="I287" s="752">
        <f t="shared" si="114"/>
        <v>7.1428571428571425E-2</v>
      </c>
      <c r="J287" s="745">
        <f t="shared" si="115"/>
        <v>40.513848396204416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4">
        <v>43373</v>
      </c>
      <c r="AP287" s="13">
        <f t="shared" si="116"/>
        <v>11</v>
      </c>
      <c r="AQ287" s="13">
        <f t="shared" si="117"/>
        <v>12</v>
      </c>
      <c r="AR287" s="173">
        <f t="shared" si="118"/>
        <v>43360</v>
      </c>
      <c r="AS287" s="752">
        <f t="shared" si="119"/>
        <v>0.4642857142857143</v>
      </c>
      <c r="AT287" s="768">
        <f t="shared" si="120"/>
        <v>40.703352769836783</v>
      </c>
      <c r="AU287" s="13">
        <f t="shared" si="121"/>
        <v>11</v>
      </c>
      <c r="AV287" s="13">
        <f t="shared" si="122"/>
        <v>10</v>
      </c>
      <c r="AW287" s="173">
        <f t="shared" si="123"/>
        <v>43374</v>
      </c>
      <c r="AX287" s="752">
        <f t="shared" si="124"/>
        <v>3.5714285714285712E-2</v>
      </c>
      <c r="AY287" s="768">
        <f t="shared" si="125"/>
        <v>40.492123724576757</v>
      </c>
      <c r="AZ287" s="745">
        <f t="shared" si="129"/>
        <v>40.59773824720677</v>
      </c>
      <c r="BA287" s="642">
        <f t="shared" si="126"/>
        <v>0.8240898912464143</v>
      </c>
      <c r="BC287" s="11">
        <v>43373</v>
      </c>
      <c r="BD287" s="290">
        <f>[2]!FeuilCaduc*(1-Persistant)+Persistant</f>
        <v>0.95073611582145046</v>
      </c>
      <c r="BE287" s="291">
        <f>[2]!CroissVégét</f>
        <v>0.99038925353008489</v>
      </c>
      <c r="BF287" s="815">
        <f>1+[2]!Salcycl*Ksac</f>
        <v>1.0417893526369084</v>
      </c>
      <c r="BH287" s="1052">
        <f t="shared" si="127"/>
        <v>1.0162224665351646E-2</v>
      </c>
      <c r="BI287" s="11">
        <v>44469</v>
      </c>
      <c r="BJ287" s="725">
        <v>6.6367562200806774E-4</v>
      </c>
      <c r="BK287" s="725">
        <v>2.2576949741003804E-3</v>
      </c>
      <c r="BL287" s="725">
        <v>4.6292470915552629E-3</v>
      </c>
      <c r="BM287" s="725">
        <v>8.1562863143072716E-3</v>
      </c>
      <c r="BN287" s="725">
        <v>1.3180048990701366E-2</v>
      </c>
      <c r="BO287" s="726">
        <v>1.9999369372556326E-2</v>
      </c>
      <c r="BP287" s="725">
        <v>2.905354569257701E-2</v>
      </c>
      <c r="BQ287" s="725">
        <v>4.021528436027947E-2</v>
      </c>
      <c r="BR287" s="725">
        <v>5.2689322464775985E-2</v>
      </c>
      <c r="BS287" s="725">
        <v>6.6192922865676448E-2</v>
      </c>
      <c r="BT287" s="725">
        <v>8.0194416939112556E-2</v>
      </c>
      <c r="BW287" s="1189">
        <f>'2018'!R\Max</f>
        <v>0</v>
      </c>
      <c r="BX287" s="1187">
        <f>'2019'!R\Max</f>
        <v>0.68620893442129394</v>
      </c>
      <c r="BY287" s="1187">
        <f>'2020'!R\Max</f>
        <v>0.8240898912464143</v>
      </c>
      <c r="BZ287" s="1187">
        <f>'2021'!R\Max</f>
        <v>0.47130012266202598</v>
      </c>
      <c r="CA287" s="1187">
        <f>'2022'!R\Max</f>
        <v>0.71530760087527112</v>
      </c>
      <c r="CB287" s="1187">
        <f>'2023'!R\Max</f>
        <v>0.71515160675673284</v>
      </c>
      <c r="CC287" s="1187">
        <f>'2024'!R\Max</f>
        <v>0.71497775349522663</v>
      </c>
      <c r="CD287" s="1187">
        <f>'2025'!R\Max</f>
        <v>0.71580347094552244</v>
      </c>
      <c r="CE287" s="1187">
        <f>'2026'!R\Max</f>
        <v>0.71570356127669998</v>
      </c>
      <c r="CF287" s="1188">
        <f>'2027'!R\Max</f>
        <v>0.7155862706126761</v>
      </c>
    </row>
    <row r="288" spans="1:84" s="6" customFormat="1" ht="11.25" x14ac:dyDescent="0.2">
      <c r="A288" s="11">
        <v>43374</v>
      </c>
      <c r="B288" s="380">
        <f>'2022'!Maxi_hp</f>
        <v>39.381811318036526</v>
      </c>
      <c r="C288" s="13">
        <f>'2022'!An_max</f>
        <v>2020</v>
      </c>
      <c r="D288" s="1061"/>
      <c r="E288" s="1056">
        <f>AG$13/10</f>
        <v>40.1</v>
      </c>
      <c r="F288" s="13">
        <f t="shared" si="128"/>
        <v>21</v>
      </c>
      <c r="G288" s="13">
        <f t="shared" si="112"/>
        <v>22</v>
      </c>
      <c r="H288" s="173">
        <f t="shared" si="113"/>
        <v>43374</v>
      </c>
      <c r="I288" s="752">
        <f t="shared" si="114"/>
        <v>0</v>
      </c>
      <c r="J288" s="745">
        <f t="shared" si="115"/>
        <v>40.099999999627471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4">
        <v>43374</v>
      </c>
      <c r="AP288" s="13">
        <f t="shared" si="116"/>
        <v>11</v>
      </c>
      <c r="AQ288" s="13">
        <f t="shared" si="117"/>
        <v>12</v>
      </c>
      <c r="AR288" s="173">
        <f t="shared" si="118"/>
        <v>43360</v>
      </c>
      <c r="AS288" s="752">
        <f t="shared" si="119"/>
        <v>0.5</v>
      </c>
      <c r="AT288" s="768">
        <f t="shared" si="120"/>
        <v>40.274999999813737</v>
      </c>
      <c r="AU288" s="13">
        <f t="shared" si="121"/>
        <v>11</v>
      </c>
      <c r="AV288" s="13">
        <f t="shared" si="122"/>
        <v>12</v>
      </c>
      <c r="AW288" s="173">
        <f t="shared" si="123"/>
        <v>43374</v>
      </c>
      <c r="AX288" s="752">
        <f t="shared" si="124"/>
        <v>0</v>
      </c>
      <c r="AY288" s="768">
        <f t="shared" si="125"/>
        <v>40.100000000093132</v>
      </c>
      <c r="AZ288" s="745">
        <f t="shared" si="129"/>
        <v>40.187499999953431</v>
      </c>
      <c r="BA288" s="642">
        <f t="shared" si="126"/>
        <v>0.98209005781552072</v>
      </c>
      <c r="BC288" s="11">
        <v>43374</v>
      </c>
      <c r="BD288" s="290">
        <f>[2]!FeuilCaduc*(1-Persistant)+Persistant</f>
        <v>0.94844901940388671</v>
      </c>
      <c r="BE288" s="291">
        <f>[2]!CroissVégét</f>
        <v>0.99078573093558142</v>
      </c>
      <c r="BF288" s="815">
        <f>1+[2]!Salcycl*Ksac</f>
        <v>1.0414081699006479</v>
      </c>
      <c r="BH288" s="1052">
        <f t="shared" si="127"/>
        <v>1.0315443828736216E-2</v>
      </c>
      <c r="BI288" s="11">
        <v>44470</v>
      </c>
      <c r="BJ288" s="725">
        <v>7.122245502643532E-4</v>
      </c>
      <c r="BK288" s="725">
        <v>2.3506674353878957E-3</v>
      </c>
      <c r="BL288" s="725">
        <v>4.7675055182469298E-3</v>
      </c>
      <c r="BM288" s="725">
        <v>8.3172094594664639E-3</v>
      </c>
      <c r="BN288" s="725">
        <v>1.3321677935677977E-2</v>
      </c>
      <c r="BO288" s="726">
        <v>2.0038554526916687E-2</v>
      </c>
      <c r="BP288" s="725">
        <v>2.8920818854837042E-2</v>
      </c>
      <c r="BQ288" s="725">
        <v>4.0078331596390133E-2</v>
      </c>
      <c r="BR288" s="725">
        <v>5.2593153172179101E-2</v>
      </c>
      <c r="BS288" s="725">
        <v>6.6175004509066229E-2</v>
      </c>
      <c r="BT288" s="725">
        <v>8.007368097589547E-2</v>
      </c>
      <c r="BW288" s="1189">
        <f>'2018'!R\Max</f>
        <v>0.10741523940405023</v>
      </c>
      <c r="BX288" s="1187">
        <f>'2019'!R\Max</f>
        <v>0.75134343566291917</v>
      </c>
      <c r="BY288" s="1187">
        <f>'2020'!R\Max</f>
        <v>0.98209005781552072</v>
      </c>
      <c r="BZ288" s="1187">
        <f>'2021'!R\Max</f>
        <v>0.77636803860407466</v>
      </c>
      <c r="CA288" s="1187">
        <f>'2022'!R\Max</f>
        <v>0.90862939875114335</v>
      </c>
      <c r="CB288" s="1187">
        <f>'2023'!R\Max</f>
        <v>0.90856650899926583</v>
      </c>
      <c r="CC288" s="1187">
        <f>'2024'!R\Max</f>
        <v>0.90849567204426473</v>
      </c>
      <c r="CD288" s="1187">
        <f>'2025'!R\Max</f>
        <v>0.90882998098043799</v>
      </c>
      <c r="CE288" s="1187">
        <f>'2026'!R\Max</f>
        <v>0.90878935091014368</v>
      </c>
      <c r="CF288" s="1188">
        <f>'2027'!R\Max</f>
        <v>0.90874190984563397</v>
      </c>
    </row>
    <row r="289" spans="1:84" s="6" customFormat="1" ht="11.25" x14ac:dyDescent="0.2">
      <c r="A289" s="11">
        <v>43375</v>
      </c>
      <c r="B289" s="380">
        <f>'2022'!Maxi_hp</f>
        <v>38.398593862798243</v>
      </c>
      <c r="C289" s="13">
        <f>'2022'!An_max</f>
        <v>2022</v>
      </c>
      <c r="D289" s="1061"/>
      <c r="E289" s="13"/>
      <c r="F289" s="13">
        <f t="shared" si="128"/>
        <v>21</v>
      </c>
      <c r="G289" s="13">
        <f t="shared" si="112"/>
        <v>22</v>
      </c>
      <c r="H289" s="173">
        <f t="shared" si="113"/>
        <v>43374</v>
      </c>
      <c r="I289" s="752">
        <f t="shared" si="114"/>
        <v>7.1428571428571425E-2</v>
      </c>
      <c r="J289" s="745">
        <f t="shared" si="115"/>
        <v>39.689577259016893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4">
        <v>43375</v>
      </c>
      <c r="AP289" s="13">
        <f t="shared" si="116"/>
        <v>11</v>
      </c>
      <c r="AQ289" s="13">
        <f t="shared" si="117"/>
        <v>12</v>
      </c>
      <c r="AR289" s="173">
        <f t="shared" si="118"/>
        <v>43360</v>
      </c>
      <c r="AS289" s="752">
        <f t="shared" si="119"/>
        <v>0.5357142857142857</v>
      </c>
      <c r="AT289" s="768">
        <f t="shared" si="120"/>
        <v>39.846392128244041</v>
      </c>
      <c r="AU289" s="13">
        <f t="shared" si="121"/>
        <v>11</v>
      </c>
      <c r="AV289" s="13">
        <f t="shared" si="122"/>
        <v>12</v>
      </c>
      <c r="AW289" s="173">
        <f t="shared" si="123"/>
        <v>43374</v>
      </c>
      <c r="AX289" s="752">
        <f t="shared" si="124"/>
        <v>3.5714285714285712E-2</v>
      </c>
      <c r="AY289" s="768">
        <f t="shared" si="125"/>
        <v>39.709677933841682</v>
      </c>
      <c r="AZ289" s="745">
        <f t="shared" si="129"/>
        <v>39.778035031042862</v>
      </c>
      <c r="BA289" s="642">
        <f t="shared" si="126"/>
        <v>0.96747298698110074</v>
      </c>
      <c r="BC289" s="11">
        <v>43375</v>
      </c>
      <c r="BD289" s="290">
        <f>[2]!FeuilCaduc*(1-Persistant)+Persistant</f>
        <v>0.94607881001014338</v>
      </c>
      <c r="BE289" s="291">
        <f>[2]!CroissVégét</f>
        <v>0.99116654322989417</v>
      </c>
      <c r="BF289" s="815">
        <f>1+[2]!Salcycl*Ksac</f>
        <v>1.0410131350016905</v>
      </c>
      <c r="BH289" s="1052">
        <f t="shared" si="127"/>
        <v>1.0447802213215972E-2</v>
      </c>
      <c r="BI289" s="11">
        <v>44471</v>
      </c>
      <c r="BJ289" s="725">
        <v>7.6183623163628882E-4</v>
      </c>
      <c r="BK289" s="725">
        <v>2.441008718238229E-3</v>
      </c>
      <c r="BL289" s="725">
        <v>4.8975851935655996E-3</v>
      </c>
      <c r="BM289" s="725">
        <v>8.4610982169854472E-3</v>
      </c>
      <c r="BN289" s="725">
        <v>1.3436689505775319E-2</v>
      </c>
      <c r="BO289" s="726">
        <v>2.0043617615910322E-2</v>
      </c>
      <c r="BP289" s="725">
        <v>2.8743992199331506E-2</v>
      </c>
      <c r="BQ289" s="725">
        <v>3.9915614563705765E-2</v>
      </c>
      <c r="BR289" s="725">
        <v>5.2506563181126752E-2</v>
      </c>
      <c r="BS289" s="725">
        <v>6.6226831762577154E-2</v>
      </c>
      <c r="BT289" s="725">
        <v>8.0075025510068995E-2</v>
      </c>
      <c r="BW289" s="1189">
        <f>'2018'!R\Max</f>
        <v>0.96024888935467512</v>
      </c>
      <c r="BX289" s="1187">
        <f>'2019'!R\Max</f>
        <v>0.59168709578397671</v>
      </c>
      <c r="BY289" s="1187">
        <f>'2020'!R\Max</f>
        <v>0.21616538846462743</v>
      </c>
      <c r="BZ289" s="1187">
        <f>'2021'!R\Max</f>
        <v>0.95407267502439619</v>
      </c>
      <c r="CA289" s="1187">
        <f>'2022'!R\Max</f>
        <v>0.96747298698110074</v>
      </c>
      <c r="CB289" s="1187">
        <f>'2023'!R\Max</f>
        <v>0.96744945393753001</v>
      </c>
      <c r="CC289" s="1187">
        <f>'2024'!R\Max</f>
        <v>0.96742262099558507</v>
      </c>
      <c r="CD289" s="1187">
        <f>'2025'!R\Max</f>
        <v>0.96754833294469889</v>
      </c>
      <c r="CE289" s="1187">
        <f>'2026'!R\Max</f>
        <v>0.96753298777000729</v>
      </c>
      <c r="CF289" s="1188">
        <f>'2027'!R\Max</f>
        <v>0.96751516479359811</v>
      </c>
    </row>
    <row r="290" spans="1:84" s="6" customFormat="1" ht="11.25" x14ac:dyDescent="0.2">
      <c r="A290" s="11">
        <v>43376</v>
      </c>
      <c r="B290" s="380">
        <f>'2022'!Maxi_hp</f>
        <v>37.682771188791072</v>
      </c>
      <c r="C290" s="13">
        <f>'2022'!An_max</f>
        <v>2022</v>
      </c>
      <c r="D290" s="1061"/>
      <c r="E290" s="13"/>
      <c r="F290" s="13">
        <f t="shared" si="128"/>
        <v>21</v>
      </c>
      <c r="G290" s="13">
        <f t="shared" si="112"/>
        <v>22</v>
      </c>
      <c r="H290" s="173">
        <f t="shared" si="113"/>
        <v>43374</v>
      </c>
      <c r="I290" s="752">
        <f t="shared" si="114"/>
        <v>0.14285714285714285</v>
      </c>
      <c r="J290" s="745">
        <f t="shared" si="115"/>
        <v>39.279883381617921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4">
        <v>43376</v>
      </c>
      <c r="AP290" s="13">
        <f t="shared" si="116"/>
        <v>11</v>
      </c>
      <c r="AQ290" s="13">
        <f t="shared" si="117"/>
        <v>12</v>
      </c>
      <c r="AR290" s="173">
        <f t="shared" si="118"/>
        <v>43360</v>
      </c>
      <c r="AS290" s="752">
        <f t="shared" si="119"/>
        <v>0.5714285714285714</v>
      </c>
      <c r="AT290" s="768">
        <f t="shared" si="120"/>
        <v>39.418075801645003</v>
      </c>
      <c r="AU290" s="13">
        <f t="shared" si="121"/>
        <v>11</v>
      </c>
      <c r="AV290" s="13">
        <f t="shared" si="122"/>
        <v>12</v>
      </c>
      <c r="AW290" s="173">
        <f t="shared" si="123"/>
        <v>43374</v>
      </c>
      <c r="AX290" s="752">
        <f t="shared" si="124"/>
        <v>7.1428571428571425E-2</v>
      </c>
      <c r="AY290" s="768">
        <f t="shared" si="125"/>
        <v>39.317474489838688</v>
      </c>
      <c r="AZ290" s="745">
        <f t="shared" si="129"/>
        <v>39.367775145741845</v>
      </c>
      <c r="BA290" s="642">
        <f t="shared" si="126"/>
        <v>0.95934020024167743</v>
      </c>
      <c r="BC290" s="11">
        <v>43376</v>
      </c>
      <c r="BD290" s="290">
        <f>[2]!FeuilCaduc*(1-Persistant)+Persistant</f>
        <v>0.94362418144777405</v>
      </c>
      <c r="BE290" s="291">
        <f>[2]!CroissVégét</f>
        <v>0.99153229792147035</v>
      </c>
      <c r="BF290" s="815">
        <f>1+[2]!Salcycl*Ksac</f>
        <v>1.0406040302412958</v>
      </c>
      <c r="BH290" s="1052">
        <f t="shared" si="127"/>
        <v>1.0563379974656287E-2</v>
      </c>
      <c r="BI290" s="11">
        <v>44472</v>
      </c>
      <c r="BJ290" s="725">
        <v>8.1514339574520077E-4</v>
      </c>
      <c r="BK290" s="725">
        <v>2.5294212756003091E-3</v>
      </c>
      <c r="BL290" s="725">
        <v>5.0176650437630879E-3</v>
      </c>
      <c r="BM290" s="725">
        <v>8.5855291444901383E-3</v>
      </c>
      <c r="BN290" s="725">
        <v>1.3538948164018107E-2</v>
      </c>
      <c r="BO290" s="726">
        <v>2.005215610049978E-2</v>
      </c>
      <c r="BP290" s="725">
        <v>2.8593397348354102E-2</v>
      </c>
      <c r="BQ290" s="725">
        <v>3.9816963154480113E-2</v>
      </c>
      <c r="BR290" s="725">
        <v>5.2533658640516907E-2</v>
      </c>
      <c r="BS290" s="725">
        <v>6.6457236174684367E-2</v>
      </c>
      <c r="BT290" s="725">
        <v>8.0309747577247195E-2</v>
      </c>
      <c r="BW290" s="1189">
        <f>'2018'!R\Max</f>
        <v>0.95913134415413115</v>
      </c>
      <c r="BX290" s="1187">
        <f>'2019'!R\Max</f>
        <v>0.88846614111405098</v>
      </c>
      <c r="BY290" s="1187">
        <f>'2020'!R\Max</f>
        <v>0.15404326306012506</v>
      </c>
      <c r="BZ290" s="1187">
        <f>'2021'!R\Max</f>
        <v>0.18144525118118951</v>
      </c>
      <c r="CA290" s="1187">
        <f>'2022'!R\Max</f>
        <v>0.95934020024167743</v>
      </c>
      <c r="CB290" s="1187">
        <f>'2023'!R\Max</f>
        <v>0.95931134089210979</v>
      </c>
      <c r="CC290" s="1187">
        <f>'2024'!R\Max</f>
        <v>0.95927800779329164</v>
      </c>
      <c r="CD290" s="1187">
        <f>'2025'!R\Max</f>
        <v>0.95943296649469023</v>
      </c>
      <c r="CE290" s="1187">
        <f>'2026'!R\Max</f>
        <v>0.95941397493036895</v>
      </c>
      <c r="CF290" s="1188">
        <f>'2027'!R\Max</f>
        <v>0.95939202540429047</v>
      </c>
    </row>
    <row r="291" spans="1:84" s="6" customFormat="1" ht="11.25" x14ac:dyDescent="0.2">
      <c r="A291" s="11">
        <v>43377</v>
      </c>
      <c r="B291" s="380">
        <f>'2022'!Maxi_hp</f>
        <v>38.894030832928983</v>
      </c>
      <c r="C291" s="13">
        <f>'2022'!An_max</f>
        <v>2022</v>
      </c>
      <c r="D291" s="1061"/>
      <c r="E291" s="13"/>
      <c r="F291" s="13">
        <f t="shared" si="128"/>
        <v>21</v>
      </c>
      <c r="G291" s="13">
        <f t="shared" si="112"/>
        <v>22</v>
      </c>
      <c r="H291" s="173">
        <f t="shared" si="113"/>
        <v>43374</v>
      </c>
      <c r="I291" s="752">
        <f t="shared" si="114"/>
        <v>0.21428571428571427</v>
      </c>
      <c r="J291" s="745">
        <f t="shared" si="115"/>
        <v>38.871137026111988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4">
        <v>43377</v>
      </c>
      <c r="AP291" s="13">
        <f t="shared" si="116"/>
        <v>11</v>
      </c>
      <c r="AQ291" s="13">
        <f t="shared" si="117"/>
        <v>12</v>
      </c>
      <c r="AR291" s="173">
        <f t="shared" si="118"/>
        <v>43360</v>
      </c>
      <c r="AS291" s="752">
        <f t="shared" si="119"/>
        <v>0.6071428571428571</v>
      </c>
      <c r="AT291" s="768">
        <f t="shared" si="120"/>
        <v>38.990597667292292</v>
      </c>
      <c r="AU291" s="13">
        <f t="shared" si="121"/>
        <v>11</v>
      </c>
      <c r="AV291" s="13">
        <f t="shared" si="122"/>
        <v>12</v>
      </c>
      <c r="AW291" s="173">
        <f t="shared" si="123"/>
        <v>43374</v>
      </c>
      <c r="AX291" s="752">
        <f t="shared" si="124"/>
        <v>0.10714285714285714</v>
      </c>
      <c r="AY291" s="768">
        <f t="shared" si="125"/>
        <v>38.923676658238819</v>
      </c>
      <c r="AZ291" s="745">
        <f t="shared" si="129"/>
        <v>38.957137162765555</v>
      </c>
      <c r="BA291" s="642">
        <f t="shared" si="126"/>
        <v>1.0005889667390386</v>
      </c>
      <c r="BC291" s="11">
        <v>43377</v>
      </c>
      <c r="BD291" s="290">
        <f>[2]!FeuilCaduc*(1-Persistant)+Persistant</f>
        <v>0.94108399773681206</v>
      </c>
      <c r="BE291" s="291">
        <f>[2]!CroissVégét</f>
        <v>0.99188357985413123</v>
      </c>
      <c r="BF291" s="815">
        <f>1+[2]!Salcycl*Ksac</f>
        <v>1.0401806662894686</v>
      </c>
      <c r="BH291" s="1052">
        <f t="shared" si="127"/>
        <v>1.0671902152521329E-2</v>
      </c>
      <c r="BI291" s="11">
        <v>44473</v>
      </c>
      <c r="BJ291" s="725">
        <v>8.7156603483115158E-4</v>
      </c>
      <c r="BK291" s="725">
        <v>2.6172013912319973E-3</v>
      </c>
      <c r="BL291" s="725">
        <v>5.1310186551632182E-3</v>
      </c>
      <c r="BM291" s="725">
        <v>8.6982222640316579E-3</v>
      </c>
      <c r="BN291" s="725">
        <v>1.3641195388695116E-2</v>
      </c>
      <c r="BO291" s="726">
        <v>2.0085579430917627E-2</v>
      </c>
      <c r="BP291" s="725">
        <v>2.8507061123368274E-2</v>
      </c>
      <c r="BQ291" s="725">
        <v>3.9831789813401235E-2</v>
      </c>
      <c r="BR291" s="725">
        <v>5.2722096959680248E-2</v>
      </c>
      <c r="BS291" s="725">
        <v>6.6896554345600212E-2</v>
      </c>
      <c r="BT291" s="725">
        <v>8.0789385877265599E-2</v>
      </c>
      <c r="BW291" s="1189">
        <f>'2018'!R\Max</f>
        <v>0.93771311355699183</v>
      </c>
      <c r="BX291" s="1187">
        <f>'2019'!R\Max</f>
        <v>0.27874541688824911</v>
      </c>
      <c r="BY291" s="1187">
        <f>'2020'!R\Max</f>
        <v>0.42977706334350785</v>
      </c>
      <c r="BZ291" s="1187">
        <f>'2021'!R\Max</f>
        <v>0.86854285896334527</v>
      </c>
      <c r="CA291" s="1187">
        <f>'2022'!R\Max</f>
        <v>1.0005889667390386</v>
      </c>
      <c r="CB291" s="1187">
        <f>'2023'!R\Max</f>
        <v>1.0005889667390384</v>
      </c>
      <c r="CC291" s="1187">
        <f>'2024'!R\Max</f>
        <v>1.0005889667390386</v>
      </c>
      <c r="CD291" s="1187">
        <f>'2025'!R\Max</f>
        <v>1.0005889667390386</v>
      </c>
      <c r="CE291" s="1187">
        <f>'2026'!R\Max</f>
        <v>1.0005889667390384</v>
      </c>
      <c r="CF291" s="1188">
        <f>'2027'!R\Max</f>
        <v>1.0005889667390384</v>
      </c>
    </row>
    <row r="292" spans="1:84" s="6" customFormat="1" ht="11.25" x14ac:dyDescent="0.2">
      <c r="A292" s="11">
        <v>43378</v>
      </c>
      <c r="B292" s="380">
        <f>'2022'!Maxi_hp</f>
        <v>40.03814569684679</v>
      </c>
      <c r="C292" s="13">
        <f>'2022'!An_max</f>
        <v>2022</v>
      </c>
      <c r="D292" s="1061"/>
      <c r="E292" s="13"/>
      <c r="F292" s="13">
        <f t="shared" si="128"/>
        <v>21</v>
      </c>
      <c r="G292" s="13">
        <f t="shared" si="112"/>
        <v>22</v>
      </c>
      <c r="H292" s="173">
        <f t="shared" si="113"/>
        <v>43374</v>
      </c>
      <c r="I292" s="752">
        <f t="shared" si="114"/>
        <v>0.2857142857142857</v>
      </c>
      <c r="J292" s="745">
        <f t="shared" si="115"/>
        <v>38.463556850994266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4">
        <v>43378</v>
      </c>
      <c r="AP292" s="13">
        <f t="shared" si="116"/>
        <v>11</v>
      </c>
      <c r="AQ292" s="13">
        <f t="shared" si="117"/>
        <v>12</v>
      </c>
      <c r="AR292" s="173">
        <f t="shared" si="118"/>
        <v>43360</v>
      </c>
      <c r="AS292" s="752">
        <f t="shared" si="119"/>
        <v>0.6428571428571429</v>
      </c>
      <c r="AT292" s="768">
        <f t="shared" si="120"/>
        <v>38.564504372967143</v>
      </c>
      <c r="AU292" s="13">
        <f t="shared" si="121"/>
        <v>11</v>
      </c>
      <c r="AV292" s="13">
        <f t="shared" si="122"/>
        <v>12</v>
      </c>
      <c r="AW292" s="173">
        <f t="shared" si="123"/>
        <v>43374</v>
      </c>
      <c r="AX292" s="752">
        <f t="shared" si="124"/>
        <v>0.14285714285714285</v>
      </c>
      <c r="AY292" s="768">
        <f t="shared" si="125"/>
        <v>38.528571428784304</v>
      </c>
      <c r="AZ292" s="745">
        <f t="shared" si="129"/>
        <v>38.54653790087572</v>
      </c>
      <c r="BA292" s="642">
        <f t="shared" si="126"/>
        <v>1.0409371616866427</v>
      </c>
      <c r="BC292" s="11">
        <v>43378</v>
      </c>
      <c r="BD292" s="290">
        <f>[2]!FeuilCaduc*(1-Persistant)+Persistant</f>
        <v>0.93845730999573307</v>
      </c>
      <c r="BE292" s="291">
        <f>[2]!CroissVégét</f>
        <v>0.99222095198209459</v>
      </c>
      <c r="BF292" s="815">
        <f>1+[2]!Salcycl*Ksac</f>
        <v>1.0397428849992889</v>
      </c>
      <c r="BH292" s="1052">
        <f t="shared" si="127"/>
        <v>1.0773349017697678E-2</v>
      </c>
      <c r="BI292" s="11">
        <v>44474</v>
      </c>
      <c r="BJ292" s="725">
        <v>9.311091555206408E-4</v>
      </c>
      <c r="BK292" s="725">
        <v>2.7043473504067047E-3</v>
      </c>
      <c r="BL292" s="725">
        <v>5.2376331244620546E-3</v>
      </c>
      <c r="BM292" s="725">
        <v>8.799153253762744E-3</v>
      </c>
      <c r="BN292" s="725">
        <v>1.3743418360209309E-2</v>
      </c>
      <c r="BO292" s="726">
        <v>2.0143902608805296E-2</v>
      </c>
      <c r="BP292" s="725">
        <v>2.8485044245133619E-2</v>
      </c>
      <c r="BQ292" s="725">
        <v>3.99602176825746E-2</v>
      </c>
      <c r="BR292" s="725">
        <v>5.3072061725256379E-2</v>
      </c>
      <c r="BS292" s="725">
        <v>6.7545030329816902E-2</v>
      </c>
      <c r="BT292" s="725">
        <v>8.1514222998648453E-2</v>
      </c>
      <c r="BW292" s="1189">
        <f>'2018'!R\Max</f>
        <v>0.9393530977480361</v>
      </c>
      <c r="BX292" s="1187">
        <f>'2019'!R\Max</f>
        <v>0.94593351244071899</v>
      </c>
      <c r="BY292" s="1187">
        <f>'2020'!R\Max</f>
        <v>0.5737782926196795</v>
      </c>
      <c r="BZ292" s="1187">
        <f>'2021'!R\Max</f>
        <v>0.3893954197480255</v>
      </c>
      <c r="CA292" s="1187">
        <f>'2022'!R\Max</f>
        <v>1.0409371616866427</v>
      </c>
      <c r="CB292" s="1187">
        <f>'2023'!R\Max</f>
        <v>1.0409371616866425</v>
      </c>
      <c r="CC292" s="1187">
        <f>'2024'!R\Max</f>
        <v>1.0409371616866427</v>
      </c>
      <c r="CD292" s="1187">
        <f>'2025'!R\Max</f>
        <v>1.0409371616866427</v>
      </c>
      <c r="CE292" s="1187">
        <f>'2026'!R\Max</f>
        <v>1.0409371616866427</v>
      </c>
      <c r="CF292" s="1188">
        <f>'2027'!R\Max</f>
        <v>1.0409371616866425</v>
      </c>
    </row>
    <row r="293" spans="1:84" s="6" customFormat="1" ht="11.25" x14ac:dyDescent="0.2">
      <c r="A293" s="11">
        <v>43379</v>
      </c>
      <c r="B293" s="380">
        <f>'2022'!Maxi_hp</f>
        <v>33.540700247739295</v>
      </c>
      <c r="C293" s="13">
        <f>'2022'!An_max</f>
        <v>2018</v>
      </c>
      <c r="D293" s="1061"/>
      <c r="E293" s="13"/>
      <c r="F293" s="13">
        <f t="shared" si="128"/>
        <v>21</v>
      </c>
      <c r="G293" s="13">
        <f t="shared" si="112"/>
        <v>22</v>
      </c>
      <c r="H293" s="173">
        <f t="shared" si="113"/>
        <v>43374</v>
      </c>
      <c r="I293" s="752">
        <f t="shared" si="114"/>
        <v>0.35714285714285715</v>
      </c>
      <c r="J293" s="745">
        <f t="shared" si="115"/>
        <v>38.057361515877503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4">
        <v>43379</v>
      </c>
      <c r="AP293" s="13">
        <f t="shared" si="116"/>
        <v>11</v>
      </c>
      <c r="AQ293" s="13">
        <f t="shared" si="117"/>
        <v>12</v>
      </c>
      <c r="AR293" s="173">
        <f t="shared" si="118"/>
        <v>43360</v>
      </c>
      <c r="AS293" s="752">
        <f t="shared" si="119"/>
        <v>0.6785714285714286</v>
      </c>
      <c r="AT293" s="768">
        <f t="shared" si="120"/>
        <v>38.140342565373118</v>
      </c>
      <c r="AU293" s="13">
        <f t="shared" si="121"/>
        <v>11</v>
      </c>
      <c r="AV293" s="13">
        <f t="shared" si="122"/>
        <v>12</v>
      </c>
      <c r="AW293" s="173">
        <f t="shared" si="123"/>
        <v>43374</v>
      </c>
      <c r="AX293" s="752">
        <f t="shared" si="124"/>
        <v>0.17857142857142858</v>
      </c>
      <c r="AY293" s="768">
        <f t="shared" si="125"/>
        <v>38.132445790914687</v>
      </c>
      <c r="AZ293" s="745">
        <f t="shared" si="129"/>
        <v>38.136394178143902</v>
      </c>
      <c r="BA293" s="642">
        <f t="shared" si="126"/>
        <v>0.88131964255446715</v>
      </c>
      <c r="BC293" s="11">
        <v>43379</v>
      </c>
      <c r="BD293" s="290">
        <f>[2]!FeuilCaduc*(1-Persistant)+Persistant</f>
        <v>0.93574337297197696</v>
      </c>
      <c r="BE293" s="291">
        <f>[2]!CroissVégét</f>
        <v>0.99254495612417293</v>
      </c>
      <c r="BF293" s="815">
        <f>1+[2]!Salcycl*Ksac</f>
        <v>1.0392905621619961</v>
      </c>
      <c r="BH293" s="1052">
        <f t="shared" si="127"/>
        <v>1.08677000580763E-2</v>
      </c>
      <c r="BI293" s="11">
        <v>44475</v>
      </c>
      <c r="BJ293" s="725">
        <v>9.9377765729129924E-4</v>
      </c>
      <c r="BK293" s="725">
        <v>2.7908570249676693E-3</v>
      </c>
      <c r="BL293" s="725">
        <v>5.3374947490695563E-3</v>
      </c>
      <c r="BM293" s="725">
        <v>8.8882967740925231E-3</v>
      </c>
      <c r="BN293" s="725">
        <v>1.3845603829133531E-2</v>
      </c>
      <c r="BO293" s="726">
        <v>2.0227141653883549E-2</v>
      </c>
      <c r="BP293" s="725">
        <v>2.8527410787642555E-2</v>
      </c>
      <c r="BQ293" s="725">
        <v>4.0202375065135632E-2</v>
      </c>
      <c r="BR293" s="725">
        <v>5.3583743112601383E-2</v>
      </c>
      <c r="BS293" s="725">
        <v>6.8402915844442191E-2</v>
      </c>
      <c r="BT293" s="725">
        <v>8.2484550674200005E-2</v>
      </c>
      <c r="BW293" s="1189">
        <f>'2018'!R\Max</f>
        <v>0.88131964255446715</v>
      </c>
      <c r="BX293" s="1187">
        <f>'2019'!R\Max</f>
        <v>0.49182082020423268</v>
      </c>
      <c r="BY293" s="1187">
        <f>'2020'!R\Max</f>
        <v>0.70391670519809835</v>
      </c>
      <c r="BZ293" s="1187">
        <f>'2021'!R\Max</f>
        <v>0.66318377020358898</v>
      </c>
      <c r="CA293" s="1187">
        <f>'2022'!R\Max</f>
        <v>0.32900553586941123</v>
      </c>
      <c r="CB293" s="1187">
        <f>'2023'!R\Max</f>
        <v>0.32884315624825555</v>
      </c>
      <c r="CC293" s="1187">
        <f>'2024'!R\Max</f>
        <v>0.32864836684128562</v>
      </c>
      <c r="CD293" s="1187">
        <f>'2025'!R\Max</f>
        <v>0.32953270802917162</v>
      </c>
      <c r="CE293" s="1187">
        <f>'2026'!R\Max</f>
        <v>0.32942346197699662</v>
      </c>
      <c r="CF293" s="1188">
        <f>'2027'!R\Max</f>
        <v>0.32929863344921206</v>
      </c>
    </row>
    <row r="294" spans="1:84" s="6" customFormat="1" ht="11.25" x14ac:dyDescent="0.2">
      <c r="A294" s="11">
        <v>43380</v>
      </c>
      <c r="B294" s="380">
        <f>'2022'!Maxi_hp</f>
        <v>37.78874890553454</v>
      </c>
      <c r="C294" s="13">
        <f>'2022'!An_max</f>
        <v>2021</v>
      </c>
      <c r="D294" s="1061"/>
      <c r="E294" s="13"/>
      <c r="F294" s="13">
        <f t="shared" si="128"/>
        <v>21</v>
      </c>
      <c r="G294" s="13">
        <f t="shared" si="112"/>
        <v>22</v>
      </c>
      <c r="H294" s="173">
        <f t="shared" si="113"/>
        <v>43374</v>
      </c>
      <c r="I294" s="752">
        <f t="shared" si="114"/>
        <v>0.42857142857142855</v>
      </c>
      <c r="J294" s="745">
        <f t="shared" si="115"/>
        <v>37.652769679310062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4">
        <v>43380</v>
      </c>
      <c r="AP294" s="13">
        <f t="shared" si="116"/>
        <v>11</v>
      </c>
      <c r="AQ294" s="13">
        <f t="shared" si="117"/>
        <v>12</v>
      </c>
      <c r="AR294" s="173">
        <f t="shared" si="118"/>
        <v>43360</v>
      </c>
      <c r="AS294" s="752">
        <f t="shared" si="119"/>
        <v>0.7142857142857143</v>
      </c>
      <c r="AT294" s="768">
        <f t="shared" si="120"/>
        <v>37.718658891958846</v>
      </c>
      <c r="AU294" s="13">
        <f t="shared" si="121"/>
        <v>11</v>
      </c>
      <c r="AV294" s="13">
        <f t="shared" si="122"/>
        <v>12</v>
      </c>
      <c r="AW294" s="173">
        <f t="shared" si="123"/>
        <v>43374</v>
      </c>
      <c r="AX294" s="752">
        <f t="shared" si="124"/>
        <v>0.21428571428571427</v>
      </c>
      <c r="AY294" s="768">
        <f t="shared" si="125"/>
        <v>37.735586734854486</v>
      </c>
      <c r="AZ294" s="745">
        <f t="shared" si="129"/>
        <v>37.727122813406666</v>
      </c>
      <c r="BA294" s="642">
        <f t="shared" si="126"/>
        <v>1.0036114003666294</v>
      </c>
      <c r="BC294" s="11">
        <v>43380</v>
      </c>
      <c r="BD294" s="290">
        <f>[2]!FeuilCaduc*(1-Persistant)+Persistant</f>
        <v>0.9329416610614365</v>
      </c>
      <c r="BE294" s="291">
        <f>[2]!CroissVégét</f>
        <v>0.9928561136972186</v>
      </c>
      <c r="BF294" s="815">
        <f>1+[2]!Salcycl*Ksac</f>
        <v>1.0388236101769062</v>
      </c>
      <c r="BH294" s="1052">
        <f t="shared" si="127"/>
        <v>1.0954934058167609E-2</v>
      </c>
      <c r="BI294" s="11">
        <v>44476</v>
      </c>
      <c r="BJ294" s="725">
        <v>1.0595762989293945E-3</v>
      </c>
      <c r="BK294" s="725">
        <v>2.8767278814429346E-3</v>
      </c>
      <c r="BL294" s="725">
        <v>5.4305891026570846E-3</v>
      </c>
      <c r="BM294" s="725">
        <v>8.9656265985964198E-3</v>
      </c>
      <c r="BN294" s="725">
        <v>1.3947738118655304E-2</v>
      </c>
      <c r="BO294" s="726">
        <v>2.0335313332791524E-2</v>
      </c>
      <c r="BP294" s="725">
        <v>2.8634227473972436E-2</v>
      </c>
      <c r="BQ294" s="725">
        <v>4.0558394182578124E-2</v>
      </c>
      <c r="BR294" s="725">
        <v>5.4257336120382228E-2</v>
      </c>
      <c r="BS294" s="725">
        <v>6.9470467985224063E-2</v>
      </c>
      <c r="BT294" s="725">
        <v>8.3700667103266083E-2</v>
      </c>
      <c r="BW294" s="1189">
        <f>'2018'!R\Max</f>
        <v>0.33116412759452662</v>
      </c>
      <c r="BX294" s="1187">
        <f>'2019'!R\Max</f>
        <v>0.74660552134614366</v>
      </c>
      <c r="BY294" s="1187">
        <f>'2020'!R\Max</f>
        <v>0.18851695489523801</v>
      </c>
      <c r="BZ294" s="1187">
        <f>'2021'!R\Max</f>
        <v>1.0036114003666294</v>
      </c>
      <c r="CA294" s="1187">
        <f>'2022'!R\Max</f>
        <v>0.74214179132663938</v>
      </c>
      <c r="CB294" s="1187">
        <f>'2023'!R\Max</f>
        <v>0.74199992364525724</v>
      </c>
      <c r="CC294" s="1187">
        <f>'2024'!R\Max</f>
        <v>0.74182749710050622</v>
      </c>
      <c r="CD294" s="1187">
        <f>'2025'!R\Max</f>
        <v>0.74260233569307355</v>
      </c>
      <c r="CE294" s="1187">
        <f>'2026'!R\Max</f>
        <v>0.74250678403568038</v>
      </c>
      <c r="CF294" s="1188">
        <f>'2027'!R\Max</f>
        <v>0.74239778277045709</v>
      </c>
    </row>
    <row r="295" spans="1:84" s="6" customFormat="1" ht="11.25" x14ac:dyDescent="0.2">
      <c r="A295" s="11">
        <v>43381</v>
      </c>
      <c r="B295" s="380">
        <f>'2022'!Maxi_hp</f>
        <v>35.15889638578107</v>
      </c>
      <c r="C295" s="13">
        <f>'2022'!An_max</f>
        <v>2019</v>
      </c>
      <c r="D295" s="1061"/>
      <c r="E295" s="13"/>
      <c r="F295" s="13">
        <f t="shared" si="128"/>
        <v>21</v>
      </c>
      <c r="G295" s="13">
        <f t="shared" si="112"/>
        <v>22</v>
      </c>
      <c r="H295" s="173">
        <f t="shared" si="113"/>
        <v>43374</v>
      </c>
      <c r="I295" s="752">
        <f t="shared" si="114"/>
        <v>0.5</v>
      </c>
      <c r="J295" s="745">
        <f t="shared" si="115"/>
        <v>37.249999999906869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4">
        <v>43381</v>
      </c>
      <c r="AP295" s="13">
        <f t="shared" si="116"/>
        <v>11</v>
      </c>
      <c r="AQ295" s="13">
        <f t="shared" si="117"/>
        <v>12</v>
      </c>
      <c r="AR295" s="173">
        <f t="shared" si="118"/>
        <v>43360</v>
      </c>
      <c r="AS295" s="752">
        <f t="shared" si="119"/>
        <v>0.75</v>
      </c>
      <c r="AT295" s="768">
        <f t="shared" si="120"/>
        <v>37.299999999999997</v>
      </c>
      <c r="AU295" s="13">
        <f t="shared" si="121"/>
        <v>11</v>
      </c>
      <c r="AV295" s="13">
        <f t="shared" si="122"/>
        <v>12</v>
      </c>
      <c r="AW295" s="173">
        <f t="shared" si="123"/>
        <v>43374</v>
      </c>
      <c r="AX295" s="752">
        <f t="shared" si="124"/>
        <v>0.25</v>
      </c>
      <c r="AY295" s="768">
        <f t="shared" si="125"/>
        <v>37.338281250162979</v>
      </c>
      <c r="AZ295" s="745">
        <f t="shared" si="129"/>
        <v>37.319140625081488</v>
      </c>
      <c r="BA295" s="642">
        <f t="shared" si="126"/>
        <v>0.94386299022467035</v>
      </c>
      <c r="BC295" s="11">
        <v>43381</v>
      </c>
      <c r="BD295" s="290">
        <f>[2]!FeuilCaduc*(1-Persistant)+Persistant</f>
        <v>0.93005188366098779</v>
      </c>
      <c r="BE295" s="291">
        <f>[2]!CroissVégét</f>
        <v>0.99315492642894099</v>
      </c>
      <c r="BF295" s="815">
        <f>1+[2]!Salcycl*Ksac</f>
        <v>1.0383419806101646</v>
      </c>
      <c r="BH295" s="1052">
        <f t="shared" si="127"/>
        <v>1.1035029178818573E-2</v>
      </c>
      <c r="BI295" s="11">
        <v>44477</v>
      </c>
      <c r="BJ295" s="725">
        <v>1.128509664996612E-3</v>
      </c>
      <c r="BK295" s="725">
        <v>2.9619569891864298E-3</v>
      </c>
      <c r="BL295" s="725">
        <v>5.516901110754883E-3</v>
      </c>
      <c r="BM295" s="725">
        <v>9.0311157450093486E-3</v>
      </c>
      <c r="BN295" s="725">
        <v>1.4049807127151839E-2</v>
      </c>
      <c r="BO295" s="726">
        <v>2.0468434888116501E-2</v>
      </c>
      <c r="BP295" s="725">
        <v>2.880556297240721E-2</v>
      </c>
      <c r="BQ295" s="725">
        <v>4.1028409932462408E-2</v>
      </c>
      <c r="BR295" s="725">
        <v>5.5093038805677223E-2</v>
      </c>
      <c r="BS295" s="725">
        <v>7.0747946943221188E-2</v>
      </c>
      <c r="BT295" s="725">
        <v>8.5162874274774328E-2</v>
      </c>
      <c r="BW295" s="1189">
        <f>'2018'!R\Max</f>
        <v>0.33271491555569677</v>
      </c>
      <c r="BX295" s="1187">
        <f>'2019'!R\Max</f>
        <v>0.94386299022467035</v>
      </c>
      <c r="BY295" s="1187">
        <f>'2020'!R\Max</f>
        <v>0.79973933504399597</v>
      </c>
      <c r="BZ295" s="1187">
        <f>'2021'!R\Max</f>
        <v>0.9337313567675809</v>
      </c>
      <c r="CA295" s="1187">
        <f>'2022'!R\Max</f>
        <v>0.4964435854561921</v>
      </c>
      <c r="CB295" s="1187">
        <f>'2023'!R\Max</f>
        <v>0.49625600811105963</v>
      </c>
      <c r="CC295" s="1187">
        <f>'2024'!R\Max</f>
        <v>0.49602539598839385</v>
      </c>
      <c r="CD295" s="1187">
        <f>'2025'!R\Max</f>
        <v>0.49705326917993498</v>
      </c>
      <c r="CE295" s="1187">
        <f>'2026'!R\Max</f>
        <v>0.49692657840601889</v>
      </c>
      <c r="CF295" s="1188">
        <f>'2027'!R\Max</f>
        <v>0.49678228032076965</v>
      </c>
    </row>
    <row r="296" spans="1:84" s="6" customFormat="1" ht="11.25" x14ac:dyDescent="0.2">
      <c r="A296" s="11">
        <v>43382</v>
      </c>
      <c r="B296" s="380">
        <f>'2022'!Maxi_hp</f>
        <v>36.30535687657288</v>
      </c>
      <c r="C296" s="13">
        <f>'2022'!An_max</f>
        <v>2022</v>
      </c>
      <c r="D296" s="1061"/>
      <c r="E296" s="13"/>
      <c r="F296" s="13">
        <f t="shared" si="128"/>
        <v>21</v>
      </c>
      <c r="G296" s="13">
        <f t="shared" si="112"/>
        <v>22</v>
      </c>
      <c r="H296" s="173">
        <f t="shared" si="113"/>
        <v>43374</v>
      </c>
      <c r="I296" s="752">
        <f t="shared" si="114"/>
        <v>0.5714285714285714</v>
      </c>
      <c r="J296" s="745">
        <f t="shared" si="115"/>
        <v>36.849271136868211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4">
        <v>43382</v>
      </c>
      <c r="AP296" s="13">
        <f t="shared" si="116"/>
        <v>11</v>
      </c>
      <c r="AQ296" s="13">
        <f t="shared" si="117"/>
        <v>12</v>
      </c>
      <c r="AR296" s="173">
        <f t="shared" si="118"/>
        <v>43360</v>
      </c>
      <c r="AS296" s="752">
        <f t="shared" si="119"/>
        <v>0.7857142857142857</v>
      </c>
      <c r="AT296" s="768">
        <f t="shared" si="120"/>
        <v>36.884912536532752</v>
      </c>
      <c r="AU296" s="13">
        <f t="shared" si="121"/>
        <v>11</v>
      </c>
      <c r="AV296" s="13">
        <f t="shared" si="122"/>
        <v>12</v>
      </c>
      <c r="AW296" s="173">
        <f t="shared" si="123"/>
        <v>43374</v>
      </c>
      <c r="AX296" s="752">
        <f t="shared" si="124"/>
        <v>0.2857142857142857</v>
      </c>
      <c r="AY296" s="768">
        <f t="shared" si="125"/>
        <v>36.940816326678863</v>
      </c>
      <c r="AZ296" s="745">
        <f t="shared" si="129"/>
        <v>36.912864431605811</v>
      </c>
      <c r="BA296" s="642">
        <f t="shared" si="126"/>
        <v>0.98523948388897342</v>
      </c>
      <c r="BC296" s="11">
        <v>43382</v>
      </c>
      <c r="BD296" s="290">
        <f>[2]!FeuilCaduc*(1-Persistant)+Persistant</f>
        <v>0.92707399969935889</v>
      </c>
      <c r="BE296" s="291">
        <f>[2]!CroissVégét</f>
        <v>0.9934418770502661</v>
      </c>
      <c r="BF296" s="815">
        <f>1+[2]!Salcycl*Ksac</f>
        <v>1.0378456666165599</v>
      </c>
      <c r="BH296" s="1052">
        <f t="shared" si="127"/>
        <v>1.1143620216824308E-2</v>
      </c>
      <c r="BI296" s="11">
        <v>44478</v>
      </c>
      <c r="BJ296" s="725">
        <v>1.209237998090277E-3</v>
      </c>
      <c r="BK296" s="725">
        <v>3.0599861646797609E-3</v>
      </c>
      <c r="BL296" s="725">
        <v>5.6171826916322776E-3</v>
      </c>
      <c r="BM296" s="725">
        <v>9.1153726364629328E-3</v>
      </c>
      <c r="BN296" s="725">
        <v>1.4195007555153769E-2</v>
      </c>
      <c r="BO296" s="726">
        <v>2.0680233212019634E-2</v>
      </c>
      <c r="BP296" s="725">
        <v>2.9106225017471059E-2</v>
      </c>
      <c r="BQ296" s="725">
        <v>4.1643728218406929E-2</v>
      </c>
      <c r="BR296" s="725">
        <v>5.6080174212330122E-2</v>
      </c>
      <c r="BS296" s="725">
        <v>7.2170944439824913E-2</v>
      </c>
      <c r="BT296" s="725">
        <v>8.6785493968251748E-2</v>
      </c>
      <c r="BW296" s="1189">
        <f>'2018'!R\Max</f>
        <v>0.91557598278562413</v>
      </c>
      <c r="BX296" s="1187">
        <f>'2019'!R\Max</f>
        <v>0.27165716232835985</v>
      </c>
      <c r="BY296" s="1187">
        <f>'2020'!R\Max</f>
        <v>0.95557347932050396</v>
      </c>
      <c r="BZ296" s="1187">
        <f>'2021'!R\Max</f>
        <v>0.45183925552151499</v>
      </c>
      <c r="CA296" s="1187">
        <f>'2022'!R\Max</f>
        <v>0.98523948388897342</v>
      </c>
      <c r="CB296" s="1187">
        <f>'2023'!R\Max</f>
        <v>0.98522836688884019</v>
      </c>
      <c r="CC296" s="1187">
        <f>'2024'!R\Max</f>
        <v>0.98521456659642181</v>
      </c>
      <c r="CD296" s="1187">
        <f>'2025'!R\Max</f>
        <v>0.98527556058754728</v>
      </c>
      <c r="CE296" s="1187">
        <f>'2026'!R\Max</f>
        <v>0.98526806640400488</v>
      </c>
      <c r="CF296" s="1188">
        <f>'2027'!R\Max</f>
        <v>0.98525953407976952</v>
      </c>
    </row>
    <row r="297" spans="1:84" s="6" customFormat="1" ht="11.25" x14ac:dyDescent="0.2">
      <c r="A297" s="11">
        <v>43383</v>
      </c>
      <c r="B297" s="380">
        <f>'2022'!Maxi_hp</f>
        <v>30.260941693493162</v>
      </c>
      <c r="C297" s="13">
        <f>'2022'!An_max</f>
        <v>2021</v>
      </c>
      <c r="D297" s="1061"/>
      <c r="E297" s="13"/>
      <c r="F297" s="13">
        <f t="shared" si="128"/>
        <v>21</v>
      </c>
      <c r="G297" s="13">
        <f t="shared" si="112"/>
        <v>22</v>
      </c>
      <c r="H297" s="173">
        <f t="shared" si="113"/>
        <v>43374</v>
      </c>
      <c r="I297" s="752">
        <f t="shared" si="114"/>
        <v>0.6428571428571429</v>
      </c>
      <c r="J297" s="745">
        <f t="shared" si="115"/>
        <v>36.450801749088399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4">
        <v>43383</v>
      </c>
      <c r="AP297" s="13">
        <f t="shared" si="116"/>
        <v>11</v>
      </c>
      <c r="AQ297" s="13">
        <f t="shared" si="117"/>
        <v>12</v>
      </c>
      <c r="AR297" s="173">
        <f t="shared" si="118"/>
        <v>43360</v>
      </c>
      <c r="AS297" s="752">
        <f t="shared" si="119"/>
        <v>0.8214285714285714</v>
      </c>
      <c r="AT297" s="768">
        <f t="shared" si="120"/>
        <v>36.473943148806157</v>
      </c>
      <c r="AU297" s="13">
        <f t="shared" si="121"/>
        <v>11</v>
      </c>
      <c r="AV297" s="13">
        <f t="shared" si="122"/>
        <v>12</v>
      </c>
      <c r="AW297" s="173">
        <f t="shared" si="123"/>
        <v>43374</v>
      </c>
      <c r="AX297" s="752">
        <f t="shared" si="124"/>
        <v>0.32142857142857145</v>
      </c>
      <c r="AY297" s="768">
        <f t="shared" si="125"/>
        <v>36.543478954327291</v>
      </c>
      <c r="AZ297" s="745">
        <f t="shared" si="129"/>
        <v>36.508711051566721</v>
      </c>
      <c r="BA297" s="642">
        <f t="shared" si="126"/>
        <v>0.83018590103439793</v>
      </c>
      <c r="BC297" s="11">
        <v>43383</v>
      </c>
      <c r="BD297" s="290">
        <f>[2]!FeuilCaduc*(1-Persistant)+Persistant</f>
        <v>0.92400823119435738</v>
      </c>
      <c r="BE297" s="291">
        <f>[2]!CroissVégét</f>
        <v>0.99371742996744827</v>
      </c>
      <c r="BF297" s="815">
        <f>1+[2]!Salcycl*Ksac</f>
        <v>1.0373347051990596</v>
      </c>
      <c r="BH297" s="1052">
        <f t="shared" si="127"/>
        <v>1.1292153421404928E-2</v>
      </c>
      <c r="BI297" s="11">
        <v>44479</v>
      </c>
      <c r="BJ297" s="725">
        <v>1.301353012387794E-3</v>
      </c>
      <c r="BK297" s="725">
        <v>3.172284033834486E-3</v>
      </c>
      <c r="BL297" s="725">
        <v>5.7365433102799686E-3</v>
      </c>
      <c r="BM297" s="725">
        <v>9.2279838297190976E-3</v>
      </c>
      <c r="BN297" s="725">
        <v>1.4397583457274904E-2</v>
      </c>
      <c r="BO297" s="726">
        <v>2.0983831811001365E-2</v>
      </c>
      <c r="BP297" s="725">
        <v>2.9542710930828282E-2</v>
      </c>
      <c r="BQ297" s="725">
        <v>4.2381190142331368E-2</v>
      </c>
      <c r="BR297" s="725">
        <v>5.7162088865706208E-2</v>
      </c>
      <c r="BS297" s="725">
        <v>7.3640052377139775E-2</v>
      </c>
      <c r="BT297" s="725">
        <v>8.8435553584611137E-2</v>
      </c>
      <c r="BW297" s="1189">
        <f>'2018'!R\Max</f>
        <v>0.50709905571254277</v>
      </c>
      <c r="BX297" s="1187">
        <f>'2019'!R\Max</f>
        <v>0.72568540877160692</v>
      </c>
      <c r="BY297" s="1187">
        <f>'2020'!R\Max</f>
        <v>0.67428626663836355</v>
      </c>
      <c r="BZ297" s="1187">
        <f>'2021'!R\Max</f>
        <v>0.83018590103439793</v>
      </c>
      <c r="CA297" s="1187">
        <f>'2022'!R\Max</f>
        <v>0.79928190343730665</v>
      </c>
      <c r="CB297" s="1187">
        <f>'2023'!R\Max</f>
        <v>0.79915639751261736</v>
      </c>
      <c r="CC297" s="1187">
        <f>'2024'!R\Max</f>
        <v>0.79899988221030505</v>
      </c>
      <c r="CD297" s="1187">
        <f>'2025'!R\Max</f>
        <v>0.79968947160583437</v>
      </c>
      <c r="CE297" s="1187">
        <f>'2026'!R\Max</f>
        <v>0.79960471077000839</v>
      </c>
      <c r="CF297" s="1188">
        <f>'2027'!R\Max</f>
        <v>0.79950833407622257</v>
      </c>
    </row>
    <row r="298" spans="1:84" s="6" customFormat="1" ht="11.25" x14ac:dyDescent="0.2">
      <c r="A298" s="11">
        <v>43384</v>
      </c>
      <c r="B298" s="380">
        <f>'2022'!Maxi_hp</f>
        <v>36.235632696328913</v>
      </c>
      <c r="C298" s="13">
        <f>'2022'!An_max</f>
        <v>2019</v>
      </c>
      <c r="D298" s="1061"/>
      <c r="E298" s="13"/>
      <c r="F298" s="13">
        <f t="shared" si="128"/>
        <v>21</v>
      </c>
      <c r="G298" s="13">
        <f t="shared" si="112"/>
        <v>22</v>
      </c>
      <c r="H298" s="173">
        <f t="shared" si="113"/>
        <v>43374</v>
      </c>
      <c r="I298" s="752">
        <f t="shared" si="114"/>
        <v>0.7142857142857143</v>
      </c>
      <c r="J298" s="745">
        <f t="shared" si="115"/>
        <v>36.054810495621396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4">
        <v>43384</v>
      </c>
      <c r="AP298" s="13">
        <f t="shared" si="116"/>
        <v>11</v>
      </c>
      <c r="AQ298" s="13">
        <f t="shared" si="117"/>
        <v>12</v>
      </c>
      <c r="AR298" s="173">
        <f t="shared" si="118"/>
        <v>43360</v>
      </c>
      <c r="AS298" s="752">
        <f t="shared" si="119"/>
        <v>0.8571428571428571</v>
      </c>
      <c r="AT298" s="768">
        <f t="shared" si="120"/>
        <v>36.067638484335376</v>
      </c>
      <c r="AU298" s="13">
        <f t="shared" si="121"/>
        <v>11</v>
      </c>
      <c r="AV298" s="13">
        <f t="shared" si="122"/>
        <v>12</v>
      </c>
      <c r="AW298" s="173">
        <f t="shared" si="123"/>
        <v>43374</v>
      </c>
      <c r="AX298" s="752">
        <f t="shared" si="124"/>
        <v>0.35714285714285715</v>
      </c>
      <c r="AY298" s="768">
        <f t="shared" si="125"/>
        <v>36.146556122793946</v>
      </c>
      <c r="AZ298" s="745">
        <f t="shared" si="129"/>
        <v>36.107097303564657</v>
      </c>
      <c r="BA298" s="642">
        <f t="shared" si="126"/>
        <v>1.0050152031926358</v>
      </c>
      <c r="BC298" s="11">
        <v>43384</v>
      </c>
      <c r="BD298" s="290">
        <f>[2]!FeuilCaduc*(1-Persistant)+Persistant</f>
        <v>0.92085507568876568</v>
      </c>
      <c r="BE298" s="291">
        <f>[2]!CroissVégét</f>
        <v>0.99398203191418089</v>
      </c>
      <c r="BF298" s="815">
        <f>1+[2]!Salcycl*Ksac</f>
        <v>1.0368091792814609</v>
      </c>
      <c r="BH298" s="1052">
        <f t="shared" si="127"/>
        <v>1.1480679553540324E-2</v>
      </c>
      <c r="BI298" s="11">
        <v>44480</v>
      </c>
      <c r="BJ298" s="725">
        <v>1.4048715174228511E-3</v>
      </c>
      <c r="BK298" s="725">
        <v>3.2988699503913622E-3</v>
      </c>
      <c r="BL298" s="725">
        <v>5.8750070590304539E-3</v>
      </c>
      <c r="BM298" s="725">
        <v>9.3689840588855201E-3</v>
      </c>
      <c r="BN298" s="725">
        <v>1.4657609706046145E-2</v>
      </c>
      <c r="BO298" s="726">
        <v>2.1379352643897162E-2</v>
      </c>
      <c r="BP298" s="725">
        <v>3.0115202754049337E-2</v>
      </c>
      <c r="BQ298" s="725">
        <v>4.3240943597810728E-2</v>
      </c>
      <c r="BR298" s="725">
        <v>5.8338873161236732E-2</v>
      </c>
      <c r="BS298" s="725">
        <v>7.5155268644672424E-2</v>
      </c>
      <c r="BT298" s="725">
        <v>9.0113006351909178E-2</v>
      </c>
      <c r="BW298" s="1189">
        <f>'2018'!R\Max</f>
        <v>0.71271958113939982</v>
      </c>
      <c r="BX298" s="1187">
        <f>'2019'!R\Max</f>
        <v>1.0050152031926358</v>
      </c>
      <c r="BY298" s="1187">
        <f>'2020'!R\Max</f>
        <v>0.65789347006581822</v>
      </c>
      <c r="BZ298" s="1187">
        <f>'2021'!R\Max</f>
        <v>1.0046171335988769</v>
      </c>
      <c r="CA298" s="1187">
        <f>'2022'!R\Max</f>
        <v>0.62783091999103979</v>
      </c>
      <c r="CB298" s="1187">
        <f>'2023'!R\Max</f>
        <v>0.62764295874703224</v>
      </c>
      <c r="CC298" s="1187">
        <f>'2024'!R\Max</f>
        <v>0.62740836775992692</v>
      </c>
      <c r="CD298" s="1187">
        <f>'2025'!R\Max</f>
        <v>0.62844176262102125</v>
      </c>
      <c r="CE298" s="1187">
        <f>'2026'!R\Max</f>
        <v>0.62831456551327591</v>
      </c>
      <c r="CF298" s="1188">
        <f>'2027'!R\Max</f>
        <v>0.62817014537344074</v>
      </c>
    </row>
    <row r="299" spans="1:84" s="6" customFormat="1" ht="11.25" x14ac:dyDescent="0.2">
      <c r="A299" s="11">
        <v>43385</v>
      </c>
      <c r="B299" s="380">
        <f>'2022'!Maxi_hp</f>
        <v>34.453612542643434</v>
      </c>
      <c r="C299" s="13">
        <f>'2022'!An_max</f>
        <v>2021</v>
      </c>
      <c r="D299" s="1061"/>
      <c r="E299" s="13"/>
      <c r="F299" s="13">
        <f t="shared" si="128"/>
        <v>21</v>
      </c>
      <c r="G299" s="13">
        <f t="shared" si="112"/>
        <v>22</v>
      </c>
      <c r="H299" s="173">
        <f t="shared" si="113"/>
        <v>43374</v>
      </c>
      <c r="I299" s="752">
        <f t="shared" si="114"/>
        <v>0.7857142857142857</v>
      </c>
      <c r="J299" s="745">
        <f t="shared" si="115"/>
        <v>35.661516035148608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4">
        <v>43385</v>
      </c>
      <c r="AP299" s="13">
        <f t="shared" si="116"/>
        <v>11</v>
      </c>
      <c r="AQ299" s="13">
        <f t="shared" si="117"/>
        <v>12</v>
      </c>
      <c r="AR299" s="173">
        <f t="shared" si="118"/>
        <v>43360</v>
      </c>
      <c r="AS299" s="752">
        <f t="shared" si="119"/>
        <v>0.8928571428571429</v>
      </c>
      <c r="AT299" s="768">
        <f t="shared" si="120"/>
        <v>35.666545189823957</v>
      </c>
      <c r="AU299" s="13">
        <f t="shared" si="121"/>
        <v>11</v>
      </c>
      <c r="AV299" s="13">
        <f t="shared" si="122"/>
        <v>12</v>
      </c>
      <c r="AW299" s="173">
        <f t="shared" si="123"/>
        <v>43374</v>
      </c>
      <c r="AX299" s="752">
        <f t="shared" si="124"/>
        <v>0.39285714285714285</v>
      </c>
      <c r="AY299" s="768">
        <f t="shared" si="125"/>
        <v>35.750334821634794</v>
      </c>
      <c r="AZ299" s="745">
        <f t="shared" si="129"/>
        <v>35.708440005729372</v>
      </c>
      <c r="BA299" s="642">
        <f t="shared" si="126"/>
        <v>0.96612865557048544</v>
      </c>
      <c r="BC299" s="11">
        <v>43385</v>
      </c>
      <c r="BD299" s="290">
        <f>[2]!FeuilCaduc*(1-Persistant)+Persistant</f>
        <v>0.91761531742299185</v>
      </c>
      <c r="BE299" s="291">
        <f>[2]!CroissVégét</f>
        <v>0.99423611258398381</v>
      </c>
      <c r="BF299" s="815">
        <f>1+[2]!Salcycl*Ksac</f>
        <v>1.0362692195704986</v>
      </c>
      <c r="BH299" s="1052">
        <f t="shared" si="127"/>
        <v>1.1709248983434735E-2</v>
      </c>
      <c r="BI299" s="11">
        <v>44481</v>
      </c>
      <c r="BJ299" s="725">
        <v>1.5198099887633451E-3</v>
      </c>
      <c r="BK299" s="725">
        <v>3.4397628668300048E-3</v>
      </c>
      <c r="BL299" s="725">
        <v>6.0325976320900658E-3</v>
      </c>
      <c r="BM299" s="725">
        <v>9.5384077519837136E-3</v>
      </c>
      <c r="BN299" s="725">
        <v>1.4975160655812003E-2</v>
      </c>
      <c r="BO299" s="726">
        <v>2.1866916925754876E-2</v>
      </c>
      <c r="BP299" s="725">
        <v>3.0823881480515587E-2</v>
      </c>
      <c r="BQ299" s="725">
        <v>4.4223134059454536E-2</v>
      </c>
      <c r="BR299" s="725">
        <v>5.9610613437982761E-2</v>
      </c>
      <c r="BS299" s="725">
        <v>7.6716585129406809E-2</v>
      </c>
      <c r="BT299" s="725">
        <v>9.1817798626227673E-2</v>
      </c>
      <c r="BW299" s="1189">
        <f>'2018'!R\Max</f>
        <v>0.89026015211135345</v>
      </c>
      <c r="BX299" s="1187">
        <f>'2019'!R\Max</f>
        <v>0.58719960009305339</v>
      </c>
      <c r="BY299" s="1187">
        <f>'2020'!R\Max</f>
        <v>0.48077786733663974</v>
      </c>
      <c r="BZ299" s="1187">
        <f>'2021'!R\Max</f>
        <v>0.96612865557048544</v>
      </c>
      <c r="CA299" s="1187">
        <f>'2022'!R\Max</f>
        <v>0.76598931774718093</v>
      </c>
      <c r="CB299" s="1187">
        <f>'2023'!R\Max</f>
        <v>0.7658403460044968</v>
      </c>
      <c r="CC299" s="1187">
        <f>'2024'!R\Max</f>
        <v>0.76565482796669893</v>
      </c>
      <c r="CD299" s="1187">
        <f>'2025'!R\Max</f>
        <v>0.76647333866015765</v>
      </c>
      <c r="CE299" s="1187">
        <f>'2026'!R\Max</f>
        <v>0.76637247426143684</v>
      </c>
      <c r="CF299" s="1188">
        <f>'2027'!R\Max</f>
        <v>0.76625808977261856</v>
      </c>
    </row>
    <row r="300" spans="1:84" s="6" customFormat="1" ht="11.25" x14ac:dyDescent="0.2">
      <c r="A300" s="11">
        <v>43386</v>
      </c>
      <c r="B300" s="380">
        <f>'2022'!Maxi_hp</f>
        <v>34.605373713118908</v>
      </c>
      <c r="C300" s="13">
        <f>'2022'!An_max</f>
        <v>2019</v>
      </c>
      <c r="D300" s="1061"/>
      <c r="E300" s="13"/>
      <c r="F300" s="13">
        <f t="shared" si="128"/>
        <v>21</v>
      </c>
      <c r="G300" s="13">
        <f t="shared" si="112"/>
        <v>22</v>
      </c>
      <c r="H300" s="173">
        <f t="shared" si="113"/>
        <v>43374</v>
      </c>
      <c r="I300" s="752">
        <f t="shared" si="114"/>
        <v>0.8571428571428571</v>
      </c>
      <c r="J300" s="745">
        <f t="shared" si="115"/>
        <v>35.271137026564347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4">
        <v>43386</v>
      </c>
      <c r="AP300" s="13">
        <f t="shared" si="116"/>
        <v>11</v>
      </c>
      <c r="AQ300" s="13">
        <f t="shared" si="117"/>
        <v>12</v>
      </c>
      <c r="AR300" s="173">
        <f t="shared" si="118"/>
        <v>43360</v>
      </c>
      <c r="AS300" s="752">
        <f t="shared" si="119"/>
        <v>0.9285714285714286</v>
      </c>
      <c r="AT300" s="768">
        <f t="shared" si="120"/>
        <v>35.271209912853578</v>
      </c>
      <c r="AU300" s="13">
        <f t="shared" si="121"/>
        <v>11</v>
      </c>
      <c r="AV300" s="13">
        <f t="shared" si="122"/>
        <v>12</v>
      </c>
      <c r="AW300" s="173">
        <f t="shared" si="123"/>
        <v>43374</v>
      </c>
      <c r="AX300" s="752">
        <f t="shared" si="124"/>
        <v>0.42857142857142855</v>
      </c>
      <c r="AY300" s="768">
        <f t="shared" si="125"/>
        <v>35.355102041150836</v>
      </c>
      <c r="AZ300" s="745">
        <f t="shared" si="129"/>
        <v>35.313155977002211</v>
      </c>
      <c r="BA300" s="642">
        <f t="shared" si="126"/>
        <v>0.98112441589438915</v>
      </c>
      <c r="BC300" s="11">
        <v>43386</v>
      </c>
      <c r="BD300" s="290">
        <f>[2]!FeuilCaduc*(1-Persistant)+Persistant</f>
        <v>0.91429003710982559</v>
      </c>
      <c r="BE300" s="291">
        <f>[2]!CroissVégét</f>
        <v>0.99448008524317211</v>
      </c>
      <c r="BF300" s="815">
        <f>1+[2]!Salcycl*Ksac</f>
        <v>1.0357150061849709</v>
      </c>
      <c r="BH300" s="1052">
        <f t="shared" si="127"/>
        <v>1.197791125499946E-2</v>
      </c>
      <c r="BI300" s="11">
        <v>44482</v>
      </c>
      <c r="BJ300" s="725">
        <v>1.6461844443864109E-3</v>
      </c>
      <c r="BK300" s="725">
        <v>3.5949811794454309E-3</v>
      </c>
      <c r="BL300" s="725">
        <v>6.209338118063081E-3</v>
      </c>
      <c r="BM300" s="725">
        <v>9.73628872188507E-3</v>
      </c>
      <c r="BN300" s="725">
        <v>1.5350309516971281E-2</v>
      </c>
      <c r="BO300" s="726">
        <v>2.2446644126355872E-2</v>
      </c>
      <c r="BP300" s="725">
        <v>3.1668925573502066E-2</v>
      </c>
      <c r="BQ300" s="725">
        <v>4.5327903254446279E-2</v>
      </c>
      <c r="BR300" s="725">
        <v>6.0977390954013472E-2</v>
      </c>
      <c r="BS300" s="725">
        <v>7.8323987228839653E-2</v>
      </c>
      <c r="BT300" s="725">
        <v>9.354986961148426E-2</v>
      </c>
      <c r="BW300" s="1189">
        <f>'2018'!R\Max</f>
        <v>0.79229500386502305</v>
      </c>
      <c r="BX300" s="1187">
        <f>'2019'!R\Max</f>
        <v>0.98112441589438915</v>
      </c>
      <c r="BY300" s="1187">
        <f>'2020'!R\Max</f>
        <v>0.72770960893561398</v>
      </c>
      <c r="BZ300" s="1187">
        <f>'2021'!R\Max</f>
        <v>0.93910778565327191</v>
      </c>
      <c r="CA300" s="1187">
        <f>'2022'!R\Max</f>
        <v>0.66601692480310271</v>
      </c>
      <c r="CB300" s="1187">
        <f>'2023'!R\Max</f>
        <v>0.6658251787751186</v>
      </c>
      <c r="CC300" s="1187">
        <f>'2024'!R\Max</f>
        <v>0.66558781493081487</v>
      </c>
      <c r="CD300" s="1187">
        <f>'2025'!R\Max</f>
        <v>0.6666403410433358</v>
      </c>
      <c r="CE300" s="1187">
        <f>'2026'!R\Max</f>
        <v>0.66651025281051335</v>
      </c>
      <c r="CF300" s="1188">
        <f>'2027'!R\Max</f>
        <v>0.666362959286947</v>
      </c>
    </row>
    <row r="301" spans="1:84" s="6" customFormat="1" ht="11.25" x14ac:dyDescent="0.2">
      <c r="A301" s="11">
        <v>43387</v>
      </c>
      <c r="B301" s="380">
        <f>'2022'!Maxi_hp</f>
        <v>35.94304448551074</v>
      </c>
      <c r="C301" s="13">
        <f>'2022'!An_max</f>
        <v>2021</v>
      </c>
      <c r="D301" s="1061"/>
      <c r="E301" s="13"/>
      <c r="F301" s="13">
        <f t="shared" si="128"/>
        <v>21</v>
      </c>
      <c r="G301" s="13">
        <f t="shared" si="112"/>
        <v>22</v>
      </c>
      <c r="H301" s="173">
        <f t="shared" si="113"/>
        <v>43374</v>
      </c>
      <c r="I301" s="752">
        <f t="shared" si="114"/>
        <v>0.9285714285714286</v>
      </c>
      <c r="J301" s="745">
        <f t="shared" si="115"/>
        <v>34.883892128004561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4">
        <v>43387</v>
      </c>
      <c r="AP301" s="13">
        <f t="shared" si="116"/>
        <v>11</v>
      </c>
      <c r="AQ301" s="13">
        <f t="shared" si="117"/>
        <v>12</v>
      </c>
      <c r="AR301" s="173">
        <f t="shared" si="118"/>
        <v>43360</v>
      </c>
      <c r="AS301" s="752">
        <f t="shared" si="119"/>
        <v>0.9642857142857143</v>
      </c>
      <c r="AT301" s="768">
        <f t="shared" si="120"/>
        <v>34.882179299914945</v>
      </c>
      <c r="AU301" s="13">
        <f t="shared" si="121"/>
        <v>11</v>
      </c>
      <c r="AV301" s="13">
        <f t="shared" si="122"/>
        <v>12</v>
      </c>
      <c r="AW301" s="173">
        <f t="shared" si="123"/>
        <v>43374</v>
      </c>
      <c r="AX301" s="752">
        <f t="shared" si="124"/>
        <v>0.4642857142857143</v>
      </c>
      <c r="AY301" s="768">
        <f t="shared" si="125"/>
        <v>34.961144770482292</v>
      </c>
      <c r="AZ301" s="745">
        <f t="shared" si="129"/>
        <v>34.921662035198622</v>
      </c>
      <c r="BA301" s="642">
        <f t="shared" si="126"/>
        <v>1.0303622185741108</v>
      </c>
      <c r="BC301" s="11">
        <v>43387</v>
      </c>
      <c r="BD301" s="290">
        <f>[2]!FeuilCaduc*(1-Persistant)+Persistant</f>
        <v>0.91088062018533922</v>
      </c>
      <c r="BE301" s="291">
        <f>[2]!CroissVégét</f>
        <v>0.99471434732473374</v>
      </c>
      <c r="BF301" s="815">
        <f>1+[2]!Salcycl*Ksac</f>
        <v>1.0351467700308898</v>
      </c>
      <c r="BH301" s="1052">
        <f t="shared" si="127"/>
        <v>1.2286714650447096E-2</v>
      </c>
      <c r="BI301" s="11">
        <v>44483</v>
      </c>
      <c r="BJ301" s="725">
        <v>1.7840103210678678E-3</v>
      </c>
      <c r="BK301" s="725">
        <v>3.7645425734573182E-3</v>
      </c>
      <c r="BL301" s="725">
        <v>6.4052507925332867E-3</v>
      </c>
      <c r="BM301" s="725">
        <v>9.9626598573377481E-3</v>
      </c>
      <c r="BN301" s="725">
        <v>1.5783127730360263E-2</v>
      </c>
      <c r="BO301" s="726">
        <v>2.3118650968944221E-2</v>
      </c>
      <c r="BP301" s="725">
        <v>3.2650509484553433E-2</v>
      </c>
      <c r="BQ301" s="725">
        <v>4.6555387834504067E-2</v>
      </c>
      <c r="BR301" s="725">
        <v>6.2439280862352696E-2</v>
      </c>
      <c r="BS301" s="725">
        <v>7.9977453364747875E-2</v>
      </c>
      <c r="BT301" s="725">
        <v>9.5309151080119489E-2</v>
      </c>
      <c r="BW301" s="1189">
        <f>'2018'!R\Max</f>
        <v>0.88205725466871632</v>
      </c>
      <c r="BX301" s="1187">
        <f>'2019'!R\Max</f>
        <v>0.30777571434860962</v>
      </c>
      <c r="BY301" s="1187">
        <f>'2020'!R\Max</f>
        <v>0.62981672291190449</v>
      </c>
      <c r="BZ301" s="1187">
        <f>'2021'!R\Max</f>
        <v>1.0303622185741108</v>
      </c>
      <c r="CA301" s="1187">
        <f>'2022'!R\Max</f>
        <v>0.56355250793464118</v>
      </c>
      <c r="CB301" s="1187">
        <f>'2023'!R\Max</f>
        <v>0.56333176633587867</v>
      </c>
      <c r="CC301" s="1187">
        <f>'2024'!R\Max</f>
        <v>0.56306096106793868</v>
      </c>
      <c r="CD301" s="1187">
        <f>'2025'!R\Max</f>
        <v>0.56427074547318634</v>
      </c>
      <c r="CE301" s="1187">
        <f>'2026'!R\Max</f>
        <v>0.56412065482122242</v>
      </c>
      <c r="CF301" s="1188">
        <f>'2027'!R\Max</f>
        <v>0.563950993235658</v>
      </c>
    </row>
    <row r="302" spans="1:84" s="6" customFormat="1" ht="11.25" x14ac:dyDescent="0.2">
      <c r="A302" s="11">
        <v>43388</v>
      </c>
      <c r="B302" s="380">
        <f>'2022'!Maxi_hp</f>
        <v>34.66771812955794</v>
      </c>
      <c r="C302" s="13">
        <f>'2022'!An_max</f>
        <v>2022</v>
      </c>
      <c r="D302" s="1061"/>
      <c r="E302" s="1056">
        <f>AH$13/10</f>
        <v>34.5</v>
      </c>
      <c r="F302" s="13">
        <f t="shared" si="128"/>
        <v>23</v>
      </c>
      <c r="G302" s="13">
        <f t="shared" si="112"/>
        <v>22</v>
      </c>
      <c r="H302" s="173">
        <f t="shared" si="113"/>
        <v>43402</v>
      </c>
      <c r="I302" s="752">
        <f t="shared" si="114"/>
        <v>1</v>
      </c>
      <c r="J302" s="745">
        <f t="shared" si="115"/>
        <v>34.49999999962747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4">
        <v>43388</v>
      </c>
      <c r="AP302" s="13">
        <f t="shared" si="116"/>
        <v>13</v>
      </c>
      <c r="AQ302" s="13">
        <f t="shared" si="117"/>
        <v>12</v>
      </c>
      <c r="AR302" s="173">
        <f t="shared" si="118"/>
        <v>43416</v>
      </c>
      <c r="AS302" s="752">
        <f t="shared" si="119"/>
        <v>1</v>
      </c>
      <c r="AT302" s="768">
        <f t="shared" si="120"/>
        <v>34.49999999962747</v>
      </c>
      <c r="AU302" s="13">
        <f t="shared" si="121"/>
        <v>11</v>
      </c>
      <c r="AV302" s="13">
        <f t="shared" si="122"/>
        <v>12</v>
      </c>
      <c r="AW302" s="173">
        <f t="shared" si="123"/>
        <v>43374</v>
      </c>
      <c r="AX302" s="752">
        <f t="shared" si="124"/>
        <v>0.5</v>
      </c>
      <c r="AY302" s="768">
        <f t="shared" si="125"/>
        <v>34.568750000372532</v>
      </c>
      <c r="AZ302" s="745">
        <f t="shared" si="129"/>
        <v>34.534374999999997</v>
      </c>
      <c r="BA302" s="642">
        <f t="shared" si="126"/>
        <v>1.004861395070501</v>
      </c>
      <c r="BC302" s="11">
        <v>43388</v>
      </c>
      <c r="BD302" s="290">
        <f>[2]!FeuilCaduc*(1-Persistant)+Persistant</f>
        <v>0.90738876342000907</v>
      </c>
      <c r="BE302" s="291">
        <f>[2]!CroissVégét</f>
        <v>0.99493928100346574</v>
      </c>
      <c r="BF302" s="815">
        <f>1+[2]!Salcycl*Ksac</f>
        <v>1.0345647939033349</v>
      </c>
      <c r="BH302" s="1052">
        <f t="shared" si="127"/>
        <v>1.2635705754772027E-2</v>
      </c>
      <c r="BI302" s="11">
        <v>44484</v>
      </c>
      <c r="BJ302" s="725">
        <v>1.9333023507576673E-3</v>
      </c>
      <c r="BK302" s="725">
        <v>3.9484638680864978E-3</v>
      </c>
      <c r="BL302" s="725">
        <v>6.6203569105872714E-3</v>
      </c>
      <c r="BM302" s="725">
        <v>1.021755281390075E-2</v>
      </c>
      <c r="BN302" s="725">
        <v>1.6273684341490756E-2</v>
      </c>
      <c r="BO302" s="726">
        <v>2.3883050428744217E-2</v>
      </c>
      <c r="BP302" s="725">
        <v>3.3768802171561835E-2</v>
      </c>
      <c r="BQ302" s="725">
        <v>4.7905718047412324E-2</v>
      </c>
      <c r="BR302" s="725">
        <v>6.3996351186346501E-2</v>
      </c>
      <c r="BS302" s="725">
        <v>8.1676954496209625E-2</v>
      </c>
      <c r="BT302" s="725">
        <v>9.7095567092888579E-2</v>
      </c>
      <c r="BW302" s="1189">
        <f>'2018'!R\Max</f>
        <v>0.30819976814059058</v>
      </c>
      <c r="BX302" s="1187">
        <f>'2019'!R\Max</f>
        <v>0.84144248330348559</v>
      </c>
      <c r="BY302" s="1187">
        <f>'2020'!R\Max</f>
        <v>0.4060864289348402</v>
      </c>
      <c r="BZ302" s="1187">
        <f>'2021'!R\Max</f>
        <v>0.90979033797363229</v>
      </c>
      <c r="CA302" s="1187">
        <f>'2022'!R\Max</f>
        <v>1.004861395070501</v>
      </c>
      <c r="CB302" s="1187">
        <f>'2023'!R\Max</f>
        <v>1.0048613950705008</v>
      </c>
      <c r="CC302" s="1187">
        <f>'2024'!R\Max</f>
        <v>1.0048613950705012</v>
      </c>
      <c r="CD302" s="1187">
        <f>'2025'!R\Max</f>
        <v>1.004861395070501</v>
      </c>
      <c r="CE302" s="1187">
        <f>'2026'!R\Max</f>
        <v>1.004861395070501</v>
      </c>
      <c r="CF302" s="1188">
        <f>'2027'!R\Max</f>
        <v>1.004861395070501</v>
      </c>
    </row>
    <row r="303" spans="1:84" s="6" customFormat="1" ht="11.25" x14ac:dyDescent="0.2">
      <c r="A303" s="11">
        <v>43389</v>
      </c>
      <c r="B303" s="380">
        <f>'2022'!Maxi_hp</f>
        <v>32.78605431375631</v>
      </c>
      <c r="C303" s="13">
        <f>'2022'!An_max</f>
        <v>2021</v>
      </c>
      <c r="D303" s="1061"/>
      <c r="E303" s="13"/>
      <c r="F303" s="13">
        <f t="shared" si="128"/>
        <v>23</v>
      </c>
      <c r="G303" s="13">
        <f t="shared" si="112"/>
        <v>22</v>
      </c>
      <c r="H303" s="173">
        <f t="shared" si="113"/>
        <v>43402</v>
      </c>
      <c r="I303" s="752">
        <f t="shared" si="114"/>
        <v>0.9285714285714286</v>
      </c>
      <c r="J303" s="745">
        <f t="shared" si="115"/>
        <v>34.119132652825542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4">
        <v>43389</v>
      </c>
      <c r="AP303" s="13">
        <f t="shared" si="116"/>
        <v>13</v>
      </c>
      <c r="AQ303" s="13">
        <f t="shared" si="117"/>
        <v>12</v>
      </c>
      <c r="AR303" s="173">
        <f t="shared" si="118"/>
        <v>43416</v>
      </c>
      <c r="AS303" s="752">
        <f t="shared" si="119"/>
        <v>0.9642857142857143</v>
      </c>
      <c r="AT303" s="768">
        <f t="shared" si="120"/>
        <v>34.121162080911127</v>
      </c>
      <c r="AU303" s="13">
        <f t="shared" si="121"/>
        <v>11</v>
      </c>
      <c r="AV303" s="13">
        <f t="shared" si="122"/>
        <v>12</v>
      </c>
      <c r="AW303" s="173">
        <f t="shared" si="123"/>
        <v>43374</v>
      </c>
      <c r="AX303" s="752">
        <f t="shared" si="124"/>
        <v>0.5357142857142857</v>
      </c>
      <c r="AY303" s="768">
        <f t="shared" si="125"/>
        <v>34.178204719462833</v>
      </c>
      <c r="AZ303" s="745">
        <f t="shared" si="129"/>
        <v>34.14968340018698</v>
      </c>
      <c r="BA303" s="642">
        <f t="shared" si="126"/>
        <v>0.96092871549128211</v>
      </c>
      <c r="BC303" s="11">
        <v>43389</v>
      </c>
      <c r="BD303" s="290">
        <f>[2]!FeuilCaduc*(1-Persistant)+Persistant</f>
        <v>0.9038164797854632</v>
      </c>
      <c r="BE303" s="291">
        <f>[2]!CroissVégét</f>
        <v>0.99515525375273173</v>
      </c>
      <c r="BF303" s="815">
        <f>1+[2]!Salcycl*Ksac</f>
        <v>1.0339694132975772</v>
      </c>
      <c r="BH303" s="1052">
        <f t="shared" si="127"/>
        <v>1.3024929020274252E-2</v>
      </c>
      <c r="BI303" s="11">
        <v>44485</v>
      </c>
      <c r="BJ303" s="725">
        <v>2.0940744369604505E-3</v>
      </c>
      <c r="BK303" s="725">
        <v>4.1467608616437106E-3</v>
      </c>
      <c r="BL303" s="725">
        <v>6.8546764993597728E-3</v>
      </c>
      <c r="BM303" s="725">
        <v>1.0500997704913369E-2</v>
      </c>
      <c r="BN303" s="725">
        <v>1.6822045374843369E-2</v>
      </c>
      <c r="BO303" s="726">
        <v>2.473995073155839E-2</v>
      </c>
      <c r="BP303" s="725">
        <v>3.5023965616958072E-2</v>
      </c>
      <c r="BQ303" s="725">
        <v>4.9379016408716586E-2</v>
      </c>
      <c r="BR303" s="725">
        <v>6.5648661795250154E-2</v>
      </c>
      <c r="BS303" s="725">
        <v>8.3422453632907748E-2</v>
      </c>
      <c r="BT303" s="725">
        <v>9.8909033718992775E-2</v>
      </c>
      <c r="BW303" s="1189">
        <f>'2018'!R\Max</f>
        <v>0.5080081879715409</v>
      </c>
      <c r="BX303" s="1187">
        <f>'2019'!R\Max</f>
        <v>0.85952321179098168</v>
      </c>
      <c r="BY303" s="1187">
        <f>'2020'!R\Max</f>
        <v>0.59701238245459309</v>
      </c>
      <c r="BZ303" s="1187">
        <f>'2021'!R\Max</f>
        <v>0.96092871549128211</v>
      </c>
      <c r="CA303" s="1187">
        <f>'2022'!R\Max</f>
        <v>0.92848302197943744</v>
      </c>
      <c r="CB303" s="1187">
        <f>'2023'!R\Max</f>
        <v>0.92841776074898197</v>
      </c>
      <c r="CC303" s="1187">
        <f>'2024'!R\Max</f>
        <v>0.92833964739187325</v>
      </c>
      <c r="CD303" s="1187">
        <f>'2025'!R\Max</f>
        <v>0.92869523399991438</v>
      </c>
      <c r="CE303" s="1187">
        <f>'2026'!R\Max</f>
        <v>0.92865081606016864</v>
      </c>
      <c r="CF303" s="1188">
        <f>'2027'!R\Max</f>
        <v>0.92860073673420318</v>
      </c>
    </row>
    <row r="304" spans="1:84" s="6" customFormat="1" ht="11.25" x14ac:dyDescent="0.2">
      <c r="A304" s="11">
        <v>43390</v>
      </c>
      <c r="B304" s="380">
        <f>'2022'!Maxi_hp</f>
        <v>30.316240270106746</v>
      </c>
      <c r="C304" s="13">
        <f>'2022'!An_max</f>
        <v>2021</v>
      </c>
      <c r="D304" s="1061"/>
      <c r="E304" s="13"/>
      <c r="F304" s="13">
        <f t="shared" si="128"/>
        <v>23</v>
      </c>
      <c r="G304" s="13">
        <f t="shared" si="112"/>
        <v>22</v>
      </c>
      <c r="H304" s="173">
        <f t="shared" si="113"/>
        <v>43402</v>
      </c>
      <c r="I304" s="752">
        <f t="shared" si="114"/>
        <v>0.8571428571428571</v>
      </c>
      <c r="J304" s="745">
        <f t="shared" si="115"/>
        <v>33.740816326332947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4">
        <v>43390</v>
      </c>
      <c r="AP304" s="13">
        <f t="shared" si="116"/>
        <v>13</v>
      </c>
      <c r="AQ304" s="13">
        <f t="shared" si="117"/>
        <v>12</v>
      </c>
      <c r="AR304" s="173">
        <f t="shared" si="118"/>
        <v>43416</v>
      </c>
      <c r="AS304" s="752">
        <f t="shared" si="119"/>
        <v>0.9285714285714286</v>
      </c>
      <c r="AT304" s="768">
        <f t="shared" si="120"/>
        <v>33.742000728925419</v>
      </c>
      <c r="AU304" s="13">
        <f t="shared" si="121"/>
        <v>11</v>
      </c>
      <c r="AV304" s="13">
        <f t="shared" si="122"/>
        <v>12</v>
      </c>
      <c r="AW304" s="173">
        <f t="shared" si="123"/>
        <v>43374</v>
      </c>
      <c r="AX304" s="752">
        <f t="shared" si="124"/>
        <v>0.5714285714285714</v>
      </c>
      <c r="AY304" s="768">
        <f t="shared" si="125"/>
        <v>33.789795918895734</v>
      </c>
      <c r="AZ304" s="745">
        <f t="shared" si="129"/>
        <v>33.765898323910577</v>
      </c>
      <c r="BA304" s="642">
        <f t="shared" si="126"/>
        <v>0.8985034617092682</v>
      </c>
      <c r="BC304" s="11">
        <v>43390</v>
      </c>
      <c r="BD304" s="290">
        <f>[2]!FeuilCaduc*(1-Persistant)+Persistant</f>
        <v>0.90016610148476384</v>
      </c>
      <c r="BE304" s="291">
        <f>[2]!CroissVégét</f>
        <v>0.99536261888322142</v>
      </c>
      <c r="BF304" s="815">
        <f>1+[2]!Salcycl*Ksac</f>
        <v>1.0333610169141274</v>
      </c>
      <c r="BH304" s="1052">
        <f t="shared" si="127"/>
        <v>1.3479283798412327E-2</v>
      </c>
      <c r="BI304" s="11">
        <v>44486</v>
      </c>
      <c r="BJ304" s="725">
        <v>2.2801898025307365E-3</v>
      </c>
      <c r="BK304" s="725">
        <v>4.3785568247068918E-3</v>
      </c>
      <c r="BL304" s="725">
        <v>7.1325291270114737E-3</v>
      </c>
      <c r="BM304" s="725">
        <v>1.0846598095088873E-2</v>
      </c>
      <c r="BN304" s="725">
        <v>1.7440015170018777E-2</v>
      </c>
      <c r="BO304" s="726">
        <v>2.5671037075549449E-2</v>
      </c>
      <c r="BP304" s="725">
        <v>3.6354056338933079E-2</v>
      </c>
      <c r="BQ304" s="725">
        <v>5.0885675437715369E-2</v>
      </c>
      <c r="BR304" s="725">
        <v>6.7282827214190571E-2</v>
      </c>
      <c r="BS304" s="725">
        <v>8.5081445914411288E-2</v>
      </c>
      <c r="BT304" s="725">
        <v>0.10060827497197644</v>
      </c>
      <c r="BW304" s="1189">
        <f>'2018'!R\Max</f>
        <v>0.65505439119967313</v>
      </c>
      <c r="BX304" s="1187">
        <f>'2019'!R\Max</f>
        <v>0.6029129791067287</v>
      </c>
      <c r="BY304" s="1187">
        <f>'2020'!R\Max</f>
        <v>0.30935082120259577</v>
      </c>
      <c r="BZ304" s="1187">
        <f>'2021'!R\Max</f>
        <v>0.8985034617092682</v>
      </c>
      <c r="CA304" s="1187">
        <f>'2022'!R\Max</f>
        <v>0.60613902878997172</v>
      </c>
      <c r="CB304" s="1187">
        <f>'2023'!R\Max</f>
        <v>0.60589361253157881</v>
      </c>
      <c r="CC304" s="1187">
        <f>'2024'!R\Max</f>
        <v>0.60560435846544547</v>
      </c>
      <c r="CD304" s="1187">
        <f>'2025'!R\Max</f>
        <v>0.60693878931815892</v>
      </c>
      <c r="CE304" s="1187">
        <f>'2026'!R\Max</f>
        <v>0.6067709954013748</v>
      </c>
      <c r="CF304" s="1188">
        <f>'2027'!R\Max</f>
        <v>0.60658222867574274</v>
      </c>
    </row>
    <row r="305" spans="1:84" s="6" customFormat="1" ht="11.25" x14ac:dyDescent="0.2">
      <c r="A305" s="11">
        <v>43391</v>
      </c>
      <c r="B305" s="380">
        <f>'2022'!Maxi_hp</f>
        <v>34.363592336640075</v>
      </c>
      <c r="C305" s="13">
        <f>'2022'!An_max</f>
        <v>2020</v>
      </c>
      <c r="D305" s="1061"/>
      <c r="E305" s="13"/>
      <c r="F305" s="13">
        <f t="shared" si="128"/>
        <v>23</v>
      </c>
      <c r="G305" s="13">
        <f t="shared" si="112"/>
        <v>22</v>
      </c>
      <c r="H305" s="173">
        <f t="shared" si="113"/>
        <v>43402</v>
      </c>
      <c r="I305" s="752">
        <f t="shared" si="114"/>
        <v>0.7857142857142857</v>
      </c>
      <c r="J305" s="745">
        <f t="shared" si="115"/>
        <v>33.365051020522202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4">
        <v>43391</v>
      </c>
      <c r="AP305" s="13">
        <f t="shared" si="116"/>
        <v>13</v>
      </c>
      <c r="AQ305" s="13">
        <f t="shared" si="117"/>
        <v>12</v>
      </c>
      <c r="AR305" s="173">
        <f t="shared" si="118"/>
        <v>43416</v>
      </c>
      <c r="AS305" s="752">
        <f t="shared" si="119"/>
        <v>0.8928571428571429</v>
      </c>
      <c r="AT305" s="768">
        <f t="shared" si="120"/>
        <v>33.362830266250029</v>
      </c>
      <c r="AU305" s="13">
        <f t="shared" si="121"/>
        <v>11</v>
      </c>
      <c r="AV305" s="13">
        <f t="shared" si="122"/>
        <v>12</v>
      </c>
      <c r="AW305" s="173">
        <f t="shared" si="123"/>
        <v>43374</v>
      </c>
      <c r="AX305" s="752">
        <f t="shared" si="124"/>
        <v>0.6071428571428571</v>
      </c>
      <c r="AY305" s="768">
        <f t="shared" si="125"/>
        <v>33.403810586747049</v>
      </c>
      <c r="AZ305" s="745">
        <f t="shared" si="129"/>
        <v>33.383320426498543</v>
      </c>
      <c r="BA305" s="642">
        <f t="shared" si="126"/>
        <v>1.029927762301448</v>
      </c>
      <c r="BC305" s="11">
        <v>43391</v>
      </c>
      <c r="BD305" s="290">
        <f>[2]!FeuilCaduc*(1-Persistant)+Persistant</f>
        <v>0.89644028106771489</v>
      </c>
      <c r="BE305" s="291">
        <f>[2]!CroissVégét</f>
        <v>0.99556171606410238</v>
      </c>
      <c r="BF305" s="815">
        <f>1+[2]!Salcycl*Ksac</f>
        <v>1.0327400468446191</v>
      </c>
      <c r="BH305" s="1052">
        <f t="shared" si="127"/>
        <v>1.3994697037683227E-2</v>
      </c>
      <c r="BI305" s="11">
        <v>44487</v>
      </c>
      <c r="BJ305" s="725">
        <v>2.4890302628910285E-3</v>
      </c>
      <c r="BK305" s="725">
        <v>4.6431821312338173E-3</v>
      </c>
      <c r="BL305" s="725">
        <v>7.4557901274976785E-3</v>
      </c>
      <c r="BM305" s="725">
        <v>1.1256843101723753E-2</v>
      </c>
      <c r="BN305" s="725">
        <v>1.8113648252156618E-2</v>
      </c>
      <c r="BO305" s="726">
        <v>2.6638418547979846E-2</v>
      </c>
      <c r="BP305" s="725">
        <v>3.7688149158377662E-2</v>
      </c>
      <c r="BQ305" s="725">
        <v>5.2335053275408654E-2</v>
      </c>
      <c r="BR305" s="725">
        <v>6.879375968777561E-2</v>
      </c>
      <c r="BS305" s="725">
        <v>8.6544033210531113E-2</v>
      </c>
      <c r="BT305" s="725">
        <v>0.10208090625858023</v>
      </c>
      <c r="BW305" s="1189">
        <f>'2018'!R\Max</f>
        <v>0.31357005878394156</v>
      </c>
      <c r="BX305" s="1187">
        <f>'2019'!R\Max</f>
        <v>0.46238494178825784</v>
      </c>
      <c r="BY305" s="1187">
        <f>'2020'!R\Max</f>
        <v>1.029927762301448</v>
      </c>
      <c r="BZ305" s="1187">
        <f>'2021'!R\Max</f>
        <v>0.97923191327887871</v>
      </c>
      <c r="CA305" s="1187">
        <f>'2022'!R\Max</f>
        <v>0.96910493779111062</v>
      </c>
      <c r="CB305" s="1187">
        <f>'2023'!R\Max</f>
        <v>0.96907286232746248</v>
      </c>
      <c r="CC305" s="1187">
        <f>'2024'!R\Max</f>
        <v>0.96903557297440757</v>
      </c>
      <c r="CD305" s="1187">
        <f>'2025'!R\Max</f>
        <v>0.96920942920525799</v>
      </c>
      <c r="CE305" s="1187">
        <f>'2026'!R\Max</f>
        <v>0.96918748418674239</v>
      </c>
      <c r="CF305" s="1188">
        <f>'2027'!R\Max</f>
        <v>0.9691628336485848</v>
      </c>
    </row>
    <row r="306" spans="1:84" s="6" customFormat="1" ht="11.25" x14ac:dyDescent="0.2">
      <c r="A306" s="11">
        <v>43392</v>
      </c>
      <c r="B306" s="380">
        <f>'2022'!Maxi_hp</f>
        <v>32.663950512475992</v>
      </c>
      <c r="C306" s="13">
        <f>'2022'!An_max</f>
        <v>2020</v>
      </c>
      <c r="D306" s="1061"/>
      <c r="E306" s="13"/>
      <c r="F306" s="13">
        <f t="shared" si="128"/>
        <v>23</v>
      </c>
      <c r="G306" s="13">
        <f t="shared" si="112"/>
        <v>22</v>
      </c>
      <c r="H306" s="173">
        <f t="shared" si="113"/>
        <v>43402</v>
      </c>
      <c r="I306" s="752">
        <f t="shared" si="114"/>
        <v>0.7142857142857143</v>
      </c>
      <c r="J306" s="745">
        <f t="shared" si="115"/>
        <v>32.991836734807919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4">
        <v>43392</v>
      </c>
      <c r="AP306" s="13">
        <f t="shared" si="116"/>
        <v>13</v>
      </c>
      <c r="AQ306" s="13">
        <f t="shared" si="117"/>
        <v>12</v>
      </c>
      <c r="AR306" s="173">
        <f t="shared" si="118"/>
        <v>43416</v>
      </c>
      <c r="AS306" s="752">
        <f t="shared" si="119"/>
        <v>0.8571428571428571</v>
      </c>
      <c r="AT306" s="768">
        <f t="shared" si="120"/>
        <v>32.983965014559885</v>
      </c>
      <c r="AU306" s="13">
        <f t="shared" si="121"/>
        <v>11</v>
      </c>
      <c r="AV306" s="13">
        <f t="shared" si="122"/>
        <v>12</v>
      </c>
      <c r="AW306" s="173">
        <f t="shared" si="123"/>
        <v>43374</v>
      </c>
      <c r="AX306" s="752">
        <f t="shared" si="124"/>
        <v>0.6428571428571429</v>
      </c>
      <c r="AY306" s="768">
        <f t="shared" si="125"/>
        <v>33.020535714791286</v>
      </c>
      <c r="AZ306" s="745">
        <f t="shared" si="129"/>
        <v>33.002250364675589</v>
      </c>
      <c r="BA306" s="642">
        <f t="shared" si="126"/>
        <v>0.99006159538895899</v>
      </c>
      <c r="BC306" s="11">
        <v>43392</v>
      </c>
      <c r="BD306" s="290">
        <f>[2]!FeuilCaduc*(1-Persistant)+Persistant</f>
        <v>0.89264199056724092</v>
      </c>
      <c r="BE306" s="291">
        <f>[2]!CroissVégét</f>
        <v>0.99575287182696259</v>
      </c>
      <c r="BF306" s="815">
        <f>1+[2]!Salcycl*Ksac</f>
        <v>1.0321069984278735</v>
      </c>
      <c r="BH306" s="1052">
        <f t="shared" si="127"/>
        <v>1.4571234218796754E-2</v>
      </c>
      <c r="BI306" s="11">
        <v>44488</v>
      </c>
      <c r="BJ306" s="725">
        <v>2.7206227316708721E-3</v>
      </c>
      <c r="BK306" s="725">
        <v>4.940675337771319E-3</v>
      </c>
      <c r="BL306" s="725">
        <v>7.8245126442676068E-3</v>
      </c>
      <c r="BM306" s="725">
        <v>1.1731808767388309E-2</v>
      </c>
      <c r="BN306" s="725">
        <v>1.8842994212226363E-2</v>
      </c>
      <c r="BO306" s="726">
        <v>2.7642100284233341E-2</v>
      </c>
      <c r="BP306" s="725">
        <v>3.9026181115413089E-2</v>
      </c>
      <c r="BQ306" s="725">
        <v>5.3726976969370947E-2</v>
      </c>
      <c r="BR306" s="725">
        <v>7.0181168490591014E-2</v>
      </c>
      <c r="BS306" s="725">
        <v>8.7809797180539148E-2</v>
      </c>
      <c r="BT306" s="725">
        <v>0.10332644713619581</v>
      </c>
      <c r="BW306" s="1189">
        <f>'2018'!R\Max</f>
        <v>0.6997791677314652</v>
      </c>
      <c r="BX306" s="1187">
        <f>'2019'!R\Max</f>
        <v>0.85784144354865177</v>
      </c>
      <c r="BY306" s="1187">
        <f>'2020'!R\Max</f>
        <v>0.99006159538895899</v>
      </c>
      <c r="BZ306" s="1187">
        <f>'2021'!R\Max</f>
        <v>0.97591990812070639</v>
      </c>
      <c r="CA306" s="1187">
        <f>'2022'!R\Max</f>
        <v>0.49164628298915219</v>
      </c>
      <c r="CB306" s="1187">
        <f>'2023'!R\Max</f>
        <v>0.49136861259240849</v>
      </c>
      <c r="CC306" s="1187">
        <f>'2024'!R\Max</f>
        <v>0.49105083454576187</v>
      </c>
      <c r="CD306" s="1187">
        <f>'2025'!R\Max</f>
        <v>0.49255443868643201</v>
      </c>
      <c r="CE306" s="1187">
        <f>'2026'!R\Max</f>
        <v>0.49236299018367796</v>
      </c>
      <c r="CF306" s="1188">
        <f>'2027'!R\Max</f>
        <v>0.49214861756953582</v>
      </c>
    </row>
    <row r="307" spans="1:84" s="6" customFormat="1" ht="11.25" x14ac:dyDescent="0.2">
      <c r="A307" s="11">
        <v>43393</v>
      </c>
      <c r="B307" s="380">
        <f>'2022'!Maxi_hp</f>
        <v>26.876972034227109</v>
      </c>
      <c r="C307" s="13">
        <f>'2022'!An_max</f>
        <v>2020</v>
      </c>
      <c r="D307" s="1061"/>
      <c r="E307" s="13"/>
      <c r="F307" s="13">
        <f t="shared" si="128"/>
        <v>23</v>
      </c>
      <c r="G307" s="13">
        <f t="shared" si="112"/>
        <v>22</v>
      </c>
      <c r="H307" s="173">
        <f t="shared" si="113"/>
        <v>43402</v>
      </c>
      <c r="I307" s="752">
        <f t="shared" si="114"/>
        <v>0.6428571428571429</v>
      </c>
      <c r="J307" s="745">
        <f t="shared" si="115"/>
        <v>32.621173469323132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4">
        <v>43393</v>
      </c>
      <c r="AP307" s="13">
        <f t="shared" si="116"/>
        <v>13</v>
      </c>
      <c r="AQ307" s="13">
        <f t="shared" si="117"/>
        <v>12</v>
      </c>
      <c r="AR307" s="173">
        <f t="shared" si="118"/>
        <v>43416</v>
      </c>
      <c r="AS307" s="752">
        <f t="shared" si="119"/>
        <v>0.8214285714285714</v>
      </c>
      <c r="AT307" s="768">
        <f t="shared" si="120"/>
        <v>32.605719296554369</v>
      </c>
      <c r="AU307" s="13">
        <f t="shared" si="121"/>
        <v>11</v>
      </c>
      <c r="AV307" s="13">
        <f t="shared" si="122"/>
        <v>12</v>
      </c>
      <c r="AW307" s="173">
        <f t="shared" si="123"/>
        <v>43374</v>
      </c>
      <c r="AX307" s="752">
        <f t="shared" si="124"/>
        <v>0.6785714285714286</v>
      </c>
      <c r="AY307" s="768">
        <f t="shared" si="125"/>
        <v>32.640258291027777</v>
      </c>
      <c r="AZ307" s="745">
        <f t="shared" si="129"/>
        <v>32.622988793791073</v>
      </c>
      <c r="BA307" s="642">
        <f t="shared" si="126"/>
        <v>0.82391186998536836</v>
      </c>
      <c r="BC307" s="11">
        <v>43393</v>
      </c>
      <c r="BD307" s="290">
        <f>[2]!FeuilCaduc*(1-Persistant)+Persistant</f>
        <v>0.88877451860825196</v>
      </c>
      <c r="BE307" s="291">
        <f>[2]!CroissVégét</f>
        <v>0.99593640005294937</v>
      </c>
      <c r="BF307" s="815">
        <f>1+[2]!Salcycl*Ksac</f>
        <v>1.031462419768042</v>
      </c>
      <c r="BH307" s="1052">
        <f t="shared" si="127"/>
        <v>1.5208955786739638E-2</v>
      </c>
      <c r="BI307" s="11">
        <v>44489</v>
      </c>
      <c r="BJ307" s="725">
        <v>2.9749921698510565E-3</v>
      </c>
      <c r="BK307" s="725">
        <v>5.271072341848192E-3</v>
      </c>
      <c r="BL307" s="725">
        <v>8.2387463292517057E-3</v>
      </c>
      <c r="BM307" s="725">
        <v>1.227156638069208E-2</v>
      </c>
      <c r="BN307" s="725">
        <v>1.9628097181578447E-2</v>
      </c>
      <c r="BO307" s="726">
        <v>2.8682081609491331E-2</v>
      </c>
      <c r="BP307" s="725">
        <v>4.0368083380302212E-2</v>
      </c>
      <c r="BQ307" s="725">
        <v>5.5061270076584456E-2</v>
      </c>
      <c r="BR307" s="725">
        <v>7.1444762238052698E-2</v>
      </c>
      <c r="BS307" s="725">
        <v>8.8878322468046375E-2</v>
      </c>
      <c r="BT307" s="725">
        <v>0.10434442153644646</v>
      </c>
      <c r="BW307" s="1189">
        <f>'2018'!R\Max</f>
        <v>0.30332426460768036</v>
      </c>
      <c r="BX307" s="1187">
        <f>'2019'!R\Max</f>
        <v>0.37588829133101803</v>
      </c>
      <c r="BY307" s="1187">
        <f>'2020'!R\Max</f>
        <v>0.82391186998536836</v>
      </c>
      <c r="BZ307" s="1187">
        <f>'2021'!R\Max</f>
        <v>0.79355250155002177</v>
      </c>
      <c r="CA307" s="1187">
        <f>'2022'!R\Max</f>
        <v>0.21899008276339424</v>
      </c>
      <c r="CB307" s="1187">
        <f>'2023'!R\Max</f>
        <v>0.21881383007234151</v>
      </c>
      <c r="CC307" s="1187">
        <f>'2024'!R\Max</f>
        <v>0.21861516447995266</v>
      </c>
      <c r="CD307" s="1187">
        <f>'2025'!R\Max</f>
        <v>0.2195683652635847</v>
      </c>
      <c r="CE307" s="1187">
        <f>'2026'!R\Max</f>
        <v>0.21944603942110086</v>
      </c>
      <c r="CF307" s="1188">
        <f>'2027'!R\Max</f>
        <v>0.21930948380939841</v>
      </c>
    </row>
    <row r="308" spans="1:84" s="6" customFormat="1" ht="11.25" x14ac:dyDescent="0.2">
      <c r="A308" s="11">
        <v>43394</v>
      </c>
      <c r="B308" s="380">
        <f>'2022'!Maxi_hp</f>
        <v>23.519569000870998</v>
      </c>
      <c r="C308" s="13">
        <f>'2022'!An_max</f>
        <v>2019</v>
      </c>
      <c r="D308" s="1061"/>
      <c r="E308" s="13"/>
      <c r="F308" s="13">
        <f t="shared" si="128"/>
        <v>23</v>
      </c>
      <c r="G308" s="13">
        <f t="shared" si="112"/>
        <v>22</v>
      </c>
      <c r="H308" s="173">
        <f t="shared" si="113"/>
        <v>43402</v>
      </c>
      <c r="I308" s="752">
        <f t="shared" si="114"/>
        <v>0.5714285714285714</v>
      </c>
      <c r="J308" s="745">
        <f t="shared" si="115"/>
        <v>32.253061223988027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4">
        <v>43394</v>
      </c>
      <c r="AP308" s="13">
        <f t="shared" si="116"/>
        <v>13</v>
      </c>
      <c r="AQ308" s="13">
        <f t="shared" si="117"/>
        <v>12</v>
      </c>
      <c r="AR308" s="173">
        <f t="shared" si="118"/>
        <v>43416</v>
      </c>
      <c r="AS308" s="752">
        <f t="shared" si="119"/>
        <v>0.7857142857142857</v>
      </c>
      <c r="AT308" s="768">
        <f t="shared" si="120"/>
        <v>32.228407434267659</v>
      </c>
      <c r="AU308" s="13">
        <f t="shared" si="121"/>
        <v>11</v>
      </c>
      <c r="AV308" s="13">
        <f t="shared" si="122"/>
        <v>12</v>
      </c>
      <c r="AW308" s="173">
        <f t="shared" si="123"/>
        <v>43374</v>
      </c>
      <c r="AX308" s="752">
        <f t="shared" si="124"/>
        <v>0.7142857142857143</v>
      </c>
      <c r="AY308" s="768">
        <f t="shared" si="125"/>
        <v>32.263265306768673</v>
      </c>
      <c r="AZ308" s="745">
        <f t="shared" si="129"/>
        <v>32.245836370518163</v>
      </c>
      <c r="BA308" s="642">
        <f t="shared" si="126"/>
        <v>0.72921974250861044</v>
      </c>
      <c r="BC308" s="11">
        <v>43394</v>
      </c>
      <c r="BD308" s="290">
        <f>[2]!FeuilCaduc*(1-Persistant)+Persistant</f>
        <v>0.884841465456492</v>
      </c>
      <c r="BE308" s="291">
        <f>[2]!CroissVégét</f>
        <v>0.99611260244351996</v>
      </c>
      <c r="BF308" s="815">
        <f>1+[2]!Salcycl*Ksac</f>
        <v>1.0308069109094153</v>
      </c>
      <c r="BH308" s="1052">
        <f t="shared" si="127"/>
        <v>1.5907916489603505E-2</v>
      </c>
      <c r="BI308" s="11">
        <v>44490</v>
      </c>
      <c r="BJ308" s="725">
        <v>3.2521613400641261E-3</v>
      </c>
      <c r="BK308" s="725">
        <v>5.634406026547553E-3</v>
      </c>
      <c r="BL308" s="725">
        <v>8.6985368507021613E-3</v>
      </c>
      <c r="BM308" s="725">
        <v>1.2876181775035363E-2</v>
      </c>
      <c r="BN308" s="725">
        <v>2.0468995231065053E-2</v>
      </c>
      <c r="BO308" s="726">
        <v>2.9758355651713999E-2</v>
      </c>
      <c r="BP308" s="725">
        <v>4.1713781221870389E-2</v>
      </c>
      <c r="BQ308" s="725">
        <v>5.6337753300425564E-2</v>
      </c>
      <c r="BR308" s="725">
        <v>7.2584250242149775E-2</v>
      </c>
      <c r="BS308" s="725">
        <v>8.9749198852939457E-2</v>
      </c>
      <c r="BT308" s="725">
        <v>0.10513436024554028</v>
      </c>
      <c r="BW308" s="1189">
        <f>'2018'!R\Max</f>
        <v>0.54791859453153779</v>
      </c>
      <c r="BX308" s="1187">
        <f>'2019'!R\Max</f>
        <v>0.72921974250861044</v>
      </c>
      <c r="BY308" s="1187">
        <f>'2020'!R\Max</f>
        <v>0.19052855950622546</v>
      </c>
      <c r="BZ308" s="1187">
        <f>'2021'!R\Max</f>
        <v>0.49676541595538481</v>
      </c>
      <c r="CA308" s="1187">
        <f>'2022'!R\Max</f>
        <v>0.50903469234043919</v>
      </c>
      <c r="CB308" s="1187">
        <f>'2023'!R\Max</f>
        <v>0.50873898045154142</v>
      </c>
      <c r="CC308" s="1187">
        <f>'2024'!R\Max</f>
        <v>0.50841046751304908</v>
      </c>
      <c r="CD308" s="1187">
        <f>'2025'!R\Max</f>
        <v>0.51000646551889284</v>
      </c>
      <c r="CE308" s="1187">
        <f>'2026'!R\Max</f>
        <v>0.50980036644847593</v>
      </c>
      <c r="CF308" s="1188">
        <f>'2027'!R\Max</f>
        <v>0.50957090674228434</v>
      </c>
    </row>
    <row r="309" spans="1:84" s="6" customFormat="1" ht="11.25" x14ac:dyDescent="0.2">
      <c r="A309" s="11">
        <v>43395</v>
      </c>
      <c r="B309" s="380">
        <f>'2022'!Maxi_hp</f>
        <v>31.176364576102721</v>
      </c>
      <c r="C309" s="13">
        <f>'2022'!An_max</f>
        <v>2022</v>
      </c>
      <c r="D309" s="1061"/>
      <c r="E309" s="13"/>
      <c r="F309" s="13">
        <f t="shared" si="128"/>
        <v>23</v>
      </c>
      <c r="G309" s="13">
        <f t="shared" si="112"/>
        <v>22</v>
      </c>
      <c r="H309" s="173">
        <f t="shared" si="113"/>
        <v>43402</v>
      </c>
      <c r="I309" s="752">
        <f t="shared" si="114"/>
        <v>0.5</v>
      </c>
      <c r="J309" s="745">
        <f t="shared" si="115"/>
        <v>31.887499999813734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4">
        <v>43395</v>
      </c>
      <c r="AP309" s="13">
        <f t="shared" si="116"/>
        <v>13</v>
      </c>
      <c r="AQ309" s="13">
        <f t="shared" si="117"/>
        <v>12</v>
      </c>
      <c r="AR309" s="173">
        <f t="shared" si="118"/>
        <v>43416</v>
      </c>
      <c r="AS309" s="752">
        <f t="shared" si="119"/>
        <v>0.75</v>
      </c>
      <c r="AT309" s="768">
        <f t="shared" si="120"/>
        <v>31.852343750093134</v>
      </c>
      <c r="AU309" s="13">
        <f t="shared" si="121"/>
        <v>11</v>
      </c>
      <c r="AV309" s="13">
        <f t="shared" si="122"/>
        <v>12</v>
      </c>
      <c r="AW309" s="173">
        <f t="shared" si="123"/>
        <v>43374</v>
      </c>
      <c r="AX309" s="752">
        <f t="shared" si="124"/>
        <v>0.75</v>
      </c>
      <c r="AY309" s="768">
        <f t="shared" si="125"/>
        <v>31.889843750023282</v>
      </c>
      <c r="AZ309" s="745">
        <f t="shared" si="129"/>
        <v>31.871093750058208</v>
      </c>
      <c r="BA309" s="642">
        <f t="shared" si="126"/>
        <v>0.97769861470121</v>
      </c>
      <c r="BC309" s="11">
        <v>43395</v>
      </c>
      <c r="BD309" s="290">
        <f>[2]!FeuilCaduc*(1-Persistant)+Persistant</f>
        <v>0.88084673599149277</v>
      </c>
      <c r="BE309" s="291">
        <f>[2]!CroissVégét</f>
        <v>0.99628176897521181</v>
      </c>
      <c r="BF309" s="815">
        <f>1+[2]!Salcycl*Ksac</f>
        <v>1.0301411226652488</v>
      </c>
      <c r="BH309" s="1052">
        <f t="shared" si="127"/>
        <v>1.6668164717362426E-2</v>
      </c>
      <c r="BI309" s="11">
        <v>44491</v>
      </c>
      <c r="BJ309" s="725">
        <v>3.5521505608867771E-3</v>
      </c>
      <c r="BK309" s="725">
        <v>6.0307059050631589E-3</v>
      </c>
      <c r="BL309" s="725">
        <v>9.2039254010069724E-3</v>
      </c>
      <c r="BM309" s="725">
        <v>1.3545714627320342E-2</v>
      </c>
      <c r="BN309" s="725">
        <v>2.1365719770095444E-2</v>
      </c>
      <c r="BO309" s="726">
        <v>3.0870908954524601E-2</v>
      </c>
      <c r="BP309" s="725">
        <v>4.3063193975788762E-2</v>
      </c>
      <c r="BQ309" s="725">
        <v>5.7556245127456371E-2</v>
      </c>
      <c r="BR309" s="725">
        <v>7.3599343866928679E-2</v>
      </c>
      <c r="BS309" s="725">
        <v>9.0422023402988813E-2</v>
      </c>
      <c r="BT309" s="725">
        <v>0.10569580338423412</v>
      </c>
      <c r="BW309" s="1189">
        <f>'2018'!R\Max</f>
        <v>0.71016642103597749</v>
      </c>
      <c r="BX309" s="1187">
        <f>'2019'!R\Max</f>
        <v>0.15841092405370782</v>
      </c>
      <c r="BY309" s="1187">
        <f>'2020'!R\Max</f>
        <v>0.75405295356982516</v>
      </c>
      <c r="BZ309" s="1187">
        <f>'2021'!R\Max</f>
        <v>0.39683556353448057</v>
      </c>
      <c r="CA309" s="1187">
        <f>'2022'!R\Max</f>
        <v>0.97769861470121</v>
      </c>
      <c r="CB309" s="1187">
        <f>'2023'!R\Max</f>
        <v>0.97767210601800025</v>
      </c>
      <c r="CC309" s="1187">
        <f>'2024'!R\Max</f>
        <v>0.97764307352893676</v>
      </c>
      <c r="CD309" s="1187">
        <f>'2025'!R\Max</f>
        <v>0.97778577870342831</v>
      </c>
      <c r="CE309" s="1187">
        <f>'2026'!R\Max</f>
        <v>0.97776725310084767</v>
      </c>
      <c r="CF309" s="1188">
        <f>'2027'!R\Max</f>
        <v>0.97774667873225474</v>
      </c>
    </row>
    <row r="310" spans="1:84" s="6" customFormat="1" ht="11.25" x14ac:dyDescent="0.2">
      <c r="A310" s="11">
        <v>43396</v>
      </c>
      <c r="B310" s="380">
        <f>'2022'!Maxi_hp</f>
        <v>32.867779364445255</v>
      </c>
      <c r="C310" s="13">
        <f>'2022'!An_max</f>
        <v>2021</v>
      </c>
      <c r="D310" s="1061"/>
      <c r="E310" s="13"/>
      <c r="F310" s="13">
        <f t="shared" si="128"/>
        <v>23</v>
      </c>
      <c r="G310" s="13">
        <f t="shared" si="112"/>
        <v>22</v>
      </c>
      <c r="H310" s="173">
        <f t="shared" si="113"/>
        <v>43402</v>
      </c>
      <c r="I310" s="752">
        <f t="shared" si="114"/>
        <v>0.42857142857142855</v>
      </c>
      <c r="J310" s="745">
        <f t="shared" si="115"/>
        <v>31.524489795735906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4">
        <v>43396</v>
      </c>
      <c r="AP310" s="13">
        <f t="shared" si="116"/>
        <v>13</v>
      </c>
      <c r="AQ310" s="13">
        <f t="shared" si="117"/>
        <v>12</v>
      </c>
      <c r="AR310" s="173">
        <f t="shared" si="118"/>
        <v>43416</v>
      </c>
      <c r="AS310" s="752">
        <f t="shared" si="119"/>
        <v>0.7142857142857143</v>
      </c>
      <c r="AT310" s="768">
        <f t="shared" si="120"/>
        <v>31.477842566104869</v>
      </c>
      <c r="AU310" s="13">
        <f t="shared" si="121"/>
        <v>11</v>
      </c>
      <c r="AV310" s="13">
        <f t="shared" si="122"/>
        <v>12</v>
      </c>
      <c r="AW310" s="173">
        <f t="shared" si="123"/>
        <v>43374</v>
      </c>
      <c r="AX310" s="752">
        <f t="shared" si="124"/>
        <v>0.7857142857142857</v>
      </c>
      <c r="AY310" s="768">
        <f t="shared" si="125"/>
        <v>31.520280613005163</v>
      </c>
      <c r="AZ310" s="745">
        <f t="shared" si="129"/>
        <v>31.499061589555016</v>
      </c>
      <c r="BA310" s="642">
        <f t="shared" si="126"/>
        <v>1.042610985218579</v>
      </c>
      <c r="BC310" s="11">
        <v>43396</v>
      </c>
      <c r="BD310" s="290">
        <f>[2]!FeuilCaduc*(1-Persistant)+Persistant</f>
        <v>0.87679453060477686</v>
      </c>
      <c r="BE310" s="291">
        <f>[2]!CroissVégét</f>
        <v>0.99644417833885535</v>
      </c>
      <c r="BF310" s="815">
        <f>1+[2]!Salcycl*Ksac</f>
        <v>1.0294657551007962</v>
      </c>
      <c r="BH310" s="1052">
        <f t="shared" si="127"/>
        <v>1.7445411377497357E-2</v>
      </c>
      <c r="BI310" s="11">
        <v>44492</v>
      </c>
      <c r="BJ310" s="725">
        <v>3.8673510020194729E-3</v>
      </c>
      <c r="BK310" s="725">
        <v>6.4469934935923361E-3</v>
      </c>
      <c r="BL310" s="725">
        <v>9.7332093535589508E-3</v>
      </c>
      <c r="BM310" s="725">
        <v>1.4244632208668664E-2</v>
      </c>
      <c r="BN310" s="725">
        <v>2.2260808236894764E-2</v>
      </c>
      <c r="BO310" s="726">
        <v>3.194142093384493E-2</v>
      </c>
      <c r="BP310" s="725">
        <v>4.4308178606563477E-2</v>
      </c>
      <c r="BQ310" s="725">
        <v>5.8608294232882691E-2</v>
      </c>
      <c r="BR310" s="725">
        <v>7.4388620769762701E-2</v>
      </c>
      <c r="BS310" s="725">
        <v>9.0822307234694977E-2</v>
      </c>
      <c r="BT310" s="725">
        <v>0.10596572002930772</v>
      </c>
      <c r="BW310" s="1189">
        <f>'2018'!R\Max</f>
        <v>0.97962223368264101</v>
      </c>
      <c r="BX310" s="1187">
        <f>'2019'!R\Max</f>
        <v>0.57032158914922759</v>
      </c>
      <c r="BY310" s="1187">
        <f>'2020'!R\Max</f>
        <v>0.16765793263485526</v>
      </c>
      <c r="BZ310" s="1187">
        <f>'2021'!R\Max</f>
        <v>1.042610985218579</v>
      </c>
      <c r="CA310" s="1187">
        <f>'2022'!R\Max</f>
        <v>0.56673732713427094</v>
      </c>
      <c r="CB310" s="1187">
        <f>'2023'!R\Max</f>
        <v>0.56643258484039283</v>
      </c>
      <c r="CC310" s="1187">
        <f>'2024'!R\Max</f>
        <v>0.56610404888131716</v>
      </c>
      <c r="CD310" s="1187">
        <f>'2025'!R\Max</f>
        <v>0.5677450690134368</v>
      </c>
      <c r="CE310" s="1187">
        <f>'2026'!R\Max</f>
        <v>0.56752978974938173</v>
      </c>
      <c r="CF310" s="1188">
        <f>'2027'!R\Max</f>
        <v>0.56729166892965688</v>
      </c>
    </row>
    <row r="311" spans="1:84" s="6" customFormat="1" ht="11.25" x14ac:dyDescent="0.2">
      <c r="A311" s="11">
        <v>43397</v>
      </c>
      <c r="B311" s="380">
        <f>'2022'!Maxi_hp</f>
        <v>32.024891553571138</v>
      </c>
      <c r="C311" s="13">
        <f>'2022'!An_max</f>
        <v>2021</v>
      </c>
      <c r="D311" s="1061"/>
      <c r="E311" s="13"/>
      <c r="F311" s="13">
        <f t="shared" si="128"/>
        <v>23</v>
      </c>
      <c r="G311" s="13">
        <f t="shared" si="112"/>
        <v>22</v>
      </c>
      <c r="H311" s="173">
        <f t="shared" si="113"/>
        <v>43402</v>
      </c>
      <c r="I311" s="752">
        <f t="shared" si="114"/>
        <v>0.35714285714285715</v>
      </c>
      <c r="J311" s="745">
        <f t="shared" si="115"/>
        <v>31.164030612153663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4">
        <v>43397</v>
      </c>
      <c r="AP311" s="13">
        <f t="shared" si="116"/>
        <v>13</v>
      </c>
      <c r="AQ311" s="13">
        <f t="shared" si="117"/>
        <v>12</v>
      </c>
      <c r="AR311" s="173">
        <f t="shared" si="118"/>
        <v>43416</v>
      </c>
      <c r="AS311" s="752">
        <f t="shared" si="119"/>
        <v>0.6785714285714286</v>
      </c>
      <c r="AT311" s="768">
        <f t="shared" si="120"/>
        <v>31.105218203285972</v>
      </c>
      <c r="AU311" s="13">
        <f t="shared" si="121"/>
        <v>11</v>
      </c>
      <c r="AV311" s="13">
        <f t="shared" si="122"/>
        <v>12</v>
      </c>
      <c r="AW311" s="173">
        <f t="shared" si="123"/>
        <v>43374</v>
      </c>
      <c r="AX311" s="752">
        <f t="shared" si="124"/>
        <v>0.8214285714285714</v>
      </c>
      <c r="AY311" s="768">
        <f t="shared" si="125"/>
        <v>31.154862882958593</v>
      </c>
      <c r="AZ311" s="745">
        <f t="shared" si="129"/>
        <v>31.130040543122284</v>
      </c>
      <c r="BA311" s="642">
        <f t="shared" si="126"/>
        <v>1.0276235430561331</v>
      </c>
      <c r="BC311" s="11">
        <v>43397</v>
      </c>
      <c r="BD311" s="290">
        <f>[2]!FeuilCaduc*(1-Persistant)+Persistant</f>
        <v>0.87268933404172566</v>
      </c>
      <c r="BE311" s="291">
        <f>[2]!CroissVégét</f>
        <v>0.99660009836364072</v>
      </c>
      <c r="BF311" s="815">
        <f>1+[2]!Salcycl*Ksac</f>
        <v>1.0287815556736208</v>
      </c>
      <c r="BH311" s="1052">
        <f t="shared" si="127"/>
        <v>1.8203929111418188E-2</v>
      </c>
      <c r="BI311" s="11">
        <v>44493</v>
      </c>
      <c r="BJ311" s="725">
        <v>4.1890976520899672E-3</v>
      </c>
      <c r="BK311" s="725">
        <v>6.869811183602012E-3</v>
      </c>
      <c r="BL311" s="725">
        <v>1.0265592720545291E-2</v>
      </c>
      <c r="BM311" s="725">
        <v>1.494224935249814E-2</v>
      </c>
      <c r="BN311" s="725">
        <v>2.3110947571305045E-2</v>
      </c>
      <c r="BO311" s="726">
        <v>3.2916049263436914E-2</v>
      </c>
      <c r="BP311" s="725">
        <v>4.5383829121927427E-2</v>
      </c>
      <c r="BQ311" s="725">
        <v>5.9462892309203617E-2</v>
      </c>
      <c r="BR311" s="725">
        <v>7.4963533092678461E-2</v>
      </c>
      <c r="BS311" s="725">
        <v>9.1015825562504094E-2</v>
      </c>
      <c r="BT311" s="725">
        <v>0.10603150164423421</v>
      </c>
      <c r="BW311" s="1189">
        <f>'2018'!R\Max</f>
        <v>1.0029672487263548</v>
      </c>
      <c r="BX311" s="1187">
        <f>'2019'!R\Max</f>
        <v>0.53612335288944146</v>
      </c>
      <c r="BY311" s="1187">
        <f>'2020'!R\Max</f>
        <v>0.31172108269125715</v>
      </c>
      <c r="BZ311" s="1187">
        <f>'2021'!R\Max</f>
        <v>1.0276235430561331</v>
      </c>
      <c r="CA311" s="1187">
        <f>'2022'!R\Max</f>
        <v>0.71152119348784648</v>
      </c>
      <c r="CB311" s="1187">
        <f>'2023'!R\Max</f>
        <v>0.71126255717218934</v>
      </c>
      <c r="CC311" s="1187">
        <f>'2024'!R\Max</f>
        <v>0.71098708590899928</v>
      </c>
      <c r="CD311" s="1187">
        <f>'2025'!R\Max</f>
        <v>0.71237913724803192</v>
      </c>
      <c r="CE311" s="1187">
        <f>'2026'!R\Max</f>
        <v>0.71219524524212952</v>
      </c>
      <c r="CF311" s="1188">
        <f>'2027'!R\Max</f>
        <v>0.71199241792338164</v>
      </c>
    </row>
    <row r="312" spans="1:84" s="6" customFormat="1" ht="11.25" x14ac:dyDescent="0.2">
      <c r="A312" s="11">
        <v>43398</v>
      </c>
      <c r="B312" s="380">
        <f>'2022'!Maxi_hp</f>
        <v>30.314275892312452</v>
      </c>
      <c r="C312" s="13">
        <f>'2022'!An_max</f>
        <v>2018</v>
      </c>
      <c r="D312" s="1061"/>
      <c r="E312" s="13"/>
      <c r="F312" s="13">
        <f t="shared" si="128"/>
        <v>23</v>
      </c>
      <c r="G312" s="13">
        <f t="shared" si="112"/>
        <v>22</v>
      </c>
      <c r="H312" s="173">
        <f t="shared" si="113"/>
        <v>43402</v>
      </c>
      <c r="I312" s="752">
        <f t="shared" si="114"/>
        <v>0.2857142857142857</v>
      </c>
      <c r="J312" s="745">
        <f t="shared" si="115"/>
        <v>30.806122448774317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4">
        <v>43398</v>
      </c>
      <c r="AP312" s="13">
        <f t="shared" si="116"/>
        <v>13</v>
      </c>
      <c r="AQ312" s="13">
        <f t="shared" si="117"/>
        <v>12</v>
      </c>
      <c r="AR312" s="173">
        <f t="shared" si="118"/>
        <v>43416</v>
      </c>
      <c r="AS312" s="752">
        <f t="shared" si="119"/>
        <v>0.6428571428571429</v>
      </c>
      <c r="AT312" s="768">
        <f t="shared" si="120"/>
        <v>30.734784984934542</v>
      </c>
      <c r="AU312" s="13">
        <f t="shared" si="121"/>
        <v>11</v>
      </c>
      <c r="AV312" s="13">
        <f t="shared" si="122"/>
        <v>12</v>
      </c>
      <c r="AW312" s="173">
        <f t="shared" si="123"/>
        <v>43374</v>
      </c>
      <c r="AX312" s="752">
        <f t="shared" si="124"/>
        <v>0.8571428571428571</v>
      </c>
      <c r="AY312" s="768">
        <f t="shared" si="125"/>
        <v>30.793877551784476</v>
      </c>
      <c r="AZ312" s="745">
        <f t="shared" si="129"/>
        <v>30.764331268359509</v>
      </c>
      <c r="BA312" s="642">
        <f t="shared" si="126"/>
        <v>0.98403412966757731</v>
      </c>
      <c r="BC312" s="11">
        <v>43398</v>
      </c>
      <c r="BD312" s="290">
        <f>[2]!FeuilCaduc*(1-Persistant)+Persistant</f>
        <v>0.8685359022228728</v>
      </c>
      <c r="BE312" s="291">
        <f>[2]!CroissVégét</f>
        <v>0.99674978642645717</v>
      </c>
      <c r="BF312" s="815">
        <f>1+[2]!Salcycl*Ksac</f>
        <v>1.0280893170371455</v>
      </c>
      <c r="BH312" s="1052">
        <f t="shared" si="127"/>
        <v>1.8943829477732786E-2</v>
      </c>
      <c r="BI312" s="11">
        <v>44494</v>
      </c>
      <c r="BJ312" s="725">
        <v>4.5174315762442655E-3</v>
      </c>
      <c r="BK312" s="725">
        <v>7.2992201463736523E-3</v>
      </c>
      <c r="BL312" s="725">
        <v>1.0801157428976225E-2</v>
      </c>
      <c r="BM312" s="725">
        <v>1.563867707479032E-2</v>
      </c>
      <c r="BN312" s="725">
        <v>2.3916250148285686E-2</v>
      </c>
      <c r="BO312" s="726">
        <v>3.3794909673065615E-2</v>
      </c>
      <c r="BP312" s="725">
        <v>4.6290253469429041E-2</v>
      </c>
      <c r="BQ312" s="725">
        <v>6.0120211521144849E-2</v>
      </c>
      <c r="BR312" s="725">
        <v>7.5324342617549847E-2</v>
      </c>
      <c r="BS312" s="725">
        <v>9.100296668795968E-2</v>
      </c>
      <c r="BT312" s="725">
        <v>0.10589364980246944</v>
      </c>
      <c r="BW312" s="1189">
        <f>'2018'!R\Max</f>
        <v>0.98403412966757731</v>
      </c>
      <c r="BX312" s="1187">
        <f>'2019'!R\Max</f>
        <v>0.92089625158131527</v>
      </c>
      <c r="BY312" s="1187">
        <f>'2020'!R\Max</f>
        <v>0.88029763571510988</v>
      </c>
      <c r="BZ312" s="1187">
        <f>'2021'!R\Max</f>
        <v>0.95288465301345038</v>
      </c>
      <c r="CA312" s="1187">
        <f>'2022'!R\Max</f>
        <v>0.71450830596068771</v>
      </c>
      <c r="CB312" s="1187">
        <f>'2023'!R\Max</f>
        <v>0.71424894262485139</v>
      </c>
      <c r="CC312" s="1187">
        <f>'2024'!R\Max</f>
        <v>0.71397557099285669</v>
      </c>
      <c r="CD312" s="1187">
        <f>'2025'!R\Max</f>
        <v>0.71537236634053136</v>
      </c>
      <c r="CE312" s="1187">
        <f>'2026'!R\Max</f>
        <v>0.71518644565230449</v>
      </c>
      <c r="CF312" s="1188">
        <f>'2027'!R\Max</f>
        <v>0.7149819852145588</v>
      </c>
    </row>
    <row r="313" spans="1:84" s="6" customFormat="1" ht="11.25" x14ac:dyDescent="0.2">
      <c r="A313" s="11">
        <v>43399</v>
      </c>
      <c r="B313" s="380">
        <f>'2022'!Maxi_hp</f>
        <v>30.638103345226707</v>
      </c>
      <c r="C313" s="13">
        <f>'2022'!An_max</f>
        <v>2019</v>
      </c>
      <c r="D313" s="1061"/>
      <c r="E313" s="13"/>
      <c r="F313" s="13">
        <f t="shared" si="128"/>
        <v>23</v>
      </c>
      <c r="G313" s="13">
        <f t="shared" si="112"/>
        <v>22</v>
      </c>
      <c r="H313" s="173">
        <f t="shared" si="113"/>
        <v>43402</v>
      </c>
      <c r="I313" s="752">
        <f t="shared" si="114"/>
        <v>0.21428571428571427</v>
      </c>
      <c r="J313" s="745">
        <f t="shared" si="115"/>
        <v>30.450765305624476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4">
        <v>43399</v>
      </c>
      <c r="AP313" s="13">
        <f t="shared" si="116"/>
        <v>13</v>
      </c>
      <c r="AQ313" s="13">
        <f t="shared" si="117"/>
        <v>12</v>
      </c>
      <c r="AR313" s="173">
        <f t="shared" si="118"/>
        <v>43416</v>
      </c>
      <c r="AS313" s="752">
        <f t="shared" si="119"/>
        <v>0.6071428571428571</v>
      </c>
      <c r="AT313" s="768">
        <f t="shared" si="120"/>
        <v>30.366857233789879</v>
      </c>
      <c r="AU313" s="13">
        <f t="shared" si="121"/>
        <v>11</v>
      </c>
      <c r="AV313" s="13">
        <f t="shared" si="122"/>
        <v>12</v>
      </c>
      <c r="AW313" s="173">
        <f t="shared" si="123"/>
        <v>43374</v>
      </c>
      <c r="AX313" s="752">
        <f t="shared" si="124"/>
        <v>0.8928571428571429</v>
      </c>
      <c r="AY313" s="768">
        <f t="shared" si="125"/>
        <v>30.43761160736571</v>
      </c>
      <c r="AZ313" s="745">
        <f t="shared" si="129"/>
        <v>30.402234420577795</v>
      </c>
      <c r="BA313" s="642">
        <f t="shared" si="126"/>
        <v>1.0061521619480489</v>
      </c>
      <c r="BC313" s="11">
        <v>43399</v>
      </c>
      <c r="BD313" s="290">
        <f>[2]!FeuilCaduc*(1-Persistant)+Persistant</f>
        <v>0.86433924709765542</v>
      </c>
      <c r="BE313" s="291">
        <f>[2]!CroissVégét</f>
        <v>0.99689348984691617</v>
      </c>
      <c r="BF313" s="815">
        <f>1+[2]!Salcycl*Ksac</f>
        <v>1.0273898745162759</v>
      </c>
      <c r="BH313" s="1052">
        <f t="shared" si="127"/>
        <v>1.9665082574889553E-2</v>
      </c>
      <c r="BI313" s="11">
        <v>44495</v>
      </c>
      <c r="BJ313" s="725">
        <v>4.8523635049111226E-3</v>
      </c>
      <c r="BK313" s="725">
        <v>7.7352303344405942E-3</v>
      </c>
      <c r="BL313" s="725">
        <v>1.1339907391596078E-2</v>
      </c>
      <c r="BM313" s="725">
        <v>1.633391166832544E-2</v>
      </c>
      <c r="BN313" s="725">
        <v>2.4676646658348303E-2</v>
      </c>
      <c r="BO313" s="726">
        <v>3.4577855126169066E-2</v>
      </c>
      <c r="BP313" s="725">
        <v>4.7027192730613676E-2</v>
      </c>
      <c r="BQ313" s="725">
        <v>6.0579936991131796E-2</v>
      </c>
      <c r="BR313" s="725">
        <v>7.5470691736284401E-2</v>
      </c>
      <c r="BS313" s="725">
        <v>9.0783362054943792E-2</v>
      </c>
      <c r="BT313" s="725">
        <v>0.10555178342873349</v>
      </c>
      <c r="BW313" s="1189">
        <f>'2018'!R\Max</f>
        <v>0.1339908418013718</v>
      </c>
      <c r="BX313" s="1187">
        <f>'2019'!R\Max</f>
        <v>1.0061521619480489</v>
      </c>
      <c r="BY313" s="1187">
        <f>'2020'!R\Max</f>
        <v>0.66805200849466873</v>
      </c>
      <c r="BZ313" s="1187">
        <f>'2021'!R\Max</f>
        <v>0.8313419950816584</v>
      </c>
      <c r="CA313" s="1187">
        <f>'2022'!R\Max</f>
        <v>0.42899023941524328</v>
      </c>
      <c r="CB313" s="1187">
        <f>'2023'!R\Max</f>
        <v>0.42867793176675439</v>
      </c>
      <c r="CC313" s="1187">
        <f>'2024'!R\Max</f>
        <v>0.42835180856755017</v>
      </c>
      <c r="CD313" s="1187">
        <f>'2025'!R\Max</f>
        <v>0.43003735289554468</v>
      </c>
      <c r="CE313" s="1187">
        <f>'2026'!R\Max</f>
        <v>0.42981092353054984</v>
      </c>
      <c r="CF313" s="1188">
        <f>'2027'!R\Max</f>
        <v>0.42956276382510539</v>
      </c>
    </row>
    <row r="314" spans="1:84" s="6" customFormat="1" ht="11.25" x14ac:dyDescent="0.2">
      <c r="A314" s="11">
        <v>43400</v>
      </c>
      <c r="B314" s="380">
        <f>'2022'!Maxi_hp</f>
        <v>28.51542722480329</v>
      </c>
      <c r="C314" s="13">
        <f>'2022'!An_max</f>
        <v>2021</v>
      </c>
      <c r="D314" s="1061"/>
      <c r="E314" s="13"/>
      <c r="F314" s="13">
        <f t="shared" si="128"/>
        <v>23</v>
      </c>
      <c r="G314" s="13">
        <f t="shared" si="112"/>
        <v>22</v>
      </c>
      <c r="H314" s="173">
        <f t="shared" si="113"/>
        <v>43402</v>
      </c>
      <c r="I314" s="752">
        <f t="shared" si="114"/>
        <v>0.14285714285714285</v>
      </c>
      <c r="J314" s="745">
        <f t="shared" si="115"/>
        <v>30.097959183209706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4">
        <v>43400</v>
      </c>
      <c r="AP314" s="13">
        <f t="shared" si="116"/>
        <v>13</v>
      </c>
      <c r="AQ314" s="13">
        <f t="shared" si="117"/>
        <v>12</v>
      </c>
      <c r="AR314" s="173">
        <f t="shared" si="118"/>
        <v>43416</v>
      </c>
      <c r="AS314" s="752">
        <f t="shared" si="119"/>
        <v>0.5714285714285714</v>
      </c>
      <c r="AT314" s="768">
        <f t="shared" si="120"/>
        <v>30.001749271473717</v>
      </c>
      <c r="AU314" s="13">
        <f t="shared" si="121"/>
        <v>11</v>
      </c>
      <c r="AV314" s="13">
        <f t="shared" si="122"/>
        <v>12</v>
      </c>
      <c r="AW314" s="173">
        <f t="shared" si="123"/>
        <v>43374</v>
      </c>
      <c r="AX314" s="752">
        <f t="shared" si="124"/>
        <v>0.9285714285714286</v>
      </c>
      <c r="AY314" s="768">
        <f t="shared" si="125"/>
        <v>30.086352041104277</v>
      </c>
      <c r="AZ314" s="745">
        <f t="shared" si="129"/>
        <v>30.044050656288995</v>
      </c>
      <c r="BA314" s="642">
        <f t="shared" si="126"/>
        <v>0.94742062248229642</v>
      </c>
      <c r="BC314" s="11">
        <v>43400</v>
      </c>
      <c r="BD314" s="290">
        <f>[2]!FeuilCaduc*(1-Persistant)+Persistant</f>
        <v>0.86010461960068296</v>
      </c>
      <c r="BE314" s="291">
        <f>[2]!CroissVégét</f>
        <v>0.99703144626847073</v>
      </c>
      <c r="BF314" s="815">
        <f>1+[2]!Salcycl*Ksac</f>
        <v>1.0266841032667804</v>
      </c>
      <c r="BH314" s="1052">
        <f t="shared" si="127"/>
        <v>2.0367655154743321E-2</v>
      </c>
      <c r="BI314" s="11">
        <v>44496</v>
      </c>
      <c r="BJ314" s="725">
        <v>5.193903171073073E-3</v>
      </c>
      <c r="BK314" s="725">
        <v>8.1778503306429561E-3</v>
      </c>
      <c r="BL314" s="725">
        <v>1.1881844647918116E-2</v>
      </c>
      <c r="BM314" s="725">
        <v>1.7027946815388155E-2</v>
      </c>
      <c r="BN314" s="725">
        <v>2.5392063337991808E-2</v>
      </c>
      <c r="BO314" s="726">
        <v>3.526473218055854E-2</v>
      </c>
      <c r="BP314" s="725">
        <v>4.7594379056495932E-2</v>
      </c>
      <c r="BQ314" s="725">
        <v>6.0841744927260591E-2</v>
      </c>
      <c r="BR314" s="725">
        <v>7.5402214494336955E-2</v>
      </c>
      <c r="BS314" s="725">
        <v>9.0356636432523049E-2</v>
      </c>
      <c r="BT314" s="725">
        <v>0.10500551535162289</v>
      </c>
      <c r="BW314" s="1189">
        <f>'2018'!R\Max</f>
        <v>0.29759475383574907</v>
      </c>
      <c r="BX314" s="1187">
        <f>'2019'!R\Max</f>
        <v>0.70340398427467898</v>
      </c>
      <c r="BY314" s="1187">
        <f>'2020'!R\Max</f>
        <v>0.78806344478499935</v>
      </c>
      <c r="BZ314" s="1187">
        <f>'2021'!R\Max</f>
        <v>0.94742062248229642</v>
      </c>
      <c r="CA314" s="1187">
        <f>'2022'!R\Max</f>
        <v>0.44091592543248487</v>
      </c>
      <c r="CB314" s="1187">
        <f>'2023'!R\Max</f>
        <v>0.44060254869545118</v>
      </c>
      <c r="CC314" s="1187">
        <f>'2024'!R\Max</f>
        <v>0.44027750052477066</v>
      </c>
      <c r="CD314" s="1187">
        <f>'2025'!R\Max</f>
        <v>0.44197223011064884</v>
      </c>
      <c r="CE314" s="1187">
        <f>'2026'!R\Max</f>
        <v>0.44174286081061864</v>
      </c>
      <c r="CF314" s="1188">
        <f>'2027'!R\Max</f>
        <v>0.44149217992232986</v>
      </c>
    </row>
    <row r="315" spans="1:84" s="6" customFormat="1" ht="11.25" x14ac:dyDescent="0.2">
      <c r="A315" s="11">
        <v>43401</v>
      </c>
      <c r="B315" s="380">
        <f>'2022'!Maxi_hp</f>
        <v>29.596972349647235</v>
      </c>
      <c r="C315" s="13">
        <f>'2022'!An_max</f>
        <v>2021</v>
      </c>
      <c r="D315" s="1061"/>
      <c r="E315" s="13"/>
      <c r="F315" s="13">
        <f t="shared" si="128"/>
        <v>23</v>
      </c>
      <c r="G315" s="13">
        <f t="shared" si="112"/>
        <v>22</v>
      </c>
      <c r="H315" s="173">
        <f t="shared" si="113"/>
        <v>43402</v>
      </c>
      <c r="I315" s="752">
        <f t="shared" si="114"/>
        <v>7.1428571428571425E-2</v>
      </c>
      <c r="J315" s="745">
        <f t="shared" si="115"/>
        <v>29.747704080918005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4">
        <v>43401</v>
      </c>
      <c r="AP315" s="13">
        <f t="shared" si="116"/>
        <v>13</v>
      </c>
      <c r="AQ315" s="13">
        <f t="shared" si="117"/>
        <v>12</v>
      </c>
      <c r="AR315" s="173">
        <f t="shared" si="118"/>
        <v>43416</v>
      </c>
      <c r="AS315" s="752">
        <f t="shared" si="119"/>
        <v>0.5357142857142857</v>
      </c>
      <c r="AT315" s="768">
        <f t="shared" si="120"/>
        <v>29.639775418982442</v>
      </c>
      <c r="AU315" s="13">
        <f t="shared" si="121"/>
        <v>11</v>
      </c>
      <c r="AV315" s="13">
        <f t="shared" si="122"/>
        <v>12</v>
      </c>
      <c r="AW315" s="173">
        <f t="shared" si="123"/>
        <v>43374</v>
      </c>
      <c r="AX315" s="752">
        <f t="shared" si="124"/>
        <v>0.9642857142857143</v>
      </c>
      <c r="AY315" s="768">
        <f t="shared" si="125"/>
        <v>29.740385842183606</v>
      </c>
      <c r="AZ315" s="745">
        <f t="shared" si="129"/>
        <v>29.690080630583026</v>
      </c>
      <c r="BA315" s="642">
        <f t="shared" si="126"/>
        <v>0.99493299614448372</v>
      </c>
      <c r="BC315" s="11">
        <v>43401</v>
      </c>
      <c r="BD315" s="290">
        <f>[2]!FeuilCaduc*(1-Persistant)+Persistant</f>
        <v>0.85583749079719995</v>
      </c>
      <c r="BE315" s="291">
        <f>[2]!CroissVégét</f>
        <v>0.99716388402603495</v>
      </c>
      <c r="BF315" s="815">
        <f>1+[2]!Salcycl*Ksac</f>
        <v>1.0259729151328667</v>
      </c>
      <c r="BH315" s="1052">
        <f t="shared" si="127"/>
        <v>2.1051510801904719E-2</v>
      </c>
      <c r="BI315" s="11">
        <v>44497</v>
      </c>
      <c r="BJ315" s="725">
        <v>5.5420592523950764E-3</v>
      </c>
      <c r="BK315" s="725">
        <v>8.6270872912282328E-3</v>
      </c>
      <c r="BL315" s="725">
        <v>1.2426969339932249E-2</v>
      </c>
      <c r="BM315" s="725">
        <v>1.7720773605497554E-2</v>
      </c>
      <c r="BN315" s="725">
        <v>2.606242239219931E-2</v>
      </c>
      <c r="BO315" s="726">
        <v>3.585538188279775E-2</v>
      </c>
      <c r="BP315" s="725">
        <v>4.7991537241777793E-2</v>
      </c>
      <c r="BQ315" s="725">
        <v>6.0905304455526083E-2</v>
      </c>
      <c r="BR315" s="725">
        <v>7.5118538576867622E-2</v>
      </c>
      <c r="BS315" s="725">
        <v>8.9722409827552585E-2</v>
      </c>
      <c r="BT315" s="725">
        <v>0.1042544541907196</v>
      </c>
      <c r="BW315" s="1189">
        <f>'2018'!R\Max</f>
        <v>0.12409782909235301</v>
      </c>
      <c r="BX315" s="1187">
        <f>'2019'!R\Max</f>
        <v>0.32860125072723789</v>
      </c>
      <c r="BY315" s="1187">
        <f>'2020'!R\Max</f>
        <v>0.82212408736581277</v>
      </c>
      <c r="BZ315" s="1187">
        <f>'2021'!R\Max</f>
        <v>0.99493299614448372</v>
      </c>
      <c r="CA315" s="1187">
        <f>'2022'!R\Max</f>
        <v>0.60434702451368372</v>
      </c>
      <c r="CB315" s="1187">
        <f>'2023'!R\Max</f>
        <v>0.60404574067723393</v>
      </c>
      <c r="CC315" s="1187">
        <f>'2024'!R\Max</f>
        <v>0.60373465050477071</v>
      </c>
      <c r="CD315" s="1187">
        <f>'2025'!R\Max</f>
        <v>0.60536782237519782</v>
      </c>
      <c r="CE315" s="1187">
        <f>'2026'!R\Max</f>
        <v>0.60514529424608443</v>
      </c>
      <c r="CF315" s="1188">
        <f>'2027'!R\Max</f>
        <v>0.60490269459303958</v>
      </c>
    </row>
    <row r="316" spans="1:84" s="6" customFormat="1" ht="11.25" x14ac:dyDescent="0.2">
      <c r="A316" s="11">
        <v>43402</v>
      </c>
      <c r="B316" s="380">
        <f>'2022'!Maxi_hp</f>
        <v>26.808132600527212</v>
      </c>
      <c r="C316" s="13">
        <f>'2022'!An_max</f>
        <v>2019</v>
      </c>
      <c r="D316" s="1061"/>
      <c r="E316" s="1056">
        <f>AI$13/10</f>
        <v>29.4</v>
      </c>
      <c r="F316" s="13">
        <f t="shared" si="128"/>
        <v>23</v>
      </c>
      <c r="G316" s="13">
        <f t="shared" si="112"/>
        <v>24</v>
      </c>
      <c r="H316" s="173">
        <f t="shared" si="113"/>
        <v>43402</v>
      </c>
      <c r="I316" s="752">
        <f t="shared" si="114"/>
        <v>0</v>
      </c>
      <c r="J316" s="745">
        <f t="shared" si="115"/>
        <v>29.399999999254941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4">
        <v>43402</v>
      </c>
      <c r="AP316" s="13">
        <f t="shared" si="116"/>
        <v>13</v>
      </c>
      <c r="AQ316" s="13">
        <f t="shared" si="117"/>
        <v>12</v>
      </c>
      <c r="AR316" s="173">
        <f t="shared" si="118"/>
        <v>43416</v>
      </c>
      <c r="AS316" s="752">
        <f t="shared" si="119"/>
        <v>0.5</v>
      </c>
      <c r="AT316" s="768">
        <f t="shared" si="120"/>
        <v>29.281249999813735</v>
      </c>
      <c r="AU316" s="13">
        <f t="shared" si="121"/>
        <v>13</v>
      </c>
      <c r="AV316" s="13">
        <f t="shared" si="122"/>
        <v>12</v>
      </c>
      <c r="AW316" s="173">
        <f t="shared" si="123"/>
        <v>43430</v>
      </c>
      <c r="AX316" s="752">
        <f t="shared" si="124"/>
        <v>1</v>
      </c>
      <c r="AY316" s="768">
        <f t="shared" si="125"/>
        <v>29.400000000372529</v>
      </c>
      <c r="AZ316" s="745">
        <f t="shared" si="129"/>
        <v>29.340625000093134</v>
      </c>
      <c r="BA316" s="642">
        <f t="shared" si="126"/>
        <v>0.91184124493899954</v>
      </c>
      <c r="BC316" s="11">
        <v>43402</v>
      </c>
      <c r="BD316" s="290">
        <f>[2]!FeuilCaduc*(1-Persistant)+Persistant</f>
        <v>0.85154353132048854</v>
      </c>
      <c r="BE316" s="291">
        <f>[2]!CroissVégét</f>
        <v>0.99729102250050727</v>
      </c>
      <c r="BF316" s="815">
        <f>1+[2]!Salcycl*Ksac</f>
        <v>1.0252572552200814</v>
      </c>
      <c r="BH316" s="1052">
        <f t="shared" si="127"/>
        <v>2.1716610113030846E-2</v>
      </c>
      <c r="BI316" s="11">
        <v>44498</v>
      </c>
      <c r="BJ316" s="725">
        <v>5.8968393133389174E-3</v>
      </c>
      <c r="BK316" s="725">
        <v>9.0829468889290239E-3</v>
      </c>
      <c r="BL316" s="725">
        <v>1.297527968777909E-2</v>
      </c>
      <c r="BM316" s="725">
        <v>1.8412380553088557E-2</v>
      </c>
      <c r="BN316" s="725">
        <v>2.6687642416861036E-2</v>
      </c>
      <c r="BO316" s="726">
        <v>3.6349640662478172E-2</v>
      </c>
      <c r="BP316" s="725">
        <v>4.8218386298925116E-2</v>
      </c>
      <c r="BQ316" s="725">
        <v>6.0770279451866464E-2</v>
      </c>
      <c r="BR316" s="725">
        <v>7.4619287294670239E-2</v>
      </c>
      <c r="BS316" s="725">
        <v>8.8880299397003024E-2</v>
      </c>
      <c r="BT316" s="725">
        <v>0.10329820624337853</v>
      </c>
      <c r="BW316" s="1189">
        <f>'2018'!R\Max</f>
        <v>0.14939041588716895</v>
      </c>
      <c r="BX316" s="1187">
        <f>'2019'!R\Max</f>
        <v>0.91184124493899954</v>
      </c>
      <c r="BY316" s="1187">
        <f>'2020'!R\Max</f>
        <v>0.47741860374553996</v>
      </c>
      <c r="BZ316" s="1187">
        <f>'2021'!R\Max</f>
        <v>0.56383836755001959</v>
      </c>
      <c r="CA316" s="1187">
        <f>'2022'!R\Max</f>
        <v>0.8620355465311802</v>
      </c>
      <c r="CB316" s="1187">
        <f>'2023'!R\Max</f>
        <v>0.86188796146862201</v>
      </c>
      <c r="CC316" s="1187">
        <f>'2024'!R\Max</f>
        <v>0.86173595179616291</v>
      </c>
      <c r="CD316" s="1187">
        <f>'2025'!R\Max</f>
        <v>0.86253833405532732</v>
      </c>
      <c r="CE316" s="1187">
        <f>'2026'!R\Max</f>
        <v>0.86242829563025636</v>
      </c>
      <c r="CF316" s="1188">
        <f>'2027'!R\Max</f>
        <v>0.86230861304016371</v>
      </c>
    </row>
    <row r="317" spans="1:84" s="6" customFormat="1" ht="11.25" x14ac:dyDescent="0.2">
      <c r="A317" s="11">
        <v>43403</v>
      </c>
      <c r="B317" s="380">
        <f>'2022'!Maxi_hp</f>
        <v>25.646872317786048</v>
      </c>
      <c r="C317" s="13">
        <f>'2022'!An_max</f>
        <v>2018</v>
      </c>
      <c r="D317" s="1061"/>
      <c r="E317" s="13"/>
      <c r="F317" s="13">
        <f t="shared" si="128"/>
        <v>23</v>
      </c>
      <c r="G317" s="13">
        <f t="shared" si="112"/>
        <v>24</v>
      </c>
      <c r="H317" s="173">
        <f t="shared" si="113"/>
        <v>43402</v>
      </c>
      <c r="I317" s="752">
        <f t="shared" si="114"/>
        <v>7.1428571428571425E-2</v>
      </c>
      <c r="J317" s="745">
        <f t="shared" si="115"/>
        <v>29.053662535947346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4">
        <v>43403</v>
      </c>
      <c r="AP317" s="13">
        <f t="shared" si="116"/>
        <v>13</v>
      </c>
      <c r="AQ317" s="13">
        <f t="shared" si="117"/>
        <v>12</v>
      </c>
      <c r="AR317" s="173">
        <f t="shared" si="118"/>
        <v>43416</v>
      </c>
      <c r="AS317" s="752">
        <f t="shared" si="119"/>
        <v>0.4642857142857143</v>
      </c>
      <c r="AT317" s="768">
        <f t="shared" si="120"/>
        <v>28.926487335615924</v>
      </c>
      <c r="AU317" s="13">
        <f t="shared" si="121"/>
        <v>13</v>
      </c>
      <c r="AV317" s="13">
        <f t="shared" si="122"/>
        <v>12</v>
      </c>
      <c r="AW317" s="173">
        <f t="shared" si="123"/>
        <v>43430</v>
      </c>
      <c r="AX317" s="752">
        <f t="shared" si="124"/>
        <v>0.9642857142857143</v>
      </c>
      <c r="AY317" s="768">
        <f t="shared" si="125"/>
        <v>29.06175747126607</v>
      </c>
      <c r="AZ317" s="745">
        <f t="shared" si="129"/>
        <v>28.994122403440997</v>
      </c>
      <c r="BA317" s="642">
        <f t="shared" si="126"/>
        <v>0.88274145423331174</v>
      </c>
      <c r="BC317" s="11">
        <v>43403</v>
      </c>
      <c r="BD317" s="290">
        <f>[2]!FeuilCaduc*(1-Persistant)+Persistant</f>
        <v>0.84722858921929034</v>
      </c>
      <c r="BE317" s="291">
        <f>[2]!CroissVégét</f>
        <v>0.99741307246059263</v>
      </c>
      <c r="BF317" s="815">
        <f>1+[2]!Salcycl*Ksac</f>
        <v>1.0245380982032151</v>
      </c>
      <c r="BH317" s="1052">
        <f t="shared" si="127"/>
        <v>2.2362910876161143E-2</v>
      </c>
      <c r="BI317" s="11">
        <v>44499</v>
      </c>
      <c r="BJ317" s="725">
        <v>6.2582497472890184E-3</v>
      </c>
      <c r="BK317" s="725">
        <v>9.5454332560588641E-3</v>
      </c>
      <c r="BL317" s="725">
        <v>1.3526771965450324E-2</v>
      </c>
      <c r="BM317" s="725">
        <v>1.9102753615231078E-2</v>
      </c>
      <c r="BN317" s="725">
        <v>2.7267638821253729E-2</v>
      </c>
      <c r="BO317" s="726">
        <v>3.6747341226572784E-2</v>
      </c>
      <c r="BP317" s="725">
        <v>4.8274641032349991E-2</v>
      </c>
      <c r="BQ317" s="725">
        <v>6.0436330374343851E-2</v>
      </c>
      <c r="BR317" s="725">
        <v>7.3904081570269897E-2</v>
      </c>
      <c r="BS317" s="725">
        <v>8.7829921360490559E-2</v>
      </c>
      <c r="BT317" s="725">
        <v>0.1021363773717507</v>
      </c>
      <c r="BW317" s="1189">
        <f>'2018'!R\Max</f>
        <v>0.88274145423331174</v>
      </c>
      <c r="BX317" s="1187">
        <f>'2019'!R\Max</f>
        <v>0.75223876590771144</v>
      </c>
      <c r="BY317" s="1187">
        <f>'2020'!R\Max</f>
        <v>0.82550525532373842</v>
      </c>
      <c r="BZ317" s="1187">
        <f>'2021'!R\Max</f>
        <v>0.37472067330514136</v>
      </c>
      <c r="CA317" s="1187">
        <f>'2022'!R\Max</f>
        <v>0.72046386819704533</v>
      </c>
      <c r="CB317" s="1187">
        <f>'2023'!R\Max</f>
        <v>0.72021954192893922</v>
      </c>
      <c r="CC317" s="1187">
        <f>'2024'!R\Max</f>
        <v>0.71996829090641867</v>
      </c>
      <c r="CD317" s="1187">
        <f>'2025'!R\Max</f>
        <v>0.72130346982643467</v>
      </c>
      <c r="CE317" s="1187">
        <f>'2026'!R\Max</f>
        <v>0.72111866584540507</v>
      </c>
      <c r="CF317" s="1188">
        <f>'2027'!R\Max</f>
        <v>0.72091830797717804</v>
      </c>
    </row>
    <row r="318" spans="1:84" s="6" customFormat="1" ht="11.25" x14ac:dyDescent="0.2">
      <c r="A318" s="11">
        <v>43404</v>
      </c>
      <c r="B318" s="380">
        <f>'2022'!Maxi_hp</f>
        <v>29.156794138449072</v>
      </c>
      <c r="C318" s="13">
        <f>'2022'!An_max</f>
        <v>2020</v>
      </c>
      <c r="D318" s="1061"/>
      <c r="E318" s="13"/>
      <c r="F318" s="13">
        <f t="shared" si="128"/>
        <v>23</v>
      </c>
      <c r="G318" s="13">
        <f t="shared" si="112"/>
        <v>24</v>
      </c>
      <c r="H318" s="173">
        <f t="shared" si="113"/>
        <v>43402</v>
      </c>
      <c r="I318" s="752">
        <f t="shared" si="114"/>
        <v>0.14285714285714285</v>
      </c>
      <c r="J318" s="745">
        <f t="shared" si="115"/>
        <v>28.70787171976907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4">
        <v>43404</v>
      </c>
      <c r="AP318" s="13">
        <f t="shared" si="116"/>
        <v>13</v>
      </c>
      <c r="AQ318" s="13">
        <f t="shared" si="117"/>
        <v>12</v>
      </c>
      <c r="AR318" s="173">
        <f t="shared" si="118"/>
        <v>43416</v>
      </c>
      <c r="AS318" s="752">
        <f t="shared" si="119"/>
        <v>0.42857142857142855</v>
      </c>
      <c r="AT318" s="768">
        <f t="shared" si="120"/>
        <v>28.575801749740329</v>
      </c>
      <c r="AU318" s="13">
        <f t="shared" si="121"/>
        <v>13</v>
      </c>
      <c r="AV318" s="13">
        <f t="shared" si="122"/>
        <v>12</v>
      </c>
      <c r="AW318" s="173">
        <f t="shared" si="123"/>
        <v>43430</v>
      </c>
      <c r="AX318" s="752">
        <f t="shared" si="124"/>
        <v>0.9285714285714286</v>
      </c>
      <c r="AY318" s="768">
        <f t="shared" si="125"/>
        <v>28.722376093614315</v>
      </c>
      <c r="AZ318" s="745">
        <f t="shared" si="129"/>
        <v>28.649088921677322</v>
      </c>
      <c r="BA318" s="642">
        <f t="shared" si="126"/>
        <v>1.0156376071017086</v>
      </c>
      <c r="BC318" s="11">
        <v>43404</v>
      </c>
      <c r="BD318" s="290">
        <f>[2]!FeuilCaduc*(1-Persistant)+Persistant</f>
        <v>0.84289866634781385</v>
      </c>
      <c r="BE318" s="291">
        <f>[2]!CroissVégét</f>
        <v>0.99753023639231442</v>
      </c>
      <c r="BF318" s="815">
        <f>1+[2]!Salcycl*Ksac</f>
        <v>1.0238164443913023</v>
      </c>
      <c r="BH318" s="1052">
        <f t="shared" si="127"/>
        <v>2.2926875067836999E-2</v>
      </c>
      <c r="BI318" s="11">
        <v>44500</v>
      </c>
      <c r="BJ318" s="725">
        <v>6.6037232051231994E-3</v>
      </c>
      <c r="BK318" s="725">
        <v>9.983115962465542E-3</v>
      </c>
      <c r="BL318" s="725">
        <v>1.4040357258068332E-2</v>
      </c>
      <c r="BM318" s="725">
        <v>1.9730097738557512E-2</v>
      </c>
      <c r="BN318" s="725">
        <v>2.7736251378930196E-2</v>
      </c>
      <c r="BO318" s="726">
        <v>3.698383149837306E-2</v>
      </c>
      <c r="BP318" s="725">
        <v>4.8114019288520854E-2</v>
      </c>
      <c r="BQ318" s="725">
        <v>5.9870184789120887E-2</v>
      </c>
      <c r="BR318" s="725">
        <v>7.2953292647736562E-2</v>
      </c>
      <c r="BS318" s="725">
        <v>8.6567103576522739E-2</v>
      </c>
      <c r="BT318" s="725">
        <v>0.10077704678508985</v>
      </c>
      <c r="BW318" s="1189">
        <f>'2018'!R\Max</f>
        <v>0.37242428938001432</v>
      </c>
      <c r="BX318" s="1187">
        <f>'2019'!R\Max</f>
        <v>0.60662890522855273</v>
      </c>
      <c r="BY318" s="1187">
        <f>'2020'!R\Max</f>
        <v>1.0156376071017086</v>
      </c>
      <c r="BZ318" s="1187">
        <f>'2021'!R\Max</f>
        <v>0.64125810149965867</v>
      </c>
      <c r="CA318" s="1187">
        <f>'2022'!R\Max</f>
        <v>0.6891200133597235</v>
      </c>
      <c r="CB318" s="1187">
        <f>'2023'!R\Max</f>
        <v>0.68886736382544822</v>
      </c>
      <c r="CC318" s="1187">
        <f>'2024'!R\Max</f>
        <v>0.68860742751199455</v>
      </c>
      <c r="CD318" s="1187">
        <f>'2025'!R\Max</f>
        <v>0.68999529957240213</v>
      </c>
      <c r="CE318" s="1187">
        <f>'2026'!R\Max</f>
        <v>0.68980164168522606</v>
      </c>
      <c r="CF318" s="1188">
        <f>'2027'!R\Max</f>
        <v>0.68959226359507519</v>
      </c>
    </row>
    <row r="319" spans="1:84" s="6" customFormat="1" ht="11.25" x14ac:dyDescent="0.2">
      <c r="A319" s="11">
        <v>43405</v>
      </c>
      <c r="B319" s="380">
        <f>'2022'!Maxi_hp</f>
        <v>28.781907422136918</v>
      </c>
      <c r="C319" s="13">
        <f>'2022'!An_max</f>
        <v>2020</v>
      </c>
      <c r="D319" s="1061"/>
      <c r="E319" s="13"/>
      <c r="F319" s="13">
        <f t="shared" si="128"/>
        <v>23</v>
      </c>
      <c r="G319" s="13">
        <f t="shared" si="112"/>
        <v>24</v>
      </c>
      <c r="H319" s="173">
        <f t="shared" si="113"/>
        <v>43402</v>
      </c>
      <c r="I319" s="752">
        <f t="shared" si="114"/>
        <v>0.21428571428571427</v>
      </c>
      <c r="J319" s="745">
        <f t="shared" si="115"/>
        <v>28.363174197636546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4">
        <v>43405</v>
      </c>
      <c r="AP319" s="13">
        <f t="shared" si="116"/>
        <v>13</v>
      </c>
      <c r="AQ319" s="13">
        <f t="shared" si="117"/>
        <v>12</v>
      </c>
      <c r="AR319" s="173">
        <f t="shared" si="118"/>
        <v>43416</v>
      </c>
      <c r="AS319" s="752">
        <f t="shared" si="119"/>
        <v>0.39285714285714285</v>
      </c>
      <c r="AT319" s="768">
        <f t="shared" si="120"/>
        <v>28.229507562145592</v>
      </c>
      <c r="AU319" s="13">
        <f t="shared" si="121"/>
        <v>13</v>
      </c>
      <c r="AV319" s="13">
        <f t="shared" si="122"/>
        <v>12</v>
      </c>
      <c r="AW319" s="173">
        <f t="shared" si="123"/>
        <v>43430</v>
      </c>
      <c r="AX319" s="752">
        <f t="shared" si="124"/>
        <v>0.8928571428571429</v>
      </c>
      <c r="AY319" s="768">
        <f t="shared" si="125"/>
        <v>28.382375182517404</v>
      </c>
      <c r="AZ319" s="745">
        <f t="shared" si="129"/>
        <v>28.305941372331496</v>
      </c>
      <c r="BA319" s="642">
        <f t="shared" si="126"/>
        <v>1.0147632709083478</v>
      </c>
      <c r="BC319" s="11">
        <v>43405</v>
      </c>
      <c r="BD319" s="290">
        <f>[2]!FeuilCaduc*(1-Persistant)+Persistant</f>
        <v>0.83855989344436455</v>
      </c>
      <c r="BE319" s="291">
        <f>[2]!CroissVégét</f>
        <v>0.99764270881659778</v>
      </c>
      <c r="BF319" s="815">
        <f>1+[2]!Salcycl*Ksac</f>
        <v>1.0230933155740607</v>
      </c>
      <c r="BH319" s="1052">
        <f t="shared" si="127"/>
        <v>2.3383330762255759E-2</v>
      </c>
      <c r="BI319" s="11">
        <v>44501</v>
      </c>
      <c r="BJ319" s="725">
        <v>6.9192827414404556E-3</v>
      </c>
      <c r="BK319" s="725">
        <v>1.0376706708626232E-2</v>
      </c>
      <c r="BL319" s="725">
        <v>1.4491495724456412E-2</v>
      </c>
      <c r="BM319" s="725">
        <v>2.0260491943612416E-2</v>
      </c>
      <c r="BN319" s="725">
        <v>2.8081470635867356E-2</v>
      </c>
      <c r="BO319" s="726">
        <v>3.7077395172259282E-2</v>
      </c>
      <c r="BP319" s="725">
        <v>4.7798704021951334E-2</v>
      </c>
      <c r="BQ319" s="725">
        <v>5.9161812271199245E-2</v>
      </c>
      <c r="BR319" s="725">
        <v>7.1880756152326863E-2</v>
      </c>
      <c r="BS319" s="725">
        <v>8.5224860002590261E-2</v>
      </c>
      <c r="BT319" s="725">
        <v>9.936202279752622E-2</v>
      </c>
      <c r="BW319" s="1189">
        <f>'2018'!R\Max</f>
        <v>0.67335736181026229</v>
      </c>
      <c r="BX319" s="1187">
        <f>'2019'!R\Max</f>
        <v>0.26629475372387545</v>
      </c>
      <c r="BY319" s="1187">
        <f>'2020'!R\Max</f>
        <v>1.0147632709083478</v>
      </c>
      <c r="BZ319" s="1187">
        <f>'2021'!R\Max</f>
        <v>0.61588901825430564</v>
      </c>
      <c r="CA319" s="1187">
        <f>'2022'!R\Max</f>
        <v>0.70083198136105695</v>
      </c>
      <c r="CB319" s="1187">
        <f>'2023'!R\Max</f>
        <v>0.70059215803020602</v>
      </c>
      <c r="CC319" s="1187">
        <f>'2024'!R\Max</f>
        <v>0.7003449853946252</v>
      </c>
      <c r="CD319" s="1187">
        <f>'2025'!R\Max</f>
        <v>0.70166909348711326</v>
      </c>
      <c r="CE319" s="1187">
        <f>'2026'!R\Max</f>
        <v>0.70148304573834586</v>
      </c>
      <c r="CF319" s="1188">
        <f>'2027'!R\Max</f>
        <v>0.70128233408115681</v>
      </c>
    </row>
    <row r="320" spans="1:84" s="6" customFormat="1" ht="11.25" x14ac:dyDescent="0.2">
      <c r="A320" s="11">
        <v>43406</v>
      </c>
      <c r="B320" s="380">
        <f>'2022'!Maxi_hp</f>
        <v>26.969006906693245</v>
      </c>
      <c r="C320" s="13">
        <f>'2022'!An_max</f>
        <v>2022</v>
      </c>
      <c r="D320" s="1061"/>
      <c r="E320" s="13"/>
      <c r="F320" s="13">
        <f t="shared" si="128"/>
        <v>23</v>
      </c>
      <c r="G320" s="13">
        <f t="shared" si="112"/>
        <v>24</v>
      </c>
      <c r="H320" s="173">
        <f t="shared" si="113"/>
        <v>43402</v>
      </c>
      <c r="I320" s="752">
        <f t="shared" si="114"/>
        <v>0.2857142857142857</v>
      </c>
      <c r="J320" s="745">
        <f t="shared" si="115"/>
        <v>28.020116617158056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4">
        <v>43406</v>
      </c>
      <c r="AP320" s="13">
        <f t="shared" si="116"/>
        <v>13</v>
      </c>
      <c r="AQ320" s="13">
        <f t="shared" si="117"/>
        <v>12</v>
      </c>
      <c r="AR320" s="173">
        <f t="shared" si="118"/>
        <v>43416</v>
      </c>
      <c r="AS320" s="752">
        <f t="shared" si="119"/>
        <v>0.35714285714285715</v>
      </c>
      <c r="AT320" s="768">
        <f t="shared" si="120"/>
        <v>27.887919095664152</v>
      </c>
      <c r="AU320" s="13">
        <f t="shared" si="121"/>
        <v>13</v>
      </c>
      <c r="AV320" s="13">
        <f t="shared" si="122"/>
        <v>12</v>
      </c>
      <c r="AW320" s="173">
        <f t="shared" si="123"/>
        <v>43430</v>
      </c>
      <c r="AX320" s="752">
        <f t="shared" si="124"/>
        <v>0.8571428571428571</v>
      </c>
      <c r="AY320" s="768">
        <f t="shared" si="125"/>
        <v>28.042274052969049</v>
      </c>
      <c r="AZ320" s="745">
        <f t="shared" si="129"/>
        <v>27.9650965743166</v>
      </c>
      <c r="BA320" s="642">
        <f t="shared" si="126"/>
        <v>0.96248731849241609</v>
      </c>
      <c r="BC320" s="11">
        <v>43406</v>
      </c>
      <c r="BD320" s="290">
        <f>[2]!FeuilCaduc*(1-Persistant)+Persistant</f>
        <v>0.8342185040569704</v>
      </c>
      <c r="BE320" s="291">
        <f>[2]!CroissVégét</f>
        <v>0.99775067659530603</v>
      </c>
      <c r="BF320" s="815">
        <f>1+[2]!Salcycl*Ksac</f>
        <v>1.0223697506761618</v>
      </c>
      <c r="BH320" s="1052">
        <f t="shared" si="127"/>
        <v>2.3732102108413387E-2</v>
      </c>
      <c r="BI320" s="11">
        <v>44502</v>
      </c>
      <c r="BJ320" s="725">
        <v>7.2048787853721775E-3</v>
      </c>
      <c r="BK320" s="725">
        <v>1.0726132364273331E-2</v>
      </c>
      <c r="BL320" s="725">
        <v>1.4880084126846179E-2</v>
      </c>
      <c r="BM320" s="725">
        <v>2.069377824587584E-2</v>
      </c>
      <c r="BN320" s="725">
        <v>2.8303093861914944E-2</v>
      </c>
      <c r="BO320" s="726">
        <v>3.7027793662899017E-2</v>
      </c>
      <c r="BP320" s="725">
        <v>4.7328430525977648E-2</v>
      </c>
      <c r="BQ320" s="725">
        <v>5.8310956027144423E-2</v>
      </c>
      <c r="BR320" s="725">
        <v>7.0686233372395837E-2</v>
      </c>
      <c r="BS320" s="725">
        <v>8.3803000531315411E-2</v>
      </c>
      <c r="BT320" s="725">
        <v>9.7891136326330994E-2</v>
      </c>
      <c r="BW320" s="1189">
        <f>'2018'!R\Max</f>
        <v>0.30299826754794784</v>
      </c>
      <c r="BX320" s="1187">
        <f>'2019'!R\Max</f>
        <v>0.20157557485462152</v>
      </c>
      <c r="BY320" s="1187">
        <f>'2020'!R\Max</f>
        <v>0.91137297586608212</v>
      </c>
      <c r="BZ320" s="1187">
        <f>'2021'!R\Max</f>
        <v>0.93379754461933018</v>
      </c>
      <c r="CA320" s="1187">
        <f>'2022'!R\Max</f>
        <v>0.96248731849241609</v>
      </c>
      <c r="CB320" s="1187">
        <f>'2023'!R\Max</f>
        <v>0.96244735338536203</v>
      </c>
      <c r="CC320" s="1187">
        <f>'2024'!R\Max</f>
        <v>0.96240601443915619</v>
      </c>
      <c r="CD320" s="1187">
        <f>'2025'!R\Max</f>
        <v>0.96262763922915051</v>
      </c>
      <c r="CE320" s="1187">
        <f>'2026'!R\Max</f>
        <v>0.96259635294590762</v>
      </c>
      <c r="CF320" s="1188">
        <f>'2027'!R\Max</f>
        <v>0.96256264160579785</v>
      </c>
    </row>
    <row r="321" spans="1:84" s="6" customFormat="1" ht="11.25" x14ac:dyDescent="0.2">
      <c r="A321" s="11">
        <v>43407</v>
      </c>
      <c r="B321" s="380">
        <f>'2022'!Maxi_hp</f>
        <v>25.62517790632015</v>
      </c>
      <c r="C321" s="13">
        <f>'2022'!An_max</f>
        <v>2018</v>
      </c>
      <c r="D321" s="1061"/>
      <c r="E321" s="13"/>
      <c r="F321" s="13">
        <f t="shared" si="128"/>
        <v>23</v>
      </c>
      <c r="G321" s="13">
        <f t="shared" si="112"/>
        <v>24</v>
      </c>
      <c r="H321" s="173">
        <f t="shared" si="113"/>
        <v>43402</v>
      </c>
      <c r="I321" s="752">
        <f t="shared" si="114"/>
        <v>0.35714285714285715</v>
      </c>
      <c r="J321" s="745">
        <f t="shared" si="115"/>
        <v>27.679245626101533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4">
        <v>43407</v>
      </c>
      <c r="AP321" s="13">
        <f t="shared" si="116"/>
        <v>13</v>
      </c>
      <c r="AQ321" s="13">
        <f t="shared" si="117"/>
        <v>12</v>
      </c>
      <c r="AR321" s="173">
        <f t="shared" si="118"/>
        <v>43416</v>
      </c>
      <c r="AS321" s="752">
        <f t="shared" si="119"/>
        <v>0.32142857142857145</v>
      </c>
      <c r="AT321" s="768">
        <f t="shared" si="120"/>
        <v>27.551350673993255</v>
      </c>
      <c r="AU321" s="13">
        <f t="shared" si="121"/>
        <v>13</v>
      </c>
      <c r="AV321" s="13">
        <f t="shared" si="122"/>
        <v>12</v>
      </c>
      <c r="AW321" s="173">
        <f t="shared" si="123"/>
        <v>43430</v>
      </c>
      <c r="AX321" s="752">
        <f t="shared" si="124"/>
        <v>0.8214285714285714</v>
      </c>
      <c r="AY321" s="768">
        <f t="shared" si="125"/>
        <v>27.702592019364239</v>
      </c>
      <c r="AZ321" s="745">
        <f t="shared" si="129"/>
        <v>27.626971346678747</v>
      </c>
      <c r="BA321" s="642">
        <f t="shared" si="126"/>
        <v>0.92579032869868405</v>
      </c>
      <c r="BC321" s="11">
        <v>43407</v>
      </c>
      <c r="BD321" s="290">
        <f>[2]!FeuilCaduc*(1-Persistant)+Persistant</f>
        <v>0.82988080748545856</v>
      </c>
      <c r="BE321" s="291">
        <f>[2]!CroissVégét</f>
        <v>0.99785431922609247</v>
      </c>
      <c r="BF321" s="815">
        <f>1+[2]!Salcycl*Ksac</f>
        <v>1.0216468012475763</v>
      </c>
      <c r="BH321" s="1052">
        <f t="shared" si="127"/>
        <v>2.3973012216584978E-2</v>
      </c>
      <c r="BI321" s="11">
        <v>44503</v>
      </c>
      <c r="BJ321" s="725">
        <v>7.4604607843588161E-3</v>
      </c>
      <c r="BK321" s="725">
        <v>1.1031318615532811E-2</v>
      </c>
      <c r="BL321" s="725">
        <v>1.5206017941694334E-2</v>
      </c>
      <c r="BM321" s="725">
        <v>2.1029797285907332E-2</v>
      </c>
      <c r="BN321" s="725">
        <v>2.8400917793995721E-2</v>
      </c>
      <c r="BO321" s="726">
        <v>3.6834788902075949E-2</v>
      </c>
      <c r="BP321" s="725">
        <v>4.6702936199043948E-2</v>
      </c>
      <c r="BQ321" s="725">
        <v>5.7317362764573748E-2</v>
      </c>
      <c r="BR321" s="725">
        <v>6.9369490344784249E-2</v>
      </c>
      <c r="BS321" s="725">
        <v>8.2301340583303795E-2</v>
      </c>
      <c r="BT321" s="725">
        <v>9.6364223977005878E-2</v>
      </c>
      <c r="BW321" s="1189">
        <f>'2018'!R\Max</f>
        <v>0.92579032869868405</v>
      </c>
      <c r="BX321" s="1187">
        <f>'2019'!R\Max</f>
        <v>0.48758405511305497</v>
      </c>
      <c r="BY321" s="1187">
        <f>'2020'!R\Max</f>
        <v>0.86934654025681446</v>
      </c>
      <c r="BZ321" s="1187">
        <f>'2021'!R\Max</f>
        <v>0.57810339152762125</v>
      </c>
      <c r="CA321" s="1187">
        <f>'2022'!R\Max</f>
        <v>0.39570134726292927</v>
      </c>
      <c r="CB321" s="1187">
        <f>'2023'!R\Max</f>
        <v>0.39544616335893712</v>
      </c>
      <c r="CC321" s="1187">
        <f>'2024'!R\Max</f>
        <v>0.39518135033551782</v>
      </c>
      <c r="CD321" s="1187">
        <f>'2025'!R\Max</f>
        <v>0.39660592220825563</v>
      </c>
      <c r="CE321" s="1187">
        <f>'2026'!R\Max</f>
        <v>0.39640320259434902</v>
      </c>
      <c r="CF321" s="1188">
        <f>'2027'!R\Max</f>
        <v>0.39618523514245818</v>
      </c>
    </row>
    <row r="322" spans="1:84" s="6" customFormat="1" ht="11.25" x14ac:dyDescent="0.2">
      <c r="A322" s="11">
        <v>43408</v>
      </c>
      <c r="B322" s="380">
        <f>'2022'!Maxi_hp</f>
        <v>21.931273937161258</v>
      </c>
      <c r="C322" s="13">
        <f>'2022'!An_max</f>
        <v>2018</v>
      </c>
      <c r="D322" s="1061"/>
      <c r="E322" s="13"/>
      <c r="F322" s="13">
        <f t="shared" si="128"/>
        <v>23</v>
      </c>
      <c r="G322" s="13">
        <f t="shared" si="112"/>
        <v>24</v>
      </c>
      <c r="H322" s="173">
        <f t="shared" si="113"/>
        <v>43402</v>
      </c>
      <c r="I322" s="752">
        <f t="shared" si="114"/>
        <v>0.42857142857142855</v>
      </c>
      <c r="J322" s="745">
        <f t="shared" si="115"/>
        <v>27.341107871064118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4">
        <v>43408</v>
      </c>
      <c r="AP322" s="13">
        <f t="shared" si="116"/>
        <v>13</v>
      </c>
      <c r="AQ322" s="13">
        <f t="shared" si="117"/>
        <v>12</v>
      </c>
      <c r="AR322" s="173">
        <f t="shared" si="118"/>
        <v>43416</v>
      </c>
      <c r="AS322" s="752">
        <f t="shared" si="119"/>
        <v>0.2857142857142857</v>
      </c>
      <c r="AT322" s="768">
        <f t="shared" si="120"/>
        <v>27.220116618594954</v>
      </c>
      <c r="AU322" s="13">
        <f t="shared" si="121"/>
        <v>13</v>
      </c>
      <c r="AV322" s="13">
        <f t="shared" si="122"/>
        <v>12</v>
      </c>
      <c r="AW322" s="173">
        <f t="shared" si="123"/>
        <v>43430</v>
      </c>
      <c r="AX322" s="752">
        <f t="shared" si="124"/>
        <v>0.7857142857142857</v>
      </c>
      <c r="AY322" s="768">
        <f t="shared" si="125"/>
        <v>27.363848396949471</v>
      </c>
      <c r="AZ322" s="745">
        <f t="shared" si="129"/>
        <v>27.291982507772211</v>
      </c>
      <c r="BA322" s="642">
        <f t="shared" si="126"/>
        <v>0.80213552576528024</v>
      </c>
      <c r="BC322" s="11">
        <v>43408</v>
      </c>
      <c r="BD322" s="290">
        <f>[2]!FeuilCaduc*(1-Persistant)+Persistant</f>
        <v>0.82555316091914266</v>
      </c>
      <c r="BE322" s="291">
        <f>[2]!CroissVégét</f>
        <v>0.99795380912643716</v>
      </c>
      <c r="BF322" s="815">
        <f>1+[2]!Salcycl*Ksac</f>
        <v>1.0209255268198572</v>
      </c>
      <c r="BH322" s="1052">
        <f t="shared" si="127"/>
        <v>2.4105884152639402E-2</v>
      </c>
      <c r="BI322" s="11">
        <v>44504</v>
      </c>
      <c r="BJ322" s="725">
        <v>7.685977482471326E-3</v>
      </c>
      <c r="BK322" s="725">
        <v>1.1292190374531016E-2</v>
      </c>
      <c r="BL322" s="725">
        <v>1.5469191938869266E-2</v>
      </c>
      <c r="BM322" s="725">
        <v>2.1268389227050172E-2</v>
      </c>
      <c r="BN322" s="725">
        <v>2.837473977576525E-2</v>
      </c>
      <c r="BO322" s="726">
        <v>3.6498144656070874E-2</v>
      </c>
      <c r="BP322" s="725">
        <v>4.5921961966885957E-2</v>
      </c>
      <c r="BQ322" s="725">
        <v>5.6180783996059497E-2</v>
      </c>
      <c r="BR322" s="725">
        <v>6.7930298966887639E-2</v>
      </c>
      <c r="BS322" s="725">
        <v>8.0719701827012005E-2</v>
      </c>
      <c r="BT322" s="725">
        <v>9.4781128543911977E-2</v>
      </c>
      <c r="BW322" s="1189">
        <f>'2018'!R\Max</f>
        <v>0.80213552576528024</v>
      </c>
      <c r="BX322" s="1187">
        <f>'2019'!R\Max</f>
        <v>0.34482956488133565</v>
      </c>
      <c r="BY322" s="1187">
        <f>'2020'!R\Max</f>
        <v>0.2035674219344431</v>
      </c>
      <c r="BZ322" s="1187">
        <f>'2021'!R\Max</f>
        <v>0.59942441472822106</v>
      </c>
      <c r="CA322" s="1187">
        <f>'2022'!R\Max</f>
        <v>0.66429572765912337</v>
      </c>
      <c r="CB322" s="1187">
        <f>'2023'!R\Max</f>
        <v>0.66406679694393334</v>
      </c>
      <c r="CC322" s="1187">
        <f>'2024'!R\Max</f>
        <v>0.66382761824429781</v>
      </c>
      <c r="CD322" s="1187">
        <f>'2025'!R\Max</f>
        <v>0.66511134040558351</v>
      </c>
      <c r="CE322" s="1187">
        <f>'2026'!R\Max</f>
        <v>0.66492818699489065</v>
      </c>
      <c r="CF322" s="1188">
        <f>'2027'!R\Max</f>
        <v>0.66473126575405783</v>
      </c>
    </row>
    <row r="323" spans="1:84" s="6" customFormat="1" ht="11.25" x14ac:dyDescent="0.2">
      <c r="A323" s="11">
        <v>43409</v>
      </c>
      <c r="B323" s="380">
        <f>'2022'!Maxi_hp</f>
        <v>27.537455067889493</v>
      </c>
      <c r="C323" s="13">
        <f>'2022'!An_max</f>
        <v>2022</v>
      </c>
      <c r="D323" s="1061"/>
      <c r="E323" s="13"/>
      <c r="F323" s="13">
        <f t="shared" si="128"/>
        <v>23</v>
      </c>
      <c r="G323" s="13">
        <f t="shared" si="112"/>
        <v>24</v>
      </c>
      <c r="H323" s="173">
        <f t="shared" si="113"/>
        <v>43402</v>
      </c>
      <c r="I323" s="752">
        <f t="shared" si="114"/>
        <v>0.5</v>
      </c>
      <c r="J323" s="745">
        <f t="shared" si="115"/>
        <v>27.006249999068679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4">
        <v>43409</v>
      </c>
      <c r="AP323" s="13">
        <f t="shared" si="116"/>
        <v>13</v>
      </c>
      <c r="AQ323" s="13">
        <f t="shared" si="117"/>
        <v>12</v>
      </c>
      <c r="AR323" s="173">
        <f t="shared" si="118"/>
        <v>43416</v>
      </c>
      <c r="AS323" s="752">
        <f t="shared" si="119"/>
        <v>0.25</v>
      </c>
      <c r="AT323" s="768">
        <f t="shared" si="120"/>
        <v>26.89453125</v>
      </c>
      <c r="AU323" s="13">
        <f t="shared" si="121"/>
        <v>13</v>
      </c>
      <c r="AV323" s="13">
        <f t="shared" si="122"/>
        <v>12</v>
      </c>
      <c r="AW323" s="173">
        <f t="shared" si="123"/>
        <v>43430</v>
      </c>
      <c r="AX323" s="752">
        <f t="shared" si="124"/>
        <v>0.75</v>
      </c>
      <c r="AY323" s="768">
        <f t="shared" si="125"/>
        <v>27.026562500279397</v>
      </c>
      <c r="AZ323" s="745">
        <f t="shared" si="129"/>
        <v>26.960546875139698</v>
      </c>
      <c r="BA323" s="642">
        <f t="shared" si="126"/>
        <v>1.0196697086355615</v>
      </c>
      <c r="BC323" s="11">
        <v>43409</v>
      </c>
      <c r="BD323" s="290">
        <f>[2]!FeuilCaduc*(1-Persistant)+Persistant</f>
        <v>0.82124194095752723</v>
      </c>
      <c r="BE323" s="291">
        <f>[2]!CroissVégét</f>
        <v>0.99804931190721602</v>
      </c>
      <c r="BF323" s="815">
        <f>1+[2]!Salcycl*Ksac</f>
        <v>1.0202069901595878</v>
      </c>
      <c r="BH323" s="1052">
        <f t="shared" si="127"/>
        <v>2.4130541932150817E-2</v>
      </c>
      <c r="BI323" s="11">
        <v>44505</v>
      </c>
      <c r="BJ323" s="725">
        <v>7.8813771986684343E-3</v>
      </c>
      <c r="BK323" s="725">
        <v>1.1508672188906992E-2</v>
      </c>
      <c r="BL323" s="725">
        <v>1.5669500760707968E-2</v>
      </c>
      <c r="BM323" s="725">
        <v>2.1409394652956715E-2</v>
      </c>
      <c r="BN323" s="725">
        <v>2.8224358897031961E-2</v>
      </c>
      <c r="BO323" s="726">
        <v>3.6017627842733706E-2</v>
      </c>
      <c r="BP323" s="725">
        <v>4.4985253704324962E-2</v>
      </c>
      <c r="BQ323" s="725">
        <v>5.4900977342555349E-2</v>
      </c>
      <c r="BR323" s="725">
        <v>6.6368438108149005E-2</v>
      </c>
      <c r="BS323" s="725">
        <v>7.9057912897931112E-2</v>
      </c>
      <c r="BT323" s="725">
        <v>9.3141699510096806E-2</v>
      </c>
      <c r="BW323" s="1189">
        <f>'2018'!R\Max</f>
        <v>0.35821994817489466</v>
      </c>
      <c r="BX323" s="1187">
        <f>'2019'!R\Max</f>
        <v>0.47134309852423084</v>
      </c>
      <c r="BY323" s="1187">
        <f>'2020'!R\Max</f>
        <v>0.58294933165814045</v>
      </c>
      <c r="BZ323" s="1187">
        <f>'2021'!R\Max</f>
        <v>0.42313723439802586</v>
      </c>
      <c r="CA323" s="1187">
        <f>'2022'!R\Max</f>
        <v>1.0196697086355615</v>
      </c>
      <c r="CB323" s="1187">
        <f>'2023'!R\Max</f>
        <v>1.0196697086355617</v>
      </c>
      <c r="CC323" s="1187">
        <f>'2024'!R\Max</f>
        <v>1.0196697086355615</v>
      </c>
      <c r="CD323" s="1187">
        <f>'2025'!R\Max</f>
        <v>1.0196697086355615</v>
      </c>
      <c r="CE323" s="1187">
        <f>'2026'!R\Max</f>
        <v>1.0196697086355613</v>
      </c>
      <c r="CF323" s="1188">
        <f>'2027'!R\Max</f>
        <v>1.0196697086355615</v>
      </c>
    </row>
    <row r="324" spans="1:84" s="6" customFormat="1" ht="11.25" x14ac:dyDescent="0.2">
      <c r="A324" s="11">
        <v>43410</v>
      </c>
      <c r="B324" s="380">
        <f>'2022'!Maxi_hp</f>
        <v>26.845351396055356</v>
      </c>
      <c r="C324" s="13">
        <f>'2022'!An_max</f>
        <v>2022</v>
      </c>
      <c r="D324" s="1061"/>
      <c r="E324" s="13"/>
      <c r="F324" s="13">
        <f t="shared" si="128"/>
        <v>23</v>
      </c>
      <c r="G324" s="13">
        <f t="shared" si="112"/>
        <v>24</v>
      </c>
      <c r="H324" s="173">
        <f t="shared" si="113"/>
        <v>43402</v>
      </c>
      <c r="I324" s="752">
        <f t="shared" si="114"/>
        <v>0.5714285714285714</v>
      </c>
      <c r="J324" s="745">
        <f t="shared" si="115"/>
        <v>26.675218657563839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4">
        <v>43410</v>
      </c>
      <c r="AP324" s="13">
        <f t="shared" si="116"/>
        <v>13</v>
      </c>
      <c r="AQ324" s="13">
        <f t="shared" si="117"/>
        <v>12</v>
      </c>
      <c r="AR324" s="173">
        <f t="shared" si="118"/>
        <v>43416</v>
      </c>
      <c r="AS324" s="752">
        <f t="shared" si="119"/>
        <v>0.21428571428571427</v>
      </c>
      <c r="AT324" s="768">
        <f t="shared" si="120"/>
        <v>26.574908891852413</v>
      </c>
      <c r="AU324" s="13">
        <f t="shared" si="121"/>
        <v>13</v>
      </c>
      <c r="AV324" s="13">
        <f t="shared" si="122"/>
        <v>12</v>
      </c>
      <c r="AW324" s="173">
        <f t="shared" si="123"/>
        <v>43430</v>
      </c>
      <c r="AX324" s="752">
        <f t="shared" si="124"/>
        <v>0.7142857142857143</v>
      </c>
      <c r="AY324" s="768">
        <f t="shared" si="125"/>
        <v>26.691253645292353</v>
      </c>
      <c r="AZ324" s="745">
        <f t="shared" si="129"/>
        <v>26.633081268572383</v>
      </c>
      <c r="BA324" s="642">
        <f t="shared" si="126"/>
        <v>1.0063779322927229</v>
      </c>
      <c r="BC324" s="11">
        <v>43410</v>
      </c>
      <c r="BD324" s="290">
        <f>[2]!FeuilCaduc*(1-Persistant)+Persistant</f>
        <v>0.81695351470812749</v>
      </c>
      <c r="BE324" s="291">
        <f>[2]!CroissVégét</f>
        <v>0.99814098663615436</v>
      </c>
      <c r="BF324" s="815">
        <f>1+[2]!Salcycl*Ksac</f>
        <v>1.0194922524513546</v>
      </c>
      <c r="BH324" s="1052">
        <f t="shared" si="127"/>
        <v>2.4029759993197022E-2</v>
      </c>
      <c r="BI324" s="11">
        <v>44506</v>
      </c>
      <c r="BJ324" s="725">
        <v>8.0383192494706598E-3</v>
      </c>
      <c r="BK324" s="725">
        <v>1.1665214685968915E-2</v>
      </c>
      <c r="BL324" s="725">
        <v>1.57868282863592E-2</v>
      </c>
      <c r="BM324" s="725">
        <v>2.1432171825943494E-2</v>
      </c>
      <c r="BN324" s="725">
        <v>2.7937689045102816E-2</v>
      </c>
      <c r="BO324" s="726">
        <v>3.5390080381475938E-2</v>
      </c>
      <c r="BP324" s="725">
        <v>4.3904533324934672E-2</v>
      </c>
      <c r="BQ324" s="725">
        <v>5.3499664256015607E-2</v>
      </c>
      <c r="BR324" s="725">
        <v>6.4717447708211792E-2</v>
      </c>
      <c r="BS324" s="725">
        <v>7.7357599875124958E-2</v>
      </c>
      <c r="BT324" s="725">
        <v>9.1500725217325843E-2</v>
      </c>
      <c r="BW324" s="1189">
        <f>'2018'!R\Max</f>
        <v>0.67827453417187122</v>
      </c>
      <c r="BX324" s="1187">
        <f>'2019'!R\Max</f>
        <v>0.48530237332364151</v>
      </c>
      <c r="BY324" s="1187">
        <f>'2020'!R\Max</f>
        <v>0.82131145626702018</v>
      </c>
      <c r="BZ324" s="1187">
        <f>'2021'!R\Max</f>
        <v>0.4905222450096981</v>
      </c>
      <c r="CA324" s="1187">
        <f>'2022'!R\Max</f>
        <v>1.0063779322927229</v>
      </c>
      <c r="CB324" s="1187">
        <f>'2023'!R\Max</f>
        <v>1.0063779322927229</v>
      </c>
      <c r="CC324" s="1187">
        <f>'2024'!R\Max</f>
        <v>1.0063779322927229</v>
      </c>
      <c r="CD324" s="1187">
        <f>'2025'!R\Max</f>
        <v>1.0063779322927229</v>
      </c>
      <c r="CE324" s="1187">
        <f>'2026'!R\Max</f>
        <v>1.0063779322927229</v>
      </c>
      <c r="CF324" s="1188">
        <f>'2027'!R\Max</f>
        <v>1.0063779322927231</v>
      </c>
    </row>
    <row r="325" spans="1:84" s="6" customFormat="1" ht="11.25" x14ac:dyDescent="0.2">
      <c r="A325" s="11">
        <v>43411</v>
      </c>
      <c r="B325" s="380">
        <f>'2022'!Maxi_hp</f>
        <v>24.589985163206897</v>
      </c>
      <c r="C325" s="13">
        <f>'2022'!An_max</f>
        <v>2022</v>
      </c>
      <c r="D325" s="1061"/>
      <c r="E325" s="13"/>
      <c r="F325" s="13">
        <f t="shared" si="128"/>
        <v>23</v>
      </c>
      <c r="G325" s="13">
        <f t="shared" si="112"/>
        <v>24</v>
      </c>
      <c r="H325" s="173">
        <f t="shared" si="113"/>
        <v>43402</v>
      </c>
      <c r="I325" s="752">
        <f t="shared" si="114"/>
        <v>0.6428571428571429</v>
      </c>
      <c r="J325" s="745">
        <f t="shared" si="115"/>
        <v>26.348560494370759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4">
        <v>43411</v>
      </c>
      <c r="AP325" s="13">
        <f t="shared" si="116"/>
        <v>13</v>
      </c>
      <c r="AQ325" s="13">
        <f t="shared" si="117"/>
        <v>12</v>
      </c>
      <c r="AR325" s="173">
        <f t="shared" si="118"/>
        <v>43416</v>
      </c>
      <c r="AS325" s="752">
        <f t="shared" si="119"/>
        <v>0.17857142857142858</v>
      </c>
      <c r="AT325" s="768">
        <f t="shared" si="120"/>
        <v>26.261563865920266</v>
      </c>
      <c r="AU325" s="13">
        <f t="shared" si="121"/>
        <v>13</v>
      </c>
      <c r="AV325" s="13">
        <f t="shared" si="122"/>
        <v>12</v>
      </c>
      <c r="AW325" s="173">
        <f t="shared" si="123"/>
        <v>43430</v>
      </c>
      <c r="AX325" s="752">
        <f t="shared" si="124"/>
        <v>0.6785714285714286</v>
      </c>
      <c r="AY325" s="768">
        <f t="shared" si="125"/>
        <v>26.358441144627118</v>
      </c>
      <c r="AZ325" s="745">
        <f t="shared" si="129"/>
        <v>26.310002505273694</v>
      </c>
      <c r="BA325" s="642">
        <f t="shared" si="126"/>
        <v>0.93325725207873989</v>
      </c>
      <c r="BC325" s="11">
        <v>43411</v>
      </c>
      <c r="BD325" s="290">
        <f>[2]!FeuilCaduc*(1-Persistant)+Persistant</f>
        <v>0.8126942106605668</v>
      </c>
      <c r="BE325" s="291">
        <f>[2]!CroissVégét</f>
        <v>0.99822898609149657</v>
      </c>
      <c r="BF325" s="815">
        <f>1+[2]!Salcycl*Ksac</f>
        <v>1.0187823684434278</v>
      </c>
      <c r="BH325" s="1052">
        <f t="shared" si="127"/>
        <v>2.3847988282440776E-2</v>
      </c>
      <c r="BI325" s="11">
        <v>44507</v>
      </c>
      <c r="BJ325" s="725">
        <v>8.164421122997893E-3</v>
      </c>
      <c r="BK325" s="725">
        <v>1.1774818182095055E-2</v>
      </c>
      <c r="BL325" s="725">
        <v>1.5842936111016566E-2</v>
      </c>
      <c r="BM325" s="725">
        <v>2.1372374365269807E-2</v>
      </c>
      <c r="BN325" s="725">
        <v>2.7572413759187439E-2</v>
      </c>
      <c r="BO325" s="726">
        <v>3.4694130316277168E-2</v>
      </c>
      <c r="BP325" s="725">
        <v>4.2788399291883022E-2</v>
      </c>
      <c r="BQ325" s="725">
        <v>5.208568541717723E-2</v>
      </c>
      <c r="BR325" s="725">
        <v>6.3079027337843541E-2</v>
      </c>
      <c r="BS325" s="725">
        <v>7.5693291471205792E-2</v>
      </c>
      <c r="BT325" s="725">
        <v>8.992118001101912E-2</v>
      </c>
      <c r="BW325" s="1189">
        <f>'2018'!R\Max</f>
        <v>0.37709794184070217</v>
      </c>
      <c r="BX325" s="1187">
        <f>'2019'!R\Max</f>
        <v>0.16580349289158389</v>
      </c>
      <c r="BY325" s="1187">
        <f>'2020'!R\Max</f>
        <v>0.54404891175157188</v>
      </c>
      <c r="BZ325" s="1187">
        <f>'2021'!R\Max</f>
        <v>0.3210742776444902</v>
      </c>
      <c r="CA325" s="1187">
        <f>'2022'!R\Max</f>
        <v>0.93325725207873989</v>
      </c>
      <c r="CB325" s="1187">
        <f>'2023'!R\Max</f>
        <v>0.93320114930985953</v>
      </c>
      <c r="CC325" s="1187">
        <f>'2024'!R\Max</f>
        <v>0.93314083556333927</v>
      </c>
      <c r="CD325" s="1187">
        <f>'2025'!R\Max</f>
        <v>0.93345981284461244</v>
      </c>
      <c r="CE325" s="1187">
        <f>'2026'!R\Max</f>
        <v>0.9334141806813252</v>
      </c>
      <c r="CF325" s="1188">
        <f>'2027'!R\Max</f>
        <v>0.93336497984050304</v>
      </c>
    </row>
    <row r="326" spans="1:84" s="6" customFormat="1" ht="11.25" x14ac:dyDescent="0.2">
      <c r="A326" s="11">
        <v>43412</v>
      </c>
      <c r="B326" s="380">
        <f>'2022'!Maxi_hp</f>
        <v>19.495056583324676</v>
      </c>
      <c r="C326" s="13">
        <f>'2022'!An_max</f>
        <v>2021</v>
      </c>
      <c r="D326" s="1061"/>
      <c r="E326" s="13"/>
      <c r="F326" s="13">
        <f t="shared" si="128"/>
        <v>23</v>
      </c>
      <c r="G326" s="13">
        <f t="shared" si="112"/>
        <v>24</v>
      </c>
      <c r="H326" s="173">
        <f t="shared" si="113"/>
        <v>43402</v>
      </c>
      <c r="I326" s="752">
        <f t="shared" si="114"/>
        <v>0.7142857142857143</v>
      </c>
      <c r="J326" s="745">
        <f t="shared" si="115"/>
        <v>26.026822156352655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4">
        <v>43412</v>
      </c>
      <c r="AP326" s="13">
        <f t="shared" si="116"/>
        <v>13</v>
      </c>
      <c r="AQ326" s="13">
        <f t="shared" si="117"/>
        <v>12</v>
      </c>
      <c r="AR326" s="173">
        <f t="shared" si="118"/>
        <v>43416</v>
      </c>
      <c r="AS326" s="752">
        <f t="shared" si="119"/>
        <v>0.14285714285714285</v>
      </c>
      <c r="AT326" s="768">
        <f t="shared" si="120"/>
        <v>25.954810496153577</v>
      </c>
      <c r="AU326" s="13">
        <f t="shared" si="121"/>
        <v>13</v>
      </c>
      <c r="AV326" s="13">
        <f t="shared" si="122"/>
        <v>12</v>
      </c>
      <c r="AW326" s="173">
        <f t="shared" si="123"/>
        <v>43430</v>
      </c>
      <c r="AX326" s="752">
        <f t="shared" si="124"/>
        <v>0.6428571428571429</v>
      </c>
      <c r="AY326" s="768">
        <f t="shared" si="125"/>
        <v>26.028644315632327</v>
      </c>
      <c r="AZ326" s="745">
        <f t="shared" si="129"/>
        <v>25.991727405892952</v>
      </c>
      <c r="BA326" s="642">
        <f t="shared" si="126"/>
        <v>0.74903714584172931</v>
      </c>
      <c r="BC326" s="11">
        <v>43412</v>
      </c>
      <c r="BD326" s="290">
        <f>[2]!FeuilCaduc*(1-Persistant)+Persistant</f>
        <v>0.80847028953952005</v>
      </c>
      <c r="BE326" s="291">
        <f>[2]!CroissVégét</f>
        <v>0.99831345700622864</v>
      </c>
      <c r="BF326" s="815">
        <f>1+[2]!Salcycl*Ksac</f>
        <v>1.0180783815899199</v>
      </c>
      <c r="BH326" s="1052">
        <f t="shared" si="127"/>
        <v>2.3585097306649934E-2</v>
      </c>
      <c r="BI326" s="11">
        <v>44508</v>
      </c>
      <c r="BJ326" s="725">
        <v>8.2596308561787742E-3</v>
      </c>
      <c r="BK326" s="725">
        <v>1.1837405643900643E-2</v>
      </c>
      <c r="BL326" s="725">
        <v>1.5837724873795575E-2</v>
      </c>
      <c r="BM326" s="725">
        <v>2.1229870661870168E-2</v>
      </c>
      <c r="BN326" s="725">
        <v>2.7128406729209034E-2</v>
      </c>
      <c r="BO326" s="726">
        <v>3.3929664813168503E-2</v>
      </c>
      <c r="BP326" s="725">
        <v>4.1636784253858639E-2</v>
      </c>
      <c r="BQ326" s="725">
        <v>5.0659001629174014E-2</v>
      </c>
      <c r="BR326" s="725">
        <v>6.1453166532463674E-2</v>
      </c>
      <c r="BS326" s="725">
        <v>7.4064998479842631E-2</v>
      </c>
      <c r="BT326" s="725">
        <v>8.8403095247755692E-2</v>
      </c>
      <c r="BW326" s="1189">
        <f>'2018'!R\Max</f>
        <v>0.51589668416272816</v>
      </c>
      <c r="BX326" s="1187">
        <f>'2019'!R\Max</f>
        <v>0.49443594568158561</v>
      </c>
      <c r="BY326" s="1187">
        <f>'2020'!R\Max</f>
        <v>0.21920066460856555</v>
      </c>
      <c r="BZ326" s="1187">
        <f>'2021'!R\Max</f>
        <v>0.74903714584172931</v>
      </c>
      <c r="CA326" s="1187">
        <f>'2022'!R\Max</f>
        <v>0.69754767065979462</v>
      </c>
      <c r="CB326" s="1187">
        <f>'2023'!R\Max</f>
        <v>0.6973655031233631</v>
      </c>
      <c r="CC326" s="1187">
        <f>'2024'!R\Max</f>
        <v>0.69716775946685483</v>
      </c>
      <c r="CD326" s="1187">
        <f>'2025'!R\Max</f>
        <v>0.69820720899859379</v>
      </c>
      <c r="CE326" s="1187">
        <f>'2026'!R\Max</f>
        <v>0.69805864142848373</v>
      </c>
      <c r="CF326" s="1188">
        <f>'2027'!R\Max</f>
        <v>0.69789820163550997</v>
      </c>
    </row>
    <row r="327" spans="1:84" s="6" customFormat="1" ht="11.25" x14ac:dyDescent="0.2">
      <c r="A327" s="11">
        <v>43413</v>
      </c>
      <c r="B327" s="380">
        <f>'2022'!Maxi_hp</f>
        <v>19.997041581744018</v>
      </c>
      <c r="C327" s="13">
        <f>'2022'!An_max</f>
        <v>2020</v>
      </c>
      <c r="D327" s="1061"/>
      <c r="E327" s="13"/>
      <c r="F327" s="13">
        <f t="shared" si="128"/>
        <v>23</v>
      </c>
      <c r="G327" s="13">
        <f t="shared" si="112"/>
        <v>24</v>
      </c>
      <c r="H327" s="173">
        <f t="shared" si="113"/>
        <v>43402</v>
      </c>
      <c r="I327" s="752">
        <f t="shared" si="114"/>
        <v>0.7857142857142857</v>
      </c>
      <c r="J327" s="745">
        <f t="shared" si="115"/>
        <v>25.710550290239713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4">
        <v>43413</v>
      </c>
      <c r="AP327" s="13">
        <f t="shared" si="116"/>
        <v>13</v>
      </c>
      <c r="AQ327" s="13">
        <f t="shared" si="117"/>
        <v>12</v>
      </c>
      <c r="AR327" s="173">
        <f t="shared" si="118"/>
        <v>43416</v>
      </c>
      <c r="AS327" s="752">
        <f t="shared" si="119"/>
        <v>0.10714285714285714</v>
      </c>
      <c r="AT327" s="768">
        <f t="shared" si="120"/>
        <v>25.654963101592976</v>
      </c>
      <c r="AU327" s="13">
        <f t="shared" si="121"/>
        <v>13</v>
      </c>
      <c r="AV327" s="13">
        <f t="shared" si="122"/>
        <v>12</v>
      </c>
      <c r="AW327" s="173">
        <f t="shared" si="123"/>
        <v>43430</v>
      </c>
      <c r="AX327" s="752">
        <f t="shared" si="124"/>
        <v>0.6071428571428571</v>
      </c>
      <c r="AY327" s="768">
        <f t="shared" si="125"/>
        <v>25.702382471026588</v>
      </c>
      <c r="AZ327" s="745">
        <f t="shared" si="129"/>
        <v>25.678672786309782</v>
      </c>
      <c r="BA327" s="642">
        <f t="shared" si="126"/>
        <v>0.77777571292728542</v>
      </c>
      <c r="BC327" s="11">
        <v>43413</v>
      </c>
      <c r="BD327" s="290">
        <f>[2]!FeuilCaduc*(1-Persistant)+Persistant</f>
        <v>0.80428791534073807</v>
      </c>
      <c r="BE327" s="291">
        <f>[2]!CroissVégét</f>
        <v>0.99839454030316765</v>
      </c>
      <c r="BF327" s="815">
        <f>1+[2]!Salcycl*Ksac</f>
        <v>1.0173813192234564</v>
      </c>
      <c r="BH327" s="1052">
        <f t="shared" si="127"/>
        <v>2.3240961396382667E-2</v>
      </c>
      <c r="BI327" s="11">
        <v>44509</v>
      </c>
      <c r="BJ327" s="725">
        <v>8.3238972303703012E-3</v>
      </c>
      <c r="BK327" s="725">
        <v>1.1852901469457279E-2</v>
      </c>
      <c r="BL327" s="725">
        <v>1.5771097397291069E-2</v>
      </c>
      <c r="BM327" s="725">
        <v>2.1004532544490532E-2</v>
      </c>
      <c r="BN327" s="725">
        <v>2.6605546049565134E-2</v>
      </c>
      <c r="BO327" s="726">
        <v>3.3096576261545455E-2</v>
      </c>
      <c r="BP327" s="725">
        <v>4.0449626348706601E-2</v>
      </c>
      <c r="BQ327" s="725">
        <v>4.9219579402468322E-2</v>
      </c>
      <c r="BR327" s="725">
        <v>5.9839860392446008E-2</v>
      </c>
      <c r="BS327" s="725">
        <v>7.2472736467155699E-2</v>
      </c>
      <c r="BT327" s="725">
        <v>8.6946505787173556E-2</v>
      </c>
      <c r="BW327" s="1189">
        <f>'2018'!R\Max</f>
        <v>0.21242306727143709</v>
      </c>
      <c r="BX327" s="1187">
        <f>'2019'!R\Max</f>
        <v>0.65476472763525717</v>
      </c>
      <c r="BY327" s="1187">
        <f>'2020'!R\Max</f>
        <v>0.77777571292728542</v>
      </c>
      <c r="BZ327" s="1187">
        <f>'2021'!R\Max</f>
        <v>0.66785906989354227</v>
      </c>
      <c r="CA327" s="1187">
        <f>'2022'!R\Max</f>
        <v>0.37751065639559722</v>
      </c>
      <c r="CB327" s="1187">
        <f>'2023'!R\Max</f>
        <v>0.37731576777579079</v>
      </c>
      <c r="CC327" s="1187">
        <f>'2024'!R\Max</f>
        <v>0.37710219996255029</v>
      </c>
      <c r="CD327" s="1187">
        <f>'2025'!R\Max</f>
        <v>0.37821692410645436</v>
      </c>
      <c r="CE327" s="1187">
        <f>'2026'!R\Max</f>
        <v>0.37805801290596769</v>
      </c>
      <c r="CF327" s="1188">
        <f>'2027'!R\Max</f>
        <v>0.37788603568808221</v>
      </c>
    </row>
    <row r="328" spans="1:84" s="6" customFormat="1" ht="11.25" x14ac:dyDescent="0.2">
      <c r="A328" s="11">
        <v>43414</v>
      </c>
      <c r="B328" s="380">
        <f>'2022'!Maxi_hp</f>
        <v>20.599757890321698</v>
      </c>
      <c r="C328" s="13">
        <f>'2022'!An_max</f>
        <v>2022</v>
      </c>
      <c r="D328" s="1061"/>
      <c r="E328" s="13"/>
      <c r="F328" s="13">
        <f t="shared" si="128"/>
        <v>23</v>
      </c>
      <c r="G328" s="13">
        <f t="shared" si="112"/>
        <v>24</v>
      </c>
      <c r="H328" s="173">
        <f t="shared" si="113"/>
        <v>43402</v>
      </c>
      <c r="I328" s="752">
        <f t="shared" si="114"/>
        <v>0.8571428571428571</v>
      </c>
      <c r="J328" s="745">
        <f t="shared" si="115"/>
        <v>25.400291544198989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4">
        <v>43414</v>
      </c>
      <c r="AP328" s="13">
        <f t="shared" si="116"/>
        <v>13</v>
      </c>
      <c r="AQ328" s="13">
        <f t="shared" si="117"/>
        <v>12</v>
      </c>
      <c r="AR328" s="173">
        <f t="shared" si="118"/>
        <v>43416</v>
      </c>
      <c r="AS328" s="752">
        <f t="shared" si="119"/>
        <v>7.1428571428571425E-2</v>
      </c>
      <c r="AT328" s="768">
        <f t="shared" si="120"/>
        <v>25.362336005589793</v>
      </c>
      <c r="AU328" s="13">
        <f t="shared" si="121"/>
        <v>13</v>
      </c>
      <c r="AV328" s="13">
        <f t="shared" si="122"/>
        <v>12</v>
      </c>
      <c r="AW328" s="173">
        <f t="shared" si="123"/>
        <v>43430</v>
      </c>
      <c r="AX328" s="752">
        <f t="shared" si="124"/>
        <v>0.5714285714285714</v>
      </c>
      <c r="AY328" s="768">
        <f t="shared" si="125"/>
        <v>25.38017492783921</v>
      </c>
      <c r="AZ328" s="745">
        <f t="shared" si="129"/>
        <v>25.371255466714501</v>
      </c>
      <c r="BA328" s="642">
        <f t="shared" si="126"/>
        <v>0.81100478136150944</v>
      </c>
      <c r="BC328" s="11">
        <v>43414</v>
      </c>
      <c r="BD328" s="290">
        <f>[2]!FeuilCaduc*(1-Persistant)+Persistant</f>
        <v>0.80015312675433747</v>
      </c>
      <c r="BE328" s="291">
        <f>[2]!CroissVégét</f>
        <v>0.99847237132123801</v>
      </c>
      <c r="BF328" s="815">
        <f>1+[2]!Salcycl*Ksac</f>
        <v>1.0166921877923896</v>
      </c>
      <c r="BH328" s="1052">
        <f t="shared" si="127"/>
        <v>2.28154594472126E-2</v>
      </c>
      <c r="BI328" s="11">
        <v>44510</v>
      </c>
      <c r="BJ328" s="725">
        <v>8.3571700553148106E-3</v>
      </c>
      <c r="BK328" s="725">
        <v>1.1821231919808446E-2</v>
      </c>
      <c r="BL328" s="725">
        <v>1.5642959249614983E-2</v>
      </c>
      <c r="BM328" s="725">
        <v>2.0696236036626011E-2</v>
      </c>
      <c r="BN328" s="725">
        <v>2.6003714936714099E-2</v>
      </c>
      <c r="BO328" s="726">
        <v>3.2194762894887978E-2</v>
      </c>
      <c r="BP328" s="725">
        <v>3.9226869517180046E-2</v>
      </c>
      <c r="BQ328" s="725">
        <v>4.7767391056683366E-2</v>
      </c>
      <c r="BR328" s="725">
        <v>5.8239109450723775E-2</v>
      </c>
      <c r="BS328" s="725">
        <v>7.0916525423250956E-2</v>
      </c>
      <c r="BT328" s="725">
        <v>8.5551449410020353E-2</v>
      </c>
      <c r="BW328" s="1189">
        <f>'2018'!R\Max</f>
        <v>0.67558747961331322</v>
      </c>
      <c r="BX328" s="1187">
        <f>'2019'!R\Max</f>
        <v>0.63186895892762307</v>
      </c>
      <c r="BY328" s="1187">
        <f>'2020'!R\Max</f>
        <v>0.56403744148164225</v>
      </c>
      <c r="BZ328" s="1187">
        <f>'2021'!R\Max</f>
        <v>0.26805546678850911</v>
      </c>
      <c r="CA328" s="1187">
        <f>'2022'!R\Max</f>
        <v>0.81100478136150944</v>
      </c>
      <c r="CB328" s="1187">
        <f>'2023'!R\Max</f>
        <v>0.81088232663172477</v>
      </c>
      <c r="CC328" s="1187">
        <f>'2024'!R\Max</f>
        <v>0.81074670840961838</v>
      </c>
      <c r="CD328" s="1187">
        <f>'2025'!R\Max</f>
        <v>0.81144665544846217</v>
      </c>
      <c r="CE328" s="1187">
        <f>'2026'!R\Max</f>
        <v>0.81134765993352964</v>
      </c>
      <c r="CF328" s="1188">
        <f>'2027'!R\Max</f>
        <v>0.81124010310380168</v>
      </c>
    </row>
    <row r="329" spans="1:84" s="6" customFormat="1" ht="11.25" x14ac:dyDescent="0.2">
      <c r="A329" s="11">
        <v>43415</v>
      </c>
      <c r="B329" s="380">
        <f>'2022'!Maxi_hp</f>
        <v>24.283857705255858</v>
      </c>
      <c r="C329" s="13">
        <f>'2022'!An_max</f>
        <v>2022</v>
      </c>
      <c r="D329" s="1061"/>
      <c r="E329" s="13"/>
      <c r="F329" s="13">
        <f t="shared" si="128"/>
        <v>23</v>
      </c>
      <c r="G329" s="13">
        <f t="shared" si="112"/>
        <v>24</v>
      </c>
      <c r="H329" s="173">
        <f t="shared" si="113"/>
        <v>43402</v>
      </c>
      <c r="I329" s="752">
        <f t="shared" si="114"/>
        <v>0.9285714285714286</v>
      </c>
      <c r="J329" s="745">
        <f t="shared" si="115"/>
        <v>25.09659256413579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4">
        <v>43415</v>
      </c>
      <c r="AP329" s="13">
        <f t="shared" si="116"/>
        <v>13</v>
      </c>
      <c r="AQ329" s="13">
        <f t="shared" si="117"/>
        <v>12</v>
      </c>
      <c r="AR329" s="173">
        <f t="shared" si="118"/>
        <v>43416</v>
      </c>
      <c r="AS329" s="752">
        <f t="shared" si="119"/>
        <v>3.5714285714285712E-2</v>
      </c>
      <c r="AT329" s="768">
        <f t="shared" si="120"/>
        <v>25.077243530258006</v>
      </c>
      <c r="AU329" s="13">
        <f t="shared" si="121"/>
        <v>13</v>
      </c>
      <c r="AV329" s="13">
        <f t="shared" si="122"/>
        <v>12</v>
      </c>
      <c r="AW329" s="173">
        <f t="shared" si="123"/>
        <v>43430</v>
      </c>
      <c r="AX329" s="752">
        <f t="shared" si="124"/>
        <v>0.5357142857142857</v>
      </c>
      <c r="AY329" s="768">
        <f t="shared" si="125"/>
        <v>25.062540999946314</v>
      </c>
      <c r="AZ329" s="745">
        <f t="shared" si="129"/>
        <v>25.069892265102162</v>
      </c>
      <c r="BA329" s="642">
        <f t="shared" si="126"/>
        <v>0.96761572883637725</v>
      </c>
      <c r="BC329" s="11">
        <v>43415</v>
      </c>
      <c r="BD329" s="290">
        <f>[2]!FeuilCaduc*(1-Persistant)+Persistant</f>
        <v>0.7960718091777319</v>
      </c>
      <c r="BE329" s="291">
        <f>[2]!CroissVégét</f>
        <v>0.99854708003323223</v>
      </c>
      <c r="BF329" s="815">
        <f>1+[2]!Salcycl*Ksac</f>
        <v>1.0160119681962887</v>
      </c>
      <c r="BH329" s="1052">
        <f t="shared" si="127"/>
        <v>2.2308475660740248E-2</v>
      </c>
      <c r="BI329" s="11">
        <v>44511</v>
      </c>
      <c r="BJ329" s="725">
        <v>8.359400453021696E-3</v>
      </c>
      <c r="BK329" s="725">
        <v>1.1742325550377372E-2</v>
      </c>
      <c r="BL329" s="725">
        <v>1.5453219306290258E-2</v>
      </c>
      <c r="BM329" s="725">
        <v>2.0304862113266101E-2</v>
      </c>
      <c r="BN329" s="725">
        <v>2.532280244651592E-2</v>
      </c>
      <c r="BO329" s="726">
        <v>3.1224129411173404E-2</v>
      </c>
      <c r="BP329" s="725">
        <v>3.796846381631442E-2</v>
      </c>
      <c r="BQ329" s="725">
        <v>4.6302414821976105E-2</v>
      </c>
      <c r="BR329" s="725">
        <v>5.6650919539836933E-2</v>
      </c>
      <c r="BS329" s="725">
        <v>6.9396389413080684E-2</v>
      </c>
      <c r="BT329" s="725">
        <v>8.421796623539847E-2</v>
      </c>
      <c r="BW329" s="1189">
        <f>'2018'!R\Max</f>
        <v>0.79022199968097262</v>
      </c>
      <c r="BX329" s="1187">
        <f>'2019'!R\Max</f>
        <v>0.794880433777995</v>
      </c>
      <c r="BY329" s="1187">
        <f>'2020'!R\Max</f>
        <v>0.4230304524623239</v>
      </c>
      <c r="BZ329" s="1187">
        <f>'2021'!R\Max</f>
        <v>0.47287636402617078</v>
      </c>
      <c r="CA329" s="1187">
        <f>'2022'!R\Max</f>
        <v>0.96761572883637725</v>
      </c>
      <c r="CB329" s="1187">
        <f>'2023'!R\Max</f>
        <v>0.96759155103259609</v>
      </c>
      <c r="CC329" s="1187">
        <f>'2024'!R\Max</f>
        <v>0.96756451281302558</v>
      </c>
      <c r="CD329" s="1187">
        <f>'2025'!R\Max</f>
        <v>0.96770246379952696</v>
      </c>
      <c r="CE329" s="1187">
        <f>'2026'!R\Max</f>
        <v>0.96768313372161763</v>
      </c>
      <c r="CF329" s="1188">
        <f>'2027'!R\Max</f>
        <v>0.96766204017585467</v>
      </c>
    </row>
    <row r="330" spans="1:84" s="6" customFormat="1" ht="11.25" x14ac:dyDescent="0.2">
      <c r="A330" s="11">
        <v>43416</v>
      </c>
      <c r="B330" s="380">
        <f>'2022'!Maxi_hp</f>
        <v>24.059269183157991</v>
      </c>
      <c r="C330" s="13">
        <f>'2022'!An_max</f>
        <v>2022</v>
      </c>
      <c r="D330" s="1061"/>
      <c r="E330" s="1056">
        <f>AJ$13/10</f>
        <v>24.8</v>
      </c>
      <c r="F330" s="13">
        <f t="shared" si="128"/>
        <v>25</v>
      </c>
      <c r="G330" s="13">
        <f t="shared" si="112"/>
        <v>24</v>
      </c>
      <c r="H330" s="173">
        <f t="shared" si="113"/>
        <v>43430</v>
      </c>
      <c r="I330" s="752">
        <f t="shared" si="114"/>
        <v>1</v>
      </c>
      <c r="J330" s="745">
        <f t="shared" si="115"/>
        <v>24.799999998509882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4">
        <v>43416</v>
      </c>
      <c r="AP330" s="13">
        <f t="shared" si="116"/>
        <v>13</v>
      </c>
      <c r="AQ330" s="13">
        <f t="shared" si="117"/>
        <v>14</v>
      </c>
      <c r="AR330" s="173">
        <f t="shared" si="118"/>
        <v>43416</v>
      </c>
      <c r="AS330" s="752">
        <f t="shared" si="119"/>
        <v>0</v>
      </c>
      <c r="AT330" s="768">
        <f t="shared" si="120"/>
        <v>24.799999999254943</v>
      </c>
      <c r="AU330" s="13">
        <f t="shared" si="121"/>
        <v>13</v>
      </c>
      <c r="AV330" s="13">
        <f t="shared" si="122"/>
        <v>12</v>
      </c>
      <c r="AW330" s="173">
        <f t="shared" si="123"/>
        <v>43430</v>
      </c>
      <c r="AX330" s="752">
        <f t="shared" si="124"/>
        <v>0.5</v>
      </c>
      <c r="AY330" s="768">
        <f t="shared" si="125"/>
        <v>24.75000000037253</v>
      </c>
      <c r="AZ330" s="745">
        <f t="shared" si="129"/>
        <v>24.774999999813737</v>
      </c>
      <c r="BA330" s="642">
        <f t="shared" si="126"/>
        <v>0.97013182195982262</v>
      </c>
      <c r="BC330" s="11">
        <v>43416</v>
      </c>
      <c r="BD330" s="290">
        <f>[2]!FeuilCaduc*(1-Persistant)+Persistant</f>
        <v>0.79204966751704176</v>
      </c>
      <c r="BE330" s="291">
        <f>[2]!CroissVégét</f>
        <v>0.99861879125535868</v>
      </c>
      <c r="BF330" s="815">
        <f>1+[2]!Salcycl*Ksac</f>
        <v>1.0153416112528404</v>
      </c>
      <c r="BH330" s="1052">
        <f t="shared" si="127"/>
        <v>2.1719900285892837E-2</v>
      </c>
      <c r="BI330" s="11">
        <v>44512</v>
      </c>
      <c r="BJ330" s="725">
        <v>8.3305411417538919E-3</v>
      </c>
      <c r="BK330" s="725">
        <v>1.1616113642523426E-2</v>
      </c>
      <c r="BL330" s="725">
        <v>1.5201790312341732E-2</v>
      </c>
      <c r="BM330" s="725">
        <v>1.983029745790112E-2</v>
      </c>
      <c r="BN330" s="725">
        <v>2.4562704191902256E-2</v>
      </c>
      <c r="BO330" s="726">
        <v>3.0184587593697847E-2</v>
      </c>
      <c r="BP330" s="725">
        <v>3.6674365733300344E-2</v>
      </c>
      <c r="BQ330" s="725">
        <v>4.482463494101728E-2</v>
      </c>
      <c r="BR330" s="725">
        <v>5.5075301659719043E-2</v>
      </c>
      <c r="BS330" s="725">
        <v>6.7912356228203241E-2</v>
      </c>
      <c r="BT330" s="725">
        <v>8.2946098139093011E-2</v>
      </c>
      <c r="BW330" s="1189">
        <f>'2018'!R\Max</f>
        <v>0.87687246868900104</v>
      </c>
      <c r="BX330" s="1187">
        <f>'2019'!R\Max</f>
        <v>0.69024638010160322</v>
      </c>
      <c r="BY330" s="1187">
        <f>'2020'!R\Max</f>
        <v>0.91616244603138353</v>
      </c>
      <c r="BZ330" s="1187">
        <f>'2021'!R\Max</f>
        <v>0.30352212157750946</v>
      </c>
      <c r="CA330" s="1187">
        <f>'2022'!R\Max</f>
        <v>0.97013182195982262</v>
      </c>
      <c r="CB330" s="1187">
        <f>'2023'!R\Max</f>
        <v>0.97011016271255002</v>
      </c>
      <c r="CC330" s="1187">
        <f>'2024'!R\Max</f>
        <v>0.9700857240132098</v>
      </c>
      <c r="CD330" s="1187">
        <f>'2025'!R\Max</f>
        <v>0.97020887942437595</v>
      </c>
      <c r="CE330" s="1187">
        <f>'2026'!R\Max</f>
        <v>0.97019182157188044</v>
      </c>
      <c r="CF330" s="1188">
        <f>'2027'!R\Max</f>
        <v>0.97017311222382885</v>
      </c>
    </row>
    <row r="331" spans="1:84" s="6" customFormat="1" ht="11.25" x14ac:dyDescent="0.2">
      <c r="A331" s="11">
        <v>43417</v>
      </c>
      <c r="B331" s="380">
        <f>'2022'!Maxi_hp</f>
        <v>24.534938344101679</v>
      </c>
      <c r="C331" s="13">
        <f>'2022'!An_max</f>
        <v>2020</v>
      </c>
      <c r="D331" s="1061"/>
      <c r="E331" s="13"/>
      <c r="F331" s="13">
        <f t="shared" si="128"/>
        <v>25</v>
      </c>
      <c r="G331" s="13">
        <f t="shared" si="112"/>
        <v>24</v>
      </c>
      <c r="H331" s="173">
        <f t="shared" si="113"/>
        <v>43430</v>
      </c>
      <c r="I331" s="752">
        <f t="shared" si="114"/>
        <v>0.9285714285714286</v>
      </c>
      <c r="J331" s="745">
        <f t="shared" si="115"/>
        <v>24.508272593255555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4">
        <v>43417</v>
      </c>
      <c r="AP331" s="13">
        <f t="shared" si="116"/>
        <v>13</v>
      </c>
      <c r="AQ331" s="13">
        <f t="shared" si="117"/>
        <v>14</v>
      </c>
      <c r="AR331" s="173">
        <f t="shared" si="118"/>
        <v>43416</v>
      </c>
      <c r="AS331" s="752">
        <f t="shared" si="119"/>
        <v>3.5714285714285712E-2</v>
      </c>
      <c r="AT331" s="768">
        <f t="shared" si="120"/>
        <v>24.527663429533796</v>
      </c>
      <c r="AU331" s="13">
        <f t="shared" si="121"/>
        <v>13</v>
      </c>
      <c r="AV331" s="13">
        <f t="shared" si="122"/>
        <v>12</v>
      </c>
      <c r="AW331" s="173">
        <f t="shared" si="123"/>
        <v>43430</v>
      </c>
      <c r="AX331" s="752">
        <f t="shared" si="124"/>
        <v>0.4642857142857143</v>
      </c>
      <c r="AY331" s="768">
        <f t="shared" si="125"/>
        <v>24.44307124746431</v>
      </c>
      <c r="AZ331" s="745">
        <f t="shared" si="129"/>
        <v>24.485367338499053</v>
      </c>
      <c r="BA331" s="642">
        <f t="shared" si="126"/>
        <v>1.0010880306127108</v>
      </c>
      <c r="BC331" s="11">
        <v>43417</v>
      </c>
      <c r="BD331" s="290">
        <f>[2]!FeuilCaduc*(1-Persistant)+Persistant</f>
        <v>0.78809219997056168</v>
      </c>
      <c r="BE331" s="291">
        <f>[2]!CroissVégét</f>
        <v>0.99868762484886009</v>
      </c>
      <c r="BF331" s="815">
        <f>1+[2]!Salcycl*Ksac</f>
        <v>1.014682033328427</v>
      </c>
      <c r="BH331" s="1052">
        <f t="shared" si="127"/>
        <v>2.1049630359871799E-2</v>
      </c>
      <c r="BI331" s="11">
        <v>44513</v>
      </c>
      <c r="BJ331" s="725">
        <v>8.270546719885136E-3</v>
      </c>
      <c r="BK331" s="725">
        <v>1.1442530634915807E-2</v>
      </c>
      <c r="BL331" s="725">
        <v>1.4888589444145327E-2</v>
      </c>
      <c r="BM331" s="725">
        <v>1.927243521920903E-2</v>
      </c>
      <c r="BN331" s="725">
        <v>2.3723323060145005E-2</v>
      </c>
      <c r="BO331" s="726">
        <v>2.9076056931400474E-2</v>
      </c>
      <c r="BP331" s="725">
        <v>3.5344538498750758E-2</v>
      </c>
      <c r="BQ331" s="725">
        <v>4.3334041770233672E-2</v>
      </c>
      <c r="BR331" s="725">
        <v>5.3512271844584257E-2</v>
      </c>
      <c r="BS331" s="725">
        <v>6.6464457037446634E-2</v>
      </c>
      <c r="BT331" s="725">
        <v>8.1735888170576518E-2</v>
      </c>
      <c r="BW331" s="1189">
        <f>'2018'!R\Max</f>
        <v>0.3214072767519503</v>
      </c>
      <c r="BX331" s="1187">
        <f>'2019'!R\Max</f>
        <v>0.74050196001028157</v>
      </c>
      <c r="BY331" s="1187">
        <f>'2020'!R\Max</f>
        <v>1.0010880306127108</v>
      </c>
      <c r="BZ331" s="1187">
        <f>'2021'!R\Max</f>
        <v>0.23492840768376644</v>
      </c>
      <c r="CA331" s="1187">
        <f>'2022'!R\Max</f>
        <v>0.9372997190137623</v>
      </c>
      <c r="CB331" s="1187">
        <f>'2023'!R\Max</f>
        <v>0.93725700122222211</v>
      </c>
      <c r="CC331" s="1187">
        <f>'2024'!R\Max</f>
        <v>0.93720840741199851</v>
      </c>
      <c r="CD331" s="1187">
        <f>'2025'!R\Max</f>
        <v>0.93744995806203235</v>
      </c>
      <c r="CE331" s="1187">
        <f>'2026'!R\Max</f>
        <v>0.93741699110574517</v>
      </c>
      <c r="CF331" s="1188">
        <f>'2027'!R\Max</f>
        <v>0.93738060915006327</v>
      </c>
    </row>
    <row r="332" spans="1:84" s="6" customFormat="1" ht="11.25" x14ac:dyDescent="0.2">
      <c r="A332" s="11">
        <v>43418</v>
      </c>
      <c r="B332" s="380">
        <f>'2022'!Maxi_hp</f>
        <v>18.564263652887913</v>
      </c>
      <c r="C332" s="13">
        <f>'2022'!An_max</f>
        <v>2020</v>
      </c>
      <c r="D332" s="1061"/>
      <c r="E332" s="13"/>
      <c r="F332" s="13">
        <f t="shared" si="128"/>
        <v>25</v>
      </c>
      <c r="G332" s="13">
        <f t="shared" si="112"/>
        <v>24</v>
      </c>
      <c r="H332" s="173">
        <f t="shared" si="113"/>
        <v>43430</v>
      </c>
      <c r="I332" s="752">
        <f t="shared" si="114"/>
        <v>0.8571428571428571</v>
      </c>
      <c r="J332" s="745">
        <f t="shared" si="115"/>
        <v>24.219241981421199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4">
        <v>43418</v>
      </c>
      <c r="AP332" s="13">
        <f t="shared" si="116"/>
        <v>13</v>
      </c>
      <c r="AQ332" s="13">
        <f t="shared" si="117"/>
        <v>14</v>
      </c>
      <c r="AR332" s="173">
        <f t="shared" si="118"/>
        <v>43416</v>
      </c>
      <c r="AS332" s="752">
        <f t="shared" si="119"/>
        <v>7.1428571428571425E-2</v>
      </c>
      <c r="AT332" s="768">
        <f t="shared" si="120"/>
        <v>24.257339634480221</v>
      </c>
      <c r="AU332" s="13">
        <f t="shared" si="121"/>
        <v>13</v>
      </c>
      <c r="AV332" s="13">
        <f t="shared" si="122"/>
        <v>12</v>
      </c>
      <c r="AW332" s="173">
        <f t="shared" si="123"/>
        <v>43430</v>
      </c>
      <c r="AX332" s="752">
        <f t="shared" si="124"/>
        <v>0.42857142857142855</v>
      </c>
      <c r="AY332" s="768">
        <f t="shared" si="125"/>
        <v>24.14227405211755</v>
      </c>
      <c r="AZ332" s="745">
        <f t="shared" si="129"/>
        <v>24.199806843298887</v>
      </c>
      <c r="BA332" s="642">
        <f t="shared" si="126"/>
        <v>0.76650886378395855</v>
      </c>
      <c r="BC332" s="11">
        <v>43418</v>
      </c>
      <c r="BD332" s="290">
        <f>[2]!FeuilCaduc*(1-Persistant)+Persistant</f>
        <v>0.78420467298096019</v>
      </c>
      <c r="BE332" s="291">
        <f>[2]!CroissVégét</f>
        <v>0.99875369591398344</v>
      </c>
      <c r="BF332" s="815">
        <f>1+[2]!Salcycl*Ksac</f>
        <v>1.0140341121634935</v>
      </c>
      <c r="BH332" s="1052">
        <f t="shared" si="127"/>
        <v>2.0310929327174786E-2</v>
      </c>
      <c r="BI332" s="11">
        <v>44514</v>
      </c>
      <c r="BJ332" s="725">
        <v>8.1735042350599869E-3</v>
      </c>
      <c r="BK332" s="725">
        <v>1.1217932224380139E-2</v>
      </c>
      <c r="BL332" s="725">
        <v>1.4513304122450769E-2</v>
      </c>
      <c r="BM332" s="725">
        <v>1.8640694058045099E-2</v>
      </c>
      <c r="BN332" s="725">
        <v>2.2823706762040784E-2</v>
      </c>
      <c r="BO332" s="726">
        <v>2.7925709811506674E-2</v>
      </c>
      <c r="BP332" s="725">
        <v>3.4008201589561214E-2</v>
      </c>
      <c r="BQ332" s="725">
        <v>4.1862324708078318E-2</v>
      </c>
      <c r="BR332" s="725">
        <v>5.1997711002604911E-2</v>
      </c>
      <c r="BS332" s="725">
        <v>6.5094183961805288E-2</v>
      </c>
      <c r="BT332" s="725">
        <v>8.0635625473828909E-2</v>
      </c>
      <c r="BW332" s="1189">
        <f>'2018'!R\Max</f>
        <v>0.70363075098509065</v>
      </c>
      <c r="BX332" s="1187">
        <f>'2019'!R\Max</f>
        <v>0.25702631689408889</v>
      </c>
      <c r="BY332" s="1187">
        <f>'2020'!R\Max</f>
        <v>0.76650886378395855</v>
      </c>
      <c r="BZ332" s="1187">
        <f>'2021'!R\Max</f>
        <v>0.26987946957048847</v>
      </c>
      <c r="CA332" s="1187">
        <f>'2022'!R\Max</f>
        <v>0.38039415210546274</v>
      </c>
      <c r="CB332" s="1187">
        <f>'2023'!R\Max</f>
        <v>0.38022683647187039</v>
      </c>
      <c r="CC332" s="1187">
        <f>'2024'!R\Max</f>
        <v>0.38003527769841516</v>
      </c>
      <c r="CD332" s="1187">
        <f>'2025'!R\Max</f>
        <v>0.38097530498208798</v>
      </c>
      <c r="CE332" s="1187">
        <f>'2026'!R\Max</f>
        <v>0.38084899205700107</v>
      </c>
      <c r="CF332" s="1188">
        <f>'2027'!R\Max</f>
        <v>0.38070869263560631</v>
      </c>
    </row>
    <row r="333" spans="1:84" s="6" customFormat="1" ht="11.25" x14ac:dyDescent="0.2">
      <c r="A333" s="11">
        <v>43419</v>
      </c>
      <c r="B333" s="380">
        <f>'2022'!Maxi_hp</f>
        <v>23.679818202153843</v>
      </c>
      <c r="C333" s="13">
        <f>'2022'!An_max</f>
        <v>2020</v>
      </c>
      <c r="D333" s="1061"/>
      <c r="E333" s="13"/>
      <c r="F333" s="13">
        <f t="shared" si="128"/>
        <v>25</v>
      </c>
      <c r="G333" s="13">
        <f t="shared" si="112"/>
        <v>24</v>
      </c>
      <c r="H333" s="173">
        <f t="shared" si="113"/>
        <v>43430</v>
      </c>
      <c r="I333" s="752">
        <f t="shared" si="114"/>
        <v>0.7857142857142857</v>
      </c>
      <c r="J333" s="745">
        <f t="shared" si="115"/>
        <v>23.933564139104316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4">
        <v>43419</v>
      </c>
      <c r="AP333" s="13">
        <f t="shared" si="116"/>
        <v>13</v>
      </c>
      <c r="AQ333" s="13">
        <f t="shared" si="117"/>
        <v>14</v>
      </c>
      <c r="AR333" s="173">
        <f t="shared" si="118"/>
        <v>43416</v>
      </c>
      <c r="AS333" s="752">
        <f t="shared" si="119"/>
        <v>0.10714285714285714</v>
      </c>
      <c r="AT333" s="768">
        <f t="shared" si="120"/>
        <v>23.989414632506669</v>
      </c>
      <c r="AU333" s="13">
        <f t="shared" si="121"/>
        <v>13</v>
      </c>
      <c r="AV333" s="13">
        <f t="shared" si="122"/>
        <v>12</v>
      </c>
      <c r="AW333" s="173">
        <f t="shared" si="123"/>
        <v>43430</v>
      </c>
      <c r="AX333" s="752">
        <f t="shared" si="124"/>
        <v>0.39285714285714285</v>
      </c>
      <c r="AY333" s="768">
        <f t="shared" si="125"/>
        <v>23.848127733782999</v>
      </c>
      <c r="AZ333" s="745">
        <f t="shared" si="129"/>
        <v>23.918771183144834</v>
      </c>
      <c r="BA333" s="642">
        <f t="shared" si="126"/>
        <v>0.98939790432065711</v>
      </c>
      <c r="BC333" s="11">
        <v>43419</v>
      </c>
      <c r="BD333" s="290">
        <f>[2]!FeuilCaduc*(1-Persistant)+Persistant</f>
        <v>0.78039209753433614</v>
      </c>
      <c r="BE333" s="291">
        <f>[2]!CroissVégét</f>
        <v>0.99881711497657366</v>
      </c>
      <c r="BF333" s="815">
        <f>1+[2]!Salcycl*Ksac</f>
        <v>1.0133986829223893</v>
      </c>
      <c r="BH333" s="1052">
        <f t="shared" si="127"/>
        <v>1.9567641729418276E-2</v>
      </c>
      <c r="BI333" s="11">
        <v>44515</v>
      </c>
      <c r="BJ333" s="725">
        <v>8.0620891485032528E-3</v>
      </c>
      <c r="BK333" s="725">
        <v>1.0973898841337605E-2</v>
      </c>
      <c r="BL333" s="725">
        <v>1.4117218867341269E-2</v>
      </c>
      <c r="BM333" s="725">
        <v>1.7997183488723444E-2</v>
      </c>
      <c r="BN333" s="725">
        <v>2.1930310092704356E-2</v>
      </c>
      <c r="BO333" s="726">
        <v>2.6798425968093596E-2</v>
      </c>
      <c r="BP333" s="725">
        <v>3.2711667068980953E-2</v>
      </c>
      <c r="BQ333" s="725">
        <v>4.0442673756114635E-2</v>
      </c>
      <c r="BR333" s="725">
        <v>5.0551063494899059E-2</v>
      </c>
      <c r="BS333" s="725">
        <v>6.3805435955940251E-2</v>
      </c>
      <c r="BT333" s="725">
        <v>7.9636880590039025E-2</v>
      </c>
      <c r="BW333" s="1189">
        <f>'2018'!R\Max</f>
        <v>0.64945219874044058</v>
      </c>
      <c r="BX333" s="1187">
        <f>'2019'!R\Max</f>
        <v>0.43876754582756444</v>
      </c>
      <c r="BY333" s="1187">
        <f>'2020'!R\Max</f>
        <v>0.98939790432065711</v>
      </c>
      <c r="BZ333" s="1187">
        <f>'2021'!R\Max</f>
        <v>0.21870603738404892</v>
      </c>
      <c r="CA333" s="1187">
        <f>'2022'!R\Max</f>
        <v>0.51908716327208371</v>
      </c>
      <c r="CB333" s="1187">
        <f>'2023'!R\Max</f>
        <v>0.51891366453903531</v>
      </c>
      <c r="CC333" s="1187">
        <f>'2024'!R\Max</f>
        <v>0.51871359058109667</v>
      </c>
      <c r="CD333" s="1187">
        <f>'2025'!R\Max</f>
        <v>0.51968064207179709</v>
      </c>
      <c r="CE333" s="1187">
        <f>'2026'!R\Max</f>
        <v>0.51955311530958825</v>
      </c>
      <c r="CF333" s="1188">
        <f>'2027'!R\Max</f>
        <v>0.51941040226831448</v>
      </c>
    </row>
    <row r="334" spans="1:84" s="6" customFormat="1" ht="11.25" x14ac:dyDescent="0.2">
      <c r="A334" s="11">
        <v>43420</v>
      </c>
      <c r="B334" s="380">
        <f>'2022'!Maxi_hp</f>
        <v>23.604229885509767</v>
      </c>
      <c r="C334" s="13">
        <f>'2022'!An_max</f>
        <v>2022</v>
      </c>
      <c r="D334" s="1061"/>
      <c r="E334" s="13"/>
      <c r="F334" s="13">
        <f t="shared" si="128"/>
        <v>25</v>
      </c>
      <c r="G334" s="13">
        <f t="shared" si="112"/>
        <v>24</v>
      </c>
      <c r="H334" s="173">
        <f t="shared" si="113"/>
        <v>43430</v>
      </c>
      <c r="I334" s="752">
        <f t="shared" si="114"/>
        <v>0.7142857142857143</v>
      </c>
      <c r="J334" s="745">
        <f t="shared" si="115"/>
        <v>23.651895043253898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4">
        <v>43420</v>
      </c>
      <c r="AP334" s="13">
        <f t="shared" si="116"/>
        <v>13</v>
      </c>
      <c r="AQ334" s="13">
        <f t="shared" si="117"/>
        <v>14</v>
      </c>
      <c r="AR334" s="173">
        <f t="shared" si="118"/>
        <v>43416</v>
      </c>
      <c r="AS334" s="752">
        <f t="shared" si="119"/>
        <v>0.14285714285714285</v>
      </c>
      <c r="AT334" s="768">
        <f t="shared" si="120"/>
        <v>23.724274443515711</v>
      </c>
      <c r="AU334" s="13">
        <f t="shared" si="121"/>
        <v>13</v>
      </c>
      <c r="AV334" s="13">
        <f t="shared" si="122"/>
        <v>12</v>
      </c>
      <c r="AW334" s="173">
        <f t="shared" si="123"/>
        <v>43430</v>
      </c>
      <c r="AX334" s="752">
        <f t="shared" si="124"/>
        <v>0.35714285714285715</v>
      </c>
      <c r="AY334" s="768">
        <f t="shared" si="125"/>
        <v>23.561151604008462</v>
      </c>
      <c r="AZ334" s="745">
        <f t="shared" si="129"/>
        <v>23.642713023762084</v>
      </c>
      <c r="BA334" s="642">
        <f t="shared" si="126"/>
        <v>0.99798472140786343</v>
      </c>
      <c r="BC334" s="11">
        <v>43420</v>
      </c>
      <c r="BD334" s="290">
        <f>[2]!FeuilCaduc*(1-Persistant)+Persistant</f>
        <v>0.77665920697420776</v>
      </c>
      <c r="BE334" s="291">
        <f>[2]!CroissVégét</f>
        <v>0.9988779881675528</v>
      </c>
      <c r="BF334" s="815">
        <f>1+[2]!Salcycl*Ksac</f>
        <v>1.0127765344957014</v>
      </c>
      <c r="BH334" s="1052">
        <f t="shared" si="127"/>
        <v>1.8819774243189032E-2</v>
      </c>
      <c r="BI334" s="11">
        <v>44516</v>
      </c>
      <c r="BJ334" s="725">
        <v>7.9362822529978044E-3</v>
      </c>
      <c r="BK334" s="725">
        <v>1.0710408123982138E-2</v>
      </c>
      <c r="BL334" s="725">
        <v>1.370031295524313E-2</v>
      </c>
      <c r="BM334" s="725">
        <v>1.7341899428304147E-2</v>
      </c>
      <c r="BN334" s="725">
        <v>2.1043155915840779E-2</v>
      </c>
      <c r="BO334" s="726">
        <v>2.5694252442901563E-2</v>
      </c>
      <c r="BP334" s="725">
        <v>3.14550025683136E-2</v>
      </c>
      <c r="BQ334" s="725">
        <v>3.907516858684059E-2</v>
      </c>
      <c r="BR334" s="725">
        <v>4.9172419250639379E-2</v>
      </c>
      <c r="BS334" s="725">
        <v>6.2598300585306868E-2</v>
      </c>
      <c r="BT334" s="725">
        <v>7.8739738546360086E-2</v>
      </c>
      <c r="BW334" s="1189">
        <f>'2018'!R\Max</f>
        <v>0.85992901067386784</v>
      </c>
      <c r="BX334" s="1187">
        <f>'2019'!R\Max</f>
        <v>0.54645867441644225</v>
      </c>
      <c r="BY334" s="1187">
        <f>'2020'!R\Max</f>
        <v>0.71536749283913303</v>
      </c>
      <c r="BZ334" s="1187">
        <f>'2021'!R\Max</f>
        <v>0.39227660877439591</v>
      </c>
      <c r="CA334" s="1187">
        <f>'2022'!R\Max</f>
        <v>0.99798472140786343</v>
      </c>
      <c r="CB334" s="1187">
        <f>'2023'!R\Max</f>
        <v>0.99798334963029067</v>
      </c>
      <c r="CC334" s="1187">
        <f>'2024'!R\Max</f>
        <v>0.99798175610971418</v>
      </c>
      <c r="CD334" s="1187">
        <f>'2025'!R\Max</f>
        <v>0.99798933573670712</v>
      </c>
      <c r="CE334" s="1187">
        <f>'2026'!R\Max</f>
        <v>0.99798835652400597</v>
      </c>
      <c r="CF334" s="1188">
        <f>'2027'!R\Max</f>
        <v>0.99798725187936776</v>
      </c>
    </row>
    <row r="335" spans="1:84" s="6" customFormat="1" ht="11.25" x14ac:dyDescent="0.2">
      <c r="A335" s="11">
        <v>43421</v>
      </c>
      <c r="B335" s="380">
        <f>'2022'!Maxi_hp</f>
        <v>21.890995839338444</v>
      </c>
      <c r="C335" s="13">
        <f>'2022'!An_max</f>
        <v>2018</v>
      </c>
      <c r="D335" s="1061"/>
      <c r="E335" s="13"/>
      <c r="F335" s="13">
        <f t="shared" si="128"/>
        <v>25</v>
      </c>
      <c r="G335" s="13">
        <f t="shared" ref="G335:G380" si="130">INT((MATCH($A335,x.2m)+1)/2)*2</f>
        <v>24</v>
      </c>
      <c r="H335" s="173">
        <f t="shared" ref="H335:H380" si="131">INDEX(x.2m,F335)</f>
        <v>43430</v>
      </c>
      <c r="I335" s="752">
        <f t="shared" ref="I335:I380" si="132">($A335-H335)/(INDEX(x.2m,G335)-H335)</f>
        <v>0.6428571428571429</v>
      </c>
      <c r="J335" s="745">
        <f t="shared" ref="J335:J380" si="133">((1-I335)*(INDEX(a.m,F335)*$A335*$A335+INDEX(b.m,F335)*$A335+INDEX(c.m,F335))+I335*(INDEX(a.m,G335)*$A335*$A335+INDEX(b.m,G335)*$A335+INDEX(c.m,G335)))/10</f>
        <v>23.37489066980779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4">
        <v>43421</v>
      </c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3">
        <f t="shared" ref="AR335:AR380" si="136">INDEX(x.2lg,AP335)</f>
        <v>43416</v>
      </c>
      <c r="AS335" s="752">
        <f t="shared" ref="AS335:AS380" si="137">($A335-AR335)/(INDEX(x.2lg,AQ335)-AR335)</f>
        <v>0.17857142857142858</v>
      </c>
      <c r="AT335" s="768">
        <f t="shared" ref="AT335:AT380" si="138">((1-AS335)*(INDEX(a.lg,AP335)*$A335*$A335+INDEX(b.lg,AP335)*$A335+INDEX(c.lg,AP335))+AS335*(INDEX(a.lg,AQ335)*$A335*$A335+INDEX(b.lg,AQ335)*$A335+INDEX(c.lg,AQ335)))/10</f>
        <v>23.462305083764448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3">
        <f t="shared" ref="AW335:AW380" si="141">INDEX(x.2ld,AU335)</f>
        <v>43430</v>
      </c>
      <c r="AX335" s="752">
        <f t="shared" ref="AX335:AX380" si="142">($A335-AW335)/(INDEX(x.2ld,AV335)-AW335)</f>
        <v>0.32142857142857145</v>
      </c>
      <c r="AY335" s="768">
        <f t="shared" ref="AY335:AY380" si="143">((1-AX335)*(INDEX(a.ld,AU335)*$A335*$A335+INDEX(b.ld,AU335)*$A335+INDEX(c.ld,AU335))+AX335*(INDEX(a.ld,AV335)*$A335*$A335+INDEX(b.ld,AV335)*$A335+INDEX(c.ld,AV335)))/10</f>
        <v>23.281864978599231</v>
      </c>
      <c r="AZ335" s="745">
        <f t="shared" si="129"/>
        <v>23.37208503118184</v>
      </c>
      <c r="BA335" s="642">
        <f t="shared" ref="BA335:BA380" si="144">+B335/J335</f>
        <v>0.93651757129345548</v>
      </c>
      <c r="BC335" s="11">
        <v>43421</v>
      </c>
      <c r="BD335" s="290">
        <f>[2]!FeuilCaduc*(1-Persistant)+Persistant</f>
        <v>0.77301043648698131</v>
      </c>
      <c r="BE335" s="291">
        <f>[2]!CroissVégét</f>
        <v>0.99893641739554129</v>
      </c>
      <c r="BF335" s="815">
        <f>1+[2]!Salcycl*Ksac</f>
        <v>1.0121684060811635</v>
      </c>
      <c r="BH335" s="1052">
        <f t="shared" ref="BH335:BH380" si="145">INDEX($BJ335:$BT335,,$BH$10)*(1-Ratini)+INDEX($BJ335:$BT335,,$BH$10+1)*Ratini</f>
        <v>1.8067336601680112E-2</v>
      </c>
      <c r="BI335" s="11">
        <v>44517</v>
      </c>
      <c r="BJ335" s="725">
        <v>7.7960659291689991E-3</v>
      </c>
      <c r="BK335" s="725">
        <v>1.0427440193314616E-2</v>
      </c>
      <c r="BL335" s="725">
        <v>1.3262568805548002E-2</v>
      </c>
      <c r="BM335" s="725">
        <v>1.6674841083261858E-2</v>
      </c>
      <c r="BN335" s="725">
        <v>2.0162269801514081E-2</v>
      </c>
      <c r="BO335" s="726">
        <v>2.4613238438181639E-2</v>
      </c>
      <c r="BP335" s="725">
        <v>3.0238277110140037E-2</v>
      </c>
      <c r="BQ335" s="725">
        <v>3.7759889698435363E-2</v>
      </c>
      <c r="BR335" s="725">
        <v>4.7861867819001321E-2</v>
      </c>
      <c r="BS335" s="725">
        <v>6.1472863350337331E-2</v>
      </c>
      <c r="BT335" s="725">
        <v>7.7944279619954135E-2</v>
      </c>
      <c r="BW335" s="1189">
        <f>'2018'!R\Max</f>
        <v>0.93651757129345548</v>
      </c>
      <c r="BX335" s="1187">
        <f>'2019'!R\Max</f>
        <v>0.53716880333829176</v>
      </c>
      <c r="BY335" s="1187">
        <f>'2020'!R\Max</f>
        <v>0.82353439371639392</v>
      </c>
      <c r="BZ335" s="1187">
        <f>'2021'!R\Max</f>
        <v>0.12712964292893666</v>
      </c>
      <c r="CA335" s="1187">
        <f>'2022'!R\Max</f>
        <v>0.58882434659497973</v>
      </c>
      <c r="CB335" s="1187">
        <f>'2023'!R\Max</f>
        <v>0.58866200999832652</v>
      </c>
      <c r="CC335" s="1187">
        <f>'2024'!R\Max</f>
        <v>0.58847238185332507</v>
      </c>
      <c r="CD335" s="1187">
        <f>'2025'!R\Max</f>
        <v>0.58936254341563665</v>
      </c>
      <c r="CE335" s="1187">
        <f>'2026'!R\Max</f>
        <v>0.58924961450260738</v>
      </c>
      <c r="CF335" s="1188">
        <f>'2027'!R\Max</f>
        <v>0.58912129690127935</v>
      </c>
    </row>
    <row r="336" spans="1:84" s="6" customFormat="1" ht="11.25" x14ac:dyDescent="0.2">
      <c r="A336" s="11">
        <v>43422</v>
      </c>
      <c r="B336" s="380">
        <f>'2022'!Maxi_hp</f>
        <v>21.900036147132251</v>
      </c>
      <c r="C336" s="13">
        <f>'2022'!An_max</f>
        <v>2020</v>
      </c>
      <c r="D336" s="1061"/>
      <c r="E336" s="13"/>
      <c r="F336" s="13">
        <f t="shared" ref="F336:F380" si="146">INT(MATCH($A336,x.2m)/2)*2+1</f>
        <v>25</v>
      </c>
      <c r="G336" s="13">
        <f t="shared" si="130"/>
        <v>24</v>
      </c>
      <c r="H336" s="173">
        <f t="shared" si="131"/>
        <v>43430</v>
      </c>
      <c r="I336" s="752">
        <f t="shared" si="132"/>
        <v>0.5714285714285714</v>
      </c>
      <c r="J336" s="745">
        <f t="shared" si="133"/>
        <v>23.103206997258322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4">
        <v>43422</v>
      </c>
      <c r="AP336" s="13">
        <f t="shared" si="134"/>
        <v>13</v>
      </c>
      <c r="AQ336" s="13">
        <f t="shared" si="135"/>
        <v>14</v>
      </c>
      <c r="AR336" s="173">
        <f t="shared" si="136"/>
        <v>43416</v>
      </c>
      <c r="AS336" s="752">
        <f t="shared" si="137"/>
        <v>0.21428571428571427</v>
      </c>
      <c r="AT336" s="768">
        <f t="shared" si="138"/>
        <v>23.203892571000118</v>
      </c>
      <c r="AU336" s="13">
        <f t="shared" si="139"/>
        <v>13</v>
      </c>
      <c r="AV336" s="13">
        <f t="shared" si="140"/>
        <v>12</v>
      </c>
      <c r="AW336" s="173">
        <f t="shared" si="141"/>
        <v>43430</v>
      </c>
      <c r="AX336" s="752">
        <f t="shared" si="142"/>
        <v>0.2857142857142857</v>
      </c>
      <c r="AY336" s="768">
        <f t="shared" si="143"/>
        <v>23.010787173254148</v>
      </c>
      <c r="AZ336" s="745">
        <f t="shared" ref="AZ336:AZ380" si="147">(AY336+AT336)/2</f>
        <v>23.107339872127135</v>
      </c>
      <c r="BA336" s="642">
        <f t="shared" si="144"/>
        <v>0.94792191186838903</v>
      </c>
      <c r="BC336" s="11">
        <v>43422</v>
      </c>
      <c r="BD336" s="290">
        <f>[2]!FeuilCaduc*(1-Persistant)+Persistant</f>
        <v>0.76944990440257788</v>
      </c>
      <c r="BE336" s="291">
        <f>[2]!CroissVégét</f>
        <v>0.99899250051286803</v>
      </c>
      <c r="BF336" s="815">
        <f>1+[2]!Salcycl*Ksac</f>
        <v>1.0115749840670962</v>
      </c>
      <c r="BH336" s="1052">
        <f t="shared" si="145"/>
        <v>1.7310341629070941E-2</v>
      </c>
      <c r="BI336" s="11">
        <v>44518</v>
      </c>
      <c r="BJ336" s="725">
        <v>7.6414242753114524E-3</v>
      </c>
      <c r="BK336" s="725">
        <v>1.0124977828016111E-2</v>
      </c>
      <c r="BL336" s="725">
        <v>1.280397216652323E-2</v>
      </c>
      <c r="BM336" s="725">
        <v>1.599601105051043E-2</v>
      </c>
      <c r="BN336" s="725">
        <v>1.9287679960264318E-2</v>
      </c>
      <c r="BO336" s="726">
        <v>2.3555435094397281E-2</v>
      </c>
      <c r="BP336" s="725">
        <v>2.9061560730907827E-2</v>
      </c>
      <c r="BQ336" s="725">
        <v>3.6496917923324775E-2</v>
      </c>
      <c r="BR336" s="725">
        <v>4.6619497731325156E-2</v>
      </c>
      <c r="BS336" s="725">
        <v>6.0429206923633787E-2</v>
      </c>
      <c r="BT336" s="725">
        <v>7.7250578392468169E-2</v>
      </c>
      <c r="BW336" s="1189">
        <f>'2018'!R\Max</f>
        <v>0.94583558374526766</v>
      </c>
      <c r="BX336" s="1187">
        <f>'2019'!R\Max</f>
        <v>0.48065151349551127</v>
      </c>
      <c r="BY336" s="1187">
        <f>'2020'!R\Max</f>
        <v>0.94792191186838903</v>
      </c>
      <c r="BZ336" s="1187">
        <f>'2021'!R\Max</f>
        <v>0.70754456337167904</v>
      </c>
      <c r="CA336" s="1187">
        <f>'2022'!R\Max</f>
        <v>0.62985848757023577</v>
      </c>
      <c r="CB336" s="1187">
        <f>'2023'!R\Max</f>
        <v>0.62970438758286318</v>
      </c>
      <c r="CC336" s="1187">
        <f>'2024'!R\Max</f>
        <v>0.62952335522634717</v>
      </c>
      <c r="CD336" s="1187">
        <f>'2025'!R\Max</f>
        <v>0.63036121705289627</v>
      </c>
      <c r="CE336" s="1187">
        <f>'2026'!R\Max</f>
        <v>0.63025703144725076</v>
      </c>
      <c r="CF336" s="1188">
        <f>'2027'!R\Max</f>
        <v>0.63013773049960464</v>
      </c>
    </row>
    <row r="337" spans="1:84" s="6" customFormat="1" ht="11.25" x14ac:dyDescent="0.2">
      <c r="A337" s="11">
        <v>43423</v>
      </c>
      <c r="B337" s="380">
        <f>'2022'!Maxi_hp</f>
        <v>22.404148660513918</v>
      </c>
      <c r="C337" s="13">
        <f>'2022'!An_max</f>
        <v>2021</v>
      </c>
      <c r="D337" s="1061"/>
      <c r="E337" s="13"/>
      <c r="F337" s="13">
        <f t="shared" si="146"/>
        <v>25</v>
      </c>
      <c r="G337" s="13">
        <f t="shared" si="130"/>
        <v>24</v>
      </c>
      <c r="H337" s="173">
        <f t="shared" si="131"/>
        <v>43430</v>
      </c>
      <c r="I337" s="752">
        <f t="shared" si="132"/>
        <v>0.5</v>
      </c>
      <c r="J337" s="745">
        <f t="shared" si="133"/>
        <v>22.837500000745059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4">
        <v>43423</v>
      </c>
      <c r="AP337" s="13">
        <f t="shared" si="134"/>
        <v>13</v>
      </c>
      <c r="AQ337" s="13">
        <f t="shared" si="135"/>
        <v>14</v>
      </c>
      <c r="AR337" s="173">
        <f t="shared" si="136"/>
        <v>43416</v>
      </c>
      <c r="AS337" s="752">
        <f t="shared" si="137"/>
        <v>0.25</v>
      </c>
      <c r="AT337" s="768">
        <f t="shared" si="138"/>
        <v>22.949422923289241</v>
      </c>
      <c r="AU337" s="13">
        <f t="shared" si="139"/>
        <v>13</v>
      </c>
      <c r="AV337" s="13">
        <f t="shared" si="140"/>
        <v>12</v>
      </c>
      <c r="AW337" s="173">
        <f t="shared" si="141"/>
        <v>43430</v>
      </c>
      <c r="AX337" s="752">
        <f t="shared" si="142"/>
        <v>0.25</v>
      </c>
      <c r="AY337" s="768">
        <f t="shared" si="143"/>
        <v>22.748437500000001</v>
      </c>
      <c r="AZ337" s="745">
        <f t="shared" si="147"/>
        <v>22.848930211644621</v>
      </c>
      <c r="BA337" s="642">
        <f t="shared" si="144"/>
        <v>0.98102457185694569</v>
      </c>
      <c r="BC337" s="11">
        <v>43423</v>
      </c>
      <c r="BD337" s="290">
        <f>[2]!FeuilCaduc*(1-Persistant)+Persistant</f>
        <v>0.76598139543980737</v>
      </c>
      <c r="BE337" s="291">
        <f>[2]!CroissVégét</f>
        <v>0.99904633147520905</v>
      </c>
      <c r="BF337" s="815">
        <f>1+[2]!Salcycl*Ksac</f>
        <v>1.0109968992399678</v>
      </c>
      <c r="BH337" s="1052">
        <f t="shared" si="145"/>
        <v>1.6548805274965175E-2</v>
      </c>
      <c r="BI337" s="11">
        <v>44519</v>
      </c>
      <c r="BJ337" s="725">
        <v>7.472343237245248E-3</v>
      </c>
      <c r="BK337" s="725">
        <v>9.8030066393581493E-3</v>
      </c>
      <c r="BL337" s="725">
        <v>1.2324512301267404E-2</v>
      </c>
      <c r="BM337" s="725">
        <v>1.5305415418481481E-2</v>
      </c>
      <c r="BN337" s="725">
        <v>1.841941717728808E-2</v>
      </c>
      <c r="BO337" s="726">
        <v>2.2520895268003265E-2</v>
      </c>
      <c r="BP337" s="725">
        <v>2.7924924103618368E-2</v>
      </c>
      <c r="BQ337" s="725">
        <v>3.5286333936873568E-2</v>
      </c>
      <c r="BR337" s="725">
        <v>4.5445395863447674E-2</v>
      </c>
      <c r="BS337" s="725">
        <v>5.9467410387393303E-2</v>
      </c>
      <c r="BT337" s="725">
        <v>7.6658702804819248E-2</v>
      </c>
      <c r="BW337" s="1189">
        <f>'2018'!R\Max</f>
        <v>0.77606839340946077</v>
      </c>
      <c r="BX337" s="1187">
        <f>'2019'!R\Max</f>
        <v>0.8091432158854357</v>
      </c>
      <c r="BY337" s="1187">
        <f>'2020'!R\Max</f>
        <v>0.9735943984390123</v>
      </c>
      <c r="BZ337" s="1187">
        <f>'2021'!R\Max</f>
        <v>0.98102457185694569</v>
      </c>
      <c r="CA337" s="1187">
        <f>'2022'!R\Max</f>
        <v>0.35329402277442107</v>
      </c>
      <c r="CB337" s="1187">
        <f>'2023'!R\Max</f>
        <v>0.35314478623990392</v>
      </c>
      <c r="CC337" s="1187">
        <f>'2024'!R\Max</f>
        <v>0.35296865643624614</v>
      </c>
      <c r="CD337" s="1187">
        <f>'2025'!R\Max</f>
        <v>0.35377347519358515</v>
      </c>
      <c r="CE337" s="1187">
        <f>'2026'!R\Max</f>
        <v>0.35367530521335472</v>
      </c>
      <c r="CF337" s="1188">
        <f>'2027'!R\Max</f>
        <v>0.35356206094933079</v>
      </c>
    </row>
    <row r="338" spans="1:84" s="6" customFormat="1" ht="11.25" x14ac:dyDescent="0.2">
      <c r="A338" s="11">
        <v>43424</v>
      </c>
      <c r="B338" s="380">
        <f>'2022'!Maxi_hp</f>
        <v>23.081621560560357</v>
      </c>
      <c r="C338" s="13">
        <f>'2022'!An_max</f>
        <v>2019</v>
      </c>
      <c r="D338" s="1061"/>
      <c r="E338" s="13"/>
      <c r="F338" s="13">
        <f t="shared" si="146"/>
        <v>25</v>
      </c>
      <c r="G338" s="13">
        <f t="shared" si="130"/>
        <v>24</v>
      </c>
      <c r="H338" s="173">
        <f t="shared" si="131"/>
        <v>43430</v>
      </c>
      <c r="I338" s="752">
        <f t="shared" si="132"/>
        <v>0.42857142857142855</v>
      </c>
      <c r="J338" s="745">
        <f t="shared" si="133"/>
        <v>22.578425655620439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4">
        <v>43424</v>
      </c>
      <c r="AP338" s="13">
        <f t="shared" si="134"/>
        <v>13</v>
      </c>
      <c r="AQ338" s="13">
        <f t="shared" si="135"/>
        <v>14</v>
      </c>
      <c r="AR338" s="173">
        <f t="shared" si="136"/>
        <v>43416</v>
      </c>
      <c r="AS338" s="752">
        <f t="shared" si="137"/>
        <v>0.2857142857142857</v>
      </c>
      <c r="AT338" s="768">
        <f t="shared" si="138"/>
        <v>22.699282159549849</v>
      </c>
      <c r="AU338" s="13">
        <f t="shared" si="139"/>
        <v>13</v>
      </c>
      <c r="AV338" s="13">
        <f t="shared" si="140"/>
        <v>12</v>
      </c>
      <c r="AW338" s="173">
        <f t="shared" si="141"/>
        <v>43430</v>
      </c>
      <c r="AX338" s="752">
        <f t="shared" si="142"/>
        <v>0.21428571428571427</v>
      </c>
      <c r="AY338" s="768">
        <f t="shared" si="143"/>
        <v>22.495335278739887</v>
      </c>
      <c r="AZ338" s="745">
        <f t="shared" si="147"/>
        <v>22.59730871914487</v>
      </c>
      <c r="BA338" s="642">
        <f t="shared" si="144"/>
        <v>1.0222865806772785</v>
      </c>
      <c r="BC338" s="11">
        <v>43424</v>
      </c>
      <c r="BD338" s="290">
        <f>[2]!FeuilCaduc*(1-Persistant)+Persistant</f>
        <v>0.76260834601084737</v>
      </c>
      <c r="BE338" s="291">
        <f>[2]!CroissVégét</f>
        <v>0.99909800049508712</v>
      </c>
      <c r="BF338" s="815">
        <f>1+[2]!Salcycl*Ksac</f>
        <v>1.0104347243351413</v>
      </c>
      <c r="BH338" s="1052">
        <f t="shared" si="145"/>
        <v>1.5799415354759178E-2</v>
      </c>
      <c r="BI338" s="11">
        <v>44520</v>
      </c>
      <c r="BJ338" s="725">
        <v>7.2882941246723981E-3</v>
      </c>
      <c r="BK338" s="725">
        <v>9.4672469503313365E-3</v>
      </c>
      <c r="BL338" s="725">
        <v>1.1835373816846769E-2</v>
      </c>
      <c r="BM338" s="725">
        <v>1.4618990469791711E-2</v>
      </c>
      <c r="BN338" s="725">
        <v>1.7575299907865351E-2</v>
      </c>
      <c r="BO338" s="726">
        <v>2.1529026424127636E-2</v>
      </c>
      <c r="BP338" s="725">
        <v>2.6848857915617461E-2</v>
      </c>
      <c r="BQ338" s="725">
        <v>3.4153159034313672E-2</v>
      </c>
      <c r="BR338" s="725">
        <v>4.4366189890637356E-2</v>
      </c>
      <c r="BS338" s="725">
        <v>5.8616828544154211E-2</v>
      </c>
      <c r="BT338" s="725">
        <v>7.6198085899008686E-2</v>
      </c>
      <c r="BW338" s="1189">
        <f>'2018'!R\Max</f>
        <v>0.34787765303842499</v>
      </c>
      <c r="BX338" s="1187">
        <f>'2019'!R\Max</f>
        <v>1.0222865806772785</v>
      </c>
      <c r="BY338" s="1187">
        <f>'2020'!R\Max</f>
        <v>0.39413727569852497</v>
      </c>
      <c r="BZ338" s="1187">
        <f>'2021'!R\Max</f>
        <v>0.76983090714590163</v>
      </c>
      <c r="CA338" s="1187">
        <f>'2022'!R\Max</f>
        <v>0.66185443642847175</v>
      </c>
      <c r="CB338" s="1187">
        <f>'2023'!R\Max</f>
        <v>0.66170949529824963</v>
      </c>
      <c r="CC338" s="1187">
        <f>'2024'!R\Max</f>
        <v>0.66153757692633886</v>
      </c>
      <c r="CD338" s="1187">
        <f>'2025'!R\Max</f>
        <v>0.66231235871797722</v>
      </c>
      <c r="CE338" s="1187">
        <f>'2026'!R\Max</f>
        <v>0.66221980135015024</v>
      </c>
      <c r="CF338" s="1188">
        <f>'2027'!R\Max</f>
        <v>0.6621122142489001</v>
      </c>
    </row>
    <row r="339" spans="1:84" s="6" customFormat="1" ht="11.25" x14ac:dyDescent="0.2">
      <c r="A339" s="11">
        <v>43425</v>
      </c>
      <c r="B339" s="380">
        <f>'2022'!Maxi_hp</f>
        <v>22.83442232679824</v>
      </c>
      <c r="C339" s="13">
        <f>'2022'!An_max</f>
        <v>2019</v>
      </c>
      <c r="D339" s="1061"/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1"/>
        <v>43430</v>
      </c>
      <c r="I339" s="752">
        <f t="shared" si="132"/>
        <v>0.35714285714285715</v>
      </c>
      <c r="J339" s="745">
        <f t="shared" si="133"/>
        <v>22.326639941920128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4">
        <v>43425</v>
      </c>
      <c r="AP339" s="13">
        <f t="shared" si="134"/>
        <v>13</v>
      </c>
      <c r="AQ339" s="13">
        <f t="shared" si="135"/>
        <v>14</v>
      </c>
      <c r="AR339" s="173">
        <f t="shared" si="136"/>
        <v>43416</v>
      </c>
      <c r="AS339" s="752">
        <f t="shared" si="137"/>
        <v>0.32142857142857145</v>
      </c>
      <c r="AT339" s="768">
        <f t="shared" si="138"/>
        <v>22.453856298407274</v>
      </c>
      <c r="AU339" s="13">
        <f t="shared" si="139"/>
        <v>13</v>
      </c>
      <c r="AV339" s="13">
        <f t="shared" si="140"/>
        <v>12</v>
      </c>
      <c r="AW339" s="173">
        <f t="shared" si="141"/>
        <v>43430</v>
      </c>
      <c r="AX339" s="752">
        <f t="shared" si="142"/>
        <v>0.17857142857142858</v>
      </c>
      <c r="AY339" s="768">
        <f t="shared" si="143"/>
        <v>22.251999816937108</v>
      </c>
      <c r="AZ339" s="745">
        <f t="shared" si="147"/>
        <v>22.352928057672191</v>
      </c>
      <c r="BA339" s="642">
        <f t="shared" si="144"/>
        <v>1.0227433409684146</v>
      </c>
      <c r="BC339" s="11">
        <v>43425</v>
      </c>
      <c r="BD339" s="290">
        <f>[2]!FeuilCaduc*(1-Persistant)+Persistant</f>
        <v>0.75933383168301638</v>
      </c>
      <c r="BE339" s="291">
        <f>[2]!CroissVégét</f>
        <v>0.99914759418945731</v>
      </c>
      <c r="BF339" s="815">
        <f>1+[2]!Salcycl*Ksac</f>
        <v>1.0098889719471693</v>
      </c>
      <c r="BH339" s="1052">
        <f t="shared" si="145"/>
        <v>1.5079359042674857E-2</v>
      </c>
      <c r="BI339" s="11">
        <v>44521</v>
      </c>
      <c r="BJ339" s="725">
        <v>7.0976035047028924E-3</v>
      </c>
      <c r="BK339" s="725">
        <v>9.1332593038445237E-3</v>
      </c>
      <c r="BL339" s="725">
        <v>1.1356690597973338E-2</v>
      </c>
      <c r="BM339" s="725">
        <v>1.3957365855943264E-2</v>
      </c>
      <c r="BN339" s="725">
        <v>1.6767336307794881E-2</v>
      </c>
      <c r="BO339" s="726">
        <v>2.0582847317180644E-2</v>
      </c>
      <c r="BP339" s="725">
        <v>2.5821411390946507E-2</v>
      </c>
      <c r="BQ339" s="725">
        <v>3.3075409668999287E-2</v>
      </c>
      <c r="BR339" s="725">
        <v>4.334803534977491E-2</v>
      </c>
      <c r="BS339" s="725">
        <v>5.7835523815070587E-2</v>
      </c>
      <c r="BT339" s="725">
        <v>7.581355416959927E-2</v>
      </c>
      <c r="BW339" s="1189">
        <f>'2018'!R\Max</f>
        <v>0.9445930221454919</v>
      </c>
      <c r="BX339" s="1187">
        <f>'2019'!R\Max</f>
        <v>1.0227433409684146</v>
      </c>
      <c r="BY339" s="1187">
        <f>'2020'!R\Max</f>
        <v>0.76493191797908389</v>
      </c>
      <c r="BZ339" s="1187">
        <f>'2021'!R\Max</f>
        <v>0.39663465897355549</v>
      </c>
      <c r="CA339" s="1187">
        <f>'2022'!R\Max</f>
        <v>0.15659262825288792</v>
      </c>
      <c r="CB339" s="1187">
        <f>'2023'!R\Max</f>
        <v>0.15652220751044985</v>
      </c>
      <c r="CC339" s="1187">
        <f>'2024'!R\Max</f>
        <v>0.15643831147751275</v>
      </c>
      <c r="CD339" s="1187">
        <f>'2025'!R\Max</f>
        <v>0.15681196534067082</v>
      </c>
      <c r="CE339" s="1187">
        <f>'2026'!R\Max</f>
        <v>0.15676814402872699</v>
      </c>
      <c r="CF339" s="1188">
        <f>'2027'!R\Max</f>
        <v>0.15671685304244184</v>
      </c>
    </row>
    <row r="340" spans="1:84" s="6" customFormat="1" ht="11.25" x14ac:dyDescent="0.2">
      <c r="A340" s="11">
        <v>43426</v>
      </c>
      <c r="B340" s="380">
        <f>'2022'!Maxi_hp</f>
        <v>22.832707218785405</v>
      </c>
      <c r="C340" s="13">
        <f>'2022'!An_max</f>
        <v>2020</v>
      </c>
      <c r="D340" s="1061"/>
      <c r="E340" s="13"/>
      <c r="F340" s="13">
        <f t="shared" si="146"/>
        <v>25</v>
      </c>
      <c r="G340" s="13">
        <f t="shared" si="130"/>
        <v>24</v>
      </c>
      <c r="H340" s="173">
        <f t="shared" si="131"/>
        <v>43430</v>
      </c>
      <c r="I340" s="752">
        <f t="shared" si="132"/>
        <v>0.2857142857142857</v>
      </c>
      <c r="J340" s="745">
        <f t="shared" si="133"/>
        <v>22.082798833932195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4">
        <v>43426</v>
      </c>
      <c r="AP340" s="13">
        <f t="shared" si="134"/>
        <v>13</v>
      </c>
      <c r="AQ340" s="13">
        <f t="shared" si="135"/>
        <v>14</v>
      </c>
      <c r="AR340" s="173">
        <f t="shared" si="136"/>
        <v>43416</v>
      </c>
      <c r="AS340" s="752">
        <f t="shared" si="137"/>
        <v>0.35714285714285715</v>
      </c>
      <c r="AT340" s="768">
        <f t="shared" si="138"/>
        <v>22.213531354016492</v>
      </c>
      <c r="AU340" s="13">
        <f t="shared" si="139"/>
        <v>13</v>
      </c>
      <c r="AV340" s="13">
        <f t="shared" si="140"/>
        <v>12</v>
      </c>
      <c r="AW340" s="173">
        <f t="shared" si="141"/>
        <v>43430</v>
      </c>
      <c r="AX340" s="752">
        <f t="shared" si="142"/>
        <v>0.14285714285714285</v>
      </c>
      <c r="AY340" s="768">
        <f t="shared" si="143"/>
        <v>22.018950438073706</v>
      </c>
      <c r="AZ340" s="745">
        <f t="shared" si="147"/>
        <v>22.116240896045099</v>
      </c>
      <c r="BA340" s="642">
        <f t="shared" si="144"/>
        <v>1.0339589374740357</v>
      </c>
      <c r="BC340" s="11">
        <v>43426</v>
      </c>
      <c r="BD340" s="290">
        <f>[2]!FeuilCaduc*(1-Persistant)+Persistant</f>
        <v>0.75616055687900186</v>
      </c>
      <c r="BE340" s="291">
        <f>[2]!CroissVégét</f>
        <v>0.99919519572159454</v>
      </c>
      <c r="BF340" s="815">
        <f>1+[2]!Salcycl*Ksac</f>
        <v>1.009360092813167</v>
      </c>
      <c r="BH340" s="1052">
        <f t="shared" si="145"/>
        <v>1.438868727549425E-2</v>
      </c>
      <c r="BI340" s="11">
        <v>44522</v>
      </c>
      <c r="BJ340" s="725">
        <v>6.9002695572081873E-3</v>
      </c>
      <c r="BK340" s="725">
        <v>8.8010551390180613E-3</v>
      </c>
      <c r="BL340" s="725">
        <v>1.0888487475918258E-2</v>
      </c>
      <c r="BM340" s="725">
        <v>1.332058643325492E-2</v>
      </c>
      <c r="BN340" s="725">
        <v>1.5995586461582476E-2</v>
      </c>
      <c r="BO340" s="726">
        <v>1.9682430302072576E-2</v>
      </c>
      <c r="BP340" s="725">
        <v>2.4842658982122932E-2</v>
      </c>
      <c r="BQ340" s="725">
        <v>3.2053162115111528E-2</v>
      </c>
      <c r="BR340" s="725">
        <v>4.2391000398016958E-2</v>
      </c>
      <c r="BS340" s="725">
        <v>5.7123544697117966E-2</v>
      </c>
      <c r="BT340" s="725">
        <v>7.5505123096022461E-2</v>
      </c>
      <c r="BW340" s="1189">
        <f>'2018'!R\Max</f>
        <v>0.76890715304334467</v>
      </c>
      <c r="BX340" s="1187">
        <f>'2019'!R\Max</f>
        <v>0.51345807223975248</v>
      </c>
      <c r="BY340" s="1187">
        <f>'2020'!R\Max</f>
        <v>1.0339589374740357</v>
      </c>
      <c r="BZ340" s="1187">
        <f>'2021'!R\Max</f>
        <v>0.82317439750329713</v>
      </c>
      <c r="CA340" s="1187">
        <f>'2022'!R\Max</f>
        <v>0.37515749958207056</v>
      </c>
      <c r="CB340" s="1187">
        <f>'2023'!R\Max</f>
        <v>0.37500824397160992</v>
      </c>
      <c r="CC340" s="1187">
        <f>'2024'!R\Max</f>
        <v>0.37482947117864462</v>
      </c>
      <c r="CD340" s="1187">
        <f>'2025'!R\Max</f>
        <v>0.37561563060556524</v>
      </c>
      <c r="CE340" s="1187">
        <f>'2026'!R\Max</f>
        <v>0.37552519151239838</v>
      </c>
      <c r="CF340" s="1188">
        <f>'2027'!R\Max</f>
        <v>0.37541857918228616</v>
      </c>
    </row>
    <row r="341" spans="1:84" s="6" customFormat="1" ht="11.25" x14ac:dyDescent="0.2">
      <c r="A341" s="11">
        <v>43427</v>
      </c>
      <c r="B341" s="380">
        <f>'2022'!Maxi_hp</f>
        <v>22.481417216990419</v>
      </c>
      <c r="C341" s="13">
        <f>'2022'!An_max</f>
        <v>2020</v>
      </c>
      <c r="D341" s="1061"/>
      <c r="E341" s="13"/>
      <c r="F341" s="13">
        <f t="shared" si="146"/>
        <v>25</v>
      </c>
      <c r="G341" s="13">
        <f t="shared" si="130"/>
        <v>24</v>
      </c>
      <c r="H341" s="173">
        <f t="shared" si="131"/>
        <v>43430</v>
      </c>
      <c r="I341" s="752">
        <f t="shared" si="132"/>
        <v>0.21428571428571427</v>
      </c>
      <c r="J341" s="745">
        <f t="shared" si="133"/>
        <v>21.847558308179892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4">
        <v>43427</v>
      </c>
      <c r="AP341" s="13">
        <f t="shared" si="134"/>
        <v>13</v>
      </c>
      <c r="AQ341" s="13">
        <f t="shared" si="135"/>
        <v>14</v>
      </c>
      <c r="AR341" s="173">
        <f t="shared" si="136"/>
        <v>43416</v>
      </c>
      <c r="AS341" s="752">
        <f t="shared" si="137"/>
        <v>0.39285714285714285</v>
      </c>
      <c r="AT341" s="768">
        <f t="shared" si="138"/>
        <v>21.978693346732435</v>
      </c>
      <c r="AU341" s="13">
        <f t="shared" si="139"/>
        <v>13</v>
      </c>
      <c r="AV341" s="13">
        <f t="shared" si="140"/>
        <v>12</v>
      </c>
      <c r="AW341" s="173">
        <f t="shared" si="141"/>
        <v>43430</v>
      </c>
      <c r="AX341" s="752">
        <f t="shared" si="142"/>
        <v>0.10714285714285714</v>
      </c>
      <c r="AY341" s="768">
        <f t="shared" si="143"/>
        <v>21.796706449506537</v>
      </c>
      <c r="AZ341" s="745">
        <f t="shared" si="147"/>
        <v>21.887699898119486</v>
      </c>
      <c r="BA341" s="642">
        <f t="shared" si="144"/>
        <v>1.0290128031640591</v>
      </c>
      <c r="BC341" s="11">
        <v>43427</v>
      </c>
      <c r="BD341" s="290">
        <f>[2]!FeuilCaduc*(1-Persistant)+Persistant</f>
        <v>0.75309084687901806</v>
      </c>
      <c r="BE341" s="291">
        <f>[2]!CroissVégét</f>
        <v>0.99924088493749397</v>
      </c>
      <c r="BF341" s="815">
        <f>1+[2]!Salcycl*Ksac</f>
        <v>1.0088484744798363</v>
      </c>
      <c r="BH341" s="1052">
        <f t="shared" si="145"/>
        <v>1.3727364952202847E-2</v>
      </c>
      <c r="BI341" s="11">
        <v>44523</v>
      </c>
      <c r="BJ341" s="725">
        <v>6.6962503019402167E-3</v>
      </c>
      <c r="BK341" s="725">
        <v>8.4705942712304735E-3</v>
      </c>
      <c r="BL341" s="725">
        <v>1.0430725013038544E-2</v>
      </c>
      <c r="BM341" s="725">
        <v>1.2708617658680654E-2</v>
      </c>
      <c r="BN341" s="725">
        <v>1.5260014428780635E-2</v>
      </c>
      <c r="BO341" s="726">
        <v>1.8827728940103688E-2</v>
      </c>
      <c r="BP341" s="725">
        <v>2.3912524688613376E-2</v>
      </c>
      <c r="BQ341" s="725">
        <v>3.108629697348721E-2</v>
      </c>
      <c r="BR341" s="725">
        <v>4.1494891893544911E-2</v>
      </c>
      <c r="BS341" s="725">
        <v>5.648058331378477E-2</v>
      </c>
      <c r="BT341" s="725">
        <v>7.5272332587633994E-2</v>
      </c>
      <c r="BW341" s="1189">
        <f>'2018'!R\Max</f>
        <v>0.51673767778354818</v>
      </c>
      <c r="BX341" s="1187">
        <f>'2019'!R\Max</f>
        <v>0.29708243271075307</v>
      </c>
      <c r="BY341" s="1187">
        <f>'2020'!R\Max</f>
        <v>1.0290128031640591</v>
      </c>
      <c r="BZ341" s="1187">
        <f>'2021'!R\Max</f>
        <v>0.55589770137048578</v>
      </c>
      <c r="CA341" s="1187">
        <f>'2022'!R\Max</f>
        <v>0.60674768041630245</v>
      </c>
      <c r="CB341" s="1187">
        <f>'2023'!R\Max</f>
        <v>0.60659696109816874</v>
      </c>
      <c r="CC341" s="1187">
        <f>'2024'!R\Max</f>
        <v>0.60641536121247974</v>
      </c>
      <c r="CD341" s="1187">
        <f>'2025'!R\Max</f>
        <v>0.60720382364421233</v>
      </c>
      <c r="CE341" s="1187">
        <f>'2026'!R\Max</f>
        <v>0.6071148283879948</v>
      </c>
      <c r="CF341" s="1188">
        <f>'2027'!R\Max</f>
        <v>0.60700918321993025</v>
      </c>
    </row>
    <row r="342" spans="1:84" s="6" customFormat="1" ht="11.25" x14ac:dyDescent="0.2">
      <c r="A342" s="11">
        <v>43428</v>
      </c>
      <c r="B342" s="380">
        <f>'2022'!Maxi_hp</f>
        <v>21.083338860152271</v>
      </c>
      <c r="C342" s="13">
        <f>'2022'!An_max</f>
        <v>2020</v>
      </c>
      <c r="D342" s="1061"/>
      <c r="E342" s="13"/>
      <c r="F342" s="13">
        <f t="shared" si="146"/>
        <v>25</v>
      </c>
      <c r="G342" s="13">
        <f t="shared" si="130"/>
        <v>24</v>
      </c>
      <c r="H342" s="173">
        <f t="shared" si="131"/>
        <v>43430</v>
      </c>
      <c r="I342" s="752">
        <f t="shared" si="132"/>
        <v>0.14285714285714285</v>
      </c>
      <c r="J342" s="745">
        <f t="shared" si="133"/>
        <v>21.621574343740939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4">
        <v>43428</v>
      </c>
      <c r="AP342" s="13">
        <f t="shared" si="134"/>
        <v>13</v>
      </c>
      <c r="AQ342" s="13">
        <f t="shared" si="135"/>
        <v>14</v>
      </c>
      <c r="AR342" s="173">
        <f t="shared" si="136"/>
        <v>43416</v>
      </c>
      <c r="AS342" s="752">
        <f t="shared" si="137"/>
        <v>0.42857142857142855</v>
      </c>
      <c r="AT342" s="768">
        <f t="shared" si="138"/>
        <v>21.749728295632771</v>
      </c>
      <c r="AU342" s="13">
        <f t="shared" si="139"/>
        <v>13</v>
      </c>
      <c r="AV342" s="13">
        <f t="shared" si="140"/>
        <v>12</v>
      </c>
      <c r="AW342" s="173">
        <f t="shared" si="141"/>
        <v>43430</v>
      </c>
      <c r="AX342" s="752">
        <f t="shared" si="142"/>
        <v>7.1428571428571425E-2</v>
      </c>
      <c r="AY342" s="768">
        <f t="shared" si="143"/>
        <v>21.585787172642139</v>
      </c>
      <c r="AZ342" s="745">
        <f t="shared" si="147"/>
        <v>21.667757734137453</v>
      </c>
      <c r="BA342" s="642">
        <f t="shared" si="144"/>
        <v>0.9751065544519667</v>
      </c>
      <c r="BC342" s="11">
        <v>43428</v>
      </c>
      <c r="BD342" s="290">
        <f>[2]!FeuilCaduc*(1-Persistant)+Persistant</f>
        <v>0.75012664217015956</v>
      </c>
      <c r="BE342" s="291">
        <f>[2]!CroissVégét</f>
        <v>0.99928473849698995</v>
      </c>
      <c r="BF342" s="815">
        <f>1+[2]!Salcycl*Ksac</f>
        <v>1.0083544403616933</v>
      </c>
      <c r="BH342" s="1052">
        <f t="shared" si="145"/>
        <v>1.3095426067545091E-2</v>
      </c>
      <c r="BI342" s="11">
        <v>44524</v>
      </c>
      <c r="BJ342" s="725">
        <v>6.4855374555126072E-3</v>
      </c>
      <c r="BK342" s="725">
        <v>8.1418795087378603E-3</v>
      </c>
      <c r="BL342" s="725">
        <v>9.983416814871476E-3</v>
      </c>
      <c r="BM342" s="725">
        <v>1.2121489276658789E-2</v>
      </c>
      <c r="BN342" s="725">
        <v>1.4560660598486423E-2</v>
      </c>
      <c r="BO342" s="726">
        <v>1.8018789521092274E-2</v>
      </c>
      <c r="BP342" s="725">
        <v>2.3031047771944556E-2</v>
      </c>
      <c r="BQ342" s="725">
        <v>3.0174839818150681E-2</v>
      </c>
      <c r="BR342" s="725">
        <v>4.065970232117929E-2</v>
      </c>
      <c r="BS342" s="725">
        <v>5.5906572216870148E-2</v>
      </c>
      <c r="BT342" s="725">
        <v>7.5115029912810161E-2</v>
      </c>
      <c r="BW342" s="1189">
        <f>'2018'!R\Max</f>
        <v>0.7472821288035133</v>
      </c>
      <c r="BX342" s="1187">
        <f>'2019'!R\Max</f>
        <v>0.59285994655542607</v>
      </c>
      <c r="BY342" s="1187">
        <f>'2020'!R\Max</f>
        <v>0.9751065544519667</v>
      </c>
      <c r="BZ342" s="1187">
        <f>'2021'!R\Max</f>
        <v>8.8045050025399377E-2</v>
      </c>
      <c r="CA342" s="1187">
        <f>'2022'!R\Max</f>
        <v>0.61740215665994747</v>
      </c>
      <c r="CB342" s="1187">
        <f>'2023'!R\Max</f>
        <v>0.61725412437935478</v>
      </c>
      <c r="CC342" s="1187">
        <f>'2024'!R\Max</f>
        <v>0.61707469347563959</v>
      </c>
      <c r="CD342" s="1187">
        <f>'2025'!R\Max</f>
        <v>0.61784459881932152</v>
      </c>
      <c r="CE342" s="1187">
        <f>'2026'!R\Max</f>
        <v>0.61775920114005001</v>
      </c>
      <c r="CF342" s="1188">
        <f>'2027'!R\Max</f>
        <v>0.61765717301370127</v>
      </c>
    </row>
    <row r="343" spans="1:84" s="6" customFormat="1" ht="11.25" x14ac:dyDescent="0.2">
      <c r="A343" s="11">
        <v>43429</v>
      </c>
      <c r="B343" s="380">
        <f>'2022'!Maxi_hp</f>
        <v>19.914924416032331</v>
      </c>
      <c r="C343" s="13">
        <f>'2022'!An_max</f>
        <v>2020</v>
      </c>
      <c r="D343" s="1061"/>
      <c r="E343" s="13"/>
      <c r="F343" s="13">
        <f t="shared" si="146"/>
        <v>25</v>
      </c>
      <c r="G343" s="13">
        <f t="shared" si="130"/>
        <v>24</v>
      </c>
      <c r="H343" s="173">
        <f t="shared" si="131"/>
        <v>43430</v>
      </c>
      <c r="I343" s="752">
        <f t="shared" si="132"/>
        <v>7.1428571428571425E-2</v>
      </c>
      <c r="J343" s="745">
        <f t="shared" si="133"/>
        <v>21.405502913626179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4">
        <v>43429</v>
      </c>
      <c r="AP343" s="13">
        <f t="shared" si="134"/>
        <v>13</v>
      </c>
      <c r="AQ343" s="13">
        <f t="shared" si="135"/>
        <v>14</v>
      </c>
      <c r="AR343" s="173">
        <f t="shared" si="136"/>
        <v>43416</v>
      </c>
      <c r="AS343" s="752">
        <f t="shared" si="137"/>
        <v>0.4642857142857143</v>
      </c>
      <c r="AT343" s="768">
        <f t="shared" si="138"/>
        <v>21.527022218624399</v>
      </c>
      <c r="AU343" s="13">
        <f t="shared" si="139"/>
        <v>13</v>
      </c>
      <c r="AV343" s="13">
        <f t="shared" si="140"/>
        <v>12</v>
      </c>
      <c r="AW343" s="173">
        <f t="shared" si="141"/>
        <v>43430</v>
      </c>
      <c r="AX343" s="752">
        <f t="shared" si="142"/>
        <v>3.5714285714285712E-2</v>
      </c>
      <c r="AY343" s="768">
        <f t="shared" si="143"/>
        <v>21.386711918349778</v>
      </c>
      <c r="AZ343" s="745">
        <f t="shared" si="147"/>
        <v>21.456867068487089</v>
      </c>
      <c r="BA343" s="642">
        <f t="shared" si="144"/>
        <v>0.93036470558021855</v>
      </c>
      <c r="BC343" s="11">
        <v>43429</v>
      </c>
      <c r="BD343" s="290">
        <f>[2]!FeuilCaduc*(1-Persistant)+Persistant</f>
        <v>0.74726949516964603</v>
      </c>
      <c r="BE343" s="291">
        <f>[2]!CroissVégét</f>
        <v>0.99932682999978462</v>
      </c>
      <c r="BF343" s="815">
        <f>1+[2]!Salcycl*Ksac</f>
        <v>1.007878249194941</v>
      </c>
      <c r="BH343" s="1052">
        <f t="shared" si="145"/>
        <v>1.2492971312149289E-2</v>
      </c>
      <c r="BI343" s="11">
        <v>44525</v>
      </c>
      <c r="BJ343" s="725">
        <v>6.2681585314759763E-3</v>
      </c>
      <c r="BK343" s="725">
        <v>7.8149573847989141E-3</v>
      </c>
      <c r="BL343" s="725">
        <v>9.5466290490842445E-3</v>
      </c>
      <c r="BM343" s="725">
        <v>1.1559293168559694E-2</v>
      </c>
      <c r="BN343" s="725">
        <v>1.389763891437398E-2</v>
      </c>
      <c r="BO343" s="726">
        <v>1.7255748809908503E-2</v>
      </c>
      <c r="BP343" s="725">
        <v>2.2198383682370027E-2</v>
      </c>
      <c r="BQ343" s="725">
        <v>2.9318968118714889E-2</v>
      </c>
      <c r="BR343" s="725">
        <v>3.9885628348651496E-2</v>
      </c>
      <c r="BS343" s="725">
        <v>5.5401723124740176E-2</v>
      </c>
      <c r="BT343" s="725">
        <v>7.5033435947715957E-2</v>
      </c>
      <c r="BW343" s="1189">
        <f>'2018'!R\Max</f>
        <v>0.50578930650616449</v>
      </c>
      <c r="BX343" s="1187">
        <f>'2019'!R\Max</f>
        <v>0.55208554845824653</v>
      </c>
      <c r="BY343" s="1187">
        <f>'2020'!R\Max</f>
        <v>0.93036470558021855</v>
      </c>
      <c r="BZ343" s="1187">
        <f>'2021'!R\Max</f>
        <v>0.70686806387645851</v>
      </c>
      <c r="CA343" s="1187">
        <f>'2022'!R\Max</f>
        <v>0.25359555314582838</v>
      </c>
      <c r="CB343" s="1187">
        <f>'2023'!R\Max</f>
        <v>0.25348512081684249</v>
      </c>
      <c r="CC343" s="1187">
        <f>'2024'!R\Max</f>
        <v>0.25335047690572199</v>
      </c>
      <c r="CD343" s="1187">
        <f>'2025'!R\Max</f>
        <v>0.25392215061859152</v>
      </c>
      <c r="CE343" s="1187">
        <f>'2026'!R\Max</f>
        <v>0.25385970767677341</v>
      </c>
      <c r="CF343" s="1188">
        <f>'2027'!R\Max</f>
        <v>0.25378467808095589</v>
      </c>
    </row>
    <row r="344" spans="1:84" s="6" customFormat="1" ht="11.25" x14ac:dyDescent="0.2">
      <c r="A344" s="11">
        <v>43430</v>
      </c>
      <c r="B344" s="380">
        <f>'2022'!Maxi_hp</f>
        <v>21.504267084607424</v>
      </c>
      <c r="C344" s="13">
        <f>'2022'!An_max</f>
        <v>2020</v>
      </c>
      <c r="D344" s="1061"/>
      <c r="E344" s="1056">
        <f>AK$13/10</f>
        <v>21.2</v>
      </c>
      <c r="F344" s="13">
        <f t="shared" si="146"/>
        <v>25</v>
      </c>
      <c r="G344" s="13">
        <f t="shared" si="130"/>
        <v>26</v>
      </c>
      <c r="H344" s="173">
        <f t="shared" si="131"/>
        <v>43430</v>
      </c>
      <c r="I344" s="752">
        <f t="shared" si="132"/>
        <v>0</v>
      </c>
      <c r="J344" s="745">
        <f t="shared" si="133"/>
        <v>21.200000001490118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4">
        <v>43430</v>
      </c>
      <c r="AP344" s="13">
        <f t="shared" si="134"/>
        <v>13</v>
      </c>
      <c r="AQ344" s="13">
        <f t="shared" si="135"/>
        <v>14</v>
      </c>
      <c r="AR344" s="173">
        <f t="shared" si="136"/>
        <v>43416</v>
      </c>
      <c r="AS344" s="752">
        <f t="shared" si="137"/>
        <v>0.5</v>
      </c>
      <c r="AT344" s="768">
        <f t="shared" si="138"/>
        <v>21.310961130261422</v>
      </c>
      <c r="AU344" s="13">
        <f t="shared" si="139"/>
        <v>13</v>
      </c>
      <c r="AV344" s="13">
        <f t="shared" si="140"/>
        <v>14</v>
      </c>
      <c r="AW344" s="173">
        <f t="shared" si="141"/>
        <v>43430</v>
      </c>
      <c r="AX344" s="752">
        <f t="shared" si="142"/>
        <v>0</v>
      </c>
      <c r="AY344" s="768">
        <f t="shared" si="143"/>
        <v>21.2</v>
      </c>
      <c r="AZ344" s="745">
        <f t="shared" si="147"/>
        <v>21.255480565130711</v>
      </c>
      <c r="BA344" s="642">
        <f t="shared" si="144"/>
        <v>1.0143522209007509</v>
      </c>
      <c r="BC344" s="11">
        <v>43430</v>
      </c>
      <c r="BD344" s="290">
        <f>[2]!FeuilCaduc*(1-Persistant)+Persistant</f>
        <v>0.74452056932991406</v>
      </c>
      <c r="BE344" s="291">
        <f>[2]!CroissVégét</f>
        <v>0.99936723010658135</v>
      </c>
      <c r="BF344" s="815">
        <f>1+[2]!Salcycl*Ksac</f>
        <v>1.007420094888319</v>
      </c>
      <c r="BH344" s="1052">
        <f t="shared" si="145"/>
        <v>1.192009133011953E-2</v>
      </c>
      <c r="BI344" s="11">
        <v>44526</v>
      </c>
      <c r="BJ344" s="725">
        <v>6.0441402909025554E-3</v>
      </c>
      <c r="BK344" s="725">
        <v>7.4898713417299017E-3</v>
      </c>
      <c r="BL344" s="725">
        <v>9.1204224052770719E-3</v>
      </c>
      <c r="BM344" s="725">
        <v>1.1022112271313615E-2</v>
      </c>
      <c r="BN344" s="725">
        <v>1.3271051615568097E-2</v>
      </c>
      <c r="BO344" s="726">
        <v>1.6538729412809386E-2</v>
      </c>
      <c r="BP344" s="725">
        <v>2.1414672611459979E-2</v>
      </c>
      <c r="BQ344" s="725">
        <v>2.8518842719661468E-2</v>
      </c>
      <c r="BR344" s="725">
        <v>3.9172849719873309E-2</v>
      </c>
      <c r="BS344" s="725">
        <v>5.4966231657658522E-2</v>
      </c>
      <c r="BT344" s="725">
        <v>7.5027757814306095E-2</v>
      </c>
      <c r="BW344" s="1189">
        <f>'2018'!R\Max</f>
        <v>0.17627211354378614</v>
      </c>
      <c r="BX344" s="1187">
        <f>'2019'!R\Max</f>
        <v>0.74596657009713496</v>
      </c>
      <c r="BY344" s="1187">
        <f>'2020'!R\Max</f>
        <v>1.0143522209007509</v>
      </c>
      <c r="BZ344" s="1187">
        <f>'2021'!R\Max</f>
        <v>0.37555694601178474</v>
      </c>
      <c r="CA344" s="1187">
        <f>'2022'!R\Max</f>
        <v>0.57514630132248767</v>
      </c>
      <c r="CB344" s="1187">
        <f>'2023'!R\Max</f>
        <v>0.57499551759937051</v>
      </c>
      <c r="CC344" s="1187">
        <f>'2024'!R\Max</f>
        <v>0.57481037686654668</v>
      </c>
      <c r="CD344" s="1187">
        <f>'2025'!R\Max</f>
        <v>0.5755874677888726</v>
      </c>
      <c r="CE344" s="1187">
        <f>'2026'!R\Max</f>
        <v>0.57550390964888964</v>
      </c>
      <c r="CF344" s="1188">
        <f>'2027'!R\Max</f>
        <v>0.57540294710365014</v>
      </c>
    </row>
    <row r="345" spans="1:84" s="6" customFormat="1" ht="11.25" x14ac:dyDescent="0.2">
      <c r="A345" s="11">
        <v>43431</v>
      </c>
      <c r="B345" s="380">
        <f>'2022'!Maxi_hp</f>
        <v>18.227231813309963</v>
      </c>
      <c r="C345" s="13">
        <f>'2022'!An_max</f>
        <v>2018</v>
      </c>
      <c r="D345" s="1061"/>
      <c r="E345" s="13"/>
      <c r="F345" s="13">
        <f t="shared" si="146"/>
        <v>25</v>
      </c>
      <c r="G345" s="13">
        <f t="shared" si="130"/>
        <v>26</v>
      </c>
      <c r="H345" s="173">
        <f t="shared" si="131"/>
        <v>43430</v>
      </c>
      <c r="I345" s="752">
        <f t="shared" si="132"/>
        <v>7.1428571428571425E-2</v>
      </c>
      <c r="J345" s="745">
        <f t="shared" si="133"/>
        <v>21.002897231174366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4">
        <v>43431</v>
      </c>
      <c r="AP345" s="13">
        <f t="shared" si="134"/>
        <v>13</v>
      </c>
      <c r="AQ345" s="13">
        <f t="shared" si="135"/>
        <v>14</v>
      </c>
      <c r="AR345" s="173">
        <f t="shared" si="136"/>
        <v>43416</v>
      </c>
      <c r="AS345" s="752">
        <f t="shared" si="137"/>
        <v>0.5357142857142857</v>
      </c>
      <c r="AT345" s="768">
        <f t="shared" si="138"/>
        <v>21.101931052042971</v>
      </c>
      <c r="AU345" s="13">
        <f t="shared" si="139"/>
        <v>13</v>
      </c>
      <c r="AV345" s="13">
        <f t="shared" si="140"/>
        <v>14</v>
      </c>
      <c r="AW345" s="173">
        <f t="shared" si="141"/>
        <v>43430</v>
      </c>
      <c r="AX345" s="752">
        <f t="shared" si="142"/>
        <v>3.5714285714285712E-2</v>
      </c>
      <c r="AY345" s="768">
        <f t="shared" si="143"/>
        <v>21.023762022171702</v>
      </c>
      <c r="AZ345" s="745">
        <f t="shared" si="147"/>
        <v>21.062846537107337</v>
      </c>
      <c r="BA345" s="642">
        <f t="shared" si="144"/>
        <v>0.86784368902474496</v>
      </c>
      <c r="BC345" s="11">
        <v>43431</v>
      </c>
      <c r="BD345" s="290">
        <f>[2]!FeuilCaduc*(1-Persistant)+Persistant</f>
        <v>0.74188064061473069</v>
      </c>
      <c r="BE345" s="291">
        <f>[2]!CroissVégét</f>
        <v>0.9994060066555025</v>
      </c>
      <c r="BF345" s="815">
        <f>1+[2]!Salcycl*Ksac</f>
        <v>1.0069801067691218</v>
      </c>
      <c r="BH345" s="1052">
        <f t="shared" si="145"/>
        <v>1.1376867345117801E-2</v>
      </c>
      <c r="BI345" s="11">
        <v>44527</v>
      </c>
      <c r="BJ345" s="725">
        <v>5.8135086090279489E-3</v>
      </c>
      <c r="BK345" s="725">
        <v>7.1666617754687139E-3</v>
      </c>
      <c r="BL345" s="725">
        <v>8.7048523231769166E-3</v>
      </c>
      <c r="BM345" s="725">
        <v>1.0510021107857195E-2</v>
      </c>
      <c r="BN345" s="725">
        <v>1.268099000660485E-2</v>
      </c>
      <c r="BO345" s="726">
        <v>1.5867840749308939E-2</v>
      </c>
      <c r="BP345" s="725">
        <v>2.0680040528005376E-2</v>
      </c>
      <c r="BQ345" s="725">
        <v>2.7774609021406351E-2</v>
      </c>
      <c r="BR345" s="725">
        <v>3.8521530556287979E-2</v>
      </c>
      <c r="BS345" s="725">
        <v>5.460027881290315E-2</v>
      </c>
      <c r="BT345" s="725">
        <v>7.5098190498915834E-2</v>
      </c>
      <c r="BW345" s="1189">
        <f>'2018'!R\Max</f>
        <v>0.86784368902474496</v>
      </c>
      <c r="BX345" s="1187">
        <f>'2019'!R\Max</f>
        <v>0.71474325462934507</v>
      </c>
      <c r="BY345" s="1187">
        <f>'2020'!R\Max</f>
        <v>0.82279637427303298</v>
      </c>
      <c r="BZ345" s="1187">
        <f>'2021'!R\Max</f>
        <v>0.71731653203245005</v>
      </c>
      <c r="CA345" s="1187">
        <f>'2022'!R\Max</f>
        <v>0.65441909095777107</v>
      </c>
      <c r="CB345" s="1187">
        <f>'2023'!R\Max</f>
        <v>0.65428055720513323</v>
      </c>
      <c r="CC345" s="1187">
        <f>'2024'!R\Max</f>
        <v>0.65410924346204924</v>
      </c>
      <c r="CD345" s="1187">
        <f>'2025'!R\Max</f>
        <v>0.6548208340415631</v>
      </c>
      <c r="CE345" s="1187">
        <f>'2026'!R\Max</f>
        <v>0.65474534708038801</v>
      </c>
      <c r="CF345" s="1188">
        <f>'2027'!R\Max</f>
        <v>0.65465370456431538</v>
      </c>
    </row>
    <row r="346" spans="1:84" s="6" customFormat="1" ht="11.25" x14ac:dyDescent="0.2">
      <c r="A346" s="11">
        <v>43432</v>
      </c>
      <c r="B346" s="380">
        <f>'2022'!Maxi_hp</f>
        <v>13.863925920515646</v>
      </c>
      <c r="C346" s="13">
        <f>'2022'!An_max</f>
        <v>2018</v>
      </c>
      <c r="D346" s="1061"/>
      <c r="E346" s="13"/>
      <c r="F346" s="13">
        <f t="shared" si="146"/>
        <v>25</v>
      </c>
      <c r="G346" s="13">
        <f t="shared" si="130"/>
        <v>26</v>
      </c>
      <c r="H346" s="173">
        <f t="shared" si="131"/>
        <v>43430</v>
      </c>
      <c r="I346" s="752">
        <f t="shared" si="132"/>
        <v>0.14285714285714285</v>
      </c>
      <c r="J346" s="745">
        <f t="shared" si="133"/>
        <v>20.811953353668962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4">
        <v>43432</v>
      </c>
      <c r="AP346" s="13">
        <f t="shared" si="134"/>
        <v>13</v>
      </c>
      <c r="AQ346" s="13">
        <f t="shared" si="135"/>
        <v>14</v>
      </c>
      <c r="AR346" s="173">
        <f t="shared" si="136"/>
        <v>43416</v>
      </c>
      <c r="AS346" s="752">
        <f t="shared" si="137"/>
        <v>0.5714285714285714</v>
      </c>
      <c r="AT346" s="768">
        <f t="shared" si="138"/>
        <v>20.900318000039885</v>
      </c>
      <c r="AU346" s="13">
        <f t="shared" si="139"/>
        <v>13</v>
      </c>
      <c r="AV346" s="13">
        <f t="shared" si="140"/>
        <v>14</v>
      </c>
      <c r="AW346" s="173">
        <f t="shared" si="141"/>
        <v>43430</v>
      </c>
      <c r="AX346" s="752">
        <f t="shared" si="142"/>
        <v>7.1428571428571425E-2</v>
      </c>
      <c r="AY346" s="768">
        <f t="shared" si="143"/>
        <v>20.855747357010841</v>
      </c>
      <c r="AZ346" s="745">
        <f t="shared" si="147"/>
        <v>20.878032678525365</v>
      </c>
      <c r="BA346" s="642">
        <f t="shared" si="144"/>
        <v>0.66615207544041322</v>
      </c>
      <c r="BC346" s="11">
        <v>43432</v>
      </c>
      <c r="BD346" s="290">
        <f>[2]!FeuilCaduc*(1-Persistant)+Persistant</f>
        <v>0.73935010131689105</v>
      </c>
      <c r="BE346" s="291">
        <f>[2]!CroissVégét</f>
        <v>0.99944322477397196</v>
      </c>
      <c r="BF346" s="815">
        <f>1+[2]!Salcycl*Ksac</f>
        <v>1.0065583502194819</v>
      </c>
      <c r="BH346" s="1052">
        <f t="shared" si="145"/>
        <v>1.087654352053199E-2</v>
      </c>
      <c r="BI346" s="11">
        <v>44528</v>
      </c>
      <c r="BJ346" s="725">
        <v>5.5844033026887195E-3</v>
      </c>
      <c r="BK346" s="725">
        <v>6.8551587433248479E-3</v>
      </c>
      <c r="BL346" s="725">
        <v>8.3113270587386358E-3</v>
      </c>
      <c r="BM346" s="725">
        <v>1.0035772551594229E-2</v>
      </c>
      <c r="BN346" s="725">
        <v>1.21414373697309E-2</v>
      </c>
      <c r="BO346" s="726">
        <v>1.5258606631540685E-2</v>
      </c>
      <c r="BP346" s="725">
        <v>2.0010613473727634E-2</v>
      </c>
      <c r="BQ346" s="725">
        <v>2.7103289727228728E-2</v>
      </c>
      <c r="BR346" s="725">
        <v>3.7949524612166337E-2</v>
      </c>
      <c r="BS346" s="725">
        <v>5.4319792545091887E-2</v>
      </c>
      <c r="BT346" s="725">
        <v>7.5254615491374091E-2</v>
      </c>
      <c r="BW346" s="1189">
        <f>'2018'!R\Max</f>
        <v>0.66615207544041322</v>
      </c>
      <c r="BX346" s="1187">
        <f>'2019'!R\Max</f>
        <v>0.52607013943981762</v>
      </c>
      <c r="BY346" s="1187">
        <f>'2020'!R\Max</f>
        <v>0.61516603751959831</v>
      </c>
      <c r="BZ346" s="1187">
        <f>'2021'!R\Max</f>
        <v>0.3244314799598757</v>
      </c>
      <c r="CA346" s="1187">
        <f>'2022'!R\Max</f>
        <v>0.56066442703033914</v>
      </c>
      <c r="CB346" s="1187">
        <f>'2023'!R\Max</f>
        <v>0.56051458475713367</v>
      </c>
      <c r="CC346" s="1187">
        <f>'2024'!R\Max</f>
        <v>0.56032794461555935</v>
      </c>
      <c r="CD346" s="1187">
        <f>'2025'!R\Max</f>
        <v>0.56109605489316594</v>
      </c>
      <c r="CE346" s="1187">
        <f>'2026'!R\Max</f>
        <v>0.56101545868278702</v>
      </c>
      <c r="CF346" s="1188">
        <f>'2027'!R\Max</f>
        <v>0.56091724529452625</v>
      </c>
    </row>
    <row r="347" spans="1:84" s="6" customFormat="1" ht="11.25" x14ac:dyDescent="0.2">
      <c r="A347" s="11">
        <v>43433</v>
      </c>
      <c r="B347" s="380">
        <f>'2022'!Maxi_hp</f>
        <v>20.020068183984399</v>
      </c>
      <c r="C347" s="13">
        <f>'2022'!An_max</f>
        <v>2018</v>
      </c>
      <c r="D347" s="1061"/>
      <c r="E347" s="13"/>
      <c r="F347" s="13">
        <f t="shared" si="146"/>
        <v>25</v>
      </c>
      <c r="G347" s="13">
        <f t="shared" si="130"/>
        <v>26</v>
      </c>
      <c r="H347" s="173">
        <f t="shared" si="131"/>
        <v>43430</v>
      </c>
      <c r="I347" s="752">
        <f t="shared" si="132"/>
        <v>0.21428571428571427</v>
      </c>
      <c r="J347" s="745">
        <f t="shared" si="133"/>
        <v>20.627715014134132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4">
        <v>43433</v>
      </c>
      <c r="AP347" s="13">
        <f t="shared" si="134"/>
        <v>13</v>
      </c>
      <c r="AQ347" s="13">
        <f t="shared" si="135"/>
        <v>14</v>
      </c>
      <c r="AR347" s="173">
        <f t="shared" si="136"/>
        <v>43416</v>
      </c>
      <c r="AS347" s="752">
        <f t="shared" si="137"/>
        <v>0.6071428571428571</v>
      </c>
      <c r="AT347" s="768">
        <f t="shared" si="138"/>
        <v>20.706507993276631</v>
      </c>
      <c r="AU347" s="13">
        <f t="shared" si="139"/>
        <v>13</v>
      </c>
      <c r="AV347" s="13">
        <f t="shared" si="140"/>
        <v>14</v>
      </c>
      <c r="AW347" s="173">
        <f t="shared" si="141"/>
        <v>43430</v>
      </c>
      <c r="AX347" s="752">
        <f t="shared" si="142"/>
        <v>0.10714285714285714</v>
      </c>
      <c r="AY347" s="768">
        <f t="shared" si="143"/>
        <v>20.695933501794936</v>
      </c>
      <c r="AZ347" s="745">
        <f t="shared" si="147"/>
        <v>20.701220747535785</v>
      </c>
      <c r="BA347" s="642">
        <f t="shared" si="144"/>
        <v>0.97054221324400824</v>
      </c>
      <c r="BC347" s="11">
        <v>43433</v>
      </c>
      <c r="BD347" s="290">
        <f>[2]!FeuilCaduc*(1-Persistant)+Persistant</f>
        <v>0.73692896616975734</v>
      </c>
      <c r="BE347" s="291">
        <f>[2]!CroissVégét</f>
        <v>0.9994789469862303</v>
      </c>
      <c r="BF347" s="815">
        <f>1+[2]!Salcycl*Ksac</f>
        <v>1.0061548276949595</v>
      </c>
      <c r="BH347" s="1052">
        <f t="shared" si="145"/>
        <v>1.0405778579067744E-2</v>
      </c>
      <c r="BI347" s="11">
        <v>44529</v>
      </c>
      <c r="BJ347" s="725">
        <v>5.3627423733755564E-3</v>
      </c>
      <c r="BK347" s="725">
        <v>6.5589954369883003E-3</v>
      </c>
      <c r="BL347" s="725">
        <v>7.9401312076221534E-3</v>
      </c>
      <c r="BM347" s="725">
        <v>9.5898753219444757E-3</v>
      </c>
      <c r="BN347" s="725">
        <v>1.1633260318572211E-2</v>
      </c>
      <c r="BO347" s="726">
        <v>1.4683769930908894E-2</v>
      </c>
      <c r="BP347" s="725">
        <v>1.9377136962460371E-2</v>
      </c>
      <c r="BQ347" s="725">
        <v>2.6473195153660183E-2</v>
      </c>
      <c r="BR347" s="725">
        <v>3.7420978260926323E-2</v>
      </c>
      <c r="BS347" s="725">
        <v>5.4083318929298491E-2</v>
      </c>
      <c r="BT347" s="725">
        <v>7.5448783229906766E-2</v>
      </c>
      <c r="BW347" s="1189">
        <f>'2018'!R\Max</f>
        <v>0.97054221324400824</v>
      </c>
      <c r="BX347" s="1187">
        <f>'2019'!R\Max</f>
        <v>0.70436075930536568</v>
      </c>
      <c r="BY347" s="1187">
        <f>'2020'!R\Max</f>
        <v>0.4182581276022001</v>
      </c>
      <c r="BZ347" s="1187">
        <f>'2021'!R\Max</f>
        <v>0.37245273612849594</v>
      </c>
      <c r="CA347" s="1187">
        <f>'2022'!R\Max</f>
        <v>0.76056476005729923</v>
      </c>
      <c r="CB347" s="1187">
        <f>'2023'!R\Max</f>
        <v>0.7604547200169699</v>
      </c>
      <c r="CC347" s="1187">
        <f>'2024'!R\Max</f>
        <v>0.76031655602667259</v>
      </c>
      <c r="CD347" s="1187">
        <f>'2025'!R\Max</f>
        <v>0.7608794721203006</v>
      </c>
      <c r="CE347" s="1187">
        <f>'2026'!R\Max</f>
        <v>0.76082109181124025</v>
      </c>
      <c r="CF347" s="1188">
        <f>'2027'!R\Max</f>
        <v>0.76074966974039138</v>
      </c>
    </row>
    <row r="348" spans="1:84" s="6" customFormat="1" ht="11.25" x14ac:dyDescent="0.2">
      <c r="A348" s="11">
        <v>43434</v>
      </c>
      <c r="B348" s="380">
        <f>'2022'!Maxi_hp</f>
        <v>19.556605009076051</v>
      </c>
      <c r="C348" s="13">
        <f>'2022'!An_max</f>
        <v>2021</v>
      </c>
      <c r="D348" s="1061"/>
      <c r="E348" s="13"/>
      <c r="F348" s="13">
        <f t="shared" si="146"/>
        <v>25</v>
      </c>
      <c r="G348" s="13">
        <f t="shared" si="130"/>
        <v>26</v>
      </c>
      <c r="H348" s="173">
        <f t="shared" si="131"/>
        <v>43430</v>
      </c>
      <c r="I348" s="752">
        <f t="shared" si="132"/>
        <v>0.2857142857142857</v>
      </c>
      <c r="J348" s="745">
        <f t="shared" si="133"/>
        <v>20.450728862413339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4">
        <v>43434</v>
      </c>
      <c r="AP348" s="13">
        <f t="shared" si="134"/>
        <v>13</v>
      </c>
      <c r="AQ348" s="13">
        <f t="shared" si="135"/>
        <v>14</v>
      </c>
      <c r="AR348" s="173">
        <f t="shared" si="136"/>
        <v>43416</v>
      </c>
      <c r="AS348" s="752">
        <f t="shared" si="137"/>
        <v>0.6428571428571429</v>
      </c>
      <c r="AT348" s="768">
        <f t="shared" si="138"/>
        <v>20.520887048382843</v>
      </c>
      <c r="AU348" s="13">
        <f t="shared" si="139"/>
        <v>13</v>
      </c>
      <c r="AV348" s="13">
        <f t="shared" si="140"/>
        <v>14</v>
      </c>
      <c r="AW348" s="173">
        <f t="shared" si="141"/>
        <v>43430</v>
      </c>
      <c r="AX348" s="752">
        <f t="shared" si="142"/>
        <v>0.14285714285714285</v>
      </c>
      <c r="AY348" s="768">
        <f t="shared" si="143"/>
        <v>20.54429793868746</v>
      </c>
      <c r="AZ348" s="745">
        <f t="shared" si="147"/>
        <v>20.532592493535152</v>
      </c>
      <c r="BA348" s="642">
        <f t="shared" si="144"/>
        <v>0.95627912044833718</v>
      </c>
      <c r="BC348" s="11">
        <v>43434</v>
      </c>
      <c r="BD348" s="290">
        <f>[2]!FeuilCaduc*(1-Persistant)+Persistant</f>
        <v>0.73461688068706599</v>
      </c>
      <c r="BE348" s="291">
        <f>[2]!CroissVégét</f>
        <v>0.99951323331664843</v>
      </c>
      <c r="BF348" s="815">
        <f>1+[2]!Salcycl*Ksac</f>
        <v>1.0057694801145109</v>
      </c>
      <c r="BH348" s="1052">
        <f t="shared" si="145"/>
        <v>9.9646285248503538E-3</v>
      </c>
      <c r="BI348" s="11">
        <v>44530</v>
      </c>
      <c r="BJ348" s="725">
        <v>5.1485512452510212E-3</v>
      </c>
      <c r="BK348" s="725">
        <v>6.2782061529736352E-3</v>
      </c>
      <c r="BL348" s="725">
        <v>7.5913080862074385E-3</v>
      </c>
      <c r="BM348" s="725">
        <v>9.1723820126770519E-3</v>
      </c>
      <c r="BN348" s="725">
        <v>1.1156519987948053E-2</v>
      </c>
      <c r="BO348" s="726">
        <v>1.4143402665517609E-2</v>
      </c>
      <c r="BP348" s="725">
        <v>1.8779696461564986E-2</v>
      </c>
      <c r="BQ348" s="725">
        <v>2.5884426979990327E-2</v>
      </c>
      <c r="BR348" s="725">
        <v>3.6936011228741378E-2</v>
      </c>
      <c r="BS348" s="725">
        <v>5.3890996864879012E-2</v>
      </c>
      <c r="BT348" s="725">
        <v>7.5680852094127782E-2</v>
      </c>
      <c r="BW348" s="1189">
        <f>'2018'!R\Max</f>
        <v>0.46865282211357107</v>
      </c>
      <c r="BX348" s="1187">
        <f>'2019'!R\Max</f>
        <v>0.55123966567763283</v>
      </c>
      <c r="BY348" s="1187">
        <f>'2020'!R\Max</f>
        <v>0.95538274374110621</v>
      </c>
      <c r="BZ348" s="1187">
        <f>'2021'!R\Max</f>
        <v>0.95627912044833718</v>
      </c>
      <c r="CA348" s="1187">
        <f>'2022'!R\Max</f>
        <v>0.21616003529446343</v>
      </c>
      <c r="CB348" s="1187">
        <f>'2023'!R\Max</f>
        <v>0.21606919220448589</v>
      </c>
      <c r="CC348" s="1187">
        <f>'2024'!R\Max</f>
        <v>0.21595427539082729</v>
      </c>
      <c r="CD348" s="1187">
        <f>'2025'!R\Max</f>
        <v>0.21641845398814477</v>
      </c>
      <c r="CE348" s="1187">
        <f>'2026'!R\Max</f>
        <v>0.21637077949593359</v>
      </c>
      <c r="CF348" s="1188">
        <f>'2027'!R\Max</f>
        <v>0.21631225480708371</v>
      </c>
    </row>
    <row r="349" spans="1:84" s="6" customFormat="1" ht="11.25" x14ac:dyDescent="0.2">
      <c r="A349" s="11">
        <v>43435</v>
      </c>
      <c r="B349" s="380">
        <f>'2022'!Maxi_hp</f>
        <v>20.229052187489842</v>
      </c>
      <c r="C349" s="13">
        <f>'2022'!An_max</f>
        <v>2020</v>
      </c>
      <c r="D349" s="1061"/>
      <c r="E349" s="13"/>
      <c r="F349" s="13">
        <f t="shared" si="146"/>
        <v>25</v>
      </c>
      <c r="G349" s="13">
        <f t="shared" si="130"/>
        <v>26</v>
      </c>
      <c r="H349" s="173">
        <f t="shared" si="131"/>
        <v>43430</v>
      </c>
      <c r="I349" s="752">
        <f t="shared" si="132"/>
        <v>0.35714285714285715</v>
      </c>
      <c r="J349" s="745">
        <f t="shared" si="133"/>
        <v>20.281541543879676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4">
        <v>43435</v>
      </c>
      <c r="AP349" s="13">
        <f t="shared" si="134"/>
        <v>13</v>
      </c>
      <c r="AQ349" s="13">
        <f t="shared" si="135"/>
        <v>14</v>
      </c>
      <c r="AR349" s="173">
        <f t="shared" si="136"/>
        <v>43416</v>
      </c>
      <c r="AS349" s="752">
        <f t="shared" si="137"/>
        <v>0.6785714285714286</v>
      </c>
      <c r="AT349" s="768">
        <f t="shared" si="138"/>
        <v>20.343841185340924</v>
      </c>
      <c r="AU349" s="13">
        <f t="shared" si="139"/>
        <v>13</v>
      </c>
      <c r="AV349" s="13">
        <f t="shared" si="140"/>
        <v>14</v>
      </c>
      <c r="AW349" s="173">
        <f t="shared" si="141"/>
        <v>43430</v>
      </c>
      <c r="AX349" s="752">
        <f t="shared" si="142"/>
        <v>0.17857142857142858</v>
      </c>
      <c r="AY349" s="768">
        <f t="shared" si="143"/>
        <v>20.400818153736843</v>
      </c>
      <c r="AZ349" s="745">
        <f t="shared" si="147"/>
        <v>20.372329669538885</v>
      </c>
      <c r="BA349" s="642">
        <f t="shared" si="144"/>
        <v>0.99741196416079747</v>
      </c>
      <c r="BC349" s="11">
        <v>43435</v>
      </c>
      <c r="BD349" s="290">
        <f>[2]!FeuilCaduc*(1-Persistant)+Persistant</f>
        <v>0.73241313164825039</v>
      </c>
      <c r="BE349" s="291">
        <f>[2]!CroissVégét</f>
        <v>0.99954614138899944</v>
      </c>
      <c r="BF349" s="815">
        <f>1+[2]!Salcycl*Ksac</f>
        <v>1.0054021886080418</v>
      </c>
      <c r="BH349" s="1052">
        <f t="shared" si="145"/>
        <v>9.5531425765606678E-3</v>
      </c>
      <c r="BI349" s="11">
        <v>44531</v>
      </c>
      <c r="BJ349" s="725">
        <v>4.9418527662747425E-3</v>
      </c>
      <c r="BK349" s="725">
        <v>6.0128212307943695E-3</v>
      </c>
      <c r="BL349" s="725">
        <v>7.2648957549019044E-3</v>
      </c>
      <c r="BM349" s="725">
        <v>8.7833387573588925E-3</v>
      </c>
      <c r="BN349" s="725">
        <v>1.0711270237924096E-2</v>
      </c>
      <c r="BO349" s="726">
        <v>1.3637568725224675E-2</v>
      </c>
      <c r="BP349" s="725">
        <v>1.8218368659928805E-2</v>
      </c>
      <c r="BQ349" s="725">
        <v>2.5337077611592776E-2</v>
      </c>
      <c r="BR349" s="725">
        <v>3.6494734572389692E-2</v>
      </c>
      <c r="BS349" s="725">
        <v>5.3742958921915877E-2</v>
      </c>
      <c r="BT349" s="725">
        <v>7.5950978271651176E-2</v>
      </c>
      <c r="BW349" s="1189">
        <f>'2018'!R\Max</f>
        <v>0.76036540304386158</v>
      </c>
      <c r="BX349" s="1187">
        <f>'2019'!R\Max</f>
        <v>0.39432208023711585</v>
      </c>
      <c r="BY349" s="1187">
        <f>'2020'!R\Max</f>
        <v>0.99741196416079747</v>
      </c>
      <c r="BZ349" s="1187">
        <f>'2021'!R\Max</f>
        <v>0.21766734756316039</v>
      </c>
      <c r="CA349" s="1187">
        <f>'2022'!R\Max</f>
        <v>0.20655614834452121</v>
      </c>
      <c r="CB349" s="1187">
        <f>'2023'!R\Max</f>
        <v>0.20646992602920655</v>
      </c>
      <c r="CC349" s="1187">
        <f>'2024'!R\Max</f>
        <v>0.20635992526940411</v>
      </c>
      <c r="CD349" s="1187">
        <f>'2025'!R\Max</f>
        <v>0.20679991817386792</v>
      </c>
      <c r="CE349" s="1187">
        <f>'2026'!R\Max</f>
        <v>0.20675521471957917</v>
      </c>
      <c r="CF349" s="1188">
        <f>'2027'!R\Max</f>
        <v>0.20670013433308046</v>
      </c>
    </row>
    <row r="350" spans="1:84" s="6" customFormat="1" ht="11.25" x14ac:dyDescent="0.2">
      <c r="A350" s="11">
        <v>43436</v>
      </c>
      <c r="B350" s="380">
        <f>'2022'!Maxi_hp</f>
        <v>9.3592865081560959</v>
      </c>
      <c r="C350" s="13">
        <f>'2022'!An_max</f>
        <v>2021</v>
      </c>
      <c r="D350" s="1061"/>
      <c r="E350" s="13"/>
      <c r="F350" s="13">
        <f t="shared" si="146"/>
        <v>25</v>
      </c>
      <c r="G350" s="13">
        <f t="shared" si="130"/>
        <v>26</v>
      </c>
      <c r="H350" s="173">
        <f t="shared" si="131"/>
        <v>43430</v>
      </c>
      <c r="I350" s="752">
        <f t="shared" si="132"/>
        <v>0.42857142857142855</v>
      </c>
      <c r="J350" s="745">
        <f t="shared" si="133"/>
        <v>20.120699706673623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4">
        <v>43436</v>
      </c>
      <c r="AP350" s="13">
        <f t="shared" si="134"/>
        <v>13</v>
      </c>
      <c r="AQ350" s="13">
        <f t="shared" si="135"/>
        <v>14</v>
      </c>
      <c r="AR350" s="173">
        <f t="shared" si="136"/>
        <v>43416</v>
      </c>
      <c r="AS350" s="752">
        <f t="shared" si="137"/>
        <v>0.7142857142857143</v>
      </c>
      <c r="AT350" s="768">
        <f t="shared" si="138"/>
        <v>20.175756419343607</v>
      </c>
      <c r="AU350" s="13">
        <f t="shared" si="139"/>
        <v>13</v>
      </c>
      <c r="AV350" s="13">
        <f t="shared" si="140"/>
        <v>14</v>
      </c>
      <c r="AW350" s="173">
        <f t="shared" si="141"/>
        <v>43430</v>
      </c>
      <c r="AX350" s="752">
        <f t="shared" si="142"/>
        <v>0.21428571428571427</v>
      </c>
      <c r="AY350" s="768">
        <f t="shared" si="143"/>
        <v>20.265471639058422</v>
      </c>
      <c r="AZ350" s="745">
        <f t="shared" si="147"/>
        <v>20.220614029201016</v>
      </c>
      <c r="BA350" s="642">
        <f t="shared" si="144"/>
        <v>0.46515710907666957</v>
      </c>
      <c r="BC350" s="11">
        <v>43436</v>
      </c>
      <c r="BD350" s="290">
        <f>[2]!FeuilCaduc*(1-Persistant)+Persistant</f>
        <v>0.73031665963011982</v>
      </c>
      <c r="BE350" s="291">
        <f>[2]!CroissVégét</f>
        <v>0.99957772652184329</v>
      </c>
      <c r="BF350" s="815">
        <f>1+[2]!Salcycl*Ksac</f>
        <v>1.0050527766050199</v>
      </c>
      <c r="BH350" s="1052">
        <f t="shared" si="145"/>
        <v>9.1713637887877279E-3</v>
      </c>
      <c r="BI350" s="11">
        <v>44532</v>
      </c>
      <c r="BJ350" s="725">
        <v>4.7426673662834071E-3</v>
      </c>
      <c r="BK350" s="725">
        <v>5.7628673761303513E-3</v>
      </c>
      <c r="BL350" s="725">
        <v>6.9609274876306932E-3</v>
      </c>
      <c r="BM350" s="725">
        <v>8.4227858251404806E-3</v>
      </c>
      <c r="BN350" s="725">
        <v>1.0297558313629057E-2</v>
      </c>
      <c r="BO350" s="726">
        <v>1.3166324595861428E-2</v>
      </c>
      <c r="BP350" s="725">
        <v>1.7693222226649531E-2</v>
      </c>
      <c r="BQ350" s="725">
        <v>2.483123105114084E-2</v>
      </c>
      <c r="BR350" s="725">
        <v>3.609725160083193E-2</v>
      </c>
      <c r="BS350" s="725">
        <v>5.3639332279522903E-2</v>
      </c>
      <c r="BT350" s="725">
        <v>7.6259316572384717E-2</v>
      </c>
      <c r="BW350" s="1189">
        <f>'2018'!R\Max</f>
        <v>0.34308511062205593</v>
      </c>
      <c r="BX350" s="1187">
        <f>'2019'!R\Max</f>
        <v>0.2207123826097275</v>
      </c>
      <c r="BY350" s="1187">
        <f>'2020'!R\Max</f>
        <v>0.24776037601206261</v>
      </c>
      <c r="BZ350" s="1187">
        <f>'2021'!R\Max</f>
        <v>0.46515710907666957</v>
      </c>
      <c r="CA350" s="1187">
        <f>'2022'!R\Max</f>
        <v>0.3145805666734543</v>
      </c>
      <c r="CB350" s="1187">
        <f>'2023'!R\Max</f>
        <v>0.31445292482543286</v>
      </c>
      <c r="CC350" s="1187">
        <f>'2024'!R\Max</f>
        <v>0.31428862961264886</v>
      </c>
      <c r="CD350" s="1187">
        <f>'2025'!R\Max</f>
        <v>0.3149393263572951</v>
      </c>
      <c r="CE350" s="1187">
        <f>'2026'!R\Max</f>
        <v>0.3148739170001108</v>
      </c>
      <c r="CF350" s="1188">
        <f>'2027'!R\Max</f>
        <v>0.31479303191135877</v>
      </c>
    </row>
    <row r="351" spans="1:84" s="6" customFormat="1" ht="11.25" x14ac:dyDescent="0.2">
      <c r="A351" s="11">
        <v>43437</v>
      </c>
      <c r="B351" s="380">
        <f>'2022'!Maxi_hp</f>
        <v>13.44927584857693</v>
      </c>
      <c r="C351" s="13">
        <f>'2022'!An_max</f>
        <v>2021</v>
      </c>
      <c r="D351" s="1061"/>
      <c r="E351" s="13"/>
      <c r="F351" s="13">
        <f t="shared" si="146"/>
        <v>25</v>
      </c>
      <c r="G351" s="13">
        <f t="shared" si="130"/>
        <v>26</v>
      </c>
      <c r="H351" s="173">
        <f t="shared" si="131"/>
        <v>43430</v>
      </c>
      <c r="I351" s="752">
        <f t="shared" si="132"/>
        <v>0.5</v>
      </c>
      <c r="J351" s="745">
        <f t="shared" si="133"/>
        <v>19.968749997764824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4">
        <v>43437</v>
      </c>
      <c r="AP351" s="13">
        <f t="shared" si="134"/>
        <v>13</v>
      </c>
      <c r="AQ351" s="13">
        <f t="shared" si="135"/>
        <v>14</v>
      </c>
      <c r="AR351" s="173">
        <f t="shared" si="136"/>
        <v>43416</v>
      </c>
      <c r="AS351" s="752">
        <f t="shared" si="137"/>
        <v>0.75</v>
      </c>
      <c r="AT351" s="768">
        <f t="shared" si="138"/>
        <v>20.017018770612776</v>
      </c>
      <c r="AU351" s="13">
        <f t="shared" si="139"/>
        <v>13</v>
      </c>
      <c r="AV351" s="13">
        <f t="shared" si="140"/>
        <v>14</v>
      </c>
      <c r="AW351" s="173">
        <f t="shared" si="141"/>
        <v>43430</v>
      </c>
      <c r="AX351" s="752">
        <f t="shared" si="142"/>
        <v>0.25</v>
      </c>
      <c r="AY351" s="768">
        <f t="shared" si="143"/>
        <v>20.138235877454282</v>
      </c>
      <c r="AZ351" s="745">
        <f t="shared" si="147"/>
        <v>20.077627324033529</v>
      </c>
      <c r="BA351" s="642">
        <f t="shared" si="144"/>
        <v>0.67351616150647164</v>
      </c>
      <c r="BC351" s="11">
        <v>43437</v>
      </c>
      <c r="BD351" s="290">
        <f>[2]!FeuilCaduc*(1-Persistant)+Persistant</f>
        <v>0.72832607347027767</v>
      </c>
      <c r="BE351" s="291">
        <f>[2]!CroissVégét</f>
        <v>0.99960804182016849</v>
      </c>
      <c r="BF351" s="815">
        <f>1+[2]!Salcycl*Ksac</f>
        <v>1.0047210122450463</v>
      </c>
      <c r="BH351" s="1052">
        <f t="shared" si="145"/>
        <v>8.8193296732452936E-3</v>
      </c>
      <c r="BI351" s="11">
        <v>44533</v>
      </c>
      <c r="BJ351" s="725">
        <v>4.5510132150006644E-3</v>
      </c>
      <c r="BK351" s="725">
        <v>5.5283679839093994E-3</v>
      </c>
      <c r="BL351" s="725">
        <v>6.6794322412231386E-3</v>
      </c>
      <c r="BM351" s="725">
        <v>8.0907582164161315E-3</v>
      </c>
      <c r="BN351" s="725">
        <v>9.9154255049191831E-3</v>
      </c>
      <c r="BO351" s="726">
        <v>1.272972008326013E-2</v>
      </c>
      <c r="BP351" s="725">
        <v>1.7204318569465797E-2</v>
      </c>
      <c r="BQ351" s="725">
        <v>2.4366963769475898E-2</v>
      </c>
      <c r="BR351" s="725">
        <v>3.5743658796297262E-2</v>
      </c>
      <c r="BS351" s="725">
        <v>5.3580239663438334E-2</v>
      </c>
      <c r="BT351" s="725">
        <v>7.6606021241829483E-2</v>
      </c>
      <c r="BW351" s="1189">
        <f>'2018'!R\Max</f>
        <v>0.38873285089763132</v>
      </c>
      <c r="BX351" s="1187">
        <f>'2019'!R\Max</f>
        <v>0.25136468747187157</v>
      </c>
      <c r="BY351" s="1187">
        <f>'2020'!R\Max</f>
        <v>6.2529603334411168E-2</v>
      </c>
      <c r="BZ351" s="1187">
        <f>'2021'!R\Max</f>
        <v>0.67351616150647164</v>
      </c>
      <c r="CA351" s="1187">
        <f>'2022'!R\Max</f>
        <v>0.4308457104992226</v>
      </c>
      <c r="CB351" s="1187">
        <f>'2023'!R\Max</f>
        <v>0.43070151820388813</v>
      </c>
      <c r="CC351" s="1187">
        <f>'2024'!R\Max</f>
        <v>0.43051416978410051</v>
      </c>
      <c r="CD351" s="1187">
        <f>'2025'!R\Max</f>
        <v>0.4312486619179221</v>
      </c>
      <c r="CE351" s="1187">
        <f>'2026'!R\Max</f>
        <v>0.43117561465947796</v>
      </c>
      <c r="CF351" s="1188">
        <f>'2027'!R\Max</f>
        <v>0.43108495966715565</v>
      </c>
    </row>
    <row r="352" spans="1:84" s="6" customFormat="1" ht="11.25" x14ac:dyDescent="0.2">
      <c r="A352" s="11">
        <v>43438</v>
      </c>
      <c r="B352" s="380">
        <f>'2022'!Maxi_hp</f>
        <v>16.021146633315308</v>
      </c>
      <c r="C352" s="13">
        <f>'2022'!An_max</f>
        <v>2022</v>
      </c>
      <c r="D352" s="1061"/>
      <c r="E352" s="13"/>
      <c r="F352" s="13">
        <f t="shared" si="146"/>
        <v>25</v>
      </c>
      <c r="G352" s="13">
        <f t="shared" si="130"/>
        <v>26</v>
      </c>
      <c r="H352" s="173">
        <f t="shared" si="131"/>
        <v>43430</v>
      </c>
      <c r="I352" s="752">
        <f t="shared" si="132"/>
        <v>0.5714285714285714</v>
      </c>
      <c r="J352" s="745">
        <f t="shared" si="133"/>
        <v>19.826239066464559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4">
        <v>43438</v>
      </c>
      <c r="AP352" s="13">
        <f t="shared" si="134"/>
        <v>13</v>
      </c>
      <c r="AQ352" s="13">
        <f t="shared" si="135"/>
        <v>14</v>
      </c>
      <c r="AR352" s="173">
        <f t="shared" si="136"/>
        <v>43416</v>
      </c>
      <c r="AS352" s="752">
        <f t="shared" si="137"/>
        <v>0.7857142857142857</v>
      </c>
      <c r="AT352" s="768">
        <f t="shared" si="138"/>
        <v>19.868014258465596</v>
      </c>
      <c r="AU352" s="13">
        <f t="shared" si="139"/>
        <v>13</v>
      </c>
      <c r="AV352" s="13">
        <f t="shared" si="140"/>
        <v>14</v>
      </c>
      <c r="AW352" s="173">
        <f t="shared" si="141"/>
        <v>43430</v>
      </c>
      <c r="AX352" s="752">
        <f t="shared" si="142"/>
        <v>0.2857142857142857</v>
      </c>
      <c r="AY352" s="768">
        <f t="shared" si="143"/>
        <v>20.019088362795966</v>
      </c>
      <c r="AZ352" s="745">
        <f t="shared" si="147"/>
        <v>19.943551310630781</v>
      </c>
      <c r="BA352" s="642">
        <f t="shared" si="144"/>
        <v>0.80807795061921539</v>
      </c>
      <c r="BC352" s="11">
        <v>43438</v>
      </c>
      <c r="BD352" s="290">
        <f>[2]!FeuilCaduc*(1-Persistant)+Persistant</f>
        <v>0.72643966653326175</v>
      </c>
      <c r="BE352" s="291">
        <f>[2]!CroissVégét</f>
        <v>0.99963713826343847</v>
      </c>
      <c r="BF352" s="815">
        <f>1+[2]!Salcycl*Ksac</f>
        <v>1.004406611088877</v>
      </c>
      <c r="BH352" s="1052">
        <f t="shared" si="145"/>
        <v>8.5057386832770691E-3</v>
      </c>
      <c r="BI352" s="11">
        <v>44534</v>
      </c>
      <c r="BJ352" s="725">
        <v>4.3713747909378793E-3</v>
      </c>
      <c r="BK352" s="725">
        <v>5.3147891759666123E-3</v>
      </c>
      <c r="BL352" s="725">
        <v>6.4271372251884723E-3</v>
      </c>
      <c r="BM352" s="725">
        <v>7.7952713258716928E-3</v>
      </c>
      <c r="BN352" s="725">
        <v>9.5745978894578518E-3</v>
      </c>
      <c r="BO352" s="726">
        <v>1.2339831168895395E-2</v>
      </c>
      <c r="BP352" s="725">
        <v>1.676751966105729E-2</v>
      </c>
      <c r="BQ352" s="725">
        <v>2.3959151662377855E-2</v>
      </c>
      <c r="BR352" s="725">
        <v>3.5448862090711332E-2</v>
      </c>
      <c r="BS352" s="725">
        <v>5.3569584598308392E-2</v>
      </c>
      <c r="BT352" s="725">
        <v>7.6978530636544848E-2</v>
      </c>
      <c r="BW352" s="1189">
        <f>'2018'!R\Max</f>
        <v>0.27879876643643592</v>
      </c>
      <c r="BX352" s="1187">
        <f>'2019'!R\Max</f>
        <v>0.31338743919784862</v>
      </c>
      <c r="BY352" s="1187">
        <f>'2020'!R\Max</f>
        <v>0.56802104120106456</v>
      </c>
      <c r="BZ352" s="1187">
        <f>'2021'!R\Max</f>
        <v>0.33241828651380273</v>
      </c>
      <c r="CA352" s="1187">
        <f>'2022'!R\Max</f>
        <v>0.80807795061921539</v>
      </c>
      <c r="CB352" s="1187">
        <f>'2023'!R\Max</f>
        <v>0.8079872798656097</v>
      </c>
      <c r="CC352" s="1187">
        <f>'2024'!R\Max</f>
        <v>0.80786834829795295</v>
      </c>
      <c r="CD352" s="1187">
        <f>'2025'!R\Max</f>
        <v>0.80832982891187655</v>
      </c>
      <c r="CE352" s="1187">
        <f>'2026'!R\Max</f>
        <v>0.80828443085580637</v>
      </c>
      <c r="CF352" s="1188">
        <f>'2027'!R\Max</f>
        <v>0.80822788702635706</v>
      </c>
    </row>
    <row r="353" spans="1:84" s="6" customFormat="1" ht="11.25" x14ac:dyDescent="0.2">
      <c r="A353" s="11">
        <v>43439</v>
      </c>
      <c r="B353" s="380">
        <f>'2022'!Maxi_hp</f>
        <v>20.008159739519449</v>
      </c>
      <c r="C353" s="13">
        <f>'2022'!An_max</f>
        <v>2022</v>
      </c>
      <c r="D353" s="1061"/>
      <c r="E353" s="13"/>
      <c r="F353" s="13">
        <f t="shared" si="146"/>
        <v>25</v>
      </c>
      <c r="G353" s="13">
        <f t="shared" si="130"/>
        <v>26</v>
      </c>
      <c r="H353" s="173">
        <f t="shared" si="131"/>
        <v>43430</v>
      </c>
      <c r="I353" s="752">
        <f t="shared" si="132"/>
        <v>0.6428571428571429</v>
      </c>
      <c r="J353" s="745">
        <f t="shared" si="133"/>
        <v>19.693713555591447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4">
        <v>43439</v>
      </c>
      <c r="AP353" s="13">
        <f t="shared" si="134"/>
        <v>13</v>
      </c>
      <c r="AQ353" s="13">
        <f t="shared" si="135"/>
        <v>14</v>
      </c>
      <c r="AR353" s="173">
        <f t="shared" si="136"/>
        <v>43416</v>
      </c>
      <c r="AS353" s="752">
        <f t="shared" si="137"/>
        <v>0.8214285714285714</v>
      </c>
      <c r="AT353" s="768">
        <f t="shared" si="138"/>
        <v>19.729128895407278</v>
      </c>
      <c r="AU353" s="13">
        <f t="shared" si="139"/>
        <v>13</v>
      </c>
      <c r="AV353" s="13">
        <f t="shared" si="140"/>
        <v>14</v>
      </c>
      <c r="AW353" s="173">
        <f t="shared" si="141"/>
        <v>43430</v>
      </c>
      <c r="AX353" s="752">
        <f t="shared" si="142"/>
        <v>0.32142857142857145</v>
      </c>
      <c r="AY353" s="768">
        <f t="shared" si="143"/>
        <v>19.908006574266729</v>
      </c>
      <c r="AZ353" s="745">
        <f t="shared" si="147"/>
        <v>19.818567734837004</v>
      </c>
      <c r="BA353" s="642">
        <f t="shared" si="144"/>
        <v>1.0159668303817044</v>
      </c>
      <c r="BC353" s="11">
        <v>43439</v>
      </c>
      <c r="BD353" s="290">
        <f>[2]!FeuilCaduc*(1-Persistant)+Persistant</f>
        <v>0.72465543463718785</v>
      </c>
      <c r="BE353" s="291">
        <f>[2]!CroissVégét</f>
        <v>0.99966506479017636</v>
      </c>
      <c r="BF353" s="815">
        <f>1+[2]!Salcycl*Ksac</f>
        <v>1.0041092391061979</v>
      </c>
      <c r="BH353" s="1052">
        <f t="shared" si="145"/>
        <v>8.2139175141671718E-3</v>
      </c>
      <c r="BI353" s="11">
        <v>44535</v>
      </c>
      <c r="BJ353" s="725">
        <v>4.2042842641351946E-3</v>
      </c>
      <c r="BK353" s="725">
        <v>5.1164058970988267E-3</v>
      </c>
      <c r="BL353" s="725">
        <v>6.1928505225138826E-3</v>
      </c>
      <c r="BM353" s="725">
        <v>7.5203933518395022E-3</v>
      </c>
      <c r="BN353" s="725">
        <v>9.2572866118269103E-3</v>
      </c>
      <c r="BO353" s="726">
        <v>1.1977305342990486E-2</v>
      </c>
      <c r="BP353" s="725">
        <v>1.636241507058105E-2</v>
      </c>
      <c r="BQ353" s="725">
        <v>2.3582868431374665E-2</v>
      </c>
      <c r="BR353" s="725">
        <v>3.5186351701061547E-2</v>
      </c>
      <c r="BS353" s="725">
        <v>5.3578144872122896E-2</v>
      </c>
      <c r="BT353" s="725">
        <v>7.7347567227446345E-2</v>
      </c>
      <c r="BW353" s="1189">
        <f>'2018'!R\Max</f>
        <v>0.77649579590034634</v>
      </c>
      <c r="BX353" s="1187">
        <f>'2019'!R\Max</f>
        <v>0.40888173226408753</v>
      </c>
      <c r="BY353" s="1187">
        <f>'2020'!R\Max</f>
        <v>0.4551587768336639</v>
      </c>
      <c r="BZ353" s="1187">
        <f>'2021'!R\Max</f>
        <v>0.49764745239691249</v>
      </c>
      <c r="CA353" s="1187">
        <f>'2022'!R\Max</f>
        <v>1.0159668303817044</v>
      </c>
      <c r="CB353" s="1187">
        <f>'2023'!R\Max</f>
        <v>1.0159668303817044</v>
      </c>
      <c r="CC353" s="1187">
        <f>'2024'!R\Max</f>
        <v>1.0159668303817042</v>
      </c>
      <c r="CD353" s="1187">
        <f>'2025'!R\Max</f>
        <v>1.0159668303817047</v>
      </c>
      <c r="CE353" s="1187">
        <f>'2026'!R\Max</f>
        <v>1.0159668303817042</v>
      </c>
      <c r="CF353" s="1188">
        <f>'2027'!R\Max</f>
        <v>1.0159668303817047</v>
      </c>
    </row>
    <row r="354" spans="1:84" s="6" customFormat="1" ht="11.25" x14ac:dyDescent="0.2">
      <c r="A354" s="11">
        <v>43440</v>
      </c>
      <c r="B354" s="380">
        <f>'2022'!Maxi_hp</f>
        <v>14.0527233412349</v>
      </c>
      <c r="C354" s="13">
        <f>'2022'!An_max</f>
        <v>2020</v>
      </c>
      <c r="D354" s="1061"/>
      <c r="E354" s="13"/>
      <c r="F354" s="13">
        <f t="shared" si="146"/>
        <v>25</v>
      </c>
      <c r="G354" s="13">
        <f t="shared" si="130"/>
        <v>26</v>
      </c>
      <c r="H354" s="173">
        <f t="shared" si="131"/>
        <v>43430</v>
      </c>
      <c r="I354" s="752">
        <f t="shared" si="132"/>
        <v>0.7142857142857143</v>
      </c>
      <c r="J354" s="745">
        <f t="shared" si="133"/>
        <v>19.571720115414688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4">
        <v>43440</v>
      </c>
      <c r="AP354" s="13">
        <f t="shared" si="134"/>
        <v>13</v>
      </c>
      <c r="AQ354" s="13">
        <f t="shared" si="135"/>
        <v>14</v>
      </c>
      <c r="AR354" s="173">
        <f t="shared" si="136"/>
        <v>43416</v>
      </c>
      <c r="AS354" s="752">
        <f t="shared" si="137"/>
        <v>0.8571428571428571</v>
      </c>
      <c r="AT354" s="768">
        <f t="shared" si="138"/>
        <v>19.600748703096592</v>
      </c>
      <c r="AU354" s="13">
        <f t="shared" si="139"/>
        <v>13</v>
      </c>
      <c r="AV354" s="13">
        <f t="shared" si="140"/>
        <v>14</v>
      </c>
      <c r="AW354" s="173">
        <f t="shared" si="141"/>
        <v>43430</v>
      </c>
      <c r="AX354" s="752">
        <f t="shared" si="142"/>
        <v>0.35714285714285715</v>
      </c>
      <c r="AY354" s="768">
        <f t="shared" si="143"/>
        <v>19.804968008505448</v>
      </c>
      <c r="AZ354" s="745">
        <f t="shared" si="147"/>
        <v>19.70285835580102</v>
      </c>
      <c r="BA354" s="642">
        <f t="shared" si="144"/>
        <v>0.71801166470631128</v>
      </c>
      <c r="BC354" s="11">
        <v>43440</v>
      </c>
      <c r="BD354" s="290">
        <f>[2]!FeuilCaduc*(1-Persistant)+Persistant</f>
        <v>0.72297109548678218</v>
      </c>
      <c r="BE354" s="291">
        <f>[2]!CroissVégét</f>
        <v>0.9996918683792223</v>
      </c>
      <c r="BF354" s="815">
        <f>1+[2]!Salcycl*Ksac</f>
        <v>1.0038285159144638</v>
      </c>
      <c r="BH354" s="1052">
        <f t="shared" si="145"/>
        <v>7.9438900668387172E-3</v>
      </c>
      <c r="BI354" s="11">
        <v>44536</v>
      </c>
      <c r="BJ354" s="725">
        <v>4.0497542894633977E-3</v>
      </c>
      <c r="BK354" s="725">
        <v>4.9332334583036541E-3</v>
      </c>
      <c r="BL354" s="725">
        <v>5.9765905338245223E-3</v>
      </c>
      <c r="BM354" s="725">
        <v>7.2661463661309539E-3</v>
      </c>
      <c r="BN354" s="725">
        <v>8.9635183247478174E-3</v>
      </c>
      <c r="BO354" s="726">
        <v>1.1642176014745516E-2</v>
      </c>
      <c r="BP354" s="725">
        <v>1.598904842694672E-2</v>
      </c>
      <c r="BQ354" s="725">
        <v>2.3238172230507406E-2</v>
      </c>
      <c r="BR354" s="725">
        <v>3.4956208090256506E-2</v>
      </c>
      <c r="BS354" s="725">
        <v>5.3606033518281179E-2</v>
      </c>
      <c r="BT354" s="725">
        <v>7.7713285454298356E-2</v>
      </c>
      <c r="BW354" s="1189">
        <f>'2018'!R\Max</f>
        <v>0.6115318980609914</v>
      </c>
      <c r="BX354" s="1187">
        <f>'2019'!R\Max</f>
        <v>0.48945512318252338</v>
      </c>
      <c r="BY354" s="1187">
        <f>'2020'!R\Max</f>
        <v>0.71801166470631128</v>
      </c>
      <c r="BZ354" s="1187">
        <f>'2021'!R\Max</f>
        <v>0.55226671835277175</v>
      </c>
      <c r="CA354" s="1187">
        <f>'2022'!R\Max</f>
        <v>0.55233807747328634</v>
      </c>
      <c r="CB354" s="1187">
        <f>'2023'!R\Max</f>
        <v>0.55219502212183835</v>
      </c>
      <c r="CC354" s="1187">
        <f>'2024'!R\Max</f>
        <v>0.55200434431970702</v>
      </c>
      <c r="CD354" s="1187">
        <f>'2025'!R\Max</f>
        <v>0.55273184316018886</v>
      </c>
      <c r="CE354" s="1187">
        <f>'2026'!R\Max</f>
        <v>0.55266157873123012</v>
      </c>
      <c r="CF354" s="1188">
        <f>'2027'!R\Max</f>
        <v>0.55257348747288459</v>
      </c>
    </row>
    <row r="355" spans="1:84" s="6" customFormat="1" ht="11.25" x14ac:dyDescent="0.2">
      <c r="A355" s="11">
        <v>43441</v>
      </c>
      <c r="B355" s="380">
        <f>'2022'!Maxi_hp</f>
        <v>17.855995616436367</v>
      </c>
      <c r="C355" s="13">
        <f>'2022'!An_max</f>
        <v>2022</v>
      </c>
      <c r="D355" s="1061"/>
      <c r="E355" s="13"/>
      <c r="F355" s="13">
        <f t="shared" si="146"/>
        <v>25</v>
      </c>
      <c r="G355" s="13">
        <f t="shared" si="130"/>
        <v>26</v>
      </c>
      <c r="H355" s="173">
        <f t="shared" si="131"/>
        <v>43430</v>
      </c>
      <c r="I355" s="752">
        <f t="shared" si="132"/>
        <v>0.7857142857142857</v>
      </c>
      <c r="J355" s="745">
        <f t="shared" si="133"/>
        <v>19.460805392903939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4">
        <v>43441</v>
      </c>
      <c r="AP355" s="13">
        <f t="shared" si="134"/>
        <v>13</v>
      </c>
      <c r="AQ355" s="13">
        <f t="shared" si="135"/>
        <v>14</v>
      </c>
      <c r="AR355" s="173">
        <f t="shared" si="136"/>
        <v>43416</v>
      </c>
      <c r="AS355" s="752">
        <f t="shared" si="137"/>
        <v>0.8928571428571429</v>
      </c>
      <c r="AT355" s="768">
        <f t="shared" si="138"/>
        <v>19.483259700797497</v>
      </c>
      <c r="AU355" s="13">
        <f t="shared" si="139"/>
        <v>13</v>
      </c>
      <c r="AV355" s="13">
        <f t="shared" si="140"/>
        <v>14</v>
      </c>
      <c r="AW355" s="173">
        <f t="shared" si="141"/>
        <v>43430</v>
      </c>
      <c r="AX355" s="752">
        <f t="shared" si="142"/>
        <v>0.39285714285714285</v>
      </c>
      <c r="AY355" s="768">
        <f t="shared" si="143"/>
        <v>19.709950148048147</v>
      </c>
      <c r="AZ355" s="745">
        <f t="shared" si="147"/>
        <v>19.59660492442282</v>
      </c>
      <c r="BA355" s="642">
        <f t="shared" si="144"/>
        <v>0.91753631239472033</v>
      </c>
      <c r="BC355" s="11">
        <v>43441</v>
      </c>
      <c r="BD355" s="290">
        <f>[2]!FeuilCaduc*(1-Persistant)+Persistant</f>
        <v>0.72138410944819553</v>
      </c>
      <c r="BE355" s="291">
        <f>[2]!CroissVégét</f>
        <v>0.99971759412779237</v>
      </c>
      <c r="BF355" s="815">
        <f>1+[2]!Salcycl*Ksac</f>
        <v>1.0035640182413659</v>
      </c>
      <c r="BH355" s="1052">
        <f t="shared" si="145"/>
        <v>7.6956773573088307E-3</v>
      </c>
      <c r="BI355" s="11">
        <v>44537</v>
      </c>
      <c r="BJ355" s="725">
        <v>3.9077958684143408E-3</v>
      </c>
      <c r="BK355" s="725">
        <v>4.7652852012966549E-3</v>
      </c>
      <c r="BL355" s="725">
        <v>5.7783733326978743E-3</v>
      </c>
      <c r="BM355" s="725">
        <v>7.0325497210806482E-3</v>
      </c>
      <c r="BN355" s="725">
        <v>8.693316547156894E-3</v>
      </c>
      <c r="BO355" s="726">
        <v>1.1334473002161097E-2</v>
      </c>
      <c r="BP355" s="725">
        <v>1.5647459321641393E-2</v>
      </c>
      <c r="BQ355" s="725">
        <v>2.2925117416889386E-2</v>
      </c>
      <c r="BR355" s="725">
        <v>3.4758508850550839E-2</v>
      </c>
      <c r="BS355" s="725">
        <v>5.3653363220309197E-2</v>
      </c>
      <c r="BT355" s="725">
        <v>7.8075842870163489E-2</v>
      </c>
      <c r="BW355" s="1189">
        <f>'2018'!R\Max</f>
        <v>0.80131511096483554</v>
      </c>
      <c r="BX355" s="1187">
        <f>'2019'!R\Max</f>
        <v>0.71738171973928422</v>
      </c>
      <c r="BY355" s="1187">
        <f>'2020'!R\Max</f>
        <v>0.59485506558946522</v>
      </c>
      <c r="BZ355" s="1187">
        <f>'2021'!R\Max</f>
        <v>0.28337097530010708</v>
      </c>
      <c r="CA355" s="1187">
        <f>'2022'!R\Max</f>
        <v>0.91753631239472033</v>
      </c>
      <c r="CB355" s="1187">
        <f>'2023'!R\Max</f>
        <v>0.91749271726760762</v>
      </c>
      <c r="CC355" s="1187">
        <f>'2024'!R\Max</f>
        <v>0.91743415173035503</v>
      </c>
      <c r="CD355" s="1187">
        <f>'2025'!R\Max</f>
        <v>0.91765566692755007</v>
      </c>
      <c r="CE355" s="1187">
        <f>'2026'!R\Max</f>
        <v>0.91763448614281617</v>
      </c>
      <c r="CF355" s="1188">
        <f>'2027'!R\Max</f>
        <v>0.91760783613600994</v>
      </c>
    </row>
    <row r="356" spans="1:84" s="6" customFormat="1" ht="11.25" x14ac:dyDescent="0.2">
      <c r="A356" s="11">
        <v>43442</v>
      </c>
      <c r="B356" s="380">
        <f>'2022'!Maxi_hp</f>
        <v>14.230610193408706</v>
      </c>
      <c r="C356" s="13">
        <f>'2022'!An_max</f>
        <v>2019</v>
      </c>
      <c r="D356" s="1061"/>
      <c r="E356" s="13"/>
      <c r="F356" s="13">
        <f t="shared" si="146"/>
        <v>25</v>
      </c>
      <c r="G356" s="13">
        <f t="shared" si="130"/>
        <v>26</v>
      </c>
      <c r="H356" s="173">
        <f t="shared" si="131"/>
        <v>43430</v>
      </c>
      <c r="I356" s="752">
        <f t="shared" si="132"/>
        <v>0.8571428571428571</v>
      </c>
      <c r="J356" s="745">
        <f t="shared" si="133"/>
        <v>19.361516032048634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4">
        <v>43442</v>
      </c>
      <c r="AP356" s="13">
        <f t="shared" si="134"/>
        <v>13</v>
      </c>
      <c r="AQ356" s="13">
        <f t="shared" si="135"/>
        <v>14</v>
      </c>
      <c r="AR356" s="173">
        <f t="shared" si="136"/>
        <v>43416</v>
      </c>
      <c r="AS356" s="752">
        <f t="shared" si="137"/>
        <v>0.9285714285714286</v>
      </c>
      <c r="AT356" s="768">
        <f t="shared" si="138"/>
        <v>19.37704790255853</v>
      </c>
      <c r="AU356" s="13">
        <f t="shared" si="139"/>
        <v>13</v>
      </c>
      <c r="AV356" s="13">
        <f t="shared" si="140"/>
        <v>14</v>
      </c>
      <c r="AW356" s="173">
        <f t="shared" si="141"/>
        <v>43430</v>
      </c>
      <c r="AX356" s="752">
        <f t="shared" si="142"/>
        <v>0.42857142857142855</v>
      </c>
      <c r="AY356" s="768">
        <f t="shared" si="143"/>
        <v>19.622930479049682</v>
      </c>
      <c r="AZ356" s="745">
        <f t="shared" si="147"/>
        <v>19.499989190804108</v>
      </c>
      <c r="BA356" s="642">
        <f t="shared" si="144"/>
        <v>0.73499462386380965</v>
      </c>
      <c r="BC356" s="11">
        <v>43442</v>
      </c>
      <c r="BD356" s="290">
        <f>[2]!FeuilCaduc*(1-Persistant)+Persistant</f>
        <v>0.71989170149199722</v>
      </c>
      <c r="BE356" s="291">
        <f>[2]!CroissVégét</f>
        <v>0.99974228532646048</v>
      </c>
      <c r="BF356" s="815">
        <f>1+[2]!Salcycl*Ksac</f>
        <v>1.0033152835819996</v>
      </c>
      <c r="BH356" s="1052">
        <f t="shared" si="145"/>
        <v>7.4692979708941383E-3</v>
      </c>
      <c r="BI356" s="11">
        <v>44538</v>
      </c>
      <c r="BJ356" s="725">
        <v>3.7784186108275907E-3</v>
      </c>
      <c r="BK356" s="725">
        <v>4.6125728154603482E-3</v>
      </c>
      <c r="BL356" s="725">
        <v>5.5982130412980564E-3</v>
      </c>
      <c r="BM356" s="725">
        <v>6.8196204794945103E-3</v>
      </c>
      <c r="BN356" s="725">
        <v>8.4467021549046815E-3</v>
      </c>
      <c r="BO356" s="726">
        <v>1.1054223103156863E-2</v>
      </c>
      <c r="BP356" s="725">
        <v>1.5337683970560552E-2</v>
      </c>
      <c r="BQ356" s="725">
        <v>2.2643755210021554E-2</v>
      </c>
      <c r="BR356" s="725">
        <v>3.4593329379996915E-2</v>
      </c>
      <c r="BS356" s="725">
        <v>5.3720246718581041E-2</v>
      </c>
      <c r="BT356" s="725">
        <v>7.8435400079005804E-2</v>
      </c>
      <c r="BW356" s="1189">
        <f>'2018'!R\Max</f>
        <v>0.54440164599510843</v>
      </c>
      <c r="BX356" s="1187">
        <f>'2019'!R\Max</f>
        <v>0.73499462386380965</v>
      </c>
      <c r="BY356" s="1187">
        <f>'2020'!R\Max</f>
        <v>0.14425983720737709</v>
      </c>
      <c r="BZ356" s="1187">
        <f>'2021'!R\Max</f>
        <v>0.50469553830956182</v>
      </c>
      <c r="CA356" s="1187">
        <f>'2022'!R\Max</f>
        <v>0.23336568797058588</v>
      </c>
      <c r="CB356" s="1187">
        <f>'2023'!R\Max</f>
        <v>0.23327191038065401</v>
      </c>
      <c r="CC356" s="1187">
        <f>'2024'!R\Max</f>
        <v>0.23314518042751736</v>
      </c>
      <c r="CD356" s="1187">
        <f>'2025'!R\Max</f>
        <v>0.23362165418085179</v>
      </c>
      <c r="CE356" s="1187">
        <f>'2026'!R\Max</f>
        <v>0.23357641656811953</v>
      </c>
      <c r="CF356" s="1188">
        <f>'2027'!R\Max</f>
        <v>0.23351933024521537</v>
      </c>
    </row>
    <row r="357" spans="1:84" s="6" customFormat="1" ht="11.25" x14ac:dyDescent="0.2">
      <c r="A357" s="11">
        <v>43443</v>
      </c>
      <c r="B357" s="380">
        <f>'2022'!Maxi_hp</f>
        <v>10.283678349894517</v>
      </c>
      <c r="C357" s="13">
        <f>'2022'!An_max</f>
        <v>2019</v>
      </c>
      <c r="D357" s="1061"/>
      <c r="E357" s="13"/>
      <c r="F357" s="13">
        <f t="shared" si="146"/>
        <v>25</v>
      </c>
      <c r="G357" s="13">
        <f t="shared" si="130"/>
        <v>26</v>
      </c>
      <c r="H357" s="173">
        <f t="shared" si="131"/>
        <v>43430</v>
      </c>
      <c r="I357" s="752">
        <f t="shared" si="132"/>
        <v>0.9285714285714286</v>
      </c>
      <c r="J357" s="745">
        <f t="shared" si="133"/>
        <v>19.274398685991763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4">
        <v>43443</v>
      </c>
      <c r="AP357" s="13">
        <f t="shared" si="134"/>
        <v>13</v>
      </c>
      <c r="AQ357" s="13">
        <f t="shared" si="135"/>
        <v>14</v>
      </c>
      <c r="AR357" s="173">
        <f t="shared" si="136"/>
        <v>43416</v>
      </c>
      <c r="AS357" s="752">
        <f t="shared" si="137"/>
        <v>0.9642857142857143</v>
      </c>
      <c r="AT357" s="768">
        <f t="shared" si="138"/>
        <v>19.282499328548354</v>
      </c>
      <c r="AU357" s="13">
        <f t="shared" si="139"/>
        <v>13</v>
      </c>
      <c r="AV357" s="13">
        <f t="shared" si="140"/>
        <v>14</v>
      </c>
      <c r="AW357" s="173">
        <f t="shared" si="141"/>
        <v>43430</v>
      </c>
      <c r="AX357" s="752">
        <f t="shared" si="142"/>
        <v>0.4642857142857143</v>
      </c>
      <c r="AY357" s="768">
        <f t="shared" si="143"/>
        <v>19.543886492933545</v>
      </c>
      <c r="AZ357" s="745">
        <f t="shared" si="147"/>
        <v>19.41319291074095</v>
      </c>
      <c r="BA357" s="642">
        <f t="shared" si="144"/>
        <v>0.53354081325341074</v>
      </c>
      <c r="BC357" s="11">
        <v>43443</v>
      </c>
      <c r="BD357" s="290">
        <f>[2]!FeuilCaduc*(1-Persistant)+Persistant</f>
        <v>0.71849088412331374</v>
      </c>
      <c r="BE357" s="291">
        <f>[2]!CroissVégét</f>
        <v>0.99976598353118062</v>
      </c>
      <c r="BF357" s="815">
        <f>1+[2]!Salcycl*Ksac</f>
        <v>1.0030818140205524</v>
      </c>
      <c r="BH357" s="1052">
        <f t="shared" si="145"/>
        <v>7.2647685164046617E-3</v>
      </c>
      <c r="BI357" s="11">
        <v>44539</v>
      </c>
      <c r="BJ357" s="725">
        <v>3.6616309966108341E-3</v>
      </c>
      <c r="BK357" s="725">
        <v>4.4751066547857226E-3</v>
      </c>
      <c r="BL357" s="725">
        <v>5.4361222060011725E-3</v>
      </c>
      <c r="BM357" s="725">
        <v>6.6273738445871751E-3</v>
      </c>
      <c r="BN357" s="725">
        <v>8.2236938714424345E-3</v>
      </c>
      <c r="BO357" s="726">
        <v>1.080145066667417E-2</v>
      </c>
      <c r="BP357" s="725">
        <v>1.5059755875818972E-2</v>
      </c>
      <c r="BQ357" s="725">
        <v>2.239413435108268E-2</v>
      </c>
      <c r="BR357" s="725">
        <v>3.4460743558864658E-2</v>
      </c>
      <c r="BS357" s="725">
        <v>5.3806797216998908E-2</v>
      </c>
      <c r="BT357" s="725">
        <v>7.8792120673240318E-2</v>
      </c>
      <c r="BW357" s="1189">
        <f>'2018'!R\Max</f>
        <v>0.27863161220205163</v>
      </c>
      <c r="BX357" s="1187">
        <f>'2019'!R\Max</f>
        <v>0.53354081325341074</v>
      </c>
      <c r="BY357" s="1187">
        <f>'2020'!R\Max</f>
        <v>0.46106328396838953</v>
      </c>
      <c r="BZ357" s="1187">
        <f>'2021'!R\Max</f>
        <v>0.40757879707710065</v>
      </c>
      <c r="CA357" s="1187">
        <f>'2022'!R\Max</f>
        <v>0.28483862360524764</v>
      </c>
      <c r="CB357" s="1187">
        <f>'2023'!R\Max</f>
        <v>0.2847245432199903</v>
      </c>
      <c r="CC357" s="1187">
        <f>'2024'!R\Max</f>
        <v>0.28456942431661858</v>
      </c>
      <c r="CD357" s="1187">
        <f>'2025'!R\Max</f>
        <v>0.28514872659071772</v>
      </c>
      <c r="CE357" s="1187">
        <f>'2026'!R\Max</f>
        <v>0.2850941814778124</v>
      </c>
      <c r="CF357" s="1188">
        <f>'2027'!R\Max</f>
        <v>0.28502512313796668</v>
      </c>
    </row>
    <row r="358" spans="1:84" s="6" customFormat="1" ht="11.25" x14ac:dyDescent="0.2">
      <c r="A358" s="11">
        <v>43444</v>
      </c>
      <c r="B358" s="380">
        <f>'2022'!Maxi_hp</f>
        <v>16.477677553533571</v>
      </c>
      <c r="C358" s="13">
        <f>'2022'!An_max</f>
        <v>2019</v>
      </c>
      <c r="D358" s="1061"/>
      <c r="E358" s="1056">
        <f>AL$13/10</f>
        <v>19.2</v>
      </c>
      <c r="F358" s="13">
        <f t="shared" si="146"/>
        <v>27</v>
      </c>
      <c r="G358" s="13">
        <f t="shared" si="130"/>
        <v>26</v>
      </c>
      <c r="H358" s="173">
        <f t="shared" si="131"/>
        <v>43458</v>
      </c>
      <c r="I358" s="752">
        <f t="shared" si="132"/>
        <v>1</v>
      </c>
      <c r="J358" s="745">
        <f t="shared" si="133"/>
        <v>19.199999998509885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4">
        <v>43444</v>
      </c>
      <c r="AP358" s="13">
        <f t="shared" si="134"/>
        <v>15</v>
      </c>
      <c r="AQ358" s="13">
        <f t="shared" si="135"/>
        <v>14</v>
      </c>
      <c r="AR358" s="173">
        <f t="shared" si="136"/>
        <v>43473</v>
      </c>
      <c r="AS358" s="752">
        <f t="shared" si="137"/>
        <v>1</v>
      </c>
      <c r="AT358" s="768">
        <f t="shared" si="138"/>
        <v>19.2</v>
      </c>
      <c r="AU358" s="13">
        <f t="shared" si="139"/>
        <v>13</v>
      </c>
      <c r="AV358" s="13">
        <f t="shared" si="140"/>
        <v>14</v>
      </c>
      <c r="AW358" s="173">
        <f t="shared" si="141"/>
        <v>43430</v>
      </c>
      <c r="AX358" s="752">
        <f t="shared" si="142"/>
        <v>0.5</v>
      </c>
      <c r="AY358" s="768">
        <f t="shared" si="143"/>
        <v>19.472795673459768</v>
      </c>
      <c r="AZ358" s="745">
        <f t="shared" si="147"/>
        <v>19.336397836729883</v>
      </c>
      <c r="BA358" s="642">
        <f t="shared" si="144"/>
        <v>0.85821237264647954</v>
      </c>
      <c r="BC358" s="11">
        <v>43444</v>
      </c>
      <c r="BD358" s="290">
        <f>[2]!FeuilCaduc*(1-Persistant)+Persistant</f>
        <v>0.71717848111226901</v>
      </c>
      <c r="BE358" s="291">
        <f>[2]!CroissVégét</f>
        <v>0.9997887286324697</v>
      </c>
      <c r="BF358" s="815">
        <f>1+[2]!Salcycl*Ksac</f>
        <v>1.0028630801853782</v>
      </c>
      <c r="BH358" s="1052">
        <f t="shared" si="145"/>
        <v>7.0821040802490761E-3</v>
      </c>
      <c r="BI358" s="11">
        <v>44540</v>
      </c>
      <c r="BJ358" s="725">
        <v>3.5574406374155698E-3</v>
      </c>
      <c r="BK358" s="725">
        <v>4.3528960547591315E-3</v>
      </c>
      <c r="BL358" s="725">
        <v>5.2921121729542983E-3</v>
      </c>
      <c r="BM358" s="725">
        <v>6.4558235898384813E-3</v>
      </c>
      <c r="BN358" s="725">
        <v>8.0243087584083179E-3</v>
      </c>
      <c r="BO358" s="726">
        <v>1.057617816364729E-2</v>
      </c>
      <c r="BP358" s="725">
        <v>1.4813706487378666E-2</v>
      </c>
      <c r="BQ358" s="725">
        <v>2.2176301761948378E-2</v>
      </c>
      <c r="BR358" s="725">
        <v>3.4360824425645281E-2</v>
      </c>
      <c r="BS358" s="725">
        <v>5.3913128789024906E-2</v>
      </c>
      <c r="BT358" s="725">
        <v>7.914617117033404E-2</v>
      </c>
      <c r="BW358" s="1189">
        <f>'2018'!R\Max</f>
        <v>0.50587234901922007</v>
      </c>
      <c r="BX358" s="1187">
        <f>'2019'!R\Max</f>
        <v>0.85821237264647954</v>
      </c>
      <c r="BY358" s="1187">
        <f>'2020'!R\Max</f>
        <v>0.45155185145507498</v>
      </c>
      <c r="BZ358" s="1187">
        <f>'2021'!R\Max</f>
        <v>0.11713562220027578</v>
      </c>
      <c r="CA358" s="1187">
        <f>'2022'!R\Max</f>
        <v>0.64937162114384606</v>
      </c>
      <c r="CB358" s="1187">
        <f>'2023'!R\Max</f>
        <v>0.64924176237355591</v>
      </c>
      <c r="CC358" s="1187">
        <f>'2024'!R\Max</f>
        <v>0.64906412630256105</v>
      </c>
      <c r="CD358" s="1187">
        <f>'2025'!R\Max</f>
        <v>0.64972299744551831</v>
      </c>
      <c r="CE358" s="1187">
        <f>'2026'!R\Max</f>
        <v>0.64966150227561836</v>
      </c>
      <c r="CF358" s="1188">
        <f>'2027'!R\Max</f>
        <v>0.64958337623884688</v>
      </c>
    </row>
    <row r="359" spans="1:84" s="6" customFormat="1" ht="11.25" x14ac:dyDescent="0.2">
      <c r="A359" s="11">
        <v>43445</v>
      </c>
      <c r="B359" s="380">
        <f>'2022'!Maxi_hp</f>
        <v>16.479573454056037</v>
      </c>
      <c r="C359" s="13">
        <f>'2022'!An_max</f>
        <v>2018</v>
      </c>
      <c r="D359" s="1061"/>
      <c r="E359" s="13"/>
      <c r="F359" s="13">
        <f t="shared" si="146"/>
        <v>27</v>
      </c>
      <c r="G359" s="13">
        <f t="shared" si="130"/>
        <v>26</v>
      </c>
      <c r="H359" s="173">
        <f t="shared" si="131"/>
        <v>43458</v>
      </c>
      <c r="I359" s="752">
        <f t="shared" si="132"/>
        <v>0.9285714285714286</v>
      </c>
      <c r="J359" s="745">
        <f t="shared" si="133"/>
        <v>19.139714694874627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4">
        <v>43445</v>
      </c>
      <c r="AP359" s="13">
        <f t="shared" si="134"/>
        <v>15</v>
      </c>
      <c r="AQ359" s="13">
        <f t="shared" si="135"/>
        <v>14</v>
      </c>
      <c r="AR359" s="173">
        <f t="shared" si="136"/>
        <v>43473</v>
      </c>
      <c r="AS359" s="752">
        <f t="shared" si="137"/>
        <v>0.96551724137931039</v>
      </c>
      <c r="AT359" s="768">
        <f t="shared" si="138"/>
        <v>19.128673048779881</v>
      </c>
      <c r="AU359" s="13">
        <f t="shared" si="139"/>
        <v>13</v>
      </c>
      <c r="AV359" s="13">
        <f t="shared" si="140"/>
        <v>14</v>
      </c>
      <c r="AW359" s="173">
        <f t="shared" si="141"/>
        <v>43430</v>
      </c>
      <c r="AX359" s="752">
        <f t="shared" si="142"/>
        <v>0.5357142857142857</v>
      </c>
      <c r="AY359" s="768">
        <f t="shared" si="143"/>
        <v>19.40963551354195</v>
      </c>
      <c r="AZ359" s="745">
        <f t="shared" si="147"/>
        <v>19.269154281160915</v>
      </c>
      <c r="BA359" s="642">
        <f t="shared" si="144"/>
        <v>0.86101458233695916</v>
      </c>
      <c r="BC359" s="11">
        <v>43445</v>
      </c>
      <c r="BD359" s="290">
        <f>[2]!FeuilCaduc*(1-Persistant)+Persistant</f>
        <v>0.71595115183373725</v>
      </c>
      <c r="BE359" s="291">
        <f>[2]!CroissVégét</f>
        <v>0.99981055892185233</v>
      </c>
      <c r="BF359" s="815">
        <f>1+[2]!Salcycl*Ksac</f>
        <v>1.0026585253056228</v>
      </c>
      <c r="BH359" s="1052">
        <f t="shared" si="145"/>
        <v>6.9213186806586276E-3</v>
      </c>
      <c r="BI359" s="11">
        <v>44541</v>
      </c>
      <c r="BJ359" s="725">
        <v>3.4658545383728779E-3</v>
      </c>
      <c r="BK359" s="725">
        <v>4.2459496493224931E-3</v>
      </c>
      <c r="BL359" s="725">
        <v>5.1661934637234697E-3</v>
      </c>
      <c r="BM359" s="725">
        <v>6.3049824889583432E-3</v>
      </c>
      <c r="BN359" s="725">
        <v>7.8485627063477215E-3</v>
      </c>
      <c r="BO359" s="726">
        <v>1.0378426758149883E-2</v>
      </c>
      <c r="BP359" s="725">
        <v>1.4599565864919549E-2</v>
      </c>
      <c r="BQ359" s="725">
        <v>2.1990303204567296E-2</v>
      </c>
      <c r="BR359" s="725">
        <v>3.4293644853599245E-2</v>
      </c>
      <c r="BS359" s="725">
        <v>5.4039356784555959E-2</v>
      </c>
      <c r="BT359" s="725">
        <v>7.9497720950636702E-2</v>
      </c>
      <c r="BW359" s="1189">
        <f>'2018'!R\Max</f>
        <v>0.86101458233695916</v>
      </c>
      <c r="BX359" s="1187">
        <f>'2019'!R\Max</f>
        <v>9.9115886164706957E-2</v>
      </c>
      <c r="BY359" s="1187">
        <f>'2020'!R\Max</f>
        <v>0.2412935735989391</v>
      </c>
      <c r="BZ359" s="1187">
        <f>'2021'!R\Max</f>
        <v>0.57929682906164459</v>
      </c>
      <c r="CA359" s="1187">
        <f>'2022'!R\Max</f>
        <v>0.79615149117048745</v>
      </c>
      <c r="CB359" s="1187">
        <f>'2023'!R\Max</f>
        <v>0.79605914751271323</v>
      </c>
      <c r="CC359" s="1187">
        <f>'2024'!R\Max</f>
        <v>0.79593218517292819</v>
      </c>
      <c r="CD359" s="1187">
        <f>'2025'!R\Max</f>
        <v>0.79640039263861739</v>
      </c>
      <c r="CE359" s="1187">
        <f>'2026'!R\Max</f>
        <v>0.79635702964259569</v>
      </c>
      <c r="CF359" s="1188">
        <f>'2027'!R\Max</f>
        <v>0.79630176096961325</v>
      </c>
    </row>
    <row r="360" spans="1:84" s="6" customFormat="1" ht="11.25" x14ac:dyDescent="0.2">
      <c r="A360" s="11">
        <v>43446</v>
      </c>
      <c r="B360" s="380">
        <f>'2022'!Maxi_hp</f>
        <v>18.530251867552792</v>
      </c>
      <c r="C360" s="13">
        <f>'2022'!An_max</f>
        <v>2021</v>
      </c>
      <c r="D360" s="1061"/>
      <c r="E360" s="13"/>
      <c r="F360" s="13">
        <f t="shared" si="146"/>
        <v>27</v>
      </c>
      <c r="G360" s="13">
        <f t="shared" si="130"/>
        <v>26</v>
      </c>
      <c r="H360" s="173">
        <f t="shared" si="131"/>
        <v>43458</v>
      </c>
      <c r="I360" s="752">
        <f t="shared" si="132"/>
        <v>0.8571428571428571</v>
      </c>
      <c r="J360" s="745">
        <f t="shared" si="133"/>
        <v>19.093891622445412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4">
        <v>43446</v>
      </c>
      <c r="AP360" s="13">
        <f t="shared" si="134"/>
        <v>15</v>
      </c>
      <c r="AQ360" s="13">
        <f t="shared" si="135"/>
        <v>14</v>
      </c>
      <c r="AR360" s="173">
        <f t="shared" si="136"/>
        <v>43473</v>
      </c>
      <c r="AS360" s="752">
        <f t="shared" si="137"/>
        <v>0.93103448275862066</v>
      </c>
      <c r="AT360" s="768">
        <f t="shared" si="138"/>
        <v>19.067298146774029</v>
      </c>
      <c r="AU360" s="13">
        <f t="shared" si="139"/>
        <v>13</v>
      </c>
      <c r="AV360" s="13">
        <f t="shared" si="140"/>
        <v>14</v>
      </c>
      <c r="AW360" s="173">
        <f t="shared" si="141"/>
        <v>43430</v>
      </c>
      <c r="AX360" s="752">
        <f t="shared" si="142"/>
        <v>0.5714285714285714</v>
      </c>
      <c r="AY360" s="768">
        <f t="shared" si="143"/>
        <v>19.354383495237148</v>
      </c>
      <c r="AZ360" s="745">
        <f t="shared" si="147"/>
        <v>19.21084082100559</v>
      </c>
      <c r="BA360" s="642">
        <f t="shared" si="144"/>
        <v>0.97048062458728712</v>
      </c>
      <c r="BC360" s="11">
        <v>43446</v>
      </c>
      <c r="BD360" s="290">
        <f>[2]!FeuilCaduc*(1-Persistant)+Persistant</f>
        <v>0.71480541602296876</v>
      </c>
      <c r="BE360" s="291">
        <f>[2]!CroissVégét</f>
        <v>0.99983151115568181</v>
      </c>
      <c r="BF360" s="815">
        <f>1+[2]!Salcycl*Ksac</f>
        <v>1.0024675693371614</v>
      </c>
      <c r="BH360" s="1052">
        <f t="shared" si="145"/>
        <v>6.7824257218321669E-3</v>
      </c>
      <c r="BI360" s="11">
        <v>44542</v>
      </c>
      <c r="BJ360" s="725">
        <v>3.3868793597893096E-3</v>
      </c>
      <c r="BK360" s="725">
        <v>4.1542756877848089E-3</v>
      </c>
      <c r="BL360" s="725">
        <v>5.0583761508825251E-3</v>
      </c>
      <c r="BM360" s="725">
        <v>6.1748627457795897E-3</v>
      </c>
      <c r="BN360" s="725">
        <v>7.6964709253443953E-3</v>
      </c>
      <c r="BO360" s="726">
        <v>1.0208216878424705E-2</v>
      </c>
      <c r="BP360" s="725">
        <v>1.4417363339548092E-2</v>
      </c>
      <c r="BQ360" s="725">
        <v>2.1836183940098196E-2</v>
      </c>
      <c r="BR360" s="725">
        <v>3.4259278226938618E-2</v>
      </c>
      <c r="BS360" s="725">
        <v>5.4185598236231203E-2</v>
      </c>
      <c r="BT360" s="725">
        <v>7.9846942194382806E-2</v>
      </c>
      <c r="BW360" s="1189">
        <f>'2018'!R\Max</f>
        <v>0.1761234176553414</v>
      </c>
      <c r="BX360" s="1187">
        <f>'2019'!R\Max</f>
        <v>0.25905982303594288</v>
      </c>
      <c r="BY360" s="1187">
        <f>'2020'!R\Max</f>
        <v>0.32785984284267655</v>
      </c>
      <c r="BZ360" s="1187">
        <f>'2021'!R\Max</f>
        <v>0.97048062458728712</v>
      </c>
      <c r="CA360" s="1187">
        <f>'2022'!R\Max</f>
        <v>0.25050797325339647</v>
      </c>
      <c r="CB360" s="1187">
        <f>'2023'!R\Max</f>
        <v>0.25040837934501231</v>
      </c>
      <c r="CC360" s="1187">
        <f>'2024'!R\Max</f>
        <v>0.25027096055084797</v>
      </c>
      <c r="CD360" s="1187">
        <f>'2025'!R\Max</f>
        <v>0.2507758224666512</v>
      </c>
      <c r="CE360" s="1187">
        <f>'2026'!R\Max</f>
        <v>0.25072932162337813</v>
      </c>
      <c r="CF360" s="1188">
        <f>'2027'!R\Max</f>
        <v>0.25066989043022636</v>
      </c>
    </row>
    <row r="361" spans="1:84" s="6" customFormat="1" ht="11.25" x14ac:dyDescent="0.2">
      <c r="A361" s="11">
        <v>43447</v>
      </c>
      <c r="B361" s="380">
        <f>'2022'!Maxi_hp</f>
        <v>19.130983394548689</v>
      </c>
      <c r="C361" s="13">
        <f>'2022'!An_max</f>
        <v>2021</v>
      </c>
      <c r="D361" s="1061"/>
      <c r="E361" s="13"/>
      <c r="F361" s="13">
        <f t="shared" si="146"/>
        <v>27</v>
      </c>
      <c r="G361" s="13">
        <f t="shared" si="130"/>
        <v>26</v>
      </c>
      <c r="H361" s="173">
        <f t="shared" si="131"/>
        <v>43458</v>
      </c>
      <c r="I361" s="752">
        <f t="shared" si="132"/>
        <v>0.7857142857142857</v>
      </c>
      <c r="J361" s="745">
        <f t="shared" si="133"/>
        <v>19.061508619199905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4">
        <v>43447</v>
      </c>
      <c r="AP361" s="13">
        <f t="shared" si="134"/>
        <v>15</v>
      </c>
      <c r="AQ361" s="13">
        <f t="shared" si="135"/>
        <v>14</v>
      </c>
      <c r="AR361" s="173">
        <f t="shared" si="136"/>
        <v>43473</v>
      </c>
      <c r="AS361" s="752">
        <f t="shared" si="137"/>
        <v>0.89655172413793105</v>
      </c>
      <c r="AT361" s="768">
        <f t="shared" si="138"/>
        <v>19.015746112270602</v>
      </c>
      <c r="AU361" s="13">
        <f t="shared" si="139"/>
        <v>13</v>
      </c>
      <c r="AV361" s="13">
        <f t="shared" si="140"/>
        <v>14</v>
      </c>
      <c r="AW361" s="173">
        <f t="shared" si="141"/>
        <v>43430</v>
      </c>
      <c r="AX361" s="752">
        <f t="shared" si="142"/>
        <v>0.6071428571428571</v>
      </c>
      <c r="AY361" s="768">
        <f t="shared" si="143"/>
        <v>19.307017109809173</v>
      </c>
      <c r="AZ361" s="745">
        <f t="shared" si="147"/>
        <v>19.161381611039886</v>
      </c>
      <c r="BA361" s="642">
        <f t="shared" si="144"/>
        <v>1.0036447679318941</v>
      </c>
      <c r="BC361" s="11">
        <v>43447</v>
      </c>
      <c r="BD361" s="290">
        <f>[2]!FeuilCaduc*(1-Persistant)+Persistant</f>
        <v>0.71373767875289273</v>
      </c>
      <c r="BE361" s="291">
        <f>[2]!CroissVégét</f>
        <v>0.99985162061643362</v>
      </c>
      <c r="BF361" s="815">
        <f>1+[2]!Salcycl*Ksac</f>
        <v>1.0022896131254821</v>
      </c>
      <c r="BH361" s="1052">
        <f t="shared" si="145"/>
        <v>6.6580707488668586E-3</v>
      </c>
      <c r="BI361" s="11">
        <v>44543</v>
      </c>
      <c r="BJ361" s="725">
        <v>3.3158888065587568E-3</v>
      </c>
      <c r="BK361" s="725">
        <v>4.0720285247300607E-3</v>
      </c>
      <c r="BL361" s="725">
        <v>4.9618264470769474E-3</v>
      </c>
      <c r="BM361" s="725">
        <v>6.0582802411830771E-3</v>
      </c>
      <c r="BN361" s="725">
        <v>7.5604226996432034E-3</v>
      </c>
      <c r="BO361" s="726">
        <v>1.0056695773251098E-2</v>
      </c>
      <c r="BP361" s="725">
        <v>1.4256969528060123E-2</v>
      </c>
      <c r="BQ361" s="725">
        <v>2.1701501512524757E-2</v>
      </c>
      <c r="BR361" s="725">
        <v>3.4236546410641389E-2</v>
      </c>
      <c r="BS361" s="725">
        <v>5.4325094564400836E-2</v>
      </c>
      <c r="BT361" s="725">
        <v>8.0166342561301326E-2</v>
      </c>
      <c r="BW361" s="1189">
        <f>'2018'!R\Max</f>
        <v>9.9353667618296809E-2</v>
      </c>
      <c r="BX361" s="1187">
        <f>'2019'!R\Max</f>
        <v>0.12962337610942357</v>
      </c>
      <c r="BY361" s="1187">
        <f>'2020'!R\Max</f>
        <v>0.53727889320921285</v>
      </c>
      <c r="BZ361" s="1187">
        <f>'2021'!R\Max</f>
        <v>1.0036447679318941</v>
      </c>
      <c r="CA361" s="1187">
        <f>'2022'!R\Max</f>
        <v>0.30981386198888744</v>
      </c>
      <c r="CB361" s="1187">
        <f>'2023'!R\Max</f>
        <v>0.30969271058119568</v>
      </c>
      <c r="CC361" s="1187">
        <f>'2024'!R\Max</f>
        <v>0.30952494872869601</v>
      </c>
      <c r="CD361" s="1187">
        <f>'2025'!R\Max</f>
        <v>0.31013869014172085</v>
      </c>
      <c r="CE361" s="1187">
        <f>'2026'!R\Max</f>
        <v>0.31008251570615553</v>
      </c>
      <c r="CF361" s="1188">
        <f>'2027'!R\Max</f>
        <v>0.31001051598029633</v>
      </c>
    </row>
    <row r="362" spans="1:84" s="6" customFormat="1" ht="11.25" x14ac:dyDescent="0.2">
      <c r="A362" s="11">
        <v>43448</v>
      </c>
      <c r="B362" s="380">
        <f>'2022'!Maxi_hp</f>
        <v>19.357739032195155</v>
      </c>
      <c r="C362" s="13">
        <f>'2022'!An_max</f>
        <v>2021</v>
      </c>
      <c r="D362" s="1061"/>
      <c r="E362" s="13"/>
      <c r="F362" s="13">
        <f t="shared" si="146"/>
        <v>27</v>
      </c>
      <c r="G362" s="13">
        <f t="shared" si="130"/>
        <v>26</v>
      </c>
      <c r="H362" s="173">
        <f t="shared" si="131"/>
        <v>43458</v>
      </c>
      <c r="I362" s="752">
        <f t="shared" si="132"/>
        <v>0.7142857142857143</v>
      </c>
      <c r="J362" s="745">
        <f t="shared" si="133"/>
        <v>19.041543512472082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4">
        <v>43448</v>
      </c>
      <c r="AP362" s="13">
        <f t="shared" si="134"/>
        <v>15</v>
      </c>
      <c r="AQ362" s="13">
        <f t="shared" si="135"/>
        <v>14</v>
      </c>
      <c r="AR362" s="173">
        <f t="shared" si="136"/>
        <v>43473</v>
      </c>
      <c r="AS362" s="752">
        <f t="shared" si="137"/>
        <v>0.86206896551724133</v>
      </c>
      <c r="AT362" s="768">
        <f t="shared" si="138"/>
        <v>18.973887749478735</v>
      </c>
      <c r="AU362" s="13">
        <f t="shared" si="139"/>
        <v>13</v>
      </c>
      <c r="AV362" s="13">
        <f t="shared" si="140"/>
        <v>14</v>
      </c>
      <c r="AW362" s="173">
        <f t="shared" si="141"/>
        <v>43430</v>
      </c>
      <c r="AX362" s="752">
        <f t="shared" si="142"/>
        <v>0.6428571428571429</v>
      </c>
      <c r="AY362" s="768">
        <f t="shared" si="143"/>
        <v>19.267513844264407</v>
      </c>
      <c r="AZ362" s="745">
        <f t="shared" si="147"/>
        <v>19.120700796871571</v>
      </c>
      <c r="BA362" s="642">
        <f t="shared" si="144"/>
        <v>1.0166055613882334</v>
      </c>
      <c r="BC362" s="11">
        <v>43448</v>
      </c>
      <c r="BD362" s="290">
        <f>[2]!FeuilCaduc*(1-Persistant)+Persistant</f>
        <v>0.71274425543984732</v>
      </c>
      <c r="BE362" s="291">
        <f>[2]!CroissVégét</f>
        <v>0.99987092117157228</v>
      </c>
      <c r="BF362" s="815">
        <f>1+[2]!Salcycl*Ksac</f>
        <v>1.0021240425733078</v>
      </c>
      <c r="BH362" s="1052">
        <f t="shared" si="145"/>
        <v>6.5482658324263511E-3</v>
      </c>
      <c r="BI362" s="11">
        <v>44544</v>
      </c>
      <c r="BJ362" s="725">
        <v>3.2528887113827689E-3</v>
      </c>
      <c r="BK362" s="725">
        <v>3.9992154246300069E-3</v>
      </c>
      <c r="BL362" s="725">
        <v>4.8765532901218151E-3</v>
      </c>
      <c r="BM362" s="725">
        <v>5.9552458951863795E-3</v>
      </c>
      <c r="BN362" s="725">
        <v>7.4404318309917571E-3</v>
      </c>
      <c r="BO362" s="726">
        <v>9.92388234450922E-3</v>
      </c>
      <c r="BP362" s="725">
        <v>1.4118412265648127E-2</v>
      </c>
      <c r="BQ362" s="725">
        <v>2.1586299670948144E-2</v>
      </c>
      <c r="BR362" s="725">
        <v>3.4225521605267491E-2</v>
      </c>
      <c r="BS362" s="725">
        <v>5.4457962031498983E-2</v>
      </c>
      <c r="BT362" s="725">
        <v>8.0456094130810882E-2</v>
      </c>
      <c r="BW362" s="1189">
        <f>'2018'!R\Max</f>
        <v>0.13918032707107764</v>
      </c>
      <c r="BX362" s="1187">
        <f>'2019'!R\Max</f>
        <v>0.84412908989421076</v>
      </c>
      <c r="BY362" s="1187">
        <f>'2020'!R\Max</f>
        <v>0.47970202711209853</v>
      </c>
      <c r="BZ362" s="1187">
        <f>'2021'!R\Max</f>
        <v>1.0166055613882334</v>
      </c>
      <c r="CA362" s="1187">
        <f>'2022'!R\Max</f>
        <v>0.89892139581788022</v>
      </c>
      <c r="CB362" s="1187">
        <f>'2023'!R\Max</f>
        <v>0.89886998655166739</v>
      </c>
      <c r="CC362" s="1187">
        <f>'2024'!R\Max</f>
        <v>0.89879853628912088</v>
      </c>
      <c r="CD362" s="1187">
        <f>'2025'!R\Max</f>
        <v>0.89905867653412785</v>
      </c>
      <c r="CE362" s="1187">
        <f>'2026'!R\Max</f>
        <v>0.89903503815904495</v>
      </c>
      <c r="CF362" s="1188">
        <f>'2027'!R\Max</f>
        <v>0.89900465015251507</v>
      </c>
    </row>
    <row r="363" spans="1:84" s="6" customFormat="1" ht="11.25" x14ac:dyDescent="0.2">
      <c r="A363" s="11">
        <v>43449</v>
      </c>
      <c r="B363" s="380">
        <f>'2022'!Maxi_hp</f>
        <v>18.722199127908961</v>
      </c>
      <c r="C363" s="13">
        <f>'2022'!An_max</f>
        <v>2019</v>
      </c>
      <c r="D363" s="1061"/>
      <c r="E363" s="13"/>
      <c r="F363" s="13">
        <f t="shared" si="146"/>
        <v>27</v>
      </c>
      <c r="G363" s="13">
        <f t="shared" si="130"/>
        <v>26</v>
      </c>
      <c r="H363" s="173">
        <f t="shared" si="131"/>
        <v>43458</v>
      </c>
      <c r="I363" s="752">
        <f t="shared" si="132"/>
        <v>0.6428571428571429</v>
      </c>
      <c r="J363" s="745">
        <f t="shared" si="133"/>
        <v>19.032974136354667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4">
        <v>43449</v>
      </c>
      <c r="AP363" s="13">
        <f t="shared" si="134"/>
        <v>15</v>
      </c>
      <c r="AQ363" s="13">
        <f t="shared" si="135"/>
        <v>14</v>
      </c>
      <c r="AR363" s="173">
        <f t="shared" si="136"/>
        <v>43473</v>
      </c>
      <c r="AS363" s="752">
        <f t="shared" si="137"/>
        <v>0.82758620689655171</v>
      </c>
      <c r="AT363" s="768">
        <f t="shared" si="138"/>
        <v>18.941593876275526</v>
      </c>
      <c r="AU363" s="13">
        <f t="shared" si="139"/>
        <v>13</v>
      </c>
      <c r="AV363" s="13">
        <f t="shared" si="140"/>
        <v>14</v>
      </c>
      <c r="AW363" s="173">
        <f t="shared" si="141"/>
        <v>43430</v>
      </c>
      <c r="AX363" s="752">
        <f t="shared" si="142"/>
        <v>0.6785714285714286</v>
      </c>
      <c r="AY363" s="768">
        <f t="shared" si="143"/>
        <v>19.2358511824693</v>
      </c>
      <c r="AZ363" s="745">
        <f t="shared" si="147"/>
        <v>19.088722529372411</v>
      </c>
      <c r="BA363" s="642">
        <f t="shared" si="144"/>
        <v>0.98367175795967177</v>
      </c>
      <c r="BC363" s="11">
        <v>43449</v>
      </c>
      <c r="BD363" s="290">
        <f>[2]!FeuilCaduc*(1-Persistant)+Persistant</f>
        <v>0.71182139668709687</v>
      </c>
      <c r="BE363" s="291">
        <f>[2]!CroissVégét</f>
        <v>0.99988944533008528</v>
      </c>
      <c r="BF363" s="815">
        <f>1+[2]!Salcycl*Ksac</f>
        <v>1.0019702327811828</v>
      </c>
      <c r="BH363" s="1052">
        <f t="shared" si="145"/>
        <v>6.4530231489942913E-3</v>
      </c>
      <c r="BI363" s="11">
        <v>44545</v>
      </c>
      <c r="BJ363" s="725">
        <v>3.1978849431490673E-3</v>
      </c>
      <c r="BK363" s="725">
        <v>3.9358437074875179E-3</v>
      </c>
      <c r="BL363" s="725">
        <v>4.8025656986953715E-3</v>
      </c>
      <c r="BM363" s="725">
        <v>5.8657707199768665E-3</v>
      </c>
      <c r="BN363" s="725">
        <v>7.3365122474936557E-3</v>
      </c>
      <c r="BO363" s="726">
        <v>9.8097956975021858E-3</v>
      </c>
      <c r="BP363" s="725">
        <v>1.4001719758145566E-2</v>
      </c>
      <c r="BQ363" s="725">
        <v>2.1490622552120996E-2</v>
      </c>
      <c r="BR363" s="725">
        <v>3.4226276697535481E-2</v>
      </c>
      <c r="BS363" s="725">
        <v>5.4584317457936488E-2</v>
      </c>
      <c r="BT363" s="725">
        <v>8.0716369181092637E-2</v>
      </c>
      <c r="BW363" s="1189">
        <f>'2018'!R\Max</f>
        <v>0.30606755547571579</v>
      </c>
      <c r="BX363" s="1187">
        <f>'2019'!R\Max</f>
        <v>0.98367175795967177</v>
      </c>
      <c r="BY363" s="1187">
        <f>'2020'!R\Max</f>
        <v>0.20256306531492907</v>
      </c>
      <c r="BZ363" s="1187">
        <f>'2021'!R\Max</f>
        <v>0.93392435002477914</v>
      </c>
      <c r="CA363" s="1187">
        <f>'2022'!R\Max</f>
        <v>0.33953117243624248</v>
      </c>
      <c r="CB363" s="1187">
        <f>'2023'!R\Max</f>
        <v>0.3394045191443632</v>
      </c>
      <c r="CC363" s="1187">
        <f>'2024'!R\Max</f>
        <v>0.33922823739194868</v>
      </c>
      <c r="CD363" s="1187">
        <f>'2025'!R\Max</f>
        <v>0.33986889903186124</v>
      </c>
      <c r="CE363" s="1187">
        <f>'2026'!R\Max</f>
        <v>0.33981089594680342</v>
      </c>
      <c r="CF363" s="1188">
        <f>'2027'!R\Max</f>
        <v>0.3397361771725097</v>
      </c>
    </row>
    <row r="364" spans="1:84" s="6" customFormat="1" ht="11.25" x14ac:dyDescent="0.2">
      <c r="A364" s="11">
        <v>43450</v>
      </c>
      <c r="B364" s="380">
        <f>'2022'!Maxi_hp</f>
        <v>18.52551005734108</v>
      </c>
      <c r="C364" s="13">
        <f>'2022'!An_max</f>
        <v>2021</v>
      </c>
      <c r="D364" s="1061"/>
      <c r="E364" s="13"/>
      <c r="F364" s="13">
        <f t="shared" si="146"/>
        <v>27</v>
      </c>
      <c r="G364" s="13">
        <f t="shared" si="130"/>
        <v>26</v>
      </c>
      <c r="H364" s="173">
        <f t="shared" si="131"/>
        <v>43458</v>
      </c>
      <c r="I364" s="752">
        <f t="shared" si="132"/>
        <v>0.5714285714285714</v>
      </c>
      <c r="J364" s="745">
        <f t="shared" si="133"/>
        <v>19.034778322918076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4">
        <v>43450</v>
      </c>
      <c r="AP364" s="13">
        <f t="shared" si="134"/>
        <v>15</v>
      </c>
      <c r="AQ364" s="13">
        <f t="shared" si="135"/>
        <v>14</v>
      </c>
      <c r="AR364" s="173">
        <f t="shared" si="136"/>
        <v>43473</v>
      </c>
      <c r="AS364" s="752">
        <f t="shared" si="137"/>
        <v>0.7931034482758621</v>
      </c>
      <c r="AT364" s="768">
        <f t="shared" si="138"/>
        <v>18.918735301443213</v>
      </c>
      <c r="AU364" s="13">
        <f t="shared" si="139"/>
        <v>13</v>
      </c>
      <c r="AV364" s="13">
        <f t="shared" si="140"/>
        <v>14</v>
      </c>
      <c r="AW364" s="173">
        <f t="shared" si="141"/>
        <v>43430</v>
      </c>
      <c r="AX364" s="752">
        <f t="shared" si="142"/>
        <v>0.7142857142857143</v>
      </c>
      <c r="AY364" s="768">
        <f t="shared" si="143"/>
        <v>19.212006618508269</v>
      </c>
      <c r="AZ364" s="745">
        <f t="shared" si="147"/>
        <v>19.065370959975741</v>
      </c>
      <c r="BA364" s="642">
        <f t="shared" si="144"/>
        <v>0.97324537974976932</v>
      </c>
      <c r="BC364" s="11">
        <v>43450</v>
      </c>
      <c r="BD364" s="290">
        <f>[2]!FeuilCaduc*(1-Persistant)+Persistant</f>
        <v>0.71096531277975328</v>
      </c>
      <c r="BE364" s="291">
        <f>[2]!CroissVégét</f>
        <v>0.9999072242967757</v>
      </c>
      <c r="BF364" s="815">
        <f>1+[2]!Salcycl*Ksac</f>
        <v>1.0018275521299589</v>
      </c>
      <c r="BH364" s="1052">
        <f t="shared" si="145"/>
        <v>6.3723552818385574E-3</v>
      </c>
      <c r="BI364" s="11">
        <v>44546</v>
      </c>
      <c r="BJ364" s="725">
        <v>3.1508835723099136E-3</v>
      </c>
      <c r="BK364" s="725">
        <v>3.881920944047294E-3</v>
      </c>
      <c r="BL364" s="725">
        <v>4.7398730056449631E-3</v>
      </c>
      <c r="BM364" s="725">
        <v>5.7898661001916773E-3</v>
      </c>
      <c r="BN364" s="725">
        <v>7.2486783356910346E-3</v>
      </c>
      <c r="BO364" s="726">
        <v>9.714455527498788E-3</v>
      </c>
      <c r="BP364" s="725">
        <v>1.3906921032504852E-2</v>
      </c>
      <c r="BQ364" s="725">
        <v>2.1414515079901296E-2</v>
      </c>
      <c r="BR364" s="725">
        <v>3.4238885494567231E-2</v>
      </c>
      <c r="BS364" s="725">
        <v>5.4704278069447852E-2</v>
      </c>
      <c r="BT364" s="725">
        <v>8.0947339550596756E-2</v>
      </c>
      <c r="BW364" s="1189">
        <f>'2018'!R\Max</f>
        <v>0.16978264477316335</v>
      </c>
      <c r="BX364" s="1187">
        <f>'2019'!R\Max</f>
        <v>0.66743166144541521</v>
      </c>
      <c r="BY364" s="1187">
        <f>'2020'!R\Max</f>
        <v>0.13438258811422996</v>
      </c>
      <c r="BZ364" s="1187">
        <f>'2021'!R\Max</f>
        <v>0.97324537974976932</v>
      </c>
      <c r="CA364" s="1187">
        <f>'2022'!R\Max</f>
        <v>0.3037307517662044</v>
      </c>
      <c r="CB364" s="1187">
        <f>'2023'!R\Max</f>
        <v>0.30361145387318916</v>
      </c>
      <c r="CC364" s="1187">
        <f>'2024'!R\Max</f>
        <v>0.30344516482891343</v>
      </c>
      <c r="CD364" s="1187">
        <f>'2025'!R\Max</f>
        <v>0.30404814282731696</v>
      </c>
      <c r="CE364" s="1187">
        <f>'2026'!R\Max</f>
        <v>0.30399379137543775</v>
      </c>
      <c r="CF364" s="1188">
        <f>'2027'!R\Max</f>
        <v>0.30392362770802878</v>
      </c>
    </row>
    <row r="365" spans="1:84" s="6" customFormat="1" ht="11.25" x14ac:dyDescent="0.2">
      <c r="A365" s="11">
        <v>43451</v>
      </c>
      <c r="B365" s="380">
        <f>'2022'!Maxi_hp</f>
        <v>18.608834058846831</v>
      </c>
      <c r="C365" s="13">
        <f>'2022'!An_max</f>
        <v>2021</v>
      </c>
      <c r="D365" s="1061"/>
      <c r="E365" s="13"/>
      <c r="F365" s="13">
        <f t="shared" si="146"/>
        <v>27</v>
      </c>
      <c r="G365" s="13">
        <f t="shared" si="130"/>
        <v>26</v>
      </c>
      <c r="H365" s="173">
        <f t="shared" si="131"/>
        <v>43458</v>
      </c>
      <c r="I365" s="752">
        <f t="shared" si="132"/>
        <v>0.5</v>
      </c>
      <c r="J365" s="745">
        <f t="shared" si="133"/>
        <v>19.045933907106519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4">
        <v>43451</v>
      </c>
      <c r="AP365" s="13">
        <f t="shared" si="134"/>
        <v>15</v>
      </c>
      <c r="AQ365" s="13">
        <f t="shared" si="135"/>
        <v>14</v>
      </c>
      <c r="AR365" s="173">
        <f t="shared" si="136"/>
        <v>43473</v>
      </c>
      <c r="AS365" s="752">
        <f t="shared" si="137"/>
        <v>0.75862068965517238</v>
      </c>
      <c r="AT365" s="768">
        <f t="shared" si="138"/>
        <v>18.905182843424122</v>
      </c>
      <c r="AU365" s="13">
        <f t="shared" si="139"/>
        <v>13</v>
      </c>
      <c r="AV365" s="13">
        <f t="shared" si="140"/>
        <v>14</v>
      </c>
      <c r="AW365" s="173">
        <f t="shared" si="141"/>
        <v>43430</v>
      </c>
      <c r="AX365" s="752">
        <f t="shared" si="142"/>
        <v>0.75</v>
      </c>
      <c r="AY365" s="768">
        <f t="shared" si="143"/>
        <v>19.195957632362841</v>
      </c>
      <c r="AZ365" s="745">
        <f t="shared" si="147"/>
        <v>19.050570237893481</v>
      </c>
      <c r="BA365" s="642">
        <f t="shared" si="144"/>
        <v>0.97705022760282734</v>
      </c>
      <c r="BC365" s="11">
        <v>43451</v>
      </c>
      <c r="BD365" s="290">
        <f>[2]!FeuilCaduc*(1-Persistant)+Persistant</f>
        <v>0.71017219765054429</v>
      </c>
      <c r="BE365" s="291">
        <f>[2]!CroissVégét</f>
        <v>0.99992428802440059</v>
      </c>
      <c r="BF365" s="815">
        <f>1+[2]!Salcycl*Ksac</f>
        <v>1.0016953662750907</v>
      </c>
      <c r="BH365" s="1052">
        <f t="shared" si="145"/>
        <v>6.306275522127364E-3</v>
      </c>
      <c r="BI365" s="11">
        <v>44547</v>
      </c>
      <c r="BJ365" s="725">
        <v>3.1118910363357954E-3</v>
      </c>
      <c r="BK365" s="725">
        <v>3.8374551510992677E-3</v>
      </c>
      <c r="BL365" s="725">
        <v>4.688485091406033E-3</v>
      </c>
      <c r="BM365" s="725">
        <v>5.7275440733357708E-3</v>
      </c>
      <c r="BN365" s="725">
        <v>7.1769452728197769E-3</v>
      </c>
      <c r="BO365" s="726">
        <v>9.6378825065068906E-3</v>
      </c>
      <c r="BP365" s="725">
        <v>1.3834046387604271E-2</v>
      </c>
      <c r="BQ365" s="725">
        <v>2.135802336521038E-2</v>
      </c>
      <c r="BR365" s="725">
        <v>3.4263422958934413E-2</v>
      </c>
      <c r="BS365" s="725">
        <v>5.4817961345715795E-2</v>
      </c>
      <c r="BT365" s="725">
        <v>8.1149176001437173E-2</v>
      </c>
      <c r="BW365" s="1189">
        <f>'2018'!R\Max</f>
        <v>0.78248701442457269</v>
      </c>
      <c r="BX365" s="1187">
        <f>'2019'!R\Max</f>
        <v>0.57427659867268754</v>
      </c>
      <c r="BY365" s="1187">
        <f>'2020'!R\Max</f>
        <v>0.6638117048700326</v>
      </c>
      <c r="BZ365" s="1187">
        <f>'2021'!R\Max</f>
        <v>0.97705022760282734</v>
      </c>
      <c r="CA365" s="1187">
        <f>'2022'!R\Max</f>
        <v>0.20234803842144569</v>
      </c>
      <c r="CB365" s="1187">
        <f>'2023'!R\Max</f>
        <v>0.20226816092971281</v>
      </c>
      <c r="CC365" s="1187">
        <f>'2024'!R\Max</f>
        <v>0.20215672687173636</v>
      </c>
      <c r="CD365" s="1187">
        <f>'2025'!R\Max</f>
        <v>0.20256010828724882</v>
      </c>
      <c r="CE365" s="1187">
        <f>'2026'!R\Max</f>
        <v>0.20252388795498583</v>
      </c>
      <c r="CF365" s="1188">
        <f>'2027'!R\Max</f>
        <v>0.20247704195489885</v>
      </c>
    </row>
    <row r="366" spans="1:84" s="6" customFormat="1" ht="11.25" x14ac:dyDescent="0.2">
      <c r="A366" s="11">
        <v>43452</v>
      </c>
      <c r="B366" s="380">
        <f>'2022'!Maxi_hp</f>
        <v>18.946814090960533</v>
      </c>
      <c r="C366" s="13">
        <f>'2022'!An_max</f>
        <v>2021</v>
      </c>
      <c r="D366" s="1061"/>
      <c r="E366" s="13"/>
      <c r="F366" s="13">
        <f t="shared" si="146"/>
        <v>27</v>
      </c>
      <c r="G366" s="13">
        <f t="shared" si="130"/>
        <v>26</v>
      </c>
      <c r="H366" s="173">
        <f t="shared" si="131"/>
        <v>43458</v>
      </c>
      <c r="I366" s="752">
        <f t="shared" si="132"/>
        <v>0.42857142857142855</v>
      </c>
      <c r="J366" s="745">
        <f t="shared" si="133"/>
        <v>19.065418718329497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4">
        <v>43452</v>
      </c>
      <c r="AP366" s="13">
        <f t="shared" si="134"/>
        <v>15</v>
      </c>
      <c r="AQ366" s="13">
        <f t="shared" si="135"/>
        <v>14</v>
      </c>
      <c r="AR366" s="173">
        <f t="shared" si="136"/>
        <v>43473</v>
      </c>
      <c r="AS366" s="752">
        <f t="shared" si="137"/>
        <v>0.72413793103448276</v>
      </c>
      <c r="AT366" s="768">
        <f t="shared" si="138"/>
        <v>18.900807307095363</v>
      </c>
      <c r="AU366" s="13">
        <f t="shared" si="139"/>
        <v>13</v>
      </c>
      <c r="AV366" s="13">
        <f t="shared" si="140"/>
        <v>14</v>
      </c>
      <c r="AW366" s="173">
        <f t="shared" si="141"/>
        <v>43430</v>
      </c>
      <c r="AX366" s="752">
        <f t="shared" si="142"/>
        <v>0.7857142857142857</v>
      </c>
      <c r="AY366" s="768">
        <f t="shared" si="143"/>
        <v>19.187681719341448</v>
      </c>
      <c r="AZ366" s="745">
        <f t="shared" si="147"/>
        <v>19.044244513218406</v>
      </c>
      <c r="BA366" s="642">
        <f t="shared" si="144"/>
        <v>0.99377907041428171</v>
      </c>
      <c r="BC366" s="11">
        <v>43452</v>
      </c>
      <c r="BD366" s="290">
        <f>[2]!FeuilCaduc*(1-Persistant)+Persistant</f>
        <v>0.70943825214322709</v>
      </c>
      <c r="BE366" s="291">
        <f>[2]!CroissVégét</f>
        <v>0.99994066526373915</v>
      </c>
      <c r="BF366" s="815">
        <f>1+[2]!Salcycl*Ksac</f>
        <v>1.0015730420238711</v>
      </c>
      <c r="BH366" s="1052">
        <f t="shared" si="145"/>
        <v>6.2606138669611781E-3</v>
      </c>
      <c r="BI366" s="11">
        <v>44548</v>
      </c>
      <c r="BJ366" s="725">
        <v>3.0844035319137282E-3</v>
      </c>
      <c r="BK366" s="725">
        <v>3.8064023058466856E-3</v>
      </c>
      <c r="BL366" s="725">
        <v>4.6529364804222852E-3</v>
      </c>
      <c r="BM366" s="725">
        <v>5.6843188436132459E-3</v>
      </c>
      <c r="BN366" s="725">
        <v>7.1276181490877444E-3</v>
      </c>
      <c r="BO366" s="726">
        <v>9.5866657995885181E-3</v>
      </c>
      <c r="BP366" s="725">
        <v>1.3788996036176837E-2</v>
      </c>
      <c r="BQ366" s="725">
        <v>2.1325612236482865E-2</v>
      </c>
      <c r="BR366" s="725">
        <v>3.4296426709179539E-2</v>
      </c>
      <c r="BS366" s="725">
        <v>5.491437222384421E-2</v>
      </c>
      <c r="BT366" s="725">
        <v>8.1304074843548096E-2</v>
      </c>
      <c r="BW366" s="1189">
        <f>'2018'!R\Max</f>
        <v>0.58946540232446198</v>
      </c>
      <c r="BX366" s="1187">
        <f>'2019'!R\Max</f>
        <v>0.8321664281389598</v>
      </c>
      <c r="BY366" s="1187">
        <f>'2020'!R\Max</f>
        <v>0.4813610693424254</v>
      </c>
      <c r="BZ366" s="1187">
        <f>'2021'!R\Max</f>
        <v>0.99377907041428171</v>
      </c>
      <c r="CA366" s="1187">
        <f>'2022'!R\Max</f>
        <v>0.92960908749657456</v>
      </c>
      <c r="CB366" s="1187">
        <f>'2023'!R\Max</f>
        <v>0.92957221322639516</v>
      </c>
      <c r="CC366" s="1187">
        <f>'2024'!R\Max</f>
        <v>0.92952072016528098</v>
      </c>
      <c r="CD366" s="1187">
        <f>'2025'!R\Max</f>
        <v>0.92970669968764885</v>
      </c>
      <c r="CE366" s="1187">
        <f>'2026'!R\Max</f>
        <v>0.92969007500324063</v>
      </c>
      <c r="CF366" s="1188">
        <f>'2027'!R\Max</f>
        <v>0.92966853435865493</v>
      </c>
    </row>
    <row r="367" spans="1:84" s="6" customFormat="1" ht="11.25" x14ac:dyDescent="0.2">
      <c r="A367" s="11">
        <v>43453</v>
      </c>
      <c r="B367" s="380">
        <f>'2022'!Maxi_hp</f>
        <v>18.60656481230383</v>
      </c>
      <c r="C367" s="13">
        <f>'2022'!An_max</f>
        <v>2021</v>
      </c>
      <c r="D367" s="1061"/>
      <c r="E367" s="13"/>
      <c r="F367" s="13">
        <f t="shared" si="146"/>
        <v>27</v>
      </c>
      <c r="G367" s="13">
        <f t="shared" si="130"/>
        <v>26</v>
      </c>
      <c r="H367" s="173">
        <f t="shared" si="131"/>
        <v>43458</v>
      </c>
      <c r="I367" s="752">
        <f t="shared" si="132"/>
        <v>0.35714285714285715</v>
      </c>
      <c r="J367" s="745">
        <f t="shared" si="133"/>
        <v>19.092210590626514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4">
        <v>43453</v>
      </c>
      <c r="AP367" s="13">
        <f t="shared" si="134"/>
        <v>15</v>
      </c>
      <c r="AQ367" s="13">
        <f t="shared" si="135"/>
        <v>14</v>
      </c>
      <c r="AR367" s="173">
        <f t="shared" si="136"/>
        <v>43473</v>
      </c>
      <c r="AS367" s="752">
        <f t="shared" si="137"/>
        <v>0.68965517241379315</v>
      </c>
      <c r="AT367" s="768">
        <f t="shared" si="138"/>
        <v>18.905479510847861</v>
      </c>
      <c r="AU367" s="13">
        <f t="shared" si="139"/>
        <v>13</v>
      </c>
      <c r="AV367" s="13">
        <f t="shared" si="140"/>
        <v>14</v>
      </c>
      <c r="AW367" s="173">
        <f t="shared" si="141"/>
        <v>43430</v>
      </c>
      <c r="AX367" s="752">
        <f t="shared" si="142"/>
        <v>0.8214285714285714</v>
      </c>
      <c r="AY367" s="768">
        <f t="shared" si="143"/>
        <v>19.187156362086533</v>
      </c>
      <c r="AZ367" s="745">
        <f t="shared" si="147"/>
        <v>19.046317936467197</v>
      </c>
      <c r="BA367" s="642">
        <f t="shared" si="144"/>
        <v>0.97456314573854974</v>
      </c>
      <c r="BC367" s="11">
        <v>43453</v>
      </c>
      <c r="BD367" s="290">
        <f>[2]!FeuilCaduc*(1-Persistant)+Persistant</f>
        <v>0.70875970640922514</v>
      </c>
      <c r="BE367" s="291">
        <f>[2]!CroissVégét</f>
        <v>0.99995638361167161</v>
      </c>
      <c r="BF367" s="815">
        <f>1+[2]!Salcycl*Ksac</f>
        <v>1.0014599510682043</v>
      </c>
      <c r="BH367" s="1052">
        <f t="shared" si="145"/>
        <v>6.2267146628719313E-3</v>
      </c>
      <c r="BI367" s="11">
        <v>44549</v>
      </c>
      <c r="BJ367" s="725">
        <v>3.0639577665036838E-3</v>
      </c>
      <c r="BK367" s="725">
        <v>3.7833229351104552E-3</v>
      </c>
      <c r="BL367" s="725">
        <v>4.6265325839832012E-3</v>
      </c>
      <c r="BM367" s="725">
        <v>5.6522146201915735E-3</v>
      </c>
      <c r="BN367" s="725">
        <v>7.0910184949476186E-3</v>
      </c>
      <c r="BO367" s="726">
        <v>9.5487888396846143E-3</v>
      </c>
      <c r="BP367" s="725">
        <v>1.3755984981901996E-2</v>
      </c>
      <c r="BQ367" s="725">
        <v>2.1302513418756094E-2</v>
      </c>
      <c r="BR367" s="725">
        <v>3.4323143670510176E-2</v>
      </c>
      <c r="BS367" s="725">
        <v>5.4989835015139626E-2</v>
      </c>
      <c r="BT367" s="725">
        <v>8.14249223074789E-2</v>
      </c>
      <c r="BW367" s="1189">
        <f>'2018'!R\Max</f>
        <v>0.89889927608035503</v>
      </c>
      <c r="BX367" s="1187">
        <f>'2019'!R\Max</f>
        <v>0.47336324357814835</v>
      </c>
      <c r="BY367" s="1187">
        <f>'2020'!R\Max</f>
        <v>0.579283090228772</v>
      </c>
      <c r="BZ367" s="1187">
        <f>'2021'!R\Max</f>
        <v>0.97456314573854974</v>
      </c>
      <c r="CA367" s="1187">
        <f>'2022'!R\Max</f>
        <v>0.76895035854747207</v>
      </c>
      <c r="CB367" s="1187">
        <f>'2023'!R\Max</f>
        <v>0.76885037076160379</v>
      </c>
      <c r="CC367" s="1187">
        <f>'2024'!R\Max</f>
        <v>0.76871075794965738</v>
      </c>
      <c r="CD367" s="1187">
        <f>'2025'!R\Max</f>
        <v>0.76921480584387003</v>
      </c>
      <c r="CE367" s="1187">
        <f>'2026'!R\Max</f>
        <v>0.7691698267977134</v>
      </c>
      <c r="CF367" s="1188">
        <f>'2027'!R\Max</f>
        <v>0.76911148980019317</v>
      </c>
    </row>
    <row r="368" spans="1:84" s="6" customFormat="1" ht="11.25" x14ac:dyDescent="0.2">
      <c r="A368" s="11">
        <v>43454</v>
      </c>
      <c r="B368" s="380">
        <f>'2022'!Maxi_hp</f>
        <v>19.171871090766793</v>
      </c>
      <c r="C368" s="13">
        <f>'2022'!An_max</f>
        <v>2021</v>
      </c>
      <c r="D368" s="1061"/>
      <c r="E368" s="13"/>
      <c r="F368" s="13">
        <f t="shared" si="146"/>
        <v>27</v>
      </c>
      <c r="G368" s="13">
        <f t="shared" si="130"/>
        <v>26</v>
      </c>
      <c r="H368" s="173">
        <f t="shared" si="131"/>
        <v>43458</v>
      </c>
      <c r="I368" s="752">
        <f t="shared" si="132"/>
        <v>0.2857142857142857</v>
      </c>
      <c r="J368" s="745">
        <f t="shared" si="133"/>
        <v>19.125287356014763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4">
        <v>43454</v>
      </c>
      <c r="AP368" s="13">
        <f t="shared" si="134"/>
        <v>15</v>
      </c>
      <c r="AQ368" s="13">
        <f t="shared" si="135"/>
        <v>14</v>
      </c>
      <c r="AR368" s="173">
        <f t="shared" si="136"/>
        <v>43473</v>
      </c>
      <c r="AS368" s="752">
        <f t="shared" si="137"/>
        <v>0.65517241379310343</v>
      </c>
      <c r="AT368" s="768">
        <f t="shared" si="138"/>
        <v>18.919070266649641</v>
      </c>
      <c r="AU368" s="13">
        <f t="shared" si="139"/>
        <v>13</v>
      </c>
      <c r="AV368" s="13">
        <f t="shared" si="140"/>
        <v>14</v>
      </c>
      <c r="AW368" s="173">
        <f t="shared" si="141"/>
        <v>43430</v>
      </c>
      <c r="AX368" s="752">
        <f t="shared" si="142"/>
        <v>0.8571428571428571</v>
      </c>
      <c r="AY368" s="768">
        <f t="shared" si="143"/>
        <v>19.194359050052508</v>
      </c>
      <c r="AZ368" s="745">
        <f t="shared" si="147"/>
        <v>19.056714658351076</v>
      </c>
      <c r="BA368" s="642">
        <f t="shared" si="144"/>
        <v>1.0024357142397329</v>
      </c>
      <c r="BC368" s="11">
        <v>43454</v>
      </c>
      <c r="BD368" s="290">
        <f>[2]!FeuilCaduc*(1-Persistant)+Persistant</f>
        <v>0.70813284128319209</v>
      </c>
      <c r="BE368" s="291">
        <f>[2]!CroissVégét</f>
        <v>0.99997146955734828</v>
      </c>
      <c r="BF368" s="815">
        <f>1+[2]!Salcycl*Ksac</f>
        <v>1.0013554735471988</v>
      </c>
      <c r="BH368" s="1052">
        <f t="shared" si="145"/>
        <v>6.2045939819556544E-3</v>
      </c>
      <c r="BI368" s="11">
        <v>44550</v>
      </c>
      <c r="BJ368" s="725">
        <v>3.0505619871499835E-3</v>
      </c>
      <c r="BK368" s="725">
        <v>3.7682270274008614E-3</v>
      </c>
      <c r="BL368" s="725">
        <v>4.609285453227115E-3</v>
      </c>
      <c r="BM368" s="725">
        <v>5.6312461121110734E-3</v>
      </c>
      <c r="BN368" s="725">
        <v>7.067164433138054E-3</v>
      </c>
      <c r="BO368" s="726">
        <v>9.5242750052677815E-3</v>
      </c>
      <c r="BP368" s="725">
        <v>1.3735044965935439E-2</v>
      </c>
      <c r="BQ368" s="725">
        <v>2.1288773547027427E-2</v>
      </c>
      <c r="BR368" s="725">
        <v>3.4343643234341442E-2</v>
      </c>
      <c r="BS368" s="725">
        <v>5.50444579568291E-2</v>
      </c>
      <c r="BT368" s="725">
        <v>8.1511877844159461E-2</v>
      </c>
      <c r="BW368" s="1189">
        <f>'2018'!R\Max</f>
        <v>0.47624934755259879</v>
      </c>
      <c r="BX368" s="1187">
        <f>'2019'!R\Max</f>
        <v>0.44025590625261729</v>
      </c>
      <c r="BY368" s="1187">
        <f>'2020'!R\Max</f>
        <v>0.45388380704465553</v>
      </c>
      <c r="BZ368" s="1187">
        <f>'2021'!R\Max</f>
        <v>1.0024357142397329</v>
      </c>
      <c r="CA368" s="1187">
        <f>'2022'!R\Max</f>
        <v>0.26944862561226796</v>
      </c>
      <c r="CB368" s="1187">
        <f>'2023'!R\Max</f>
        <v>0.26934263884466003</v>
      </c>
      <c r="CC368" s="1187">
        <f>'2024'!R\Max</f>
        <v>0.2691947320938628</v>
      </c>
      <c r="CD368" s="1187">
        <f>'2025'!R\Max</f>
        <v>0.26972898013396773</v>
      </c>
      <c r="CE368" s="1187">
        <f>'2026'!R\Max</f>
        <v>0.26968131652268046</v>
      </c>
      <c r="CF368" s="1188">
        <f>'2027'!R\Max</f>
        <v>0.26961947006475762</v>
      </c>
    </row>
    <row r="369" spans="1:84" s="6" customFormat="1" ht="11.25" x14ac:dyDescent="0.2">
      <c r="A369" s="11">
        <v>43455</v>
      </c>
      <c r="B369" s="380">
        <f>'2022'!Maxi_hp</f>
        <v>18.393584426720921</v>
      </c>
      <c r="C369" s="13">
        <f>'2022'!An_max</f>
        <v>2022</v>
      </c>
      <c r="D369" s="1061"/>
      <c r="E369" s="13"/>
      <c r="F369" s="13">
        <f t="shared" si="146"/>
        <v>27</v>
      </c>
      <c r="G369" s="13">
        <f t="shared" si="130"/>
        <v>26</v>
      </c>
      <c r="H369" s="173">
        <f t="shared" si="131"/>
        <v>43458</v>
      </c>
      <c r="I369" s="752">
        <f t="shared" si="132"/>
        <v>0.21428571428571427</v>
      </c>
      <c r="J369" s="745">
        <f t="shared" si="133"/>
        <v>19.163626846192138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4">
        <v>43455</v>
      </c>
      <c r="AP369" s="13">
        <f t="shared" si="134"/>
        <v>15</v>
      </c>
      <c r="AQ369" s="13">
        <f t="shared" si="135"/>
        <v>14</v>
      </c>
      <c r="AR369" s="173">
        <f t="shared" si="136"/>
        <v>43473</v>
      </c>
      <c r="AS369" s="752">
        <f t="shared" si="137"/>
        <v>0.62068965517241381</v>
      </c>
      <c r="AT369" s="768">
        <f t="shared" si="138"/>
        <v>18.941450384413372</v>
      </c>
      <c r="AU369" s="13">
        <f t="shared" si="139"/>
        <v>13</v>
      </c>
      <c r="AV369" s="13">
        <f t="shared" si="140"/>
        <v>14</v>
      </c>
      <c r="AW369" s="173">
        <f t="shared" si="141"/>
        <v>43430</v>
      </c>
      <c r="AX369" s="752">
        <f t="shared" si="142"/>
        <v>0.8928571428571429</v>
      </c>
      <c r="AY369" s="768">
        <f t="shared" si="143"/>
        <v>19.209267270352161</v>
      </c>
      <c r="AZ369" s="745">
        <f t="shared" si="147"/>
        <v>19.075358827382765</v>
      </c>
      <c r="BA369" s="642">
        <f t="shared" si="144"/>
        <v>0.95981750084931206</v>
      </c>
      <c r="BC369" s="11">
        <v>43455</v>
      </c>
      <c r="BD369" s="290">
        <f>[2]!FeuilCaduc*(1-Persistant)+Persistant</f>
        <v>0.70755400849456518</v>
      </c>
      <c r="BE369" s="291">
        <f>[2]!CroissVégét</f>
        <v>0.99998594852652212</v>
      </c>
      <c r="BF369" s="815">
        <f>1+[2]!Salcycl*Ksac</f>
        <v>1.001259001415761</v>
      </c>
      <c r="BH369" s="1052">
        <f t="shared" si="145"/>
        <v>6.1942693939107205E-3</v>
      </c>
      <c r="BI369" s="11">
        <v>44551</v>
      </c>
      <c r="BJ369" s="725">
        <v>3.0442253393933327E-3</v>
      </c>
      <c r="BK369" s="725">
        <v>3.7611255876934518E-3</v>
      </c>
      <c r="BL369" s="725">
        <v>4.6012083042289631E-3</v>
      </c>
      <c r="BM369" s="725">
        <v>5.6214294450312209E-3</v>
      </c>
      <c r="BN369" s="725">
        <v>7.0560757058348118E-3</v>
      </c>
      <c r="BO369" s="726">
        <v>9.5131493659736041E-3</v>
      </c>
      <c r="BP369" s="725">
        <v>1.3726209240727979E-2</v>
      </c>
      <c r="BQ369" s="725">
        <v>2.1284440394139213E-2</v>
      </c>
      <c r="BR369" s="725">
        <v>3.4357993881719909E-2</v>
      </c>
      <c r="BS369" s="725">
        <v>5.5078346426084168E-2</v>
      </c>
      <c r="BT369" s="725">
        <v>8.156509627870949E-2</v>
      </c>
      <c r="BW369" s="1189">
        <f>'2018'!R\Max</f>
        <v>0.40732116546809083</v>
      </c>
      <c r="BX369" s="1187">
        <f>'2019'!R\Max</f>
        <v>0.78190928157516471</v>
      </c>
      <c r="BY369" s="1187">
        <f>'2020'!R\Max</f>
        <v>0.3414435543463939</v>
      </c>
      <c r="BZ369" s="1187">
        <f>'2021'!R\Max</f>
        <v>0.79122634010648918</v>
      </c>
      <c r="CA369" s="1187">
        <f>'2022'!R\Max</f>
        <v>0.95981750084931206</v>
      </c>
      <c r="CB369" s="1187">
        <f>'2023'!R\Max</f>
        <v>0.95979588076952427</v>
      </c>
      <c r="CC369" s="1187">
        <f>'2024'!R\Max</f>
        <v>0.95976568147562347</v>
      </c>
      <c r="CD369" s="1187">
        <f>'2025'!R\Max</f>
        <v>0.95987458973061635</v>
      </c>
      <c r="CE369" s="1187">
        <f>'2026'!R\Max</f>
        <v>0.95986489675083275</v>
      </c>
      <c r="CF369" s="1188">
        <f>'2027'!R\Max</f>
        <v>0.95985231022626716</v>
      </c>
    </row>
    <row r="370" spans="1:84" s="6" customFormat="1" ht="11.25" x14ac:dyDescent="0.2">
      <c r="A370" s="11">
        <v>43456</v>
      </c>
      <c r="B370" s="380">
        <f>'2022'!Maxi_hp</f>
        <v>18.146352200038717</v>
      </c>
      <c r="C370" s="13">
        <f>'2022'!An_max</f>
        <v>2021</v>
      </c>
      <c r="D370" s="1061"/>
      <c r="E370" s="13"/>
      <c r="F370" s="13">
        <f t="shared" si="146"/>
        <v>27</v>
      </c>
      <c r="G370" s="13">
        <f t="shared" si="130"/>
        <v>26</v>
      </c>
      <c r="H370" s="173">
        <f t="shared" si="131"/>
        <v>43458</v>
      </c>
      <c r="I370" s="752">
        <f t="shared" si="132"/>
        <v>0.14285714285714285</v>
      </c>
      <c r="J370" s="745">
        <f t="shared" si="133"/>
        <v>19.206206896688258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4">
        <v>43456</v>
      </c>
      <c r="AP370" s="13">
        <f t="shared" si="134"/>
        <v>15</v>
      </c>
      <c r="AQ370" s="13">
        <f t="shared" si="135"/>
        <v>14</v>
      </c>
      <c r="AR370" s="173">
        <f t="shared" si="136"/>
        <v>43473</v>
      </c>
      <c r="AS370" s="752">
        <f t="shared" si="137"/>
        <v>0.58620689655172409</v>
      </c>
      <c r="AT370" s="768">
        <f t="shared" si="138"/>
        <v>18.972490677597193</v>
      </c>
      <c r="AU370" s="13">
        <f t="shared" si="139"/>
        <v>13</v>
      </c>
      <c r="AV370" s="13">
        <f t="shared" si="140"/>
        <v>14</v>
      </c>
      <c r="AW370" s="173">
        <f t="shared" si="141"/>
        <v>43430</v>
      </c>
      <c r="AX370" s="752">
        <f t="shared" si="142"/>
        <v>0.9285714285714286</v>
      </c>
      <c r="AY370" s="768">
        <f t="shared" si="143"/>
        <v>19.231858509991852</v>
      </c>
      <c r="AZ370" s="745">
        <f t="shared" si="147"/>
        <v>19.102174593794523</v>
      </c>
      <c r="BA370" s="642">
        <f t="shared" si="144"/>
        <v>0.94481707385791558</v>
      </c>
      <c r="BC370" s="11">
        <v>43456</v>
      </c>
      <c r="BD370" s="290">
        <f>[2]!FeuilCaduc*(1-Persistant)+Persistant</f>
        <v>0.70701964958464991</v>
      </c>
      <c r="BE370" s="291">
        <f>[2]!CroissVégét</f>
        <v>0.99999984492411664</v>
      </c>
      <c r="BF370" s="815">
        <f>1+[2]!Salcycl*Ksac</f>
        <v>1.0011699415974418</v>
      </c>
      <c r="BH370" s="1052">
        <f t="shared" si="145"/>
        <v>6.1957602073883389E-3</v>
      </c>
      <c r="BI370" s="11">
        <v>44552</v>
      </c>
      <c r="BJ370" s="727">
        <v>3.0449580121068155E-3</v>
      </c>
      <c r="BK370" s="727">
        <v>3.7620308012643478E-3</v>
      </c>
      <c r="BL370" s="727">
        <v>4.602315705750766E-3</v>
      </c>
      <c r="BM370" s="727">
        <v>5.6227823895428648E-3</v>
      </c>
      <c r="BN370" s="727">
        <v>7.0577739356166326E-3</v>
      </c>
      <c r="BO370" s="728">
        <v>9.5154389550094511E-3</v>
      </c>
      <c r="BP370" s="727">
        <v>1.3729512813180415E-2</v>
      </c>
      <c r="BQ370" s="727">
        <v>2.1289563053259328E-2</v>
      </c>
      <c r="BR370" s="727">
        <v>3.436626303455869E-2</v>
      </c>
      <c r="BS370" s="727">
        <v>5.5091602475499407E-2</v>
      </c>
      <c r="BT370" s="727">
        <v>8.1584727059533305E-2</v>
      </c>
      <c r="BW370" s="1189">
        <f>'2018'!R\Max</f>
        <v>0.32560725560954634</v>
      </c>
      <c r="BX370" s="1187">
        <f>'2019'!R\Max</f>
        <v>0.31844371527411575</v>
      </c>
      <c r="BY370" s="1187">
        <f>'2020'!R\Max</f>
        <v>0.41600888532484182</v>
      </c>
      <c r="BZ370" s="1187">
        <f>'2021'!R\Max</f>
        <v>0.94481707385791558</v>
      </c>
      <c r="CA370" s="1187">
        <f>'2022'!R\Max</f>
        <v>0.73449216304604659</v>
      </c>
      <c r="CB370" s="1187">
        <f>'2023'!R\Max</f>
        <v>0.73438315645295338</v>
      </c>
      <c r="CC370" s="1187">
        <f>'2024'!R\Max</f>
        <v>0.73423093931799444</v>
      </c>
      <c r="CD370" s="1187">
        <f>'2025'!R\Max</f>
        <v>0.73478013440291301</v>
      </c>
      <c r="CE370" s="1187">
        <f>'2026'!R\Max</f>
        <v>0.73473122664780255</v>
      </c>
      <c r="CF370" s="1188">
        <f>'2027'!R\Max</f>
        <v>0.73466772775579037</v>
      </c>
    </row>
    <row r="371" spans="1:84" s="6" customFormat="1" ht="11.25" x14ac:dyDescent="0.2">
      <c r="A371" s="11">
        <v>43457</v>
      </c>
      <c r="B371" s="380">
        <f>'2022'!Maxi_hp</f>
        <v>16.298095724245826</v>
      </c>
      <c r="C371" s="13">
        <f>'2022'!An_max</f>
        <v>2020</v>
      </c>
      <c r="D371" s="1061"/>
      <c r="E371" s="13"/>
      <c r="F371" s="13">
        <f t="shared" si="146"/>
        <v>27</v>
      </c>
      <c r="G371" s="13">
        <f t="shared" si="130"/>
        <v>26</v>
      </c>
      <c r="H371" s="173">
        <f t="shared" si="131"/>
        <v>43458</v>
      </c>
      <c r="I371" s="752">
        <f t="shared" si="132"/>
        <v>7.1428571428571425E-2</v>
      </c>
      <c r="J371" s="745">
        <f t="shared" si="133"/>
        <v>19.252005337125489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4">
        <v>43457</v>
      </c>
      <c r="AP371" s="13">
        <f t="shared" si="134"/>
        <v>15</v>
      </c>
      <c r="AQ371" s="13">
        <f t="shared" si="135"/>
        <v>14</v>
      </c>
      <c r="AR371" s="173">
        <f t="shared" si="136"/>
        <v>43473</v>
      </c>
      <c r="AS371" s="752">
        <f t="shared" si="137"/>
        <v>0.55172413793103448</v>
      </c>
      <c r="AT371" s="768">
        <f t="shared" si="138"/>
        <v>19.012061962074249</v>
      </c>
      <c r="AU371" s="13">
        <f t="shared" si="139"/>
        <v>13</v>
      </c>
      <c r="AV371" s="13">
        <f t="shared" si="140"/>
        <v>14</v>
      </c>
      <c r="AW371" s="173">
        <f t="shared" si="141"/>
        <v>43430</v>
      </c>
      <c r="AX371" s="752">
        <f t="shared" si="142"/>
        <v>0.9642857142857143</v>
      </c>
      <c r="AY371" s="768">
        <f t="shared" si="143"/>
        <v>19.262110258319549</v>
      </c>
      <c r="AZ371" s="745">
        <f t="shared" si="147"/>
        <v>19.137086110196897</v>
      </c>
      <c r="BA371" s="642">
        <f t="shared" si="144"/>
        <v>0.8465661337012329</v>
      </c>
      <c r="BC371" s="11">
        <v>43457</v>
      </c>
      <c r="BD371" s="290">
        <f>[2]!FeuilCaduc*(1-Persistant)+Persistant</f>
        <v>0.70652631341224448</v>
      </c>
      <c r="BE371" s="291">
        <f>[2]!CroissVégét</f>
        <v>0.99999984492411664</v>
      </c>
      <c r="BF371" s="815">
        <f>1+[2]!Salcycl*Ksac</f>
        <v>1.0010877189020408</v>
      </c>
      <c r="BH371" s="1052">
        <f t="shared" si="145"/>
        <v>6.2090920024965961E-3</v>
      </c>
      <c r="BI371" s="11">
        <v>44553</v>
      </c>
      <c r="BJ371" s="725">
        <v>3.0527734921283142E-3</v>
      </c>
      <c r="BK371" s="725">
        <v>3.7709588036655885E-3</v>
      </c>
      <c r="BL371" s="725">
        <v>4.6126269548157723E-3</v>
      </c>
      <c r="BM371" s="725">
        <v>5.6353284841014145E-3</v>
      </c>
      <c r="BN371" s="725">
        <v>7.0722877741461699E-3</v>
      </c>
      <c r="BO371" s="726">
        <v>9.5311796286381197E-3</v>
      </c>
      <c r="BP371" s="725">
        <v>1.3745002187079513E-2</v>
      </c>
      <c r="BQ371" s="725">
        <v>2.1304206843869158E-2</v>
      </c>
      <c r="BR371" s="725">
        <v>3.4368540659244357E-2</v>
      </c>
      <c r="BS371" s="725">
        <v>5.5084362437811223E-2</v>
      </c>
      <c r="BT371" s="725">
        <v>8.1570969881759325E-2</v>
      </c>
      <c r="BW371" s="1189">
        <f>'2018'!R\Max</f>
        <v>0.25343533378736782</v>
      </c>
      <c r="BX371" s="1187">
        <f>'2019'!R\Max</f>
        <v>0.30327098868490093</v>
      </c>
      <c r="BY371" s="1187">
        <f>'2020'!R\Max</f>
        <v>0.8465661337012329</v>
      </c>
      <c r="BZ371" s="1187">
        <f>'2021'!R\Max</f>
        <v>0.339096436622294</v>
      </c>
      <c r="CA371" s="1187">
        <f>'2022'!R\Max</f>
        <v>0.77100419252411501</v>
      </c>
      <c r="CB371" s="1187">
        <f>'2023'!R\Max</f>
        <v>0.77090581024850913</v>
      </c>
      <c r="CC371" s="1187">
        <f>'2024'!R\Max</f>
        <v>0.77076842709172133</v>
      </c>
      <c r="CD371" s="1187">
        <f>'2025'!R\Max</f>
        <v>0.77126418468377411</v>
      </c>
      <c r="CE371" s="1187">
        <f>'2026'!R\Max</f>
        <v>0.77122000802039492</v>
      </c>
      <c r="CF371" s="1188">
        <f>'2027'!R\Max</f>
        <v>0.77116267142301032</v>
      </c>
    </row>
    <row r="372" spans="1:84" s="6" customFormat="1" ht="11.25" x14ac:dyDescent="0.2">
      <c r="A372" s="11">
        <v>43458</v>
      </c>
      <c r="B372" s="380">
        <f>'2022'!Maxi_hp</f>
        <v>19.0816996155081</v>
      </c>
      <c r="C372" s="13">
        <f>'2022'!An_max</f>
        <v>2022</v>
      </c>
      <c r="D372" s="1061"/>
      <c r="E372" s="1056">
        <f>AM$13/10</f>
        <v>19.3</v>
      </c>
      <c r="F372" s="13">
        <f t="shared" si="146"/>
        <v>27</v>
      </c>
      <c r="G372" s="13">
        <f t="shared" si="130"/>
        <v>28</v>
      </c>
      <c r="H372" s="173">
        <f t="shared" si="131"/>
        <v>43458</v>
      </c>
      <c r="I372" s="752">
        <f t="shared" si="132"/>
        <v>0</v>
      </c>
      <c r="J372" s="745">
        <f t="shared" si="133"/>
        <v>19.3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4">
        <v>43458</v>
      </c>
      <c r="AP372" s="13">
        <f t="shared" si="134"/>
        <v>15</v>
      </c>
      <c r="AQ372" s="13">
        <f t="shared" si="135"/>
        <v>14</v>
      </c>
      <c r="AR372" s="173">
        <f t="shared" si="136"/>
        <v>43473</v>
      </c>
      <c r="AS372" s="752">
        <f t="shared" si="137"/>
        <v>0.51724137931034486</v>
      </c>
      <c r="AT372" s="768">
        <f t="shared" si="138"/>
        <v>19.060035045239431</v>
      </c>
      <c r="AU372" s="13">
        <f t="shared" si="139"/>
        <v>15</v>
      </c>
      <c r="AV372" s="13">
        <f t="shared" si="140"/>
        <v>14</v>
      </c>
      <c r="AW372" s="173">
        <f t="shared" si="141"/>
        <v>43487</v>
      </c>
      <c r="AX372" s="752">
        <f t="shared" si="142"/>
        <v>1</v>
      </c>
      <c r="AY372" s="768">
        <f t="shared" si="143"/>
        <v>19.299999998509882</v>
      </c>
      <c r="AZ372" s="745">
        <f t="shared" si="147"/>
        <v>19.180017521874657</v>
      </c>
      <c r="BA372" s="642">
        <f t="shared" si="144"/>
        <v>0.98868909924912429</v>
      </c>
      <c r="BC372" s="11">
        <v>43458</v>
      </c>
      <c r="BD372" s="290">
        <f>[2]!FeuilCaduc*(1-Persistant)+Persistant</f>
        <v>0.70607067214514108</v>
      </c>
      <c r="BE372" s="291">
        <f>[2]!CroissVégét</f>
        <v>0.99999984492411664</v>
      </c>
      <c r="BF372" s="815">
        <f>1+[2]!Salcycl*Ksac</f>
        <v>1.0010117786908568</v>
      </c>
      <c r="BH372" s="1052">
        <f t="shared" si="145"/>
        <v>6.2342744507799929E-3</v>
      </c>
      <c r="BI372" s="11">
        <v>44554</v>
      </c>
      <c r="BJ372" s="725">
        <v>3.0676776849724295E-3</v>
      </c>
      <c r="BK372" s="725">
        <v>3.7879162271634344E-3</v>
      </c>
      <c r="BL372" s="725">
        <v>4.6321496078839753E-3</v>
      </c>
      <c r="BM372" s="725">
        <v>5.6590769137208211E-3</v>
      </c>
      <c r="BN372" s="725">
        <v>7.0996276249264785E-3</v>
      </c>
      <c r="BO372" s="726">
        <v>9.5603819224441798E-3</v>
      </c>
      <c r="BP372" s="725">
        <v>1.3772685976657659E-2</v>
      </c>
      <c r="BQ372" s="725">
        <v>2.1328376573256279E-2</v>
      </c>
      <c r="BR372" s="725">
        <v>3.436481503342554E-2</v>
      </c>
      <c r="BS372" s="725">
        <v>5.5056597587751555E-2</v>
      </c>
      <c r="BT372" s="725">
        <v>8.1523779437828098E-2</v>
      </c>
      <c r="BW372" s="1189">
        <f>'2018'!R\Max</f>
        <v>0.27199427714766061</v>
      </c>
      <c r="BX372" s="1187">
        <f>'2019'!R\Max</f>
        <v>0.63478475287798986</v>
      </c>
      <c r="BY372" s="1187">
        <f>'2020'!R\Max</f>
        <v>0.45147774048584527</v>
      </c>
      <c r="BZ372" s="1187">
        <f>'2021'!R\Max</f>
        <v>0.61903081689164152</v>
      </c>
      <c r="CA372" s="1187">
        <f>'2022'!R\Max</f>
        <v>0.98868909924912429</v>
      </c>
      <c r="CB372" s="1187">
        <f>'2023'!R\Max</f>
        <v>0.98868288880169131</v>
      </c>
      <c r="CC372" s="1187">
        <f>'2024'!R\Max</f>
        <v>0.98867421448470827</v>
      </c>
      <c r="CD372" s="1187">
        <f>'2025'!R\Max</f>
        <v>0.98870551770121162</v>
      </c>
      <c r="CE372" s="1187">
        <f>'2026'!R\Max</f>
        <v>0.98870272582709662</v>
      </c>
      <c r="CF372" s="1188">
        <f>'2027'!R\Max</f>
        <v>0.98869910445892839</v>
      </c>
    </row>
    <row r="373" spans="1:84" s="6" customFormat="1" ht="11.25" x14ac:dyDescent="0.2">
      <c r="A373" s="11">
        <v>43459</v>
      </c>
      <c r="B373" s="380">
        <f>'2022'!Maxi_hp</f>
        <v>15.376095224212161</v>
      </c>
      <c r="C373" s="13">
        <f>'2022'!An_max</f>
        <v>2018</v>
      </c>
      <c r="D373" s="1061"/>
      <c r="E373" s="13"/>
      <c r="F373" s="13">
        <f t="shared" si="146"/>
        <v>27</v>
      </c>
      <c r="G373" s="13">
        <f t="shared" si="130"/>
        <v>28</v>
      </c>
      <c r="H373" s="173">
        <f t="shared" si="131"/>
        <v>43458</v>
      </c>
      <c r="I373" s="752">
        <f t="shared" si="132"/>
        <v>6.6666666666666666E-2</v>
      </c>
      <c r="J373" s="745">
        <f t="shared" si="133"/>
        <v>19.350375478367013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4">
        <v>43459</v>
      </c>
      <c r="AP373" s="13">
        <f t="shared" si="134"/>
        <v>15</v>
      </c>
      <c r="AQ373" s="13">
        <f t="shared" si="135"/>
        <v>14</v>
      </c>
      <c r="AR373" s="173">
        <f t="shared" si="136"/>
        <v>43473</v>
      </c>
      <c r="AS373" s="752">
        <f t="shared" si="137"/>
        <v>0.48275862068965519</v>
      </c>
      <c r="AT373" s="768">
        <f t="shared" si="138"/>
        <v>19.116280742965891</v>
      </c>
      <c r="AU373" s="13">
        <f t="shared" si="139"/>
        <v>15</v>
      </c>
      <c r="AV373" s="13">
        <f t="shared" si="140"/>
        <v>14</v>
      </c>
      <c r="AW373" s="173">
        <f t="shared" si="141"/>
        <v>43487</v>
      </c>
      <c r="AX373" s="752">
        <f t="shared" si="142"/>
        <v>0.96551724137931039</v>
      </c>
      <c r="AY373" s="768">
        <f t="shared" si="143"/>
        <v>19.346152241810643</v>
      </c>
      <c r="AZ373" s="745">
        <f t="shared" si="147"/>
        <v>19.231216492388267</v>
      </c>
      <c r="BA373" s="642">
        <f t="shared" si="144"/>
        <v>0.79461482498890279</v>
      </c>
      <c r="BC373" s="11">
        <v>43459</v>
      </c>
      <c r="BD373" s="290">
        <f>[2]!FeuilCaduc*(1-Persistant)+Persistant</f>
        <v>0.70564953564988098</v>
      </c>
      <c r="BE373" s="291">
        <f>[2]!CroissVégét</f>
        <v>0.99999984492411664</v>
      </c>
      <c r="BF373" s="815">
        <f>1+[2]!Salcycl*Ksac</f>
        <v>1.0009415892749802</v>
      </c>
      <c r="BH373" s="1052">
        <f t="shared" si="145"/>
        <v>6.2713043229273742E-3</v>
      </c>
      <c r="BI373" s="11">
        <v>44555</v>
      </c>
      <c r="BJ373" s="725">
        <v>3.0896703764821038E-3</v>
      </c>
      <c r="BK373" s="725">
        <v>3.8129020161155169E-3</v>
      </c>
      <c r="BL373" s="725">
        <v>4.6608817096944442E-3</v>
      </c>
      <c r="BM373" s="725">
        <v>5.6940252336872537E-3</v>
      </c>
      <c r="BN373" s="725">
        <v>7.139789078262725E-3</v>
      </c>
      <c r="BO373" s="726">
        <v>9.603035732437112E-3</v>
      </c>
      <c r="BP373" s="725">
        <v>1.3812541755187032E-2</v>
      </c>
      <c r="BQ373" s="725">
        <v>2.1362027278747229E-2</v>
      </c>
      <c r="BR373" s="725">
        <v>3.4354990365607421E-2</v>
      </c>
      <c r="BS373" s="725">
        <v>5.5008142529862969E-2</v>
      </c>
      <c r="BT373" s="725">
        <v>8.1442907496456787E-2</v>
      </c>
      <c r="BW373" s="1189">
        <f>'2018'!R\Max</f>
        <v>0.79461482498890279</v>
      </c>
      <c r="BX373" s="1187">
        <f>'2019'!R\Max</f>
        <v>0.563292228935107</v>
      </c>
      <c r="BY373" s="1187">
        <f>'2020'!R\Max</f>
        <v>0.50977740078813383</v>
      </c>
      <c r="BZ373" s="1187">
        <f>'2021'!R\Max</f>
        <v>0.49493252856089931</v>
      </c>
      <c r="CA373" s="1187">
        <f>'2022'!R\Max</f>
        <v>0.56439995732774784</v>
      </c>
      <c r="CB373" s="1187">
        <f>'2023'!R\Max</f>
        <v>0.56426398271397582</v>
      </c>
      <c r="CC373" s="1187">
        <f>'2024'!R\Max</f>
        <v>0.56407418947259813</v>
      </c>
      <c r="CD373" s="1187">
        <f>'2025'!R\Max</f>
        <v>0.56476018344426404</v>
      </c>
      <c r="CE373" s="1187">
        <f>'2026'!R\Max</f>
        <v>0.56469880287850593</v>
      </c>
      <c r="CF373" s="1188">
        <f>'2027'!R\Max</f>
        <v>0.56461929161716773</v>
      </c>
    </row>
    <row r="374" spans="1:84" s="6" customFormat="1" ht="11.25" x14ac:dyDescent="0.2">
      <c r="A374" s="11">
        <v>43460</v>
      </c>
      <c r="B374" s="380">
        <f>'2022'!Maxi_hp</f>
        <v>18.590882091539495</v>
      </c>
      <c r="C374" s="13">
        <f>'2022'!An_max</f>
        <v>2022</v>
      </c>
      <c r="D374" s="1061"/>
      <c r="E374" s="13"/>
      <c r="F374" s="13">
        <f t="shared" si="146"/>
        <v>27</v>
      </c>
      <c r="G374" s="13">
        <f t="shared" si="130"/>
        <v>28</v>
      </c>
      <c r="H374" s="173">
        <f t="shared" si="131"/>
        <v>43458</v>
      </c>
      <c r="I374" s="752">
        <f t="shared" si="132"/>
        <v>0.13333333333333333</v>
      </c>
      <c r="J374" s="745">
        <f t="shared" si="133"/>
        <v>19.404383141398434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4">
        <v>43460</v>
      </c>
      <c r="AP374" s="13">
        <f t="shared" si="134"/>
        <v>15</v>
      </c>
      <c r="AQ374" s="13">
        <f t="shared" si="135"/>
        <v>14</v>
      </c>
      <c r="AR374" s="173">
        <f t="shared" si="136"/>
        <v>43473</v>
      </c>
      <c r="AS374" s="752">
        <f t="shared" si="137"/>
        <v>0.44827586206896552</v>
      </c>
      <c r="AT374" s="768">
        <f t="shared" si="138"/>
        <v>19.180669866913352</v>
      </c>
      <c r="AU374" s="13">
        <f t="shared" si="139"/>
        <v>15</v>
      </c>
      <c r="AV374" s="13">
        <f t="shared" si="140"/>
        <v>14</v>
      </c>
      <c r="AW374" s="173">
        <f t="shared" si="141"/>
        <v>43487</v>
      </c>
      <c r="AX374" s="752">
        <f t="shared" si="142"/>
        <v>0.93103448275862066</v>
      </c>
      <c r="AY374" s="768">
        <f t="shared" si="143"/>
        <v>19.40112960646892</v>
      </c>
      <c r="AZ374" s="745">
        <f t="shared" si="147"/>
        <v>19.290899736691138</v>
      </c>
      <c r="BA374" s="642">
        <f t="shared" si="144"/>
        <v>0.95807642820021588</v>
      </c>
      <c r="BC374" s="11">
        <v>43460</v>
      </c>
      <c r="BD374" s="290">
        <f>[2]!FeuilCaduc*(1-Persistant)+Persistant</f>
        <v>0.70525986420775233</v>
      </c>
      <c r="BE374" s="291">
        <f>[2]!CroissVégét</f>
        <v>0.99999984492411664</v>
      </c>
      <c r="BF374" s="815">
        <f>1+[2]!Salcycl*Ksac</f>
        <v>1.0008766440346255</v>
      </c>
      <c r="BH374" s="1052">
        <f t="shared" si="145"/>
        <v>6.3201801237973993E-3</v>
      </c>
      <c r="BI374" s="11">
        <v>44556</v>
      </c>
      <c r="BJ374" s="725">
        <v>3.1187523929557177E-3</v>
      </c>
      <c r="BK374" s="725">
        <v>3.8459162919288175E-3</v>
      </c>
      <c r="BL374" s="725">
        <v>4.6988226539503844E-3</v>
      </c>
      <c r="BM374" s="725">
        <v>5.7401726396912791E-3</v>
      </c>
      <c r="BN374" s="725">
        <v>7.1927695996948171E-3</v>
      </c>
      <c r="BO374" s="726">
        <v>9.6591329128244349E-3</v>
      </c>
      <c r="BP374" s="725">
        <v>1.3864548845644599E-2</v>
      </c>
      <c r="BQ374" s="725">
        <v>2.1405115314540941E-2</v>
      </c>
      <c r="BR374" s="725">
        <v>3.4338969808485192E-2</v>
      </c>
      <c r="BS374" s="725">
        <v>5.493882855397543E-2</v>
      </c>
      <c r="BT374" s="725">
        <v>8.1328100465519429E-2</v>
      </c>
      <c r="BW374" s="1189">
        <f>'2018'!R\Max</f>
        <v>0.89927003428248664</v>
      </c>
      <c r="BX374" s="1187">
        <f>'2019'!R\Max</f>
        <v>0.40179473827852508</v>
      </c>
      <c r="BY374" s="1187">
        <f>'2020'!R\Max</f>
        <v>0.21998613693886829</v>
      </c>
      <c r="BZ374" s="1187">
        <f>'2021'!R\Max</f>
        <v>0.5643690800904414</v>
      </c>
      <c r="CA374" s="1187">
        <f>'2022'!R\Max</f>
        <v>0.95807642820021588</v>
      </c>
      <c r="CB374" s="1187">
        <f>'2023'!R\Max</f>
        <v>0.95805430427829197</v>
      </c>
      <c r="CC374" s="1187">
        <f>'2024'!R\Max</f>
        <v>0.95802341188420959</v>
      </c>
      <c r="CD374" s="1187">
        <f>'2025'!R\Max</f>
        <v>0.95813508919935775</v>
      </c>
      <c r="CE374" s="1187">
        <f>'2026'!R\Max</f>
        <v>0.95812507800729374</v>
      </c>
      <c r="CF374" s="1188">
        <f>'2027'!R\Max</f>
        <v>0.95811212555376346</v>
      </c>
    </row>
    <row r="375" spans="1:84" s="6" customFormat="1" ht="11.25" x14ac:dyDescent="0.2">
      <c r="A375" s="11">
        <v>43461</v>
      </c>
      <c r="B375" s="380">
        <f>'2022'!Maxi_hp</f>
        <v>18.041116002865003</v>
      </c>
      <c r="C375" s="13">
        <f>'2022'!An_max</f>
        <v>2018</v>
      </c>
      <c r="D375" s="1061"/>
      <c r="E375" s="13"/>
      <c r="F375" s="13">
        <f t="shared" si="146"/>
        <v>27</v>
      </c>
      <c r="G375" s="13">
        <f t="shared" si="130"/>
        <v>28</v>
      </c>
      <c r="H375" s="173">
        <f t="shared" si="131"/>
        <v>43458</v>
      </c>
      <c r="I375" s="752">
        <f t="shared" si="132"/>
        <v>0.2</v>
      </c>
      <c r="J375" s="745">
        <f t="shared" si="133"/>
        <v>19.462600984573363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4">
        <v>43461</v>
      </c>
      <c r="AP375" s="13">
        <f t="shared" si="134"/>
        <v>15</v>
      </c>
      <c r="AQ375" s="13">
        <f t="shared" si="135"/>
        <v>14</v>
      </c>
      <c r="AR375" s="173">
        <f t="shared" si="136"/>
        <v>43473</v>
      </c>
      <c r="AS375" s="752">
        <f t="shared" si="137"/>
        <v>0.41379310344827586</v>
      </c>
      <c r="AT375" s="768">
        <f t="shared" si="138"/>
        <v>19.253073229152584</v>
      </c>
      <c r="AU375" s="13">
        <f t="shared" si="139"/>
        <v>15</v>
      </c>
      <c r="AV375" s="13">
        <f t="shared" si="140"/>
        <v>14</v>
      </c>
      <c r="AW375" s="173">
        <f t="shared" si="141"/>
        <v>43487</v>
      </c>
      <c r="AX375" s="752">
        <f t="shared" si="142"/>
        <v>0.89655172413793105</v>
      </c>
      <c r="AY375" s="768">
        <f t="shared" si="143"/>
        <v>19.464816768390353</v>
      </c>
      <c r="AZ375" s="745">
        <f t="shared" si="147"/>
        <v>19.35894499877147</v>
      </c>
      <c r="BA375" s="642">
        <f t="shared" si="144"/>
        <v>0.92696325723190487</v>
      </c>
      <c r="BC375" s="11">
        <v>43461</v>
      </c>
      <c r="BD375" s="290">
        <f>[2]!FeuilCaduc*(1-Persistant)+Persistant</f>
        <v>0.70489877950104252</v>
      </c>
      <c r="BE375" s="291">
        <f>[2]!CroissVégét</f>
        <v>0.99999984492411664</v>
      </c>
      <c r="BF375" s="815">
        <f>1+[2]!Salcycl*Ksac</f>
        <v>1.0008164632501737</v>
      </c>
      <c r="BH375" s="1052">
        <f t="shared" si="145"/>
        <v>6.3895957220483999E-3</v>
      </c>
      <c r="BI375" s="11">
        <v>44557</v>
      </c>
      <c r="BJ375" s="725">
        <v>3.1594083041294658E-3</v>
      </c>
      <c r="BK375" s="725">
        <v>3.8924235012612529E-3</v>
      </c>
      <c r="BL375" s="725">
        <v>4.7526967566038835E-3</v>
      </c>
      <c r="BM375" s="725">
        <v>5.8055306129045576E-3</v>
      </c>
      <c r="BN375" s="725">
        <v>7.2682896724605055E-3</v>
      </c>
      <c r="BO375" s="726">
        <v>9.7407380372280146E-3</v>
      </c>
      <c r="BP375" s="725">
        <v>1.3944546279365653E-2</v>
      </c>
      <c r="BQ375" s="725">
        <v>2.1472452161330202E-2</v>
      </c>
      <c r="BR375" s="725">
        <v>3.4331518976555134E-2</v>
      </c>
      <c r="BS375" s="725">
        <v>5.485228077701295E-2</v>
      </c>
      <c r="BT375" s="725">
        <v>8.1166342996880622E-2</v>
      </c>
      <c r="BW375" s="1189">
        <f>'2018'!R\Max</f>
        <v>0.92696325723190487</v>
      </c>
      <c r="BX375" s="1187">
        <f>'2019'!R\Max</f>
        <v>0.8632422940670148</v>
      </c>
      <c r="BY375" s="1187">
        <f>'2020'!R\Max</f>
        <v>0.55525052731266133</v>
      </c>
      <c r="BZ375" s="1187">
        <f>'2021'!R\Max</f>
        <v>0.5154431385486955</v>
      </c>
      <c r="CA375" s="1187">
        <f>'2022'!R\Max</f>
        <v>0.38785155171363972</v>
      </c>
      <c r="CB375" s="1187">
        <f>'2023'!R\Max</f>
        <v>0.38772132512844093</v>
      </c>
      <c r="CC375" s="1187">
        <f>'2024'!R\Max</f>
        <v>0.38753977304595244</v>
      </c>
      <c r="CD375" s="1187">
        <f>'2025'!R\Max</f>
        <v>0.38819796791323946</v>
      </c>
      <c r="CE375" s="1187">
        <f>'2026'!R\Max</f>
        <v>0.38813865054347219</v>
      </c>
      <c r="CF375" s="1188">
        <f>'2027'!R\Max</f>
        <v>0.38806207630392192</v>
      </c>
    </row>
    <row r="376" spans="1:84" s="6" customFormat="1" ht="11.25" x14ac:dyDescent="0.2">
      <c r="A376" s="11">
        <v>43462</v>
      </c>
      <c r="B376" s="380">
        <f>'2022'!Maxi_hp</f>
        <v>17.981774315909167</v>
      </c>
      <c r="C376" s="13">
        <f>'2022'!An_max</f>
        <v>2022</v>
      </c>
      <c r="D376" s="1061"/>
      <c r="E376" s="13"/>
      <c r="F376" s="13">
        <f t="shared" si="146"/>
        <v>27</v>
      </c>
      <c r="G376" s="13">
        <f t="shared" si="130"/>
        <v>28</v>
      </c>
      <c r="H376" s="173">
        <f t="shared" si="131"/>
        <v>43458</v>
      </c>
      <c r="I376" s="752">
        <f t="shared" si="132"/>
        <v>0.26666666666666666</v>
      </c>
      <c r="J376" s="745">
        <f t="shared" si="133"/>
        <v>19.525607005556424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4">
        <v>43462</v>
      </c>
      <c r="AP376" s="13">
        <f t="shared" si="134"/>
        <v>15</v>
      </c>
      <c r="AQ376" s="13">
        <f t="shared" si="135"/>
        <v>14</v>
      </c>
      <c r="AR376" s="173">
        <f t="shared" si="136"/>
        <v>43473</v>
      </c>
      <c r="AS376" s="752">
        <f t="shared" si="137"/>
        <v>0.37931034482758619</v>
      </c>
      <c r="AT376" s="768">
        <f t="shared" si="138"/>
        <v>19.333361643758316</v>
      </c>
      <c r="AU376" s="13">
        <f t="shared" si="139"/>
        <v>15</v>
      </c>
      <c r="AV376" s="13">
        <f t="shared" si="140"/>
        <v>14</v>
      </c>
      <c r="AW376" s="173">
        <f t="shared" si="141"/>
        <v>43487</v>
      </c>
      <c r="AX376" s="752">
        <f t="shared" si="142"/>
        <v>0.86206896551724133</v>
      </c>
      <c r="AY376" s="768">
        <f t="shared" si="143"/>
        <v>19.53709839453985</v>
      </c>
      <c r="AZ376" s="745">
        <f t="shared" si="147"/>
        <v>19.435230019149081</v>
      </c>
      <c r="BA376" s="642">
        <f t="shared" si="144"/>
        <v>0.92093292212590749</v>
      </c>
      <c r="BC376" s="11">
        <v>43462</v>
      </c>
      <c r="BD376" s="290">
        <f>[2]!FeuilCaduc*(1-Persistant)+Persistant</f>
        <v>0.70456357382984947</v>
      </c>
      <c r="BE376" s="291">
        <f>[2]!CroissVégét</f>
        <v>0.99999984492411664</v>
      </c>
      <c r="BF376" s="815">
        <f>1+[2]!Salcycl*Ksac</f>
        <v>1.0007605956383083</v>
      </c>
      <c r="BH376" s="1052">
        <f t="shared" si="145"/>
        <v>6.4737304319917015E-3</v>
      </c>
      <c r="BI376" s="11">
        <v>44558</v>
      </c>
      <c r="BJ376" s="725">
        <v>3.2081467238651742E-3</v>
      </c>
      <c r="BK376" s="725">
        <v>3.9484735443256541E-3</v>
      </c>
      <c r="BL376" s="725">
        <v>4.8179767835063768E-3</v>
      </c>
      <c r="BM376" s="725">
        <v>5.8845935525457249E-3</v>
      </c>
      <c r="BN376" s="725">
        <v>7.360054582894464E-3</v>
      </c>
      <c r="BO376" s="726">
        <v>9.8412746200110292E-3</v>
      </c>
      <c r="BP376" s="725">
        <v>1.4046650260762397E-2</v>
      </c>
      <c r="BQ376" s="725">
        <v>2.1559584400343508E-2</v>
      </c>
      <c r="BR376" s="725">
        <v>3.4336106335700355E-2</v>
      </c>
      <c r="BS376" s="725">
        <v>5.4759474571544259E-2</v>
      </c>
      <c r="BT376" s="725">
        <v>8.0975382152310135E-2</v>
      </c>
      <c r="BW376" s="1189">
        <f>'2018'!R\Max</f>
        <v>0.16957376863325921</v>
      </c>
      <c r="BX376" s="1187">
        <f>'2019'!R\Max</f>
        <v>0.22880529564910956</v>
      </c>
      <c r="BY376" s="1187">
        <f>'2020'!R\Max</f>
        <v>0.34526846719464699</v>
      </c>
      <c r="BZ376" s="1187">
        <f>'2021'!R\Max</f>
        <v>0.27292192616936467</v>
      </c>
      <c r="CA376" s="1187">
        <f>'2022'!R\Max</f>
        <v>0.92093292212590749</v>
      </c>
      <c r="CB376" s="1187">
        <f>'2023'!R\Max</f>
        <v>0.92089310415438808</v>
      </c>
      <c r="CC376" s="1187">
        <f>'2024'!R\Max</f>
        <v>0.92083763818175257</v>
      </c>
      <c r="CD376" s="1187">
        <f>'2025'!R\Max</f>
        <v>0.92103897800980372</v>
      </c>
      <c r="CE376" s="1187">
        <f>'2026'!R\Max</f>
        <v>0.92102077555722206</v>
      </c>
      <c r="CF376" s="1188">
        <f>'2027'!R\Max</f>
        <v>0.92099732097298093</v>
      </c>
    </row>
    <row r="377" spans="1:84" s="6" customFormat="1" ht="11.25" x14ac:dyDescent="0.2">
      <c r="A377" s="11">
        <v>43463</v>
      </c>
      <c r="B377" s="380">
        <f>'2022'!Maxi_hp</f>
        <v>20.470863800267029</v>
      </c>
      <c r="C377" s="13">
        <f>'2022'!An_max</f>
        <v>2019</v>
      </c>
      <c r="D377" s="1061"/>
      <c r="E377" s="13"/>
      <c r="F377" s="13">
        <f t="shared" si="146"/>
        <v>27</v>
      </c>
      <c r="G377" s="13">
        <f t="shared" si="130"/>
        <v>28</v>
      </c>
      <c r="H377" s="173">
        <f t="shared" si="131"/>
        <v>43458</v>
      </c>
      <c r="I377" s="752">
        <f t="shared" si="132"/>
        <v>0.33333333333333331</v>
      </c>
      <c r="J377" s="745">
        <f t="shared" si="133"/>
        <v>19.593979201217493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4">
        <v>43463</v>
      </c>
      <c r="AP377" s="13">
        <f t="shared" si="134"/>
        <v>15</v>
      </c>
      <c r="AQ377" s="13">
        <f t="shared" si="135"/>
        <v>14</v>
      </c>
      <c r="AR377" s="173">
        <f t="shared" si="136"/>
        <v>43473</v>
      </c>
      <c r="AS377" s="752">
        <f t="shared" si="137"/>
        <v>0.34482758620689657</v>
      </c>
      <c r="AT377" s="768">
        <f t="shared" si="138"/>
        <v>19.421405922904096</v>
      </c>
      <c r="AU377" s="13">
        <f t="shared" si="139"/>
        <v>15</v>
      </c>
      <c r="AV377" s="13">
        <f t="shared" si="140"/>
        <v>14</v>
      </c>
      <c r="AW377" s="173">
        <f t="shared" si="141"/>
        <v>43487</v>
      </c>
      <c r="AX377" s="752">
        <f t="shared" si="142"/>
        <v>0.82758620689655171</v>
      </c>
      <c r="AY377" s="768">
        <f t="shared" si="143"/>
        <v>19.617859154014752</v>
      </c>
      <c r="AZ377" s="745">
        <f t="shared" si="147"/>
        <v>19.519632538459426</v>
      </c>
      <c r="BA377" s="642">
        <f t="shared" si="144"/>
        <v>1.0447527574692459</v>
      </c>
      <c r="BC377" s="11">
        <v>43463</v>
      </c>
      <c r="BD377" s="290">
        <f>[2]!FeuilCaduc*(1-Persistant)+Persistant</f>
        <v>0.70425171753615101</v>
      </c>
      <c r="BE377" s="291">
        <f>[2]!CroissVégét</f>
        <v>0.99999984492411664</v>
      </c>
      <c r="BF377" s="815">
        <f>1+[2]!Salcycl*Ksac</f>
        <v>1.0007086195893584</v>
      </c>
      <c r="BH377" s="1052">
        <f t="shared" si="145"/>
        <v>6.5725902987047984E-3</v>
      </c>
      <c r="BI377" s="11">
        <v>44559</v>
      </c>
      <c r="BJ377" s="725">
        <v>3.2649720298967718E-3</v>
      </c>
      <c r="BK377" s="725">
        <v>4.0140710800395567E-3</v>
      </c>
      <c r="BL377" s="725">
        <v>4.894667942015333E-3</v>
      </c>
      <c r="BM377" s="725">
        <v>5.9773675044283263E-3</v>
      </c>
      <c r="BN377" s="725">
        <v>7.4680703749668391E-3</v>
      </c>
      <c r="BO377" s="726">
        <v>9.9607460192007585E-3</v>
      </c>
      <c r="BP377" s="725">
        <v>1.4170857119270346E-2</v>
      </c>
      <c r="BQ377" s="725">
        <v>2.1666485056187443E-2</v>
      </c>
      <c r="BR377" s="725">
        <v>3.4352657180922813E-2</v>
      </c>
      <c r="BS377" s="725">
        <v>5.4660253889362881E-2</v>
      </c>
      <c r="BT377" s="725">
        <v>8.0754959753964031E-2</v>
      </c>
      <c r="BW377" s="1189">
        <f>'2018'!R\Max</f>
        <v>0.23477852685782161</v>
      </c>
      <c r="BX377" s="1187">
        <f>'2019'!R\Max</f>
        <v>1.0447527574692459</v>
      </c>
      <c r="BY377" s="1187">
        <f>'2020'!R\Max</f>
        <v>0.36675173007282102</v>
      </c>
      <c r="BZ377" s="1187">
        <f>'2021'!R\Max</f>
        <v>0.22093130107236883</v>
      </c>
      <c r="CA377" s="1187">
        <f>'2022'!R\Max</f>
        <v>0.51910809141394487</v>
      </c>
      <c r="CB377" s="1187">
        <f>'2023'!R\Max</f>
        <v>0.51897199593892607</v>
      </c>
      <c r="CC377" s="1187">
        <f>'2024'!R\Max</f>
        <v>0.5187829314690674</v>
      </c>
      <c r="CD377" s="1187">
        <f>'2025'!R\Max</f>
        <v>0.51947181807383802</v>
      </c>
      <c r="CE377" s="1187">
        <f>'2026'!R\Max</f>
        <v>0.51940915534640886</v>
      </c>
      <c r="CF377" s="1188">
        <f>'2027'!R\Max</f>
        <v>0.51932862403305002</v>
      </c>
    </row>
    <row r="378" spans="1:84" s="6" customFormat="1" ht="11.25" x14ac:dyDescent="0.2">
      <c r="A378" s="11">
        <v>43464</v>
      </c>
      <c r="B378" s="380">
        <f>'2022'!Maxi_hp</f>
        <v>18.88344038484756</v>
      </c>
      <c r="C378" s="13">
        <f>'2022'!An_max</f>
        <v>2019</v>
      </c>
      <c r="D378" s="1061"/>
      <c r="E378" s="13"/>
      <c r="F378" s="13">
        <f t="shared" si="146"/>
        <v>27</v>
      </c>
      <c r="G378" s="13">
        <f t="shared" si="130"/>
        <v>28</v>
      </c>
      <c r="H378" s="173">
        <f t="shared" si="131"/>
        <v>43458</v>
      </c>
      <c r="I378" s="752">
        <f t="shared" si="132"/>
        <v>0.4</v>
      </c>
      <c r="J378" s="745">
        <f t="shared" si="133"/>
        <v>19.668295565843586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4">
        <v>43464</v>
      </c>
      <c r="AP378" s="13">
        <f t="shared" si="134"/>
        <v>15</v>
      </c>
      <c r="AQ378" s="13">
        <f t="shared" si="135"/>
        <v>14</v>
      </c>
      <c r="AR378" s="173">
        <f t="shared" si="136"/>
        <v>43473</v>
      </c>
      <c r="AS378" s="752">
        <f t="shared" si="137"/>
        <v>0.31034482758620691</v>
      </c>
      <c r="AT378" s="768">
        <f t="shared" si="138"/>
        <v>19.517076877992729</v>
      </c>
      <c r="AU378" s="13">
        <f t="shared" si="139"/>
        <v>15</v>
      </c>
      <c r="AV378" s="13">
        <f t="shared" si="140"/>
        <v>14</v>
      </c>
      <c r="AW378" s="173">
        <f t="shared" si="141"/>
        <v>43487</v>
      </c>
      <c r="AX378" s="752">
        <f t="shared" si="142"/>
        <v>0.7931034482758621</v>
      </c>
      <c r="AY378" s="768">
        <f t="shared" si="143"/>
        <v>19.706983719355073</v>
      </c>
      <c r="AZ378" s="745">
        <f t="shared" si="147"/>
        <v>19.612030298673901</v>
      </c>
      <c r="BA378" s="642">
        <f t="shared" si="144"/>
        <v>0.9600954145534083</v>
      </c>
      <c r="BC378" s="11">
        <v>43464</v>
      </c>
      <c r="BD378" s="290">
        <f>[2]!FeuilCaduc*(1-Persistant)+Persistant</f>
        <v>0.70396086462818119</v>
      </c>
      <c r="BE378" s="291">
        <f>[2]!CroissVégét</f>
        <v>0.99999984492411664</v>
      </c>
      <c r="BF378" s="815">
        <f>1+[2]!Salcycl*Ksac</f>
        <v>1.0006601441046969</v>
      </c>
      <c r="BH378" s="1052">
        <f t="shared" si="145"/>
        <v>6.6861820982717299E-3</v>
      </c>
      <c r="BI378" s="11">
        <v>44560</v>
      </c>
      <c r="BJ378" s="725">
        <v>3.3298889745270442E-3</v>
      </c>
      <c r="BK378" s="725">
        <v>4.0892212252829612E-3</v>
      </c>
      <c r="BL378" s="725">
        <v>4.9827760047192792E-3</v>
      </c>
      <c r="BM378" s="725">
        <v>6.083859187258637E-3</v>
      </c>
      <c r="BN378" s="725">
        <v>7.5923439110833733E-3</v>
      </c>
      <c r="BO378" s="726">
        <v>1.0099156615048019E-2</v>
      </c>
      <c r="BP378" s="725">
        <v>1.4317164540545706E-2</v>
      </c>
      <c r="BQ378" s="725">
        <v>2.1793128428885294E-2</v>
      </c>
      <c r="BR378" s="725">
        <v>3.4381098121620053E-2</v>
      </c>
      <c r="BS378" s="725">
        <v>5.4554463066532249E-2</v>
      </c>
      <c r="BT378" s="725">
        <v>8.0504816595485348E-2</v>
      </c>
      <c r="BW378" s="1189">
        <f>'2018'!R\Max</f>
        <v>0.17327707077489496</v>
      </c>
      <c r="BX378" s="1187">
        <f>'2019'!R\Max</f>
        <v>0.9600954145534083</v>
      </c>
      <c r="BY378" s="1187">
        <f>'2020'!R\Max</f>
        <v>0.40944419390240333</v>
      </c>
      <c r="BZ378" s="1187">
        <f>'2021'!R\Max</f>
        <v>0.79787299951798374</v>
      </c>
      <c r="CA378" s="1187">
        <f>'2022'!R\Max</f>
        <v>0.68581565296766933</v>
      </c>
      <c r="CB378" s="1187">
        <f>'2023'!R\Max</f>
        <v>0.68569844413486336</v>
      </c>
      <c r="CC378" s="1187">
        <f>'2024'!R\Max</f>
        <v>0.6855360491572341</v>
      </c>
      <c r="CD378" s="1187">
        <f>'2025'!R\Max</f>
        <v>0.68612968537721675</v>
      </c>
      <c r="CE378" s="1187">
        <f>'2026'!R\Max</f>
        <v>0.68607540032029379</v>
      </c>
      <c r="CF378" s="1188">
        <f>'2027'!R\Max</f>
        <v>0.68600581247737724</v>
      </c>
    </row>
    <row r="379" spans="1:84" s="6" customFormat="1" ht="11.25" x14ac:dyDescent="0.2">
      <c r="A379" s="11">
        <v>43465</v>
      </c>
      <c r="B379" s="380">
        <f>'2022'!Maxi_hp</f>
        <v>18.889316634056641</v>
      </c>
      <c r="C379" s="13">
        <f>'2022'!An_max</f>
        <v>2021</v>
      </c>
      <c r="D379" s="1061"/>
      <c r="E379" s="13"/>
      <c r="F379" s="13">
        <f t="shared" si="146"/>
        <v>27</v>
      </c>
      <c r="G379" s="13">
        <f t="shared" si="130"/>
        <v>28</v>
      </c>
      <c r="H379" s="173">
        <f t="shared" si="131"/>
        <v>43458</v>
      </c>
      <c r="I379" s="752">
        <f t="shared" si="132"/>
        <v>0.46666666666666667</v>
      </c>
      <c r="J379" s="745">
        <f t="shared" si="133"/>
        <v>19.749134100178878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4">
        <v>43465</v>
      </c>
      <c r="AP379" s="13">
        <f t="shared" si="134"/>
        <v>15</v>
      </c>
      <c r="AQ379" s="13">
        <f t="shared" si="135"/>
        <v>14</v>
      </c>
      <c r="AR379" s="173">
        <f t="shared" si="136"/>
        <v>43473</v>
      </c>
      <c r="AS379" s="752">
        <f t="shared" si="137"/>
        <v>0.27586206896551724</v>
      </c>
      <c r="AT379" s="768">
        <f t="shared" si="138"/>
        <v>19.62024532124914</v>
      </c>
      <c r="AU379" s="13">
        <f t="shared" si="139"/>
        <v>15</v>
      </c>
      <c r="AV379" s="13">
        <f t="shared" si="140"/>
        <v>14</v>
      </c>
      <c r="AW379" s="173">
        <f t="shared" si="141"/>
        <v>43487</v>
      </c>
      <c r="AX379" s="752">
        <f t="shared" si="142"/>
        <v>0.75862068965517238</v>
      </c>
      <c r="AY379" s="768">
        <f t="shared" si="143"/>
        <v>19.804356759195699</v>
      </c>
      <c r="AZ379" s="745">
        <f t="shared" si="147"/>
        <v>19.712301040222421</v>
      </c>
      <c r="BA379" s="642">
        <f t="shared" si="144"/>
        <v>0.95646302963153962</v>
      </c>
      <c r="BC379" s="11">
        <v>43465</v>
      </c>
      <c r="BD379" s="290">
        <f>[2]!FeuilCaduc*(1-Persistant)+Persistant</f>
        <v>0.70368885661431446</v>
      </c>
      <c r="BE379" s="291">
        <f>[2]!CroissVégét</f>
        <v>0.99999984492411664</v>
      </c>
      <c r="BF379" s="815">
        <f>1+[2]!Salcycl*Ksac</f>
        <v>1.000614809435719</v>
      </c>
      <c r="BH379" s="1052">
        <f t="shared" si="145"/>
        <v>6.8145129662057395E-3</v>
      </c>
      <c r="BI379" s="11">
        <v>44561</v>
      </c>
      <c r="BJ379" s="725">
        <v>3.4029024804453239E-3</v>
      </c>
      <c r="BK379" s="725">
        <v>4.1739293138849907E-3</v>
      </c>
      <c r="BL379" s="725">
        <v>5.0823070213916344E-3</v>
      </c>
      <c r="BM379" s="725">
        <v>6.2040756465946067E-3</v>
      </c>
      <c r="BN379" s="725">
        <v>7.7328824620901161E-3</v>
      </c>
      <c r="BO379" s="726">
        <v>1.0256511332802889E-2</v>
      </c>
      <c r="BP379" s="725">
        <v>1.4485571010324281E-2</v>
      </c>
      <c r="BQ379" s="725">
        <v>2.1939489600787829E-2</v>
      </c>
      <c r="BR379" s="725">
        <v>3.442135679257502E-2</v>
      </c>
      <c r="BS379" s="725">
        <v>5.4441947012235856E-2</v>
      </c>
      <c r="BT379" s="725">
        <v>8.0224693230922239E-2</v>
      </c>
      <c r="BW379" s="1189">
        <f>'2018'!R\Max</f>
        <v>0.29239664152100064</v>
      </c>
      <c r="BX379" s="1187">
        <f>'2019'!R\Max</f>
        <v>0.63885699363656201</v>
      </c>
      <c r="BY379" s="1187">
        <f>'2020'!R\Max</f>
        <v>0.56145261852691042</v>
      </c>
      <c r="BZ379" s="1187">
        <f>'2021'!R\Max</f>
        <v>0.95646302963153962</v>
      </c>
      <c r="CA379" s="1187">
        <f>'2022'!R\Max</f>
        <v>0.50828503624015831</v>
      </c>
      <c r="CB379" s="1187">
        <f>'2023'!R\Max</f>
        <v>0.5081493502659099</v>
      </c>
      <c r="CC379" s="1187">
        <f>'2024'!R\Max</f>
        <v>0.50796206406237698</v>
      </c>
      <c r="CD379" s="1187">
        <f>'2025'!R\Max</f>
        <v>0.50864981409337862</v>
      </c>
      <c r="CE379" s="1187">
        <f>'2026'!R\Max</f>
        <v>0.50858649873211981</v>
      </c>
      <c r="CF379" s="1188">
        <f>'2027'!R\Max</f>
        <v>0.50850557457536705</v>
      </c>
    </row>
    <row r="380" spans="1:84" s="6" customFormat="1" ht="12" customHeight="1" thickBot="1" x14ac:dyDescent="0.25">
      <c r="A380" s="11">
        <v>43466</v>
      </c>
      <c r="B380" s="381">
        <f>'2022'!Maxi_hp</f>
        <v>11.874887310297245</v>
      </c>
      <c r="C380" s="14">
        <f>'2022'!An_max</f>
        <v>2020</v>
      </c>
      <c r="D380" s="1062"/>
      <c r="E380" s="14"/>
      <c r="F380" s="14">
        <f t="shared" si="146"/>
        <v>27</v>
      </c>
      <c r="G380" s="14">
        <f t="shared" si="130"/>
        <v>28</v>
      </c>
      <c r="H380" s="747">
        <f t="shared" si="131"/>
        <v>43458</v>
      </c>
      <c r="I380" s="748">
        <f t="shared" si="132"/>
        <v>0.53333333333333333</v>
      </c>
      <c r="J380" s="746">
        <f t="shared" si="133"/>
        <v>19.837072797119617</v>
      </c>
      <c r="M380" s="805" t="s">
        <v>243</v>
      </c>
      <c r="N380" s="806">
        <f>$AZ22*10</f>
        <v>207.83223294068512</v>
      </c>
      <c r="O380" s="806">
        <f>$AZ36*10</f>
        <v>238.23576452210546</v>
      </c>
      <c r="P380" s="806">
        <f>$AZ50*10</f>
        <v>281.82461812067777</v>
      </c>
      <c r="Q380" s="806">
        <f>$AZ64*10</f>
        <v>334.84375</v>
      </c>
      <c r="R380" s="806">
        <f>$AZ78*10</f>
        <v>394.40625000372529</v>
      </c>
      <c r="S380" s="806">
        <f>$AZ92*10</f>
        <v>458.28125000186265</v>
      </c>
      <c r="T380" s="806">
        <f>$AZ106*10</f>
        <v>520.50000000419095</v>
      </c>
      <c r="U380" s="806">
        <f>$AZ120*10</f>
        <v>572.24999999813735</v>
      </c>
      <c r="V380" s="806">
        <f>$AZ134*10</f>
        <v>608.78125</v>
      </c>
      <c r="W380" s="806">
        <f>$AZ148*10</f>
        <v>630.84375001117587</v>
      </c>
      <c r="X380" s="806">
        <f>$AZ162*10</f>
        <v>641.0312500083819</v>
      </c>
      <c r="Y380" s="806">
        <f>$AZ176*10</f>
        <v>642.34374999906868</v>
      </c>
      <c r="Z380" s="806">
        <f>$AZ190*10</f>
        <v>637.40624999906868</v>
      </c>
      <c r="AA380" s="806">
        <f>$AZ204*10</f>
        <v>626.90624999441206</v>
      </c>
      <c r="AB380" s="806">
        <f>$AZ218*10</f>
        <v>609.81249999906868</v>
      </c>
      <c r="AC380" s="806">
        <f>$AZ232*10</f>
        <v>585.31249999627471</v>
      </c>
      <c r="AD380" s="806">
        <f>$AZ246*10</f>
        <v>552.90625000186265</v>
      </c>
      <c r="AE380" s="806">
        <f>$AZ260*10</f>
        <v>511.06250000372529</v>
      </c>
      <c r="AF380" s="806">
        <f>$AZ274*10</f>
        <v>459.31249999627471</v>
      </c>
      <c r="AG380" s="806">
        <f>$AZ288*10</f>
        <v>401.87499999953434</v>
      </c>
      <c r="AH380" s="806">
        <f>$AZ302*10</f>
        <v>345.34375</v>
      </c>
      <c r="AI380" s="806">
        <f>$AZ316*10</f>
        <v>293.40625000093132</v>
      </c>
      <c r="AJ380" s="806">
        <f>$AZ330*10</f>
        <v>247.74999999813735</v>
      </c>
      <c r="AK380" s="806">
        <f>$AZ344*10</f>
        <v>212.55480565130711</v>
      </c>
      <c r="AL380" s="806">
        <f>$AZ358*10</f>
        <v>193.36397836729884</v>
      </c>
      <c r="AM380" s="806">
        <f>$AZ372*10</f>
        <v>191.80017521874657</v>
      </c>
      <c r="AO380" s="1054">
        <v>43466</v>
      </c>
      <c r="AP380" s="14">
        <f t="shared" si="134"/>
        <v>15</v>
      </c>
      <c r="AQ380" s="14">
        <f t="shared" si="135"/>
        <v>14</v>
      </c>
      <c r="AR380" s="747">
        <f t="shared" si="136"/>
        <v>43473</v>
      </c>
      <c r="AS380" s="748">
        <f t="shared" si="137"/>
        <v>0.2413793103448276</v>
      </c>
      <c r="AT380" s="769">
        <f t="shared" si="138"/>
        <v>19.730782067672958</v>
      </c>
      <c r="AU380" s="14">
        <f t="shared" si="139"/>
        <v>15</v>
      </c>
      <c r="AV380" s="14">
        <f t="shared" si="140"/>
        <v>14</v>
      </c>
      <c r="AW380" s="747">
        <f t="shared" si="141"/>
        <v>43487</v>
      </c>
      <c r="AX380" s="748">
        <f t="shared" si="142"/>
        <v>0.72413793103448276</v>
      </c>
      <c r="AY380" s="769">
        <f t="shared" si="143"/>
        <v>19.909862945254506</v>
      </c>
      <c r="AZ380" s="746">
        <f t="shared" si="147"/>
        <v>19.820322506463732</v>
      </c>
      <c r="BA380" s="642">
        <f t="shared" si="144"/>
        <v>0.59862094734166138</v>
      </c>
      <c r="BC380" s="11">
        <v>43466</v>
      </c>
      <c r="BD380" s="292">
        <f>[2]!FeuilCaduc*(1-Persistant)+Persistant</f>
        <v>0.70343372457146036</v>
      </c>
      <c r="BE380" s="293">
        <f>[2]!CroissVégét</f>
        <v>0.99999984492411664</v>
      </c>
      <c r="BF380" s="816">
        <f>1+[2]!Salcycl*Ksac</f>
        <v>1.0005722874285767</v>
      </c>
      <c r="BH380" s="1053">
        <f t="shared" si="145"/>
        <v>6.9575900257973326E-3</v>
      </c>
      <c r="BI380" s="11">
        <v>44562</v>
      </c>
      <c r="BJ380" s="821">
        <v>3.4840174365086281E-3</v>
      </c>
      <c r="BK380" s="729">
        <v>4.2682006555653483E-3</v>
      </c>
      <c r="BL380" s="729">
        <v>5.1932670308891711E-3</v>
      </c>
      <c r="BM380" s="729">
        <v>6.3380239087371436E-3</v>
      </c>
      <c r="BN380" s="729">
        <v>7.8896932971931101E-3</v>
      </c>
      <c r="BO380" s="730">
        <v>1.0432815165375454E-2</v>
      </c>
      <c r="BP380" s="729">
        <v>1.4676075258113874E-2</v>
      </c>
      <c r="BQ380" s="729">
        <v>2.2105543943224011E-2</v>
      </c>
      <c r="BR380" s="729">
        <v>3.4473361564523852E-2</v>
      </c>
      <c r="BS380" s="729">
        <v>5.4322551396947333E-2</v>
      </c>
      <c r="BT380" s="729">
        <v>7.9914330762636668E-2</v>
      </c>
      <c r="BW380" s="1190">
        <f>'2018'!R\Max</f>
        <v>0</v>
      </c>
      <c r="BX380" s="1191">
        <f>'2019'!R\Max</f>
        <v>0</v>
      </c>
      <c r="BY380" s="1191">
        <f>'2020'!R\Max</f>
        <v>0.59862094734166138</v>
      </c>
      <c r="BZ380" s="1191">
        <f>'2021'!R\Max</f>
        <v>0</v>
      </c>
      <c r="CA380" s="1191">
        <f>'2022'!R\Max</f>
        <v>0</v>
      </c>
      <c r="CB380" s="1191">
        <f>'2023'!R\Max</f>
        <v>0</v>
      </c>
      <c r="CC380" s="1191">
        <f>'2024'!R\Max</f>
        <v>0.69419628136299083</v>
      </c>
      <c r="CD380" s="1191">
        <f>'2025'!R\Max</f>
        <v>0</v>
      </c>
      <c r="CE380" s="1191">
        <f>'2026'!R\Max</f>
        <v>0</v>
      </c>
      <c r="CF380" s="1192">
        <f>'2027'!R\Max</f>
        <v>0</v>
      </c>
    </row>
    <row r="381" spans="1:84" ht="12" customHeight="1" x14ac:dyDescent="0.25">
      <c r="B381" s="634" t="s">
        <v>168</v>
      </c>
      <c r="M381" s="136" t="s">
        <v>244</v>
      </c>
      <c r="N381" s="807">
        <f t="shared" ref="N381:AM381" si="148">1-N3/N380*Ajust_M</f>
        <v>4.0043497050942234E-3</v>
      </c>
      <c r="O381" s="807">
        <f t="shared" si="148"/>
        <v>9.8962690416526389E-4</v>
      </c>
      <c r="P381" s="807">
        <f t="shared" si="148"/>
        <v>-6.2230858500500474E-4</v>
      </c>
      <c r="Q381" s="807">
        <f t="shared" si="148"/>
        <v>-4.6663555762949116E-4</v>
      </c>
      <c r="R381" s="807">
        <f t="shared" si="148"/>
        <v>1.0300293256545467E-3</v>
      </c>
      <c r="S381" s="807">
        <f t="shared" si="148"/>
        <v>2.795772250899331E-3</v>
      </c>
      <c r="T381" s="807">
        <f t="shared" si="148"/>
        <v>-2.8818443723284126E-3</v>
      </c>
      <c r="U381" s="807">
        <f t="shared" si="148"/>
        <v>-1.3106159927742667E-3</v>
      </c>
      <c r="V381" s="807">
        <f t="shared" si="148"/>
        <v>-3.5932446999642487E-4</v>
      </c>
      <c r="W381" s="807">
        <f t="shared" si="148"/>
        <v>-2.4768413544773438E-4</v>
      </c>
      <c r="X381" s="807">
        <f t="shared" si="148"/>
        <v>4.8749586516239063E-5</v>
      </c>
      <c r="Y381" s="807">
        <f t="shared" si="148"/>
        <v>5.3514959718869992E-4</v>
      </c>
      <c r="Z381" s="807">
        <f t="shared" si="148"/>
        <v>6.3734862824027516E-4</v>
      </c>
      <c r="AA381" s="807">
        <f t="shared" si="148"/>
        <v>-1.4954390004695561E-4</v>
      </c>
      <c r="AB381" s="807">
        <f t="shared" si="148"/>
        <v>-3.074715604085565E-4</v>
      </c>
      <c r="AC381" s="807">
        <f t="shared" si="148"/>
        <v>5.3390282332377303E-4</v>
      </c>
      <c r="AD381" s="807">
        <f t="shared" si="148"/>
        <v>-1.6955857912082095E-4</v>
      </c>
      <c r="AE381" s="807">
        <f t="shared" si="148"/>
        <v>-1.834413591816908E-3</v>
      </c>
      <c r="AF381" s="807">
        <f t="shared" si="148"/>
        <v>-1.4968022941479475E-3</v>
      </c>
      <c r="AG381" s="807">
        <f t="shared" si="148"/>
        <v>2.1772939335249486E-3</v>
      </c>
      <c r="AH381" s="807">
        <f t="shared" si="148"/>
        <v>9.9538503302865067E-4</v>
      </c>
      <c r="AI381" s="807">
        <f t="shared" si="148"/>
        <v>-2.0236446874146718E-3</v>
      </c>
      <c r="AJ381" s="807">
        <f t="shared" si="148"/>
        <v>-1.0090817431465116E-3</v>
      </c>
      <c r="AK381" s="807">
        <f t="shared" si="148"/>
        <v>2.6101769358123361E-3</v>
      </c>
      <c r="AL381" s="807">
        <f t="shared" si="148"/>
        <v>7.0539424085903635E-3</v>
      </c>
      <c r="AM381" s="807">
        <f t="shared" si="148"/>
        <v>-6.2555979413732032E-3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B6" sqref="AB6:AC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66" t="s">
        <v>24</v>
      </c>
      <c r="I1" s="1266"/>
      <c r="J1" s="1266"/>
      <c r="K1" s="1266"/>
      <c r="L1" s="15"/>
      <c r="M1" s="34"/>
      <c r="N1" s="538"/>
      <c r="O1" s="539"/>
      <c r="P1" s="540" t="s">
        <v>4</v>
      </c>
      <c r="Q1" s="1201">
        <v>8.5000000000000006E-3</v>
      </c>
      <c r="R1" s="541"/>
      <c r="S1" s="542" t="s">
        <v>105</v>
      </c>
      <c r="T1" s="819">
        <f>PertePVan/365.25</f>
        <v>2.3271731690622863E-5</v>
      </c>
      <c r="U1" s="539"/>
      <c r="V1" s="543"/>
      <c r="W1" s="208"/>
      <c r="X1" s="544"/>
      <c r="Y1" s="536" t="s">
        <v>166</v>
      </c>
      <c r="Z1" s="1267">
        <v>0.17</v>
      </c>
      <c r="AA1" s="1268"/>
      <c r="AB1" s="628"/>
      <c r="AC1" s="629"/>
      <c r="AE1" s="536" t="s">
        <v>247</v>
      </c>
      <c r="AF1" s="817">
        <v>0.05</v>
      </c>
      <c r="AG1" s="539"/>
      <c r="AH1" s="208"/>
      <c r="AI1" s="208"/>
      <c r="AJ1" s="208"/>
      <c r="AK1" s="208"/>
      <c r="AL1" s="536" t="s">
        <v>123</v>
      </c>
      <c r="AM1" s="646">
        <v>0.7</v>
      </c>
      <c r="AN1" s="627"/>
      <c r="AO1" s="208"/>
      <c r="AP1" s="208"/>
      <c r="AQ1" s="208"/>
      <c r="AR1" s="536" t="s">
        <v>104</v>
      </c>
      <c r="AS1" s="368">
        <v>0.7</v>
      </c>
      <c r="AT1" s="647" t="s">
        <v>54</v>
      </c>
      <c r="AU1" s="537"/>
    </row>
    <row r="2" spans="1:78" s="533" customFormat="1" ht="18" customHeight="1" thickBot="1" x14ac:dyDescent="0.35">
      <c r="A2" s="83" t="s">
        <v>132</v>
      </c>
      <c r="B2" s="1214" t="str">
        <f>Station</f>
        <v>Crêche d'Escalquens</v>
      </c>
      <c r="C2" s="1215"/>
      <c r="D2" s="1215"/>
      <c r="E2" s="1215"/>
      <c r="F2" s="1216"/>
      <c r="G2" s="818" t="s">
        <v>248</v>
      </c>
      <c r="K2" s="81"/>
      <c r="L2" s="534"/>
      <c r="M2" s="38"/>
      <c r="U2" s="35"/>
      <c r="V2" s="35"/>
      <c r="W2" s="35">
        <f>+U5/Recap!L38</f>
        <v>0.18894467344702565</v>
      </c>
      <c r="X2" s="535"/>
      <c r="AA2" s="537"/>
      <c r="AB2" s="537"/>
      <c r="AC2" s="537"/>
      <c r="AD2" s="537"/>
      <c r="AE2" s="536" t="s">
        <v>167</v>
      </c>
      <c r="AF2" s="652">
        <v>2.5</v>
      </c>
      <c r="AG2" s="653">
        <f>+Tau_i*365</f>
        <v>912.5</v>
      </c>
      <c r="AH2" s="543"/>
      <c r="AI2" s="240"/>
      <c r="AJ2" s="544"/>
      <c r="AL2" s="644" t="s">
        <v>198</v>
      </c>
      <c r="AM2" s="1264">
        <v>0.4</v>
      </c>
      <c r="AN2" s="1265"/>
      <c r="AS2" s="209" t="s">
        <v>124</v>
      </c>
      <c r="AT2" s="648">
        <f>H_i</f>
        <v>-1.6007099697463862</v>
      </c>
      <c r="AU2" s="645"/>
      <c r="AY2" s="655"/>
      <c r="AZ2" s="655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58">
        <f>'2018'!An</f>
        <v>2018</v>
      </c>
      <c r="B3" s="1259"/>
      <c r="C3" s="1259"/>
      <c r="D3" s="1259"/>
      <c r="E3" s="1259"/>
      <c r="F3" s="1260"/>
      <c r="G3" s="1258">
        <f>'2019'!An</f>
        <v>2019</v>
      </c>
      <c r="H3" s="1259"/>
      <c r="I3" s="1259"/>
      <c r="J3" s="1259"/>
      <c r="K3" s="1259"/>
      <c r="L3" s="1260"/>
      <c r="M3" s="1258">
        <f>'2020'!An</f>
        <v>2020</v>
      </c>
      <c r="N3" s="1259"/>
      <c r="O3" s="1259"/>
      <c r="P3" s="1259"/>
      <c r="Q3" s="1259"/>
      <c r="R3" s="1260"/>
      <c r="S3" s="1258">
        <f>'2021'!An</f>
        <v>2021</v>
      </c>
      <c r="T3" s="1259"/>
      <c r="U3" s="1259"/>
      <c r="V3" s="1259"/>
      <c r="W3" s="1259"/>
      <c r="X3" s="1260"/>
      <c r="Y3" s="1258">
        <f>'2022'!An</f>
        <v>2022</v>
      </c>
      <c r="Z3" s="1259"/>
      <c r="AA3" s="1259"/>
      <c r="AB3" s="1259"/>
      <c r="AC3" s="1259"/>
      <c r="AD3" s="1260"/>
      <c r="AE3" s="1258">
        <f>'2023'!An</f>
        <v>2023</v>
      </c>
      <c r="AF3" s="1259"/>
      <c r="AG3" s="1259"/>
      <c r="AH3" s="1259"/>
      <c r="AI3" s="1259"/>
      <c r="AJ3" s="1260"/>
      <c r="AK3" s="1258">
        <f>'2024'!An</f>
        <v>2024</v>
      </c>
      <c r="AL3" s="1259"/>
      <c r="AM3" s="1263"/>
      <c r="AN3" s="1263"/>
      <c r="AO3" s="1259"/>
      <c r="AP3" s="1260"/>
      <c r="AQ3" s="1258">
        <f>'2025'!An</f>
        <v>2025</v>
      </c>
      <c r="AR3" s="1259"/>
      <c r="AS3" s="1259"/>
      <c r="AT3" s="1259"/>
      <c r="AU3" s="1259"/>
      <c r="AV3" s="1260"/>
      <c r="AW3" s="1258">
        <f>'2026'!An</f>
        <v>2026</v>
      </c>
      <c r="AX3" s="1259"/>
      <c r="AY3" s="1259"/>
      <c r="AZ3" s="1259"/>
      <c r="BA3" s="1259"/>
      <c r="BB3" s="1260"/>
      <c r="BC3" s="1258">
        <f>'2027'!An</f>
        <v>2027</v>
      </c>
      <c r="BD3" s="1259"/>
      <c r="BE3" s="1259"/>
      <c r="BF3" s="1259"/>
      <c r="BG3" s="1259"/>
      <c r="BH3" s="1260"/>
      <c r="BI3" s="1254" t="e">
        <v>#NAME?</v>
      </c>
      <c r="BJ3" s="1255"/>
      <c r="BK3" s="1255"/>
      <c r="BL3" s="1255"/>
      <c r="BM3" s="1255"/>
      <c r="BN3" s="1256"/>
      <c r="BO3" s="1254" t="e">
        <v>#NAME?</v>
      </c>
      <c r="BP3" s="1255"/>
      <c r="BQ3" s="1255"/>
      <c r="BR3" s="1255"/>
      <c r="BS3" s="1255"/>
      <c r="BT3" s="1256"/>
      <c r="BU3" s="1254" t="e">
        <v>#NAME?</v>
      </c>
      <c r="BV3" s="1255"/>
      <c r="BW3" s="1255"/>
      <c r="BX3" s="1255"/>
      <c r="BY3" s="1255"/>
      <c r="BZ3" s="1256"/>
    </row>
    <row r="4" spans="1:78" s="427" customFormat="1" ht="15" customHeight="1" x14ac:dyDescent="0.25">
      <c r="A4" s="213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8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8" t="s">
        <v>92</v>
      </c>
      <c r="N4" s="441" t="s">
        <v>135</v>
      </c>
      <c r="O4" s="442" t="s">
        <v>135</v>
      </c>
      <c r="P4" s="443" t="s">
        <v>80</v>
      </c>
      <c r="Q4" s="576" t="s">
        <v>80</v>
      </c>
      <c r="R4" s="431"/>
      <c r="S4" s="358" t="s">
        <v>92</v>
      </c>
      <c r="T4" s="441" t="s">
        <v>135</v>
      </c>
      <c r="U4" s="442" t="s">
        <v>135</v>
      </c>
      <c r="V4" s="443" t="s">
        <v>80</v>
      </c>
      <c r="W4" s="576" t="s">
        <v>80</v>
      </c>
      <c r="X4" s="431"/>
      <c r="Y4" s="358" t="s">
        <v>92</v>
      </c>
      <c r="Z4" s="441" t="s">
        <v>135</v>
      </c>
      <c r="AA4" s="442" t="s">
        <v>135</v>
      </c>
      <c r="AB4" s="443" t="s">
        <v>80</v>
      </c>
      <c r="AC4" s="576" t="s">
        <v>80</v>
      </c>
      <c r="AD4" s="431"/>
      <c r="AE4" s="358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8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8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8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8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8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8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8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3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7"/>
      <c r="G5" s="358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7"/>
      <c r="M5" s="358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7"/>
      <c r="S5" s="358" t="s">
        <v>93</v>
      </c>
      <c r="T5" s="432">
        <v>44306</v>
      </c>
      <c r="U5" s="438">
        <v>1.7999999999999999E-2</v>
      </c>
      <c r="V5" s="1200">
        <v>0.2</v>
      </c>
      <c r="W5" s="440" t="s">
        <v>135</v>
      </c>
      <c r="X5" s="187"/>
      <c r="Y5" s="358" t="s">
        <v>93</v>
      </c>
      <c r="Z5" s="432">
        <v>44621</v>
      </c>
      <c r="AA5" s="438" t="s">
        <v>362</v>
      </c>
      <c r="AB5" s="439">
        <v>0.18</v>
      </c>
      <c r="AC5" s="440" t="s">
        <v>135</v>
      </c>
      <c r="AD5" s="187"/>
      <c r="AE5" s="358" t="s">
        <v>93</v>
      </c>
      <c r="AF5" s="432" t="s">
        <v>135</v>
      </c>
      <c r="AG5" s="438" t="s">
        <v>135</v>
      </c>
      <c r="AH5" s="439" t="s">
        <v>135</v>
      </c>
      <c r="AI5" s="440" t="s">
        <v>135</v>
      </c>
      <c r="AJ5" s="187"/>
      <c r="AK5" s="358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7"/>
      <c r="AQ5" s="358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7"/>
      <c r="AW5" s="358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7"/>
      <c r="BC5" s="358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7"/>
      <c r="BI5" s="358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7"/>
      <c r="BO5" s="358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7"/>
      <c r="BU5" s="358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7"/>
    </row>
    <row r="6" spans="1:78" s="427" customFormat="1" ht="15" customHeight="1" x14ac:dyDescent="0.25">
      <c r="A6" s="213" t="s">
        <v>18</v>
      </c>
      <c r="B6" s="419" t="s">
        <v>135</v>
      </c>
      <c r="C6" s="433" t="s">
        <v>135</v>
      </c>
      <c r="D6" s="1257" t="s">
        <v>135</v>
      </c>
      <c r="E6" s="1257"/>
      <c r="F6" s="188"/>
      <c r="G6" s="358" t="s">
        <v>94</v>
      </c>
      <c r="H6" s="419" t="s">
        <v>135</v>
      </c>
      <c r="I6" s="433" t="s">
        <v>135</v>
      </c>
      <c r="J6" s="1257" t="s">
        <v>135</v>
      </c>
      <c r="K6" s="1257"/>
      <c r="L6" s="188"/>
      <c r="M6" s="358" t="s">
        <v>94</v>
      </c>
      <c r="N6" s="419" t="s">
        <v>135</v>
      </c>
      <c r="O6" s="433" t="s">
        <v>135</v>
      </c>
      <c r="P6" s="1257" t="s">
        <v>135</v>
      </c>
      <c r="Q6" s="1257"/>
      <c r="R6" s="188"/>
      <c r="S6" s="358" t="s">
        <v>94</v>
      </c>
      <c r="T6" s="419" t="s">
        <v>135</v>
      </c>
      <c r="U6" s="433" t="s">
        <v>135</v>
      </c>
      <c r="V6" s="1257" t="s">
        <v>135</v>
      </c>
      <c r="W6" s="1257"/>
      <c r="X6" s="188"/>
      <c r="Y6" s="358" t="s">
        <v>94</v>
      </c>
      <c r="Z6" s="419" t="s">
        <v>135</v>
      </c>
      <c r="AA6" s="433" t="s">
        <v>135</v>
      </c>
      <c r="AB6" s="1257" t="s">
        <v>135</v>
      </c>
      <c r="AC6" s="1257"/>
      <c r="AD6" s="188"/>
      <c r="AE6" s="358" t="s">
        <v>94</v>
      </c>
      <c r="AF6" s="419" t="s">
        <v>135</v>
      </c>
      <c r="AG6" s="433" t="s">
        <v>135</v>
      </c>
      <c r="AH6" s="1257" t="s">
        <v>135</v>
      </c>
      <c r="AI6" s="1257"/>
      <c r="AJ6" s="188"/>
      <c r="AK6" s="358" t="s">
        <v>94</v>
      </c>
      <c r="AL6" s="419" t="s">
        <v>135</v>
      </c>
      <c r="AM6" s="433" t="s">
        <v>135</v>
      </c>
      <c r="AN6" s="1257" t="s">
        <v>135</v>
      </c>
      <c r="AO6" s="1257"/>
      <c r="AP6" s="188"/>
      <c r="AQ6" s="358" t="s">
        <v>94</v>
      </c>
      <c r="AR6" s="419" t="s">
        <v>135</v>
      </c>
      <c r="AS6" s="433" t="s">
        <v>135</v>
      </c>
      <c r="AT6" s="1257" t="s">
        <v>135</v>
      </c>
      <c r="AU6" s="1257"/>
      <c r="AV6" s="188"/>
      <c r="AW6" s="358" t="s">
        <v>94</v>
      </c>
      <c r="AX6" s="419" t="s">
        <v>135</v>
      </c>
      <c r="AY6" s="433" t="s">
        <v>135</v>
      </c>
      <c r="AZ6" s="1257" t="s">
        <v>135</v>
      </c>
      <c r="BA6" s="1257"/>
      <c r="BB6" s="188"/>
      <c r="BC6" s="358" t="s">
        <v>94</v>
      </c>
      <c r="BD6" s="419" t="s">
        <v>135</v>
      </c>
      <c r="BE6" s="433" t="s">
        <v>135</v>
      </c>
      <c r="BF6" s="1257" t="s">
        <v>135</v>
      </c>
      <c r="BG6" s="1257"/>
      <c r="BH6" s="188"/>
      <c r="BI6" s="358" t="s">
        <v>94</v>
      </c>
      <c r="BJ6" s="419" t="s">
        <v>135</v>
      </c>
      <c r="BK6" s="433" t="s">
        <v>135</v>
      </c>
      <c r="BL6" s="1257" t="s">
        <v>135</v>
      </c>
      <c r="BM6" s="1257"/>
      <c r="BN6" s="188"/>
      <c r="BO6" s="358" t="s">
        <v>94</v>
      </c>
      <c r="BP6" s="419" t="s">
        <v>135</v>
      </c>
      <c r="BQ6" s="433" t="s">
        <v>135</v>
      </c>
      <c r="BR6" s="1257" t="s">
        <v>135</v>
      </c>
      <c r="BS6" s="1257"/>
      <c r="BT6" s="188"/>
      <c r="BU6" s="358" t="s">
        <v>94</v>
      </c>
      <c r="BV6" s="419" t="s">
        <v>135</v>
      </c>
      <c r="BW6" s="433" t="s">
        <v>135</v>
      </c>
      <c r="BX6" s="1257" t="s">
        <v>135</v>
      </c>
      <c r="BY6" s="1257"/>
      <c r="BZ6" s="188"/>
    </row>
    <row r="7" spans="1:78" ht="15.75" x14ac:dyDescent="0.25">
      <c r="A7" s="827" t="s">
        <v>253</v>
      </c>
      <c r="B7" s="430"/>
      <c r="C7" s="430"/>
      <c r="D7" s="221"/>
      <c r="E7" s="1261">
        <f>'2018'!Dépas_env</f>
        <v>2.9672487263547875E-3</v>
      </c>
      <c r="F7" s="1262"/>
      <c r="G7" s="827" t="s">
        <v>252</v>
      </c>
      <c r="H7" s="430"/>
      <c r="I7" s="430"/>
      <c r="J7" s="221"/>
      <c r="K7" s="1261">
        <f>'2019'!Dépas_env</f>
        <v>4.4752757469245896E-2</v>
      </c>
      <c r="L7" s="1262"/>
      <c r="M7" s="827" t="s">
        <v>252</v>
      </c>
      <c r="N7" s="430"/>
      <c r="O7" s="430"/>
      <c r="P7" s="221"/>
      <c r="Q7" s="1261">
        <f>'2020'!Dépas_env</f>
        <v>4.5921663578432081E-2</v>
      </c>
      <c r="R7" s="1262"/>
      <c r="S7" s="827" t="s">
        <v>252</v>
      </c>
      <c r="T7" s="430"/>
      <c r="U7" s="430"/>
      <c r="V7" s="221"/>
      <c r="W7" s="1261">
        <f>'2021'!Dépas_env</f>
        <v>4.2610985218578978E-2</v>
      </c>
      <c r="X7" s="1262"/>
      <c r="Y7" s="827" t="s">
        <v>252</v>
      </c>
      <c r="Z7" s="430"/>
      <c r="AA7" s="430"/>
      <c r="AB7" s="221"/>
      <c r="AC7" s="1261">
        <f>'2022'!Dépas_env</f>
        <v>4.6975195124397739E-2</v>
      </c>
      <c r="AD7" s="1262"/>
      <c r="AE7" s="827" t="s">
        <v>252</v>
      </c>
      <c r="AF7" s="430"/>
      <c r="AG7" s="430"/>
      <c r="AH7" s="221"/>
      <c r="AI7" s="1261">
        <f>'2023'!Dépas_env</f>
        <v>4.6975195124397517E-2</v>
      </c>
      <c r="AJ7" s="1262"/>
      <c r="AK7" s="827" t="s">
        <v>252</v>
      </c>
      <c r="AL7" s="430"/>
      <c r="AM7" s="430"/>
      <c r="AN7" s="221"/>
      <c r="AO7" s="1261">
        <f>'2024'!Dépas_env</f>
        <v>4.6975195124397517E-2</v>
      </c>
      <c r="AP7" s="1262"/>
      <c r="AQ7" s="827" t="s">
        <v>252</v>
      </c>
      <c r="AR7" s="430"/>
      <c r="AS7" s="430"/>
      <c r="AT7" s="221"/>
      <c r="AU7" s="1261">
        <f>'2025'!Dépas_env</f>
        <v>4.6975195124397517E-2</v>
      </c>
      <c r="AV7" s="1262"/>
      <c r="AW7" s="827" t="s">
        <v>252</v>
      </c>
      <c r="AX7" s="430"/>
      <c r="AY7" s="430"/>
      <c r="AZ7" s="221"/>
      <c r="BA7" s="1261">
        <f>'2026'!Dépas_env</f>
        <v>4.6975195124397517E-2</v>
      </c>
      <c r="BB7" s="1262"/>
      <c r="BC7" s="827" t="s">
        <v>252</v>
      </c>
      <c r="BD7" s="430"/>
      <c r="BE7" s="430"/>
      <c r="BF7" s="221"/>
      <c r="BG7" s="1261">
        <f>'2027'!Dépas_env</f>
        <v>4.6975195124397517E-2</v>
      </c>
      <c r="BH7" s="1262"/>
      <c r="BI7" s="827" t="s">
        <v>252</v>
      </c>
      <c r="BJ7" s="430"/>
      <c r="BK7" s="430"/>
      <c r="BL7" s="221"/>
      <c r="BM7" s="1261"/>
      <c r="BN7" s="1262"/>
      <c r="BO7" s="827" t="s">
        <v>252</v>
      </c>
      <c r="BP7" s="430"/>
      <c r="BQ7" s="430"/>
      <c r="BR7" s="221"/>
      <c r="BS7" s="1261"/>
      <c r="BT7" s="1262"/>
      <c r="BU7" s="827" t="s">
        <v>252</v>
      </c>
      <c r="BV7" s="430"/>
      <c r="BW7" s="430"/>
      <c r="BX7" s="221"/>
      <c r="BY7" s="1261"/>
      <c r="BZ7" s="1262"/>
    </row>
    <row r="8" spans="1:78" ht="15.75" x14ac:dyDescent="0.25">
      <c r="A8" s="426" t="s">
        <v>134</v>
      </c>
      <c r="T8" s="654" t="s">
        <v>195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43313</v>
      </c>
      <c r="C9" s="580">
        <f>IF(B9&gt;T0,IF(C4="D",0,C4),0)</f>
        <v>0</v>
      </c>
      <c r="D9" s="581" t="s">
        <v>80</v>
      </c>
      <c r="E9" s="462" t="s">
        <v>80</v>
      </c>
      <c r="F9" s="1195">
        <f>IF(C5="I",T0,B10)</f>
        <v>43313</v>
      </c>
      <c r="G9" s="446" t="s">
        <v>92</v>
      </c>
      <c r="H9" s="579">
        <f>IF(H4="D",B9,IF(YEAR(H4)=G3,H4, "err."))</f>
        <v>43313</v>
      </c>
      <c r="I9" s="580">
        <f>IF(YEAR(H9)=G3,IF(I4="D",C9,I4),C9)</f>
        <v>0</v>
      </c>
      <c r="J9" s="582" t="s">
        <v>80</v>
      </c>
      <c r="K9" s="450" t="s">
        <v>80</v>
      </c>
      <c r="L9" s="1195">
        <f>IF(I5="I",F9,IF(YEAR(H10)=G3,H10,F9))</f>
        <v>43313</v>
      </c>
      <c r="M9" s="448" t="s">
        <v>92</v>
      </c>
      <c r="N9" s="579">
        <f>IF(N4="D",H9,IF(YEAR(N4)=M3,N4, "err."))</f>
        <v>43313</v>
      </c>
      <c r="O9" s="580">
        <f>IF(YEAR(N9)=M3,IF(O4="D",I9,O4),I9)</f>
        <v>0</v>
      </c>
      <c r="P9" s="582" t="s">
        <v>80</v>
      </c>
      <c r="Q9" s="450" t="s">
        <v>80</v>
      </c>
      <c r="R9" s="1195">
        <f>IF(O5="I",L9,IF(YEAR(N10)=M3,N10,L9))</f>
        <v>43313</v>
      </c>
      <c r="S9" s="446" t="s">
        <v>92</v>
      </c>
      <c r="T9" s="579">
        <f>IF(T4="D",N9,IF(YEAR(T4)=S3,T4, "err."))</f>
        <v>43313</v>
      </c>
      <c r="U9" s="580">
        <f>IF(YEAR(T9)=S3,IF(U4="D",O9,U4),O9)</f>
        <v>0</v>
      </c>
      <c r="V9" s="582" t="s">
        <v>80</v>
      </c>
      <c r="W9" s="450" t="s">
        <v>80</v>
      </c>
      <c r="X9" s="1195">
        <f>IF(U5="I",R9,IF(YEAR(T10)=S3,T10,R9))</f>
        <v>44306</v>
      </c>
      <c r="Y9" s="446" t="s">
        <v>92</v>
      </c>
      <c r="Z9" s="579">
        <f>IF(Z4="D",T9,IF(YEAR(Z4)=Y3,Z4, "err."))</f>
        <v>43313</v>
      </c>
      <c r="AA9" s="580">
        <f>IF(YEAR(Z9)=Y3,IF(AA4="D",U9,AA4),U9)</f>
        <v>0</v>
      </c>
      <c r="AB9" s="582" t="s">
        <v>80</v>
      </c>
      <c r="AC9" s="450" t="s">
        <v>80</v>
      </c>
      <c r="AD9" s="1195">
        <f>IF(AA5="I",X9,IF(YEAR(Z10)=Y3,Z10,X9))</f>
        <v>44306</v>
      </c>
      <c r="AE9" s="446" t="s">
        <v>92</v>
      </c>
      <c r="AF9" s="579">
        <f>IF(AF4="D",Z9,IF(YEAR(AF4)=AE3,AF4, "err."))</f>
        <v>43313</v>
      </c>
      <c r="AG9" s="580">
        <f>IF(YEAR(AF9)=AE3,IF(AG4="D",AA9,AG4),AA9)</f>
        <v>0</v>
      </c>
      <c r="AH9" s="582" t="s">
        <v>80</v>
      </c>
      <c r="AI9" s="450" t="s">
        <v>80</v>
      </c>
      <c r="AJ9" s="1195">
        <f>IF(AG5="I",AD9,IF(YEAR(AF10)=AE3,AF10,AD9))</f>
        <v>45046</v>
      </c>
      <c r="AK9" s="446" t="s">
        <v>92</v>
      </c>
      <c r="AL9" s="595">
        <f>IF(AL4="D",AF9,AL4)</f>
        <v>43313</v>
      </c>
      <c r="AM9" s="596">
        <f>IF(AM4="D",AG9,AM4)</f>
        <v>0</v>
      </c>
      <c r="AN9" s="582" t="s">
        <v>80</v>
      </c>
      <c r="AO9" s="597" t="s">
        <v>80</v>
      </c>
      <c r="AP9" s="1195">
        <f>IF(AM5="I",AJ9,IF(YEAR(AL10)=AK3,AL10,AJ9))</f>
        <v>45046</v>
      </c>
      <c r="AQ9" s="446" t="s">
        <v>92</v>
      </c>
      <c r="AR9" s="579">
        <f>IF(AR4="D",AL9,AR4)</f>
        <v>43313</v>
      </c>
      <c r="AS9" s="580">
        <f>IF(AS4="D",AM9,AS4)</f>
        <v>0</v>
      </c>
      <c r="AT9" s="582" t="s">
        <v>80</v>
      </c>
      <c r="AU9" s="450" t="s">
        <v>80</v>
      </c>
      <c r="AV9" s="1195">
        <f>IF(AS5="I",AP9,IF(YEAR(AR10)=AQ3,AR10,AP9))</f>
        <v>45777</v>
      </c>
      <c r="AW9" s="446" t="s">
        <v>92</v>
      </c>
      <c r="AX9" s="579">
        <f>IF(AX4="D",AR9,AX4)</f>
        <v>43313</v>
      </c>
      <c r="AY9" s="580">
        <f>IF(AY4="D",AS9,AY4)</f>
        <v>0</v>
      </c>
      <c r="AZ9" s="582" t="s">
        <v>80</v>
      </c>
      <c r="BA9" s="450" t="s">
        <v>80</v>
      </c>
      <c r="BB9" s="1195">
        <f>IF(AY5="I",AV9,IF(YEAR(AX10)=AW3,AX10,AV9))</f>
        <v>45777</v>
      </c>
      <c r="BC9" s="446" t="s">
        <v>92</v>
      </c>
      <c r="BD9" s="579">
        <f>IF(BD4="D",AX9,BD4)</f>
        <v>43313</v>
      </c>
      <c r="BE9" s="580">
        <f>IF(BE4="D",AY9,BE4)</f>
        <v>0</v>
      </c>
      <c r="BF9" s="582" t="s">
        <v>80</v>
      </c>
      <c r="BG9" s="450" t="s">
        <v>80</v>
      </c>
      <c r="BH9" s="1195">
        <f>IF(BE5="I",BB9,IF(YEAR(BD10)=BC3,BD10,BB9))</f>
        <v>46507</v>
      </c>
      <c r="BI9" s="446" t="s">
        <v>92</v>
      </c>
      <c r="BJ9" s="579">
        <f>IF(BJ4="D",BD9,BJ4)</f>
        <v>43313</v>
      </c>
      <c r="BK9" s="580">
        <f>IF(BK4="D",BE9,BK4)</f>
        <v>0</v>
      </c>
      <c r="BL9" s="582" t="s">
        <v>80</v>
      </c>
      <c r="BM9" s="450" t="s">
        <v>80</v>
      </c>
      <c r="BN9" s="1195" t="e">
        <f>IF(BK5="I",BH9,IF(YEAR(BJ10)=BI3,BJ10,BH9))</f>
        <v>#NAME?</v>
      </c>
      <c r="BO9" s="446" t="s">
        <v>92</v>
      </c>
      <c r="BP9" s="579">
        <f>IF(BP4="D",BJ9,BP4)</f>
        <v>43313</v>
      </c>
      <c r="BQ9" s="580">
        <f>IF(BQ4="D",BK9,BQ4)</f>
        <v>0</v>
      </c>
      <c r="BR9" s="582" t="s">
        <v>80</v>
      </c>
      <c r="BS9" s="450" t="s">
        <v>80</v>
      </c>
      <c r="BT9" s="1195" t="e">
        <f>IF(BQ5="I",BN9,IF(YEAR(BP10)=BO3,BP10,BN9))</f>
        <v>#NAME?</v>
      </c>
      <c r="BU9" s="446" t="s">
        <v>92</v>
      </c>
      <c r="BV9" s="579">
        <f>IF(BV4="D",BP9,BV4)</f>
        <v>43313</v>
      </c>
      <c r="BW9" s="580">
        <f>IF(BW4="D",BQ9,BW4)</f>
        <v>0</v>
      </c>
      <c r="BX9" s="582" t="s">
        <v>80</v>
      </c>
      <c r="BY9" s="450" t="s">
        <v>80</v>
      </c>
      <c r="BZ9" s="1195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43313</v>
      </c>
      <c r="C10" s="583">
        <f>IF(B10&gt;T0,IF(C5="D",0,C5),0)</f>
        <v>0</v>
      </c>
      <c r="D10" s="584">
        <f>IF(YEAR(B10)=A3,IF(D5="D",Salim_i,D5),Salim_i)</f>
        <v>0.17</v>
      </c>
      <c r="E10" s="585">
        <f>IF(E5="D",Tau_i,IF(YEAR(B10)=A3,E5,Tau_i))</f>
        <v>2.5</v>
      </c>
      <c r="F10" s="1196">
        <f>C10</f>
        <v>0</v>
      </c>
      <c r="G10" s="448" t="s">
        <v>93</v>
      </c>
      <c r="H10" s="577">
        <f>IF(H5="D",IF(AND(G3&gt;=YEAR(F9)+Inter_net,G3&gt;Amaj),DATE(G3,4,30),B10),IF(YEAR(H5)=G3,H5,"err."))</f>
        <v>43313</v>
      </c>
      <c r="I10" s="583">
        <f>IF(G3=YEAR(H10),IF(I5="D",F10,I5),C13)</f>
        <v>0</v>
      </c>
      <c r="J10" s="584">
        <f>IF(G3=YEAR(H10),IF(J5="D",D10,J5),D10)</f>
        <v>0.17</v>
      </c>
      <c r="K10" s="585">
        <f>IF(G3=YEAR(H10),IF(K5="D",E10,K5),E10)</f>
        <v>2.5</v>
      </c>
      <c r="L10" s="1196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43313</v>
      </c>
      <c r="O10" s="583">
        <f>IF(M3=YEAR(N10),IF(O5="D",L10,O5),I13)</f>
        <v>0</v>
      </c>
      <c r="P10" s="584">
        <f>IF(M3=YEAR(N10),IF(P5="D",J10,P5),J10)</f>
        <v>0.17</v>
      </c>
      <c r="Q10" s="585">
        <f>IF(M3=YEAR(N10),IF(Q5="D",K10,Q5),K10)</f>
        <v>2.5</v>
      </c>
      <c r="R10" s="1196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44306</v>
      </c>
      <c r="U10" s="583">
        <f>IF(S3=YEAR(T10),IF(U5="D",R10,U5),O13)</f>
        <v>1.7999999999999999E-2</v>
      </c>
      <c r="V10" s="584">
        <f>IF(S3=YEAR(T10),IF(V5="D",P10,V5),P10)</f>
        <v>0.2</v>
      </c>
      <c r="W10" s="585">
        <f>IF(S3=YEAR(T10),IF(W5="D",Q10,W5),Q10)</f>
        <v>2.5</v>
      </c>
      <c r="X10" s="1196">
        <f>IF(U5="I",R10,IF(U5="D",R10,U5))</f>
        <v>1.7999999999999999E-2</v>
      </c>
      <c r="Y10" s="448" t="s">
        <v>93</v>
      </c>
      <c r="Z10" s="577">
        <f>IF(Z5="D",IF(AND(Y3&gt;=YEAR(X9)+Inter_net,Y3&gt;Amaj),DATE(Y3,4,30),T10),IF(YEAR(Z5)=Y3,Z5,"err."))</f>
        <v>44621</v>
      </c>
      <c r="AA10" s="583" t="str">
        <f>IF(Y3=YEAR(Z10),IF(AA5="D",X10,AA5),U13)</f>
        <v>I</v>
      </c>
      <c r="AB10" s="584">
        <f>IF(Y3=YEAR(Z10),IF(AB5="D",V10,AB5),V10)</f>
        <v>0.18</v>
      </c>
      <c r="AC10" s="585">
        <f>IF(Y3=YEAR(Z10),IF(AC5="D",W10,AC5),W10)</f>
        <v>2.5</v>
      </c>
      <c r="AD10" s="1196">
        <f>IF(AA5="I",X10,IF(AA5="D",X10,AA5))</f>
        <v>1.7999999999999999E-2</v>
      </c>
      <c r="AE10" s="448" t="s">
        <v>93</v>
      </c>
      <c r="AF10" s="577">
        <f>IF(AF5="D",IF(AND(AE3&gt;=YEAR(AD9)+Inter_net,AE3&gt;Amaj),DATE(AE3,4,30),Z10),IF(YEAR(AF5)=AE3,AF5,"err."))</f>
        <v>45046</v>
      </c>
      <c r="AG10" s="583">
        <f>IF(AE3=YEAR(AF10),IF(AG5="D",AD10,AG5),AA13)</f>
        <v>1.7999999999999999E-2</v>
      </c>
      <c r="AH10" s="584">
        <f>IF(AE3=YEAR(AF10),IF(AH5="D",AB10,AH5),AB10)</f>
        <v>0.18</v>
      </c>
      <c r="AI10" s="585">
        <f>IF(AE3=YEAR(AF10),IF(AI5="D",AC10,AI5),AC10)</f>
        <v>2.5</v>
      </c>
      <c r="AJ10" s="1196">
        <f>IF(AG5="I",AD10,IF(AG5="D",AD10,AG5))</f>
        <v>1.7999999999999999E-2</v>
      </c>
      <c r="AK10" s="448" t="s">
        <v>93</v>
      </c>
      <c r="AL10" s="577">
        <f>IF(AL5="D",IF(AND(AK3&gt;=YEAR(AJ9)+Inter_net,AK3&gt;Amaj),DATE(AK3,4,30),AF10),IF(YEAR(AL5)=AK3,AL5,"err."))</f>
        <v>45046</v>
      </c>
      <c r="AM10" s="583">
        <f>IF(AK3=YEAR(AL10),IF(AM5="D",AJ10,AM5),AG13)</f>
        <v>1.7999999999999999E-2</v>
      </c>
      <c r="AN10" s="584">
        <f>IF(AN5="D",AH10,AN5)</f>
        <v>0.18</v>
      </c>
      <c r="AO10" s="585">
        <f>IF(AO5="D",AI10,AO5)</f>
        <v>2.5</v>
      </c>
      <c r="AP10" s="1196">
        <f>IF(AM5="I",AJ10,IF(AM5="D",AJ10,AM5))</f>
        <v>1.7999999999999999E-2</v>
      </c>
      <c r="AQ10" s="448" t="s">
        <v>93</v>
      </c>
      <c r="AR10" s="577">
        <f>IF(AR5="D",IF(AND(AQ3&gt;=YEAR(AP9)+Inter_net,AQ3&gt;Amaj),DATE(AQ3,4,30),AL10),IF(YEAR(AR5)=AQ3,AR5,"err."))</f>
        <v>45777</v>
      </c>
      <c r="AS10" s="583">
        <f>IF(AQ3=YEAR(AR10),IF(AS5="D",AP10,AS5),AM13)</f>
        <v>1.7999999999999999E-2</v>
      </c>
      <c r="AT10" s="584">
        <f>IF(AT5="D",AN10,AT5)</f>
        <v>0.18</v>
      </c>
      <c r="AU10" s="585">
        <f>IF(AU5="D",AO10,AU5)</f>
        <v>2.5</v>
      </c>
      <c r="AV10" s="1196">
        <f>IF(AS5="I",AP10,IF(AS5="D",AP10,AS5))</f>
        <v>1.7999999999999999E-2</v>
      </c>
      <c r="AW10" s="448" t="s">
        <v>93</v>
      </c>
      <c r="AX10" s="577">
        <f>IF(AX5="D",IF(AND(AW3&gt;=YEAR(AV9)+Inter_net,AW3&gt;Amaj),DATE(AW3,4,30),AR10),IF(YEAR(AX5)=AW3,AX5,"err."))</f>
        <v>45777</v>
      </c>
      <c r="AY10" s="583">
        <f>IF(AW3=YEAR(AX10),IF(AY5="D",AV10,AY5),AS13)</f>
        <v>1.7999999999999999E-2</v>
      </c>
      <c r="AZ10" s="584">
        <f>IF(AZ5="D",AT10,AZ5)</f>
        <v>0.18</v>
      </c>
      <c r="BA10" s="585">
        <f>IF(BA5="D",AU10,BA5)</f>
        <v>2.5</v>
      </c>
      <c r="BB10" s="1196">
        <f>IF(AY5="I",AV10,IF(AY5="D",AV10,AY5))</f>
        <v>1.7999999999999999E-2</v>
      </c>
      <c r="BC10" s="448" t="s">
        <v>93</v>
      </c>
      <c r="BD10" s="577">
        <f>IF(BD5="D",IF(AND(BC3&gt;=YEAR(BB9)+Inter_net,BC3&gt;Amaj),DATE(BC3,4,30),AX10),IF(YEAR(BD5)=BC3,BD5,"err."))</f>
        <v>46507</v>
      </c>
      <c r="BE10" s="583">
        <f>IF(BC3=YEAR(BD10),IF(BE5="D",BB10,BE5),AY13)</f>
        <v>1.7999999999999999E-2</v>
      </c>
      <c r="BF10" s="584">
        <f>IF(BF5="D",AZ10,BF5)</f>
        <v>0.18</v>
      </c>
      <c r="BG10" s="585">
        <f>IF(BG5="D",BA10,BG5)</f>
        <v>2.5</v>
      </c>
      <c r="BH10" s="1196">
        <f>IF(BE5="I",BB10,IF(BE5="D",BB10,BE5))</f>
        <v>1.7999999999999999E-2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0.18</v>
      </c>
      <c r="BM10" s="585">
        <f>IF(BM5="D",BG10,BM5)</f>
        <v>2.5</v>
      </c>
      <c r="BN10" s="1196">
        <f>IF(BK5="I",BH10,IF(BK5="D",BH10,BK5))</f>
        <v>1.7999999999999999E-2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0.18</v>
      </c>
      <c r="BS10" s="585">
        <f>IF(BS5="D",BM10,BS5)</f>
        <v>2.5</v>
      </c>
      <c r="BT10" s="1196">
        <f>IF(BQ5="I",BN10,IF(BQ5="D",BN10,BQ5))</f>
        <v>1.7999999999999999E-2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0.18</v>
      </c>
      <c r="BY10" s="585">
        <f>IF(BY5="D",BS10,BY5)</f>
        <v>2.5</v>
      </c>
      <c r="BZ10" s="1196">
        <f>IF(BW5="I",BT10,IF(BW5="D",BT10,BW5))</f>
        <v>1.7999999999999999E-2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0.7</v>
      </c>
      <c r="D11" s="1253">
        <f>IF(D6="D",IF(B11&gt;DATE(A3,1,1),H_i,H_i+PousHi),D6)</f>
        <v>-1.2007099697463861</v>
      </c>
      <c r="E11" s="1253"/>
      <c r="F11" s="188"/>
      <c r="G11" s="448" t="s">
        <v>94</v>
      </c>
      <c r="H11" s="578">
        <f>IF(H6="D",IF(AND(G3&gt;=YEAR(B11)+Inter_tai,G3&gt;Amaj),DATE(G3,3,31),B11),IF(YEAR(H6)=G3,H6,"err."))</f>
        <v>43101</v>
      </c>
      <c r="I11" s="586">
        <f>IF(I6="D",IF(G3=YEAR(H11),D_i,C11),I6)</f>
        <v>0.7</v>
      </c>
      <c r="J11" s="1253">
        <f>IF(J6="D",IF(G3=YEAR(H11),H_i,D16+E16),J6)</f>
        <v>-0.80071003177673927</v>
      </c>
      <c r="K11" s="1253"/>
      <c r="L11" s="188"/>
      <c r="M11" s="448" t="s">
        <v>94</v>
      </c>
      <c r="N11" s="578">
        <f>IF(N6="D",IF(AND(M3&gt;=YEAR(H11)+Inter_tai,M3&gt;Amaj),DATE(M3,3,31),H11),IF(YEAR(N6)=M3,N6,"err."))</f>
        <v>43101</v>
      </c>
      <c r="O11" s="586">
        <f>IF(O6="D",IF(M3=YEAR(N11),D_i,I11),O6)</f>
        <v>0.7</v>
      </c>
      <c r="P11" s="1253">
        <f>IF(P6="D",IF(M3=YEAR(N11),H_i,J16+K16),P6)</f>
        <v>-0.40071009380709244</v>
      </c>
      <c r="Q11" s="1253"/>
      <c r="R11" s="188"/>
      <c r="S11" s="448" t="s">
        <v>94</v>
      </c>
      <c r="T11" s="578">
        <f>IF(T6="D",IF(AND(S3&gt;=YEAR(N11)+Inter_tai,S3&gt;Amaj),DATE(S3,3,31),N11),IF(YEAR(T6)=S3,T6,"err."))</f>
        <v>43101</v>
      </c>
      <c r="U11" s="586">
        <f>IF(U6="D",IF(S3=YEAR(T11),D_i,O11),U6)</f>
        <v>0.7</v>
      </c>
      <c r="V11" s="1253">
        <f>IF(V6="D",IF(S3=YEAR(T11),H_i,P16+Q16),V6)</f>
        <v>-7.1015583744565847E-4</v>
      </c>
      <c r="W11" s="1253"/>
      <c r="X11" s="188"/>
      <c r="Y11" s="448" t="s">
        <v>94</v>
      </c>
      <c r="Z11" s="578">
        <f>IF(Z6="D",IF(AND(Y3&gt;=YEAR(T11)+Inter_tai,Y3&gt;Amaj),DATE(Y3,3,31),T11),IF(YEAR(Z6)=Y3,Z6,"err."))</f>
        <v>43101</v>
      </c>
      <c r="AA11" s="586">
        <f>IF(AA6="D",IF(Y3=YEAR(Z11),D_i,U11),AA6)</f>
        <v>0.7</v>
      </c>
      <c r="AB11" s="1253">
        <f>IF(AB6="D",IF(Y3=YEAR(Z11),H_i,V16+W16),AB6)</f>
        <v>0.39928978213220112</v>
      </c>
      <c r="AC11" s="1253"/>
      <c r="AD11" s="188"/>
      <c r="AE11" s="448" t="s">
        <v>94</v>
      </c>
      <c r="AF11" s="578">
        <f>IF(AF6="D",IF(AND(AE3&gt;=YEAR(Z11)+Inter_tai,AE3&gt;Amaj),DATE(AE3,3,31),Z11),IF(YEAR(AF6)=AE3,AF6,"err."))</f>
        <v>43101</v>
      </c>
      <c r="AG11" s="586">
        <f>IF(AG6="D",IF(AE3=YEAR(AF11),D_i,AA11),AG6)</f>
        <v>0.7</v>
      </c>
      <c r="AH11" s="1253">
        <f>IF(AH6="D",IF(AE3=YEAR(AF11),H_i,AB16+AC16),AH6)</f>
        <v>0.79928972010184784</v>
      </c>
      <c r="AI11" s="1253"/>
      <c r="AJ11" s="188"/>
      <c r="AK11" s="448" t="s">
        <v>94</v>
      </c>
      <c r="AL11" s="578">
        <f>IF(AL6="D",IF(AND(AK3&gt;=YEAR(AF11)+Inter_tai,AK3&gt;Amaj),DATE(AK3,3,31),AF11),IF(YEAR(AL6)=AK3,AL6,"err."))</f>
        <v>43101</v>
      </c>
      <c r="AM11" s="586">
        <f>IF(AM6="D",IF(AK3=YEAR(AL11),D_i,AG11),AM6)</f>
        <v>0.7</v>
      </c>
      <c r="AN11" s="1253">
        <f>IF(AN6="D",IF(AK3=YEAR(AL11),H_i,AH16+PousHi),AN6)</f>
        <v>1.1992896580714945</v>
      </c>
      <c r="AO11" s="1253"/>
      <c r="AP11" s="188"/>
      <c r="AQ11" s="448" t="s">
        <v>94</v>
      </c>
      <c r="AR11" s="578">
        <f>IF(AR6="D",IF(AND(AQ3&gt;=YEAR(AL11)+Inter_tai,AQ3&gt;Amaj),DATE(AQ3,3,31),AL11),IF(YEAR(AR6)=AQ3,AR6,"err."))</f>
        <v>45747</v>
      </c>
      <c r="AS11" s="586">
        <f>IF(AS6="D",IF(AQ3=YEAR(AR11),D_i,AM11),AS6)</f>
        <v>0.7</v>
      </c>
      <c r="AT11" s="1253">
        <f>IF(AT6="D",IF(AQ3=YEAR(AR11),H_i,AN16+PousHi),AT6)</f>
        <v>-1.6007099697463862</v>
      </c>
      <c r="AU11" s="1253"/>
      <c r="AV11" s="188"/>
      <c r="AW11" s="448" t="s">
        <v>94</v>
      </c>
      <c r="AX11" s="578">
        <f>IF(AX6="D",IF(AND(AW3&gt;=YEAR(AR11)+Inter_tai,AW3&gt;Amaj),DATE(AW3,3,31),AR11),IF(YEAR(AX6)=AW3,AX6,"err."))</f>
        <v>45747</v>
      </c>
      <c r="AY11" s="586">
        <f>IF(AY6="D",IF(AW3=YEAR(AX11),D_i,AS11),AY6)</f>
        <v>0.7</v>
      </c>
      <c r="AZ11" s="1253">
        <f>IF(AZ6="D",IF(AW3=YEAR(AX11),H_i,AT16+PousHi),AZ6)</f>
        <v>-0.82070051908839614</v>
      </c>
      <c r="BA11" s="1253"/>
      <c r="BB11" s="188"/>
      <c r="BC11" s="448" t="s">
        <v>94</v>
      </c>
      <c r="BD11" s="578">
        <f>IF(BD6="D",IF(AND(BC3&gt;=YEAR(AX11)+Inter_tai,BC3&gt;Amaj),DATE(BC3,3,31),AX11),IF(YEAR(BD6)=BC3,BD6,"err."))</f>
        <v>45747</v>
      </c>
      <c r="BE11" s="586">
        <f>IF(BE6="D",IF(BC3=YEAR(BD11),D_i,AY11),BE6)</f>
        <v>0.7</v>
      </c>
      <c r="BF11" s="1253">
        <f>IF(BF6="D",IF(BC3=YEAR(BD11),H_i,AZ16+PousHi),BF6)</f>
        <v>-0.42070058111874953</v>
      </c>
      <c r="BG11" s="1253"/>
      <c r="BH11" s="188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53" t="e">
        <f>IF(BL6="D",IF(BI3=YEAR(BJ11),H_i,BF16+PousHi),BL6)</f>
        <v>#NAME?</v>
      </c>
      <c r="BM11" s="1253"/>
      <c r="BN11" s="188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53" t="e">
        <f>IF(BR6="D",IF(BO3=YEAR(BP11),H_i,BL16+PousHi),BR6)</f>
        <v>#NAME?</v>
      </c>
      <c r="BS11" s="1253"/>
      <c r="BT11" s="188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53" t="e">
        <f>IF(BX6="D",IF(BU3=YEAR(BV11),H_i,BR16+PousHi),BX6)</f>
        <v>#NAME?</v>
      </c>
      <c r="BY11" s="1253"/>
      <c r="BZ11" s="188"/>
    </row>
    <row r="12" spans="1:78" x14ac:dyDescent="0.25">
      <c r="A12" s="8" t="s">
        <v>165</v>
      </c>
      <c r="B12" s="444"/>
      <c r="C12" s="454"/>
      <c r="D12" s="403"/>
      <c r="E12" s="455"/>
      <c r="H12" s="444"/>
      <c r="L12" s="465"/>
      <c r="M12" s="455"/>
      <c r="AL12" s="455"/>
      <c r="AM12" s="454"/>
      <c r="AN12" s="403"/>
      <c r="AO12" s="455"/>
    </row>
    <row r="13" spans="1:78" s="409" customFormat="1" ht="15" customHeight="1" x14ac:dyDescent="0.25">
      <c r="A13" s="459" t="s">
        <v>16</v>
      </c>
      <c r="B13" s="587">
        <f>+'2018'!Tnet</f>
        <v>43313</v>
      </c>
      <c r="C13" s="588">
        <f>+'2018'!Resal</f>
        <v>0</v>
      </c>
      <c r="D13" s="589">
        <f>+'2018'!Salim</f>
        <v>0.17</v>
      </c>
      <c r="E13" s="590">
        <f>+'2018'!Tau_j/365</f>
        <v>2.5</v>
      </c>
      <c r="F13" s="464"/>
      <c r="G13" s="466" t="s">
        <v>93</v>
      </c>
      <c r="H13" s="587">
        <f>+'2019'!Tnet</f>
        <v>43313</v>
      </c>
      <c r="I13" s="588">
        <f>+'2019'!Resal</f>
        <v>0</v>
      </c>
      <c r="J13" s="589">
        <f>+'2019'!Salim</f>
        <v>0.17</v>
      </c>
      <c r="K13" s="590">
        <f>+'2019'!Tau_j/365</f>
        <v>2.5</v>
      </c>
      <c r="L13" s="467"/>
      <c r="M13" s="448" t="s">
        <v>93</v>
      </c>
      <c r="N13" s="587">
        <f>+'2020'!Tnet</f>
        <v>43313</v>
      </c>
      <c r="O13" s="588">
        <f>+'2020'!Resal</f>
        <v>0</v>
      </c>
      <c r="P13" s="589">
        <f>+'2020'!Salim</f>
        <v>0.17</v>
      </c>
      <c r="Q13" s="590">
        <f>+'2020'!Tau_j/365</f>
        <v>2.5</v>
      </c>
      <c r="R13" s="467"/>
      <c r="S13" s="448" t="s">
        <v>93</v>
      </c>
      <c r="T13" s="587">
        <f>+'2021'!Tnet</f>
        <v>44306</v>
      </c>
      <c r="U13" s="588">
        <f>+'2021'!Resal</f>
        <v>1.7999999999999999E-2</v>
      </c>
      <c r="V13" s="589">
        <f>+'2021'!Salim</f>
        <v>0.2</v>
      </c>
      <c r="W13" s="590">
        <f>+'2021'!Tau_j/365</f>
        <v>2.5</v>
      </c>
      <c r="X13" s="467"/>
      <c r="Y13" s="448" t="s">
        <v>93</v>
      </c>
      <c r="Z13" s="587">
        <f>+'2022'!Tnet</f>
        <v>44621</v>
      </c>
      <c r="AA13" s="588">
        <f>+'2022'!Resal</f>
        <v>7.1130378448823625E-2</v>
      </c>
      <c r="AB13" s="589">
        <f>+'2022'!Salim</f>
        <v>0.18</v>
      </c>
      <c r="AC13" s="590">
        <f>+'2022'!Tau_j/365</f>
        <v>2.5</v>
      </c>
      <c r="AD13" s="467"/>
      <c r="AE13" s="448" t="s">
        <v>93</v>
      </c>
      <c r="AF13" s="587">
        <f>+'2023'!Tnet</f>
        <v>45046</v>
      </c>
      <c r="AG13" s="588">
        <f>+'2023'!Resal</f>
        <v>1.7999999999999999E-2</v>
      </c>
      <c r="AH13" s="589">
        <f>+'2023'!Salim</f>
        <v>0.18</v>
      </c>
      <c r="AI13" s="590">
        <f>+'2023'!Tau_j/365</f>
        <v>2.5</v>
      </c>
      <c r="AJ13" s="467"/>
      <c r="AK13" s="448" t="s">
        <v>93</v>
      </c>
      <c r="AL13" s="587">
        <f>+'2024'!Tnet</f>
        <v>45046</v>
      </c>
      <c r="AM13" s="588">
        <f>+'2024'!Resal</f>
        <v>1.7999999999999999E-2</v>
      </c>
      <c r="AN13" s="589">
        <f>+'2024'!Salim</f>
        <v>0.18</v>
      </c>
      <c r="AO13" s="590">
        <f>+'2024'!Tau_j/365</f>
        <v>2.5</v>
      </c>
      <c r="AP13" s="464"/>
      <c r="AQ13" s="448" t="s">
        <v>93</v>
      </c>
      <c r="AR13" s="587">
        <f>+'2025'!Tnet</f>
        <v>45777</v>
      </c>
      <c r="AS13" s="588">
        <f>+'2025'!Resal</f>
        <v>1.7999999999999999E-2</v>
      </c>
      <c r="AT13" s="589">
        <f>+'2025'!Salim</f>
        <v>0.18</v>
      </c>
      <c r="AU13" s="590">
        <f>+'2025'!Tau_j/365</f>
        <v>2.5</v>
      </c>
      <c r="AV13" s="464"/>
      <c r="AW13" s="448" t="s">
        <v>93</v>
      </c>
      <c r="AX13" s="587">
        <f>+'2026'!Tnet</f>
        <v>45777</v>
      </c>
      <c r="AY13" s="588">
        <f>+'2026'!Resal</f>
        <v>1.7999999999999999E-2</v>
      </c>
      <c r="AZ13" s="589">
        <f>+'2026'!Salim</f>
        <v>0.18</v>
      </c>
      <c r="BA13" s="590">
        <f>+'2026'!Tau_j/365</f>
        <v>2.5</v>
      </c>
      <c r="BB13" s="464"/>
      <c r="BC13" s="448" t="s">
        <v>93</v>
      </c>
      <c r="BD13" s="587">
        <f>+'2027'!Tnet</f>
        <v>46507</v>
      </c>
      <c r="BE13" s="588">
        <f>+'2027'!Resal</f>
        <v>1.7999999999999999E-2</v>
      </c>
      <c r="BF13" s="589">
        <f>+'2027'!Salim</f>
        <v>0.18</v>
      </c>
      <c r="BG13" s="590">
        <f>+'2027'!Tau_j/365</f>
        <v>2.5</v>
      </c>
      <c r="BH13" s="464"/>
      <c r="BI13" s="448" t="s">
        <v>93</v>
      </c>
      <c r="BJ13" s="587">
        <f>+'2018'!Tnet</f>
        <v>43313</v>
      </c>
      <c r="BK13" s="588">
        <f>+'2018'!Resal</f>
        <v>0</v>
      </c>
      <c r="BL13" s="589">
        <f>+'2018'!Salim</f>
        <v>0.17</v>
      </c>
      <c r="BM13" s="590">
        <f>+'2018'!Tau_j/365</f>
        <v>2.5</v>
      </c>
      <c r="BN13" s="464"/>
      <c r="BO13" s="448" t="s">
        <v>93</v>
      </c>
      <c r="BP13" s="587">
        <f>+'2018'!Tnet</f>
        <v>43313</v>
      </c>
      <c r="BQ13" s="588">
        <f>+'2018'!Resal</f>
        <v>0</v>
      </c>
      <c r="BR13" s="589">
        <f>+'2018'!Salim</f>
        <v>0.17</v>
      </c>
      <c r="BS13" s="590">
        <f>+'2018'!Tau_j/365</f>
        <v>2.5</v>
      </c>
      <c r="BT13" s="464"/>
      <c r="BU13" s="448" t="s">
        <v>93</v>
      </c>
      <c r="BV13" s="587">
        <f>+'2018'!Tnet</f>
        <v>43313</v>
      </c>
      <c r="BW13" s="588">
        <f>+'2018'!Resal</f>
        <v>0</v>
      </c>
      <c r="BX13" s="589">
        <f>+'2018'!Salim</f>
        <v>0.17</v>
      </c>
      <c r="BY13" s="590">
        <f>+'2018'!Tau_j/365</f>
        <v>2.5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0.7</v>
      </c>
      <c r="D15" s="592">
        <f>'2018'!Df</f>
        <v>0.7</v>
      </c>
      <c r="E15" s="592">
        <f>'2018'!PousD</f>
        <v>0</v>
      </c>
      <c r="F15" s="468"/>
      <c r="G15" s="484" t="s">
        <v>128</v>
      </c>
      <c r="H15" s="591">
        <f>H11</f>
        <v>43101</v>
      </c>
      <c r="I15" s="592">
        <f>'2019'!Dd</f>
        <v>0.7</v>
      </c>
      <c r="J15" s="592">
        <f>'2019'!Df</f>
        <v>0.7</v>
      </c>
      <c r="K15" s="592">
        <f>'2019'!PousD</f>
        <v>0</v>
      </c>
      <c r="L15" s="468"/>
      <c r="M15" s="484" t="s">
        <v>128</v>
      </c>
      <c r="N15" s="591">
        <f>N11</f>
        <v>43101</v>
      </c>
      <c r="O15" s="592">
        <f>'2020'!Dd</f>
        <v>0.7</v>
      </c>
      <c r="P15" s="592">
        <f>'2020'!Df</f>
        <v>0.7</v>
      </c>
      <c r="Q15" s="592">
        <f>'2020'!PousD</f>
        <v>0</v>
      </c>
      <c r="R15" s="468"/>
      <c r="S15" s="485" t="s">
        <v>128</v>
      </c>
      <c r="T15" s="591">
        <f>T11</f>
        <v>43101</v>
      </c>
      <c r="U15" s="592">
        <f>'2021'!Dd</f>
        <v>0.7</v>
      </c>
      <c r="V15" s="592">
        <f>'2021'!Df</f>
        <v>0.7</v>
      </c>
      <c r="W15" s="592">
        <f>'2021'!PousD</f>
        <v>0</v>
      </c>
      <c r="X15" s="468"/>
      <c r="Y15" s="485" t="s">
        <v>128</v>
      </c>
      <c r="Z15" s="591">
        <f>Z11</f>
        <v>43101</v>
      </c>
      <c r="AA15" s="592">
        <f>'2022'!Dd</f>
        <v>0.7</v>
      </c>
      <c r="AB15" s="592">
        <f>'2022'!Df</f>
        <v>0.7</v>
      </c>
      <c r="AC15" s="592">
        <f>'2022'!PousD</f>
        <v>0</v>
      </c>
      <c r="AD15" s="468"/>
      <c r="AE15" s="485" t="s">
        <v>128</v>
      </c>
      <c r="AF15" s="591">
        <f>AF11</f>
        <v>43101</v>
      </c>
      <c r="AG15" s="592">
        <f>'2023'!Dd</f>
        <v>0.7</v>
      </c>
      <c r="AH15" s="592">
        <f>'2023'!Df</f>
        <v>0.7</v>
      </c>
      <c r="AI15" s="592">
        <f>'2023'!PousD</f>
        <v>0</v>
      </c>
      <c r="AJ15" s="468"/>
      <c r="AK15" s="485" t="s">
        <v>128</v>
      </c>
      <c r="AL15" s="591">
        <f>AL11</f>
        <v>43101</v>
      </c>
      <c r="AM15" s="592">
        <f>'2024'!Dd</f>
        <v>0.7</v>
      </c>
      <c r="AN15" s="592">
        <f>'2024'!Df</f>
        <v>0.7</v>
      </c>
      <c r="AO15" s="592">
        <f>'2024'!PousD</f>
        <v>0</v>
      </c>
      <c r="AP15" s="468"/>
      <c r="AQ15" s="485" t="s">
        <v>128</v>
      </c>
      <c r="AR15" s="591">
        <f>AR11</f>
        <v>45747</v>
      </c>
      <c r="AS15" s="592">
        <f>'2025'!Dd</f>
        <v>0.7</v>
      </c>
      <c r="AT15" s="592">
        <f>'2025'!Df</f>
        <v>0.7</v>
      </c>
      <c r="AU15" s="592">
        <f>'2025'!PousD</f>
        <v>0</v>
      </c>
      <c r="AV15" s="468"/>
      <c r="AW15" s="485" t="s">
        <v>128</v>
      </c>
      <c r="AX15" s="591">
        <f>AX11</f>
        <v>45747</v>
      </c>
      <c r="AY15" s="592">
        <f>'2026'!Dd</f>
        <v>0.7</v>
      </c>
      <c r="AZ15" s="592">
        <f>'2026'!Df</f>
        <v>0.7</v>
      </c>
      <c r="BA15" s="592">
        <f>'2026'!PousD</f>
        <v>0</v>
      </c>
      <c r="BB15" s="468"/>
      <c r="BC15" s="485" t="s">
        <v>128</v>
      </c>
      <c r="BD15" s="591">
        <f>BD11</f>
        <v>45747</v>
      </c>
      <c r="BE15" s="592">
        <f>'2027'!Dd</f>
        <v>0.7</v>
      </c>
      <c r="BF15" s="592">
        <f>'2027'!Df</f>
        <v>0.7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0.7</v>
      </c>
      <c r="BL15" s="592">
        <f>'2018'!Df</f>
        <v>0.7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0.7</v>
      </c>
      <c r="BR15" s="592">
        <f>'2018'!Df</f>
        <v>0.7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0.7</v>
      </c>
      <c r="BX15" s="592">
        <f>'2018'!Df</f>
        <v>0.7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-1.6007099697463862</v>
      </c>
      <c r="D16" s="594">
        <f>'2018'!Hdf</f>
        <v>-1.2007100317767394</v>
      </c>
      <c r="E16" s="594">
        <f>'2018'!PousH</f>
        <v>0.40000000000000013</v>
      </c>
      <c r="F16" s="460"/>
      <c r="G16" s="474" t="s">
        <v>127</v>
      </c>
      <c r="H16" s="593"/>
      <c r="I16" s="594">
        <f>'2019'!Hdd</f>
        <v>-1.2007100317767394</v>
      </c>
      <c r="J16" s="594">
        <f>'2019'!Hdf</f>
        <v>-0.80071009380709257</v>
      </c>
      <c r="K16" s="594">
        <f>'2019'!PousH</f>
        <v>0.40000000000000013</v>
      </c>
      <c r="L16" s="460"/>
      <c r="M16" s="474" t="s">
        <v>127</v>
      </c>
      <c r="N16" s="593"/>
      <c r="O16" s="594">
        <f>'2020'!Hdd</f>
        <v>-0.80071009380709257</v>
      </c>
      <c r="P16" s="594">
        <f>'2020'!Hdf</f>
        <v>-0.40071015583744579</v>
      </c>
      <c r="Q16" s="594">
        <f>'2020'!PousH</f>
        <v>0.40000000000000013</v>
      </c>
      <c r="R16" s="460"/>
      <c r="S16" s="475" t="s">
        <v>127</v>
      </c>
      <c r="T16" s="593"/>
      <c r="U16" s="594">
        <f>'2021'!Hdd</f>
        <v>-0.40071015583744579</v>
      </c>
      <c r="V16" s="594">
        <f>'2021'!Hdf</f>
        <v>-7.102178677990123E-4</v>
      </c>
      <c r="W16" s="594">
        <f>'2021'!PousH</f>
        <v>0.40000000000000013</v>
      </c>
      <c r="X16" s="460"/>
      <c r="Y16" s="475" t="s">
        <v>127</v>
      </c>
      <c r="Z16" s="593"/>
      <c r="AA16" s="594">
        <f>'2022'!Hdd</f>
        <v>-7.102178677990123E-4</v>
      </c>
      <c r="AB16" s="594">
        <f>'2022'!Hdf</f>
        <v>0.39928972010184777</v>
      </c>
      <c r="AC16" s="594">
        <f>'2022'!PousH</f>
        <v>0.40000000000000013</v>
      </c>
      <c r="AD16" s="460"/>
      <c r="AE16" s="475" t="s">
        <v>127</v>
      </c>
      <c r="AF16" s="593"/>
      <c r="AG16" s="594">
        <f>'2023'!Hdd</f>
        <v>0.39928972010184777</v>
      </c>
      <c r="AH16" s="594">
        <f>'2023'!Hdf</f>
        <v>0.79928965807149455</v>
      </c>
      <c r="AI16" s="594">
        <f>'2023'!PousH</f>
        <v>0.40000000000000008</v>
      </c>
      <c r="AJ16" s="460"/>
      <c r="AK16" s="475" t="s">
        <v>127</v>
      </c>
      <c r="AL16" s="593"/>
      <c r="AM16" s="594">
        <f>'2024'!Hdd</f>
        <v>0.79928965807149455</v>
      </c>
      <c r="AN16" s="594">
        <f>'2024'!Hdf</f>
        <v>1.1992895960411412</v>
      </c>
      <c r="AO16" s="594">
        <f>'2024'!PousH</f>
        <v>0.39999999999999991</v>
      </c>
      <c r="AP16" s="460"/>
      <c r="AQ16" s="475" t="s">
        <v>127</v>
      </c>
      <c r="AR16" s="593"/>
      <c r="AS16" s="594">
        <f>'2025'!Hdd</f>
        <v>1.1992895960411412</v>
      </c>
      <c r="AT16" s="594">
        <f>'2025'!Hdf</f>
        <v>-1.2207005190883962</v>
      </c>
      <c r="AU16" s="594">
        <f>'2025'!PousH</f>
        <v>0.39999999999999991</v>
      </c>
      <c r="AV16" s="460"/>
      <c r="AW16" s="475" t="s">
        <v>127</v>
      </c>
      <c r="AX16" s="593"/>
      <c r="AY16" s="594">
        <f>'2026'!Hdd</f>
        <v>-1.2207005190883962</v>
      </c>
      <c r="AZ16" s="594">
        <f>'2026'!Hdf</f>
        <v>-0.82070058111874955</v>
      </c>
      <c r="BA16" s="594">
        <f>'2026'!PousH</f>
        <v>0.4</v>
      </c>
      <c r="BB16" s="460"/>
      <c r="BC16" s="475" t="s">
        <v>127</v>
      </c>
      <c r="BD16" s="593"/>
      <c r="BE16" s="594">
        <f>'2027'!Hdd</f>
        <v>-0.82070058111874955</v>
      </c>
      <c r="BF16" s="594">
        <f>'2027'!Hdf</f>
        <v>-0.42070064314910288</v>
      </c>
      <c r="BG16" s="594">
        <f>'2027'!PousH</f>
        <v>0.4</v>
      </c>
      <c r="BH16" s="460"/>
      <c r="BI16" s="475" t="s">
        <v>127</v>
      </c>
      <c r="BJ16" s="593"/>
      <c r="BK16" s="594">
        <f>'2018'!Hdd</f>
        <v>-1.6007099697463862</v>
      </c>
      <c r="BL16" s="594">
        <f>'2018'!Hdf</f>
        <v>-1.2007100317767394</v>
      </c>
      <c r="BM16" s="594">
        <f>'2018'!PousH</f>
        <v>0.40000000000000013</v>
      </c>
      <c r="BN16" s="460"/>
      <c r="BO16" s="475" t="s">
        <v>127</v>
      </c>
      <c r="BP16" s="593"/>
      <c r="BQ16" s="594">
        <f>'2018'!Hdd</f>
        <v>-1.6007099697463862</v>
      </c>
      <c r="BR16" s="594">
        <f>'2018'!Hdf</f>
        <v>-1.2007100317767394</v>
      </c>
      <c r="BS16" s="594">
        <f>'2018'!PousH</f>
        <v>0.40000000000000013</v>
      </c>
      <c r="BT16" s="460"/>
      <c r="BU16" s="475" t="s">
        <v>127</v>
      </c>
      <c r="BV16" s="593"/>
      <c r="BW16" s="594">
        <f>'2018'!Hdd</f>
        <v>-1.6007099697463862</v>
      </c>
      <c r="BX16" s="594">
        <f>'2018'!Hdf</f>
        <v>-1.2007100317767394</v>
      </c>
      <c r="BY16" s="594">
        <f>'2018'!PousH</f>
        <v>0.40000000000000013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1.9081692699179546E-7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3.7177668672508712E-2</v>
      </c>
      <c r="AG20" s="48">
        <f>'2023'!O29</f>
        <v>0.10334988669557546</v>
      </c>
      <c r="AH20" s="66">
        <f>'2023'!P29</f>
        <v>1.2996979711001064E-3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3.514532233333373E-6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3.7872021013054979E-2</v>
      </c>
      <c r="AG21" s="48">
        <f>'2023'!O60</f>
        <v>0.10591165277644486</v>
      </c>
      <c r="AH21" s="66">
        <f>'2023'!P60</f>
        <v>2.8163137308584965E-3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5.4739852311182135E-6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3.8498747557724422E-2</v>
      </c>
      <c r="AG22" s="48">
        <f>'2023'!O88</f>
        <v>0.10820073961840625</v>
      </c>
      <c r="AH22" s="66">
        <f>'2023'!P88</f>
        <v>1.4396613143961721E-3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5.275647822097546E-6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3.9192147184373027E-2</v>
      </c>
      <c r="AG23" s="48">
        <f>'2023'!O119</f>
        <v>0.11108156973783197</v>
      </c>
      <c r="AH23" s="66">
        <f>'2023'!P119</f>
        <v>5.3489142202633414E-4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4.4333611912249407E-6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3.9862702958934459E-2</v>
      </c>
      <c r="AG24" s="48">
        <f>'2023'!O149</f>
        <v>2.1056717275462364E-2</v>
      </c>
      <c r="AH24" s="66">
        <f>'2023'!P149</f>
        <v>1.5596962417404507E-4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1.3725190267816596E-5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4.0555118950706293E-2</v>
      </c>
      <c r="AG25" s="48">
        <f>'2023'!O180</f>
        <v>2.7026374735282254E-2</v>
      </c>
      <c r="AH25" s="66">
        <f>'2023'!P180</f>
        <v>1.7781279090477455E-4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1.8250231167740382E-5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4.122472349596018E-2</v>
      </c>
      <c r="AG26" s="48">
        <f>'2023'!O210</f>
        <v>3.2478803154241856E-2</v>
      </c>
      <c r="AH26" s="66">
        <f>'2023'!P210</f>
        <v>1.8739829300437206E-4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2.7164848471170188E-3</v>
      </c>
      <c r="D27" s="66">
        <f>'2018'!P241</f>
        <v>3.006559878762557E-5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4.1916157248208741E-2</v>
      </c>
      <c r="AG27" s="48">
        <f>'2023'!O241</f>
        <v>3.7703676411704856E-2</v>
      </c>
      <c r="AH27" s="66">
        <f>'2023'!P241</f>
        <v>4.1673727152425624E-4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8.5568777580736968E-3</v>
      </c>
      <c r="D28" s="66">
        <f>'2018'!P272</f>
        <v>2.1516156088751542E-4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4.2607092363659338E-2</v>
      </c>
      <c r="AG28" s="48">
        <f>'2023'!O272</f>
        <v>4.2612948051627075E-2</v>
      </c>
      <c r="AH28" s="66">
        <f>'2023'!P272</f>
        <v>2.2238155738518541E-3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1.3877445368534467E-2</v>
      </c>
      <c r="D29" s="66">
        <f>'2018'!P302</f>
        <v>3.9936198174631818E-4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4.3275264819638282E-2</v>
      </c>
      <c r="AG29" s="48">
        <f>'2023'!O302</f>
        <v>4.6804920351807541E-2</v>
      </c>
      <c r="AH29" s="66">
        <f>'2023'!P302</f>
        <v>3.1696049687198668E-3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1.8893900818007445E-2</v>
      </c>
      <c r="D30" s="66">
        <f>'2018'!P333</f>
        <v>3.2279732546633123E-4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4.39652197962902E-2</v>
      </c>
      <c r="AG30" s="48">
        <f>'2023'!O333</f>
        <v>5.0408867439705282E-2</v>
      </c>
      <c r="AH30" s="66">
        <f>'2023'!P333</f>
        <v>2.4556872881674775E-3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2.3585647365447857E-2</v>
      </c>
      <c r="D31" s="67">
        <f>'2018'!P363</f>
        <v>1.3859681845292826E-4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4.463244440386227E-2</v>
      </c>
      <c r="AG31" s="49">
        <f>'2023'!O363</f>
        <v>5.4061500286287298E-2</v>
      </c>
      <c r="AH31" s="67">
        <f>'2023'!P363</f>
        <v>1.5803121662648714E-3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2.8435887993583913E-2</v>
      </c>
      <c r="D32" s="66">
        <f>'2019'!P29</f>
        <v>1.761417654469096E-4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4.5321420632109422E-2</v>
      </c>
      <c r="AG32" s="48">
        <f>'2024'!O29</f>
        <v>5.8174624352465454E-2</v>
      </c>
      <c r="AH32" s="66">
        <f>'2024'!P29</f>
        <v>1.6897132845472068E-3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3.3165488908618673E-2</v>
      </c>
      <c r="D33" s="66">
        <f>'2019'!P60</f>
        <v>4.7803376801897431E-4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4.6009899995835268E-2</v>
      </c>
      <c r="AG33" s="48">
        <f>'2024'!O60</f>
        <v>6.2245112972828934E-2</v>
      </c>
      <c r="AH33" s="66">
        <f>'2024'!P60</f>
        <v>3.515808363347831E-3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3.7318337491193565E-2</v>
      </c>
      <c r="D34" s="66">
        <f>'2019'!P88</f>
        <v>2.1684567707224987E-4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4.6631325556761194E-2</v>
      </c>
      <c r="AG34" s="48">
        <f>'2024'!O88</f>
        <v>6.5834444005272927E-2</v>
      </c>
      <c r="AH34" s="66">
        <f>'2024'!P88</f>
        <v>1.8266750630672932E-3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4.1934470897323377E-2</v>
      </c>
      <c r="D35" s="66">
        <f>'2019'!P119</f>
        <v>6.404148840464006E-5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4.7318860264842222E-2</v>
      </c>
      <c r="AG35" s="48">
        <f>'2024'!O119</f>
        <v>6.9953094164399862E-2</v>
      </c>
      <c r="AH35" s="66">
        <f>'2024'!P119</f>
        <v>7.0656278076734139E-4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4.6799805347852094E-2</v>
      </c>
      <c r="D36" s="66">
        <f>'2019'!P149</f>
        <v>2.1836965782794198E-5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4.7983744338898293E-2</v>
      </c>
      <c r="AG36" s="48">
        <f>'2024'!O149</f>
        <v>7.4651589247568775E-2</v>
      </c>
      <c r="AH36" s="66">
        <f>'2024'!P149</f>
        <v>2.0009594938814724E-4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5.206885108430772E-2</v>
      </c>
      <c r="D37" s="66">
        <f>'2019'!P180</f>
        <v>3.8969128554216201E-5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4.8670303731891407E-2</v>
      </c>
      <c r="AG37" s="48">
        <f>'2024'!O180</f>
        <v>7.9886484611808681E-2</v>
      </c>
      <c r="AH37" s="66">
        <f>'2024'!P180</f>
        <v>2.1827777293905058E-4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5.6572593155706861E-2</v>
      </c>
      <c r="D38" s="66">
        <f>'2019'!P210</f>
        <v>4.3174108248504734E-5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4.933424462233571E-2</v>
      </c>
      <c r="AG38" s="48">
        <f>'2024'!O210</f>
        <v>8.4052907094049709E-2</v>
      </c>
      <c r="AH38" s="66">
        <f>'2024'!P210</f>
        <v>2.3656841996316073E-4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6.0641856843293082E-2</v>
      </c>
      <c r="D39" s="66">
        <f>'2019'!P241</f>
        <v>7.6057253683131827E-5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5.0019830083792072E-2</v>
      </c>
      <c r="AG39" s="48">
        <f>'2024'!O241</f>
        <v>8.7554528150320554E-2</v>
      </c>
      <c r="AH39" s="66">
        <f>'2024'!P241</f>
        <v>5.5315069312767903E-4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6.4362196081447762E-2</v>
      </c>
      <c r="D40" s="66">
        <f>'2019'!P272</f>
        <v>5.0179315157026117E-4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5.0704921126024427E-2</v>
      </c>
      <c r="AG40" s="48">
        <f>'2024'!O272</f>
        <v>9.0639271475988048E-2</v>
      </c>
      <c r="AH40" s="66">
        <f>'2024'!P272</f>
        <v>2.7807762846912506E-3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6.7285126334917067E-2</v>
      </c>
      <c r="D41" s="66">
        <f>'2019'!P302</f>
        <v>8.5152480380021973E-4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5.1367442040103461E-2</v>
      </c>
      <c r="AG41" s="48">
        <f>'2024'!O302</f>
        <v>9.276782561781402E-2</v>
      </c>
      <c r="AH41" s="66">
        <f>'2024'!P302</f>
        <v>3.9637757477216035E-3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6.9461489758797068E-2</v>
      </c>
      <c r="D42" s="66">
        <f>'2019'!P333</f>
        <v>6.8416302621828503E-4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5.2051561233755317E-2</v>
      </c>
      <c r="AG42" s="48">
        <f>'2024'!O333</f>
        <v>9.3927575946799138E-2</v>
      </c>
      <c r="AH42" s="66">
        <f>'2024'!P333</f>
        <v>3.0158098339217129E-3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7.1965947264670566E-2</v>
      </c>
      <c r="D43" s="67">
        <f>'2019'!P363</f>
        <v>3.2427377361450902E-4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5.2713142316526906E-2</v>
      </c>
      <c r="AG43" s="49">
        <f>'2024'!O363</f>
        <v>9.5697817399712656E-2</v>
      </c>
      <c r="AH43" s="67">
        <f>'2024'!P363</f>
        <v>2.1301640759658668E-3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7.5115677901104919E-2</v>
      </c>
      <c r="D44" s="66">
        <f>'2020'!P29</f>
        <v>3.9320303727443729E-4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5.3418319891438526E-2</v>
      </c>
      <c r="AG44" s="48">
        <f>'2025'!O29</f>
        <v>9.8436939101550158E-2</v>
      </c>
      <c r="AH44" s="66">
        <f>'2025'!P29</f>
        <v>2.1720904908852576E-3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7.8286309426268116E-2</v>
      </c>
      <c r="D45" s="66">
        <f>'2020'!P60</f>
        <v>9.9582711152070426E-4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5.4100960066802317E-2</v>
      </c>
      <c r="AG45" s="48">
        <f>'2025'!O60</f>
        <v>0.10116278336118389</v>
      </c>
      <c r="AH45" s="66">
        <f>'2025'!P60</f>
        <v>4.2416285062020333E-3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8.1095610179962321E-2</v>
      </c>
      <c r="D46" s="66">
        <f>'2020'!P88</f>
        <v>4.6961253900452222E-4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5.4717115141647676E-2</v>
      </c>
      <c r="AG46" s="48">
        <f>'2025'!O88</f>
        <v>0.10359327572545879</v>
      </c>
      <c r="AH46" s="66">
        <f>'2025'!P88</f>
        <v>2.2570066579639227E-3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8.4432698896595507E-2</v>
      </c>
      <c r="D47" s="66">
        <f>'2020'!P119</f>
        <v>1.4937206508557511E-4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5.5398818673258465E-2</v>
      </c>
      <c r="AG47" s="48">
        <f>'2025'!O119</f>
        <v>0.10660872255036589</v>
      </c>
      <c r="AH47" s="66">
        <f>'2025'!P119</f>
        <v>2.3387528903456127E-6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8.8544538920790283E-2</v>
      </c>
      <c r="D48" s="66">
        <f>'2020'!P149</f>
        <v>4.8588053212978867E-5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5.6058063677282943E-2</v>
      </c>
      <c r="AG48" s="48">
        <f>'2025'!O149</f>
        <v>2.1056717275462364E-2</v>
      </c>
      <c r="AH48" s="66">
        <f>'2025'!P149</f>
        <v>3.563594714433003E-6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9.3241282741207271E-2</v>
      </c>
      <c r="D49" s="66">
        <f>'2020'!P180</f>
        <v>7.0484085006768509E-5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5.6738800165729075E-2</v>
      </c>
      <c r="AG49" s="48">
        <f>'2025'!O180</f>
        <v>2.7026374735282254E-2</v>
      </c>
      <c r="AH49" s="66">
        <f>'2025'!P180</f>
        <v>1.2479731891007618E-5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9.6743362279864992E-2</v>
      </c>
      <c r="D50" s="66">
        <f>'2020'!P210</f>
        <v>7.3400233437250333E-5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5.7397109985548922E-2</v>
      </c>
      <c r="AG50" s="48">
        <f>'2025'!O210</f>
        <v>3.2478803154241856E-2</v>
      </c>
      <c r="AH50" s="66">
        <f>'2025'!P210</f>
        <v>1.712170248802706E-5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1.7165139507729354E-2</v>
      </c>
      <c r="C51" s="48">
        <f>'2020'!O241</f>
        <v>9.9470394866401343E-2</v>
      </c>
      <c r="D51" s="66">
        <f>'2020'!P241</f>
        <v>1.4006407438116894E-4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5.807688080264739E-2</v>
      </c>
      <c r="AG51" s="48">
        <f>'2025'!O241</f>
        <v>3.7703676411704856E-2</v>
      </c>
      <c r="AH51" s="66">
        <f>'2025'!P241</f>
        <v>2.8463673035811709E-5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1.7873924154230392E-2</v>
      </c>
      <c r="C52" s="48">
        <f>'2020'!O272</f>
        <v>0.10176961962900535</v>
      </c>
      <c r="D52" s="66">
        <f>'2020'!P272</f>
        <v>8.6150858163299945E-4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5.8756161393831441E-2</v>
      </c>
      <c r="AG52" s="48">
        <f>'2025'!O272</f>
        <v>4.2612948051627075E-2</v>
      </c>
      <c r="AH52" s="66">
        <f>'2025'!P272</f>
        <v>2.0421227929098804E-4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1.8559358093571898E-2</v>
      </c>
      <c r="C53" s="48">
        <f>'2020'!O302</f>
        <v>0.10308536549895937</v>
      </c>
      <c r="D53" s="66">
        <f>'2020'!P302</f>
        <v>1.3558646176670055E-3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5.9413063280507439E-2</v>
      </c>
      <c r="AG53" s="48">
        <f>'2025'!O302</f>
        <v>4.6804920351807541E-2</v>
      </c>
      <c r="AH53" s="66">
        <f>'2025'!P302</f>
        <v>3.7930186154278706E-4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1.9267137280491453E-2</v>
      </c>
      <c r="C54" s="48">
        <f>'2020'!O333</f>
        <v>0.10335795830549845</v>
      </c>
      <c r="D54" s="66">
        <f>'2020'!P333</f>
        <v>1.0841693579328165E-3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6.0091380265633765E-2</v>
      </c>
      <c r="AG54" s="48">
        <f>'2025'!O333</f>
        <v>5.0408867439705282E-2</v>
      </c>
      <c r="AH54" s="66">
        <f>'2025'!P333</f>
        <v>3.0664603074426682E-4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1.9951598884829336E-2</v>
      </c>
      <c r="C55" s="49">
        <f>'2020'!O363</f>
        <v>0.10439623212033562</v>
      </c>
      <c r="D55" s="67">
        <f>'2020'!P363</f>
        <v>5.5737188015740017E-4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6.0747350291977642E-2</v>
      </c>
      <c r="AG55" s="49">
        <f>'2025'!O363</f>
        <v>5.4061500286287298E-2</v>
      </c>
      <c r="AH55" s="67">
        <f>'2025'!P363</f>
        <v>1.3166950775458241E-4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2.0681164748842851E-2</v>
      </c>
      <c r="C56" s="48">
        <f>'2021'!O29</f>
        <v>0.10647576031915912</v>
      </c>
      <c r="D56" s="66">
        <f>'2021'!P29</f>
        <v>6.5148836383699176E-4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6.1424705037987581E-2</v>
      </c>
      <c r="AG56" s="48">
        <f>'2026'!O29</f>
        <v>5.8174624352465454E-2</v>
      </c>
      <c r="AH56" s="66">
        <f>'2026'!P29</f>
        <v>1.6734840107361729E-4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2.1387413766208341E-2</v>
      </c>
      <c r="C57" s="48">
        <f>'2021'!O60</f>
        <v>0.10859905618470489</v>
      </c>
      <c r="D57" s="66">
        <f>'2021'!P60</f>
        <v>1.5559306516470398E-3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6.2101571300465341E-2</v>
      </c>
      <c r="AG57" s="48">
        <f>'2026'!O60</f>
        <v>6.2245112972828934E-2</v>
      </c>
      <c r="AH57" s="66">
        <f>'2026'!P60</f>
        <v>4.5431908743612432E-4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2.202487832200084E-2</v>
      </c>
      <c r="C58" s="48">
        <f>'2021'!O88</f>
        <v>0.11050574425034351</v>
      </c>
      <c r="D58" s="66">
        <f>'2021'!P88</f>
        <v>7.5996421630290074E-4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6.2712514807262365E-2</v>
      </c>
      <c r="AG58" s="48">
        <f>'2026'!O88</f>
        <v>6.5834444005272927E-2</v>
      </c>
      <c r="AH58" s="66">
        <f>'2026'!P88</f>
        <v>2.0628211762461267E-4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2.2730158302157522E-2</v>
      </c>
      <c r="C59" s="48">
        <f>'2021'!O119</f>
        <v>0.11298355431644178</v>
      </c>
      <c r="D59" s="66">
        <f>'2021'!P119</f>
        <v>2.5331611295184608E-4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6.3388452348315139E-2</v>
      </c>
      <c r="AG59" s="48">
        <f>'2026'!O119</f>
        <v>6.9953094164399862E-2</v>
      </c>
      <c r="AH59" s="66">
        <f>'2026'!P119</f>
        <v>6.1104593472888091E-5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2.3412203035383605E-2</v>
      </c>
      <c r="C60" s="48">
        <f>'2021'!O149</f>
        <v>2.33799267845048E-2</v>
      </c>
      <c r="D60" s="66">
        <f>'2021'!P149</f>
        <v>7.8405924550693565E-5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6.4042121320688983E-2</v>
      </c>
      <c r="AG60" s="48">
        <f>'2026'!O149</f>
        <v>7.4651589247568775E-2</v>
      </c>
      <c r="AH60" s="66">
        <f>'2026'!P149</f>
        <v>2.0967199306002255E-5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2.411648252756815E-2</v>
      </c>
      <c r="C61" s="48">
        <f>'2021'!O180</f>
        <v>3.0013104707352644E-2</v>
      </c>
      <c r="D61" s="66">
        <f>'2021'!P180</f>
        <v>1.0199904145932076E-4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6.4717099998029881E-2</v>
      </c>
      <c r="AG61" s="48">
        <f>'2026'!O180</f>
        <v>7.9886484611808681E-2</v>
      </c>
      <c r="AH61" s="66">
        <f>'2026'!P180</f>
        <v>3.7400748857756168E-5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2.4797559733611751E-2</v>
      </c>
      <c r="C62" s="48">
        <f>'2021'!O210</f>
        <v>3.6071752640994409E-2</v>
      </c>
      <c r="D62" s="66">
        <f>'2021'!P210</f>
        <v>1.0362635862599588E-4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6.5369841696182096E-2</v>
      </c>
      <c r="AG62" s="48">
        <f>'2026'!O210</f>
        <v>8.4052907094049709E-2</v>
      </c>
      <c r="AH62" s="66">
        <f>'2026'!P210</f>
        <v>4.166352058408359E-5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2.550084015708487E-2</v>
      </c>
      <c r="C63" s="48">
        <f>'2021'!O241</f>
        <v>4.1877695513439138E-2</v>
      </c>
      <c r="D63" s="66">
        <f>'2021'!P241</f>
        <v>2.0407089507920603E-4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6.6043862870024839E-2</v>
      </c>
      <c r="AG63" s="48">
        <f>'2026'!O241</f>
        <v>8.7554528150320554E-2</v>
      </c>
      <c r="AH63" s="66">
        <f>'2026'!P241</f>
        <v>7.2858434344513087E-5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2.6203613400373027E-2</v>
      </c>
      <c r="C64" s="48">
        <f>'2021'!O272</f>
        <v>4.733300096102902E-2</v>
      </c>
      <c r="D64" s="66">
        <f>'2021'!P272</f>
        <v>1.2212240116957374E-3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6.6717397964386027E-2</v>
      </c>
      <c r="AG64" s="48">
        <f>'2026'!O272</f>
        <v>9.0639271475988048E-2</v>
      </c>
      <c r="AH64" s="66">
        <f>'2026'!P272</f>
        <v>4.8381593193123684E-4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2.6883233980458665E-2</v>
      </c>
      <c r="C65" s="48">
        <f>'2021'!O302</f>
        <v>5.1991380357142576E-2</v>
      </c>
      <c r="D65" s="66">
        <f>'2021'!P302</f>
        <v>1.8602044315337905E-3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6.7368743637986284E-2</v>
      </c>
      <c r="AG65" s="48">
        <f>'2026'!O302</f>
        <v>9.276782561781402E-2</v>
      </c>
      <c r="AH65" s="66">
        <f>'2026'!P302</f>
        <v>8.2631980326686335E-4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2.7585010291752643E-2</v>
      </c>
      <c r="C66" s="48">
        <f>'2021'!O333</f>
        <v>5.5996515107211445E-2</v>
      </c>
      <c r="D66" s="66">
        <f>'2021'!P333</f>
        <v>1.4841756896473469E-3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6.8041323276670673E-2</v>
      </c>
      <c r="AG66" s="48">
        <f>'2026'!O333</f>
        <v>9.3927575946799138E-2</v>
      </c>
      <c r="AH66" s="66">
        <f>'2026'!P333</f>
        <v>6.641722193713892E-4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2.8263666783483021E-2</v>
      </c>
      <c r="C67" s="49">
        <f>'2021'!O363</f>
        <v>6.0055572962730785E-2</v>
      </c>
      <c r="D67" s="67">
        <f>'2021'!P363</f>
        <v>7.9046998670029159E-4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6.8691744971807855E-2</v>
      </c>
      <c r="AG67" s="49">
        <f>'2026'!O363</f>
        <v>9.5697817399712656E-2</v>
      </c>
      <c r="AH67" s="67">
        <f>'2026'!P363</f>
        <v>3.1262440995493145E-4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2.8964447576999119E-2</v>
      </c>
      <c r="C68" s="48">
        <f>'2022'!O29</f>
        <v>6.4626159337068445E-2</v>
      </c>
      <c r="D68" s="66">
        <f>'2022'!P29</f>
        <v>9.0977369039954624E-4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6.9363370510194811E-2</v>
      </c>
      <c r="AG68" s="48">
        <f>'2027'!O29</f>
        <v>9.8347474446948704E-2</v>
      </c>
      <c r="AH68" s="66">
        <f>'2027'!P29</f>
        <v>3.8029491141410845E-4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2.9664722992972181E-2</v>
      </c>
      <c r="C69" s="48">
        <f>'2022'!O60</f>
        <v>6.9149335661375322E-2</v>
      </c>
      <c r="D69" s="66">
        <f>'2022'!P60</f>
        <v>2.1168190983691594E-3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7.0034511696745128E-2</v>
      </c>
      <c r="AG69" s="48">
        <f>'2027'!O60</f>
        <v>0.10107630656617383</v>
      </c>
      <c r="AH69" s="66">
        <f>'2027'!P60</f>
        <v>9.6783525039956784E-4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3.029679574068489E-2</v>
      </c>
      <c r="C70" s="48">
        <f>'2022'!O88</f>
        <v>7.2833139217547527E-2</v>
      </c>
      <c r="D70" s="66">
        <f>'2022'!P88</f>
        <v>1.0526475657250515E-3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7.0640287716022598E-2</v>
      </c>
      <c r="AG70" s="48">
        <f>'2027'!O88</f>
        <v>0.10350937392152494</v>
      </c>
      <c r="AH70" s="66">
        <f>'2027'!P88</f>
        <v>4.5510185795188664E-4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3.0996110315767766E-2</v>
      </c>
      <c r="C71" s="48">
        <f>'2022'!O119</f>
        <v>7.6747307841054227E-2</v>
      </c>
      <c r="D71" s="66">
        <f>'2022'!P119</f>
        <v>3.6322006328532732E-4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7.1310508036467435E-2</v>
      </c>
      <c r="AG71" s="48">
        <f>'2027'!O119</f>
        <v>0.10652727211332107</v>
      </c>
      <c r="AH71" s="66">
        <f>'2027'!P119</f>
        <v>1.4417733385501519E-4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3.1672386172481581E-2</v>
      </c>
      <c r="C72" s="48">
        <f>'2022'!O149</f>
        <v>8.1325341380820232E-2</v>
      </c>
      <c r="D72" s="66">
        <f>'2022'!P149</f>
        <v>1.1184329895994289E-4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7.1958648140428627E-2</v>
      </c>
      <c r="AG72" s="48">
        <f>'2027'!O149</f>
        <v>2.1056717275462364E-2</v>
      </c>
      <c r="AH72" s="66">
        <f>'2027'!P149</f>
        <v>4.7097868535294161E-5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3.2370708721928154E-2</v>
      </c>
      <c r="C73" s="48">
        <f>'2022'!O180</f>
        <v>8.6468742541932611E-2</v>
      </c>
      <c r="D73" s="66">
        <f>'2022'!P180</f>
        <v>1.3804472458882187E-4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7.26279177074306E-2</v>
      </c>
      <c r="AG73" s="48">
        <f>'2027'!O180</f>
        <v>2.7026374735282254E-2</v>
      </c>
      <c r="AH73" s="66">
        <f>'2027'!P180</f>
        <v>6.8909086419793766E-5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3.3046025235005994E-2</v>
      </c>
      <c r="C74" s="48">
        <f>'2022'!O210</f>
        <v>9.0475028717326669E-2</v>
      </c>
      <c r="D74" s="66">
        <f>'2022'!P210</f>
        <v>1.4426286801289025E-4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7.3275138380248794E-2</v>
      </c>
      <c r="AG74" s="48">
        <f>'2027'!O210</f>
        <v>3.2478803154241856E-2</v>
      </c>
      <c r="AH74" s="66">
        <f>'2027'!P210</f>
        <v>7.1889645772829161E-5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3.3743357166072463E-2</v>
      </c>
      <c r="C75" s="48">
        <f>'2022'!O241</f>
        <v>9.376206659370255E-2</v>
      </c>
      <c r="D75" s="66">
        <f>'2022'!P241</f>
        <v>3.090093527157441E-4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7.3943458542516716E-2</v>
      </c>
      <c r="AG75" s="48">
        <f>'2027'!O241</f>
        <v>3.7703676411704856E-2</v>
      </c>
      <c r="AH75" s="66">
        <f>'2027'!P241</f>
        <v>1.3686525504255016E-4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3.444018620678968E-2</v>
      </c>
      <c r="C76" s="48">
        <f>'2022'!O272</f>
        <v>9.6619615613620577E-2</v>
      </c>
      <c r="D76" s="66">
        <f>'2022'!P272</f>
        <v>1.7211109648258395E-3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7.4611296736664778E-2</v>
      </c>
      <c r="AG76" s="48">
        <f>'2027'!O272</f>
        <v>4.2612948051627075E-2</v>
      </c>
      <c r="AH76" s="66">
        <f>'2027'!P272</f>
        <v>8.4353136199397506E-4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3.5114058414355553E-2</v>
      </c>
      <c r="C77" s="48">
        <f>'2022'!O302</f>
        <v>9.84912283573353E-2</v>
      </c>
      <c r="D77" s="66">
        <f>'2022'!P302</f>
        <v>2.5143889971479881E-3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7.5257133192797698E-2</v>
      </c>
      <c r="AG77" s="48">
        <f>'2027'!O302</f>
        <v>4.6804920351807541E-2</v>
      </c>
      <c r="AH77" s="66">
        <f>'2027'!P302</f>
        <v>1.3306596171336492E-3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3.5809898955337149E-2</v>
      </c>
      <c r="C78" s="48">
        <f>'2022'!O333</f>
        <v>9.9346621893708451E-2</v>
      </c>
      <c r="D78" s="66">
        <f>'2022'!P333</f>
        <v>1.9698044657664154E-3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7.5924024012712255E-2</v>
      </c>
      <c r="AG78" s="48">
        <f>'2027'!O333</f>
        <v>5.0408867439705282E-2</v>
      </c>
      <c r="AH78" s="66">
        <f>'2027'!P333</f>
        <v>1.0641785510859198E-3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3.6482815229008092E-2</v>
      </c>
      <c r="C79" s="49">
        <f>'2022'!O363</f>
        <v>0.10088246380209748</v>
      </c>
      <c r="D79" s="67">
        <f>'2022'!P363</f>
        <v>1.1852383378671636E-3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7.6568944305584363E-2</v>
      </c>
      <c r="AG79" s="49">
        <f>'2027'!O363</f>
        <v>5.4061500286287298E-2</v>
      </c>
      <c r="AH79" s="67">
        <f>'2027'!P363</f>
        <v>5.4572251649782303E-4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J6:K6"/>
    <mergeCell ref="P6:Q6"/>
    <mergeCell ref="V6:W6"/>
    <mergeCell ref="AB6:AC6"/>
    <mergeCell ref="AE3:AJ3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275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YEAR(E6)</f>
        <v>2018</v>
      </c>
      <c r="K1" s="1274"/>
      <c r="L1" s="113" t="str">
        <f>"Calcul pertes et enveloppes en "&amp;TEXT(An,0)</f>
        <v>Calcul pertes et enveloppes en 2018</v>
      </c>
      <c r="M1" s="243"/>
      <c r="N1" s="243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28" t="s">
        <v>267</v>
      </c>
    </row>
    <row r="2" spans="1:40" s="6" customFormat="1" ht="16.5" thickBot="1" x14ac:dyDescent="0.3"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8">
        <v>44926</v>
      </c>
      <c r="F3" s="1279"/>
      <c r="G3" s="614">
        <f>YEAR(Tmaj)</f>
        <v>2022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thickBot="1" x14ac:dyDescent="0.3">
      <c r="D4" s="105" t="s">
        <v>133</v>
      </c>
      <c r="E4" s="1280" t="s">
        <v>334</v>
      </c>
      <c r="F4" s="1281"/>
      <c r="G4" s="1281"/>
      <c r="H4" s="1281"/>
      <c r="I4" s="1282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2">
        <f>AL12-AJ12</f>
        <v>0</v>
      </c>
      <c r="AK4" s="833">
        <f>AM12-AK12</f>
        <v>0</v>
      </c>
      <c r="AL4" s="832"/>
      <c r="AM4" s="833"/>
      <c r="AN4" s="831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8">
        <v>43313</v>
      </c>
      <c r="F5" s="1279"/>
      <c r="G5" s="559"/>
      <c r="H5" s="559"/>
      <c r="I5" s="559"/>
      <c r="J5" s="19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1" t="s">
        <v>265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8">
        <v>43354</v>
      </c>
      <c r="F6" s="1279"/>
      <c r="G6" s="575"/>
      <c r="H6" s="556"/>
      <c r="I6" s="556"/>
      <c r="J6" s="35"/>
      <c r="K6" s="193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1379.7850000000001</v>
      </c>
      <c r="AK6" s="515">
        <f>SUMIF(AK15:AK380,"FAUX",Wh)</f>
        <v>1379.7850000000001</v>
      </c>
      <c r="AL6" s="515">
        <f>SUMIF(AJ15:AJ380,"FAUX",Wh_s)</f>
        <v>1379.7850000000001</v>
      </c>
      <c r="AM6" s="515">
        <f>SUMIF(AK15:AK380,"FAUX",Wh_s)</f>
        <v>1379.7850000000001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497"/>
      <c r="P7" s="248"/>
      <c r="Q7" s="248"/>
      <c r="R7" s="516"/>
      <c r="S7" s="516"/>
      <c r="T7" s="516"/>
      <c r="U7" s="248"/>
      <c r="V7" s="427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4"/>
      <c r="X8" s="1271" t="s">
        <v>102</v>
      </c>
      <c r="Y8" s="1272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1382.8997507785953</v>
      </c>
      <c r="AK8" s="515">
        <f>SUMIF(AK15:AK380,"FAUX",Wh_sa)</f>
        <v>1407.3749092766579</v>
      </c>
      <c r="AL8" s="515">
        <f>SUMIF(AJ15:AJ380,"FAUX",Wh_pvt_s)</f>
        <v>1382.8997507785953</v>
      </c>
      <c r="AM8" s="515">
        <f>SUMIF(AK15:AK380,"FAUX",Wh_sa_s)</f>
        <v>1407.3749092766579</v>
      </c>
      <c r="AN8" s="831" t="s">
        <v>258</v>
      </c>
    </row>
    <row r="9" spans="1:40" s="19" customFormat="1" ht="15" customHeight="1" x14ac:dyDescent="0.25">
      <c r="A9" s="183"/>
      <c r="D9" s="73">
        <f>SUM(D$15:D$380)</f>
        <v>1382.8997507785953</v>
      </c>
      <c r="E9" s="73">
        <f>SUM(E$15:E$380)</f>
        <v>1407.3749092766579</v>
      </c>
      <c r="F9" s="73">
        <f>SUM(F$15:F$380)</f>
        <v>1407.6723389112456</v>
      </c>
      <c r="H9" s="1275">
        <f>+SUM(Wh)</f>
        <v>1379.7850000000001</v>
      </c>
      <c r="I9" s="1276"/>
      <c r="J9" s="1277"/>
      <c r="K9" s="191"/>
      <c r="L9" s="114"/>
      <c r="M9" s="114"/>
      <c r="N9" s="114"/>
      <c r="O9" s="325">
        <f>MAX(T0,Tnet_2018)</f>
        <v>43313</v>
      </c>
      <c r="P9" s="244" t="s">
        <v>112</v>
      </c>
      <c r="Q9" s="245"/>
      <c r="R9" s="245"/>
      <c r="S9" s="245"/>
      <c r="T9" s="245"/>
      <c r="U9" s="245"/>
      <c r="V9" s="461"/>
      <c r="W9" s="520"/>
      <c r="X9" s="1269">
        <f>+SUM(Wh_s)</f>
        <v>1379.7850000000001</v>
      </c>
      <c r="Y9" s="1270"/>
      <c r="Z9" s="515">
        <f>SUM(Z$15:Z$380)</f>
        <v>1382.8997507785953</v>
      </c>
      <c r="AA9" s="515">
        <f>SUM(AA$15:AA$380)</f>
        <v>1407.3749092766579</v>
      </c>
      <c r="AB9" s="515">
        <f>F9</f>
        <v>1407.6723389112456</v>
      </c>
      <c r="AC9" s="325">
        <f>IF(An_Tnet,Tnet,T0)</f>
        <v>43313</v>
      </c>
      <c r="AD9" s="315" t="s">
        <v>103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0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0.40000000000000013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IF(OR(Inflex,GainD),Salim_i*(1-EXP((T0-Tnet)/Tau_ij)),IF(Acti_net,Salim_i*(1-EXP((T0-Tnet)/Tau_ij)),0))</f>
        <v>0</v>
      </c>
      <c r="AD10" s="427"/>
      <c r="AE10" s="427"/>
      <c r="AF10" s="260"/>
      <c r="AG10" s="261"/>
      <c r="AH10" s="262"/>
      <c r="AI10" s="427"/>
      <c r="AJ10" s="515">
        <f>SUMIF(AJ15:AJ380,"FAUX",Wh_sa)</f>
        <v>1407.3749092766579</v>
      </c>
      <c r="AK10" s="515">
        <f>SUMIF(AK15:AK380,"FAUX",Wh_hp)</f>
        <v>1407.6723389112456</v>
      </c>
      <c r="AL10" s="515">
        <f>SUMIF(AJ15:AJ380,"FAUX",Wh_sa_s)</f>
        <v>1407.3749092766579</v>
      </c>
      <c r="AM10" s="515">
        <f>SUMIF(AK15:AK380,"FAUX",Wh_hp)</f>
        <v>1407.6723389112456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218">
        <f>D$9-Prod_an</f>
        <v>3.1147507785951802</v>
      </c>
      <c r="E11" s="219">
        <f>(E$9-D$9)*Prod_an/D$9</f>
        <v>24.420032290291541</v>
      </c>
      <c r="F11" s="220">
        <f>(F$9-E$9)*Prod_an/E$9</f>
        <v>0.29159888076333462</v>
      </c>
      <c r="G11" s="185" t="s">
        <v>6</v>
      </c>
      <c r="K11" s="194"/>
      <c r="L11" s="182">
        <f>Tvie_2018</f>
        <v>43313</v>
      </c>
      <c r="M11" s="843"/>
      <c r="N11" s="843"/>
      <c r="O11" s="318">
        <f>Salim_2018</f>
        <v>0.17</v>
      </c>
      <c r="P11" s="256">
        <f>Ttai_2018</f>
        <v>43101</v>
      </c>
      <c r="Q11" s="272">
        <f>Dens_2018</f>
        <v>0.7</v>
      </c>
      <c r="R11" s="523"/>
      <c r="S11" s="247"/>
      <c r="T11" s="524"/>
      <c r="U11" s="266">
        <f>Htf_2018</f>
        <v>-1.2007099697463861</v>
      </c>
      <c r="V11" s="427"/>
      <c r="W11" s="518"/>
      <c r="X11" s="525" t="s">
        <v>43</v>
      </c>
      <c r="Y11" s="50">
        <f>Z$9-Prod_an_s</f>
        <v>3.1147507785951802</v>
      </c>
      <c r="Z11" s="51">
        <f>(AA$9-Z$9)*Prod_an_s/Z$9</f>
        <v>24.420032290291541</v>
      </c>
      <c r="AA11" s="186">
        <f>(AB$9-AA$9)*Prod_an_s/AA$9</f>
        <v>0.29159888076333462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2">
        <f>IF($AJ7=0,0,($AJ9-$AJ7)*$AJ5/$AJ7)</f>
        <v>0</v>
      </c>
      <c r="AK11" s="833">
        <f>IF($AK7=0,0,($AK9-$AK7)*$AK5/$AK7)</f>
        <v>0</v>
      </c>
      <c r="AL11" s="832">
        <f>IF($AL7=0,0,($AL9-$AL7)*$AL5/$AL7)</f>
        <v>0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2.9672487263547875E-3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912.5</v>
      </c>
      <c r="P12" s="528">
        <f>INDEX(Croivg,MIN(MAX(Ttai-$A$15,0)+1,366))</f>
        <v>2.3909964587625958E-6</v>
      </c>
      <c r="Q12" s="296">
        <f>D_i</f>
        <v>0.7</v>
      </c>
      <c r="R12" s="278"/>
      <c r="S12" s="279"/>
      <c r="T12" s="529"/>
      <c r="U12" s="297">
        <f>H_i</f>
        <v>-1.6007099697463862</v>
      </c>
      <c r="V12" s="517"/>
      <c r="W12" s="504"/>
      <c r="X12" s="505"/>
      <c r="Y12" s="504"/>
      <c r="Z12" s="427"/>
      <c r="AA12" s="427"/>
      <c r="AB12" s="504"/>
      <c r="AC12" s="318" t="b">
        <f>NOT(An_Tnet)</f>
        <v>0</v>
      </c>
      <c r="AD12" s="427"/>
      <c r="AE12" s="296">
        <f>D_i</f>
        <v>0.7</v>
      </c>
      <c r="AF12" s="203"/>
      <c r="AG12" s="203"/>
      <c r="AH12" s="203"/>
      <c r="AI12" s="297">
        <f>H_i</f>
        <v>-1.6007099697463862</v>
      </c>
      <c r="AJ12" s="832">
        <f>IF($AJ8=0,0,($AJ10-$AJ8)*$AJ6/$AJ8)</f>
        <v>24.420032290291541</v>
      </c>
      <c r="AK12" s="833">
        <f>IF($AK8=0,0,($AK10-$AK8)*$AK6/$AK8)</f>
        <v>0.29159888076333462</v>
      </c>
      <c r="AL12" s="832">
        <f>IF($AL8=0,0,($AL10-$AL8)*$AL6/$AL8)</f>
        <v>24.420032290291541</v>
      </c>
      <c r="AM12" s="833">
        <f>IF($AM8=0,0,($AM10-$AM8)*$AM6/$AM8)</f>
        <v>0.29159888076333462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24.420032290291541</v>
      </c>
      <c r="AK13" s="73">
        <f>+AK11+AK12</f>
        <v>0.29159888076333462</v>
      </c>
      <c r="AL13" s="73">
        <f>+AL11+AL12</f>
        <v>24.420032290291541</v>
      </c>
      <c r="AM13" s="73">
        <f>+AM11+AM12</f>
        <v>0.29159888076333462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208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9"/>
      <c r="C15" s="853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5"/>
      <c r="N15" s="855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3.315310925116133E-10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0.3992909866521972</v>
      </c>
      <c r="S15" s="809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-1.6007090133478028</v>
      </c>
      <c r="V15" s="382">
        <f t="shared" ref="V15:V78" si="5">MaxiM*(1-Ppv)*(1-Pvg)*(1-Psa)</f>
        <v>19.837072790642353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3.315310925116133E-10</v>
      </c>
      <c r="AE15" s="303">
        <f t="shared" ref="AE15:AE78" si="12">Dd+PousD*Croivg</f>
        <v>0.7</v>
      </c>
      <c r="AF15" s="304">
        <f t="shared" ref="AF15:AF78" si="13">(Hp_vg_s-AG15)/(INDEX(Echel_vg,AH15+1)-AG15)</f>
        <v>0.3992909866521972</v>
      </c>
      <c r="AG15" s="809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-1.6007090133478028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6">
        <f t="shared" si="2"/>
        <v>0</v>
      </c>
      <c r="M16" s="855"/>
      <c r="N16" s="855"/>
      <c r="O16" s="324">
        <f t="shared" si="3"/>
        <v>0</v>
      </c>
      <c r="P16" s="169">
        <f>(INDEX(Models!$BJ16:$BT16,,T16)*(1-R16)+INDEX(Models!$BJ16:$BT16,,T16+1)*R16-ERP_i)*Q16*Ramure*Pc/MaxiM</f>
        <v>8.529591938245971E-9</v>
      </c>
      <c r="Q16" s="305">
        <f t="shared" ref="Q16:Q78" si="19">IF(OR(t&lt;Ttai,Notai),Dd+PousD*Croivg,Dens+PousD*(Croivg-Croi_tai))</f>
        <v>0.7</v>
      </c>
      <c r="R16" s="177">
        <f t="shared" si="4"/>
        <v>0.39931435834339268</v>
      </c>
      <c r="S16" s="810">
        <f t="shared" ref="S16:S79" si="20">INDEX(Echel_vg,T16)</f>
        <v>-2</v>
      </c>
      <c r="T16" s="176">
        <f t="shared" ref="T16:T78" si="21">MIN(MATCH(Hp_vg,Echel_vg),10)</f>
        <v>4</v>
      </c>
      <c r="U16" s="251">
        <f t="shared" ref="U16:U78" si="22">IF(OR(t&lt;Ttai,Notai),Hdd+PousH*Croivg,Hdtf+PousH*(Croivg-Croi_tai))</f>
        <v>-1.6006856416566073</v>
      </c>
      <c r="V16" s="383">
        <f t="shared" si="5"/>
        <v>19.932689484511382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5">
        <f t="shared" si="11"/>
        <v>0</v>
      </c>
      <c r="AD16" s="169">
        <f>(INDEX(Models!$BJ16:$BT16,,AH16)*(1-AF16)+INDEX(Models!$BJ16:$BT16,,AH16+1)*AF16-ERP_i)*AE16*Ramure*Pc/MaxiM</f>
        <v>8.529591938245971E-9</v>
      </c>
      <c r="AE16" s="305">
        <f t="shared" si="12"/>
        <v>0.7</v>
      </c>
      <c r="AF16" s="177">
        <f t="shared" si="13"/>
        <v>0.39931435834339268</v>
      </c>
      <c r="AG16" s="810">
        <f t="shared" ref="AG16:AG78" si="23">INDEX(Echel_vg,AH16)</f>
        <v>-2</v>
      </c>
      <c r="AH16" s="176">
        <f t="shared" si="14"/>
        <v>4</v>
      </c>
      <c r="AI16" s="225">
        <f t="shared" si="15"/>
        <v>-1.6006856416566073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6">
        <f t="shared" si="2"/>
        <v>0</v>
      </c>
      <c r="M17" s="855"/>
      <c r="N17" s="855"/>
      <c r="O17" s="324">
        <f t="shared" si="3"/>
        <v>0</v>
      </c>
      <c r="P17" s="169">
        <f>(INDEX(Models!$BJ17:$BT17,,T17)*(1-R17)+INDEX(Models!$BJ17:$BT17,,T17+1)*R17-ERP_i)*Q17*Ramure*Pc/MaxiM</f>
        <v>1.7282623120454999E-8</v>
      </c>
      <c r="Q17" s="305">
        <f t="shared" si="19"/>
        <v>0.7</v>
      </c>
      <c r="R17" s="177">
        <f t="shared" si="4"/>
        <v>0.39933870761978429</v>
      </c>
      <c r="S17" s="810">
        <f t="shared" si="20"/>
        <v>-2</v>
      </c>
      <c r="T17" s="176">
        <f t="shared" si="21"/>
        <v>4</v>
      </c>
      <c r="U17" s="251">
        <f t="shared" si="22"/>
        <v>-1.6006612923802157</v>
      </c>
      <c r="V17" s="383">
        <f t="shared" si="5"/>
        <v>20.036562323986242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5">
        <f t="shared" si="11"/>
        <v>0</v>
      </c>
      <c r="AD17" s="169">
        <f>(INDEX(Models!$BJ17:$BT17,,AH17)*(1-AF17)+INDEX(Models!$BJ17:$BT17,,AH17+1)*AF17-ERP_i)*AE17*Ramure*Pc/MaxiM</f>
        <v>1.7282623120454999E-8</v>
      </c>
      <c r="AE17" s="305">
        <f t="shared" si="12"/>
        <v>0.7</v>
      </c>
      <c r="AF17" s="177">
        <f t="shared" si="13"/>
        <v>0.39933870761978429</v>
      </c>
      <c r="AG17" s="810">
        <f t="shared" si="23"/>
        <v>-2</v>
      </c>
      <c r="AH17" s="176">
        <f t="shared" si="14"/>
        <v>4</v>
      </c>
      <c r="AI17" s="225">
        <f t="shared" si="15"/>
        <v>-1.6006612923802157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6">
        <f t="shared" si="2"/>
        <v>0</v>
      </c>
      <c r="M18" s="855"/>
      <c r="N18" s="855"/>
      <c r="O18" s="324">
        <f t="shared" si="3"/>
        <v>0</v>
      </c>
      <c r="P18" s="169">
        <f>(INDEX(Models!$BJ18:$BT18,,T18)*(1-R18)+INDEX(Models!$BJ18:$BT18,,T18+1)*R18-ERP_i)*Q18*Ramure*Pc/MaxiM</f>
        <v>2.6651319554998629E-8</v>
      </c>
      <c r="Q18" s="305">
        <f t="shared" si="19"/>
        <v>0.7</v>
      </c>
      <c r="R18" s="177">
        <f t="shared" si="4"/>
        <v>0.39936407524482043</v>
      </c>
      <c r="S18" s="810">
        <f t="shared" si="20"/>
        <v>-2</v>
      </c>
      <c r="T18" s="176">
        <f t="shared" si="21"/>
        <v>4</v>
      </c>
      <c r="U18" s="251">
        <f t="shared" si="22"/>
        <v>-1.6006359247551796</v>
      </c>
      <c r="V18" s="383">
        <f t="shared" si="5"/>
        <v>20.149269304010708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5">
        <f t="shared" si="11"/>
        <v>0</v>
      </c>
      <c r="AD18" s="169">
        <f>(INDEX(Models!$BJ18:$BT18,,AH18)*(1-AF18)+INDEX(Models!$BJ18:$BT18,,AH18+1)*AF18-ERP_i)*AE18*Ramure*Pc/MaxiM</f>
        <v>2.6651319554998629E-8</v>
      </c>
      <c r="AE18" s="305">
        <f t="shared" si="12"/>
        <v>0.7</v>
      </c>
      <c r="AF18" s="177">
        <f t="shared" si="13"/>
        <v>0.39936407524482043</v>
      </c>
      <c r="AG18" s="810">
        <f t="shared" si="23"/>
        <v>-2</v>
      </c>
      <c r="AH18" s="176">
        <f t="shared" si="14"/>
        <v>4</v>
      </c>
      <c r="AI18" s="225">
        <f t="shared" si="15"/>
        <v>-1.6006359247551796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6">
        <f t="shared" si="2"/>
        <v>0</v>
      </c>
      <c r="M19" s="855"/>
      <c r="N19" s="855"/>
      <c r="O19" s="324">
        <f t="shared" si="3"/>
        <v>0</v>
      </c>
      <c r="P19" s="169">
        <f>(INDEX(Models!$BJ19:$BT19,,T19)*(1-R19)+INDEX(Models!$BJ19:$BT19,,T19+1)*R19-ERP_i)*Q19*Ramure*Pc/MaxiM</f>
        <v>3.6698011780875521E-8</v>
      </c>
      <c r="Q19" s="305">
        <f t="shared" si="19"/>
        <v>0.7</v>
      </c>
      <c r="R19" s="177">
        <f t="shared" si="4"/>
        <v>0.39939050367086981</v>
      </c>
      <c r="S19" s="810">
        <f t="shared" si="20"/>
        <v>-2</v>
      </c>
      <c r="T19" s="176">
        <f t="shared" si="21"/>
        <v>4</v>
      </c>
      <c r="U19" s="251">
        <f t="shared" si="22"/>
        <v>-1.6006094963291302</v>
      </c>
      <c r="V19" s="383">
        <f t="shared" si="5"/>
        <v>20.271388418173725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5">
        <f t="shared" si="11"/>
        <v>0</v>
      </c>
      <c r="AD19" s="169">
        <f>(INDEX(Models!$BJ19:$BT19,,AH19)*(1-AF19)+INDEX(Models!$BJ19:$BT19,,AH19+1)*AF19-ERP_i)*AE19*Ramure*Pc/MaxiM</f>
        <v>3.6698011780875521E-8</v>
      </c>
      <c r="AE19" s="305">
        <f t="shared" si="12"/>
        <v>0.7</v>
      </c>
      <c r="AF19" s="177">
        <f t="shared" si="13"/>
        <v>0.39939050367086981</v>
      </c>
      <c r="AG19" s="810">
        <f t="shared" si="23"/>
        <v>-2</v>
      </c>
      <c r="AH19" s="176">
        <f t="shared" si="14"/>
        <v>4</v>
      </c>
      <c r="AI19" s="225">
        <f t="shared" si="15"/>
        <v>-1.6006094963291302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6">
        <f t="shared" si="2"/>
        <v>0</v>
      </c>
      <c r="M20" s="855"/>
      <c r="N20" s="855"/>
      <c r="O20" s="324">
        <f t="shared" si="3"/>
        <v>0</v>
      </c>
      <c r="P20" s="169">
        <f>(INDEX(Models!$BJ20:$BT20,,T20)*(1-R20)+INDEX(Models!$BJ20:$BT20,,T20+1)*R20-ERP_i)*Q20*Ramure*Pc/MaxiM</f>
        <v>4.7486512160876812E-8</v>
      </c>
      <c r="Q20" s="305">
        <f t="shared" si="19"/>
        <v>0.7</v>
      </c>
      <c r="R20" s="177">
        <f t="shared" si="4"/>
        <v>0.39941803710827029</v>
      </c>
      <c r="S20" s="810">
        <f t="shared" si="20"/>
        <v>-2</v>
      </c>
      <c r="T20" s="176">
        <f t="shared" si="21"/>
        <v>4</v>
      </c>
      <c r="U20" s="251">
        <f t="shared" si="22"/>
        <v>-1.6005819628917297</v>
      </c>
      <c r="V20" s="383">
        <f t="shared" si="5"/>
        <v>20.4034976621294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5">
        <f t="shared" si="11"/>
        <v>0</v>
      </c>
      <c r="AD20" s="169">
        <f>(INDEX(Models!$BJ20:$BT20,,AH20)*(1-AF20)+INDEX(Models!$BJ20:$BT20,,AH20+1)*AF20-ERP_i)*AE20*Ramure*Pc/MaxiM</f>
        <v>4.7486512160876812E-8</v>
      </c>
      <c r="AE20" s="305">
        <f t="shared" si="12"/>
        <v>0.7</v>
      </c>
      <c r="AF20" s="177">
        <f t="shared" si="13"/>
        <v>0.39941803710827029</v>
      </c>
      <c r="AG20" s="810">
        <f t="shared" si="23"/>
        <v>-2</v>
      </c>
      <c r="AH20" s="176">
        <f t="shared" si="14"/>
        <v>4</v>
      </c>
      <c r="AI20" s="225">
        <f t="shared" si="15"/>
        <v>-1.6005819628917297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6">
        <f t="shared" si="2"/>
        <v>0</v>
      </c>
      <c r="M21" s="855"/>
      <c r="N21" s="855"/>
      <c r="O21" s="324">
        <f t="shared" si="3"/>
        <v>0</v>
      </c>
      <c r="P21" s="169">
        <f>(INDEX(Models!$BJ21:$BT21,,T21)*(1-R21)+INDEX(Models!$BJ21:$BT21,,T21+1)*R21-ERP_i)*Q21*Ramure*Pc/MaxiM</f>
        <v>5.9081938344161205E-8</v>
      </c>
      <c r="Q21" s="305">
        <f t="shared" si="19"/>
        <v>0.7</v>
      </c>
      <c r="R21" s="177">
        <f t="shared" si="4"/>
        <v>0.39944672159712091</v>
      </c>
      <c r="S21" s="810">
        <f t="shared" si="20"/>
        <v>-2</v>
      </c>
      <c r="T21" s="176">
        <f t="shared" si="21"/>
        <v>4</v>
      </c>
      <c r="U21" s="251">
        <f t="shared" si="22"/>
        <v>-1.6005532784028791</v>
      </c>
      <c r="V21" s="383">
        <f t="shared" si="5"/>
        <v>20.54617503145365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5">
        <f t="shared" si="11"/>
        <v>0</v>
      </c>
      <c r="AD21" s="169">
        <f>(INDEX(Models!$BJ21:$BT21,,AH21)*(1-AF21)+INDEX(Models!$BJ21:$BT21,,AH21+1)*AF21-ERP_i)*AE21*Ramure*Pc/MaxiM</f>
        <v>5.9081938344161205E-8</v>
      </c>
      <c r="AE21" s="305">
        <f t="shared" si="12"/>
        <v>0.7</v>
      </c>
      <c r="AF21" s="177">
        <f t="shared" si="13"/>
        <v>0.39944672159712091</v>
      </c>
      <c r="AG21" s="810">
        <f t="shared" si="23"/>
        <v>-2</v>
      </c>
      <c r="AH21" s="176">
        <f t="shared" si="14"/>
        <v>4</v>
      </c>
      <c r="AI21" s="225">
        <f t="shared" si="15"/>
        <v>-1.6005532784028791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6">
        <f t="shared" si="2"/>
        <v>0</v>
      </c>
      <c r="M22" s="855"/>
      <c r="N22" s="855"/>
      <c r="O22" s="324">
        <f t="shared" si="3"/>
        <v>0</v>
      </c>
      <c r="P22" s="169">
        <f>(INDEX(Models!$BJ22:$BT22,,T22)*(1-R22)+INDEX(Models!$BJ22:$BT22,,T22+1)*R22-ERP_i)*Q22*Ramure*Pc/MaxiM</f>
        <v>7.1550516201316764E-8</v>
      </c>
      <c r="Q22" s="305">
        <f t="shared" si="19"/>
        <v>0.7</v>
      </c>
      <c r="R22" s="177">
        <f t="shared" si="4"/>
        <v>0.39947660508191851</v>
      </c>
      <c r="S22" s="810">
        <f t="shared" si="20"/>
        <v>-2</v>
      </c>
      <c r="T22" s="176">
        <f t="shared" si="21"/>
        <v>4</v>
      </c>
      <c r="U22" s="251">
        <f t="shared" si="22"/>
        <v>-1.6005233949180815</v>
      </c>
      <c r="V22" s="383">
        <f t="shared" si="5"/>
        <v>20.699998518904316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5">
        <f t="shared" si="11"/>
        <v>0</v>
      </c>
      <c r="AD22" s="169">
        <f>(INDEX(Models!$BJ22:$BT22,,AH22)*(1-AF22)+INDEX(Models!$BJ22:$BT22,,AH22+1)*AF22-ERP_i)*AE22*Ramure*Pc/MaxiM</f>
        <v>7.1550516201316764E-8</v>
      </c>
      <c r="AE22" s="305">
        <f t="shared" si="12"/>
        <v>0.7</v>
      </c>
      <c r="AF22" s="177">
        <f t="shared" si="13"/>
        <v>0.39947660508191851</v>
      </c>
      <c r="AG22" s="810">
        <f t="shared" si="23"/>
        <v>-2</v>
      </c>
      <c r="AH22" s="176">
        <f t="shared" si="14"/>
        <v>4</v>
      </c>
      <c r="AI22" s="225">
        <f t="shared" si="15"/>
        <v>-1.6005233949180815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6">
        <f t="shared" si="2"/>
        <v>0</v>
      </c>
      <c r="M23" s="855"/>
      <c r="N23" s="855"/>
      <c r="O23" s="324">
        <f t="shared" si="3"/>
        <v>0</v>
      </c>
      <c r="P23" s="169">
        <f>(INDEX(Models!$BJ23:$BT23,,T23)*(1-R23)+INDEX(Models!$BJ23:$BT23,,T23+1)*R23-ERP_i)*Q23*Ramure*Pc/MaxiM</f>
        <v>8.4961478981515391E-8</v>
      </c>
      <c r="Q23" s="305">
        <f t="shared" si="19"/>
        <v>0.7</v>
      </c>
      <c r="R23" s="177">
        <f t="shared" si="4"/>
        <v>0.3995077374891467</v>
      </c>
      <c r="S23" s="810">
        <f t="shared" si="20"/>
        <v>-2</v>
      </c>
      <c r="T23" s="176">
        <f t="shared" si="21"/>
        <v>4</v>
      </c>
      <c r="U23" s="251">
        <f t="shared" si="22"/>
        <v>-1.6004922625108533</v>
      </c>
      <c r="V23" s="383">
        <f t="shared" si="5"/>
        <v>20.865026922719153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5">
        <f t="shared" si="11"/>
        <v>0</v>
      </c>
      <c r="AD23" s="169">
        <f>(INDEX(Models!$BJ23:$BT23,,AH23)*(1-AF23)+INDEX(Models!$BJ23:$BT23,,AH23+1)*AF23-ERP_i)*AE23*Ramure*Pc/MaxiM</f>
        <v>8.4961478981515391E-8</v>
      </c>
      <c r="AE23" s="305">
        <f t="shared" si="12"/>
        <v>0.7</v>
      </c>
      <c r="AF23" s="177">
        <f t="shared" si="13"/>
        <v>0.3995077374891467</v>
      </c>
      <c r="AG23" s="810">
        <f t="shared" si="23"/>
        <v>-2</v>
      </c>
      <c r="AH23" s="176">
        <f t="shared" si="14"/>
        <v>4</v>
      </c>
      <c r="AI23" s="225">
        <f t="shared" si="15"/>
        <v>-1.6004922625108533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6">
        <f t="shared" si="2"/>
        <v>0</v>
      </c>
      <c r="M24" s="855"/>
      <c r="N24" s="855"/>
      <c r="O24" s="324">
        <f t="shared" si="3"/>
        <v>0</v>
      </c>
      <c r="P24" s="169">
        <f>(INDEX(Models!$BJ24:$BT24,,T24)*(1-R24)+INDEX(Models!$BJ24:$BT24,,T24+1)*R24-ERP_i)*Q24*Ramure*Pc/MaxiM</f>
        <v>9.9488197559699808E-8</v>
      </c>
      <c r="Q24" s="305">
        <f t="shared" si="19"/>
        <v>0.7</v>
      </c>
      <c r="R24" s="177">
        <f t="shared" si="4"/>
        <v>0.39954017080792226</v>
      </c>
      <c r="S24" s="810">
        <f t="shared" si="20"/>
        <v>-2</v>
      </c>
      <c r="T24" s="176">
        <f t="shared" si="21"/>
        <v>4</v>
      </c>
      <c r="U24" s="251">
        <f t="shared" si="22"/>
        <v>-1.6004598291920777</v>
      </c>
      <c r="V24" s="383">
        <f t="shared" si="5"/>
        <v>21.040619200681284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5">
        <f t="shared" si="11"/>
        <v>0</v>
      </c>
      <c r="AD24" s="169">
        <f>(INDEX(Models!$BJ24:$BT24,,AH24)*(1-AF24)+INDEX(Models!$BJ24:$BT24,,AH24+1)*AF24-ERP_i)*AE24*Ramure*Pc/MaxiM</f>
        <v>9.9488197559699808E-8</v>
      </c>
      <c r="AE24" s="305">
        <f t="shared" si="12"/>
        <v>0.7</v>
      </c>
      <c r="AF24" s="177">
        <f t="shared" si="13"/>
        <v>0.39954017080792226</v>
      </c>
      <c r="AG24" s="810">
        <f t="shared" si="23"/>
        <v>-2</v>
      </c>
      <c r="AH24" s="176">
        <f t="shared" si="14"/>
        <v>4</v>
      </c>
      <c r="AI24" s="225">
        <f t="shared" si="15"/>
        <v>-1.6004598291920777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6">
        <f t="shared" si="2"/>
        <v>0</v>
      </c>
      <c r="M25" s="855"/>
      <c r="N25" s="855"/>
      <c r="O25" s="324">
        <f t="shared" si="3"/>
        <v>0</v>
      </c>
      <c r="P25" s="169">
        <f>(INDEX(Models!$BJ25:$BT25,,T25)*(1-R25)+INDEX(Models!$BJ25:$BT25,,T25+1)*R25-ERP_i)*Q25*Ramure*Pc/MaxiM</f>
        <v>1.1514356105794756E-7</v>
      </c>
      <c r="Q25" s="305">
        <f t="shared" si="19"/>
        <v>0.7</v>
      </c>
      <c r="R25" s="177">
        <f t="shared" si="4"/>
        <v>0.39957395917381522</v>
      </c>
      <c r="S25" s="810">
        <f t="shared" si="20"/>
        <v>-2</v>
      </c>
      <c r="T25" s="176">
        <f t="shared" si="21"/>
        <v>4</v>
      </c>
      <c r="U25" s="251">
        <f t="shared" si="22"/>
        <v>-1.6004260408261848</v>
      </c>
      <c r="V25" s="383">
        <f t="shared" si="5"/>
        <v>21.226303602898788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5">
        <f t="shared" si="11"/>
        <v>0</v>
      </c>
      <c r="AD25" s="169">
        <f>(INDEX(Models!$BJ25:$BT25,,AH25)*(1-AF25)+INDEX(Models!$BJ25:$BT25,,AH25+1)*AF25-ERP_i)*AE25*Ramure*Pc/MaxiM</f>
        <v>1.1514356105794756E-7</v>
      </c>
      <c r="AE25" s="305">
        <f t="shared" si="12"/>
        <v>0.7</v>
      </c>
      <c r="AF25" s="177">
        <f t="shared" si="13"/>
        <v>0.39957395917381522</v>
      </c>
      <c r="AG25" s="810">
        <f t="shared" si="23"/>
        <v>-2</v>
      </c>
      <c r="AH25" s="176">
        <f t="shared" si="14"/>
        <v>4</v>
      </c>
      <c r="AI25" s="225">
        <f t="shared" si="15"/>
        <v>-1.6004260408261848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6">
        <f t="shared" si="2"/>
        <v>0</v>
      </c>
      <c r="M26" s="855"/>
      <c r="N26" s="855"/>
      <c r="O26" s="324">
        <f t="shared" si="3"/>
        <v>0</v>
      </c>
      <c r="P26" s="169">
        <f>(INDEX(Models!$BJ26:$BT26,,T26)*(1-R26)+INDEX(Models!$BJ26:$BT26,,T26+1)*R26-ERP_i)*Q26*Ramure*Pc/MaxiM</f>
        <v>1.3201279649612952E-7</v>
      </c>
      <c r="Q26" s="305">
        <f t="shared" si="19"/>
        <v>0.7</v>
      </c>
      <c r="R26" s="177">
        <f t="shared" si="4"/>
        <v>0.39960915895595206</v>
      </c>
      <c r="S26" s="810">
        <f t="shared" si="20"/>
        <v>-2</v>
      </c>
      <c r="T26" s="176">
        <f t="shared" si="21"/>
        <v>4</v>
      </c>
      <c r="U26" s="251">
        <f t="shared" si="22"/>
        <v>-1.6003908410440479</v>
      </c>
      <c r="V26" s="383">
        <f t="shared" si="5"/>
        <v>21.421608377455204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5">
        <f t="shared" si="11"/>
        <v>0</v>
      </c>
      <c r="AD26" s="169">
        <f>(INDEX(Models!$BJ26:$BT26,,AH26)*(1-AF26)+INDEX(Models!$BJ26:$BT26,,AH26+1)*AF26-ERP_i)*AE26*Ramure*Pc/MaxiM</f>
        <v>1.3201279649612952E-7</v>
      </c>
      <c r="AE26" s="305">
        <f t="shared" si="12"/>
        <v>0.7</v>
      </c>
      <c r="AF26" s="177">
        <f t="shared" si="13"/>
        <v>0.39960915895595206</v>
      </c>
      <c r="AG26" s="810">
        <f t="shared" si="23"/>
        <v>-2</v>
      </c>
      <c r="AH26" s="176">
        <f t="shared" si="14"/>
        <v>4</v>
      </c>
      <c r="AI26" s="225">
        <f t="shared" si="15"/>
        <v>-1.6003908410440479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6">
        <f t="shared" si="2"/>
        <v>0</v>
      </c>
      <c r="M27" s="855"/>
      <c r="N27" s="855"/>
      <c r="O27" s="324">
        <f t="shared" si="3"/>
        <v>0</v>
      </c>
      <c r="P27" s="169">
        <f>(INDEX(Models!$BJ27:$BT27,,T27)*(1-R27)+INDEX(Models!$BJ27:$BT27,,T27+1)*R27-ERP_i)*Q27*Ramure*Pc/MaxiM</f>
        <v>1.5018510248303818E-7</v>
      </c>
      <c r="Q27" s="305">
        <f t="shared" si="19"/>
        <v>0.7</v>
      </c>
      <c r="R27" s="177">
        <f t="shared" si="4"/>
        <v>0.39964582884752731</v>
      </c>
      <c r="S27" s="810">
        <f t="shared" si="20"/>
        <v>-2</v>
      </c>
      <c r="T27" s="176">
        <f t="shared" si="21"/>
        <v>4</v>
      </c>
      <c r="U27" s="251">
        <f t="shared" si="22"/>
        <v>-1.6003541711524727</v>
      </c>
      <c r="V27" s="383">
        <f t="shared" si="5"/>
        <v>21.626061771818218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5">
        <f t="shared" si="11"/>
        <v>0</v>
      </c>
      <c r="AD27" s="169">
        <f>(INDEX(Models!$BJ27:$BT27,,AH27)*(1-AF27)+INDEX(Models!$BJ27:$BT27,,AH27+1)*AF27-ERP_i)*AE27*Ramure*Pc/MaxiM</f>
        <v>1.5018510248303818E-7</v>
      </c>
      <c r="AE27" s="305">
        <f t="shared" si="12"/>
        <v>0.7</v>
      </c>
      <c r="AF27" s="177">
        <f t="shared" si="13"/>
        <v>0.39964582884752731</v>
      </c>
      <c r="AG27" s="810">
        <f t="shared" si="23"/>
        <v>-2</v>
      </c>
      <c r="AH27" s="176">
        <f t="shared" si="14"/>
        <v>4</v>
      </c>
      <c r="AI27" s="225">
        <f t="shared" si="15"/>
        <v>-1.6003541711524727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6">
        <f t="shared" si="2"/>
        <v>0</v>
      </c>
      <c r="M28" s="855"/>
      <c r="N28" s="855"/>
      <c r="O28" s="324">
        <f t="shared" si="3"/>
        <v>0</v>
      </c>
      <c r="P28" s="169">
        <f>(INDEX(Models!$BJ28:$BT28,,T28)*(1-R28)+INDEX(Models!$BJ28:$BT28,,T28+1)*R28-ERP_i)*Q28*Ramure*Pc/MaxiM</f>
        <v>1.6975386983636536E-7</v>
      </c>
      <c r="Q28" s="305">
        <f t="shared" si="19"/>
        <v>0.7</v>
      </c>
      <c r="R28" s="177">
        <f t="shared" si="4"/>
        <v>0.39968402995983898</v>
      </c>
      <c r="S28" s="810">
        <f t="shared" si="20"/>
        <v>-2</v>
      </c>
      <c r="T28" s="176">
        <f t="shared" si="21"/>
        <v>4</v>
      </c>
      <c r="U28" s="251">
        <f t="shared" si="22"/>
        <v>-1.600315970040161</v>
      </c>
      <c r="V28" s="383">
        <f t="shared" si="5"/>
        <v>21.839192029954706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5">
        <f t="shared" si="11"/>
        <v>0</v>
      </c>
      <c r="AD28" s="169">
        <f>(INDEX(Models!$BJ28:$BT28,,AH28)*(1-AF28)+INDEX(Models!$BJ28:$BT28,,AH28+1)*AF28-ERP_i)*AE28*Ramure*Pc/MaxiM</f>
        <v>1.6975386983636536E-7</v>
      </c>
      <c r="AE28" s="305">
        <f t="shared" si="12"/>
        <v>0.7</v>
      </c>
      <c r="AF28" s="177">
        <f t="shared" si="13"/>
        <v>0.39968402995983898</v>
      </c>
      <c r="AG28" s="810">
        <f t="shared" si="23"/>
        <v>-2</v>
      </c>
      <c r="AH28" s="176">
        <f t="shared" si="14"/>
        <v>4</v>
      </c>
      <c r="AI28" s="225">
        <f t="shared" si="15"/>
        <v>-1.600315970040161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6">
        <f t="shared" si="2"/>
        <v>0</v>
      </c>
      <c r="M29" s="855"/>
      <c r="N29" s="855"/>
      <c r="O29" s="324">
        <f t="shared" si="3"/>
        <v>0</v>
      </c>
      <c r="P29" s="169">
        <f>(INDEX(Models!$BJ29:$BT29,,T29)*(1-R29)+INDEX(Models!$BJ29:$BT29,,T29+1)*R29-ERP_i)*Q29*Ramure*Pc/MaxiM</f>
        <v>1.9081692699179546E-7</v>
      </c>
      <c r="Q29" s="305">
        <f t="shared" si="19"/>
        <v>0.7</v>
      </c>
      <c r="R29" s="177">
        <f t="shared" si="4"/>
        <v>0.39972382591997668</v>
      </c>
      <c r="S29" s="810">
        <f t="shared" si="20"/>
        <v>-2</v>
      </c>
      <c r="T29" s="176">
        <f t="shared" si="21"/>
        <v>4</v>
      </c>
      <c r="U29" s="251">
        <f t="shared" si="22"/>
        <v>-1.6002761740800233</v>
      </c>
      <c r="V29" s="383">
        <f t="shared" si="5"/>
        <v>22.060527399982565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5">
        <f t="shared" si="11"/>
        <v>0</v>
      </c>
      <c r="AD29" s="169">
        <f>(INDEX(Models!$BJ29:$BT29,,AH29)*(1-AF29)+INDEX(Models!$BJ29:$BT29,,AH29+1)*AF29-ERP_i)*AE29*Ramure*Pc/MaxiM</f>
        <v>1.9081692699179546E-7</v>
      </c>
      <c r="AE29" s="305">
        <f t="shared" si="12"/>
        <v>0.7</v>
      </c>
      <c r="AF29" s="177">
        <f t="shared" si="13"/>
        <v>0.39972382591997668</v>
      </c>
      <c r="AG29" s="810">
        <f t="shared" si="23"/>
        <v>-2</v>
      </c>
      <c r="AH29" s="176">
        <f t="shared" si="14"/>
        <v>4</v>
      </c>
      <c r="AI29" s="225">
        <f t="shared" si="15"/>
        <v>-1.6002761740800233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6">
        <f t="shared" si="2"/>
        <v>0</v>
      </c>
      <c r="M30" s="855"/>
      <c r="N30" s="855"/>
      <c r="O30" s="324">
        <f t="shared" si="3"/>
        <v>0</v>
      </c>
      <c r="P30" s="169">
        <f>(INDEX(Models!$BJ30:$BT30,,T30)*(1-R30)+INDEX(Models!$BJ30:$BT30,,T30+1)*R30-ERP_i)*Q30*Ramure*Pc/MaxiM</f>
        <v>2.1439691422548418E-7</v>
      </c>
      <c r="Q30" s="305">
        <f t="shared" si="19"/>
        <v>0.7</v>
      </c>
      <c r="R30" s="177">
        <f t="shared" si="4"/>
        <v>0.3997652829722913</v>
      </c>
      <c r="S30" s="810">
        <f t="shared" si="20"/>
        <v>-2</v>
      </c>
      <c r="T30" s="176">
        <f t="shared" si="21"/>
        <v>4</v>
      </c>
      <c r="U30" s="251">
        <f t="shared" si="22"/>
        <v>-1.6002347170277087</v>
      </c>
      <c r="V30" s="383">
        <f t="shared" si="5"/>
        <v>22.289596106092752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5">
        <f t="shared" si="11"/>
        <v>0</v>
      </c>
      <c r="AD30" s="169">
        <f>(INDEX(Models!$BJ30:$BT30,,AH30)*(1-AF30)+INDEX(Models!$BJ30:$BT30,,AH30+1)*AF30-ERP_i)*AE30*Ramure*Pc/MaxiM</f>
        <v>2.1439691422548418E-7</v>
      </c>
      <c r="AE30" s="305">
        <f t="shared" si="12"/>
        <v>0.7</v>
      </c>
      <c r="AF30" s="177">
        <f t="shared" si="13"/>
        <v>0.3997652829722913</v>
      </c>
      <c r="AG30" s="810">
        <f t="shared" si="23"/>
        <v>-2</v>
      </c>
      <c r="AH30" s="176">
        <f t="shared" si="14"/>
        <v>4</v>
      </c>
      <c r="AI30" s="225">
        <f t="shared" si="15"/>
        <v>-1.6002347170277087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6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6">
        <f t="shared" si="2"/>
        <v>0</v>
      </c>
      <c r="M31" s="855"/>
      <c r="N31" s="855"/>
      <c r="O31" s="324">
        <f t="shared" si="3"/>
        <v>0</v>
      </c>
      <c r="P31" s="169">
        <f>(INDEX(Models!$BJ31:$BT31,,T31)*(1-R31)+INDEX(Models!$BJ31:$BT31,,T31+1)*R31-ERP_i)*Q31*Ramure*Pc/MaxiM</f>
        <v>2.4069589451287767E-7</v>
      </c>
      <c r="Q31" s="305">
        <f t="shared" si="19"/>
        <v>0.7</v>
      </c>
      <c r="R31" s="177">
        <f t="shared" si="4"/>
        <v>0.39980847008377474</v>
      </c>
      <c r="S31" s="810">
        <f t="shared" si="20"/>
        <v>-2</v>
      </c>
      <c r="T31" s="176">
        <f t="shared" si="21"/>
        <v>4</v>
      </c>
      <c r="U31" s="251">
        <f t="shared" si="22"/>
        <v>-1.6001915299162253</v>
      </c>
      <c r="V31" s="383">
        <f t="shared" si="5"/>
        <v>22.525926392520059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5">
        <f t="shared" si="11"/>
        <v>0</v>
      </c>
      <c r="AD31" s="169">
        <f>(INDEX(Models!$BJ31:$BT31,,AH31)*(1-AF31)+INDEX(Models!$BJ31:$BT31,,AH31+1)*AF31-ERP_i)*AE31*Ramure*Pc/MaxiM</f>
        <v>2.4069589451287767E-7</v>
      </c>
      <c r="AE31" s="305">
        <f t="shared" si="12"/>
        <v>0.7</v>
      </c>
      <c r="AF31" s="177">
        <f t="shared" si="13"/>
        <v>0.39980847008377474</v>
      </c>
      <c r="AG31" s="810">
        <f t="shared" si="23"/>
        <v>-2</v>
      </c>
      <c r="AH31" s="176">
        <f t="shared" si="14"/>
        <v>4</v>
      </c>
      <c r="AI31" s="225">
        <f t="shared" si="15"/>
        <v>-1.6001915299162253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6">
        <f t="shared" si="2"/>
        <v>0</v>
      </c>
      <c r="M32" s="855"/>
      <c r="N32" s="855"/>
      <c r="O32" s="324">
        <f t="shared" si="3"/>
        <v>0</v>
      </c>
      <c r="P32" s="169">
        <f>(INDEX(Models!$BJ32:$BT32,,T32)*(1-R32)+INDEX(Models!$BJ32:$BT32,,T32+1)*R32-ERP_i)*Q32*Ramure*Pc/MaxiM</f>
        <v>2.700275619943642E-7</v>
      </c>
      <c r="Q32" s="305">
        <f t="shared" si="19"/>
        <v>0.7</v>
      </c>
      <c r="R32" s="177">
        <f t="shared" si="4"/>
        <v>0.39985345905348813</v>
      </c>
      <c r="S32" s="810">
        <f t="shared" si="20"/>
        <v>-2</v>
      </c>
      <c r="T32" s="176">
        <f t="shared" si="21"/>
        <v>4</v>
      </c>
      <c r="U32" s="251">
        <f t="shared" si="22"/>
        <v>-1.6001465409465119</v>
      </c>
      <c r="V32" s="383">
        <f t="shared" si="5"/>
        <v>22.769046497718048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5">
        <f t="shared" si="11"/>
        <v>0</v>
      </c>
      <c r="AD32" s="169">
        <f>(INDEX(Models!$BJ32:$BT32,,AH32)*(1-AF32)+INDEX(Models!$BJ32:$BT32,,AH32+1)*AF32-ERP_i)*AE32*Ramure*Pc/MaxiM</f>
        <v>2.700275619943642E-7</v>
      </c>
      <c r="AE32" s="305">
        <f t="shared" si="12"/>
        <v>0.7</v>
      </c>
      <c r="AF32" s="177">
        <f t="shared" si="13"/>
        <v>0.39985345905348813</v>
      </c>
      <c r="AG32" s="810">
        <f t="shared" si="23"/>
        <v>-2</v>
      </c>
      <c r="AH32" s="176">
        <f t="shared" si="14"/>
        <v>4</v>
      </c>
      <c r="AI32" s="225">
        <f t="shared" si="15"/>
        <v>-1.6001465409465119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6">
        <f t="shared" si="2"/>
        <v>0</v>
      </c>
      <c r="M33" s="855"/>
      <c r="N33" s="855"/>
      <c r="O33" s="324">
        <f t="shared" si="3"/>
        <v>0</v>
      </c>
      <c r="P33" s="169">
        <f>(INDEX(Models!$BJ33:$BT33,,T33)*(1-R33)+INDEX(Models!$BJ33:$BT33,,T33+1)*R33-ERP_i)*Q33*Ramure*Pc/MaxiM</f>
        <v>3.027199243397728E-7</v>
      </c>
      <c r="Q33" s="305">
        <f t="shared" si="19"/>
        <v>0.7</v>
      </c>
      <c r="R33" s="177">
        <f t="shared" si="4"/>
        <v>0.39990032462617675</v>
      </c>
      <c r="S33" s="810">
        <f t="shared" si="20"/>
        <v>-2</v>
      </c>
      <c r="T33" s="176">
        <f t="shared" si="21"/>
        <v>4</v>
      </c>
      <c r="U33" s="251">
        <f t="shared" si="22"/>
        <v>-1.6000996753738232</v>
      </c>
      <c r="V33" s="383">
        <f t="shared" si="5"/>
        <v>23.018484662845186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5">
        <f t="shared" si="11"/>
        <v>0</v>
      </c>
      <c r="AD33" s="169">
        <f>(INDEX(Models!$BJ33:$BT33,,AH33)*(1-AF33)+INDEX(Models!$BJ33:$BT33,,AH33+1)*AF33-ERP_i)*AE33*Ramure*Pc/MaxiM</f>
        <v>3.027199243397728E-7</v>
      </c>
      <c r="AE33" s="305">
        <f t="shared" si="12"/>
        <v>0.7</v>
      </c>
      <c r="AF33" s="177">
        <f t="shared" si="13"/>
        <v>0.39990032462617675</v>
      </c>
      <c r="AG33" s="810">
        <f t="shared" si="23"/>
        <v>-2</v>
      </c>
      <c r="AH33" s="176">
        <f t="shared" si="14"/>
        <v>4</v>
      </c>
      <c r="AI33" s="225">
        <f t="shared" si="15"/>
        <v>-1.6000996753738232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6">
        <f t="shared" si="2"/>
        <v>0</v>
      </c>
      <c r="M34" s="855"/>
      <c r="N34" s="855"/>
      <c r="O34" s="324">
        <f t="shared" si="3"/>
        <v>0</v>
      </c>
      <c r="P34" s="169">
        <f>(INDEX(Models!$BJ34:$BT34,,T34)*(1-R34)+INDEX(Models!$BJ34:$BT34,,T34+1)*R34-ERP_i)*Q34*Ramure*Pc/MaxiM</f>
        <v>3.391180090218982E-7</v>
      </c>
      <c r="Q34" s="305">
        <f t="shared" si="19"/>
        <v>0.7</v>
      </c>
      <c r="R34" s="177">
        <f t="shared" si="4"/>
        <v>0.3999491446102108</v>
      </c>
      <c r="S34" s="810">
        <f t="shared" si="20"/>
        <v>-2</v>
      </c>
      <c r="T34" s="176">
        <f t="shared" si="21"/>
        <v>4</v>
      </c>
      <c r="U34" s="251">
        <f t="shared" si="22"/>
        <v>-1.6000508553897892</v>
      </c>
      <c r="V34" s="383">
        <f t="shared" si="5"/>
        <v>23.273769125079035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5">
        <f t="shared" si="11"/>
        <v>0</v>
      </c>
      <c r="AD34" s="169">
        <f>(INDEX(Models!$BJ34:$BT34,,AH34)*(1-AF34)+INDEX(Models!$BJ34:$BT34,,AH34+1)*AF34-ERP_i)*AE34*Ramure*Pc/MaxiM</f>
        <v>3.391180090218982E-7</v>
      </c>
      <c r="AE34" s="305">
        <f t="shared" si="12"/>
        <v>0.7</v>
      </c>
      <c r="AF34" s="177">
        <f t="shared" si="13"/>
        <v>0.3999491446102108</v>
      </c>
      <c r="AG34" s="810">
        <f t="shared" si="23"/>
        <v>-2</v>
      </c>
      <c r="AH34" s="176">
        <f t="shared" si="14"/>
        <v>4</v>
      </c>
      <c r="AI34" s="225">
        <f t="shared" si="15"/>
        <v>-1.6000508553897892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6">
        <f t="shared" si="2"/>
        <v>0</v>
      </c>
      <c r="M35" s="855"/>
      <c r="N35" s="855"/>
      <c r="O35" s="324">
        <f t="shared" si="3"/>
        <v>0</v>
      </c>
      <c r="P35" s="169">
        <f>(INDEX(Models!$BJ35:$BT35,,T35)*(1-R35)+INDEX(Models!$BJ35:$BT35,,T35+1)*R35-ERP_i)*Q35*Ramure*Pc/MaxiM</f>
        <v>3.7958475385925807E-7</v>
      </c>
      <c r="Q35" s="305">
        <f t="shared" si="19"/>
        <v>0.7</v>
      </c>
      <c r="R35" s="177">
        <f t="shared" si="4"/>
        <v>0.39999999999999991</v>
      </c>
      <c r="S35" s="810">
        <f t="shared" si="20"/>
        <v>-2</v>
      </c>
      <c r="T35" s="176">
        <f t="shared" si="21"/>
        <v>4</v>
      </c>
      <c r="U35" s="251">
        <f t="shared" si="22"/>
        <v>-1.6</v>
      </c>
      <c r="V35" s="383">
        <f t="shared" si="5"/>
        <v>23.534428125658966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5">
        <f t="shared" si="11"/>
        <v>0</v>
      </c>
      <c r="AD35" s="169">
        <f>(INDEX(Models!$BJ35:$BT35,,AH35)*(1-AF35)+INDEX(Models!$BJ35:$BT35,,AH35+1)*AF35-ERP_i)*AE35*Ramure*Pc/MaxiM</f>
        <v>3.7958475385925807E-7</v>
      </c>
      <c r="AE35" s="305">
        <f t="shared" si="12"/>
        <v>0.7</v>
      </c>
      <c r="AF35" s="177">
        <f t="shared" si="13"/>
        <v>0.39999999999999991</v>
      </c>
      <c r="AG35" s="810">
        <f t="shared" si="23"/>
        <v>-2</v>
      </c>
      <c r="AH35" s="176">
        <f t="shared" si="14"/>
        <v>4</v>
      </c>
      <c r="AI35" s="225">
        <f t="shared" si="15"/>
        <v>-1.6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6">
        <f t="shared" si="2"/>
        <v>0</v>
      </c>
      <c r="M36" s="855"/>
      <c r="N36" s="855"/>
      <c r="O36" s="324">
        <f t="shared" si="3"/>
        <v>0</v>
      </c>
      <c r="P36" s="169">
        <f>(INDEX(Models!$BJ36:$BT36,,T36)*(1-R36)+INDEX(Models!$BJ36:$BT36,,T36+1)*R36-ERP_i)*Q36*Ramure*Pc/MaxiM</f>
        <v>4.244999494626072E-7</v>
      </c>
      <c r="Q36" s="305">
        <f t="shared" si="19"/>
        <v>0.7</v>
      </c>
      <c r="R36" s="177">
        <f t="shared" si="4"/>
        <v>0.40005297510302551</v>
      </c>
      <c r="S36" s="810">
        <f t="shared" si="20"/>
        <v>-2</v>
      </c>
      <c r="T36" s="176">
        <f t="shared" si="21"/>
        <v>4</v>
      </c>
      <c r="U36" s="251">
        <f t="shared" si="22"/>
        <v>-1.5999470248969745</v>
      </c>
      <c r="V36" s="383">
        <f t="shared" si="5"/>
        <v>23.799989896901206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5">
        <f t="shared" si="11"/>
        <v>0</v>
      </c>
      <c r="AD36" s="169">
        <f>(INDEX(Models!$BJ36:$BT36,,AH36)*(1-AF36)+INDEX(Models!$BJ36:$BT36,,AH36+1)*AF36-ERP_i)*AE36*Ramure*Pc/MaxiM</f>
        <v>4.244999494626072E-7</v>
      </c>
      <c r="AE36" s="305">
        <f t="shared" si="12"/>
        <v>0.7</v>
      </c>
      <c r="AF36" s="177">
        <f t="shared" si="13"/>
        <v>0.40005297510302551</v>
      </c>
      <c r="AG36" s="810">
        <f t="shared" si="23"/>
        <v>-2</v>
      </c>
      <c r="AH36" s="176">
        <f t="shared" si="14"/>
        <v>4</v>
      </c>
      <c r="AI36" s="225">
        <f t="shared" si="15"/>
        <v>-1.5999470248969745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6">
        <f t="shared" si="2"/>
        <v>0</v>
      </c>
      <c r="M37" s="855"/>
      <c r="N37" s="855"/>
      <c r="O37" s="324">
        <f t="shared" si="3"/>
        <v>0</v>
      </c>
      <c r="P37" s="169">
        <f>(INDEX(Models!$BJ37:$BT37,,T37)*(1-R37)+INDEX(Models!$BJ37:$BT37,,T37+1)*R37-ERP_i)*Q37*Ramure*Pc/MaxiM</f>
        <v>4.7422086272834608E-7</v>
      </c>
      <c r="Q37" s="305">
        <f t="shared" si="19"/>
        <v>0.7</v>
      </c>
      <c r="R37" s="177">
        <f t="shared" si="4"/>
        <v>0.40010815767164742</v>
      </c>
      <c r="S37" s="810">
        <f t="shared" si="20"/>
        <v>-2</v>
      </c>
      <c r="T37" s="176">
        <f t="shared" si="21"/>
        <v>4</v>
      </c>
      <c r="U37" s="251">
        <f t="shared" si="22"/>
        <v>-1.5998918423283526</v>
      </c>
      <c r="V37" s="383">
        <f t="shared" si="5"/>
        <v>24.072109576698733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5">
        <f t="shared" si="11"/>
        <v>0</v>
      </c>
      <c r="AD37" s="169">
        <f>(INDEX(Models!$BJ37:$BT37,,AH37)*(1-AF37)+INDEX(Models!$BJ37:$BT37,,AH37+1)*AF37-ERP_i)*AE37*Ramure*Pc/MaxiM</f>
        <v>4.7422086272834608E-7</v>
      </c>
      <c r="AE37" s="305">
        <f t="shared" si="12"/>
        <v>0.7</v>
      </c>
      <c r="AF37" s="177">
        <f t="shared" si="13"/>
        <v>0.40010815767164742</v>
      </c>
      <c r="AG37" s="810">
        <f t="shared" si="23"/>
        <v>-2</v>
      </c>
      <c r="AH37" s="176">
        <f t="shared" si="14"/>
        <v>4</v>
      </c>
      <c r="AI37" s="225">
        <f t="shared" si="15"/>
        <v>-1.5998918423283526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6">
        <f t="shared" si="2"/>
        <v>0</v>
      </c>
      <c r="M38" s="855"/>
      <c r="N38" s="855"/>
      <c r="O38" s="324">
        <f t="shared" si="3"/>
        <v>0</v>
      </c>
      <c r="P38" s="169">
        <f>(INDEX(Models!$BJ38:$BT38,,T38)*(1-R38)+INDEX(Models!$BJ38:$BT38,,T38+1)*R38-ERP_i)*Q38*Ramure*Pc/MaxiM</f>
        <v>5.3049991813746197E-7</v>
      </c>
      <c r="Q38" s="305">
        <f t="shared" si="19"/>
        <v>0.7</v>
      </c>
      <c r="R38" s="177">
        <f t="shared" si="4"/>
        <v>0.40016563903983093</v>
      </c>
      <c r="S38" s="810">
        <f t="shared" si="20"/>
        <v>-2</v>
      </c>
      <c r="T38" s="176">
        <f t="shared" si="21"/>
        <v>4</v>
      </c>
      <c r="U38" s="251">
        <f t="shared" si="22"/>
        <v>-1.5998343609601691</v>
      </c>
      <c r="V38" s="383">
        <f t="shared" si="5"/>
        <v>24.352465214792961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5">
        <f t="shared" si="11"/>
        <v>0</v>
      </c>
      <c r="AD38" s="169">
        <f>(INDEX(Models!$BJ38:$BT38,,AH38)*(1-AF38)+INDEX(Models!$BJ38:$BT38,,AH38+1)*AF38-ERP_i)*AE38*Ramure*Pc/MaxiM</f>
        <v>5.3049991813746197E-7</v>
      </c>
      <c r="AE38" s="305">
        <f t="shared" si="12"/>
        <v>0.7</v>
      </c>
      <c r="AF38" s="177">
        <f t="shared" si="13"/>
        <v>0.40016563903983093</v>
      </c>
      <c r="AG38" s="810">
        <f t="shared" si="23"/>
        <v>-2</v>
      </c>
      <c r="AH38" s="176">
        <f t="shared" si="14"/>
        <v>4</v>
      </c>
      <c r="AI38" s="225">
        <f t="shared" si="15"/>
        <v>-1.5998343609601691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6">
        <f t="shared" si="2"/>
        <v>0</v>
      </c>
      <c r="M39" s="855"/>
      <c r="N39" s="855"/>
      <c r="O39" s="324">
        <f t="shared" si="3"/>
        <v>0</v>
      </c>
      <c r="P39" s="169">
        <f>(INDEX(Models!$BJ39:$BT39,,T39)*(1-R39)+INDEX(Models!$BJ39:$BT39,,T39+1)*R39-ERP_i)*Q39*Ramure*Pc/MaxiM</f>
        <v>5.9366673505251865E-7</v>
      </c>
      <c r="Q39" s="305">
        <f t="shared" si="19"/>
        <v>0.7</v>
      </c>
      <c r="R39" s="177">
        <f t="shared" si="4"/>
        <v>0.40022551426495756</v>
      </c>
      <c r="S39" s="810">
        <f t="shared" si="20"/>
        <v>-2</v>
      </c>
      <c r="T39" s="176">
        <f t="shared" si="21"/>
        <v>4</v>
      </c>
      <c r="U39" s="251">
        <f t="shared" si="22"/>
        <v>-1.5997744857350424</v>
      </c>
      <c r="V39" s="383">
        <f t="shared" si="5"/>
        <v>24.640619482085494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5">
        <f t="shared" si="11"/>
        <v>0</v>
      </c>
      <c r="AD39" s="169">
        <f>(INDEX(Models!$BJ39:$BT39,,AH39)*(1-AF39)+INDEX(Models!$BJ39:$BT39,,AH39+1)*AF39-ERP_i)*AE39*Ramure*Pc/MaxiM</f>
        <v>5.9366673505251865E-7</v>
      </c>
      <c r="AE39" s="305">
        <f t="shared" si="12"/>
        <v>0.7</v>
      </c>
      <c r="AF39" s="177">
        <f t="shared" si="13"/>
        <v>0.40022551426495756</v>
      </c>
      <c r="AG39" s="810">
        <f t="shared" si="23"/>
        <v>-2</v>
      </c>
      <c r="AH39" s="176">
        <f t="shared" si="14"/>
        <v>4</v>
      </c>
      <c r="AI39" s="225">
        <f t="shared" si="15"/>
        <v>-1.5997744857350424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6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6">
        <f t="shared" si="2"/>
        <v>0</v>
      </c>
      <c r="M40" s="855"/>
      <c r="N40" s="855"/>
      <c r="O40" s="324">
        <f t="shared" si="3"/>
        <v>0</v>
      </c>
      <c r="P40" s="169">
        <f>(INDEX(Models!$BJ40:$BT40,,T40)*(1-R40)+INDEX(Models!$BJ40:$BT40,,T40+1)*R40-ERP_i)*Q40*Ramure*Pc/MaxiM</f>
        <v>6.6434448461273669E-7</v>
      </c>
      <c r="Q40" s="305">
        <f t="shared" si="19"/>
        <v>0.7</v>
      </c>
      <c r="R40" s="177">
        <f t="shared" si="4"/>
        <v>0.40028788227487166</v>
      </c>
      <c r="S40" s="810">
        <f t="shared" si="20"/>
        <v>-2</v>
      </c>
      <c r="T40" s="176">
        <f t="shared" si="21"/>
        <v>4</v>
      </c>
      <c r="U40" s="251">
        <f t="shared" si="22"/>
        <v>-1.5997121177251283</v>
      </c>
      <c r="V40" s="383">
        <f t="shared" si="5"/>
        <v>24.936135037095223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5">
        <f t="shared" si="11"/>
        <v>0</v>
      </c>
      <c r="AD40" s="169">
        <f>(INDEX(Models!$BJ40:$BT40,,AH40)*(1-AF40)+INDEX(Models!$BJ40:$BT40,,AH40+1)*AF40-ERP_i)*AE40*Ramure*Pc/MaxiM</f>
        <v>6.6434448461273669E-7</v>
      </c>
      <c r="AE40" s="305">
        <f t="shared" si="12"/>
        <v>0.7</v>
      </c>
      <c r="AF40" s="177">
        <f t="shared" si="13"/>
        <v>0.40028788227487166</v>
      </c>
      <c r="AG40" s="810">
        <f t="shared" si="23"/>
        <v>-2</v>
      </c>
      <c r="AH40" s="176">
        <f t="shared" si="14"/>
        <v>4</v>
      </c>
      <c r="AI40" s="225">
        <f t="shared" si="15"/>
        <v>-1.5997121177251283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6">
        <f t="shared" si="2"/>
        <v>0</v>
      </c>
      <c r="M41" s="855"/>
      <c r="N41" s="855"/>
      <c r="O41" s="324">
        <f t="shared" si="3"/>
        <v>0</v>
      </c>
      <c r="P41" s="169">
        <f>(INDEX(Models!$BJ41:$BT41,,T41)*(1-R41)+INDEX(Models!$BJ41:$BT41,,T41+1)*R41-ERP_i)*Q41*Ramure*Pc/MaxiM</f>
        <v>7.431849025807636E-7</v>
      </c>
      <c r="Q41" s="305">
        <f t="shared" si="19"/>
        <v>0.7</v>
      </c>
      <c r="R41" s="177">
        <f t="shared" si="4"/>
        <v>0.40035284602032895</v>
      </c>
      <c r="S41" s="810">
        <f t="shared" si="20"/>
        <v>-2</v>
      </c>
      <c r="T41" s="176">
        <f t="shared" si="21"/>
        <v>4</v>
      </c>
      <c r="U41" s="251">
        <f t="shared" si="22"/>
        <v>-1.5996471539796711</v>
      </c>
      <c r="V41" s="383">
        <f t="shared" si="5"/>
        <v>25.238574536784945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5">
        <f t="shared" si="11"/>
        <v>0</v>
      </c>
      <c r="AD41" s="169">
        <f>(INDEX(Models!$BJ41:$BT41,,AH41)*(1-AF41)+INDEX(Models!$BJ41:$BT41,,AH41+1)*AF41-ERP_i)*AE41*Ramure*Pc/MaxiM</f>
        <v>7.431849025807636E-7</v>
      </c>
      <c r="AE41" s="305">
        <f t="shared" si="12"/>
        <v>0.7</v>
      </c>
      <c r="AF41" s="177">
        <f t="shared" si="13"/>
        <v>0.40035284602032895</v>
      </c>
      <c r="AG41" s="810">
        <f t="shared" si="23"/>
        <v>-2</v>
      </c>
      <c r="AH41" s="176">
        <f t="shared" si="14"/>
        <v>4</v>
      </c>
      <c r="AI41" s="225">
        <f t="shared" si="15"/>
        <v>-1.5996471539796711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6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6">
        <f t="shared" si="2"/>
        <v>0</v>
      </c>
      <c r="M42" s="855"/>
      <c r="N42" s="855"/>
      <c r="O42" s="324">
        <f t="shared" si="3"/>
        <v>0</v>
      </c>
      <c r="P42" s="169">
        <f>(INDEX(Models!$BJ42:$BT42,,T42)*(1-R42)+INDEX(Models!$BJ42:$BT42,,T42+1)*R42-ERP_i)*Q42*Ramure*Pc/MaxiM</f>
        <v>8.308703791968264E-7</v>
      </c>
      <c r="Q42" s="305">
        <f t="shared" si="19"/>
        <v>0.7</v>
      </c>
      <c r="R42" s="177">
        <f t="shared" si="4"/>
        <v>0.40042051263300582</v>
      </c>
      <c r="S42" s="810">
        <f t="shared" si="20"/>
        <v>-2</v>
      </c>
      <c r="T42" s="176">
        <f t="shared" si="21"/>
        <v>4</v>
      </c>
      <c r="U42" s="251">
        <f t="shared" si="22"/>
        <v>-1.5995794873669942</v>
      </c>
      <c r="V42" s="383">
        <f t="shared" si="5"/>
        <v>25.5475006395402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5">
        <f t="shared" si="11"/>
        <v>0</v>
      </c>
      <c r="AD42" s="169">
        <f>(INDEX(Models!$BJ42:$BT42,,AH42)*(1-AF42)+INDEX(Models!$BJ42:$BT42,,AH42+1)*AF42-ERP_i)*AE42*Ramure*Pc/MaxiM</f>
        <v>8.308703791968264E-7</v>
      </c>
      <c r="AE42" s="305">
        <f t="shared" si="12"/>
        <v>0.7</v>
      </c>
      <c r="AF42" s="177">
        <f t="shared" si="13"/>
        <v>0.40042051263300582</v>
      </c>
      <c r="AG42" s="810">
        <f t="shared" si="23"/>
        <v>-2</v>
      </c>
      <c r="AH42" s="176">
        <f t="shared" si="14"/>
        <v>4</v>
      </c>
      <c r="AI42" s="225">
        <f t="shared" si="15"/>
        <v>-1.5995794873669942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6">
        <f t="shared" si="2"/>
        <v>0</v>
      </c>
      <c r="M43" s="855"/>
      <c r="N43" s="855"/>
      <c r="O43" s="324">
        <f t="shared" si="3"/>
        <v>0</v>
      </c>
      <c r="P43" s="169">
        <f>(INDEX(Models!$BJ43:$BT43,,T43)*(1-R43)+INDEX(Models!$BJ43:$BT43,,T43+1)*R43-ERP_i)*Q43*Ramure*Pc/MaxiM</f>
        <v>9.2811625454957969E-7</v>
      </c>
      <c r="Q43" s="305">
        <f t="shared" si="19"/>
        <v>0.7</v>
      </c>
      <c r="R43" s="177">
        <f t="shared" si="4"/>
        <v>0.40049099358923401</v>
      </c>
      <c r="S43" s="810">
        <f t="shared" si="20"/>
        <v>-2</v>
      </c>
      <c r="T43" s="176">
        <f t="shared" si="21"/>
        <v>4</v>
      </c>
      <c r="U43" s="251">
        <f t="shared" si="22"/>
        <v>-1.599509006410766</v>
      </c>
      <c r="V43" s="383">
        <f t="shared" si="5"/>
        <v>25.86247599584831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5">
        <f t="shared" si="11"/>
        <v>0</v>
      </c>
      <c r="AD43" s="169">
        <f>(INDEX(Models!$BJ43:$BT43,,AH43)*(1-AF43)+INDEX(Models!$BJ43:$BT43,,AH43+1)*AF43-ERP_i)*AE43*Ramure*Pc/MaxiM</f>
        <v>9.2811625454957969E-7</v>
      </c>
      <c r="AE43" s="305">
        <f t="shared" si="12"/>
        <v>0.7</v>
      </c>
      <c r="AF43" s="177">
        <f t="shared" si="13"/>
        <v>0.40049099358923401</v>
      </c>
      <c r="AG43" s="810">
        <f t="shared" si="23"/>
        <v>-2</v>
      </c>
      <c r="AH43" s="176">
        <f t="shared" si="14"/>
        <v>4</v>
      </c>
      <c r="AI43" s="225">
        <f t="shared" si="15"/>
        <v>-1.599509006410766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6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6">
        <f t="shared" si="2"/>
        <v>0</v>
      </c>
      <c r="M44" s="855"/>
      <c r="N44" s="855"/>
      <c r="O44" s="324">
        <f t="shared" si="3"/>
        <v>0</v>
      </c>
      <c r="P44" s="169">
        <f>(INDEX(Models!$BJ44:$BT44,,T44)*(1-R44)+INDEX(Models!$BJ44:$BT44,,T44+1)*R44-ERP_i)*Q44*Ramure*Pc/MaxiM</f>
        <v>1.0347292178919924E-6</v>
      </c>
      <c r="Q44" s="305">
        <f t="shared" si="19"/>
        <v>0.7</v>
      </c>
      <c r="R44" s="177">
        <f t="shared" si="4"/>
        <v>0.40056440487962885</v>
      </c>
      <c r="S44" s="810">
        <f t="shared" si="20"/>
        <v>-2</v>
      </c>
      <c r="T44" s="176">
        <f t="shared" si="21"/>
        <v>4</v>
      </c>
      <c r="U44" s="251">
        <f t="shared" si="22"/>
        <v>-1.5994355951203711</v>
      </c>
      <c r="V44" s="383">
        <f t="shared" si="5"/>
        <v>26.183063286893361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5">
        <f t="shared" si="11"/>
        <v>0</v>
      </c>
      <c r="AD44" s="169">
        <f>(INDEX(Models!$BJ44:$BT44,,AH44)*(1-AF44)+INDEX(Models!$BJ44:$BT44,,AH44+1)*AF44-ERP_i)*AE44*Ramure*Pc/MaxiM</f>
        <v>1.0347292178919924E-6</v>
      </c>
      <c r="AE44" s="305">
        <f t="shared" si="12"/>
        <v>0.7</v>
      </c>
      <c r="AF44" s="177">
        <f t="shared" si="13"/>
        <v>0.40056440487962885</v>
      </c>
      <c r="AG44" s="810">
        <f t="shared" si="23"/>
        <v>-2</v>
      </c>
      <c r="AH44" s="176">
        <f t="shared" si="14"/>
        <v>4</v>
      </c>
      <c r="AI44" s="225">
        <f t="shared" si="15"/>
        <v>-1.5994355951203711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6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6">
        <f t="shared" si="2"/>
        <v>0</v>
      </c>
      <c r="M45" s="855"/>
      <c r="N45" s="855"/>
      <c r="O45" s="324">
        <f t="shared" si="3"/>
        <v>0</v>
      </c>
      <c r="P45" s="169">
        <f>(INDEX(Models!$BJ45:$BT45,,T45)*(1-R45)+INDEX(Models!$BJ45:$BT45,,T45+1)*R45-ERP_i)*Q45*Ramure*Pc/MaxiM</f>
        <v>1.1491651374128822E-6</v>
      </c>
      <c r="Q45" s="305">
        <f t="shared" si="19"/>
        <v>0.7</v>
      </c>
      <c r="R45" s="177">
        <f t="shared" si="4"/>
        <v>0.40064086718477276</v>
      </c>
      <c r="S45" s="810">
        <f t="shared" si="20"/>
        <v>-2</v>
      </c>
      <c r="T45" s="176">
        <f t="shared" si="21"/>
        <v>4</v>
      </c>
      <c r="U45" s="251">
        <f t="shared" si="22"/>
        <v>-1.5993591328152272</v>
      </c>
      <c r="V45" s="383">
        <f t="shared" si="5"/>
        <v>26.508825221580981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5">
        <f t="shared" si="11"/>
        <v>0</v>
      </c>
      <c r="AD45" s="169">
        <f>(INDEX(Models!$BJ45:$BT45,,AH45)*(1-AF45)+INDEX(Models!$BJ45:$BT45,,AH45+1)*AF45-ERP_i)*AE45*Ramure*Pc/MaxiM</f>
        <v>1.1491651374128822E-6</v>
      </c>
      <c r="AE45" s="305">
        <f t="shared" si="12"/>
        <v>0.7</v>
      </c>
      <c r="AF45" s="177">
        <f t="shared" si="13"/>
        <v>0.40064086718477276</v>
      </c>
      <c r="AG45" s="810">
        <f t="shared" si="23"/>
        <v>-2</v>
      </c>
      <c r="AH45" s="176">
        <f t="shared" si="14"/>
        <v>4</v>
      </c>
      <c r="AI45" s="225">
        <f t="shared" si="15"/>
        <v>-1.5993591328152272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6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6">
        <f t="shared" si="2"/>
        <v>0</v>
      </c>
      <c r="M46" s="855"/>
      <c r="N46" s="855"/>
      <c r="O46" s="324">
        <f t="shared" si="3"/>
        <v>0</v>
      </c>
      <c r="P46" s="169">
        <f>(INDEX(Models!$BJ46:$BT46,,T46)*(1-R46)+INDEX(Models!$BJ46:$BT46,,T46+1)*R46-ERP_i)*Q46*Ramure*Pc/MaxiM</f>
        <v>1.2718118432770203E-6</v>
      </c>
      <c r="Q46" s="305">
        <f t="shared" si="19"/>
        <v>0.7</v>
      </c>
      <c r="R46" s="177">
        <f t="shared" si="4"/>
        <v>0.40072050605712528</v>
      </c>
      <c r="S46" s="810">
        <f t="shared" si="20"/>
        <v>-2</v>
      </c>
      <c r="T46" s="176">
        <f t="shared" si="21"/>
        <v>4</v>
      </c>
      <c r="U46" s="251">
        <f t="shared" si="22"/>
        <v>-1.5992794939428747</v>
      </c>
      <c r="V46" s="383">
        <f t="shared" si="5"/>
        <v>26.839324465189147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5">
        <f t="shared" si="11"/>
        <v>0</v>
      </c>
      <c r="AD46" s="169">
        <f>(INDEX(Models!$BJ46:$BT46,,AH46)*(1-AF46)+INDEX(Models!$BJ46:$BT46,,AH46+1)*AF46-ERP_i)*AE46*Ramure*Pc/MaxiM</f>
        <v>1.2718118432770203E-6</v>
      </c>
      <c r="AE46" s="305">
        <f t="shared" si="12"/>
        <v>0.7</v>
      </c>
      <c r="AF46" s="177">
        <f t="shared" si="13"/>
        <v>0.40072050605712528</v>
      </c>
      <c r="AG46" s="810">
        <f t="shared" si="23"/>
        <v>-2</v>
      </c>
      <c r="AH46" s="176">
        <f t="shared" si="14"/>
        <v>4</v>
      </c>
      <c r="AI46" s="225">
        <f t="shared" si="15"/>
        <v>-1.5992794939428747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6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6">
        <f t="shared" si="2"/>
        <v>0</v>
      </c>
      <c r="M47" s="855"/>
      <c r="N47" s="855"/>
      <c r="O47" s="324">
        <f t="shared" si="3"/>
        <v>0</v>
      </c>
      <c r="P47" s="169">
        <f>(INDEX(Models!$BJ47:$BT47,,T47)*(1-R47)+INDEX(Models!$BJ47:$BT47,,T47+1)*R47-ERP_i)*Q47*Ramure*Pc/MaxiM</f>
        <v>1.4030801702272382E-6</v>
      </c>
      <c r="Q47" s="305">
        <f t="shared" si="19"/>
        <v>0.7</v>
      </c>
      <c r="R47" s="177">
        <f t="shared" si="4"/>
        <v>0.40080345210932111</v>
      </c>
      <c r="S47" s="810">
        <f t="shared" si="20"/>
        <v>-2</v>
      </c>
      <c r="T47" s="176">
        <f t="shared" si="21"/>
        <v>4</v>
      </c>
      <c r="U47" s="251">
        <f t="shared" si="22"/>
        <v>-1.5991965478906789</v>
      </c>
      <c r="V47" s="383">
        <f t="shared" si="5"/>
        <v>27.174123680079752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5">
        <f t="shared" si="11"/>
        <v>0</v>
      </c>
      <c r="AD47" s="169">
        <f>(INDEX(Models!$BJ47:$BT47,,AH47)*(1-AF47)+INDEX(Models!$BJ47:$BT47,,AH47+1)*AF47-ERP_i)*AE47*Ramure*Pc/MaxiM</f>
        <v>1.4030801702272382E-6</v>
      </c>
      <c r="AE47" s="305">
        <f t="shared" si="12"/>
        <v>0.7</v>
      </c>
      <c r="AF47" s="177">
        <f t="shared" si="13"/>
        <v>0.40080345210932111</v>
      </c>
      <c r="AG47" s="810">
        <f t="shared" si="23"/>
        <v>-2</v>
      </c>
      <c r="AH47" s="176">
        <f t="shared" si="14"/>
        <v>4</v>
      </c>
      <c r="AI47" s="225">
        <f t="shared" si="15"/>
        <v>-1.5991965478906789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6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6">
        <f t="shared" si="2"/>
        <v>0</v>
      </c>
      <c r="M48" s="855"/>
      <c r="N48" s="855"/>
      <c r="O48" s="324">
        <f t="shared" si="3"/>
        <v>0</v>
      </c>
      <c r="P48" s="169">
        <f>(INDEX(Models!$BJ48:$BT48,,T48)*(1-R48)+INDEX(Models!$BJ48:$BT48,,T48+1)*R48-ERP_i)*Q48*Ramure*Pc/MaxiM</f>
        <v>1.5434055972873991E-6</v>
      </c>
      <c r="Q48" s="305">
        <f t="shared" si="19"/>
        <v>0.7</v>
      </c>
      <c r="R48" s="177">
        <f t="shared" si="4"/>
        <v>0.4008898412090276</v>
      </c>
      <c r="S48" s="810">
        <f t="shared" si="20"/>
        <v>-2</v>
      </c>
      <c r="T48" s="176">
        <f t="shared" si="21"/>
        <v>4</v>
      </c>
      <c r="U48" s="251">
        <f t="shared" si="22"/>
        <v>-1.5991101587909724</v>
      </c>
      <c r="V48" s="383">
        <f t="shared" si="5"/>
        <v>27.512785524729079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5">
        <f t="shared" si="11"/>
        <v>0</v>
      </c>
      <c r="AD48" s="169">
        <f>(INDEX(Models!$BJ48:$BT48,,AH48)*(1-AF48)+INDEX(Models!$BJ48:$BT48,,AH48+1)*AF48-ERP_i)*AE48*Ramure*Pc/MaxiM</f>
        <v>1.5434055972873991E-6</v>
      </c>
      <c r="AE48" s="305">
        <f t="shared" si="12"/>
        <v>0.7</v>
      </c>
      <c r="AF48" s="177">
        <f t="shared" si="13"/>
        <v>0.4008898412090276</v>
      </c>
      <c r="AG48" s="810">
        <f t="shared" si="23"/>
        <v>-2</v>
      </c>
      <c r="AH48" s="176">
        <f t="shared" si="14"/>
        <v>4</v>
      </c>
      <c r="AI48" s="225">
        <f t="shared" si="15"/>
        <v>-1.5991101587909724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6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6">
        <f t="shared" si="2"/>
        <v>0</v>
      </c>
      <c r="M49" s="855"/>
      <c r="N49" s="855"/>
      <c r="O49" s="324">
        <f t="shared" si="3"/>
        <v>0</v>
      </c>
      <c r="P49" s="169">
        <f>(INDEX(Models!$BJ49:$BT49,,T49)*(1-R49)+INDEX(Models!$BJ49:$BT49,,T49+1)*R49-ERP_i)*Q49*Ramure*Pc/MaxiM</f>
        <v>1.693249964617596E-6</v>
      </c>
      <c r="Q49" s="305">
        <f t="shared" si="19"/>
        <v>0.7</v>
      </c>
      <c r="R49" s="177">
        <f t="shared" si="4"/>
        <v>0.40097981468052035</v>
      </c>
      <c r="S49" s="810">
        <f t="shared" si="20"/>
        <v>-2</v>
      </c>
      <c r="T49" s="176">
        <f t="shared" si="21"/>
        <v>4</v>
      </c>
      <c r="U49" s="251">
        <f t="shared" si="22"/>
        <v>-1.5990201853194796</v>
      </c>
      <c r="V49" s="383">
        <f t="shared" si="5"/>
        <v>27.854872659247569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5">
        <f t="shared" si="11"/>
        <v>0</v>
      </c>
      <c r="AD49" s="169">
        <f>(INDEX(Models!$BJ49:$BT49,,AH49)*(1-AF49)+INDEX(Models!$BJ49:$BT49,,AH49+1)*AF49-ERP_i)*AE49*Ramure*Pc/MaxiM</f>
        <v>1.693249964617596E-6</v>
      </c>
      <c r="AE49" s="305">
        <f t="shared" si="12"/>
        <v>0.7</v>
      </c>
      <c r="AF49" s="177">
        <f t="shared" si="13"/>
        <v>0.40097981468052035</v>
      </c>
      <c r="AG49" s="810">
        <f t="shared" si="23"/>
        <v>-2</v>
      </c>
      <c r="AH49" s="176">
        <f t="shared" si="14"/>
        <v>4</v>
      </c>
      <c r="AI49" s="225">
        <f t="shared" si="15"/>
        <v>-1.5990201853194796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6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6">
        <f t="shared" si="2"/>
        <v>0</v>
      </c>
      <c r="M50" s="855"/>
      <c r="N50" s="855"/>
      <c r="O50" s="324">
        <f t="shared" si="3"/>
        <v>0</v>
      </c>
      <c r="P50" s="169">
        <f>(INDEX(Models!$BJ50:$BT50,,T50)*(1-R50)+INDEX(Models!$BJ50:$BT50,,T50+1)*R50-ERP_i)*Q50*Ramure*Pc/MaxiM</f>
        <v>1.8531032771353199E-6</v>
      </c>
      <c r="Q50" s="305">
        <f t="shared" si="19"/>
        <v>0.7</v>
      </c>
      <c r="R50" s="177">
        <f t="shared" si="4"/>
        <v>0.40107351951314496</v>
      </c>
      <c r="S50" s="810">
        <f t="shared" si="20"/>
        <v>-2</v>
      </c>
      <c r="T50" s="176">
        <f t="shared" si="21"/>
        <v>4</v>
      </c>
      <c r="U50" s="251">
        <f t="shared" si="22"/>
        <v>-1.598926480486855</v>
      </c>
      <c r="V50" s="383">
        <f t="shared" si="5"/>
        <v>28.199947740997473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5">
        <f t="shared" si="11"/>
        <v>0</v>
      </c>
      <c r="AD50" s="169">
        <f>(INDEX(Models!$BJ50:$BT50,,AH50)*(1-AF50)+INDEX(Models!$BJ50:$BT50,,AH50+1)*AF50-ERP_i)*AE50*Ramure*Pc/MaxiM</f>
        <v>1.8531032771353199E-6</v>
      </c>
      <c r="AE50" s="305">
        <f t="shared" si="12"/>
        <v>0.7</v>
      </c>
      <c r="AF50" s="177">
        <f t="shared" si="13"/>
        <v>0.40107351951314496</v>
      </c>
      <c r="AG50" s="810">
        <f t="shared" si="23"/>
        <v>-2</v>
      </c>
      <c r="AH50" s="176">
        <f t="shared" si="14"/>
        <v>4</v>
      </c>
      <c r="AI50" s="225">
        <f t="shared" si="15"/>
        <v>-1.598926480486855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6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6">
        <f t="shared" si="2"/>
        <v>0</v>
      </c>
      <c r="M51" s="855"/>
      <c r="N51" s="855"/>
      <c r="O51" s="324">
        <f t="shared" si="3"/>
        <v>0</v>
      </c>
      <c r="P51" s="169">
        <f>(INDEX(Models!$BJ51:$BT51,,T51)*(1-R51)+INDEX(Models!$BJ51:$BT51,,T51+1)*R51-ERP_i)*Q51*Ramure*Pc/MaxiM</f>
        <v>2.0233577468914859E-6</v>
      </c>
      <c r="Q51" s="305">
        <f t="shared" si="19"/>
        <v>0.7</v>
      </c>
      <c r="R51" s="177">
        <f t="shared" si="4"/>
        <v>0.40117110857682037</v>
      </c>
      <c r="S51" s="810">
        <f t="shared" si="20"/>
        <v>-2</v>
      </c>
      <c r="T51" s="176">
        <f t="shared" si="21"/>
        <v>4</v>
      </c>
      <c r="U51" s="251">
        <f t="shared" si="22"/>
        <v>-1.5988288914231796</v>
      </c>
      <c r="V51" s="383">
        <f t="shared" si="5"/>
        <v>28.549377364626363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5">
        <f t="shared" si="11"/>
        <v>0</v>
      </c>
      <c r="AD51" s="169">
        <f>(INDEX(Models!$BJ51:$BT51,,AH51)*(1-AF51)+INDEX(Models!$BJ51:$BT51,,AH51+1)*AF51-ERP_i)*AE51*Ramure*Pc/MaxiM</f>
        <v>2.0233577468914859E-6</v>
      </c>
      <c r="AE51" s="305">
        <f t="shared" si="12"/>
        <v>0.7</v>
      </c>
      <c r="AF51" s="177">
        <f t="shared" si="13"/>
        <v>0.40117110857682037</v>
      </c>
      <c r="AG51" s="810">
        <f t="shared" si="23"/>
        <v>-2</v>
      </c>
      <c r="AH51" s="176">
        <f t="shared" si="14"/>
        <v>4</v>
      </c>
      <c r="AI51" s="225">
        <f t="shared" si="15"/>
        <v>-1.5988288914231796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6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6">
        <f t="shared" si="2"/>
        <v>0</v>
      </c>
      <c r="M52" s="855"/>
      <c r="N52" s="855"/>
      <c r="O52" s="324">
        <f t="shared" si="3"/>
        <v>0</v>
      </c>
      <c r="P52" s="169">
        <f>(INDEX(Models!$BJ52:$BT52,,T52)*(1-R52)+INDEX(Models!$BJ52:$BT52,,T52+1)*R52-ERP_i)*Q52*Ramure*Pc/MaxiM</f>
        <v>2.1975818329730533E-6</v>
      </c>
      <c r="Q52" s="305">
        <f t="shared" si="19"/>
        <v>0.7</v>
      </c>
      <c r="R52" s="177">
        <f t="shared" si="4"/>
        <v>0.4012727408447414</v>
      </c>
      <c r="S52" s="810">
        <f t="shared" si="20"/>
        <v>-2</v>
      </c>
      <c r="T52" s="176">
        <f t="shared" si="21"/>
        <v>4</v>
      </c>
      <c r="U52" s="251">
        <f t="shared" si="22"/>
        <v>-1.5987272591552586</v>
      </c>
      <c r="V52" s="383">
        <f t="shared" si="5"/>
        <v>28.904601201772135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5">
        <f t="shared" si="11"/>
        <v>0</v>
      </c>
      <c r="AD52" s="169">
        <f>(INDEX(Models!$BJ52:$BT52,,AH52)*(1-AF52)+INDEX(Models!$BJ52:$BT52,,AH52+1)*AF52-ERP_i)*AE52*Ramure*Pc/MaxiM</f>
        <v>2.1975818329730533E-6</v>
      </c>
      <c r="AE52" s="305">
        <f t="shared" si="12"/>
        <v>0.7</v>
      </c>
      <c r="AF52" s="177">
        <f t="shared" si="13"/>
        <v>0.4012727408447414</v>
      </c>
      <c r="AG52" s="810">
        <f t="shared" si="23"/>
        <v>-2</v>
      </c>
      <c r="AH52" s="176">
        <f t="shared" si="14"/>
        <v>4</v>
      </c>
      <c r="AI52" s="225">
        <f t="shared" si="15"/>
        <v>-1.5987272591552586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6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6">
        <f t="shared" si="2"/>
        <v>0</v>
      </c>
      <c r="M53" s="855"/>
      <c r="N53" s="855"/>
      <c r="O53" s="324">
        <f t="shared" si="3"/>
        <v>0</v>
      </c>
      <c r="P53" s="169">
        <f>(INDEX(Models!$BJ53:$BT53,,T53)*(1-R53)+INDEX(Models!$BJ53:$BT53,,T53+1)*R53-ERP_i)*Q53*Ramure*Pc/MaxiM</f>
        <v>2.3727002848153407E-6</v>
      </c>
      <c r="Q53" s="305">
        <f t="shared" si="19"/>
        <v>0.7</v>
      </c>
      <c r="R53" s="177">
        <f t="shared" si="4"/>
        <v>0.40137858162343454</v>
      </c>
      <c r="S53" s="810">
        <f t="shared" si="20"/>
        <v>-2</v>
      </c>
      <c r="T53" s="176">
        <f t="shared" si="21"/>
        <v>4</v>
      </c>
      <c r="U53" s="251">
        <f t="shared" si="22"/>
        <v>-1.5986214183765655</v>
      </c>
      <c r="V53" s="383">
        <f t="shared" si="5"/>
        <v>29.265291348277145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5">
        <f t="shared" si="11"/>
        <v>0</v>
      </c>
      <c r="AD53" s="169">
        <f>(INDEX(Models!$BJ53:$BT53,,AH53)*(1-AF53)+INDEX(Models!$BJ53:$BT53,,AH53+1)*AF53-ERP_i)*AE53*Ramure*Pc/MaxiM</f>
        <v>2.3727002848153407E-6</v>
      </c>
      <c r="AE53" s="305">
        <f t="shared" si="12"/>
        <v>0.7</v>
      </c>
      <c r="AF53" s="177">
        <f t="shared" si="13"/>
        <v>0.40137858162343454</v>
      </c>
      <c r="AG53" s="810">
        <f t="shared" si="23"/>
        <v>-2</v>
      </c>
      <c r="AH53" s="176">
        <f t="shared" si="14"/>
        <v>4</v>
      </c>
      <c r="AI53" s="225">
        <f t="shared" si="15"/>
        <v>-1.5986214183765655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6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6">
        <f t="shared" si="2"/>
        <v>0</v>
      </c>
      <c r="M54" s="855"/>
      <c r="N54" s="855"/>
      <c r="O54" s="324">
        <f t="shared" si="3"/>
        <v>0</v>
      </c>
      <c r="P54" s="169">
        <f>(INDEX(Models!$BJ54:$BT54,,T54)*(1-R54)+INDEX(Models!$BJ54:$BT54,,T54+1)*R54-ERP_i)*Q54*Ramure*Pc/MaxiM</f>
        <v>2.5480584375442768E-6</v>
      </c>
      <c r="Q54" s="305">
        <f t="shared" si="19"/>
        <v>0.7</v>
      </c>
      <c r="R54" s="177">
        <f t="shared" si="4"/>
        <v>0.40148880279030741</v>
      </c>
      <c r="S54" s="810">
        <f t="shared" si="20"/>
        <v>-2</v>
      </c>
      <c r="T54" s="176">
        <f t="shared" si="21"/>
        <v>4</v>
      </c>
      <c r="U54" s="251">
        <f t="shared" si="22"/>
        <v>-1.5985111972096926</v>
      </c>
      <c r="V54" s="383">
        <f t="shared" si="5"/>
        <v>29.631119832859998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5">
        <f t="shared" si="11"/>
        <v>0</v>
      </c>
      <c r="AD54" s="169">
        <f>(INDEX(Models!$BJ54:$BT54,,AH54)*(1-AF54)+INDEX(Models!$BJ54:$BT54,,AH54+1)*AF54-ERP_i)*AE54*Ramure*Pc/MaxiM</f>
        <v>2.5480584375442768E-6</v>
      </c>
      <c r="AE54" s="305">
        <f t="shared" si="12"/>
        <v>0.7</v>
      </c>
      <c r="AF54" s="177">
        <f t="shared" si="13"/>
        <v>0.40148880279030741</v>
      </c>
      <c r="AG54" s="810">
        <f t="shared" si="23"/>
        <v>-2</v>
      </c>
      <c r="AH54" s="176">
        <f t="shared" si="14"/>
        <v>4</v>
      </c>
      <c r="AI54" s="225">
        <f t="shared" si="15"/>
        <v>-1.5985111972096926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6">
        <f t="shared" si="2"/>
        <v>0</v>
      </c>
      <c r="M55" s="855"/>
      <c r="N55" s="855"/>
      <c r="O55" s="324">
        <f t="shared" si="3"/>
        <v>0</v>
      </c>
      <c r="P55" s="169">
        <f>(INDEX(Models!$BJ55:$BT55,,T55)*(1-R55)+INDEX(Models!$BJ55:$BT55,,T55+1)*R55-ERP_i)*Q55*Ramure*Pc/MaxiM</f>
        <v>2.7229714347324082E-6</v>
      </c>
      <c r="Q55" s="305">
        <f t="shared" si="19"/>
        <v>0.7</v>
      </c>
      <c r="R55" s="177">
        <f t="shared" si="4"/>
        <v>0.40160358303883736</v>
      </c>
      <c r="S55" s="810">
        <f t="shared" si="20"/>
        <v>-2</v>
      </c>
      <c r="T55" s="176">
        <f t="shared" si="21"/>
        <v>4</v>
      </c>
      <c r="U55" s="251">
        <f t="shared" si="22"/>
        <v>-1.5983964169611626</v>
      </c>
      <c r="V55" s="383">
        <f t="shared" si="5"/>
        <v>30.001758684269543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5">
        <f t="shared" si="11"/>
        <v>0</v>
      </c>
      <c r="AD55" s="169">
        <f>(INDEX(Models!$BJ55:$BT55,,AH55)*(1-AF55)+INDEX(Models!$BJ55:$BT55,,AH55+1)*AF55-ERP_i)*AE55*Ramure*Pc/MaxiM</f>
        <v>2.7229714347324082E-6</v>
      </c>
      <c r="AE55" s="305">
        <f t="shared" si="12"/>
        <v>0.7</v>
      </c>
      <c r="AF55" s="177">
        <f t="shared" si="13"/>
        <v>0.40160358303883736</v>
      </c>
      <c r="AG55" s="810">
        <f t="shared" si="23"/>
        <v>-2</v>
      </c>
      <c r="AH55" s="176">
        <f t="shared" si="14"/>
        <v>4</v>
      </c>
      <c r="AI55" s="225">
        <f t="shared" si="15"/>
        <v>-1.5983964169611626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6">
        <f t="shared" si="2"/>
        <v>0</v>
      </c>
      <c r="M56" s="855"/>
      <c r="N56" s="855"/>
      <c r="O56" s="324">
        <f t="shared" si="3"/>
        <v>0</v>
      </c>
      <c r="P56" s="169">
        <f>(INDEX(Models!$BJ56:$BT56,,T56)*(1-R56)+INDEX(Models!$BJ56:$BT56,,T56+1)*R56-ERP_i)*Q56*Ramure*Pc/MaxiM</f>
        <v>2.8967216688976359E-6</v>
      </c>
      <c r="Q56" s="305">
        <f t="shared" si="19"/>
        <v>0.7</v>
      </c>
      <c r="R56" s="177">
        <f t="shared" si="4"/>
        <v>0.40172310813152623</v>
      </c>
      <c r="S56" s="810">
        <f t="shared" si="20"/>
        <v>-2</v>
      </c>
      <c r="T56" s="176">
        <f t="shared" si="21"/>
        <v>4</v>
      </c>
      <c r="U56" s="251">
        <f t="shared" si="22"/>
        <v>-1.5982768918684738</v>
      </c>
      <c r="V56" s="383">
        <f t="shared" si="5"/>
        <v>30.37687993568241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5">
        <f t="shared" si="11"/>
        <v>0</v>
      </c>
      <c r="AD56" s="169">
        <f>(INDEX(Models!$BJ56:$BT56,,AH56)*(1-AF56)+INDEX(Models!$BJ56:$BT56,,AH56+1)*AF56-ERP_i)*AE56*Ramure*Pc/MaxiM</f>
        <v>2.8967216688976359E-6</v>
      </c>
      <c r="AE56" s="305">
        <f t="shared" si="12"/>
        <v>0.7</v>
      </c>
      <c r="AF56" s="177">
        <f t="shared" si="13"/>
        <v>0.40172310813152623</v>
      </c>
      <c r="AG56" s="810">
        <f t="shared" si="23"/>
        <v>-2</v>
      </c>
      <c r="AH56" s="176">
        <f t="shared" si="14"/>
        <v>4</v>
      </c>
      <c r="AI56" s="225">
        <f t="shared" si="15"/>
        <v>-1.5982768918684738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6">
        <f t="shared" si="2"/>
        <v>0</v>
      </c>
      <c r="M57" s="855"/>
      <c r="N57" s="855"/>
      <c r="O57" s="324">
        <f t="shared" si="3"/>
        <v>0</v>
      </c>
      <c r="P57" s="169">
        <f>(INDEX(Models!$BJ57:$BT57,,T57)*(1-R57)+INDEX(Models!$BJ57:$BT57,,T57+1)*R57-ERP_i)*Q57*Ramure*Pc/MaxiM</f>
        <v>3.0685559879646353E-6</v>
      </c>
      <c r="Q57" s="305">
        <f t="shared" si="19"/>
        <v>0.7</v>
      </c>
      <c r="R57" s="177">
        <f t="shared" si="4"/>
        <v>0.40184757116074454</v>
      </c>
      <c r="S57" s="810">
        <f t="shared" si="20"/>
        <v>-2</v>
      </c>
      <c r="T57" s="176">
        <f t="shared" si="21"/>
        <v>4</v>
      </c>
      <c r="U57" s="251">
        <f t="shared" si="22"/>
        <v>-1.5981524288392555</v>
      </c>
      <c r="V57" s="383">
        <f t="shared" si="5"/>
        <v>30.756155622166101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5">
        <f t="shared" si="11"/>
        <v>0</v>
      </c>
      <c r="AD57" s="169">
        <f>(INDEX(Models!$BJ57:$BT57,,AH57)*(1-AF57)+INDEX(Models!$BJ57:$BT57,,AH57+1)*AF57-ERP_i)*AE57*Ramure*Pc/MaxiM</f>
        <v>3.0685559879646353E-6</v>
      </c>
      <c r="AE57" s="305">
        <f t="shared" si="12"/>
        <v>0.7</v>
      </c>
      <c r="AF57" s="177">
        <f t="shared" si="13"/>
        <v>0.40184757116074454</v>
      </c>
      <c r="AG57" s="810">
        <f t="shared" si="23"/>
        <v>-2</v>
      </c>
      <c r="AH57" s="176">
        <f t="shared" si="14"/>
        <v>4</v>
      </c>
      <c r="AI57" s="225">
        <f t="shared" si="15"/>
        <v>-1.5981524288392555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6">
        <f t="shared" si="2"/>
        <v>0</v>
      </c>
      <c r="M58" s="855"/>
      <c r="N58" s="855"/>
      <c r="O58" s="324">
        <f t="shared" si="3"/>
        <v>0</v>
      </c>
      <c r="P58" s="169">
        <f>(INDEX(Models!$BJ58:$BT58,,T58)*(1-R58)+INDEX(Models!$BJ58:$BT58,,T58+1)*R58-ERP_i)*Q58*Ramure*Pc/MaxiM</f>
        <v>3.2291148071524322E-6</v>
      </c>
      <c r="Q58" s="305">
        <f t="shared" si="19"/>
        <v>0.7</v>
      </c>
      <c r="R58" s="177">
        <f t="shared" si="4"/>
        <v>0.40197717281757583</v>
      </c>
      <c r="S58" s="810">
        <f t="shared" si="20"/>
        <v>-2</v>
      </c>
      <c r="T58" s="176">
        <f t="shared" si="21"/>
        <v>4</v>
      </c>
      <c r="U58" s="251">
        <f t="shared" si="22"/>
        <v>-1.5980228271824242</v>
      </c>
      <c r="V58" s="383">
        <f t="shared" si="5"/>
        <v>31.139258047452213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5">
        <f t="shared" si="11"/>
        <v>0</v>
      </c>
      <c r="AD58" s="169">
        <f>(INDEX(Models!$BJ58:$BT58,,AH58)*(1-AF58)+INDEX(Models!$BJ58:$BT58,,AH58+1)*AF58-ERP_i)*AE58*Ramure*Pc/MaxiM</f>
        <v>3.2291148071524322E-6</v>
      </c>
      <c r="AE58" s="305">
        <f t="shared" si="12"/>
        <v>0.7</v>
      </c>
      <c r="AF58" s="177">
        <f t="shared" si="13"/>
        <v>0.40197717281757583</v>
      </c>
      <c r="AG58" s="810">
        <f t="shared" si="23"/>
        <v>-2</v>
      </c>
      <c r="AH58" s="176">
        <f t="shared" si="14"/>
        <v>4</v>
      </c>
      <c r="AI58" s="225">
        <f t="shared" si="15"/>
        <v>-1.5980228271824242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6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6">
        <f t="shared" si="2"/>
        <v>0</v>
      </c>
      <c r="M59" s="855"/>
      <c r="N59" s="855"/>
      <c r="O59" s="324">
        <f t="shared" si="3"/>
        <v>0</v>
      </c>
      <c r="P59" s="169">
        <f>(INDEX(Models!$BJ59:$BT59,,T59)*(1-R59)+INDEX(Models!$BJ59:$BT59,,T59+1)*R59-ERP_i)*Q59*Ramure*Pc/MaxiM</f>
        <v>3.378340108537252E-6</v>
      </c>
      <c r="Q59" s="305">
        <f t="shared" si="19"/>
        <v>0.7</v>
      </c>
      <c r="R59" s="177">
        <f t="shared" si="4"/>
        <v>0.40211212166876131</v>
      </c>
      <c r="S59" s="810">
        <f t="shared" si="20"/>
        <v>-2</v>
      </c>
      <c r="T59" s="176">
        <f t="shared" si="21"/>
        <v>4</v>
      </c>
      <c r="U59" s="251">
        <f t="shared" si="22"/>
        <v>-1.5978878783312387</v>
      </c>
      <c r="V59" s="383">
        <f t="shared" si="5"/>
        <v>31.525859237146062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5">
        <f t="shared" si="11"/>
        <v>0</v>
      </c>
      <c r="AD59" s="169">
        <f>(INDEX(Models!$BJ59:$BT59,,AH59)*(1-AF59)+INDEX(Models!$BJ59:$BT59,,AH59+1)*AF59-ERP_i)*AE59*Ramure*Pc/MaxiM</f>
        <v>3.378340108537252E-6</v>
      </c>
      <c r="AE59" s="305">
        <f t="shared" si="12"/>
        <v>0.7</v>
      </c>
      <c r="AF59" s="177">
        <f t="shared" si="13"/>
        <v>0.40211212166876131</v>
      </c>
      <c r="AG59" s="810">
        <f t="shared" si="23"/>
        <v>-2</v>
      </c>
      <c r="AH59" s="176">
        <f t="shared" si="14"/>
        <v>4</v>
      </c>
      <c r="AI59" s="225">
        <f t="shared" si="15"/>
        <v>-1.5978878783312387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6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6">
        <f t="shared" si="2"/>
        <v>0</v>
      </c>
      <c r="M60" s="855"/>
      <c r="N60" s="855"/>
      <c r="O60" s="324">
        <f t="shared" si="3"/>
        <v>0</v>
      </c>
      <c r="P60" s="169">
        <f>(INDEX(Models!$BJ60:$BT60,,T60)*(1-R60)+INDEX(Models!$BJ60:$BT60,,T60+1)*R60-ERP_i)*Q60*Ramure*Pc/MaxiM</f>
        <v>3.514532233333373E-6</v>
      </c>
      <c r="Q60" s="305">
        <f t="shared" si="19"/>
        <v>0.7</v>
      </c>
      <c r="R60" s="177">
        <f t="shared" si="4"/>
        <v>0.40225263444182557</v>
      </c>
      <c r="S60" s="810">
        <f t="shared" si="20"/>
        <v>-2</v>
      </c>
      <c r="T60" s="176">
        <f t="shared" si="21"/>
        <v>4</v>
      </c>
      <c r="U60" s="251">
        <f t="shared" si="22"/>
        <v>-1.5977473655581744</v>
      </c>
      <c r="V60" s="383">
        <f t="shared" si="5"/>
        <v>31.915631270948378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5">
        <f t="shared" si="11"/>
        <v>0</v>
      </c>
      <c r="AD60" s="169">
        <f>(INDEX(Models!$BJ60:$BT60,,AH60)*(1-AF60)+INDEX(Models!$BJ60:$BT60,,AH60+1)*AF60-ERP_i)*AE60*Ramure*Pc/MaxiM</f>
        <v>3.514532233333373E-6</v>
      </c>
      <c r="AE60" s="305">
        <f t="shared" si="12"/>
        <v>0.7</v>
      </c>
      <c r="AF60" s="177">
        <f t="shared" si="13"/>
        <v>0.40225263444182557</v>
      </c>
      <c r="AG60" s="810">
        <f t="shared" si="23"/>
        <v>-2</v>
      </c>
      <c r="AH60" s="176">
        <f t="shared" si="14"/>
        <v>4</v>
      </c>
      <c r="AI60" s="225">
        <f t="shared" si="15"/>
        <v>-1.5977473655581744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6">
        <f t="shared" si="2"/>
        <v>0</v>
      </c>
      <c r="M61" s="855"/>
      <c r="N61" s="855"/>
      <c r="O61" s="324">
        <f t="shared" si="3"/>
        <v>0</v>
      </c>
      <c r="P61" s="169">
        <f>(INDEX(Models!$BJ61:$BT61,,T61)*(1-R61)+INDEX(Models!$BJ61:$BT61,,T61+1)*R61-ERP_i)*Q61*Ramure*Pc/MaxiM</f>
        <v>3.6358966934085968E-6</v>
      </c>
      <c r="Q61" s="305">
        <f t="shared" si="19"/>
        <v>0.7</v>
      </c>
      <c r="R61" s="177">
        <f t="shared" si="4"/>
        <v>0.40239893631845614</v>
      </c>
      <c r="S61" s="810">
        <f t="shared" si="20"/>
        <v>-2</v>
      </c>
      <c r="T61" s="176">
        <f t="shared" si="21"/>
        <v>4</v>
      </c>
      <c r="U61" s="251">
        <f t="shared" si="22"/>
        <v>-1.5976010636815439</v>
      </c>
      <c r="V61" s="383">
        <f t="shared" si="5"/>
        <v>32.308246232461705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5">
        <f t="shared" si="11"/>
        <v>0</v>
      </c>
      <c r="AD61" s="169">
        <f>(INDEX(Models!$BJ61:$BT61,,AH61)*(1-AF61)+INDEX(Models!$BJ61:$BT61,,AH61+1)*AF61-ERP_i)*AE61*Ramure*Pc/MaxiM</f>
        <v>3.6358966934085968E-6</v>
      </c>
      <c r="AE61" s="305">
        <f t="shared" si="12"/>
        <v>0.7</v>
      </c>
      <c r="AF61" s="177">
        <f t="shared" si="13"/>
        <v>0.40239893631845614</v>
      </c>
      <c r="AG61" s="810">
        <f t="shared" si="23"/>
        <v>-2</v>
      </c>
      <c r="AH61" s="176">
        <f t="shared" si="14"/>
        <v>4</v>
      </c>
      <c r="AI61" s="225">
        <f t="shared" si="15"/>
        <v>-1.5976010636815439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6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6">
        <f t="shared" si="2"/>
        <v>0</v>
      </c>
      <c r="M62" s="855"/>
      <c r="N62" s="855"/>
      <c r="O62" s="324">
        <f t="shared" si="3"/>
        <v>0</v>
      </c>
      <c r="P62" s="169">
        <f>(INDEX(Models!$BJ62:$BT62,,T62)*(1-R62)+INDEX(Models!$BJ62:$BT62,,T62+1)*R62-ERP_i)*Q62*Ramure*Pc/MaxiM</f>
        <v>3.7405367184809415E-6</v>
      </c>
      <c r="Q62" s="305">
        <f t="shared" si="19"/>
        <v>0.7</v>
      </c>
      <c r="R62" s="177">
        <f t="shared" si="4"/>
        <v>0.40255126123618123</v>
      </c>
      <c r="S62" s="810">
        <f t="shared" si="20"/>
        <v>-2</v>
      </c>
      <c r="T62" s="176">
        <f t="shared" si="21"/>
        <v>4</v>
      </c>
      <c r="U62" s="251">
        <f t="shared" si="22"/>
        <v>-1.5974487387638188</v>
      </c>
      <c r="V62" s="383">
        <f t="shared" si="5"/>
        <v>32.703376212926628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5">
        <f t="shared" si="11"/>
        <v>0</v>
      </c>
      <c r="AD62" s="169">
        <f>(INDEX(Models!$BJ62:$BT62,,AH62)*(1-AF62)+INDEX(Models!$BJ62:$BT62,,AH62+1)*AF62-ERP_i)*AE62*Ramure*Pc/MaxiM</f>
        <v>3.7405367184809415E-6</v>
      </c>
      <c r="AE62" s="305">
        <f t="shared" si="12"/>
        <v>0.7</v>
      </c>
      <c r="AF62" s="177">
        <f t="shared" si="13"/>
        <v>0.40255126123618123</v>
      </c>
      <c r="AG62" s="810">
        <f t="shared" si="23"/>
        <v>-2</v>
      </c>
      <c r="AH62" s="176">
        <f t="shared" si="14"/>
        <v>4</v>
      </c>
      <c r="AI62" s="225">
        <f t="shared" si="15"/>
        <v>-1.5974487387638188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6">
        <f t="shared" si="2"/>
        <v>0</v>
      </c>
      <c r="M63" s="855"/>
      <c r="N63" s="855"/>
      <c r="O63" s="324">
        <f t="shared" si="3"/>
        <v>0</v>
      </c>
      <c r="P63" s="169">
        <f>(INDEX(Models!$BJ63:$BT63,,T63)*(1-R63)+INDEX(Models!$BJ63:$BT63,,T63+1)*R63-ERP_i)*Q63*Ramure*Pc/MaxiM</f>
        <v>3.8264452765132145E-6</v>
      </c>
      <c r="Q63" s="305">
        <f t="shared" si="19"/>
        <v>0.7</v>
      </c>
      <c r="R63" s="177">
        <f t="shared" si="4"/>
        <v>0.40270985219837985</v>
      </c>
      <c r="S63" s="810">
        <f t="shared" si="20"/>
        <v>-2</v>
      </c>
      <c r="T63" s="176">
        <f t="shared" si="21"/>
        <v>4</v>
      </c>
      <c r="U63" s="251">
        <f t="shared" si="22"/>
        <v>-1.5972901478016202</v>
      </c>
      <c r="V63" s="383">
        <f t="shared" si="5"/>
        <v>33.10069331171217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5">
        <f t="shared" si="11"/>
        <v>0</v>
      </c>
      <c r="AD63" s="169">
        <f>(INDEX(Models!$BJ63:$BT63,,AH63)*(1-AF63)+INDEX(Models!$BJ63:$BT63,,AH63+1)*AF63-ERP_i)*AE63*Ramure*Pc/MaxiM</f>
        <v>3.8264452765132145E-6</v>
      </c>
      <c r="AE63" s="305">
        <f t="shared" si="12"/>
        <v>0.7</v>
      </c>
      <c r="AF63" s="177">
        <f t="shared" si="13"/>
        <v>0.40270985219837985</v>
      </c>
      <c r="AG63" s="810">
        <f t="shared" si="23"/>
        <v>-2</v>
      </c>
      <c r="AH63" s="176">
        <f t="shared" si="14"/>
        <v>4</v>
      </c>
      <c r="AI63" s="225">
        <f t="shared" si="15"/>
        <v>-1.5972901478016202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6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6">
        <f t="shared" si="2"/>
        <v>0</v>
      </c>
      <c r="M64" s="855"/>
      <c r="N64" s="855"/>
      <c r="O64" s="324">
        <f t="shared" si="3"/>
        <v>0</v>
      </c>
      <c r="P64" s="169">
        <f>(INDEX(Models!$BJ64:$BT64,,T64)*(1-R64)+INDEX(Models!$BJ64:$BT64,,T64+1)*R64-ERP_i)*Q64*Ramure*Pc/MaxiM</f>
        <v>3.8914965338463544E-6</v>
      </c>
      <c r="Q64" s="305">
        <f t="shared" si="19"/>
        <v>0.7</v>
      </c>
      <c r="R64" s="177">
        <f t="shared" si="4"/>
        <v>0.40287496159262703</v>
      </c>
      <c r="S64" s="810">
        <f t="shared" si="20"/>
        <v>-2</v>
      </c>
      <c r="T64" s="176">
        <f t="shared" si="21"/>
        <v>4</v>
      </c>
      <c r="U64" s="251">
        <f t="shared" si="22"/>
        <v>-1.597125038407373</v>
      </c>
      <c r="V64" s="383">
        <f t="shared" si="5"/>
        <v>33.499869634493592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5">
        <f t="shared" si="11"/>
        <v>0</v>
      </c>
      <c r="AD64" s="169">
        <f>(INDEX(Models!$BJ64:$BT64,,AH64)*(1-AF64)+INDEX(Models!$BJ64:$BT64,,AH64+1)*AF64-ERP_i)*AE64*Ramure*Pc/MaxiM</f>
        <v>3.8914965338463544E-6</v>
      </c>
      <c r="AE64" s="305">
        <f t="shared" si="12"/>
        <v>0.7</v>
      </c>
      <c r="AF64" s="177">
        <f t="shared" si="13"/>
        <v>0.40287496159262703</v>
      </c>
      <c r="AG64" s="810">
        <f t="shared" si="23"/>
        <v>-2</v>
      </c>
      <c r="AH64" s="176">
        <f t="shared" si="14"/>
        <v>4</v>
      </c>
      <c r="AI64" s="225">
        <f t="shared" si="15"/>
        <v>-1.597125038407373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6">
        <f t="shared" si="2"/>
        <v>0</v>
      </c>
      <c r="M65" s="855"/>
      <c r="N65" s="855"/>
      <c r="O65" s="324">
        <f t="shared" si="3"/>
        <v>0</v>
      </c>
      <c r="P65" s="169">
        <f>(INDEX(Models!$BJ65:$BT65,,T65)*(1-R65)+INDEX(Models!$BJ65:$BT65,,T65+1)*R65-ERP_i)*Q65*Ramure*Pc/MaxiM</f>
        <v>3.9332866124332661E-6</v>
      </c>
      <c r="Q65" s="305">
        <f t="shared" si="19"/>
        <v>0.7</v>
      </c>
      <c r="R65" s="177">
        <f t="shared" si="4"/>
        <v>0.40304685151735531</v>
      </c>
      <c r="S65" s="810">
        <f t="shared" si="20"/>
        <v>-2</v>
      </c>
      <c r="T65" s="176">
        <f t="shared" si="21"/>
        <v>4</v>
      </c>
      <c r="U65" s="251">
        <f t="shared" si="22"/>
        <v>-1.5969531484826447</v>
      </c>
      <c r="V65" s="383">
        <f t="shared" si="5"/>
        <v>33.90187102650755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5">
        <f t="shared" si="11"/>
        <v>0</v>
      </c>
      <c r="AD65" s="169">
        <f>(INDEX(Models!$BJ65:$BT65,,AH65)*(1-AF65)+INDEX(Models!$BJ65:$BT65,,AH65+1)*AF65-ERP_i)*AE65*Ramure*Pc/MaxiM</f>
        <v>3.9332866124332661E-6</v>
      </c>
      <c r="AE65" s="305">
        <f t="shared" si="12"/>
        <v>0.7</v>
      </c>
      <c r="AF65" s="177">
        <f t="shared" si="13"/>
        <v>0.40304685151735531</v>
      </c>
      <c r="AG65" s="810">
        <f t="shared" si="23"/>
        <v>-2</v>
      </c>
      <c r="AH65" s="176">
        <f t="shared" si="14"/>
        <v>4</v>
      </c>
      <c r="AI65" s="225">
        <f t="shared" si="15"/>
        <v>-1.5969531484826447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6">
        <f t="shared" si="2"/>
        <v>0</v>
      </c>
      <c r="M66" s="855"/>
      <c r="N66" s="855"/>
      <c r="O66" s="324">
        <f t="shared" si="3"/>
        <v>0</v>
      </c>
      <c r="P66" s="169">
        <f>(INDEX(Models!$BJ66:$BT66,,T66)*(1-R66)+INDEX(Models!$BJ66:$BT66,,T66+1)*R66-ERP_i)*Q66*Ramure*Pc/MaxiM</f>
        <v>3.9558618493911078E-6</v>
      </c>
      <c r="Q66" s="305">
        <f t="shared" si="19"/>
        <v>0.7</v>
      </c>
      <c r="R66" s="177">
        <f t="shared" si="4"/>
        <v>0.4032257941167845</v>
      </c>
      <c r="S66" s="810">
        <f t="shared" si="20"/>
        <v>-2</v>
      </c>
      <c r="T66" s="176">
        <f t="shared" si="21"/>
        <v>4</v>
      </c>
      <c r="U66" s="251">
        <f t="shared" si="22"/>
        <v>-1.5967742058832155</v>
      </c>
      <c r="V66" s="383">
        <f t="shared" si="5"/>
        <v>34.307736002674638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5">
        <f t="shared" si="11"/>
        <v>0</v>
      </c>
      <c r="AD66" s="169">
        <f>(INDEX(Models!$BJ66:$BT66,,AH66)*(1-AF66)+INDEX(Models!$BJ66:$BT66,,AH66+1)*AF66-ERP_i)*AE66*Ramure*Pc/MaxiM</f>
        <v>3.9558618493911078E-6</v>
      </c>
      <c r="AE66" s="305">
        <f t="shared" si="12"/>
        <v>0.7</v>
      </c>
      <c r="AF66" s="177">
        <f t="shared" si="13"/>
        <v>0.4032257941167845</v>
      </c>
      <c r="AG66" s="810">
        <f t="shared" si="23"/>
        <v>-2</v>
      </c>
      <c r="AH66" s="176">
        <f t="shared" si="14"/>
        <v>4</v>
      </c>
      <c r="AI66" s="225">
        <f t="shared" si="15"/>
        <v>-1.5967742058832155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6">
        <f t="shared" si="2"/>
        <v>0</v>
      </c>
      <c r="M67" s="855"/>
      <c r="N67" s="855"/>
      <c r="O67" s="324">
        <f t="shared" si="3"/>
        <v>0</v>
      </c>
      <c r="P67" s="169">
        <f>(INDEX(Models!$BJ67:$BT67,,T67)*(1-R67)+INDEX(Models!$BJ67:$BT67,,T67+1)*R67-ERP_i)*Q67*Ramure*Pc/MaxiM</f>
        <v>3.9691598537785393E-6</v>
      </c>
      <c r="Q67" s="305">
        <f t="shared" si="19"/>
        <v>0.7</v>
      </c>
      <c r="R67" s="177">
        <f t="shared" si="4"/>
        <v>0.40341207192403994</v>
      </c>
      <c r="S67" s="810">
        <f t="shared" si="20"/>
        <v>-2</v>
      </c>
      <c r="T67" s="176">
        <f t="shared" si="21"/>
        <v>4</v>
      </c>
      <c r="U67" s="251">
        <f t="shared" si="22"/>
        <v>-1.5965879280759601</v>
      </c>
      <c r="V67" s="383">
        <f t="shared" si="5"/>
        <v>34.717245582507481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5">
        <f t="shared" si="11"/>
        <v>0</v>
      </c>
      <c r="AD67" s="169">
        <f>(INDEX(Models!$BJ67:$BT67,,AH67)*(1-AF67)+INDEX(Models!$BJ67:$BT67,,AH67+1)*AF67-ERP_i)*AE67*Ramure*Pc/MaxiM</f>
        <v>3.9691598537785393E-6</v>
      </c>
      <c r="AE67" s="305">
        <f t="shared" si="12"/>
        <v>0.7</v>
      </c>
      <c r="AF67" s="177">
        <f t="shared" si="13"/>
        <v>0.40341207192403994</v>
      </c>
      <c r="AG67" s="810">
        <f t="shared" si="23"/>
        <v>-2</v>
      </c>
      <c r="AH67" s="176">
        <f t="shared" si="14"/>
        <v>4</v>
      </c>
      <c r="AI67" s="225">
        <f t="shared" si="15"/>
        <v>-1.5965879280759601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6">
        <f t="shared" si="2"/>
        <v>0</v>
      </c>
      <c r="M68" s="855"/>
      <c r="N68" s="855"/>
      <c r="O68" s="324">
        <f t="shared" si="3"/>
        <v>0</v>
      </c>
      <c r="P68" s="169">
        <f>(INDEX(Models!$BJ68:$BT68,,T68)*(1-R68)+INDEX(Models!$BJ68:$BT68,,T68+1)*R68-ERP_i)*Q68*Ramure*Pc/MaxiM</f>
        <v>3.9724426011030663E-6</v>
      </c>
      <c r="Q68" s="305">
        <f t="shared" si="19"/>
        <v>0.7</v>
      </c>
      <c r="R68" s="177">
        <f t="shared" si="4"/>
        <v>0.40360597821234223</v>
      </c>
      <c r="S68" s="810">
        <f t="shared" si="20"/>
        <v>-2</v>
      </c>
      <c r="T68" s="176">
        <f t="shared" si="21"/>
        <v>4</v>
      </c>
      <c r="U68" s="251">
        <f t="shared" si="22"/>
        <v>-1.5963940217876578</v>
      </c>
      <c r="V68" s="383">
        <f t="shared" si="5"/>
        <v>35.130181146223983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5">
        <f t="shared" si="11"/>
        <v>0</v>
      </c>
      <c r="AD68" s="169">
        <f>(INDEX(Models!$BJ68:$BT68,,AH68)*(1-AF68)+INDEX(Models!$BJ68:$BT68,,AH68+1)*AF68-ERP_i)*AE68*Ramure*Pc/MaxiM</f>
        <v>3.9724426011030663E-6</v>
      </c>
      <c r="AE68" s="305">
        <f t="shared" si="12"/>
        <v>0.7</v>
      </c>
      <c r="AF68" s="177">
        <f t="shared" si="13"/>
        <v>0.40360597821234223</v>
      </c>
      <c r="AG68" s="810">
        <f t="shared" si="23"/>
        <v>-2</v>
      </c>
      <c r="AH68" s="176">
        <f t="shared" si="14"/>
        <v>4</v>
      </c>
      <c r="AI68" s="225">
        <f t="shared" si="15"/>
        <v>-1.5963940217876578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6">
        <f t="shared" si="2"/>
        <v>0</v>
      </c>
      <c r="M69" s="855"/>
      <c r="N69" s="855"/>
      <c r="O69" s="324">
        <f t="shared" si="3"/>
        <v>0</v>
      </c>
      <c r="P69" s="169">
        <f>(INDEX(Models!$BJ69:$BT69,,T69)*(1-R69)+INDEX(Models!$BJ69:$BT69,,T69+1)*R69-ERP_i)*Q69*Ramure*Pc/MaxiM</f>
        <v>3.9649508689774161E-6</v>
      </c>
      <c r="Q69" s="305">
        <f t="shared" si="19"/>
        <v>0.7</v>
      </c>
      <c r="R69" s="177">
        <f t="shared" si="4"/>
        <v>0.40380781735411686</v>
      </c>
      <c r="S69" s="810">
        <f t="shared" si="20"/>
        <v>-2</v>
      </c>
      <c r="T69" s="176">
        <f t="shared" si="21"/>
        <v>4</v>
      </c>
      <c r="U69" s="251">
        <f t="shared" si="22"/>
        <v>-1.5961921826458831</v>
      </c>
      <c r="V69" s="383">
        <f t="shared" si="5"/>
        <v>35.546324074066959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5">
        <f t="shared" si="11"/>
        <v>0</v>
      </c>
      <c r="AD69" s="169">
        <f>(INDEX(Models!$BJ69:$BT69,,AH69)*(1-AF69)+INDEX(Models!$BJ69:$BT69,,AH69+1)*AF69-ERP_i)*AE69*Ramure*Pc/MaxiM</f>
        <v>3.9649508689774161E-6</v>
      </c>
      <c r="AE69" s="305">
        <f t="shared" si="12"/>
        <v>0.7</v>
      </c>
      <c r="AF69" s="177">
        <f t="shared" si="13"/>
        <v>0.40380781735411686</v>
      </c>
      <c r="AG69" s="810">
        <f t="shared" si="23"/>
        <v>-2</v>
      </c>
      <c r="AH69" s="176">
        <f t="shared" si="14"/>
        <v>4</v>
      </c>
      <c r="AI69" s="225">
        <f t="shared" si="15"/>
        <v>-1.5961921826458831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6">
        <f t="shared" si="2"/>
        <v>0</v>
      </c>
      <c r="M70" s="855"/>
      <c r="N70" s="855"/>
      <c r="O70" s="324">
        <f t="shared" si="3"/>
        <v>0</v>
      </c>
      <c r="P70" s="169">
        <f>(INDEX(Models!$BJ70:$BT70,,T70)*(1-R70)+INDEX(Models!$BJ70:$BT70,,T70+1)*R70-ERP_i)*Q70*Ramure*Pc/MaxiM</f>
        <v>3.9458822704964528E-6</v>
      </c>
      <c r="Q70" s="305">
        <f t="shared" si="19"/>
        <v>0.7</v>
      </c>
      <c r="R70" s="177">
        <f t="shared" si="4"/>
        <v>0.40401790518782565</v>
      </c>
      <c r="S70" s="810">
        <f t="shared" si="20"/>
        <v>-2</v>
      </c>
      <c r="T70" s="176">
        <f t="shared" si="21"/>
        <v>4</v>
      </c>
      <c r="U70" s="251">
        <f t="shared" si="22"/>
        <v>-1.5959820948121743</v>
      </c>
      <c r="V70" s="383">
        <f t="shared" si="5"/>
        <v>35.965455751371231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5">
        <f t="shared" si="11"/>
        <v>0</v>
      </c>
      <c r="AD70" s="169">
        <f>(INDEX(Models!$BJ70:$BT70,,AH70)*(1-AF70)+INDEX(Models!$BJ70:$BT70,,AH70+1)*AF70-ERP_i)*AE70*Ramure*Pc/MaxiM</f>
        <v>3.9458822704964528E-6</v>
      </c>
      <c r="AE70" s="305">
        <f t="shared" si="12"/>
        <v>0.7</v>
      </c>
      <c r="AF70" s="177">
        <f t="shared" si="13"/>
        <v>0.40401790518782565</v>
      </c>
      <c r="AG70" s="810">
        <f t="shared" si="23"/>
        <v>-2</v>
      </c>
      <c r="AH70" s="176">
        <f t="shared" si="14"/>
        <v>4</v>
      </c>
      <c r="AI70" s="225">
        <f t="shared" si="15"/>
        <v>-1.5959820948121743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6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6">
        <f t="shared" si="2"/>
        <v>0</v>
      </c>
      <c r="M71" s="855"/>
      <c r="N71" s="855"/>
      <c r="O71" s="324">
        <f t="shared" si="3"/>
        <v>0</v>
      </c>
      <c r="P71" s="169">
        <f>(INDEX(Models!$BJ71:$BT71,,T71)*(1-R71)+INDEX(Models!$BJ71:$BT71,,T71+1)*R71-ERP_i)*Q71*Ramure*Pc/MaxiM</f>
        <v>3.914388637667713E-6</v>
      </c>
      <c r="Q71" s="305">
        <f t="shared" si="19"/>
        <v>0.7</v>
      </c>
      <c r="R71" s="177">
        <f t="shared" si="4"/>
        <v>0.40423656939227803</v>
      </c>
      <c r="S71" s="810">
        <f t="shared" si="20"/>
        <v>-2</v>
      </c>
      <c r="T71" s="176">
        <f t="shared" si="21"/>
        <v>4</v>
      </c>
      <c r="U71" s="251">
        <f t="shared" si="22"/>
        <v>-1.595763430607722</v>
      </c>
      <c r="V71" s="383">
        <f t="shared" si="5"/>
        <v>36.387357564997181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5">
        <f t="shared" si="11"/>
        <v>0</v>
      </c>
      <c r="AD71" s="169">
        <f>(INDEX(Models!$BJ71:$BT71,,AH71)*(1-AF71)+INDEX(Models!$BJ71:$BT71,,AH71+1)*AF71-ERP_i)*AE71*Ramure*Pc/MaxiM</f>
        <v>3.914388637667713E-6</v>
      </c>
      <c r="AE71" s="305">
        <f t="shared" si="12"/>
        <v>0.7</v>
      </c>
      <c r="AF71" s="177">
        <f t="shared" si="13"/>
        <v>0.40423656939227803</v>
      </c>
      <c r="AG71" s="810">
        <f t="shared" si="23"/>
        <v>-2</v>
      </c>
      <c r="AH71" s="176">
        <f t="shared" si="14"/>
        <v>4</v>
      </c>
      <c r="AI71" s="225">
        <f t="shared" si="15"/>
        <v>-1.595763430607722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6">
        <f t="shared" si="2"/>
        <v>0</v>
      </c>
      <c r="M72" s="855"/>
      <c r="N72" s="855"/>
      <c r="O72" s="324">
        <f t="shared" si="3"/>
        <v>0</v>
      </c>
      <c r="P72" s="169">
        <f>(INDEX(Models!$BJ72:$BT72,,T72)*(1-R72)+INDEX(Models!$BJ72:$BT72,,T72+1)*R72-ERP_i)*Q72*Ramure*Pc/MaxiM</f>
        <v>3.8800862502180799E-6</v>
      </c>
      <c r="Q72" s="305">
        <f t="shared" si="19"/>
        <v>0.7</v>
      </c>
      <c r="R72" s="177">
        <f t="shared" si="4"/>
        <v>0.40446414986812607</v>
      </c>
      <c r="S72" s="810">
        <f t="shared" si="20"/>
        <v>-2</v>
      </c>
      <c r="T72" s="176">
        <f t="shared" si="21"/>
        <v>4</v>
      </c>
      <c r="U72" s="251">
        <f t="shared" si="22"/>
        <v>-1.5955358501318739</v>
      </c>
      <c r="V72" s="383">
        <f t="shared" si="5"/>
        <v>36.811810518837675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5">
        <f t="shared" si="11"/>
        <v>0</v>
      </c>
      <c r="AD72" s="169">
        <f>(INDEX(Models!$BJ72:$BT72,,AH72)*(1-AF72)+INDEX(Models!$BJ72:$BT72,,AH72+1)*AF72-ERP_i)*AE72*Ramure*Pc/MaxiM</f>
        <v>3.8800862502180799E-6</v>
      </c>
      <c r="AE72" s="305">
        <f t="shared" si="12"/>
        <v>0.7</v>
      </c>
      <c r="AF72" s="177">
        <f t="shared" si="13"/>
        <v>0.40446414986812607</v>
      </c>
      <c r="AG72" s="810">
        <f t="shared" si="23"/>
        <v>-2</v>
      </c>
      <c r="AH72" s="176">
        <f t="shared" si="14"/>
        <v>4</v>
      </c>
      <c r="AI72" s="225">
        <f t="shared" si="15"/>
        <v>-1.5955358501318739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6">
        <f t="shared" si="2"/>
        <v>0</v>
      </c>
      <c r="M73" s="855"/>
      <c r="N73" s="855"/>
      <c r="O73" s="324">
        <f t="shared" si="3"/>
        <v>0</v>
      </c>
      <c r="P73" s="169">
        <f>(INDEX(Models!$BJ73:$BT73,,T73)*(1-R73)+INDEX(Models!$BJ73:$BT73,,T73+1)*R73-ERP_i)*Q73*Ramure*Pc/MaxiM</f>
        <v>3.8575443647914908E-6</v>
      </c>
      <c r="Q73" s="305">
        <f t="shared" si="19"/>
        <v>0.7</v>
      </c>
      <c r="R73" s="177">
        <f t="shared" si="4"/>
        <v>0.40470099912619628</v>
      </c>
      <c r="S73" s="810">
        <f t="shared" si="20"/>
        <v>-2</v>
      </c>
      <c r="T73" s="176">
        <f t="shared" si="21"/>
        <v>4</v>
      </c>
      <c r="U73" s="251">
        <f t="shared" si="22"/>
        <v>-1.5952990008738037</v>
      </c>
      <c r="V73" s="383">
        <f t="shared" si="5"/>
        <v>37.238595416589391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5">
        <f t="shared" si="11"/>
        <v>0</v>
      </c>
      <c r="AD73" s="169">
        <f>(INDEX(Models!$BJ73:$BT73,,AH73)*(1-AF73)+INDEX(Models!$BJ73:$BT73,,AH73+1)*AF73-ERP_i)*AE73*Ramure*Pc/MaxiM</f>
        <v>3.8575443647914908E-6</v>
      </c>
      <c r="AE73" s="305">
        <f t="shared" si="12"/>
        <v>0.7</v>
      </c>
      <c r="AF73" s="177">
        <f t="shared" si="13"/>
        <v>0.40470099912619628</v>
      </c>
      <c r="AG73" s="810">
        <f t="shared" si="23"/>
        <v>-2</v>
      </c>
      <c r="AH73" s="176">
        <f t="shared" si="14"/>
        <v>4</v>
      </c>
      <c r="AI73" s="225">
        <f t="shared" si="15"/>
        <v>-1.5952990008738037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6">
        <f t="shared" si="2"/>
        <v>0</v>
      </c>
      <c r="M74" s="855"/>
      <c r="N74" s="855"/>
      <c r="O74" s="324">
        <f t="shared" si="3"/>
        <v>0</v>
      </c>
      <c r="P74" s="169">
        <f>(INDEX(Models!$BJ74:$BT74,,T74)*(1-R74)+INDEX(Models!$BJ74:$BT74,,T74+1)*R74-ERP_i)*Q74*Ramure*Pc/MaxiM</f>
        <v>3.8483564345053759E-6</v>
      </c>
      <c r="Q74" s="305">
        <f t="shared" si="19"/>
        <v>0.7</v>
      </c>
      <c r="R74" s="177">
        <f t="shared" si="4"/>
        <v>0.40494748268224323</v>
      </c>
      <c r="S74" s="810">
        <f t="shared" si="20"/>
        <v>-2</v>
      </c>
      <c r="T74" s="176">
        <f t="shared" si="21"/>
        <v>4</v>
      </c>
      <c r="U74" s="251">
        <f t="shared" si="22"/>
        <v>-1.5950525173177568</v>
      </c>
      <c r="V74" s="383">
        <f t="shared" si="5"/>
        <v>37.667493525251039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5">
        <f t="shared" si="11"/>
        <v>0</v>
      </c>
      <c r="AD74" s="169">
        <f>(INDEX(Models!$BJ74:$BT74,,AH74)*(1-AF74)+INDEX(Models!$BJ74:$BT74,,AH74+1)*AF74-ERP_i)*AE74*Ramure*Pc/MaxiM</f>
        <v>3.8483564345053759E-6</v>
      </c>
      <c r="AE74" s="305">
        <f t="shared" si="12"/>
        <v>0.7</v>
      </c>
      <c r="AF74" s="177">
        <f t="shared" si="13"/>
        <v>0.40494748268224323</v>
      </c>
      <c r="AG74" s="810">
        <f t="shared" si="23"/>
        <v>-2</v>
      </c>
      <c r="AH74" s="176">
        <f t="shared" si="14"/>
        <v>4</v>
      </c>
      <c r="AI74" s="225">
        <f t="shared" si="15"/>
        <v>-1.5950525173177568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6">
        <f t="shared" si="2"/>
        <v>0</v>
      </c>
      <c r="M75" s="855"/>
      <c r="N75" s="855"/>
      <c r="O75" s="324">
        <f t="shared" si="3"/>
        <v>0</v>
      </c>
      <c r="P75" s="169">
        <f>(INDEX(Models!$BJ75:$BT75,,T75)*(1-R75)+INDEX(Models!$BJ75:$BT75,,T75+1)*R75-ERP_i)*Q75*Ramure*Pc/MaxiM</f>
        <v>3.8542124628896624E-6</v>
      </c>
      <c r="Q75" s="305">
        <f t="shared" si="19"/>
        <v>0.7</v>
      </c>
      <c r="R75" s="177">
        <f t="shared" si="4"/>
        <v>0.40520397945765252</v>
      </c>
      <c r="S75" s="810">
        <f t="shared" si="20"/>
        <v>-2</v>
      </c>
      <c r="T75" s="176">
        <f t="shared" si="21"/>
        <v>4</v>
      </c>
      <c r="U75" s="251">
        <f t="shared" si="22"/>
        <v>-1.5947960205423475</v>
      </c>
      <c r="V75" s="383">
        <f t="shared" si="5"/>
        <v>38.09828610467455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5">
        <f t="shared" si="11"/>
        <v>0</v>
      </c>
      <c r="AD75" s="169">
        <f>(INDEX(Models!$BJ75:$BT75,,AH75)*(1-AF75)+INDEX(Models!$BJ75:$BT75,,AH75+1)*AF75-ERP_i)*AE75*Ramure*Pc/MaxiM</f>
        <v>3.8542124628896624E-6</v>
      </c>
      <c r="AE75" s="305">
        <f t="shared" si="12"/>
        <v>0.7</v>
      </c>
      <c r="AF75" s="177">
        <f t="shared" si="13"/>
        <v>0.40520397945765252</v>
      </c>
      <c r="AG75" s="810">
        <f t="shared" si="23"/>
        <v>-2</v>
      </c>
      <c r="AH75" s="176">
        <f t="shared" si="14"/>
        <v>4</v>
      </c>
      <c r="AI75" s="225">
        <f t="shared" si="15"/>
        <v>-1.5947960205423475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6">
        <f t="shared" si="2"/>
        <v>0</v>
      </c>
      <c r="M76" s="855"/>
      <c r="N76" s="855"/>
      <c r="O76" s="324">
        <f t="shared" si="3"/>
        <v>0</v>
      </c>
      <c r="P76" s="169">
        <f>(INDEX(Models!$BJ76:$BT76,,T76)*(1-R76)+INDEX(Models!$BJ76:$BT76,,T76+1)*R76-ERP_i)*Q76*Ramure*Pc/MaxiM</f>
        <v>3.8769054117884762E-6</v>
      </c>
      <c r="Q76" s="305">
        <f t="shared" si="19"/>
        <v>0.7</v>
      </c>
      <c r="R76" s="177">
        <f t="shared" si="4"/>
        <v>0.40547088218553884</v>
      </c>
      <c r="S76" s="810">
        <f t="shared" si="20"/>
        <v>-2</v>
      </c>
      <c r="T76" s="176">
        <f t="shared" si="21"/>
        <v>4</v>
      </c>
      <c r="U76" s="251">
        <f t="shared" si="22"/>
        <v>-1.5945291178144612</v>
      </c>
      <c r="V76" s="383">
        <f t="shared" si="5"/>
        <v>38.530754409423466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5">
        <f t="shared" si="11"/>
        <v>0</v>
      </c>
      <c r="AD76" s="169">
        <f>(INDEX(Models!$BJ76:$BT76,,AH76)*(1-AF76)+INDEX(Models!$BJ76:$BT76,,AH76+1)*AF76-ERP_i)*AE76*Ramure*Pc/MaxiM</f>
        <v>3.8769054117884762E-6</v>
      </c>
      <c r="AE76" s="305">
        <f t="shared" si="12"/>
        <v>0.7</v>
      </c>
      <c r="AF76" s="177">
        <f t="shared" si="13"/>
        <v>0.40547088218553884</v>
      </c>
      <c r="AG76" s="810">
        <f t="shared" si="23"/>
        <v>-2</v>
      </c>
      <c r="AH76" s="176">
        <f t="shared" si="14"/>
        <v>4</v>
      </c>
      <c r="AI76" s="225">
        <f t="shared" si="15"/>
        <v>-1.5945291178144612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6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6">
        <f t="shared" si="2"/>
        <v>0</v>
      </c>
      <c r="M77" s="855"/>
      <c r="N77" s="855"/>
      <c r="O77" s="324">
        <f t="shared" si="3"/>
        <v>0</v>
      </c>
      <c r="P77" s="169">
        <f>(INDEX(Models!$BJ77:$BT77,,T77)*(1-R77)+INDEX(Models!$BJ77:$BT77,,T77+1)*R77-ERP_i)*Q77*Ramure*Pc/MaxiM</f>
        <v>3.9183380246275812E-6</v>
      </c>
      <c r="Q77" s="305">
        <f t="shared" si="19"/>
        <v>0.7</v>
      </c>
      <c r="R77" s="177">
        <f t="shared" si="4"/>
        <v>0.40574859782161732</v>
      </c>
      <c r="S77" s="810">
        <f t="shared" si="20"/>
        <v>-2</v>
      </c>
      <c r="T77" s="176">
        <f t="shared" si="21"/>
        <v>4</v>
      </c>
      <c r="U77" s="251">
        <f t="shared" si="22"/>
        <v>-1.5942514021783827</v>
      </c>
      <c r="V77" s="383">
        <f t="shared" si="5"/>
        <v>38.964679683897714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5">
        <f t="shared" si="11"/>
        <v>0</v>
      </c>
      <c r="AD77" s="169">
        <f>(INDEX(Models!$BJ77:$BT77,,AH77)*(1-AF77)+INDEX(Models!$BJ77:$BT77,,AH77+1)*AF77-ERP_i)*AE77*Ramure*Pc/MaxiM</f>
        <v>3.9183380246275812E-6</v>
      </c>
      <c r="AE77" s="305">
        <f t="shared" si="12"/>
        <v>0.7</v>
      </c>
      <c r="AF77" s="177">
        <f t="shared" si="13"/>
        <v>0.40574859782161732</v>
      </c>
      <c r="AG77" s="810">
        <f t="shared" si="23"/>
        <v>-2</v>
      </c>
      <c r="AH77" s="176">
        <f t="shared" si="14"/>
        <v>4</v>
      </c>
      <c r="AI77" s="225">
        <f t="shared" si="15"/>
        <v>-1.5942514021783827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6">
        <f t="shared" si="2"/>
        <v>0</v>
      </c>
      <c r="M78" s="855"/>
      <c r="N78" s="855"/>
      <c r="O78" s="324">
        <f t="shared" si="3"/>
        <v>0</v>
      </c>
      <c r="P78" s="169">
        <f>(INDEX(Models!$BJ78:$BT78,,T78)*(1-R78)+INDEX(Models!$BJ78:$BT78,,T78+1)*R78-ERP_i)*Q78*Ramure*Pc/MaxiM</f>
        <v>3.9805300914050675E-6</v>
      </c>
      <c r="Q78" s="305">
        <f t="shared" si="19"/>
        <v>0.7</v>
      </c>
      <c r="R78" s="177">
        <f t="shared" si="4"/>
        <v>0.40603754795913383</v>
      </c>
      <c r="S78" s="810">
        <f t="shared" si="20"/>
        <v>-2</v>
      </c>
      <c r="T78" s="176">
        <f t="shared" si="21"/>
        <v>4</v>
      </c>
      <c r="U78" s="251">
        <f t="shared" si="22"/>
        <v>-1.5939624520408662</v>
      </c>
      <c r="V78" s="383">
        <f t="shared" si="5"/>
        <v>39.399843167114398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5">
        <f t="shared" si="11"/>
        <v>0</v>
      </c>
      <c r="AD78" s="169">
        <f>(INDEX(Models!$BJ78:$BT78,,AH78)*(1-AF78)+INDEX(Models!$BJ78:$BT78,,AH78+1)*AF78-ERP_i)*AE78*Ramure*Pc/MaxiM</f>
        <v>3.9805300914050675E-6</v>
      </c>
      <c r="AE78" s="305">
        <f t="shared" si="12"/>
        <v>0.7</v>
      </c>
      <c r="AF78" s="177">
        <f t="shared" si="13"/>
        <v>0.40603754795913383</v>
      </c>
      <c r="AG78" s="810">
        <f t="shared" si="23"/>
        <v>-2</v>
      </c>
      <c r="AH78" s="176">
        <f t="shared" si="14"/>
        <v>4</v>
      </c>
      <c r="AI78" s="225">
        <f t="shared" si="15"/>
        <v>-1.5939624520408662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6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5"/>
      <c r="N79" s="855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4.0655220484972607E-6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0.40633816924705246</v>
      </c>
      <c r="S79" s="810">
        <f t="shared" si="20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-1.5936618307529475</v>
      </c>
      <c r="V79" s="383">
        <f t="shared" ref="V79:V142" si="32">MaxiM*(1-Ppv)*(1-Pvg)*(1-Psa)</f>
        <v>39.837046495407918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4.0655220484972607E-6</v>
      </c>
      <c r="AE79" s="305">
        <f t="shared" ref="AE79:AE142" si="39">Dd+PousD*Croivg</f>
        <v>0.7</v>
      </c>
      <c r="AF79" s="177">
        <f t="shared" ref="AF79:AF142" si="40">(Hp_vg_s-AG79)/(INDEX(Echel_vg,AH79+1)-AG79)</f>
        <v>0.40633816924705246</v>
      </c>
      <c r="AG79" s="810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-1.5936618307529475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6">
        <f t="shared" si="26"/>
        <v>0</v>
      </c>
      <c r="M80" s="855"/>
      <c r="N80" s="855"/>
      <c r="O80" s="324">
        <f t="shared" si="27"/>
        <v>0</v>
      </c>
      <c r="P80" s="169">
        <f>(INDEX(Models!$BJ80:$BT80,,T80)*(1-R80)+INDEX(Models!$BJ80:$BT80,,T80+1)*R80-ERP_i)*Q80*Ramure*Pc/MaxiM</f>
        <v>4.1716144468825483E-6</v>
      </c>
      <c r="Q80" s="305">
        <f t="shared" si="28"/>
        <v>0.7</v>
      </c>
      <c r="R80" s="177">
        <f t="shared" si="29"/>
        <v>0.40665091381060092</v>
      </c>
      <c r="S80" s="810">
        <f t="shared" ref="S80:S143" si="47">INDEX(Echel_vg,T80)</f>
        <v>-2</v>
      </c>
      <c r="T80" s="176">
        <f t="shared" si="30"/>
        <v>4</v>
      </c>
      <c r="U80" s="251">
        <f t="shared" si="31"/>
        <v>-1.5933490861893991</v>
      </c>
      <c r="V80" s="383">
        <f t="shared" si="32"/>
        <v>40.27709145352916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5">
        <f t="shared" si="38"/>
        <v>0</v>
      </c>
      <c r="AD80" s="169">
        <f>(INDEX(Models!$BJ80:$BT80,,AH80)*(1-AF80)+INDEX(Models!$BJ80:$BT80,,AH80+1)*AF80-ERP_i)*AE80*Ramure*Pc/MaxiM</f>
        <v>4.1716144468825483E-6</v>
      </c>
      <c r="AE80" s="305">
        <f t="shared" si="39"/>
        <v>0.7</v>
      </c>
      <c r="AF80" s="177">
        <f t="shared" si="40"/>
        <v>0.40665091381060092</v>
      </c>
      <c r="AG80" s="810">
        <f t="shared" si="41"/>
        <v>-2</v>
      </c>
      <c r="AH80" s="176">
        <f t="shared" si="42"/>
        <v>4</v>
      </c>
      <c r="AI80" s="225">
        <f t="shared" si="43"/>
        <v>-1.5933490861893991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6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6">
        <f t="shared" si="26"/>
        <v>0</v>
      </c>
      <c r="M81" s="855"/>
      <c r="N81" s="855"/>
      <c r="O81" s="324">
        <f t="shared" si="27"/>
        <v>0</v>
      </c>
      <c r="P81" s="169">
        <f>(INDEX(Models!$BJ81:$BT81,,T81)*(1-R81)+INDEX(Models!$BJ81:$BT81,,T81+1)*R81-ERP_i)*Q81*Ramure*Pc/MaxiM</f>
        <v>4.2899627933499868E-6</v>
      </c>
      <c r="Q81" s="305">
        <f t="shared" si="28"/>
        <v>0.7</v>
      </c>
      <c r="R81" s="177">
        <f t="shared" si="29"/>
        <v>0.40697624967316881</v>
      </c>
      <c r="S81" s="810">
        <f t="shared" si="47"/>
        <v>-2</v>
      </c>
      <c r="T81" s="176">
        <f t="shared" si="30"/>
        <v>4</v>
      </c>
      <c r="U81" s="251">
        <f t="shared" si="31"/>
        <v>-1.5930237503268312</v>
      </c>
      <c r="V81" s="383">
        <f t="shared" si="32"/>
        <v>40.719759715362763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5">
        <f t="shared" si="38"/>
        <v>0</v>
      </c>
      <c r="AD81" s="169">
        <f>(INDEX(Models!$BJ81:$BT81,,AH81)*(1-AF81)+INDEX(Models!$BJ81:$BT81,,AH81+1)*AF81-ERP_i)*AE81*Ramure*Pc/MaxiM</f>
        <v>4.2899627933499868E-6</v>
      </c>
      <c r="AE81" s="305">
        <f t="shared" si="39"/>
        <v>0.7</v>
      </c>
      <c r="AF81" s="177">
        <f t="shared" si="40"/>
        <v>0.40697624967316881</v>
      </c>
      <c r="AG81" s="810">
        <f t="shared" si="41"/>
        <v>-2</v>
      </c>
      <c r="AH81" s="176">
        <f t="shared" si="42"/>
        <v>4</v>
      </c>
      <c r="AI81" s="225">
        <f t="shared" si="43"/>
        <v>-1.5930237503268312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6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6">
        <f t="shared" si="26"/>
        <v>0</v>
      </c>
      <c r="M82" s="855"/>
      <c r="N82" s="855"/>
      <c r="O82" s="324">
        <f t="shared" si="27"/>
        <v>0</v>
      </c>
      <c r="P82" s="169">
        <f>(INDEX(Models!$BJ82:$BT82,,T82)*(1-R82)+INDEX(Models!$BJ82:$BT82,,T82+1)*R82-ERP_i)*Q82*Ramure*Pc/MaxiM</f>
        <v>4.421635833284255E-6</v>
      </c>
      <c r="Q82" s="305">
        <f t="shared" si="28"/>
        <v>0.7</v>
      </c>
      <c r="R82" s="177">
        <f t="shared" si="29"/>
        <v>0.4073146611784384</v>
      </c>
      <c r="S82" s="810">
        <f t="shared" si="47"/>
        <v>-2</v>
      </c>
      <c r="T82" s="176">
        <f t="shared" si="30"/>
        <v>4</v>
      </c>
      <c r="U82" s="251">
        <f t="shared" si="31"/>
        <v>-1.5926853388215616</v>
      </c>
      <c r="V82" s="383">
        <f t="shared" si="32"/>
        <v>41.164832560314828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5">
        <f t="shared" si="38"/>
        <v>0</v>
      </c>
      <c r="AD82" s="169">
        <f>(INDEX(Models!$BJ82:$BT82,,AH82)*(1-AF82)+INDEX(Models!$BJ82:$BT82,,AH82+1)*AF82-ERP_i)*AE82*Ramure*Pc/MaxiM</f>
        <v>4.421635833284255E-6</v>
      </c>
      <c r="AE82" s="305">
        <f t="shared" si="39"/>
        <v>0.7</v>
      </c>
      <c r="AF82" s="177">
        <f t="shared" si="40"/>
        <v>0.4073146611784384</v>
      </c>
      <c r="AG82" s="810">
        <f t="shared" si="41"/>
        <v>-2</v>
      </c>
      <c r="AH82" s="176">
        <f t="shared" si="42"/>
        <v>4</v>
      </c>
      <c r="AI82" s="225">
        <f t="shared" si="43"/>
        <v>-1.5926853388215616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6">
        <f t="shared" si="26"/>
        <v>0</v>
      </c>
      <c r="M83" s="855"/>
      <c r="N83" s="855"/>
      <c r="O83" s="324">
        <f t="shared" si="27"/>
        <v>0</v>
      </c>
      <c r="P83" s="169">
        <f>(INDEX(Models!$BJ83:$BT83,,T83)*(1-R83)+INDEX(Models!$BJ83:$BT83,,T83+1)*R83-ERP_i)*Q83*Ramure*Pc/MaxiM</f>
        <v>4.5677649988137573E-6</v>
      </c>
      <c r="Q83" s="305">
        <f t="shared" si="28"/>
        <v>0.7</v>
      </c>
      <c r="R83" s="177">
        <f t="shared" si="29"/>
        <v>0.40766664941150776</v>
      </c>
      <c r="S83" s="810">
        <f t="shared" si="47"/>
        <v>-2</v>
      </c>
      <c r="T83" s="176">
        <f t="shared" si="30"/>
        <v>4</v>
      </c>
      <c r="U83" s="251">
        <f t="shared" si="31"/>
        <v>-1.5923333505884922</v>
      </c>
      <c r="V83" s="383">
        <f t="shared" si="32"/>
        <v>41.612091265983473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5">
        <f t="shared" si="38"/>
        <v>0</v>
      </c>
      <c r="AD83" s="169">
        <f>(INDEX(Models!$BJ83:$BT83,,AH83)*(1-AF83)+INDEX(Models!$BJ83:$BT83,,AH83+1)*AF83-ERP_i)*AE83*Ramure*Pc/MaxiM</f>
        <v>4.5677649988137573E-6</v>
      </c>
      <c r="AE83" s="305">
        <f t="shared" si="39"/>
        <v>0.7</v>
      </c>
      <c r="AF83" s="177">
        <f t="shared" si="40"/>
        <v>0.40766664941150776</v>
      </c>
      <c r="AG83" s="810">
        <f t="shared" si="41"/>
        <v>-2</v>
      </c>
      <c r="AH83" s="176">
        <f t="shared" si="42"/>
        <v>4</v>
      </c>
      <c r="AI83" s="225">
        <f t="shared" si="43"/>
        <v>-1.5923333505884922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6">
        <f t="shared" si="26"/>
        <v>0</v>
      </c>
      <c r="M84" s="855"/>
      <c r="N84" s="855"/>
      <c r="O84" s="324">
        <f t="shared" si="27"/>
        <v>0</v>
      </c>
      <c r="P84" s="169">
        <f>(INDEX(Models!$BJ84:$BT84,,T84)*(1-R84)+INDEX(Models!$BJ84:$BT84,,T84+1)*R84-ERP_i)*Q84*Ramure*Pc/MaxiM</f>
        <v>4.7295483325469205E-6</v>
      </c>
      <c r="Q84" s="305">
        <f t="shared" si="28"/>
        <v>0.7</v>
      </c>
      <c r="R84" s="177">
        <f t="shared" si="29"/>
        <v>0.40803273261763984</v>
      </c>
      <c r="S84" s="810">
        <f t="shared" si="47"/>
        <v>-2</v>
      </c>
      <c r="T84" s="176">
        <f t="shared" si="30"/>
        <v>4</v>
      </c>
      <c r="U84" s="251">
        <f t="shared" si="31"/>
        <v>-1.5919672673823602</v>
      </c>
      <c r="V84" s="383">
        <f t="shared" si="32"/>
        <v>42.061317102922793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5">
        <f t="shared" si="38"/>
        <v>0</v>
      </c>
      <c r="AD84" s="169">
        <f>(INDEX(Models!$BJ84:$BT84,,AH84)*(1-AF84)+INDEX(Models!$BJ84:$BT84,,AH84+1)*AF84-ERP_i)*AE84*Ramure*Pc/MaxiM</f>
        <v>4.7295483325469205E-6</v>
      </c>
      <c r="AE84" s="305">
        <f t="shared" si="39"/>
        <v>0.7</v>
      </c>
      <c r="AF84" s="177">
        <f t="shared" si="40"/>
        <v>0.40803273261763984</v>
      </c>
      <c r="AG84" s="810">
        <f t="shared" si="41"/>
        <v>-2</v>
      </c>
      <c r="AH84" s="176">
        <f t="shared" si="42"/>
        <v>4</v>
      </c>
      <c r="AI84" s="225">
        <f t="shared" si="43"/>
        <v>-1.5919672673823602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6">
        <f t="shared" si="26"/>
        <v>0</v>
      </c>
      <c r="M85" s="855"/>
      <c r="N85" s="855"/>
      <c r="O85" s="324">
        <f t="shared" si="27"/>
        <v>0</v>
      </c>
      <c r="P85" s="169">
        <f>(INDEX(Models!$BJ85:$BT85,,T85)*(1-R85)+INDEX(Models!$BJ85:$BT85,,T85+1)*R85-ERP_i)*Q85*Ramure*Pc/MaxiM</f>
        <v>4.9082546586615308E-6</v>
      </c>
      <c r="Q85" s="305">
        <f t="shared" si="28"/>
        <v>0.7</v>
      </c>
      <c r="R85" s="177">
        <f t="shared" si="29"/>
        <v>0.40841344661712387</v>
      </c>
      <c r="S85" s="810">
        <f t="shared" si="47"/>
        <v>-2</v>
      </c>
      <c r="T85" s="176">
        <f t="shared" si="30"/>
        <v>4</v>
      </c>
      <c r="U85" s="251">
        <f t="shared" si="31"/>
        <v>-1.5915865533828761</v>
      </c>
      <c r="V85" s="383">
        <f t="shared" si="32"/>
        <v>42.512291337916956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5">
        <f t="shared" si="38"/>
        <v>0</v>
      </c>
      <c r="AD85" s="169">
        <f>(INDEX(Models!$BJ85:$BT85,,AH85)*(1-AF85)+INDEX(Models!$BJ85:$BT85,,AH85+1)*AF85-ERP_i)*AE85*Ramure*Pc/MaxiM</f>
        <v>4.9082546586615308E-6</v>
      </c>
      <c r="AE85" s="305">
        <f t="shared" si="39"/>
        <v>0.7</v>
      </c>
      <c r="AF85" s="177">
        <f t="shared" si="40"/>
        <v>0.40841344661712387</v>
      </c>
      <c r="AG85" s="810">
        <f t="shared" si="41"/>
        <v>-2</v>
      </c>
      <c r="AH85" s="176">
        <f t="shared" si="42"/>
        <v>4</v>
      </c>
      <c r="AI85" s="225">
        <f t="shared" si="43"/>
        <v>-1.5915865533828761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6">
        <f t="shared" si="26"/>
        <v>0</v>
      </c>
      <c r="M86" s="855"/>
      <c r="N86" s="855"/>
      <c r="O86" s="324">
        <f t="shared" si="27"/>
        <v>0</v>
      </c>
      <c r="P86" s="169">
        <f>(INDEX(Models!$BJ86:$BT86,,T86)*(1-R86)+INDEX(Models!$BJ86:$BT86,,T86+1)*R86-ERP_i)*Q86*Ramure*Pc/MaxiM</f>
        <v>5.1001215745515144E-6</v>
      </c>
      <c r="Q86" s="305">
        <f t="shared" si="28"/>
        <v>0.7</v>
      </c>
      <c r="R86" s="177">
        <f t="shared" si="29"/>
        <v>0.40880934521460066</v>
      </c>
      <c r="S86" s="810">
        <f t="shared" si="47"/>
        <v>-2</v>
      </c>
      <c r="T86" s="176">
        <f t="shared" si="30"/>
        <v>4</v>
      </c>
      <c r="U86" s="251">
        <f t="shared" si="31"/>
        <v>-1.5911906547853993</v>
      </c>
      <c r="V86" s="383">
        <f t="shared" si="32"/>
        <v>42.964795450486662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5">
        <f t="shared" si="38"/>
        <v>0</v>
      </c>
      <c r="AD86" s="169">
        <f>(INDEX(Models!$BJ86:$BT86,,AH86)*(1-AF86)+INDEX(Models!$BJ86:$BT86,,AH86+1)*AF86-ERP_i)*AE86*Ramure*Pc/MaxiM</f>
        <v>5.1001215745515144E-6</v>
      </c>
      <c r="AE86" s="305">
        <f t="shared" si="39"/>
        <v>0.7</v>
      </c>
      <c r="AF86" s="177">
        <f t="shared" si="40"/>
        <v>0.40880934521460066</v>
      </c>
      <c r="AG86" s="810">
        <f t="shared" si="41"/>
        <v>-2</v>
      </c>
      <c r="AH86" s="176">
        <f t="shared" si="42"/>
        <v>4</v>
      </c>
      <c r="AI86" s="225">
        <f t="shared" si="43"/>
        <v>-1.5911906547853993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6">
        <f t="shared" si="26"/>
        <v>0</v>
      </c>
      <c r="M87" s="855"/>
      <c r="N87" s="855"/>
      <c r="O87" s="324">
        <f t="shared" si="27"/>
        <v>0</v>
      </c>
      <c r="P87" s="169">
        <f>(INDEX(Models!$BJ87:$BT87,,T87)*(1-R87)+INDEX(Models!$BJ87:$BT87,,T87+1)*R87-ERP_i)*Q87*Ramure*Pc/MaxiM</f>
        <v>5.2889297736566731E-6</v>
      </c>
      <c r="Q87" s="305">
        <f t="shared" si="28"/>
        <v>0.7</v>
      </c>
      <c r="R87" s="177">
        <f t="shared" si="29"/>
        <v>0.40922100060103062</v>
      </c>
      <c r="S87" s="810">
        <f t="shared" si="47"/>
        <v>-2</v>
      </c>
      <c r="T87" s="176">
        <f t="shared" si="30"/>
        <v>4</v>
      </c>
      <c r="U87" s="251">
        <f t="shared" si="31"/>
        <v>-1.5907789993989694</v>
      </c>
      <c r="V87" s="383">
        <f t="shared" si="32"/>
        <v>43.418611468480456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5">
        <f t="shared" si="38"/>
        <v>0</v>
      </c>
      <c r="AD87" s="169">
        <f>(INDEX(Models!$BJ87:$BT87,,AH87)*(1-AF87)+INDEX(Models!$BJ87:$BT87,,AH87+1)*AF87-ERP_i)*AE87*Ramure*Pc/MaxiM</f>
        <v>5.2889297736566731E-6</v>
      </c>
      <c r="AE87" s="305">
        <f t="shared" si="39"/>
        <v>0.7</v>
      </c>
      <c r="AF87" s="177">
        <f t="shared" si="40"/>
        <v>0.40922100060103062</v>
      </c>
      <c r="AG87" s="810">
        <f t="shared" si="41"/>
        <v>-2</v>
      </c>
      <c r="AH87" s="176">
        <f t="shared" si="42"/>
        <v>4</v>
      </c>
      <c r="AI87" s="225">
        <f t="shared" si="43"/>
        <v>-1.5907789993989694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6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6">
        <f t="shared" si="26"/>
        <v>0</v>
      </c>
      <c r="M88" s="855"/>
      <c r="N88" s="855"/>
      <c r="O88" s="324">
        <f t="shared" si="27"/>
        <v>0</v>
      </c>
      <c r="P88" s="169">
        <f>(INDEX(Models!$BJ88:$BT88,,T88)*(1-R88)+INDEX(Models!$BJ88:$BT88,,T88+1)*R88-ERP_i)*Q88*Ramure*Pc/MaxiM</f>
        <v>5.4739852311182135E-6</v>
      </c>
      <c r="Q88" s="305">
        <f t="shared" si="28"/>
        <v>0.7</v>
      </c>
      <c r="R88" s="177">
        <f t="shared" si="29"/>
        <v>0.40964900374633584</v>
      </c>
      <c r="S88" s="810">
        <f t="shared" si="47"/>
        <v>-2</v>
      </c>
      <c r="T88" s="176">
        <f t="shared" si="30"/>
        <v>4</v>
      </c>
      <c r="U88" s="251">
        <f t="shared" si="31"/>
        <v>-1.5903509962536642</v>
      </c>
      <c r="V88" s="383">
        <f t="shared" si="32"/>
        <v>43.873520768683875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5">
        <f t="shared" si="38"/>
        <v>0</v>
      </c>
      <c r="AD88" s="169">
        <f>(INDEX(Models!$BJ88:$BT88,,AH88)*(1-AF88)+INDEX(Models!$BJ88:$BT88,,AH88+1)*AF88-ERP_i)*AE88*Ramure*Pc/MaxiM</f>
        <v>5.4739852311182135E-6</v>
      </c>
      <c r="AE88" s="305">
        <f t="shared" si="39"/>
        <v>0.7</v>
      </c>
      <c r="AF88" s="177">
        <f t="shared" si="40"/>
        <v>0.40964900374633584</v>
      </c>
      <c r="AG88" s="810">
        <f t="shared" si="41"/>
        <v>-2</v>
      </c>
      <c r="AH88" s="176">
        <f t="shared" si="42"/>
        <v>4</v>
      </c>
      <c r="AI88" s="225">
        <f t="shared" si="43"/>
        <v>-1.5903509962536642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6">
        <f t="shared" si="26"/>
        <v>0</v>
      </c>
      <c r="M89" s="855"/>
      <c r="N89" s="855"/>
      <c r="O89" s="324">
        <f t="shared" si="27"/>
        <v>0</v>
      </c>
      <c r="P89" s="169">
        <f>(INDEX(Models!$BJ89:$BT89,,T89)*(1-R89)+INDEX(Models!$BJ89:$BT89,,T89+1)*R89-ERP_i)*Q89*Ramure*Pc/MaxiM</f>
        <v>5.6545449237383097E-6</v>
      </c>
      <c r="Q89" s="305">
        <f t="shared" si="28"/>
        <v>0.7</v>
      </c>
      <c r="R89" s="177">
        <f t="shared" si="29"/>
        <v>0.41009396478055349</v>
      </c>
      <c r="S89" s="810">
        <f t="shared" si="47"/>
        <v>-2</v>
      </c>
      <c r="T89" s="176">
        <f t="shared" si="30"/>
        <v>4</v>
      </c>
      <c r="U89" s="251">
        <f t="shared" si="31"/>
        <v>-1.5899060352194465</v>
      </c>
      <c r="V89" s="383">
        <f t="shared" si="32"/>
        <v>44.329304730066831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5">
        <f t="shared" si="38"/>
        <v>0</v>
      </c>
      <c r="AD89" s="169">
        <f>(INDEX(Models!$BJ89:$BT89,,AH89)*(1-AF89)+INDEX(Models!$BJ89:$BT89,,AH89+1)*AF89-ERP_i)*AE89*Ramure*Pc/MaxiM</f>
        <v>5.6545449237383097E-6</v>
      </c>
      <c r="AE89" s="305">
        <f t="shared" si="39"/>
        <v>0.7</v>
      </c>
      <c r="AF89" s="177">
        <f t="shared" si="40"/>
        <v>0.41009396478055349</v>
      </c>
      <c r="AG89" s="810">
        <f t="shared" si="41"/>
        <v>-2</v>
      </c>
      <c r="AH89" s="176">
        <f t="shared" si="42"/>
        <v>4</v>
      </c>
      <c r="AI89" s="225">
        <f t="shared" si="43"/>
        <v>-1.5899060352194465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6">
        <f t="shared" si="26"/>
        <v>0</v>
      </c>
      <c r="M90" s="855"/>
      <c r="N90" s="855"/>
      <c r="O90" s="324">
        <f t="shared" si="27"/>
        <v>0</v>
      </c>
      <c r="P90" s="169">
        <f>(INDEX(Models!$BJ90:$BT90,,T90)*(1-R90)+INDEX(Models!$BJ90:$BT90,,T90+1)*R90-ERP_i)*Q90*Ramure*Pc/MaxiM</f>
        <v>5.8298133093689027E-6</v>
      </c>
      <c r="Q90" s="305">
        <f t="shared" si="28"/>
        <v>0.7</v>
      </c>
      <c r="R90" s="177">
        <f t="shared" si="29"/>
        <v>0.41055651336116483</v>
      </c>
      <c r="S90" s="810">
        <f t="shared" si="47"/>
        <v>-2</v>
      </c>
      <c r="T90" s="176">
        <f t="shared" si="30"/>
        <v>4</v>
      </c>
      <c r="U90" s="251">
        <f t="shared" si="31"/>
        <v>-1.5894434866388352</v>
      </c>
      <c r="V90" s="383">
        <f t="shared" si="32"/>
        <v>44.785744737084435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5">
        <f t="shared" si="38"/>
        <v>0</v>
      </c>
      <c r="AD90" s="169">
        <f>(INDEX(Models!$BJ90:$BT90,,AH90)*(1-AF90)+INDEX(Models!$BJ90:$BT90,,AH90+1)*AF90-ERP_i)*AE90*Ramure*Pc/MaxiM</f>
        <v>5.8298133093689027E-6</v>
      </c>
      <c r="AE90" s="305">
        <f t="shared" si="39"/>
        <v>0.7</v>
      </c>
      <c r="AF90" s="177">
        <f t="shared" si="40"/>
        <v>0.41055651336116483</v>
      </c>
      <c r="AG90" s="810">
        <f t="shared" si="41"/>
        <v>-2</v>
      </c>
      <c r="AH90" s="176">
        <f t="shared" si="42"/>
        <v>4</v>
      </c>
      <c r="AI90" s="225">
        <f t="shared" si="43"/>
        <v>-1.5894434866388352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6">
        <f t="shared" si="26"/>
        <v>0</v>
      </c>
      <c r="M91" s="855"/>
      <c r="N91" s="855"/>
      <c r="O91" s="324">
        <f t="shared" si="27"/>
        <v>0</v>
      </c>
      <c r="P91" s="169">
        <f>(INDEX(Models!$BJ91:$BT91,,T91)*(1-R91)+INDEX(Models!$BJ91:$BT91,,T91+1)*R91-ERP_i)*Q91*Ramure*Pc/MaxiM</f>
        <v>5.9989385645716295E-6</v>
      </c>
      <c r="Q91" s="305">
        <f t="shared" si="28"/>
        <v>0.7</v>
      </c>
      <c r="R91" s="177">
        <f t="shared" si="29"/>
        <v>0.41103729902406516</v>
      </c>
      <c r="S91" s="810">
        <f t="shared" si="47"/>
        <v>-2</v>
      </c>
      <c r="T91" s="176">
        <f t="shared" si="30"/>
        <v>4</v>
      </c>
      <c r="U91" s="251">
        <f t="shared" si="31"/>
        <v>-1.5889627009759348</v>
      </c>
      <c r="V91" s="383">
        <f t="shared" si="32"/>
        <v>45.24262217666265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5">
        <f t="shared" si="38"/>
        <v>0</v>
      </c>
      <c r="AD91" s="169">
        <f>(INDEX(Models!$BJ91:$BT91,,AH91)*(1-AF91)+INDEX(Models!$BJ91:$BT91,,AH91+1)*AF91-ERP_i)*AE91*Ramure*Pc/MaxiM</f>
        <v>5.9989385645716295E-6</v>
      </c>
      <c r="AE91" s="305">
        <f t="shared" si="39"/>
        <v>0.7</v>
      </c>
      <c r="AF91" s="177">
        <f t="shared" si="40"/>
        <v>0.41103729902406516</v>
      </c>
      <c r="AG91" s="810">
        <f t="shared" si="41"/>
        <v>-2</v>
      </c>
      <c r="AH91" s="176">
        <f t="shared" si="42"/>
        <v>4</v>
      </c>
      <c r="AI91" s="225">
        <f t="shared" si="43"/>
        <v>-1.5889627009759348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6">
        <f t="shared" si="26"/>
        <v>0</v>
      </c>
      <c r="M92" s="855"/>
      <c r="N92" s="855"/>
      <c r="O92" s="324">
        <f t="shared" si="27"/>
        <v>0</v>
      </c>
      <c r="P92" s="169">
        <f>(INDEX(Models!$BJ92:$BT92,,T92)*(1-R92)+INDEX(Models!$BJ92:$BT92,,T92+1)*R92-ERP_i)*Q92*Ramure*Pc/MaxiM</f>
        <v>6.1610085655394435E-6</v>
      </c>
      <c r="Q92" s="305">
        <f t="shared" si="28"/>
        <v>0.7</v>
      </c>
      <c r="R92" s="177">
        <f t="shared" si="29"/>
        <v>0.41153699151543055</v>
      </c>
      <c r="S92" s="810">
        <f t="shared" si="47"/>
        <v>-2</v>
      </c>
      <c r="T92" s="176">
        <f t="shared" si="30"/>
        <v>4</v>
      </c>
      <c r="U92" s="251">
        <f t="shared" si="31"/>
        <v>-1.5884630084845694</v>
      </c>
      <c r="V92" s="383">
        <f t="shared" si="32"/>
        <v>45.69971844172229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5">
        <f t="shared" si="38"/>
        <v>0</v>
      </c>
      <c r="AD92" s="169">
        <f>(INDEX(Models!$BJ92:$BT92,,AH92)*(1-AF92)+INDEX(Models!$BJ92:$BT92,,AH92+1)*AF92-ERP_i)*AE92*Ramure*Pc/MaxiM</f>
        <v>6.1610085655394435E-6</v>
      </c>
      <c r="AE92" s="305">
        <f t="shared" si="39"/>
        <v>0.7</v>
      </c>
      <c r="AF92" s="177">
        <f t="shared" si="40"/>
        <v>0.41153699151543055</v>
      </c>
      <c r="AG92" s="810">
        <f t="shared" si="41"/>
        <v>-2</v>
      </c>
      <c r="AH92" s="176">
        <f t="shared" si="42"/>
        <v>4</v>
      </c>
      <c r="AI92" s="225">
        <f t="shared" si="43"/>
        <v>-1.5884630084845694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6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6">
        <f t="shared" si="26"/>
        <v>0</v>
      </c>
      <c r="M93" s="855"/>
      <c r="N93" s="855"/>
      <c r="O93" s="324">
        <f t="shared" si="27"/>
        <v>0</v>
      </c>
      <c r="P93" s="169">
        <f>(INDEX(Models!$BJ93:$BT93,,T93)*(1-R93)+INDEX(Models!$BJ93:$BT93,,T93+1)*R93-ERP_i)*Q93*Ramure*Pc/MaxiM</f>
        <v>6.3144535291409816E-6</v>
      </c>
      <c r="Q93" s="305">
        <f t="shared" si="28"/>
        <v>0.7</v>
      </c>
      <c r="R93" s="177">
        <f t="shared" si="29"/>
        <v>0.41205628110152759</v>
      </c>
      <c r="S93" s="810">
        <f t="shared" si="47"/>
        <v>-2</v>
      </c>
      <c r="T93" s="176">
        <f t="shared" si="30"/>
        <v>4</v>
      </c>
      <c r="U93" s="251">
        <f t="shared" si="31"/>
        <v>-1.5879437188984724</v>
      </c>
      <c r="V93" s="383">
        <f t="shared" si="32"/>
        <v>46.161151664531857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5">
        <f t="shared" si="38"/>
        <v>0</v>
      </c>
      <c r="AD93" s="169">
        <f>(INDEX(Models!$BJ93:$BT93,,AH93)*(1-AF93)+INDEX(Models!$BJ93:$BT93,,AH93+1)*AF93-ERP_i)*AE93*Ramure*Pc/MaxiM</f>
        <v>6.3144535291409816E-6</v>
      </c>
      <c r="AE93" s="305">
        <f t="shared" si="39"/>
        <v>0.7</v>
      </c>
      <c r="AF93" s="177">
        <f t="shared" si="40"/>
        <v>0.41205628110152759</v>
      </c>
      <c r="AG93" s="810">
        <f t="shared" si="41"/>
        <v>-2</v>
      </c>
      <c r="AH93" s="176">
        <f t="shared" si="42"/>
        <v>4</v>
      </c>
      <c r="AI93" s="225">
        <f t="shared" si="43"/>
        <v>-1.5879437188984724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6">
        <f t="shared" si="26"/>
        <v>0</v>
      </c>
      <c r="M94" s="855"/>
      <c r="N94" s="855"/>
      <c r="O94" s="324">
        <f t="shared" si="27"/>
        <v>0</v>
      </c>
      <c r="P94" s="169">
        <f>(INDEX(Models!$BJ94:$BT94,,T94)*(1-R94)+INDEX(Models!$BJ94:$BT94,,T94+1)*R94-ERP_i)*Q94*Ramure*Pc/MaxiM</f>
        <v>6.4527585958103176E-6</v>
      </c>
      <c r="Q94" s="305">
        <f t="shared" si="28"/>
        <v>0.7</v>
      </c>
      <c r="R94" s="177">
        <f t="shared" si="29"/>
        <v>0.41259587885328775</v>
      </c>
      <c r="S94" s="810">
        <f t="shared" si="47"/>
        <v>-2</v>
      </c>
      <c r="T94" s="176">
        <f t="shared" si="30"/>
        <v>4</v>
      </c>
      <c r="U94" s="251">
        <f t="shared" si="31"/>
        <v>-1.5874041211467123</v>
      </c>
      <c r="V94" s="383">
        <f t="shared" si="32"/>
        <v>46.630019805629544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5">
        <f t="shared" si="38"/>
        <v>0</v>
      </c>
      <c r="AD94" s="169">
        <f>(INDEX(Models!$BJ94:$BT94,,AH94)*(1-AF94)+INDEX(Models!$BJ94:$BT94,,AH94+1)*AF94-ERP_i)*AE94*Ramure*Pc/MaxiM</f>
        <v>6.4527585958103176E-6</v>
      </c>
      <c r="AE94" s="305">
        <f t="shared" si="39"/>
        <v>0.7</v>
      </c>
      <c r="AF94" s="177">
        <f t="shared" si="40"/>
        <v>0.41259587885328775</v>
      </c>
      <c r="AG94" s="810">
        <f t="shared" si="41"/>
        <v>-2</v>
      </c>
      <c r="AH94" s="176">
        <f t="shared" si="42"/>
        <v>4</v>
      </c>
      <c r="AI94" s="225">
        <f t="shared" si="43"/>
        <v>-1.5874041211467123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6">
        <f t="shared" si="26"/>
        <v>0</v>
      </c>
      <c r="M95" s="855"/>
      <c r="N95" s="855"/>
      <c r="O95" s="324">
        <f t="shared" si="27"/>
        <v>0</v>
      </c>
      <c r="P95" s="169">
        <f>(INDEX(Models!$BJ95:$BT95,,T95)*(1-R95)+INDEX(Models!$BJ95:$BT95,,T95+1)*R95-ERP_i)*Q95*Ramure*Pc/MaxiM</f>
        <v>6.5807764729584846E-6</v>
      </c>
      <c r="Q95" s="305">
        <f t="shared" si="28"/>
        <v>0.7</v>
      </c>
      <c r="R95" s="177">
        <f t="shared" si="29"/>
        <v>0.41315651690222754</v>
      </c>
      <c r="S95" s="810">
        <f t="shared" si="47"/>
        <v>-2</v>
      </c>
      <c r="T95" s="176">
        <f t="shared" si="30"/>
        <v>4</v>
      </c>
      <c r="U95" s="251">
        <f t="shared" si="31"/>
        <v>-1.5868434830977725</v>
      </c>
      <c r="V95" s="383">
        <f t="shared" si="32"/>
        <v>47.104573395920745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5">
        <f t="shared" si="38"/>
        <v>0</v>
      </c>
      <c r="AD95" s="169">
        <f>(INDEX(Models!$BJ95:$BT95,,AH95)*(1-AF95)+INDEX(Models!$BJ95:$BT95,,AH95+1)*AF95-ERP_i)*AE95*Ramure*Pc/MaxiM</f>
        <v>6.5807764729584846E-6</v>
      </c>
      <c r="AE95" s="305">
        <f t="shared" si="39"/>
        <v>0.7</v>
      </c>
      <c r="AF95" s="177">
        <f t="shared" si="40"/>
        <v>0.41315651690222754</v>
      </c>
      <c r="AG95" s="810">
        <f t="shared" si="41"/>
        <v>-2</v>
      </c>
      <c r="AH95" s="176">
        <f t="shared" si="42"/>
        <v>4</v>
      </c>
      <c r="AI95" s="225">
        <f t="shared" si="43"/>
        <v>-1.5868434830977725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6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6">
        <f t="shared" si="26"/>
        <v>0</v>
      </c>
      <c r="M96" s="855"/>
      <c r="N96" s="855"/>
      <c r="O96" s="324">
        <f t="shared" si="27"/>
        <v>0</v>
      </c>
      <c r="P96" s="169">
        <f>(INDEX(Models!$BJ96:$BT96,,T96)*(1-R96)+INDEX(Models!$BJ96:$BT96,,T96+1)*R96-ERP_i)*Q96*Ramure*Pc/MaxiM</f>
        <v>6.6976042683615898E-6</v>
      </c>
      <c r="Q96" s="305">
        <f t="shared" si="28"/>
        <v>0.7</v>
      </c>
      <c r="R96" s="177">
        <f t="shared" si="29"/>
        <v>0.41373894866406324</v>
      </c>
      <c r="S96" s="810">
        <f t="shared" si="47"/>
        <v>-2</v>
      </c>
      <c r="T96" s="176">
        <f t="shared" si="30"/>
        <v>4</v>
      </c>
      <c r="U96" s="251">
        <f t="shared" si="31"/>
        <v>-1.5862610513359368</v>
      </c>
      <c r="V96" s="383">
        <f t="shared" si="32"/>
        <v>47.583063229956686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5">
        <f t="shared" si="38"/>
        <v>0</v>
      </c>
      <c r="AD96" s="169">
        <f>(INDEX(Models!$BJ96:$BT96,,AH96)*(1-AF96)+INDEX(Models!$BJ96:$BT96,,AH96+1)*AF96-ERP_i)*AE96*Ramure*Pc/MaxiM</f>
        <v>6.6976042683615898E-6</v>
      </c>
      <c r="AE96" s="305">
        <f t="shared" si="39"/>
        <v>0.7</v>
      </c>
      <c r="AF96" s="177">
        <f t="shared" si="40"/>
        <v>0.41373894866406324</v>
      </c>
      <c r="AG96" s="810">
        <f t="shared" si="41"/>
        <v>-2</v>
      </c>
      <c r="AH96" s="176">
        <f t="shared" si="42"/>
        <v>4</v>
      </c>
      <c r="AI96" s="225">
        <f t="shared" si="43"/>
        <v>-1.5862610513359368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6">
        <f t="shared" si="26"/>
        <v>0</v>
      </c>
      <c r="M97" s="855"/>
      <c r="N97" s="855"/>
      <c r="O97" s="324">
        <f t="shared" si="27"/>
        <v>0</v>
      </c>
      <c r="P97" s="169">
        <f>(INDEX(Models!$BJ97:$BT97,,T97)*(1-R97)+INDEX(Models!$BJ97:$BT97,,T97+1)*R97-ERP_i)*Q97*Ramure*Pc/MaxiM</f>
        <v>6.8022758296792708E-6</v>
      </c>
      <c r="Q97" s="305">
        <f t="shared" si="28"/>
        <v>0.7</v>
      </c>
      <c r="R97" s="177">
        <f t="shared" si="29"/>
        <v>0.41434394902611116</v>
      </c>
      <c r="S97" s="810">
        <f t="shared" si="47"/>
        <v>-2</v>
      </c>
      <c r="T97" s="176">
        <f t="shared" si="30"/>
        <v>4</v>
      </c>
      <c r="U97" s="251">
        <f t="shared" si="31"/>
        <v>-1.5856560509738888</v>
      </c>
      <c r="V97" s="383">
        <f t="shared" si="32"/>
        <v>48.063740110602588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5">
        <f t="shared" si="38"/>
        <v>0</v>
      </c>
      <c r="AD97" s="169">
        <f>(INDEX(Models!$BJ97:$BT97,,AH97)*(1-AF97)+INDEX(Models!$BJ97:$BT97,,AH97+1)*AF97-ERP_i)*AE97*Ramure*Pc/MaxiM</f>
        <v>6.8022758296792708E-6</v>
      </c>
      <c r="AE97" s="305">
        <f t="shared" si="39"/>
        <v>0.7</v>
      </c>
      <c r="AF97" s="177">
        <f t="shared" si="40"/>
        <v>0.41434394902611116</v>
      </c>
      <c r="AG97" s="810">
        <f t="shared" si="41"/>
        <v>-2</v>
      </c>
      <c r="AH97" s="176">
        <f t="shared" si="42"/>
        <v>4</v>
      </c>
      <c r="AI97" s="225">
        <f t="shared" si="43"/>
        <v>-1.5856560509738888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6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6">
        <f t="shared" si="26"/>
        <v>0</v>
      </c>
      <c r="M98" s="855"/>
      <c r="N98" s="855"/>
      <c r="O98" s="324">
        <f t="shared" si="27"/>
        <v>0</v>
      </c>
      <c r="P98" s="169">
        <f>(INDEX(Models!$BJ98:$BT98,,T98)*(1-R98)+INDEX(Models!$BJ98:$BT98,,T98+1)*R98-ERP_i)*Q98*Ramure*Pc/MaxiM</f>
        <v>6.8937527260926364E-6</v>
      </c>
      <c r="Q98" s="305">
        <f t="shared" si="28"/>
        <v>0.7</v>
      </c>
      <c r="R98" s="177">
        <f t="shared" si="29"/>
        <v>0.41497231449430894</v>
      </c>
      <c r="S98" s="810">
        <f t="shared" si="47"/>
        <v>-2</v>
      </c>
      <c r="T98" s="176">
        <f t="shared" si="30"/>
        <v>4</v>
      </c>
      <c r="U98" s="251">
        <f t="shared" si="31"/>
        <v>-1.5850276855056911</v>
      </c>
      <c r="V98" s="383">
        <f t="shared" si="32"/>
        <v>48.54485484632508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5">
        <f t="shared" si="38"/>
        <v>0</v>
      </c>
      <c r="AD98" s="169">
        <f>(INDEX(Models!$BJ98:$BT98,,AH98)*(1-AF98)+INDEX(Models!$BJ98:$BT98,,AH98+1)*AF98-ERP_i)*AE98*Ramure*Pc/MaxiM</f>
        <v>6.8937527260926364E-6</v>
      </c>
      <c r="AE98" s="305">
        <f t="shared" si="39"/>
        <v>0.7</v>
      </c>
      <c r="AF98" s="177">
        <f t="shared" si="40"/>
        <v>0.41497231449430894</v>
      </c>
      <c r="AG98" s="810">
        <f t="shared" si="41"/>
        <v>-2</v>
      </c>
      <c r="AH98" s="176">
        <f t="shared" si="42"/>
        <v>4</v>
      </c>
      <c r="AI98" s="225">
        <f t="shared" si="43"/>
        <v>-1.5850276855056911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6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6">
        <f t="shared" si="26"/>
        <v>0</v>
      </c>
      <c r="M99" s="855"/>
      <c r="N99" s="855"/>
      <c r="O99" s="324">
        <f t="shared" si="27"/>
        <v>0</v>
      </c>
      <c r="P99" s="169">
        <f>(INDEX(Models!$BJ99:$BT99,,T99)*(1-R99)+INDEX(Models!$BJ99:$BT99,,T99+1)*R99-ERP_i)*Q99*Ramure*Pc/MaxiM</f>
        <v>6.9709145734509865E-6</v>
      </c>
      <c r="Q99" s="305">
        <f t="shared" si="28"/>
        <v>0.7</v>
      </c>
      <c r="R99" s="177">
        <f t="shared" si="29"/>
        <v>0.4156248632954318</v>
      </c>
      <c r="S99" s="810">
        <f t="shared" si="47"/>
        <v>-2</v>
      </c>
      <c r="T99" s="176">
        <f t="shared" si="30"/>
        <v>4</v>
      </c>
      <c r="U99" s="251">
        <f t="shared" si="31"/>
        <v>-1.5843751367045682</v>
      </c>
      <c r="V99" s="383">
        <f t="shared" si="32"/>
        <v>49.024658251285565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5">
        <f t="shared" si="38"/>
        <v>0</v>
      </c>
      <c r="AD99" s="169">
        <f>(INDEX(Models!$BJ99:$BT99,,AH99)*(1-AF99)+INDEX(Models!$BJ99:$BT99,,AH99+1)*AF99-ERP_i)*AE99*Ramure*Pc/MaxiM</f>
        <v>6.9709145734509865E-6</v>
      </c>
      <c r="AE99" s="305">
        <f t="shared" si="39"/>
        <v>0.7</v>
      </c>
      <c r="AF99" s="177">
        <f t="shared" si="40"/>
        <v>0.4156248632954318</v>
      </c>
      <c r="AG99" s="810">
        <f t="shared" si="41"/>
        <v>-2</v>
      </c>
      <c r="AH99" s="176">
        <f t="shared" si="42"/>
        <v>4</v>
      </c>
      <c r="AI99" s="225">
        <f t="shared" si="43"/>
        <v>-1.5843751367045682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6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6">
        <f t="shared" si="26"/>
        <v>0</v>
      </c>
      <c r="M100" s="855"/>
      <c r="N100" s="855"/>
      <c r="O100" s="324">
        <f t="shared" si="27"/>
        <v>0</v>
      </c>
      <c r="P100" s="169">
        <f>(INDEX(Models!$BJ100:$BT100,,T100)*(1-R100)+INDEX(Models!$BJ100:$BT100,,T100+1)*R100-ERP_i)*Q100*Ramure*Pc/MaxiM</f>
        <v>7.0283605711590098E-6</v>
      </c>
      <c r="Q100" s="305">
        <f t="shared" si="28"/>
        <v>0.7</v>
      </c>
      <c r="R100" s="177">
        <f t="shared" si="29"/>
        <v>0.4163024354298035</v>
      </c>
      <c r="S100" s="810">
        <f t="shared" si="47"/>
        <v>-2</v>
      </c>
      <c r="T100" s="176">
        <f t="shared" si="30"/>
        <v>4</v>
      </c>
      <c r="U100" s="251">
        <f t="shared" si="31"/>
        <v>-1.5836975645701965</v>
      </c>
      <c r="V100" s="383">
        <f t="shared" si="32"/>
        <v>49.501401355144665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5">
        <f t="shared" si="38"/>
        <v>0</v>
      </c>
      <c r="AD100" s="169">
        <f>(INDEX(Models!$BJ100:$BT100,,AH100)*(1-AF100)+INDEX(Models!$BJ100:$BT100,,AH100+1)*AF100-ERP_i)*AE100*Ramure*Pc/MaxiM</f>
        <v>7.0283605711590098E-6</v>
      </c>
      <c r="AE100" s="305">
        <f t="shared" si="39"/>
        <v>0.7</v>
      </c>
      <c r="AF100" s="177">
        <f t="shared" si="40"/>
        <v>0.4163024354298035</v>
      </c>
      <c r="AG100" s="810">
        <f t="shared" si="41"/>
        <v>-2</v>
      </c>
      <c r="AH100" s="176">
        <f t="shared" si="42"/>
        <v>4</v>
      </c>
      <c r="AI100" s="225">
        <f t="shared" si="43"/>
        <v>-1.5836975645701965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6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6">
        <f t="shared" si="26"/>
        <v>0</v>
      </c>
      <c r="M101" s="855"/>
      <c r="N101" s="855"/>
      <c r="O101" s="324">
        <f t="shared" si="27"/>
        <v>0</v>
      </c>
      <c r="P101" s="169">
        <f>(INDEX(Models!$BJ101:$BT101,,T101)*(1-R101)+INDEX(Models!$BJ101:$BT101,,T101+1)*R101-ERP_i)*Q101*Ramure*Pc/MaxiM</f>
        <v>7.0725941959084082E-6</v>
      </c>
      <c r="Q101" s="305">
        <f t="shared" si="28"/>
        <v>0.7</v>
      </c>
      <c r="R101" s="177">
        <f t="shared" si="29"/>
        <v>0.41700589266953503</v>
      </c>
      <c r="S101" s="810">
        <f t="shared" si="47"/>
        <v>-2</v>
      </c>
      <c r="T101" s="176">
        <f t="shared" si="30"/>
        <v>4</v>
      </c>
      <c r="U101" s="251">
        <f t="shared" si="31"/>
        <v>-1.582994107330465</v>
      </c>
      <c r="V101" s="383">
        <f t="shared" si="32"/>
        <v>49.973334603417307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5">
        <f t="shared" si="38"/>
        <v>0</v>
      </c>
      <c r="AD101" s="169">
        <f>(INDEX(Models!$BJ101:$BT101,,AH101)*(1-AF101)+INDEX(Models!$BJ101:$BT101,,AH101+1)*AF101-ERP_i)*AE101*Ramure*Pc/MaxiM</f>
        <v>7.0725941959084082E-6</v>
      </c>
      <c r="AE101" s="305">
        <f t="shared" si="39"/>
        <v>0.7</v>
      </c>
      <c r="AF101" s="177">
        <f t="shared" si="40"/>
        <v>0.41700589266953503</v>
      </c>
      <c r="AG101" s="810">
        <f t="shared" si="41"/>
        <v>-2</v>
      </c>
      <c r="AH101" s="176">
        <f t="shared" si="42"/>
        <v>4</v>
      </c>
      <c r="AI101" s="225">
        <f t="shared" si="43"/>
        <v>-1.582994107330465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6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6">
        <f t="shared" si="26"/>
        <v>0</v>
      </c>
      <c r="M102" s="855"/>
      <c r="N102" s="855"/>
      <c r="O102" s="324">
        <f t="shared" si="27"/>
        <v>0</v>
      </c>
      <c r="P102" s="169">
        <f>(INDEX(Models!$BJ102:$BT102,,T102)*(1-R102)+INDEX(Models!$BJ102:$BT102,,T102+1)*R102-ERP_i)*Q102*Ramure*Pc/MaxiM</f>
        <v>7.1025487430760912E-6</v>
      </c>
      <c r="Q102" s="305">
        <f t="shared" si="28"/>
        <v>0.7</v>
      </c>
      <c r="R102" s="177">
        <f t="shared" si="29"/>
        <v>0.41773611849704406</v>
      </c>
      <c r="S102" s="810">
        <f t="shared" si="47"/>
        <v>-2</v>
      </c>
      <c r="T102" s="176">
        <f t="shared" si="30"/>
        <v>4</v>
      </c>
      <c r="U102" s="251">
        <f t="shared" si="31"/>
        <v>-1.5822638815029559</v>
      </c>
      <c r="V102" s="383">
        <f t="shared" si="32"/>
        <v>50.438708810044503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5">
        <f t="shared" si="38"/>
        <v>0</v>
      </c>
      <c r="AD102" s="169">
        <f>(INDEX(Models!$BJ102:$BT102,,AH102)*(1-AF102)+INDEX(Models!$BJ102:$BT102,,AH102+1)*AF102-ERP_i)*AE102*Ramure*Pc/MaxiM</f>
        <v>7.1025487430760912E-6</v>
      </c>
      <c r="AE102" s="305">
        <f t="shared" si="39"/>
        <v>0.7</v>
      </c>
      <c r="AF102" s="177">
        <f t="shared" si="40"/>
        <v>0.41773611849704406</v>
      </c>
      <c r="AG102" s="810">
        <f t="shared" si="41"/>
        <v>-2</v>
      </c>
      <c r="AH102" s="176">
        <f t="shared" si="42"/>
        <v>4</v>
      </c>
      <c r="AI102" s="225">
        <f t="shared" si="43"/>
        <v>-1.5822638815029559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6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6">
        <f t="shared" si="26"/>
        <v>0</v>
      </c>
      <c r="M103" s="855"/>
      <c r="N103" s="855"/>
      <c r="O103" s="324">
        <f t="shared" si="27"/>
        <v>0</v>
      </c>
      <c r="P103" s="169">
        <f>(INDEX(Models!$BJ103:$BT103,,T103)*(1-R103)+INDEX(Models!$BJ103:$BT103,,T103+1)*R103-ERP_i)*Q103*Ramure*Pc/MaxiM</f>
        <v>7.1170568058558208E-6</v>
      </c>
      <c r="Q103" s="305">
        <f t="shared" si="28"/>
        <v>0.7</v>
      </c>
      <c r="R103" s="177">
        <f t="shared" si="29"/>
        <v>0.41849401797833874</v>
      </c>
      <c r="S103" s="810">
        <f t="shared" si="47"/>
        <v>-2</v>
      </c>
      <c r="T103" s="176">
        <f t="shared" si="30"/>
        <v>4</v>
      </c>
      <c r="U103" s="251">
        <f t="shared" si="31"/>
        <v>-1.5815059820216613</v>
      </c>
      <c r="V103" s="383">
        <f t="shared" si="32"/>
        <v>50.895774796744028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5">
        <f t="shared" si="38"/>
        <v>0</v>
      </c>
      <c r="AD103" s="169">
        <f>(INDEX(Models!$BJ103:$BT103,,AH103)*(1-AF103)+INDEX(Models!$BJ103:$BT103,,AH103+1)*AF103-ERP_i)*AE103*Ramure*Pc/MaxiM</f>
        <v>7.1170568058558208E-6</v>
      </c>
      <c r="AE103" s="305">
        <f t="shared" si="39"/>
        <v>0.7</v>
      </c>
      <c r="AF103" s="177">
        <f t="shared" si="40"/>
        <v>0.41849401797833874</v>
      </c>
      <c r="AG103" s="810">
        <f t="shared" si="41"/>
        <v>-2</v>
      </c>
      <c r="AH103" s="176">
        <f t="shared" si="42"/>
        <v>4</v>
      </c>
      <c r="AI103" s="225">
        <f t="shared" si="43"/>
        <v>-1.5815059820216613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6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6">
        <f t="shared" si="26"/>
        <v>0</v>
      </c>
      <c r="M104" s="855"/>
      <c r="N104" s="855"/>
      <c r="O104" s="324">
        <f t="shared" si="27"/>
        <v>0</v>
      </c>
      <c r="P104" s="169">
        <f>(INDEX(Models!$BJ104:$BT104,,T104)*(1-R104)+INDEX(Models!$BJ104:$BT104,,T104+1)*R104-ERP_i)*Q104*Ramure*Pc/MaxiM</f>
        <v>7.1148393169715179E-6</v>
      </c>
      <c r="Q104" s="305">
        <f t="shared" si="28"/>
        <v>0.7</v>
      </c>
      <c r="R104" s="177">
        <f t="shared" si="29"/>
        <v>0.41928051756527007</v>
      </c>
      <c r="S104" s="810">
        <f t="shared" si="47"/>
        <v>-2</v>
      </c>
      <c r="T104" s="176">
        <f t="shared" si="30"/>
        <v>4</v>
      </c>
      <c r="U104" s="251">
        <f t="shared" si="31"/>
        <v>-1.5807194824347299</v>
      </c>
      <c r="V104" s="383">
        <f t="shared" si="32"/>
        <v>51.342783390692446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5">
        <f t="shared" si="38"/>
        <v>0</v>
      </c>
      <c r="AD104" s="169">
        <f>(INDEX(Models!$BJ104:$BT104,,AH104)*(1-AF104)+INDEX(Models!$BJ104:$BT104,,AH104+1)*AF104-ERP_i)*AE104*Ramure*Pc/MaxiM</f>
        <v>7.1148393169715179E-6</v>
      </c>
      <c r="AE104" s="305">
        <f t="shared" si="39"/>
        <v>0.7</v>
      </c>
      <c r="AF104" s="177">
        <f t="shared" si="40"/>
        <v>0.41928051756527007</v>
      </c>
      <c r="AG104" s="810">
        <f t="shared" si="41"/>
        <v>-2</v>
      </c>
      <c r="AH104" s="176">
        <f t="shared" si="42"/>
        <v>4</v>
      </c>
      <c r="AI104" s="225">
        <f t="shared" si="43"/>
        <v>-1.5807194824347299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6">
        <f t="shared" si="26"/>
        <v>0</v>
      </c>
      <c r="M105" s="855"/>
      <c r="N105" s="855"/>
      <c r="O105" s="324">
        <f t="shared" si="27"/>
        <v>0</v>
      </c>
      <c r="P105" s="169">
        <f>(INDEX(Models!$BJ105:$BT105,,T105)*(1-R105)+INDEX(Models!$BJ105:$BT105,,T105+1)*R105-ERP_i)*Q105*Ramure*Pc/MaxiM</f>
        <v>7.094493619048448E-6</v>
      </c>
      <c r="Q105" s="305">
        <f t="shared" si="28"/>
        <v>0.7</v>
      </c>
      <c r="R105" s="177">
        <f t="shared" si="29"/>
        <v>0.42009656482069824</v>
      </c>
      <c r="S105" s="810">
        <f t="shared" si="47"/>
        <v>-2</v>
      </c>
      <c r="T105" s="176">
        <f t="shared" si="30"/>
        <v>4</v>
      </c>
      <c r="U105" s="251">
        <f t="shared" si="31"/>
        <v>-1.5799034351793018</v>
      </c>
      <c r="V105" s="383">
        <f t="shared" si="32"/>
        <v>51.777985429481639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5">
        <f t="shared" si="38"/>
        <v>0</v>
      </c>
      <c r="AD105" s="169">
        <f>(INDEX(Models!$BJ105:$BT105,,AH105)*(1-AF105)+INDEX(Models!$BJ105:$BT105,,AH105+1)*AF105-ERP_i)*AE105*Ramure*Pc/MaxiM</f>
        <v>7.094493619048448E-6</v>
      </c>
      <c r="AE105" s="305">
        <f t="shared" si="39"/>
        <v>0.7</v>
      </c>
      <c r="AF105" s="177">
        <f t="shared" si="40"/>
        <v>0.42009656482069824</v>
      </c>
      <c r="AG105" s="810">
        <f t="shared" si="41"/>
        <v>-2</v>
      </c>
      <c r="AH105" s="176">
        <f t="shared" si="42"/>
        <v>4</v>
      </c>
      <c r="AI105" s="225">
        <f t="shared" si="43"/>
        <v>-1.5799034351793018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6">
        <f t="shared" si="26"/>
        <v>0</v>
      </c>
      <c r="M106" s="855"/>
      <c r="N106" s="855"/>
      <c r="O106" s="324">
        <f t="shared" si="27"/>
        <v>0</v>
      </c>
      <c r="P106" s="169">
        <f>(INDEX(Models!$BJ106:$BT106,,T106)*(1-R106)+INDEX(Models!$BJ106:$BT106,,T106+1)*R106-ERP_i)*Q106*Ramure*Pc/MaxiM</f>
        <v>7.054480433083484E-6</v>
      </c>
      <c r="Q106" s="305">
        <f t="shared" si="28"/>
        <v>0.7</v>
      </c>
      <c r="R106" s="177">
        <f t="shared" si="29"/>
        <v>0.4209431280602498</v>
      </c>
      <c r="S106" s="810">
        <f t="shared" si="47"/>
        <v>-2</v>
      </c>
      <c r="T106" s="176">
        <f t="shared" si="30"/>
        <v>4</v>
      </c>
      <c r="U106" s="251">
        <f t="shared" si="31"/>
        <v>-1.5790568719397502</v>
      </c>
      <c r="V106" s="383">
        <f t="shared" si="32"/>
        <v>52.199631756121398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5">
        <f t="shared" si="38"/>
        <v>0</v>
      </c>
      <c r="AD106" s="169">
        <f>(INDEX(Models!$BJ106:$BT106,,AH106)*(1-AF106)+INDEX(Models!$BJ106:$BT106,,AH106+1)*AF106-ERP_i)*AE106*Ramure*Pc/MaxiM</f>
        <v>7.054480433083484E-6</v>
      </c>
      <c r="AE106" s="305">
        <f t="shared" si="39"/>
        <v>0.7</v>
      </c>
      <c r="AF106" s="177">
        <f t="shared" si="40"/>
        <v>0.4209431280602498</v>
      </c>
      <c r="AG106" s="810">
        <f t="shared" si="41"/>
        <v>-2</v>
      </c>
      <c r="AH106" s="176">
        <f t="shared" si="42"/>
        <v>4</v>
      </c>
      <c r="AI106" s="225">
        <f t="shared" si="43"/>
        <v>-1.5790568719397502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6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6">
        <f t="shared" si="26"/>
        <v>0</v>
      </c>
      <c r="M107" s="855"/>
      <c r="N107" s="855"/>
      <c r="O107" s="324">
        <f t="shared" si="27"/>
        <v>0</v>
      </c>
      <c r="P107" s="169">
        <f>(INDEX(Models!$BJ107:$BT107,,T107)*(1-R107)+INDEX(Models!$BJ107:$BT107,,T107+1)*R107-ERP_i)*Q107*Ramure*Pc/MaxiM</f>
        <v>6.9924967960572198E-6</v>
      </c>
      <c r="Q107" s="305">
        <f t="shared" si="28"/>
        <v>0.7</v>
      </c>
      <c r="R107" s="177">
        <f t="shared" si="29"/>
        <v>0.42182119590410072</v>
      </c>
      <c r="S107" s="810">
        <f t="shared" si="47"/>
        <v>-2</v>
      </c>
      <c r="T107" s="176">
        <f t="shared" si="30"/>
        <v>4</v>
      </c>
      <c r="U107" s="251">
        <f t="shared" si="31"/>
        <v>-1.5781788040958993</v>
      </c>
      <c r="V107" s="383">
        <f t="shared" si="32"/>
        <v>52.610583284213561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5">
        <f t="shared" si="38"/>
        <v>0</v>
      </c>
      <c r="AD107" s="169">
        <f>(INDEX(Models!$BJ107:$BT107,,AH107)*(1-AF107)+INDEX(Models!$BJ107:$BT107,,AH107+1)*AF107-ERP_i)*AE107*Ramure*Pc/MaxiM</f>
        <v>6.9924967960572198E-6</v>
      </c>
      <c r="AE107" s="305">
        <f t="shared" si="39"/>
        <v>0.7</v>
      </c>
      <c r="AF107" s="177">
        <f t="shared" si="40"/>
        <v>0.42182119590410072</v>
      </c>
      <c r="AG107" s="810">
        <f t="shared" si="41"/>
        <v>-2</v>
      </c>
      <c r="AH107" s="176">
        <f t="shared" si="42"/>
        <v>4</v>
      </c>
      <c r="AI107" s="225">
        <f t="shared" si="43"/>
        <v>-1.5781788040958993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6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6">
        <f t="shared" si="26"/>
        <v>0</v>
      </c>
      <c r="M108" s="855"/>
      <c r="N108" s="855"/>
      <c r="O108" s="324">
        <f t="shared" si="27"/>
        <v>0</v>
      </c>
      <c r="P108" s="169">
        <f>(INDEX(Models!$BJ108:$BT108,,T108)*(1-R108)+INDEX(Models!$BJ108:$BT108,,T108+1)*R108-ERP_i)*Q108*Ramure*Pc/MaxiM</f>
        <v>6.9109732766332152E-6</v>
      </c>
      <c r="Q108" s="305">
        <f t="shared" si="28"/>
        <v>0.7</v>
      </c>
      <c r="R108" s="177">
        <f t="shared" si="29"/>
        <v>0.4227317767319827</v>
      </c>
      <c r="S108" s="810">
        <f t="shared" si="47"/>
        <v>-2</v>
      </c>
      <c r="T108" s="176">
        <f t="shared" si="30"/>
        <v>4</v>
      </c>
      <c r="U108" s="251">
        <f t="shared" si="31"/>
        <v>-1.5772682232680173</v>
      </c>
      <c r="V108" s="383">
        <f t="shared" si="32"/>
        <v>53.014793964996585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5">
        <f t="shared" si="38"/>
        <v>0</v>
      </c>
      <c r="AD108" s="169">
        <f>(INDEX(Models!$BJ108:$BT108,,AH108)*(1-AF108)+INDEX(Models!$BJ108:$BT108,,AH108+1)*AF108-ERP_i)*AE108*Ramure*Pc/MaxiM</f>
        <v>6.9109732766332152E-6</v>
      </c>
      <c r="AE108" s="305">
        <f t="shared" si="39"/>
        <v>0.7</v>
      </c>
      <c r="AF108" s="177">
        <f t="shared" si="40"/>
        <v>0.4227317767319827</v>
      </c>
      <c r="AG108" s="810">
        <f t="shared" si="41"/>
        <v>-2</v>
      </c>
      <c r="AH108" s="176">
        <f t="shared" si="42"/>
        <v>4</v>
      </c>
      <c r="AI108" s="225">
        <f t="shared" si="43"/>
        <v>-1.5772682232680173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6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6">
        <f t="shared" si="26"/>
        <v>0</v>
      </c>
      <c r="M109" s="855"/>
      <c r="N109" s="855"/>
      <c r="O109" s="324">
        <f t="shared" si="27"/>
        <v>0</v>
      </c>
      <c r="P109" s="169">
        <f>(INDEX(Models!$BJ109:$BT109,,T109)*(1-R109)+INDEX(Models!$BJ109:$BT109,,T109+1)*R109-ERP_i)*Q109*Ramure*Pc/MaxiM</f>
        <v>6.816395808282514E-6</v>
      </c>
      <c r="Q109" s="305">
        <f t="shared" si="28"/>
        <v>0.7</v>
      </c>
      <c r="R109" s="177">
        <f t="shared" si="29"/>
        <v>0.42367589803439776</v>
      </c>
      <c r="S109" s="810">
        <f t="shared" si="47"/>
        <v>-2</v>
      </c>
      <c r="T109" s="176">
        <f t="shared" si="30"/>
        <v>4</v>
      </c>
      <c r="U109" s="251">
        <f t="shared" si="31"/>
        <v>-1.5763241019656022</v>
      </c>
      <c r="V109" s="383">
        <f t="shared" si="32"/>
        <v>53.412154141019649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5">
        <f t="shared" si="38"/>
        <v>0</v>
      </c>
      <c r="AD109" s="169">
        <f>(INDEX(Models!$BJ109:$BT109,,AH109)*(1-AF109)+INDEX(Models!$BJ109:$BT109,,AH109+1)*AF109-ERP_i)*AE109*Ramure*Pc/MaxiM</f>
        <v>6.816395808282514E-6</v>
      </c>
      <c r="AE109" s="305">
        <f t="shared" si="39"/>
        <v>0.7</v>
      </c>
      <c r="AF109" s="177">
        <f t="shared" si="40"/>
        <v>0.42367589803439776</v>
      </c>
      <c r="AG109" s="810">
        <f t="shared" si="41"/>
        <v>-2</v>
      </c>
      <c r="AH109" s="176">
        <f t="shared" si="42"/>
        <v>4</v>
      </c>
      <c r="AI109" s="225">
        <f t="shared" si="43"/>
        <v>-1.5763241019656022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6">
        <f t="shared" si="26"/>
        <v>0</v>
      </c>
      <c r="M110" s="855"/>
      <c r="N110" s="855"/>
      <c r="O110" s="324">
        <f t="shared" si="27"/>
        <v>0</v>
      </c>
      <c r="P110" s="169">
        <f>(INDEX(Models!$BJ110:$BT110,,T110)*(1-R110)+INDEX(Models!$BJ110:$BT110,,T110+1)*R110-ERP_i)*Q110*Ramure*Pc/MaxiM</f>
        <v>6.7078418694223405E-6</v>
      </c>
      <c r="Q110" s="305">
        <f t="shared" si="28"/>
        <v>0.7</v>
      </c>
      <c r="R110" s="177">
        <f t="shared" si="29"/>
        <v>0.42465460565282998</v>
      </c>
      <c r="S110" s="810">
        <f t="shared" si="47"/>
        <v>-2</v>
      </c>
      <c r="T110" s="176">
        <f t="shared" si="30"/>
        <v>4</v>
      </c>
      <c r="U110" s="251">
        <f t="shared" si="31"/>
        <v>-1.57534539434717</v>
      </c>
      <c r="V110" s="383">
        <f t="shared" si="32"/>
        <v>53.802554550971742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5">
        <f t="shared" si="38"/>
        <v>0</v>
      </c>
      <c r="AD110" s="169">
        <f>(INDEX(Models!$BJ110:$BT110,,AH110)*(1-AF110)+INDEX(Models!$BJ110:$BT110,,AH110+1)*AF110-ERP_i)*AE110*Ramure*Pc/MaxiM</f>
        <v>6.7078418694223405E-6</v>
      </c>
      <c r="AE110" s="305">
        <f t="shared" si="39"/>
        <v>0.7</v>
      </c>
      <c r="AF110" s="177">
        <f t="shared" si="40"/>
        <v>0.42465460565282998</v>
      </c>
      <c r="AG110" s="810">
        <f t="shared" si="41"/>
        <v>-2</v>
      </c>
      <c r="AH110" s="176">
        <f t="shared" si="42"/>
        <v>4</v>
      </c>
      <c r="AI110" s="225">
        <f t="shared" si="43"/>
        <v>-1.57534539434717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6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6">
        <f t="shared" si="26"/>
        <v>0</v>
      </c>
      <c r="M111" s="855"/>
      <c r="N111" s="855"/>
      <c r="O111" s="324">
        <f t="shared" si="27"/>
        <v>0</v>
      </c>
      <c r="P111" s="169">
        <f>(INDEX(Models!$BJ111:$BT111,,T111)*(1-R111)+INDEX(Models!$BJ111:$BT111,,T111+1)*R111-ERP_i)*Q111*Ramure*Pc/MaxiM</f>
        <v>6.5843326808740742E-6</v>
      </c>
      <c r="Q111" s="305">
        <f t="shared" si="28"/>
        <v>0.7</v>
      </c>
      <c r="R111" s="177">
        <f t="shared" si="29"/>
        <v>0.42566896290158907</v>
      </c>
      <c r="S111" s="810">
        <f t="shared" si="47"/>
        <v>-2</v>
      </c>
      <c r="T111" s="176">
        <f t="shared" si="30"/>
        <v>4</v>
      </c>
      <c r="U111" s="251">
        <f t="shared" si="31"/>
        <v>-1.5743310370984109</v>
      </c>
      <c r="V111" s="383">
        <f t="shared" si="32"/>
        <v>54.185885930763106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5">
        <f t="shared" si="38"/>
        <v>0</v>
      </c>
      <c r="AD111" s="169">
        <f>(INDEX(Models!$BJ111:$BT111,,AH111)*(1-AF111)+INDEX(Models!$BJ111:$BT111,,AH111+1)*AF111-ERP_i)*AE111*Ramure*Pc/MaxiM</f>
        <v>6.5843326808740742E-6</v>
      </c>
      <c r="AE111" s="305">
        <f t="shared" si="39"/>
        <v>0.7</v>
      </c>
      <c r="AF111" s="177">
        <f t="shared" si="40"/>
        <v>0.42566896290158907</v>
      </c>
      <c r="AG111" s="810">
        <f t="shared" si="41"/>
        <v>-2</v>
      </c>
      <c r="AH111" s="176">
        <f t="shared" si="42"/>
        <v>4</v>
      </c>
      <c r="AI111" s="225">
        <f t="shared" si="43"/>
        <v>-1.5743310370984109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6">
        <f t="shared" si="26"/>
        <v>0</v>
      </c>
      <c r="M112" s="855"/>
      <c r="N112" s="855"/>
      <c r="O112" s="324">
        <f t="shared" si="27"/>
        <v>0</v>
      </c>
      <c r="P112" s="169">
        <f>(INDEX(Models!$BJ112:$BT112,,T112)*(1-R112)+INDEX(Models!$BJ112:$BT112,,T112+1)*R112-ERP_i)*Q112*Ramure*Pc/MaxiM</f>
        <v>6.4448302732122653E-6</v>
      </c>
      <c r="Q112" s="305">
        <f t="shared" si="28"/>
        <v>0.7</v>
      </c>
      <c r="R112" s="177">
        <f t="shared" si="29"/>
        <v>0.42672004956378395</v>
      </c>
      <c r="S112" s="810">
        <f t="shared" si="47"/>
        <v>-2</v>
      </c>
      <c r="T112" s="176">
        <f t="shared" si="30"/>
        <v>4</v>
      </c>
      <c r="U112" s="251">
        <f t="shared" si="31"/>
        <v>-1.573279950436216</v>
      </c>
      <c r="V112" s="383">
        <f t="shared" si="32"/>
        <v>54.562039025046012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5">
        <f t="shared" si="38"/>
        <v>0</v>
      </c>
      <c r="AD112" s="169">
        <f>(INDEX(Models!$BJ112:$BT112,,AH112)*(1-AF112)+INDEX(Models!$BJ112:$BT112,,AH112+1)*AF112-ERP_i)*AE112*Ramure*Pc/MaxiM</f>
        <v>6.4448302732122653E-6</v>
      </c>
      <c r="AE112" s="305">
        <f t="shared" si="39"/>
        <v>0.7</v>
      </c>
      <c r="AF112" s="177">
        <f t="shared" si="40"/>
        <v>0.42672004956378395</v>
      </c>
      <c r="AG112" s="810">
        <f t="shared" si="41"/>
        <v>-2</v>
      </c>
      <c r="AH112" s="176">
        <f t="shared" si="42"/>
        <v>4</v>
      </c>
      <c r="AI112" s="225">
        <f t="shared" si="43"/>
        <v>-1.573279950436216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6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6">
        <f t="shared" si="26"/>
        <v>0</v>
      </c>
      <c r="M113" s="855"/>
      <c r="N113" s="855"/>
      <c r="O113" s="324">
        <f t="shared" si="27"/>
        <v>0</v>
      </c>
      <c r="P113" s="169">
        <f>(INDEX(Models!$BJ113:$BT113,,T113)*(1-R113)+INDEX(Models!$BJ113:$BT113,,T113+1)*R113-ERP_i)*Q113*Ramure*Pc/MaxiM</f>
        <v>6.288234461598952E-6</v>
      </c>
      <c r="Q113" s="305">
        <f t="shared" si="28"/>
        <v>0.7</v>
      </c>
      <c r="R113" s="177">
        <f t="shared" si="29"/>
        <v>0.4278089607538369</v>
      </c>
      <c r="S113" s="810">
        <f t="shared" si="47"/>
        <v>-2</v>
      </c>
      <c r="T113" s="176">
        <f t="shared" si="30"/>
        <v>4</v>
      </c>
      <c r="U113" s="251">
        <f t="shared" si="31"/>
        <v>-1.5721910392461631</v>
      </c>
      <c r="V113" s="383">
        <f t="shared" si="32"/>
        <v>54.93090457867568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5">
        <f t="shared" si="38"/>
        <v>0</v>
      </c>
      <c r="AD113" s="169">
        <f>(INDEX(Models!$BJ113:$BT113,,AH113)*(1-AF113)+INDEX(Models!$BJ113:$BT113,,AH113+1)*AF113-ERP_i)*AE113*Ramure*Pc/MaxiM</f>
        <v>6.288234461598952E-6</v>
      </c>
      <c r="AE113" s="305">
        <f t="shared" si="39"/>
        <v>0.7</v>
      </c>
      <c r="AF113" s="177">
        <f t="shared" si="40"/>
        <v>0.4278089607538369</v>
      </c>
      <c r="AG113" s="810">
        <f t="shared" si="41"/>
        <v>-2</v>
      </c>
      <c r="AH113" s="176">
        <f t="shared" si="42"/>
        <v>4</v>
      </c>
      <c r="AI113" s="225">
        <f t="shared" si="43"/>
        <v>-1.5721910392461631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6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6">
        <f t="shared" si="26"/>
        <v>0</v>
      </c>
      <c r="M114" s="855"/>
      <c r="N114" s="855"/>
      <c r="O114" s="324">
        <f t="shared" si="27"/>
        <v>0</v>
      </c>
      <c r="P114" s="169">
        <f>(INDEX(Models!$BJ114:$BT114,,T114)*(1-R114)+INDEX(Models!$BJ114:$BT114,,T114+1)*R114-ERP_i)*Q114*Ramure*Pc/MaxiM</f>
        <v>6.1229092168300404E-6</v>
      </c>
      <c r="Q114" s="305">
        <f t="shared" si="28"/>
        <v>0.7</v>
      </c>
      <c r="R114" s="177">
        <f t="shared" si="29"/>
        <v>0.4289368056389109</v>
      </c>
      <c r="S114" s="810">
        <f t="shared" si="47"/>
        <v>-2</v>
      </c>
      <c r="T114" s="176">
        <f t="shared" si="30"/>
        <v>4</v>
      </c>
      <c r="U114" s="251">
        <f t="shared" si="31"/>
        <v>-1.5710631943610891</v>
      </c>
      <c r="V114" s="383">
        <f t="shared" si="32"/>
        <v>55.292372816909023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5">
        <f t="shared" si="38"/>
        <v>0</v>
      </c>
      <c r="AD114" s="169">
        <f>(INDEX(Models!$BJ114:$BT114,,AH114)*(1-AF114)+INDEX(Models!$BJ114:$BT114,,AH114+1)*AF114-ERP_i)*AE114*Ramure*Pc/MaxiM</f>
        <v>6.1229092168300404E-6</v>
      </c>
      <c r="AE114" s="305">
        <f t="shared" si="39"/>
        <v>0.7</v>
      </c>
      <c r="AF114" s="177">
        <f t="shared" si="40"/>
        <v>0.4289368056389109</v>
      </c>
      <c r="AG114" s="810">
        <f t="shared" si="41"/>
        <v>-2</v>
      </c>
      <c r="AH114" s="176">
        <f t="shared" si="42"/>
        <v>4</v>
      </c>
      <c r="AI114" s="225">
        <f t="shared" si="43"/>
        <v>-1.5710631943610891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6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6">
        <f t="shared" si="26"/>
        <v>0</v>
      </c>
      <c r="M115" s="855"/>
      <c r="N115" s="855"/>
      <c r="O115" s="324">
        <f t="shared" si="27"/>
        <v>0</v>
      </c>
      <c r="P115" s="169">
        <f>(INDEX(Models!$BJ115:$BT115,,T115)*(1-R115)+INDEX(Models!$BJ115:$BT115,,T115+1)*R115-ERP_i)*Q115*Ramure*Pc/MaxiM</f>
        <v>5.9554980999394739E-6</v>
      </c>
      <c r="Q115" s="305">
        <f t="shared" si="28"/>
        <v>0.7</v>
      </c>
      <c r="R115" s="177">
        <f t="shared" si="29"/>
        <v>0.43010470601162853</v>
      </c>
      <c r="S115" s="810">
        <f t="shared" si="47"/>
        <v>-2</v>
      </c>
      <c r="T115" s="176">
        <f t="shared" si="30"/>
        <v>4</v>
      </c>
      <c r="U115" s="251">
        <f t="shared" si="31"/>
        <v>-1.5698952939883715</v>
      </c>
      <c r="V115" s="383">
        <f t="shared" si="32"/>
        <v>55.646334047852413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5">
        <f t="shared" si="38"/>
        <v>0</v>
      </c>
      <c r="AD115" s="169">
        <f>(INDEX(Models!$BJ115:$BT115,,AH115)*(1-AF115)+INDEX(Models!$BJ115:$BT115,,AH115+1)*AF115-ERP_i)*AE115*Ramure*Pc/MaxiM</f>
        <v>5.9554980999394739E-6</v>
      </c>
      <c r="AE115" s="305">
        <f t="shared" si="39"/>
        <v>0.7</v>
      </c>
      <c r="AF115" s="177">
        <f t="shared" si="40"/>
        <v>0.43010470601162853</v>
      </c>
      <c r="AG115" s="810">
        <f t="shared" si="41"/>
        <v>-2</v>
      </c>
      <c r="AH115" s="176">
        <f t="shared" si="42"/>
        <v>4</v>
      </c>
      <c r="AI115" s="225">
        <f t="shared" si="43"/>
        <v>-1.5698952939883715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6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6">
        <f t="shared" si="26"/>
        <v>0</v>
      </c>
      <c r="M116" s="855"/>
      <c r="N116" s="855"/>
      <c r="O116" s="324">
        <f t="shared" si="27"/>
        <v>0</v>
      </c>
      <c r="P116" s="169">
        <f>(INDEX(Models!$BJ116:$BT116,,T116)*(1-R116)+INDEX(Models!$BJ116:$BT116,,T116+1)*R116-ERP_i)*Q116*Ramure*Pc/MaxiM</f>
        <v>5.7864860066442158E-6</v>
      </c>
      <c r="Q116" s="305">
        <f t="shared" si="28"/>
        <v>0.7</v>
      </c>
      <c r="R116" s="177">
        <f t="shared" si="29"/>
        <v>0.43131379470653108</v>
      </c>
      <c r="S116" s="810">
        <f t="shared" si="47"/>
        <v>-2</v>
      </c>
      <c r="T116" s="176">
        <f t="shared" si="30"/>
        <v>4</v>
      </c>
      <c r="U116" s="251">
        <f t="shared" si="31"/>
        <v>-1.5686862052934689</v>
      </c>
      <c r="V116" s="383">
        <f t="shared" si="32"/>
        <v>55.992678911164433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5">
        <f t="shared" si="38"/>
        <v>0</v>
      </c>
      <c r="AD116" s="169">
        <f>(INDEX(Models!$BJ116:$BT116,,AH116)*(1-AF116)+INDEX(Models!$BJ116:$BT116,,AH116+1)*AF116-ERP_i)*AE116*Ramure*Pc/MaxiM</f>
        <v>5.7864860066442158E-6</v>
      </c>
      <c r="AE116" s="305">
        <f t="shared" si="39"/>
        <v>0.7</v>
      </c>
      <c r="AF116" s="177">
        <f t="shared" si="40"/>
        <v>0.43131379470653108</v>
      </c>
      <c r="AG116" s="810">
        <f t="shared" si="41"/>
        <v>-2</v>
      </c>
      <c r="AH116" s="176">
        <f t="shared" si="42"/>
        <v>4</v>
      </c>
      <c r="AI116" s="225">
        <f t="shared" si="43"/>
        <v>-1.5686862052934689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6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6">
        <f t="shared" si="26"/>
        <v>0</v>
      </c>
      <c r="M117" s="855"/>
      <c r="N117" s="855"/>
      <c r="O117" s="324">
        <f t="shared" si="27"/>
        <v>0</v>
      </c>
      <c r="P117" s="169">
        <f>(INDEX(Models!$BJ117:$BT117,,T117)*(1-R117)+INDEX(Models!$BJ117:$BT117,,T117+1)*R117-ERP_i)*Q117*Ramure*Pc/MaxiM</f>
        <v>5.6164193609345857E-6</v>
      </c>
      <c r="Q117" s="305">
        <f t="shared" si="28"/>
        <v>0.7</v>
      </c>
      <c r="R117" s="177">
        <f t="shared" si="29"/>
        <v>0.43256521385286839</v>
      </c>
      <c r="S117" s="810">
        <f t="shared" si="47"/>
        <v>-2</v>
      </c>
      <c r="T117" s="176">
        <f t="shared" si="30"/>
        <v>4</v>
      </c>
      <c r="U117" s="251">
        <f t="shared" si="31"/>
        <v>-1.5674347861471316</v>
      </c>
      <c r="V117" s="383">
        <f t="shared" si="32"/>
        <v>56.331298047693423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5">
        <f t="shared" si="38"/>
        <v>0</v>
      </c>
      <c r="AD117" s="169">
        <f>(INDEX(Models!$BJ117:$BT117,,AH117)*(1-AF117)+INDEX(Models!$BJ117:$BT117,,AH117+1)*AF117-ERP_i)*AE117*Ramure*Pc/MaxiM</f>
        <v>5.6164193609345857E-6</v>
      </c>
      <c r="AE117" s="305">
        <f t="shared" si="39"/>
        <v>0.7</v>
      </c>
      <c r="AF117" s="177">
        <f t="shared" si="40"/>
        <v>0.43256521385286839</v>
      </c>
      <c r="AG117" s="810">
        <f t="shared" si="41"/>
        <v>-2</v>
      </c>
      <c r="AH117" s="176">
        <f t="shared" si="42"/>
        <v>4</v>
      </c>
      <c r="AI117" s="225">
        <f t="shared" si="43"/>
        <v>-1.5674347861471316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6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6">
        <f t="shared" si="26"/>
        <v>0</v>
      </c>
      <c r="M118" s="855"/>
      <c r="N118" s="855"/>
      <c r="O118" s="324">
        <f t="shared" si="27"/>
        <v>0</v>
      </c>
      <c r="P118" s="169">
        <f>(INDEX(Models!$BJ118:$BT118,,T118)*(1-R118)+INDEX(Models!$BJ118:$BT118,,T118+1)*R118-ERP_i)*Q118*Ramure*Pc/MaxiM</f>
        <v>5.4459114039944055E-6</v>
      </c>
      <c r="Q118" s="305">
        <f t="shared" si="28"/>
        <v>0.7</v>
      </c>
      <c r="R118" s="177">
        <f t="shared" si="29"/>
        <v>0.43386011295651938</v>
      </c>
      <c r="S118" s="810">
        <f t="shared" si="47"/>
        <v>-2</v>
      </c>
      <c r="T118" s="176">
        <f t="shared" si="30"/>
        <v>4</v>
      </c>
      <c r="U118" s="251">
        <f t="shared" si="31"/>
        <v>-1.5661398870434806</v>
      </c>
      <c r="V118" s="383">
        <f t="shared" si="32"/>
        <v>56.662082089479199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5">
        <f t="shared" si="38"/>
        <v>0</v>
      </c>
      <c r="AD118" s="169">
        <f>(INDEX(Models!$BJ118:$BT118,,AH118)*(1-AF118)+INDEX(Models!$BJ118:$BT118,,AH118+1)*AF118-ERP_i)*AE118*Ramure*Pc/MaxiM</f>
        <v>5.4459114039944055E-6</v>
      </c>
      <c r="AE118" s="305">
        <f t="shared" si="39"/>
        <v>0.7</v>
      </c>
      <c r="AF118" s="177">
        <f t="shared" si="40"/>
        <v>0.43386011295651938</v>
      </c>
      <c r="AG118" s="810">
        <f t="shared" si="41"/>
        <v>-2</v>
      </c>
      <c r="AH118" s="176">
        <f t="shared" si="42"/>
        <v>4</v>
      </c>
      <c r="AI118" s="225">
        <f t="shared" si="43"/>
        <v>-1.5661398870434806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6">
        <f t="shared" si="26"/>
        <v>0</v>
      </c>
      <c r="M119" s="855"/>
      <c r="N119" s="855"/>
      <c r="O119" s="324">
        <f t="shared" si="27"/>
        <v>0</v>
      </c>
      <c r="P119" s="169">
        <f>(INDEX(Models!$BJ119:$BT119,,T119)*(1-R119)+INDEX(Models!$BJ119:$BT119,,T119+1)*R119-ERP_i)*Q119*Ramure*Pc/MaxiM</f>
        <v>5.275647822097546E-6</v>
      </c>
      <c r="Q119" s="305">
        <f t="shared" si="28"/>
        <v>0.7</v>
      </c>
      <c r="R119" s="177">
        <f t="shared" si="29"/>
        <v>0.43519964680414458</v>
      </c>
      <c r="S119" s="810">
        <f t="shared" si="47"/>
        <v>-2</v>
      </c>
      <c r="T119" s="176">
        <f t="shared" si="30"/>
        <v>4</v>
      </c>
      <c r="U119" s="251">
        <f t="shared" si="31"/>
        <v>-1.5648003531958554</v>
      </c>
      <c r="V119" s="383">
        <f t="shared" si="32"/>
        <v>56.984921667455374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5">
        <f t="shared" si="38"/>
        <v>0</v>
      </c>
      <c r="AD119" s="169">
        <f>(INDEX(Models!$BJ119:$BT119,,AH119)*(1-AF119)+INDEX(Models!$BJ119:$BT119,,AH119+1)*AF119-ERP_i)*AE119*Ramure*Pc/MaxiM</f>
        <v>5.275647822097546E-6</v>
      </c>
      <c r="AE119" s="305">
        <f t="shared" si="39"/>
        <v>0.7</v>
      </c>
      <c r="AF119" s="177">
        <f t="shared" si="40"/>
        <v>0.43519964680414458</v>
      </c>
      <c r="AG119" s="810">
        <f t="shared" si="41"/>
        <v>-2</v>
      </c>
      <c r="AH119" s="176">
        <f t="shared" si="42"/>
        <v>4</v>
      </c>
      <c r="AI119" s="225">
        <f t="shared" si="43"/>
        <v>-1.5648003531958554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6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6">
        <f t="shared" si="26"/>
        <v>0</v>
      </c>
      <c r="M120" s="855"/>
      <c r="N120" s="855"/>
      <c r="O120" s="324">
        <f t="shared" si="27"/>
        <v>0</v>
      </c>
      <c r="P120" s="169">
        <f>(INDEX(Models!$BJ120:$BT120,,T120)*(1-R120)+INDEX(Models!$BJ120:$BT120,,T120+1)*R120-ERP_i)*Q120*Ramure*Pc/MaxiM</f>
        <v>5.106392727814575E-6</v>
      </c>
      <c r="Q120" s="305">
        <f t="shared" si="28"/>
        <v>0.7</v>
      </c>
      <c r="R120" s="177">
        <f t="shared" si="29"/>
        <v>0.43658497318305844</v>
      </c>
      <c r="S120" s="810">
        <f t="shared" si="47"/>
        <v>-2</v>
      </c>
      <c r="T120" s="176">
        <f t="shared" si="30"/>
        <v>4</v>
      </c>
      <c r="U120" s="251">
        <f t="shared" si="31"/>
        <v>-1.5634150268169416</v>
      </c>
      <c r="V120" s="383">
        <f t="shared" si="32"/>
        <v>57.299707400716478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5">
        <f t="shared" si="38"/>
        <v>0</v>
      </c>
      <c r="AD120" s="169">
        <f>(INDEX(Models!$BJ120:$BT120,,AH120)*(1-AF120)+INDEX(Models!$BJ120:$BT120,,AH120+1)*AF120-ERP_i)*AE120*Ramure*Pc/MaxiM</f>
        <v>5.106392727814575E-6</v>
      </c>
      <c r="AE120" s="305">
        <f t="shared" si="39"/>
        <v>0.7</v>
      </c>
      <c r="AF120" s="177">
        <f t="shared" si="40"/>
        <v>0.43658497318305844</v>
      </c>
      <c r="AG120" s="810">
        <f t="shared" si="41"/>
        <v>-2</v>
      </c>
      <c r="AH120" s="176">
        <f t="shared" si="42"/>
        <v>4</v>
      </c>
      <c r="AI120" s="225">
        <f t="shared" si="43"/>
        <v>-1.5634150268169416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6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6">
        <f t="shared" si="26"/>
        <v>0</v>
      </c>
      <c r="M121" s="855"/>
      <c r="N121" s="855"/>
      <c r="O121" s="324">
        <f t="shared" si="27"/>
        <v>0</v>
      </c>
      <c r="P121" s="169">
        <f>(INDEX(Models!$BJ121:$BT121,,T121)*(1-R121)+INDEX(Models!$BJ121:$BT121,,T121+1)*R121-ERP_i)*Q121*Ramure*Pc/MaxiM</f>
        <v>4.9389918760121619E-6</v>
      </c>
      <c r="Q121" s="305">
        <f t="shared" si="28"/>
        <v>0.7</v>
      </c>
      <c r="R121" s="177">
        <f t="shared" si="29"/>
        <v>0.43801725041079975</v>
      </c>
      <c r="S121" s="810">
        <f t="shared" si="47"/>
        <v>-2</v>
      </c>
      <c r="T121" s="176">
        <f t="shared" si="30"/>
        <v>4</v>
      </c>
      <c r="U121" s="251">
        <f t="shared" si="31"/>
        <v>-1.5619827495892002</v>
      </c>
      <c r="V121" s="383">
        <f t="shared" si="32"/>
        <v>57.606366354173645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5">
        <f t="shared" si="38"/>
        <v>0</v>
      </c>
      <c r="AD121" s="169">
        <f>(INDEX(Models!$BJ121:$BT121,,AH121)*(1-AF121)+INDEX(Models!$BJ121:$BT121,,AH121+1)*AF121-ERP_i)*AE121*Ramure*Pc/MaxiM</f>
        <v>4.9389918760121619E-6</v>
      </c>
      <c r="AE121" s="305">
        <f t="shared" si="39"/>
        <v>0.7</v>
      </c>
      <c r="AF121" s="177">
        <f t="shared" si="40"/>
        <v>0.43801725041079975</v>
      </c>
      <c r="AG121" s="810">
        <f t="shared" si="41"/>
        <v>-2</v>
      </c>
      <c r="AH121" s="176">
        <f t="shared" si="42"/>
        <v>4</v>
      </c>
      <c r="AI121" s="225">
        <f t="shared" si="43"/>
        <v>-1.5619827495892002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6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2">
        <f t="shared" si="26"/>
        <v>0</v>
      </c>
      <c r="M122" s="855"/>
      <c r="N122" s="855"/>
      <c r="O122" s="324">
        <f t="shared" si="27"/>
        <v>0</v>
      </c>
      <c r="P122" s="169">
        <f>(INDEX(Models!$BJ122:$BT122,,T122)*(1-R122)+INDEX(Models!$BJ122:$BT122,,T122+1)*R122-ERP_i)*Q122*Ramure*Pc/MaxiM</f>
        <v>4.7822460513411764E-6</v>
      </c>
      <c r="Q122" s="305">
        <f t="shared" si="28"/>
        <v>0.7</v>
      </c>
      <c r="R122" s="177">
        <f t="shared" si="29"/>
        <v>0.43949763466897807</v>
      </c>
      <c r="S122" s="810">
        <f t="shared" si="47"/>
        <v>-2</v>
      </c>
      <c r="T122" s="176">
        <f t="shared" si="30"/>
        <v>4</v>
      </c>
      <c r="U122" s="251">
        <f t="shared" si="31"/>
        <v>-1.5605023653310219</v>
      </c>
      <c r="V122" s="383">
        <f t="shared" si="32"/>
        <v>57.904970893659595</v>
      </c>
      <c r="W122" s="434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1">
        <f t="shared" si="38"/>
        <v>0</v>
      </c>
      <c r="AD122" s="169">
        <f>(INDEX(Models!$BJ122:$BT122,,AH122)*(1-AF122)+INDEX(Models!$BJ122:$BT122,,AH122+1)*AF122-ERP_i)*AE122*Ramure*Pc/MaxiM</f>
        <v>4.7822460513411764E-6</v>
      </c>
      <c r="AE122" s="305">
        <f t="shared" si="39"/>
        <v>0.7</v>
      </c>
      <c r="AF122" s="177">
        <f t="shared" si="40"/>
        <v>0.43949763466897807</v>
      </c>
      <c r="AG122" s="810">
        <f t="shared" si="41"/>
        <v>-2</v>
      </c>
      <c r="AH122" s="176">
        <f t="shared" si="42"/>
        <v>4</v>
      </c>
      <c r="AI122" s="225">
        <f t="shared" si="43"/>
        <v>-1.5605023653310219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6"/>
      <c r="C123" s="390"/>
      <c r="D123" s="393"/>
      <c r="E123" s="385"/>
      <c r="F123" s="385"/>
      <c r="G123" s="110"/>
      <c r="H123" s="435"/>
      <c r="I123" s="380">
        <f t="shared" si="24"/>
        <v>0</v>
      </c>
      <c r="J123" s="85">
        <v>2018</v>
      </c>
      <c r="K123" s="197">
        <f t="shared" si="25"/>
        <v>43209</v>
      </c>
      <c r="L123" s="436">
        <f t="shared" si="26"/>
        <v>0</v>
      </c>
      <c r="M123" s="855"/>
      <c r="N123" s="855"/>
      <c r="O123" s="324">
        <f t="shared" si="27"/>
        <v>0</v>
      </c>
      <c r="P123" s="169">
        <f>(INDEX(Models!$BJ123:$BT123,,T123)*(1-R123)+INDEX(Models!$BJ123:$BT123,,T123+1)*R123-ERP_i)*Q123*Ramure*Pc/MaxiM</f>
        <v>4.6296705437696797E-6</v>
      </c>
      <c r="Q123" s="305">
        <f t="shared" si="28"/>
        <v>0.7</v>
      </c>
      <c r="R123" s="177">
        <f t="shared" si="29"/>
        <v>0.44102727713668766</v>
      </c>
      <c r="S123" s="810">
        <f t="shared" si="47"/>
        <v>-2</v>
      </c>
      <c r="T123" s="176">
        <f t="shared" si="30"/>
        <v>4</v>
      </c>
      <c r="U123" s="251">
        <f t="shared" si="31"/>
        <v>-1.5589727228633123</v>
      </c>
      <c r="V123" s="383">
        <f t="shared" si="32"/>
        <v>58.195630715252882</v>
      </c>
      <c r="W123" s="434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7">
        <f t="shared" si="38"/>
        <v>0</v>
      </c>
      <c r="AD123" s="169">
        <f>(INDEX(Models!$BJ123:$BT123,,AH123)*(1-AF123)+INDEX(Models!$BJ123:$BT123,,AH123+1)*AF123-ERP_i)*AE123*Ramure*Pc/MaxiM</f>
        <v>4.6296705437696797E-6</v>
      </c>
      <c r="AE123" s="305">
        <f t="shared" si="39"/>
        <v>0.7</v>
      </c>
      <c r="AF123" s="177">
        <f t="shared" si="40"/>
        <v>0.44102727713668766</v>
      </c>
      <c r="AG123" s="810">
        <f t="shared" si="41"/>
        <v>-2</v>
      </c>
      <c r="AH123" s="176">
        <f t="shared" si="42"/>
        <v>4</v>
      </c>
      <c r="AI123" s="225">
        <f t="shared" si="43"/>
        <v>-1.5589727228633123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6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6">
        <f t="shared" si="26"/>
        <v>0</v>
      </c>
      <c r="M124" s="855"/>
      <c r="N124" s="855"/>
      <c r="O124" s="324">
        <f t="shared" si="27"/>
        <v>0</v>
      </c>
      <c r="P124" s="169">
        <f>(INDEX(Models!$BJ124:$BT124,,T124)*(1-R124)+INDEX(Models!$BJ124:$BT124,,T124+1)*R124-ERP_i)*Q124*Ramure*Pc/MaxiM</f>
        <v>4.4824086110657853E-6</v>
      </c>
      <c r="Q124" s="305">
        <f t="shared" si="28"/>
        <v>0.7</v>
      </c>
      <c r="R124" s="177">
        <f t="shared" si="29"/>
        <v>0.44260732091962307</v>
      </c>
      <c r="S124" s="810">
        <f t="shared" si="47"/>
        <v>-2</v>
      </c>
      <c r="T124" s="176">
        <f t="shared" si="30"/>
        <v>4</v>
      </c>
      <c r="U124" s="251">
        <f t="shared" si="31"/>
        <v>-1.5573926790803769</v>
      </c>
      <c r="V124" s="383">
        <f t="shared" si="32"/>
        <v>58.478455073462399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5">
        <f t="shared" si="38"/>
        <v>0</v>
      </c>
      <c r="AD124" s="169">
        <f>(INDEX(Models!$BJ124:$BT124,,AH124)*(1-AF124)+INDEX(Models!$BJ124:$BT124,,AH124+1)*AF124-ERP_i)*AE124*Ramure*Pc/MaxiM</f>
        <v>4.4824086110657853E-6</v>
      </c>
      <c r="AE124" s="305">
        <f t="shared" si="39"/>
        <v>0.7</v>
      </c>
      <c r="AF124" s="177">
        <f t="shared" si="40"/>
        <v>0.44260732091962307</v>
      </c>
      <c r="AG124" s="810">
        <f t="shared" si="41"/>
        <v>-2</v>
      </c>
      <c r="AH124" s="176">
        <f t="shared" si="42"/>
        <v>4</v>
      </c>
      <c r="AI124" s="225">
        <f t="shared" si="43"/>
        <v>-1.5573926790803769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6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6">
        <f t="shared" si="26"/>
        <v>0</v>
      </c>
      <c r="M125" s="855"/>
      <c r="N125" s="855"/>
      <c r="O125" s="324">
        <f t="shared" si="27"/>
        <v>0</v>
      </c>
      <c r="P125" s="169">
        <f>(INDEX(Models!$BJ125:$BT125,,T125)*(1-R125)+INDEX(Models!$BJ125:$BT125,,T125+1)*R125-ERP_i)*Q125*Ramure*Pc/MaxiM</f>
        <v>4.3417317313327614E-6</v>
      </c>
      <c r="Q125" s="305">
        <f t="shared" si="28"/>
        <v>0.7</v>
      </c>
      <c r="R125" s="177">
        <f t="shared" si="29"/>
        <v>0.44423889777200154</v>
      </c>
      <c r="S125" s="810">
        <f t="shared" si="47"/>
        <v>-2</v>
      </c>
      <c r="T125" s="176">
        <f t="shared" si="30"/>
        <v>4</v>
      </c>
      <c r="U125" s="251">
        <f t="shared" si="31"/>
        <v>-1.5557611022279985</v>
      </c>
      <c r="V125" s="383">
        <f t="shared" si="32"/>
        <v>58.753553216555773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5">
        <f t="shared" si="38"/>
        <v>0</v>
      </c>
      <c r="AD125" s="169">
        <f>(INDEX(Models!$BJ125:$BT125,,AH125)*(1-AF125)+INDEX(Models!$BJ125:$BT125,,AH125+1)*AF125-ERP_i)*AE125*Ramure*Pc/MaxiM</f>
        <v>4.3417317313327614E-6</v>
      </c>
      <c r="AE125" s="305">
        <f t="shared" si="39"/>
        <v>0.7</v>
      </c>
      <c r="AF125" s="177">
        <f t="shared" si="40"/>
        <v>0.44423889777200154</v>
      </c>
      <c r="AG125" s="810">
        <f t="shared" si="41"/>
        <v>-2</v>
      </c>
      <c r="AH125" s="176">
        <f t="shared" si="42"/>
        <v>4</v>
      </c>
      <c r="AI125" s="225">
        <f t="shared" si="43"/>
        <v>-1.5557611022279985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6">
        <f t="shared" si="26"/>
        <v>0</v>
      </c>
      <c r="M126" s="855"/>
      <c r="N126" s="855"/>
      <c r="O126" s="324">
        <f t="shared" si="27"/>
        <v>0</v>
      </c>
      <c r="P126" s="169">
        <f>(INDEX(Models!$BJ126:$BT126,,T126)*(1-R126)+INDEX(Models!$BJ126:$BT126,,T126+1)*R126-ERP_i)*Q126*Ramure*Pc/MaxiM</f>
        <v>4.2090337614301562E-6</v>
      </c>
      <c r="Q126" s="305">
        <f t="shared" si="28"/>
        <v>0.7</v>
      </c>
      <c r="R126" s="177">
        <f t="shared" si="29"/>
        <v>0.44592312460950745</v>
      </c>
      <c r="S126" s="810">
        <f t="shared" si="47"/>
        <v>-2</v>
      </c>
      <c r="T126" s="176">
        <f t="shared" si="30"/>
        <v>4</v>
      </c>
      <c r="U126" s="251">
        <f t="shared" si="31"/>
        <v>-1.5540768753904926</v>
      </c>
      <c r="V126" s="383">
        <f t="shared" si="32"/>
        <v>59.021034376970007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5">
        <f t="shared" si="38"/>
        <v>0</v>
      </c>
      <c r="AD126" s="169">
        <f>(INDEX(Models!$BJ126:$BT126,,AH126)*(1-AF126)+INDEX(Models!$BJ126:$BT126,,AH126+1)*AF126-ERP_i)*AE126*Ramure*Pc/MaxiM</f>
        <v>4.2090337614301562E-6</v>
      </c>
      <c r="AE126" s="305">
        <f t="shared" si="39"/>
        <v>0.7</v>
      </c>
      <c r="AF126" s="177">
        <f t="shared" si="40"/>
        <v>0.44592312460950745</v>
      </c>
      <c r="AG126" s="810">
        <f t="shared" si="41"/>
        <v>-2</v>
      </c>
      <c r="AH126" s="176">
        <f t="shared" si="42"/>
        <v>4</v>
      </c>
      <c r="AI126" s="225">
        <f t="shared" si="43"/>
        <v>-1.5540768753904926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6">
        <f t="shared" si="26"/>
        <v>0</v>
      </c>
      <c r="M127" s="855"/>
      <c r="N127" s="855"/>
      <c r="O127" s="324">
        <f t="shared" si="27"/>
        <v>0</v>
      </c>
      <c r="P127" s="169">
        <f>(INDEX(Models!$BJ127:$BT127,,T127)*(1-R127)+INDEX(Models!$BJ127:$BT127,,T127+1)*R127-ERP_i)*Q127*Ramure*Pc/MaxiM</f>
        <v>4.0858273907822014E-6</v>
      </c>
      <c r="Q127" s="305">
        <f t="shared" si="28"/>
        <v>0.7</v>
      </c>
      <c r="R127" s="177">
        <f t="shared" si="29"/>
        <v>0.44766109981273416</v>
      </c>
      <c r="S127" s="810">
        <f t="shared" si="47"/>
        <v>-2</v>
      </c>
      <c r="T127" s="176">
        <f t="shared" si="30"/>
        <v>4</v>
      </c>
      <c r="U127" s="251">
        <f t="shared" si="31"/>
        <v>-1.5523389001872658</v>
      </c>
      <c r="V127" s="383">
        <f t="shared" si="32"/>
        <v>59.281007786672461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5">
        <f t="shared" si="38"/>
        <v>0</v>
      </c>
      <c r="AD127" s="169">
        <f>(INDEX(Models!$BJ127:$BT127,,AH127)*(1-AF127)+INDEX(Models!$BJ127:$BT127,,AH127+1)*AF127-ERP_i)*AE127*Ramure*Pc/MaxiM</f>
        <v>4.0858273907822014E-6</v>
      </c>
      <c r="AE127" s="305">
        <f t="shared" si="39"/>
        <v>0.7</v>
      </c>
      <c r="AF127" s="177">
        <f t="shared" si="40"/>
        <v>0.44766109981273416</v>
      </c>
      <c r="AG127" s="810">
        <f t="shared" si="41"/>
        <v>-2</v>
      </c>
      <c r="AH127" s="176">
        <f t="shared" si="42"/>
        <v>4</v>
      </c>
      <c r="AI127" s="225">
        <f t="shared" si="43"/>
        <v>-1.5523389001872658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6">
        <f t="shared" si="26"/>
        <v>0</v>
      </c>
      <c r="M128" s="855"/>
      <c r="N128" s="855"/>
      <c r="O128" s="324">
        <f t="shared" si="27"/>
        <v>0</v>
      </c>
      <c r="P128" s="169">
        <f>(INDEX(Models!$BJ128:$BT128,,T128)*(1-R128)+INDEX(Models!$BJ128:$BT128,,T128+1)*R128-ERP_i)*Q128*Ramure*Pc/MaxiM</f>
        <v>3.9817949412525275E-6</v>
      </c>
      <c r="Q128" s="305">
        <f t="shared" si="28"/>
        <v>0.7</v>
      </c>
      <c r="R128" s="177">
        <f t="shared" si="29"/>
        <v>0.44945389932199942</v>
      </c>
      <c r="S128" s="810">
        <f t="shared" si="47"/>
        <v>-2</v>
      </c>
      <c r="T128" s="176">
        <f t="shared" si="30"/>
        <v>4</v>
      </c>
      <c r="U128" s="251">
        <f t="shared" si="31"/>
        <v>-1.5505461006780006</v>
      </c>
      <c r="V128" s="383">
        <f t="shared" si="32"/>
        <v>59.533582190361479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5">
        <f t="shared" si="38"/>
        <v>0</v>
      </c>
      <c r="AD128" s="169">
        <f>(INDEX(Models!$BJ128:$BT128,,AH128)*(1-AF128)+INDEX(Models!$BJ128:$BT128,,AH128+1)*AF128-ERP_i)*AE128*Ramure*Pc/MaxiM</f>
        <v>3.9817949412525275E-6</v>
      </c>
      <c r="AE128" s="305">
        <f t="shared" si="39"/>
        <v>0.7</v>
      </c>
      <c r="AF128" s="177">
        <f t="shared" si="40"/>
        <v>0.44945389932199942</v>
      </c>
      <c r="AG128" s="810">
        <f t="shared" si="41"/>
        <v>-2</v>
      </c>
      <c r="AH128" s="176">
        <f t="shared" si="42"/>
        <v>4</v>
      </c>
      <c r="AI128" s="225">
        <f t="shared" si="43"/>
        <v>-1.5505461006780006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6">
        <f t="shared" si="26"/>
        <v>0</v>
      </c>
      <c r="M129" s="855"/>
      <c r="N129" s="855"/>
      <c r="O129" s="324">
        <f t="shared" si="27"/>
        <v>0</v>
      </c>
      <c r="P129" s="169">
        <f>(INDEX(Models!$BJ129:$BT129,,T129)*(1-R129)+INDEX(Models!$BJ129:$BT129,,T129+1)*R129-ERP_i)*Q129*Ramure*Pc/MaxiM</f>
        <v>3.8835290794980057E-6</v>
      </c>
      <c r="Q129" s="305">
        <f t="shared" si="28"/>
        <v>0.7</v>
      </c>
      <c r="R129" s="177">
        <f t="shared" si="29"/>
        <v>0.45130257252597206</v>
      </c>
      <c r="S129" s="810">
        <f t="shared" si="47"/>
        <v>-2</v>
      </c>
      <c r="T129" s="176">
        <f t="shared" si="30"/>
        <v>4</v>
      </c>
      <c r="U129" s="251">
        <f t="shared" si="31"/>
        <v>-1.5486974274740279</v>
      </c>
      <c r="V129" s="383">
        <f t="shared" si="32"/>
        <v>59.778867700049588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5">
        <f t="shared" si="38"/>
        <v>0</v>
      </c>
      <c r="AD129" s="169">
        <f>(INDEX(Models!$BJ129:$BT129,,AH129)*(1-AF129)+INDEX(Models!$BJ129:$BT129,,AH129+1)*AF129-ERP_i)*AE129*Ramure*Pc/MaxiM</f>
        <v>3.8835290794980057E-6</v>
      </c>
      <c r="AE129" s="305">
        <f t="shared" si="39"/>
        <v>0.7</v>
      </c>
      <c r="AF129" s="177">
        <f t="shared" si="40"/>
        <v>0.45130257252597206</v>
      </c>
      <c r="AG129" s="810">
        <f t="shared" si="41"/>
        <v>-2</v>
      </c>
      <c r="AH129" s="176">
        <f t="shared" si="42"/>
        <v>4</v>
      </c>
      <c r="AI129" s="225">
        <f t="shared" si="43"/>
        <v>-1.5486974274740279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6">
        <f t="shared" si="26"/>
        <v>0</v>
      </c>
      <c r="M130" s="855"/>
      <c r="N130" s="855"/>
      <c r="O130" s="324">
        <f t="shared" si="27"/>
        <v>0</v>
      </c>
      <c r="P130" s="169">
        <f>(INDEX(Models!$BJ130:$BT130,,T130)*(1-R130)+INDEX(Models!$BJ130:$BT130,,T130+1)*R130-ERP_i)*Q130*Ramure*Pc/MaxiM</f>
        <v>3.7921831099490808E-6</v>
      </c>
      <c r="Q130" s="305">
        <f t="shared" si="28"/>
        <v>0.7</v>
      </c>
      <c r="R130" s="177">
        <f t="shared" si="29"/>
        <v>0.45320813794825909</v>
      </c>
      <c r="S130" s="810">
        <f t="shared" si="47"/>
        <v>-2</v>
      </c>
      <c r="T130" s="176">
        <f t="shared" si="30"/>
        <v>4</v>
      </c>
      <c r="U130" s="251">
        <f t="shared" si="31"/>
        <v>-1.5467918620517409</v>
      </c>
      <c r="V130" s="383">
        <f t="shared" si="32"/>
        <v>60.016973569957678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5">
        <f t="shared" si="38"/>
        <v>0</v>
      </c>
      <c r="AD130" s="169">
        <f>(INDEX(Models!$BJ130:$BT130,,AH130)*(1-AF130)+INDEX(Models!$BJ130:$BT130,,AH130+1)*AF130-ERP_i)*AE130*Ramure*Pc/MaxiM</f>
        <v>3.7921831099490808E-6</v>
      </c>
      <c r="AE130" s="305">
        <f t="shared" si="39"/>
        <v>0.7</v>
      </c>
      <c r="AF130" s="177">
        <f t="shared" si="40"/>
        <v>0.45320813794825909</v>
      </c>
      <c r="AG130" s="810">
        <f t="shared" si="41"/>
        <v>-2</v>
      </c>
      <c r="AH130" s="176">
        <f t="shared" si="42"/>
        <v>4</v>
      </c>
      <c r="AI130" s="225">
        <f t="shared" si="43"/>
        <v>-1.5467918620517409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6">
        <f t="shared" si="26"/>
        <v>0</v>
      </c>
      <c r="M131" s="855"/>
      <c r="N131" s="855"/>
      <c r="O131" s="324">
        <f t="shared" si="27"/>
        <v>0</v>
      </c>
      <c r="P131" s="169">
        <f>(INDEX(Models!$BJ131:$BT131,,T131)*(1-R131)+INDEX(Models!$BJ131:$BT131,,T131+1)*R131-ERP_i)*Q131*Ramure*Pc/MaxiM</f>
        <v>3.7090171819572327E-6</v>
      </c>
      <c r="Q131" s="305">
        <f t="shared" si="28"/>
        <v>0.7</v>
      </c>
      <c r="R131" s="177">
        <f t="shared" si="29"/>
        <v>0.4551715787379671</v>
      </c>
      <c r="S131" s="810">
        <f t="shared" si="47"/>
        <v>-2</v>
      </c>
      <c r="T131" s="176">
        <f t="shared" si="30"/>
        <v>4</v>
      </c>
      <c r="U131" s="251">
        <f t="shared" si="31"/>
        <v>-1.5448284212620329</v>
      </c>
      <c r="V131" s="383">
        <f t="shared" si="32"/>
        <v>60.24800904555039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5">
        <f t="shared" si="38"/>
        <v>0</v>
      </c>
      <c r="AD131" s="169">
        <f>(INDEX(Models!$BJ131:$BT131,,AH131)*(1-AF131)+INDEX(Models!$BJ131:$BT131,,AH131+1)*AF131-ERP_i)*AE131*Ramure*Pc/MaxiM</f>
        <v>3.7090171819572327E-6</v>
      </c>
      <c r="AE131" s="305">
        <f t="shared" si="39"/>
        <v>0.7</v>
      </c>
      <c r="AF131" s="177">
        <f t="shared" si="40"/>
        <v>0.4551715787379671</v>
      </c>
      <c r="AG131" s="810">
        <f t="shared" si="41"/>
        <v>-2</v>
      </c>
      <c r="AH131" s="176">
        <f t="shared" si="42"/>
        <v>4</v>
      </c>
      <c r="AI131" s="225">
        <f t="shared" si="43"/>
        <v>-1.5448284212620329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6">
        <f t="shared" si="26"/>
        <v>0</v>
      </c>
      <c r="M132" s="855"/>
      <c r="N132" s="855"/>
      <c r="O132" s="324">
        <f t="shared" si="27"/>
        <v>0</v>
      </c>
      <c r="P132" s="169">
        <f>(INDEX(Models!$BJ132:$BT132,,T132)*(1-R132)+INDEX(Models!$BJ132:$BT132,,T132+1)*R132-ERP_i)*Q132*Ramure*Pc/MaxiM</f>
        <v>3.6354045744700015E-6</v>
      </c>
      <c r="Q132" s="305">
        <f t="shared" si="28"/>
        <v>0.7</v>
      </c>
      <c r="R132" s="177">
        <f t="shared" si="29"/>
        <v>0.45719383797226909</v>
      </c>
      <c r="S132" s="810">
        <f t="shared" si="47"/>
        <v>-2</v>
      </c>
      <c r="T132" s="176">
        <f t="shared" si="30"/>
        <v>4</v>
      </c>
      <c r="U132" s="251">
        <f t="shared" si="31"/>
        <v>-1.5428061620277309</v>
      </c>
      <c r="V132" s="383">
        <f t="shared" si="32"/>
        <v>60.472083365292313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5">
        <f t="shared" si="38"/>
        <v>0</v>
      </c>
      <c r="AD132" s="169">
        <f>(INDEX(Models!$BJ132:$BT132,,AH132)*(1-AF132)+INDEX(Models!$BJ132:$BT132,,AH132+1)*AF132-ERP_i)*AE132*Ramure*Pc/MaxiM</f>
        <v>3.6354045744700015E-6</v>
      </c>
      <c r="AE132" s="305">
        <f t="shared" si="39"/>
        <v>0.7</v>
      </c>
      <c r="AF132" s="177">
        <f t="shared" si="40"/>
        <v>0.45719383797226909</v>
      </c>
      <c r="AG132" s="810">
        <f t="shared" si="41"/>
        <v>-2</v>
      </c>
      <c r="AH132" s="176">
        <f t="shared" si="42"/>
        <v>4</v>
      </c>
      <c r="AI132" s="225">
        <f t="shared" si="43"/>
        <v>-1.5428061620277309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6">
        <f t="shared" si="26"/>
        <v>0</v>
      </c>
      <c r="M133" s="855"/>
      <c r="N133" s="855"/>
      <c r="O133" s="324">
        <f t="shared" si="27"/>
        <v>0</v>
      </c>
      <c r="P133" s="169">
        <f>(INDEX(Models!$BJ133:$BT133,,T133)*(1-R133)+INDEX(Models!$BJ133:$BT133,,T133+1)*R133-ERP_i)*Q133*Ramure*Pc/MaxiM</f>
        <v>3.5728380780635099E-6</v>
      </c>
      <c r="Q133" s="305">
        <f t="shared" si="28"/>
        <v>0.7</v>
      </c>
      <c r="R133" s="177">
        <f t="shared" si="29"/>
        <v>0.45927581378117477</v>
      </c>
      <c r="S133" s="810">
        <f t="shared" si="47"/>
        <v>-2</v>
      </c>
      <c r="T133" s="176">
        <f t="shared" si="30"/>
        <v>4</v>
      </c>
      <c r="U133" s="251">
        <f t="shared" si="31"/>
        <v>-1.5407241862188252</v>
      </c>
      <c r="V133" s="383">
        <f t="shared" si="32"/>
        <v>60.689305760855184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5">
        <f t="shared" si="38"/>
        <v>0</v>
      </c>
      <c r="AD133" s="169">
        <f>(INDEX(Models!$BJ133:$BT133,,AH133)*(1-AF133)+INDEX(Models!$BJ133:$BT133,,AH133+1)*AF133-ERP_i)*AE133*Ramure*Pc/MaxiM</f>
        <v>3.5728380780635099E-6</v>
      </c>
      <c r="AE133" s="305">
        <f t="shared" si="39"/>
        <v>0.7</v>
      </c>
      <c r="AF133" s="177">
        <f t="shared" si="40"/>
        <v>0.45927581378117477</v>
      </c>
      <c r="AG133" s="810">
        <f t="shared" si="41"/>
        <v>-2</v>
      </c>
      <c r="AH133" s="176">
        <f t="shared" si="42"/>
        <v>4</v>
      </c>
      <c r="AI133" s="225">
        <f t="shared" si="43"/>
        <v>-1.5407241862188252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6">
        <f t="shared" si="26"/>
        <v>0</v>
      </c>
      <c r="M134" s="855"/>
      <c r="N134" s="855"/>
      <c r="O134" s="324">
        <f t="shared" si="27"/>
        <v>0</v>
      </c>
      <c r="P134" s="169">
        <f>(INDEX(Models!$BJ134:$BT134,,T134)*(1-R134)+INDEX(Models!$BJ134:$BT134,,T134+1)*R134-ERP_i)*Q134*Ramure*Pc/MaxiM</f>
        <v>3.5229364398247872E-6</v>
      </c>
      <c r="Q134" s="305">
        <f t="shared" si="28"/>
        <v>0.7</v>
      </c>
      <c r="R134" s="177">
        <f t="shared" si="29"/>
        <v>0.46141835430699807</v>
      </c>
      <c r="S134" s="810">
        <f t="shared" si="47"/>
        <v>-2</v>
      </c>
      <c r="T134" s="176">
        <f t="shared" si="30"/>
        <v>4</v>
      </c>
      <c r="U134" s="251">
        <f t="shared" si="31"/>
        <v>-1.5385816456930019</v>
      </c>
      <c r="V134" s="383">
        <f t="shared" si="32"/>
        <v>60.899785453915875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5">
        <f t="shared" si="38"/>
        <v>0</v>
      </c>
      <c r="AD134" s="169">
        <f>(INDEX(Models!$BJ134:$BT134,,AH134)*(1-AF134)+INDEX(Models!$BJ134:$BT134,,AH134+1)*AF134-ERP_i)*AE134*Ramure*Pc/MaxiM</f>
        <v>3.5229364398247872E-6</v>
      </c>
      <c r="AE134" s="305">
        <f t="shared" si="39"/>
        <v>0.7</v>
      </c>
      <c r="AF134" s="177">
        <f t="shared" si="40"/>
        <v>0.46141835430699807</v>
      </c>
      <c r="AG134" s="810">
        <f t="shared" si="41"/>
        <v>-2</v>
      </c>
      <c r="AH134" s="176">
        <f t="shared" si="42"/>
        <v>4</v>
      </c>
      <c r="AI134" s="225">
        <f t="shared" si="43"/>
        <v>-1.5385816456930019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6">
        <f t="shared" si="26"/>
        <v>0</v>
      </c>
      <c r="M135" s="855"/>
      <c r="N135" s="855"/>
      <c r="O135" s="324">
        <f t="shared" si="27"/>
        <v>0</v>
      </c>
      <c r="P135" s="169">
        <f>(INDEX(Models!$BJ135:$BT135,,T135)*(1-R135)+INDEX(Models!$BJ135:$BT135,,T135+1)*R135-ERP_i)*Q135*Ramure*Pc/MaxiM</f>
        <v>3.4874934708676674E-6</v>
      </c>
      <c r="Q135" s="305">
        <f t="shared" si="28"/>
        <v>0.7</v>
      </c>
      <c r="R135" s="177">
        <f t="shared" si="29"/>
        <v>0.46362225251344591</v>
      </c>
      <c r="S135" s="810">
        <f t="shared" si="47"/>
        <v>-2</v>
      </c>
      <c r="T135" s="176">
        <f t="shared" si="30"/>
        <v>4</v>
      </c>
      <c r="U135" s="251">
        <f t="shared" si="31"/>
        <v>-1.5363777474865541</v>
      </c>
      <c r="V135" s="383">
        <f t="shared" si="32"/>
        <v>61.10288457067805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5">
        <f t="shared" si="38"/>
        <v>0</v>
      </c>
      <c r="AD135" s="169">
        <f>(INDEX(Models!$BJ135:$BT135,,AH135)*(1-AF135)+INDEX(Models!$BJ135:$BT135,,AH135+1)*AF135-ERP_i)*AE135*Ramure*Pc/MaxiM</f>
        <v>3.4874934708676674E-6</v>
      </c>
      <c r="AE135" s="305">
        <f t="shared" si="39"/>
        <v>0.7</v>
      </c>
      <c r="AF135" s="177">
        <f t="shared" si="40"/>
        <v>0.46362225251344591</v>
      </c>
      <c r="AG135" s="810">
        <f t="shared" si="41"/>
        <v>-2</v>
      </c>
      <c r="AH135" s="176">
        <f t="shared" si="42"/>
        <v>4</v>
      </c>
      <c r="AI135" s="225">
        <f t="shared" si="43"/>
        <v>-1.5363777474865541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6">
        <f t="shared" si="26"/>
        <v>0</v>
      </c>
      <c r="M136" s="855"/>
      <c r="N136" s="855"/>
      <c r="O136" s="324">
        <f t="shared" si="27"/>
        <v>0</v>
      </c>
      <c r="P136" s="169">
        <f>(INDEX(Models!$BJ136:$BT136,,T136)*(1-R136)+INDEX(Models!$BJ136:$BT136,,T136+1)*R136-ERP_i)*Q136*Ramure*Pc/MaxiM</f>
        <v>3.4738683466307694E-6</v>
      </c>
      <c r="Q136" s="305">
        <f t="shared" si="28"/>
        <v>0.7</v>
      </c>
      <c r="R136" s="177">
        <f t="shared" si="29"/>
        <v>0.46588824086179415</v>
      </c>
      <c r="S136" s="810">
        <f t="shared" si="47"/>
        <v>-2</v>
      </c>
      <c r="T136" s="176">
        <f t="shared" si="30"/>
        <v>4</v>
      </c>
      <c r="U136" s="251">
        <f t="shared" si="31"/>
        <v>-1.5341117591382059</v>
      </c>
      <c r="V136" s="383">
        <f t="shared" si="32"/>
        <v>61.29803778604763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5">
        <f t="shared" si="38"/>
        <v>0</v>
      </c>
      <c r="AD136" s="169">
        <f>(INDEX(Models!$BJ136:$BT136,,AH136)*(1-AF136)+INDEX(Models!$BJ136:$BT136,,AH136+1)*AF136-ERP_i)*AE136*Ramure*Pc/MaxiM</f>
        <v>3.4738683466307694E-6</v>
      </c>
      <c r="AE136" s="305">
        <f t="shared" si="39"/>
        <v>0.7</v>
      </c>
      <c r="AF136" s="177">
        <f t="shared" si="40"/>
        <v>0.46588824086179415</v>
      </c>
      <c r="AG136" s="810">
        <f t="shared" si="41"/>
        <v>-2</v>
      </c>
      <c r="AH136" s="176">
        <f t="shared" si="42"/>
        <v>4</v>
      </c>
      <c r="AI136" s="225">
        <f t="shared" si="43"/>
        <v>-1.5341117591382059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6">
        <f t="shared" si="26"/>
        <v>0</v>
      </c>
      <c r="M137" s="855"/>
      <c r="N137" s="855"/>
      <c r="O137" s="324">
        <f t="shared" si="27"/>
        <v>0</v>
      </c>
      <c r="P137" s="169">
        <f>(INDEX(Models!$BJ137:$BT137,,T137)*(1-R137)+INDEX(Models!$BJ137:$BT137,,T137+1)*R137-ERP_i)*Q137*Ramure*Pc/MaxiM</f>
        <v>3.4713067931191171E-6</v>
      </c>
      <c r="Q137" s="305">
        <f t="shared" si="28"/>
        <v>0.7</v>
      </c>
      <c r="R137" s="177">
        <f t="shared" si="29"/>
        <v>0.4682169858742451</v>
      </c>
      <c r="S137" s="810">
        <f t="shared" si="47"/>
        <v>-2</v>
      </c>
      <c r="T137" s="176">
        <f t="shared" si="30"/>
        <v>4</v>
      </c>
      <c r="U137" s="251">
        <f t="shared" si="31"/>
        <v>-1.5317830141257549</v>
      </c>
      <c r="V137" s="383">
        <f t="shared" si="32"/>
        <v>61.485464406612493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5">
        <f t="shared" si="38"/>
        <v>0</v>
      </c>
      <c r="AD137" s="169">
        <f>(INDEX(Models!$BJ137:$BT137,,AH137)*(1-AF137)+INDEX(Models!$BJ137:$BT137,,AH137+1)*AF137-ERP_i)*AE137*Ramure*Pc/MaxiM</f>
        <v>3.4713067931191171E-6</v>
      </c>
      <c r="AE137" s="305">
        <f t="shared" si="39"/>
        <v>0.7</v>
      </c>
      <c r="AF137" s="177">
        <f t="shared" si="40"/>
        <v>0.4682169858742451</v>
      </c>
      <c r="AG137" s="810">
        <f t="shared" si="41"/>
        <v>-2</v>
      </c>
      <c r="AH137" s="176">
        <f t="shared" si="42"/>
        <v>4</v>
      </c>
      <c r="AI137" s="225">
        <f t="shared" si="43"/>
        <v>-1.5317830141257549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6">
        <f t="shared" si="26"/>
        <v>0</v>
      </c>
      <c r="M138" s="855"/>
      <c r="N138" s="855"/>
      <c r="O138" s="324">
        <f t="shared" si="27"/>
        <v>0</v>
      </c>
      <c r="P138" s="169">
        <f>(INDEX(Models!$BJ138:$BT138,,T138)*(1-R138)+INDEX(Models!$BJ138:$BT138,,T138+1)*R138-ERP_i)*Q138*Ramure*Pc/MaxiM</f>
        <v>3.4811794467782174E-6</v>
      </c>
      <c r="Q138" s="305">
        <f t="shared" si="28"/>
        <v>0.7</v>
      </c>
      <c r="R138" s="177">
        <f t="shared" si="29"/>
        <v>0.4706090826072773</v>
      </c>
      <c r="S138" s="810">
        <f t="shared" si="47"/>
        <v>-2</v>
      </c>
      <c r="T138" s="176">
        <f t="shared" si="30"/>
        <v>4</v>
      </c>
      <c r="U138" s="251">
        <f t="shared" si="31"/>
        <v>-1.5293909173927227</v>
      </c>
      <c r="V138" s="383">
        <f t="shared" si="32"/>
        <v>61.665382998640332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5">
        <f t="shared" si="38"/>
        <v>0</v>
      </c>
      <c r="AD138" s="169">
        <f>(INDEX(Models!$BJ138:$BT138,,AH138)*(1-AF138)+INDEX(Models!$BJ138:$BT138,,AH138+1)*AF138-ERP_i)*AE138*Ramure*Pc/MaxiM</f>
        <v>3.4811794467782174E-6</v>
      </c>
      <c r="AE138" s="305">
        <f t="shared" si="39"/>
        <v>0.7</v>
      </c>
      <c r="AF138" s="177">
        <f t="shared" si="40"/>
        <v>0.4706090826072773</v>
      </c>
      <c r="AG138" s="810">
        <f t="shared" si="41"/>
        <v>-2</v>
      </c>
      <c r="AH138" s="176">
        <f t="shared" si="42"/>
        <v>4</v>
      </c>
      <c r="AI138" s="225">
        <f t="shared" si="43"/>
        <v>-1.5293909173927227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6">
        <f t="shared" si="26"/>
        <v>0</v>
      </c>
      <c r="M139" s="855"/>
      <c r="N139" s="855"/>
      <c r="O139" s="324">
        <f t="shared" si="27"/>
        <v>0</v>
      </c>
      <c r="P139" s="169">
        <f>(INDEX(Models!$BJ139:$BT139,,T139)*(1-R139)+INDEX(Models!$BJ139:$BT139,,T139+1)*R139-ERP_i)*Q139*Ramure*Pc/MaxiM</f>
        <v>3.5049613592495427E-6</v>
      </c>
      <c r="Q139" s="305">
        <f t="shared" si="28"/>
        <v>0.7</v>
      </c>
      <c r="R139" s="177">
        <f t="shared" si="29"/>
        <v>0.47306504906053859</v>
      </c>
      <c r="S139" s="810">
        <f t="shared" si="47"/>
        <v>-2</v>
      </c>
      <c r="T139" s="176">
        <f t="shared" si="30"/>
        <v>4</v>
      </c>
      <c r="U139" s="251">
        <f t="shared" si="31"/>
        <v>-1.5269349509394614</v>
      </c>
      <c r="V139" s="383">
        <f t="shared" si="32"/>
        <v>61.83801212175743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5">
        <f t="shared" si="38"/>
        <v>0</v>
      </c>
      <c r="AD139" s="169">
        <f>(INDEX(Models!$BJ139:$BT139,,AH139)*(1-AF139)+INDEX(Models!$BJ139:$BT139,,AH139+1)*AF139-ERP_i)*AE139*Ramure*Pc/MaxiM</f>
        <v>3.5049613592495427E-6</v>
      </c>
      <c r="AE139" s="305">
        <f t="shared" si="39"/>
        <v>0.7</v>
      </c>
      <c r="AF139" s="177">
        <f t="shared" si="40"/>
        <v>0.47306504906053859</v>
      </c>
      <c r="AG139" s="810">
        <f t="shared" si="41"/>
        <v>-2</v>
      </c>
      <c r="AH139" s="176">
        <f t="shared" si="42"/>
        <v>4</v>
      </c>
      <c r="AI139" s="225">
        <f t="shared" si="43"/>
        <v>-1.5269349509394614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6">
        <f t="shared" si="26"/>
        <v>0</v>
      </c>
      <c r="M140" s="855"/>
      <c r="N140" s="855"/>
      <c r="O140" s="324">
        <f t="shared" si="27"/>
        <v>0</v>
      </c>
      <c r="P140" s="169">
        <f>(INDEX(Models!$BJ140:$BT140,,T140)*(1-R140)+INDEX(Models!$BJ140:$BT140,,T140+1)*R140-ERP_i)*Q140*Ramure*Pc/MaxiM</f>
        <v>3.5442360476340883E-6</v>
      </c>
      <c r="Q140" s="305">
        <f t="shared" si="28"/>
        <v>0.7</v>
      </c>
      <c r="R140" s="177">
        <f t="shared" si="29"/>
        <v>0.47558532054961167</v>
      </c>
      <c r="S140" s="810">
        <f t="shared" si="47"/>
        <v>-2</v>
      </c>
      <c r="T140" s="176">
        <f t="shared" si="30"/>
        <v>4</v>
      </c>
      <c r="U140" s="251">
        <f t="shared" si="31"/>
        <v>-1.5244146794503883</v>
      </c>
      <c r="V140" s="383">
        <f t="shared" si="32"/>
        <v>62.003570331184932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5">
        <f t="shared" si="38"/>
        <v>0</v>
      </c>
      <c r="AD140" s="169">
        <f>(INDEX(Models!$BJ140:$BT140,,AH140)*(1-AF140)+INDEX(Models!$BJ140:$BT140,,AH140+1)*AF140-ERP_i)*AE140*Ramure*Pc/MaxiM</f>
        <v>3.5442360476340883E-6</v>
      </c>
      <c r="AE140" s="305">
        <f t="shared" si="39"/>
        <v>0.7</v>
      </c>
      <c r="AF140" s="177">
        <f t="shared" si="40"/>
        <v>0.47558532054961167</v>
      </c>
      <c r="AG140" s="810">
        <f t="shared" si="41"/>
        <v>-2</v>
      </c>
      <c r="AH140" s="176">
        <f t="shared" si="42"/>
        <v>4</v>
      </c>
      <c r="AI140" s="225">
        <f t="shared" si="43"/>
        <v>-1.5244146794503883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6">
        <f t="shared" si="26"/>
        <v>0</v>
      </c>
      <c r="M141" s="855"/>
      <c r="N141" s="855"/>
      <c r="O141" s="324">
        <f t="shared" si="27"/>
        <v>0</v>
      </c>
      <c r="P141" s="169">
        <f>(INDEX(Models!$BJ141:$BT141,,T141)*(1-R141)+INDEX(Models!$BJ141:$BT141,,T141+1)*R141-ERP_i)*Q141*Ramure*Pc/MaxiM</f>
        <v>3.6006993333281026E-6</v>
      </c>
      <c r="Q141" s="305">
        <f t="shared" si="28"/>
        <v>0.7</v>
      </c>
      <c r="R141" s="177">
        <f t="shared" si="29"/>
        <v>0.47817024407373343</v>
      </c>
      <c r="S141" s="810">
        <f t="shared" si="47"/>
        <v>-2</v>
      </c>
      <c r="T141" s="176">
        <f t="shared" si="30"/>
        <v>4</v>
      </c>
      <c r="U141" s="251">
        <f t="shared" si="31"/>
        <v>-1.5218297559262666</v>
      </c>
      <c r="V141" s="383">
        <f t="shared" si="32"/>
        <v>62.162276171527694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5">
        <f t="shared" si="38"/>
        <v>0</v>
      </c>
      <c r="AD141" s="169">
        <f>(INDEX(Models!$BJ141:$BT141,,AH141)*(1-AF141)+INDEX(Models!$BJ141:$BT141,,AH141+1)*AF141-ERP_i)*AE141*Ramure*Pc/MaxiM</f>
        <v>3.6006993333281026E-6</v>
      </c>
      <c r="AE141" s="305">
        <f t="shared" si="39"/>
        <v>0.7</v>
      </c>
      <c r="AF141" s="177">
        <f t="shared" si="40"/>
        <v>0.47817024407373343</v>
      </c>
      <c r="AG141" s="810">
        <f t="shared" si="41"/>
        <v>-2</v>
      </c>
      <c r="AH141" s="176">
        <f t="shared" si="42"/>
        <v>4</v>
      </c>
      <c r="AI141" s="225">
        <f t="shared" si="43"/>
        <v>-1.5218297559262666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6">
        <f t="shared" si="26"/>
        <v>0</v>
      </c>
      <c r="M142" s="855"/>
      <c r="N142" s="855"/>
      <c r="O142" s="324">
        <f t="shared" si="27"/>
        <v>0</v>
      </c>
      <c r="P142" s="169">
        <f>(INDEX(Models!$BJ142:$BT142,,T142)*(1-R142)+INDEX(Models!$BJ142:$BT142,,T142+1)*R142-ERP_i)*Q142*Ramure*Pc/MaxiM</f>
        <v>3.6758859006755167E-6</v>
      </c>
      <c r="Q142" s="305">
        <f t="shared" si="28"/>
        <v>0.7</v>
      </c>
      <c r="R142" s="177">
        <f t="shared" si="29"/>
        <v>0.48082007271223981</v>
      </c>
      <c r="S142" s="810">
        <f t="shared" si="47"/>
        <v>-2</v>
      </c>
      <c r="T142" s="176">
        <f t="shared" si="30"/>
        <v>4</v>
      </c>
      <c r="U142" s="251">
        <f t="shared" si="31"/>
        <v>-1.5191799272877602</v>
      </c>
      <c r="V142" s="383">
        <f t="shared" si="32"/>
        <v>62.31434819742163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5">
        <f t="shared" si="38"/>
        <v>0</v>
      </c>
      <c r="AD142" s="169">
        <f>(INDEX(Models!$BJ142:$BT142,,AH142)*(1-AF142)+INDEX(Models!$BJ142:$BT142,,AH142+1)*AF142-ERP_i)*AE142*Ramure*Pc/MaxiM</f>
        <v>3.6758859006755167E-6</v>
      </c>
      <c r="AE142" s="305">
        <f t="shared" si="39"/>
        <v>0.7</v>
      </c>
      <c r="AF142" s="177">
        <f t="shared" si="40"/>
        <v>0.48082007271223981</v>
      </c>
      <c r="AG142" s="810">
        <f t="shared" si="41"/>
        <v>-2</v>
      </c>
      <c r="AH142" s="176">
        <f t="shared" si="42"/>
        <v>4</v>
      </c>
      <c r="AI142" s="225">
        <f t="shared" si="43"/>
        <v>-1.5191799272877602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5"/>
      <c r="N143" s="855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3.7580776367499484E-6</v>
      </c>
      <c r="Q143" s="305">
        <f t="shared" ref="Q143:Q206" si="52">IF(OR(t&lt;Ttai,Notai),Dd+PousD*Croivg,Dens+PousD*(Croivg-Croi_tai))</f>
        <v>0.7</v>
      </c>
      <c r="R143" s="177">
        <f t="shared" ref="R143:R206" si="53">(Hp_vg-S143)/(INDEX(Echel_vg,T143+1)-S143)</f>
        <v>0.48353496008611607</v>
      </c>
      <c r="S143" s="810">
        <f t="shared" si="47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-1.5164650399138839</v>
      </c>
      <c r="V143" s="383">
        <f t="shared" ref="V143:V206" si="56">MaxiM*(1-Ppv)*(1-Pvg)*(1-Psa)</f>
        <v>62.460005794467705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3.7580776367499484E-6</v>
      </c>
      <c r="AE143" s="305">
        <f t="shared" ref="AE143:AE206" si="63">Dd+PousD*Croivg</f>
        <v>0.7</v>
      </c>
      <c r="AF143" s="177">
        <f t="shared" ref="AF143:AF206" si="64">(Hp_vg_s-AG143)/(INDEX(Echel_vg,AH143+1)-AG143)</f>
        <v>0.48353496008611607</v>
      </c>
      <c r="AG143" s="810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-1.5164650399138839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6">
        <f t="shared" si="50"/>
        <v>0</v>
      </c>
      <c r="M144" s="855"/>
      <c r="N144" s="855"/>
      <c r="O144" s="324">
        <f t="shared" si="51"/>
        <v>0</v>
      </c>
      <c r="P144" s="169">
        <f>(INDEX(Models!$BJ144:$BT144,,T144)*(1-R144)+INDEX(Models!$BJ144:$BT144,,T144+1)*R144-ERP_i)*Q144*Ramure*Pc/MaxiM</f>
        <v>3.8478553807070662E-6</v>
      </c>
      <c r="Q144" s="305">
        <f t="shared" si="52"/>
        <v>0.7</v>
      </c>
      <c r="R144" s="177">
        <f t="shared" si="53"/>
        <v>0.48631495492349064</v>
      </c>
      <c r="S144" s="810">
        <f t="shared" ref="S144:S207" si="71">INDEX(Echel_vg,T144)</f>
        <v>-2</v>
      </c>
      <c r="T144" s="176">
        <f t="shared" si="54"/>
        <v>4</v>
      </c>
      <c r="U144" s="251">
        <f t="shared" si="55"/>
        <v>-1.5136850450765094</v>
      </c>
      <c r="V144" s="383">
        <f t="shared" si="56"/>
        <v>62.599467579792318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5">
        <f t="shared" si="62"/>
        <v>0</v>
      </c>
      <c r="AD144" s="169">
        <f>(INDEX(Models!$BJ144:$BT144,,AH144)*(1-AF144)+INDEX(Models!$BJ144:$BT144,,AH144+1)*AF144-ERP_i)*AE144*Ramure*Pc/MaxiM</f>
        <v>3.8478553807070662E-6</v>
      </c>
      <c r="AE144" s="305">
        <f t="shared" si="63"/>
        <v>0.7</v>
      </c>
      <c r="AF144" s="177">
        <f t="shared" si="64"/>
        <v>0.48631495492349064</v>
      </c>
      <c r="AG144" s="810">
        <f t="shared" si="65"/>
        <v>-2</v>
      </c>
      <c r="AH144" s="176">
        <f t="shared" si="66"/>
        <v>4</v>
      </c>
      <c r="AI144" s="225">
        <f t="shared" si="67"/>
        <v>-1.5136850450765094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6">
        <f t="shared" si="50"/>
        <v>0</v>
      </c>
      <c r="M145" s="855"/>
      <c r="N145" s="855"/>
      <c r="O145" s="324">
        <f t="shared" si="51"/>
        <v>0</v>
      </c>
      <c r="P145" s="169">
        <f>(INDEX(Models!$BJ145:$BT145,,T145)*(1-R145)+INDEX(Models!$BJ145:$BT145,,T145+1)*R145-ERP_i)*Q145*Ramure*Pc/MaxiM</f>
        <v>3.9458340396897143E-6</v>
      </c>
      <c r="Q145" s="305">
        <f t="shared" si="52"/>
        <v>0.7</v>
      </c>
      <c r="R145" s="177">
        <f t="shared" si="53"/>
        <v>0.48915999577018221</v>
      </c>
      <c r="S145" s="810">
        <f t="shared" si="71"/>
        <v>-2</v>
      </c>
      <c r="T145" s="176">
        <f t="shared" si="54"/>
        <v>4</v>
      </c>
      <c r="U145" s="251">
        <f t="shared" si="55"/>
        <v>-1.5108400042298178</v>
      </c>
      <c r="V145" s="383">
        <f t="shared" si="56"/>
        <v>62.732952173422127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5">
        <f t="shared" si="62"/>
        <v>0</v>
      </c>
      <c r="AD145" s="169">
        <f>(INDEX(Models!$BJ145:$BT145,,AH145)*(1-AF145)+INDEX(Models!$BJ145:$BT145,,AH145+1)*AF145-ERP_i)*AE145*Ramure*Pc/MaxiM</f>
        <v>3.9458340396897143E-6</v>
      </c>
      <c r="AE145" s="305">
        <f t="shared" si="63"/>
        <v>0.7</v>
      </c>
      <c r="AF145" s="177">
        <f t="shared" si="64"/>
        <v>0.48915999577018221</v>
      </c>
      <c r="AG145" s="810">
        <f t="shared" si="65"/>
        <v>-2</v>
      </c>
      <c r="AH145" s="176">
        <f t="shared" si="66"/>
        <v>4</v>
      </c>
      <c r="AI145" s="225">
        <f t="shared" si="67"/>
        <v>-1.5108400042298178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6">
        <f t="shared" si="50"/>
        <v>0</v>
      </c>
      <c r="M146" s="855"/>
      <c r="N146" s="855"/>
      <c r="O146" s="324">
        <f t="shared" si="51"/>
        <v>0</v>
      </c>
      <c r="P146" s="169">
        <f>(INDEX(Models!$BJ146:$BT146,,T146)*(1-R146)+INDEX(Models!$BJ146:$BT146,,T146+1)*R146-ERP_i)*Q146*Ramure*Pc/MaxiM</f>
        <v>4.0526631112781155E-6</v>
      </c>
      <c r="Q146" s="305">
        <f t="shared" si="52"/>
        <v>0.7</v>
      </c>
      <c r="R146" s="177">
        <f t="shared" si="53"/>
        <v>0.49206990588844524</v>
      </c>
      <c r="S146" s="810">
        <f t="shared" si="71"/>
        <v>-2</v>
      </c>
      <c r="T146" s="176">
        <f t="shared" si="54"/>
        <v>4</v>
      </c>
      <c r="U146" s="251">
        <f t="shared" si="55"/>
        <v>-1.5079300941115548</v>
      </c>
      <c r="V146" s="383">
        <f t="shared" si="56"/>
        <v>62.860678189147258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5">
        <f t="shared" si="62"/>
        <v>0</v>
      </c>
      <c r="AD146" s="169">
        <f>(INDEX(Models!$BJ146:$BT146,,AH146)*(1-AF146)+INDEX(Models!$BJ146:$BT146,,AH146+1)*AF146-ERP_i)*AE146*Ramure*Pc/MaxiM</f>
        <v>4.0526631112781155E-6</v>
      </c>
      <c r="AE146" s="305">
        <f t="shared" si="63"/>
        <v>0.7</v>
      </c>
      <c r="AF146" s="177">
        <f t="shared" si="64"/>
        <v>0.49206990588844524</v>
      </c>
      <c r="AG146" s="810">
        <f t="shared" si="65"/>
        <v>-2</v>
      </c>
      <c r="AH146" s="176">
        <f t="shared" si="66"/>
        <v>4</v>
      </c>
      <c r="AI146" s="225">
        <f t="shared" si="67"/>
        <v>-1.5079300941115548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6">
        <f t="shared" si="50"/>
        <v>0</v>
      </c>
      <c r="M147" s="855"/>
      <c r="N147" s="855"/>
      <c r="O147" s="324">
        <f t="shared" si="51"/>
        <v>0</v>
      </c>
      <c r="P147" s="169">
        <f>(INDEX(Models!$BJ147:$BT147,,T147)*(1-R147)+INDEX(Models!$BJ147:$BT147,,T147+1)*R147-ERP_i)*Q147*Ramure*Pc/MaxiM</f>
        <v>4.1690270468884379E-6</v>
      </c>
      <c r="Q147" s="305">
        <f t="shared" si="52"/>
        <v>0.7</v>
      </c>
      <c r="R147" s="177">
        <f t="shared" si="53"/>
        <v>0.49504438838880693</v>
      </c>
      <c r="S147" s="810">
        <f t="shared" si="71"/>
        <v>-2</v>
      </c>
      <c r="T147" s="176">
        <f t="shared" si="54"/>
        <v>4</v>
      </c>
      <c r="U147" s="251">
        <f t="shared" si="55"/>
        <v>-1.5049556116111931</v>
      </c>
      <c r="V147" s="383">
        <f t="shared" si="56"/>
        <v>62.98286424247754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5">
        <f t="shared" si="62"/>
        <v>0</v>
      </c>
      <c r="AD147" s="169">
        <f>(INDEX(Models!$BJ147:$BT147,,AH147)*(1-AF147)+INDEX(Models!$BJ147:$BT147,,AH147+1)*AF147-ERP_i)*AE147*Ramure*Pc/MaxiM</f>
        <v>4.1690270468884379E-6</v>
      </c>
      <c r="AE147" s="305">
        <f t="shared" si="63"/>
        <v>0.7</v>
      </c>
      <c r="AF147" s="177">
        <f t="shared" si="64"/>
        <v>0.49504438838880693</v>
      </c>
      <c r="AG147" s="810">
        <f t="shared" si="65"/>
        <v>-2</v>
      </c>
      <c r="AH147" s="176">
        <f t="shared" si="66"/>
        <v>4</v>
      </c>
      <c r="AI147" s="225">
        <f t="shared" si="67"/>
        <v>-1.5049556116111931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6">
        <f t="shared" si="50"/>
        <v>0</v>
      </c>
      <c r="M148" s="855"/>
      <c r="N148" s="855"/>
      <c r="O148" s="324">
        <f t="shared" si="51"/>
        <v>0</v>
      </c>
      <c r="P148" s="169">
        <f>(INDEX(Models!$BJ148:$BT148,,T148)*(1-R148)+INDEX(Models!$BJ148:$BT148,,T148+1)*R148-ERP_i)*Q148*Ramure*Pc/MaxiM</f>
        <v>4.2956454390050612E-6</v>
      </c>
      <c r="Q148" s="305">
        <f t="shared" si="52"/>
        <v>0.7</v>
      </c>
      <c r="R148" s="177">
        <f t="shared" si="53"/>
        <v>0.49808302164128881</v>
      </c>
      <c r="S148" s="810">
        <f t="shared" si="71"/>
        <v>-2</v>
      </c>
      <c r="T148" s="176">
        <f t="shared" si="54"/>
        <v>4</v>
      </c>
      <c r="U148" s="251">
        <f t="shared" si="55"/>
        <v>-1.5019169783587112</v>
      </c>
      <c r="V148" s="383">
        <f t="shared" si="56"/>
        <v>63.099728943282692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5">
        <f t="shared" si="62"/>
        <v>0</v>
      </c>
      <c r="AD148" s="169">
        <f>(INDEX(Models!$BJ148:$BT148,,AH148)*(1-AF148)+INDEX(Models!$BJ148:$BT148,,AH148+1)*AF148-ERP_i)*AE148*Ramure*Pc/MaxiM</f>
        <v>4.2956454390050612E-6</v>
      </c>
      <c r="AE148" s="305">
        <f t="shared" si="63"/>
        <v>0.7</v>
      </c>
      <c r="AF148" s="177">
        <f t="shared" si="64"/>
        <v>0.49808302164128881</v>
      </c>
      <c r="AG148" s="810">
        <f t="shared" si="65"/>
        <v>-2</v>
      </c>
      <c r="AH148" s="176">
        <f t="shared" si="66"/>
        <v>4</v>
      </c>
      <c r="AI148" s="225">
        <f t="shared" si="67"/>
        <v>-1.5019169783587112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6">
        <f t="shared" si="50"/>
        <v>0</v>
      </c>
      <c r="M149" s="855"/>
      <c r="N149" s="855"/>
      <c r="O149" s="324">
        <f t="shared" si="51"/>
        <v>0</v>
      </c>
      <c r="P149" s="169">
        <f>(INDEX(Models!$BJ149:$BT149,,T149)*(1-R149)+INDEX(Models!$BJ149:$BT149,,T149+1)*R149-ERP_i)*Q149*Ramure*Pc/MaxiM</f>
        <v>4.4333611912249407E-6</v>
      </c>
      <c r="Q149" s="305">
        <f t="shared" si="52"/>
        <v>0.7</v>
      </c>
      <c r="R149" s="177">
        <f t="shared" si="53"/>
        <v>0.50118525501332045</v>
      </c>
      <c r="S149" s="810">
        <f t="shared" si="71"/>
        <v>-2</v>
      </c>
      <c r="T149" s="176">
        <f t="shared" si="54"/>
        <v>4</v>
      </c>
      <c r="U149" s="251">
        <f t="shared" si="55"/>
        <v>-1.4988147449866795</v>
      </c>
      <c r="V149" s="383">
        <f t="shared" si="56"/>
        <v>63.21023361249518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5">
        <f t="shared" si="62"/>
        <v>0</v>
      </c>
      <c r="AD149" s="169">
        <f>(INDEX(Models!$BJ149:$BT149,,AH149)*(1-AF149)+INDEX(Models!$BJ149:$BT149,,AH149+1)*AF149-ERP_i)*AE149*Ramure*Pc/MaxiM</f>
        <v>4.4333611912249407E-6</v>
      </c>
      <c r="AE149" s="305">
        <f t="shared" si="63"/>
        <v>0.7</v>
      </c>
      <c r="AF149" s="177">
        <f t="shared" si="64"/>
        <v>0.50118525501332045</v>
      </c>
      <c r="AG149" s="810">
        <f t="shared" si="65"/>
        <v>-2</v>
      </c>
      <c r="AH149" s="176">
        <f t="shared" si="66"/>
        <v>4</v>
      </c>
      <c r="AI149" s="225">
        <f t="shared" si="67"/>
        <v>-1.4988147449866795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6">
        <f t="shared" si="50"/>
        <v>0</v>
      </c>
      <c r="M150" s="855"/>
      <c r="N150" s="855"/>
      <c r="O150" s="324">
        <f t="shared" si="51"/>
        <v>0</v>
      </c>
      <c r="P150" s="169">
        <f>(INDEX(Models!$BJ150:$BT150,,T150)*(1-R150)+INDEX(Models!$BJ150:$BT150,,T150+1)*R150-ERP_i)*Q150*Ramure*Pc/MaxiM</f>
        <v>4.585389153799855E-6</v>
      </c>
      <c r="Q150" s="305">
        <f t="shared" si="52"/>
        <v>0.7</v>
      </c>
      <c r="R150" s="177">
        <f t="shared" si="53"/>
        <v>0.50435040498222139</v>
      </c>
      <c r="S150" s="810">
        <f t="shared" si="71"/>
        <v>-2</v>
      </c>
      <c r="T150" s="176">
        <f t="shared" si="54"/>
        <v>4</v>
      </c>
      <c r="U150" s="251">
        <f t="shared" si="55"/>
        <v>-1.4956495950177786</v>
      </c>
      <c r="V150" s="383">
        <f t="shared" si="56"/>
        <v>63.313412304942219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5">
        <f t="shared" si="62"/>
        <v>0</v>
      </c>
      <c r="AD150" s="169">
        <f>(INDEX(Models!$BJ150:$BT150,,AH150)*(1-AF150)+INDEX(Models!$BJ150:$BT150,,AH150+1)*AF150-ERP_i)*AE150*Ramure*Pc/MaxiM</f>
        <v>4.585389153799855E-6</v>
      </c>
      <c r="AE150" s="305">
        <f t="shared" si="63"/>
        <v>0.7</v>
      </c>
      <c r="AF150" s="177">
        <f t="shared" si="64"/>
        <v>0.50435040498222139</v>
      </c>
      <c r="AG150" s="810">
        <f t="shared" si="65"/>
        <v>-2</v>
      </c>
      <c r="AH150" s="176">
        <f t="shared" si="66"/>
        <v>4</v>
      </c>
      <c r="AI150" s="225">
        <f t="shared" si="67"/>
        <v>-1.4956495950177786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6">
        <f t="shared" si="50"/>
        <v>0</v>
      </c>
      <c r="M151" s="855"/>
      <c r="N151" s="855"/>
      <c r="O151" s="324">
        <f t="shared" si="51"/>
        <v>0</v>
      </c>
      <c r="P151" s="169">
        <f>(INDEX(Models!$BJ151:$BT151,,T151)*(1-R151)+INDEX(Models!$BJ151:$BT151,,T151+1)*R151-ERP_i)*Q151*Ramure*Pc/MaxiM</f>
        <v>4.7436838952670412E-6</v>
      </c>
      <c r="Q151" s="305">
        <f t="shared" si="52"/>
        <v>0.7</v>
      </c>
      <c r="R151" s="177">
        <f t="shared" si="53"/>
        <v>0.50757765167020041</v>
      </c>
      <c r="S151" s="810">
        <f t="shared" si="71"/>
        <v>-2</v>
      </c>
      <c r="T151" s="176">
        <f t="shared" si="54"/>
        <v>4</v>
      </c>
      <c r="U151" s="251">
        <f t="shared" si="55"/>
        <v>-1.4924223483297996</v>
      </c>
      <c r="V151" s="383">
        <f t="shared" si="56"/>
        <v>63.40959351796706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5">
        <f t="shared" si="62"/>
        <v>0</v>
      </c>
      <c r="AD151" s="169">
        <f>(INDEX(Models!$BJ151:$BT151,,AH151)*(1-AF151)+INDEX(Models!$BJ151:$BT151,,AH151+1)*AF151-ERP_i)*AE151*Ramure*Pc/MaxiM</f>
        <v>4.7436838952670412E-6</v>
      </c>
      <c r="AE151" s="305">
        <f t="shared" si="63"/>
        <v>0.7</v>
      </c>
      <c r="AF151" s="177">
        <f t="shared" si="64"/>
        <v>0.50757765167020041</v>
      </c>
      <c r="AG151" s="810">
        <f t="shared" si="65"/>
        <v>-2</v>
      </c>
      <c r="AH151" s="176">
        <f t="shared" si="66"/>
        <v>4</v>
      </c>
      <c r="AI151" s="225">
        <f t="shared" si="67"/>
        <v>-1.4924223483297996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6">
        <f t="shared" si="50"/>
        <v>0</v>
      </c>
      <c r="M152" s="855"/>
      <c r="N152" s="855"/>
      <c r="O152" s="324">
        <f t="shared" si="51"/>
        <v>0</v>
      </c>
      <c r="P152" s="169">
        <f>(INDEX(Models!$BJ152:$BT152,,T152)*(1-R152)+INDEX(Models!$BJ152:$BT152,,T152+1)*R152-ERP_i)*Q152*Ramure*Pc/MaxiM</f>
        <v>4.9084439448559484E-6</v>
      </c>
      <c r="Q152" s="305">
        <f t="shared" si="52"/>
        <v>0.7</v>
      </c>
      <c r="R152" s="177">
        <f t="shared" si="53"/>
        <v>0.51086603584936596</v>
      </c>
      <c r="S152" s="810">
        <f t="shared" si="71"/>
        <v>-2</v>
      </c>
      <c r="T152" s="176">
        <f t="shared" si="54"/>
        <v>4</v>
      </c>
      <c r="U152" s="251">
        <f t="shared" si="55"/>
        <v>-1.489133964150634</v>
      </c>
      <c r="V152" s="383">
        <f t="shared" si="56"/>
        <v>63.499105225506227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5">
        <f t="shared" si="62"/>
        <v>0</v>
      </c>
      <c r="AD152" s="169">
        <f>(INDEX(Models!$BJ152:$BT152,,AH152)*(1-AF152)+INDEX(Models!$BJ152:$BT152,,AH152+1)*AF152-ERP_i)*AE152*Ramure*Pc/MaxiM</f>
        <v>4.9084439448559484E-6</v>
      </c>
      <c r="AE152" s="305">
        <f t="shared" si="63"/>
        <v>0.7</v>
      </c>
      <c r="AF152" s="177">
        <f t="shared" si="64"/>
        <v>0.51086603584936596</v>
      </c>
      <c r="AG152" s="810">
        <f t="shared" si="65"/>
        <v>-2</v>
      </c>
      <c r="AH152" s="176">
        <f t="shared" si="66"/>
        <v>4</v>
      </c>
      <c r="AI152" s="225">
        <f t="shared" si="67"/>
        <v>-1.489133964150634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6">
        <f t="shared" si="50"/>
        <v>0</v>
      </c>
      <c r="M153" s="855"/>
      <c r="N153" s="855"/>
      <c r="O153" s="324">
        <f t="shared" si="51"/>
        <v>0</v>
      </c>
      <c r="P153" s="169">
        <f>(INDEX(Models!$BJ153:$BT153,,T153)*(1-R153)+INDEX(Models!$BJ153:$BT153,,T153+1)*R153-ERP_i)*Q153*Ramure*Pc/MaxiM</f>
        <v>5.0798673267501693E-6</v>
      </c>
      <c r="Q153" s="305">
        <f t="shared" si="52"/>
        <v>0.7</v>
      </c>
      <c r="R153" s="177">
        <f t="shared" si="53"/>
        <v>0.51421445646320318</v>
      </c>
      <c r="S153" s="810">
        <f t="shared" si="71"/>
        <v>-2</v>
      </c>
      <c r="T153" s="176">
        <f t="shared" si="54"/>
        <v>4</v>
      </c>
      <c r="U153" s="251">
        <f t="shared" si="55"/>
        <v>-1.4857855435367968</v>
      </c>
      <c r="V153" s="383">
        <f t="shared" si="56"/>
        <v>63.582275405545843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5">
        <f t="shared" si="62"/>
        <v>0</v>
      </c>
      <c r="AD153" s="169">
        <f>(INDEX(Models!$BJ153:$BT153,,AH153)*(1-AF153)+INDEX(Models!$BJ153:$BT153,,AH153+1)*AF153-ERP_i)*AE153*Ramure*Pc/MaxiM</f>
        <v>5.0798673267501693E-6</v>
      </c>
      <c r="AE153" s="305">
        <f t="shared" si="63"/>
        <v>0.7</v>
      </c>
      <c r="AF153" s="177">
        <f t="shared" si="64"/>
        <v>0.51421445646320318</v>
      </c>
      <c r="AG153" s="810">
        <f t="shared" si="65"/>
        <v>-2</v>
      </c>
      <c r="AH153" s="176">
        <f t="shared" si="66"/>
        <v>4</v>
      </c>
      <c r="AI153" s="225">
        <f t="shared" si="67"/>
        <v>-1.4857855435367968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6">
        <f t="shared" si="50"/>
        <v>0</v>
      </c>
      <c r="M154" s="855"/>
      <c r="N154" s="855"/>
      <c r="O154" s="324">
        <f t="shared" si="51"/>
        <v>0</v>
      </c>
      <c r="P154" s="169">
        <f>(INDEX(Models!$BJ154:$BT154,,T154)*(1-R154)+INDEX(Models!$BJ154:$BT154,,T154+1)*R154-ERP_i)*Q154*Ramure*Pc/MaxiM</f>
        <v>5.25815079086399E-6</v>
      </c>
      <c r="Q154" s="305">
        <f t="shared" si="52"/>
        <v>0.7</v>
      </c>
      <c r="R154" s="177">
        <f t="shared" si="53"/>
        <v>0.51762166870933179</v>
      </c>
      <c r="S154" s="810">
        <f t="shared" si="71"/>
        <v>-2</v>
      </c>
      <c r="T154" s="176">
        <f t="shared" si="54"/>
        <v>4</v>
      </c>
      <c r="U154" s="251">
        <f t="shared" si="55"/>
        <v>-1.4823783312906682</v>
      </c>
      <c r="V154" s="383">
        <f t="shared" si="56"/>
        <v>63.659432030476452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5">
        <f t="shared" si="62"/>
        <v>0</v>
      </c>
      <c r="AD154" s="169">
        <f>(INDEX(Models!$BJ154:$BT154,,AH154)*(1-AF154)+INDEX(Models!$BJ154:$BT154,,AH154+1)*AF154-ERP_i)*AE154*Ramure*Pc/MaxiM</f>
        <v>5.25815079086399E-6</v>
      </c>
      <c r="AE154" s="305">
        <f t="shared" si="63"/>
        <v>0.7</v>
      </c>
      <c r="AF154" s="177">
        <f t="shared" si="64"/>
        <v>0.51762166870933179</v>
      </c>
      <c r="AG154" s="810">
        <f t="shared" si="65"/>
        <v>-2</v>
      </c>
      <c r="AH154" s="176">
        <f t="shared" si="66"/>
        <v>4</v>
      </c>
      <c r="AI154" s="225">
        <f t="shared" si="67"/>
        <v>-1.4823783312906682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6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6">
        <f t="shared" si="50"/>
        <v>0</v>
      </c>
      <c r="M155" s="855"/>
      <c r="N155" s="855"/>
      <c r="O155" s="324">
        <f t="shared" si="51"/>
        <v>0</v>
      </c>
      <c r="P155" s="169">
        <f>(INDEX(Models!$BJ155:$BT155,,T155)*(1-R155)+INDEX(Models!$BJ155:$BT155,,T155+1)*R155-ERP_i)*Q155*Ramure*Pc/MaxiM</f>
        <v>5.4434889899214781E-6</v>
      </c>
      <c r="Q155" s="305">
        <f t="shared" si="52"/>
        <v>0.7</v>
      </c>
      <c r="R155" s="177">
        <f t="shared" si="53"/>
        <v>0.52108628272608604</v>
      </c>
      <c r="S155" s="810">
        <f t="shared" si="71"/>
        <v>-2</v>
      </c>
      <c r="T155" s="176">
        <f t="shared" si="54"/>
        <v>4</v>
      </c>
      <c r="U155" s="251">
        <f t="shared" si="55"/>
        <v>-1.478913717273914</v>
      </c>
      <c r="V155" s="383">
        <f t="shared" si="56"/>
        <v>63.730903079642317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5">
        <f t="shared" si="62"/>
        <v>0</v>
      </c>
      <c r="AD155" s="169">
        <f>(INDEX(Models!$BJ155:$BT155,,AH155)*(1-AF155)+INDEX(Models!$BJ155:$BT155,,AH155+1)*AF155-ERP_i)*AE155*Ramure*Pc/MaxiM</f>
        <v>5.4434889899214781E-6</v>
      </c>
      <c r="AE155" s="305">
        <f t="shared" si="63"/>
        <v>0.7</v>
      </c>
      <c r="AF155" s="177">
        <f t="shared" si="64"/>
        <v>0.52108628272608604</v>
      </c>
      <c r="AG155" s="810">
        <f t="shared" si="65"/>
        <v>-2</v>
      </c>
      <c r="AH155" s="176">
        <f t="shared" si="66"/>
        <v>4</v>
      </c>
      <c r="AI155" s="225">
        <f t="shared" si="67"/>
        <v>-1.478913717273914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6">
        <f t="shared" si="50"/>
        <v>0</v>
      </c>
      <c r="M156" s="855"/>
      <c r="N156" s="855"/>
      <c r="O156" s="324">
        <f t="shared" si="51"/>
        <v>0</v>
      </c>
      <c r="P156" s="169">
        <f>(INDEX(Models!$BJ156:$BT156,,T156)*(1-R156)+INDEX(Models!$BJ156:$BT156,,T156+1)*R156-ERP_i)*Q156*Ramure*Pc/MaxiM</f>
        <v>5.6401048767824356E-6</v>
      </c>
      <c r="Q156" s="305">
        <f t="shared" si="52"/>
        <v>0.7</v>
      </c>
      <c r="R156" s="177">
        <f t="shared" si="53"/>
        <v>0.52460676292253061</v>
      </c>
      <c r="S156" s="810">
        <f t="shared" si="71"/>
        <v>-2</v>
      </c>
      <c r="T156" s="176">
        <f t="shared" si="54"/>
        <v>4</v>
      </c>
      <c r="U156" s="251">
        <f t="shared" si="55"/>
        <v>-1.4753932370774694</v>
      </c>
      <c r="V156" s="383">
        <f t="shared" si="56"/>
        <v>63.797016269802107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5">
        <f t="shared" si="62"/>
        <v>0</v>
      </c>
      <c r="AD156" s="169">
        <f>(INDEX(Models!$BJ156:$BT156,,AH156)*(1-AF156)+INDEX(Models!$BJ156:$BT156,,AH156+1)*AF156-ERP_i)*AE156*Ramure*Pc/MaxiM</f>
        <v>5.6401048767824356E-6</v>
      </c>
      <c r="AE156" s="305">
        <f t="shared" si="63"/>
        <v>0.7</v>
      </c>
      <c r="AF156" s="177">
        <f t="shared" si="64"/>
        <v>0.52460676292253061</v>
      </c>
      <c r="AG156" s="810">
        <f t="shared" si="65"/>
        <v>-2</v>
      </c>
      <c r="AH156" s="176">
        <f t="shared" si="66"/>
        <v>4</v>
      </c>
      <c r="AI156" s="225">
        <f t="shared" si="67"/>
        <v>-1.4753932370774694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6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6">
        <f t="shared" si="50"/>
        <v>0</v>
      </c>
      <c r="M157" s="855"/>
      <c r="N157" s="855"/>
      <c r="O157" s="324">
        <f t="shared" si="51"/>
        <v>0</v>
      </c>
      <c r="P157" s="169">
        <f>(INDEX(Models!$BJ157:$BT157,,T157)*(1-R157)+INDEX(Models!$BJ157:$BT157,,T157+1)*R157-ERP_i)*Q157*Ramure*Pc/MaxiM</f>
        <v>5.8490020768939109E-6</v>
      </c>
      <c r="Q157" s="305">
        <f t="shared" si="52"/>
        <v>0.7</v>
      </c>
      <c r="R157" s="177">
        <f t="shared" si="53"/>
        <v>0.52818142798794843</v>
      </c>
      <c r="S157" s="810">
        <f t="shared" si="71"/>
        <v>-2</v>
      </c>
      <c r="T157" s="176">
        <f t="shared" si="54"/>
        <v>4</v>
      </c>
      <c r="U157" s="251">
        <f t="shared" si="55"/>
        <v>-1.4718185720120516</v>
      </c>
      <c r="V157" s="383">
        <f t="shared" si="56"/>
        <v>63.858099523041091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5">
        <f t="shared" si="62"/>
        <v>0</v>
      </c>
      <c r="AD157" s="169">
        <f>(INDEX(Models!$BJ157:$BT157,,AH157)*(1-AF157)+INDEX(Models!$BJ157:$BT157,,AH157+1)*AF157-ERP_i)*AE157*Ramure*Pc/MaxiM</f>
        <v>5.8490020768939109E-6</v>
      </c>
      <c r="AE157" s="305">
        <f t="shared" si="63"/>
        <v>0.7</v>
      </c>
      <c r="AF157" s="177">
        <f t="shared" si="64"/>
        <v>0.52818142798794843</v>
      </c>
      <c r="AG157" s="810">
        <f t="shared" si="65"/>
        <v>-2</v>
      </c>
      <c r="AH157" s="176">
        <f t="shared" si="66"/>
        <v>4</v>
      </c>
      <c r="AI157" s="225">
        <f t="shared" si="67"/>
        <v>-1.4718185720120516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6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6">
        <f t="shared" si="50"/>
        <v>0</v>
      </c>
      <c r="M158" s="855"/>
      <c r="N158" s="855"/>
      <c r="O158" s="324">
        <f t="shared" si="51"/>
        <v>0</v>
      </c>
      <c r="P158" s="169">
        <f>(INDEX(Models!$BJ158:$BT158,,T158)*(1-R158)+INDEX(Models!$BJ158:$BT158,,T158+1)*R158-ERP_i)*Q158*Ramure*Pc/MaxiM</f>
        <v>6.070783741746052E-6</v>
      </c>
      <c r="Q158" s="305">
        <f t="shared" si="52"/>
        <v>0.7</v>
      </c>
      <c r="R158" s="177">
        <f t="shared" si="53"/>
        <v>0.53180845161261203</v>
      </c>
      <c r="S158" s="810">
        <f t="shared" si="71"/>
        <v>-2</v>
      </c>
      <c r="T158" s="176">
        <f t="shared" si="54"/>
        <v>4</v>
      </c>
      <c r="U158" s="251">
        <f t="shared" si="55"/>
        <v>-1.468191548387388</v>
      </c>
      <c r="V158" s="383">
        <f t="shared" si="56"/>
        <v>63.914480791040297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5">
        <f t="shared" si="62"/>
        <v>0</v>
      </c>
      <c r="AD158" s="169">
        <f>(INDEX(Models!$BJ158:$BT158,,AH158)*(1-AF158)+INDEX(Models!$BJ158:$BT158,,AH158+1)*AF158-ERP_i)*AE158*Ramure*Pc/MaxiM</f>
        <v>6.070783741746052E-6</v>
      </c>
      <c r="AE158" s="305">
        <f t="shared" si="63"/>
        <v>0.7</v>
      </c>
      <c r="AF158" s="177">
        <f t="shared" si="64"/>
        <v>0.53180845161261203</v>
      </c>
      <c r="AG158" s="810">
        <f t="shared" si="65"/>
        <v>-2</v>
      </c>
      <c r="AH158" s="176">
        <f t="shared" si="66"/>
        <v>4</v>
      </c>
      <c r="AI158" s="225">
        <f t="shared" si="67"/>
        <v>-1.468191548387388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6">
        <f t="shared" si="50"/>
        <v>0</v>
      </c>
      <c r="M159" s="855"/>
      <c r="N159" s="855"/>
      <c r="O159" s="324">
        <f t="shared" si="51"/>
        <v>0</v>
      </c>
      <c r="P159" s="169">
        <f>(INDEX(Models!$BJ159:$BT159,,T159)*(1-R159)+INDEX(Models!$BJ159:$BT159,,T159+1)*R159-ERP_i)*Q159*Ramure*Pc/MaxiM</f>
        <v>6.3060983628294259E-6</v>
      </c>
      <c r="Q159" s="305">
        <f t="shared" si="52"/>
        <v>0.7</v>
      </c>
      <c r="R159" s="177">
        <f t="shared" si="53"/>
        <v>0.53548586394678566</v>
      </c>
      <c r="S159" s="810">
        <f t="shared" si="71"/>
        <v>-2</v>
      </c>
      <c r="T159" s="176">
        <f t="shared" si="54"/>
        <v>4</v>
      </c>
      <c r="U159" s="251">
        <f t="shared" si="55"/>
        <v>-1.4645141360532143</v>
      </c>
      <c r="V159" s="383">
        <f t="shared" si="56"/>
        <v>63.966488018208629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5">
        <f t="shared" si="62"/>
        <v>0</v>
      </c>
      <c r="AD159" s="169">
        <f>(INDEX(Models!$BJ159:$BT159,,AH159)*(1-AF159)+INDEX(Models!$BJ159:$BT159,,AH159+1)*AF159-ERP_i)*AE159*Ramure*Pc/MaxiM</f>
        <v>6.3060983628294259E-6</v>
      </c>
      <c r="AE159" s="305">
        <f t="shared" si="63"/>
        <v>0.7</v>
      </c>
      <c r="AF159" s="177">
        <f t="shared" si="64"/>
        <v>0.53548586394678566</v>
      </c>
      <c r="AG159" s="810">
        <f t="shared" si="65"/>
        <v>-2</v>
      </c>
      <c r="AH159" s="176">
        <f t="shared" si="66"/>
        <v>4</v>
      </c>
      <c r="AI159" s="225">
        <f t="shared" si="67"/>
        <v>-1.4645141360532143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6">
        <f t="shared" si="50"/>
        <v>0</v>
      </c>
      <c r="M160" s="855"/>
      <c r="N160" s="855"/>
      <c r="O160" s="324">
        <f t="shared" si="51"/>
        <v>0</v>
      </c>
      <c r="P160" s="169">
        <f>(INDEX(Models!$BJ160:$BT160,,T160)*(1-R160)+INDEX(Models!$BJ160:$BT160,,T160+1)*R160-ERP_i)*Q160*Ramure*Pc/MaxiM</f>
        <v>6.5556051392699855E-6</v>
      </c>
      <c r="Q160" s="305">
        <f t="shared" si="52"/>
        <v>0.7</v>
      </c>
      <c r="R160" s="177">
        <f t="shared" si="53"/>
        <v>0.53921155381945152</v>
      </c>
      <c r="S160" s="810">
        <f t="shared" si="71"/>
        <v>-2</v>
      </c>
      <c r="T160" s="176">
        <f t="shared" si="54"/>
        <v>4</v>
      </c>
      <c r="U160" s="251">
        <f t="shared" si="55"/>
        <v>-1.4607884461805485</v>
      </c>
      <c r="V160" s="383">
        <f t="shared" si="56"/>
        <v>64.014449147758015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5">
        <f t="shared" si="62"/>
        <v>0</v>
      </c>
      <c r="AD160" s="169">
        <f>(INDEX(Models!$BJ160:$BT160,,AH160)*(1-AF160)+INDEX(Models!$BJ160:$BT160,,AH160+1)*AF160-ERP_i)*AE160*Ramure*Pc/MaxiM</f>
        <v>6.5556051392699855E-6</v>
      </c>
      <c r="AE160" s="305">
        <f t="shared" si="63"/>
        <v>0.7</v>
      </c>
      <c r="AF160" s="177">
        <f t="shared" si="64"/>
        <v>0.53921155381945152</v>
      </c>
      <c r="AG160" s="810">
        <f t="shared" si="65"/>
        <v>-2</v>
      </c>
      <c r="AH160" s="176">
        <f t="shared" si="66"/>
        <v>4</v>
      </c>
      <c r="AI160" s="225">
        <f t="shared" si="67"/>
        <v>-1.4607884461805485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6">
        <f t="shared" si="50"/>
        <v>0</v>
      </c>
      <c r="M161" s="855"/>
      <c r="N161" s="855"/>
      <c r="O161" s="324">
        <f t="shared" si="51"/>
        <v>0</v>
      </c>
      <c r="P161" s="169">
        <f>(INDEX(Models!$BJ161:$BT161,,T161)*(1-R161)+INDEX(Models!$BJ161:$BT161,,T161+1)*R161-ERP_i)*Q161*Ramure*Pc/MaxiM</f>
        <v>6.8199719296048036E-6</v>
      </c>
      <c r="Q161" s="305">
        <f t="shared" si="52"/>
        <v>0.7</v>
      </c>
      <c r="R161" s="177">
        <f t="shared" si="53"/>
        <v>0.54298327173223226</v>
      </c>
      <c r="S161" s="810">
        <f t="shared" si="71"/>
        <v>-2</v>
      </c>
      <c r="T161" s="176">
        <f t="shared" si="54"/>
        <v>4</v>
      </c>
      <c r="U161" s="251">
        <f t="shared" si="55"/>
        <v>-1.4570167282677677</v>
      </c>
      <c r="V161" s="383">
        <f t="shared" si="56"/>
        <v>64.05869212692302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5">
        <f t="shared" si="62"/>
        <v>0</v>
      </c>
      <c r="AD161" s="169">
        <f>(INDEX(Models!$BJ161:$BT161,,AH161)*(1-AF161)+INDEX(Models!$BJ161:$BT161,,AH161+1)*AF161-ERP_i)*AE161*Ramure*Pc/MaxiM</f>
        <v>6.8199719296048036E-6</v>
      </c>
      <c r="AE161" s="305">
        <f t="shared" si="63"/>
        <v>0.7</v>
      </c>
      <c r="AF161" s="177">
        <f t="shared" si="64"/>
        <v>0.54298327173223226</v>
      </c>
      <c r="AG161" s="810">
        <f t="shared" si="65"/>
        <v>-2</v>
      </c>
      <c r="AH161" s="176">
        <f t="shared" si="66"/>
        <v>4</v>
      </c>
      <c r="AI161" s="225">
        <f t="shared" si="67"/>
        <v>-1.4570167282677677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6">
        <f t="shared" si="50"/>
        <v>0</v>
      </c>
      <c r="M162" s="855"/>
      <c r="N162" s="855"/>
      <c r="O162" s="324">
        <f t="shared" si="51"/>
        <v>0</v>
      </c>
      <c r="P162" s="169">
        <f>(INDEX(Models!$BJ162:$BT162,,T162)*(1-R162)+INDEX(Models!$BJ162:$BT162,,T162+1)*R162-ERP_i)*Q162*Ramure*Pc/MaxiM</f>
        <v>7.0998730173466383E-6</v>
      </c>
      <c r="Q162" s="305">
        <f t="shared" si="52"/>
        <v>0.7</v>
      </c>
      <c r="R162" s="177">
        <f t="shared" si="53"/>
        <v>0.54679863363746617</v>
      </c>
      <c r="S162" s="810">
        <f t="shared" si="71"/>
        <v>-2</v>
      </c>
      <c r="T162" s="176">
        <f t="shared" si="54"/>
        <v>4</v>
      </c>
      <c r="U162" s="251">
        <f t="shared" si="55"/>
        <v>-1.4532013663625338</v>
      </c>
      <c r="V162" s="383">
        <f t="shared" si="56"/>
        <v>64.099544897394537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5">
        <f t="shared" si="62"/>
        <v>0</v>
      </c>
      <c r="AD162" s="169">
        <f>(INDEX(Models!$BJ162:$BT162,,AH162)*(1-AF162)+INDEX(Models!$BJ162:$BT162,,AH162+1)*AF162-ERP_i)*AE162*Ramure*Pc/MaxiM</f>
        <v>7.0998730173466383E-6</v>
      </c>
      <c r="AE162" s="305">
        <f t="shared" si="63"/>
        <v>0.7</v>
      </c>
      <c r="AF162" s="177">
        <f t="shared" si="64"/>
        <v>0.54679863363746617</v>
      </c>
      <c r="AG162" s="810">
        <f t="shared" si="65"/>
        <v>-2</v>
      </c>
      <c r="AH162" s="176">
        <f t="shared" si="66"/>
        <v>4</v>
      </c>
      <c r="AI162" s="225">
        <f t="shared" si="67"/>
        <v>-1.4532013663625338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6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6">
        <f t="shared" si="50"/>
        <v>0</v>
      </c>
      <c r="M163" s="855"/>
      <c r="N163" s="855"/>
      <c r="O163" s="324">
        <f t="shared" si="51"/>
        <v>0</v>
      </c>
      <c r="P163" s="169">
        <f>(INDEX(Models!$BJ163:$BT163,,T163)*(1-R163)+INDEX(Models!$BJ163:$BT163,,T163+1)*R163-ERP_i)*Q163*Ramure*Pc/MaxiM</f>
        <v>7.3961631982119634E-6</v>
      </c>
      <c r="Q163" s="305">
        <f t="shared" si="52"/>
        <v>0.7</v>
      </c>
      <c r="R163" s="177">
        <f t="shared" si="53"/>
        <v>0.55065512550244367</v>
      </c>
      <c r="S163" s="810">
        <f t="shared" si="71"/>
        <v>-2</v>
      </c>
      <c r="T163" s="176">
        <f t="shared" si="54"/>
        <v>4</v>
      </c>
      <c r="U163" s="251">
        <f t="shared" si="55"/>
        <v>-1.4493448744975563</v>
      </c>
      <c r="V163" s="383">
        <f t="shared" si="56"/>
        <v>64.135804792341006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5">
        <f t="shared" si="62"/>
        <v>0</v>
      </c>
      <c r="AD163" s="169">
        <f>(INDEX(Models!$BJ163:$BT163,,AH163)*(1-AF163)+INDEX(Models!$BJ163:$BT163,,AH163+1)*AF163-ERP_i)*AE163*Ramure*Pc/MaxiM</f>
        <v>7.3961631982119634E-6</v>
      </c>
      <c r="AE163" s="305">
        <f t="shared" si="63"/>
        <v>0.7</v>
      </c>
      <c r="AF163" s="177">
        <f t="shared" si="64"/>
        <v>0.55065512550244367</v>
      </c>
      <c r="AG163" s="810">
        <f t="shared" si="65"/>
        <v>-2</v>
      </c>
      <c r="AH163" s="176">
        <f t="shared" si="66"/>
        <v>4</v>
      </c>
      <c r="AI163" s="225">
        <f t="shared" si="67"/>
        <v>-1.4493448744975563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6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6">
        <f t="shared" si="50"/>
        <v>0</v>
      </c>
      <c r="M164" s="855"/>
      <c r="N164" s="855"/>
      <c r="O164" s="324">
        <f t="shared" si="51"/>
        <v>0</v>
      </c>
      <c r="P164" s="169">
        <f>(INDEX(Models!$BJ164:$BT164,,T164)*(1-R164)+INDEX(Models!$BJ164:$BT164,,T164+1)*R164-ERP_i)*Q164*Ramure*Pc/MaxiM</f>
        <v>7.7067937378630411E-6</v>
      </c>
      <c r="Q164" s="305">
        <f t="shared" si="52"/>
        <v>0.7</v>
      </c>
      <c r="R164" s="177">
        <f t="shared" si="53"/>
        <v>0.55455010865451371</v>
      </c>
      <c r="S164" s="810">
        <f t="shared" si="71"/>
        <v>-2</v>
      </c>
      <c r="T164" s="176">
        <f t="shared" si="54"/>
        <v>4</v>
      </c>
      <c r="U164" s="251">
        <f t="shared" si="55"/>
        <v>-1.4454498913454863</v>
      </c>
      <c r="V164" s="383">
        <f t="shared" si="56"/>
        <v>64.166269328744363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5">
        <f t="shared" si="62"/>
        <v>0</v>
      </c>
      <c r="AD164" s="169">
        <f>(INDEX(Models!$BJ164:$BT164,,AH164)*(1-AF164)+INDEX(Models!$BJ164:$BT164,,AH164+1)*AF164-ERP_i)*AE164*Ramure*Pc/MaxiM</f>
        <v>7.7067937378630411E-6</v>
      </c>
      <c r="AE164" s="305">
        <f t="shared" si="63"/>
        <v>0.7</v>
      </c>
      <c r="AF164" s="177">
        <f t="shared" si="64"/>
        <v>0.55455010865451371</v>
      </c>
      <c r="AG164" s="810">
        <f t="shared" si="65"/>
        <v>-2</v>
      </c>
      <c r="AH164" s="176">
        <f t="shared" si="66"/>
        <v>4</v>
      </c>
      <c r="AI164" s="225">
        <f t="shared" si="67"/>
        <v>-1.4454498913454863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6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6">
        <f t="shared" si="50"/>
        <v>0</v>
      </c>
      <c r="M165" s="855"/>
      <c r="N165" s="855"/>
      <c r="O165" s="324">
        <f t="shared" si="51"/>
        <v>0</v>
      </c>
      <c r="P165" s="169">
        <f>(INDEX(Models!$BJ165:$BT165,,T165)*(1-R165)+INDEX(Models!$BJ165:$BT165,,T165+1)*R165-ERP_i)*Q165*Ramure*Pc/MaxiM</f>
        <v>8.0285070770648874E-6</v>
      </c>
      <c r="Q165" s="305">
        <f t="shared" si="52"/>
        <v>0.7</v>
      </c>
      <c r="R165" s="177">
        <f t="shared" si="53"/>
        <v>0.5584808258942151</v>
      </c>
      <c r="S165" s="810">
        <f t="shared" si="71"/>
        <v>-2</v>
      </c>
      <c r="T165" s="176">
        <f t="shared" si="54"/>
        <v>4</v>
      </c>
      <c r="U165" s="251">
        <f t="shared" si="55"/>
        <v>-1.4415191741057849</v>
      </c>
      <c r="V165" s="383">
        <f t="shared" si="56"/>
        <v>64.191266705003002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5">
        <f t="shared" si="62"/>
        <v>0</v>
      </c>
      <c r="AD165" s="169">
        <f>(INDEX(Models!$BJ165:$BT165,,AH165)*(1-AF165)+INDEX(Models!$BJ165:$BT165,,AH165+1)*AF165-ERP_i)*AE165*Ramure*Pc/MaxiM</f>
        <v>8.0285070770648874E-6</v>
      </c>
      <c r="AE165" s="305">
        <f t="shared" si="63"/>
        <v>0.7</v>
      </c>
      <c r="AF165" s="177">
        <f t="shared" si="64"/>
        <v>0.5584808258942151</v>
      </c>
      <c r="AG165" s="810">
        <f t="shared" si="65"/>
        <v>-2</v>
      </c>
      <c r="AH165" s="176">
        <f t="shared" si="66"/>
        <v>4</v>
      </c>
      <c r="AI165" s="225">
        <f t="shared" si="67"/>
        <v>-1.4415191741057849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6">
        <f t="shared" si="50"/>
        <v>0</v>
      </c>
      <c r="M166" s="855"/>
      <c r="N166" s="855"/>
      <c r="O166" s="324">
        <f t="shared" si="51"/>
        <v>0</v>
      </c>
      <c r="P166" s="169">
        <f>(INDEX(Models!$BJ166:$BT166,,T166)*(1-R166)+INDEX(Models!$BJ166:$BT166,,T166+1)*R166-ERP_i)*Q166*Ramure*Pc/MaxiM</f>
        <v>8.3614442045742925E-6</v>
      </c>
      <c r="Q166" s="305">
        <f t="shared" si="52"/>
        <v>0.7</v>
      </c>
      <c r="R166" s="177">
        <f t="shared" si="53"/>
        <v>0.56244440835588105</v>
      </c>
      <c r="S166" s="810">
        <f t="shared" si="71"/>
        <v>-2</v>
      </c>
      <c r="T166" s="176">
        <f t="shared" si="54"/>
        <v>4</v>
      </c>
      <c r="U166" s="251">
        <f t="shared" si="55"/>
        <v>-1.4375555916441189</v>
      </c>
      <c r="V166" s="383">
        <f t="shared" si="56"/>
        <v>64.211124905220188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5">
        <f t="shared" si="62"/>
        <v>0</v>
      </c>
      <c r="AD166" s="169">
        <f>(INDEX(Models!$BJ166:$BT166,,AH166)*(1-AF166)+INDEX(Models!$BJ166:$BT166,,AH166+1)*AF166-ERP_i)*AE166*Ramure*Pc/MaxiM</f>
        <v>8.3614442045742925E-6</v>
      </c>
      <c r="AE166" s="305">
        <f t="shared" si="63"/>
        <v>0.7</v>
      </c>
      <c r="AF166" s="177">
        <f t="shared" si="64"/>
        <v>0.56244440835588105</v>
      </c>
      <c r="AG166" s="810">
        <f t="shared" si="65"/>
        <v>-2</v>
      </c>
      <c r="AH166" s="176">
        <f t="shared" si="66"/>
        <v>4</v>
      </c>
      <c r="AI166" s="225">
        <f t="shared" si="67"/>
        <v>-1.4375555916441189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6">
        <f t="shared" si="50"/>
        <v>0</v>
      </c>
      <c r="M167" s="855"/>
      <c r="N167" s="855"/>
      <c r="O167" s="324">
        <f t="shared" si="51"/>
        <v>0</v>
      </c>
      <c r="P167" s="169">
        <f>(INDEX(Models!$BJ167:$BT167,,T167)*(1-R167)+INDEX(Models!$BJ167:$BT167,,T167+1)*R167-ERP_i)*Q167*Ramure*Pc/MaxiM</f>
        <v>8.705728901214977E-6</v>
      </c>
      <c r="Q167" s="305">
        <f t="shared" si="52"/>
        <v>0.7</v>
      </c>
      <c r="R167" s="177">
        <f t="shared" si="53"/>
        <v>0.56643788308741105</v>
      </c>
      <c r="S167" s="810">
        <f t="shared" si="71"/>
        <v>-2</v>
      </c>
      <c r="T167" s="176">
        <f t="shared" si="54"/>
        <v>4</v>
      </c>
      <c r="U167" s="251">
        <f t="shared" si="55"/>
        <v>-1.4335621169125889</v>
      </c>
      <c r="V167" s="383">
        <f t="shared" si="56"/>
        <v>64.226171909425943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5">
        <f t="shared" si="62"/>
        <v>0</v>
      </c>
      <c r="AD167" s="169">
        <f>(INDEX(Models!$BJ167:$BT167,,AH167)*(1-AF167)+INDEX(Models!$BJ167:$BT167,,AH167+1)*AF167-ERP_i)*AE167*Ramure*Pc/MaxiM</f>
        <v>8.705728901214977E-6</v>
      </c>
      <c r="AE167" s="305">
        <f t="shared" si="63"/>
        <v>0.7</v>
      </c>
      <c r="AF167" s="177">
        <f t="shared" si="64"/>
        <v>0.56643788308741105</v>
      </c>
      <c r="AG167" s="810">
        <f t="shared" si="65"/>
        <v>-2</v>
      </c>
      <c r="AH167" s="176">
        <f t="shared" si="66"/>
        <v>4</v>
      </c>
      <c r="AI167" s="225">
        <f t="shared" si="67"/>
        <v>-1.4335621169125889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6">
        <f t="shared" si="50"/>
        <v>0</v>
      </c>
      <c r="M168" s="855"/>
      <c r="N168" s="855"/>
      <c r="O168" s="324">
        <f t="shared" si="51"/>
        <v>0</v>
      </c>
      <c r="P168" s="169">
        <f>(INDEX(Models!$BJ168:$BT168,,T168)*(1-R168)+INDEX(Models!$BJ168:$BT168,,T168+1)*R168-ERP_i)*Q168*Ramure*Pc/MaxiM</f>
        <v>9.0614666732734384E-6</v>
      </c>
      <c r="Q168" s="305">
        <f t="shared" si="52"/>
        <v>0.7</v>
      </c>
      <c r="R168" s="177">
        <f t="shared" si="53"/>
        <v>0.57045818131322856</v>
      </c>
      <c r="S168" s="810">
        <f t="shared" si="71"/>
        <v>-2</v>
      </c>
      <c r="T168" s="176">
        <f t="shared" si="54"/>
        <v>4</v>
      </c>
      <c r="U168" s="251">
        <f t="shared" si="55"/>
        <v>-1.4295418186867714</v>
      </c>
      <c r="V168" s="383">
        <f t="shared" si="56"/>
        <v>64.23673569939055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5">
        <f t="shared" si="62"/>
        <v>0</v>
      </c>
      <c r="AD168" s="169">
        <f>(INDEX(Models!$BJ168:$BT168,,AH168)*(1-AF168)+INDEX(Models!$BJ168:$BT168,,AH168+1)*AF168-ERP_i)*AE168*Ramure*Pc/MaxiM</f>
        <v>9.0614666732734384E-6</v>
      </c>
      <c r="AE168" s="305">
        <f t="shared" si="63"/>
        <v>0.7</v>
      </c>
      <c r="AF168" s="177">
        <f t="shared" si="64"/>
        <v>0.57045818131322856</v>
      </c>
      <c r="AG168" s="810">
        <f t="shared" si="65"/>
        <v>-2</v>
      </c>
      <c r="AH168" s="176">
        <f t="shared" si="66"/>
        <v>4</v>
      </c>
      <c r="AI168" s="225">
        <f t="shared" si="67"/>
        <v>-1.4295418186867714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6">
        <f t="shared" si="50"/>
        <v>0</v>
      </c>
      <c r="M169" s="855"/>
      <c r="N169" s="855"/>
      <c r="O169" s="324">
        <f t="shared" si="51"/>
        <v>0</v>
      </c>
      <c r="P169" s="169">
        <f>(INDEX(Models!$BJ169:$BT169,,T169)*(1-R169)+INDEX(Models!$BJ169:$BT169,,T169+1)*R169-ERP_i)*Q169*Ramure*Pc/MaxiM</f>
        <v>9.4287437494348102E-6</v>
      </c>
      <c r="Q169" s="305">
        <f t="shared" si="52"/>
        <v>0.7</v>
      </c>
      <c r="R169" s="177">
        <f t="shared" si="53"/>
        <v>0.57450214733695648</v>
      </c>
      <c r="S169" s="810">
        <f t="shared" si="71"/>
        <v>-2</v>
      </c>
      <c r="T169" s="176">
        <f t="shared" si="54"/>
        <v>4</v>
      </c>
      <c r="U169" s="251">
        <f t="shared" si="55"/>
        <v>-1.4254978526630435</v>
      </c>
      <c r="V169" s="383">
        <f t="shared" si="56"/>
        <v>64.243144261771221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5">
        <f t="shared" si="62"/>
        <v>0</v>
      </c>
      <c r="AD169" s="169">
        <f>(INDEX(Models!$BJ169:$BT169,,AH169)*(1-AF169)+INDEX(Models!$BJ169:$BT169,,AH169+1)*AF169-ERP_i)*AE169*Ramure*Pc/MaxiM</f>
        <v>9.4287437494348102E-6</v>
      </c>
      <c r="AE169" s="305">
        <f t="shared" si="63"/>
        <v>0.7</v>
      </c>
      <c r="AF169" s="177">
        <f t="shared" si="64"/>
        <v>0.57450214733695648</v>
      </c>
      <c r="AG169" s="810">
        <f t="shared" si="65"/>
        <v>-2</v>
      </c>
      <c r="AH169" s="176">
        <f t="shared" si="66"/>
        <v>4</v>
      </c>
      <c r="AI169" s="225">
        <f t="shared" si="67"/>
        <v>-1.4254978526630435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6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6">
        <f t="shared" si="50"/>
        <v>0</v>
      </c>
      <c r="M170" s="855"/>
      <c r="N170" s="855"/>
      <c r="O170" s="324">
        <f t="shared" si="51"/>
        <v>0</v>
      </c>
      <c r="P170" s="169">
        <f>(INDEX(Models!$BJ170:$BT170,,T170)*(1-R170)+INDEX(Models!$BJ170:$BT170,,T170+1)*R170-ERP_i)*Q170*Ramure*Pc/MaxiM</f>
        <v>9.806953008715914E-6</v>
      </c>
      <c r="Q170" s="305">
        <f t="shared" si="52"/>
        <v>0.7</v>
      </c>
      <c r="R170" s="177">
        <f t="shared" si="53"/>
        <v>0.57856654803317387</v>
      </c>
      <c r="S170" s="810">
        <f t="shared" si="71"/>
        <v>-2</v>
      </c>
      <c r="T170" s="176">
        <f t="shared" si="54"/>
        <v>4</v>
      </c>
      <c r="U170" s="251">
        <f t="shared" si="55"/>
        <v>-1.4214334519668261</v>
      </c>
      <c r="V170" s="383">
        <f t="shared" si="56"/>
        <v>64.245725623323281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5">
        <f t="shared" si="62"/>
        <v>0</v>
      </c>
      <c r="AD170" s="169">
        <f>(INDEX(Models!$BJ170:$BT170,,AH170)*(1-AF170)+INDEX(Models!$BJ170:$BT170,,AH170+1)*AF170-ERP_i)*AE170*Ramure*Pc/MaxiM</f>
        <v>9.806953008715914E-6</v>
      </c>
      <c r="AE170" s="305">
        <f t="shared" si="63"/>
        <v>0.7</v>
      </c>
      <c r="AF170" s="177">
        <f t="shared" si="64"/>
        <v>0.57856654803317387</v>
      </c>
      <c r="AG170" s="810">
        <f t="shared" si="65"/>
        <v>-2</v>
      </c>
      <c r="AH170" s="176">
        <f t="shared" si="66"/>
        <v>4</v>
      </c>
      <c r="AI170" s="225">
        <f t="shared" si="67"/>
        <v>-1.4214334519668261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6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6">
        <f t="shared" si="50"/>
        <v>0</v>
      </c>
      <c r="M171" s="855"/>
      <c r="N171" s="855"/>
      <c r="O171" s="324">
        <f t="shared" si="51"/>
        <v>0</v>
      </c>
      <c r="P171" s="169">
        <f>(INDEX(Models!$BJ171:$BT171,,T171)*(1-R171)+INDEX(Models!$BJ171:$BT171,,T171+1)*R171-ERP_i)*Q171*Ramure*Pc/MaxiM</f>
        <v>1.0189846881421863E-5</v>
      </c>
      <c r="Q171" s="305">
        <f t="shared" si="52"/>
        <v>0.7</v>
      </c>
      <c r="R171" s="177">
        <f t="shared" si="53"/>
        <v>0.58264808287088599</v>
      </c>
      <c r="S171" s="810">
        <f t="shared" si="71"/>
        <v>-2</v>
      </c>
      <c r="T171" s="176">
        <f t="shared" si="54"/>
        <v>4</v>
      </c>
      <c r="U171" s="251">
        <f t="shared" si="55"/>
        <v>-1.417351917129114</v>
      </c>
      <c r="V171" s="383">
        <f t="shared" si="56"/>
        <v>64.244808176141703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5">
        <f t="shared" si="62"/>
        <v>0</v>
      </c>
      <c r="AD171" s="169">
        <f>(INDEX(Models!$BJ171:$BT171,,AH171)*(1-AF171)+INDEX(Models!$BJ171:$BT171,,AH171+1)*AF171-ERP_i)*AE171*Ramure*Pc/MaxiM</f>
        <v>1.0189846881421863E-5</v>
      </c>
      <c r="AE171" s="305">
        <f t="shared" si="63"/>
        <v>0.7</v>
      </c>
      <c r="AF171" s="177">
        <f t="shared" si="64"/>
        <v>0.58264808287088599</v>
      </c>
      <c r="AG171" s="810">
        <f t="shared" si="65"/>
        <v>-2</v>
      </c>
      <c r="AH171" s="176">
        <f t="shared" si="66"/>
        <v>4</v>
      </c>
      <c r="AI171" s="225">
        <f t="shared" si="67"/>
        <v>-1.417351917129114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6">
        <f t="shared" si="50"/>
        <v>0</v>
      </c>
      <c r="M172" s="855"/>
      <c r="N172" s="855"/>
      <c r="O172" s="324">
        <f t="shared" si="51"/>
        <v>0</v>
      </c>
      <c r="P172" s="169">
        <f>(INDEX(Models!$BJ172:$BT172,,T172)*(1-R172)+INDEX(Models!$BJ172:$BT172,,T172+1)*R172-ERP_i)*Q172*Ramure*Pc/MaxiM</f>
        <v>1.0576905499340597E-5</v>
      </c>
      <c r="Q172" s="305">
        <f t="shared" si="52"/>
        <v>0.7</v>
      </c>
      <c r="R172" s="177">
        <f t="shared" si="53"/>
        <v>0.58674339440514678</v>
      </c>
      <c r="S172" s="810">
        <f t="shared" si="71"/>
        <v>-2</v>
      </c>
      <c r="T172" s="176">
        <f t="shared" si="54"/>
        <v>4</v>
      </c>
      <c r="U172" s="251">
        <f t="shared" si="55"/>
        <v>-1.4132566055948532</v>
      </c>
      <c r="V172" s="383">
        <f t="shared" si="56"/>
        <v>64.240719941595671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5">
        <f t="shared" si="62"/>
        <v>0</v>
      </c>
      <c r="AD172" s="169">
        <f>(INDEX(Models!$BJ172:$BT172,,AH172)*(1-AF172)+INDEX(Models!$BJ172:$BT172,,AH172+1)*AF172-ERP_i)*AE172*Ramure*Pc/MaxiM</f>
        <v>1.0576905499340597E-5</v>
      </c>
      <c r="AE172" s="305">
        <f t="shared" si="63"/>
        <v>0.7</v>
      </c>
      <c r="AF172" s="177">
        <f t="shared" si="64"/>
        <v>0.58674339440514678</v>
      </c>
      <c r="AG172" s="810">
        <f t="shared" si="65"/>
        <v>-2</v>
      </c>
      <c r="AH172" s="176">
        <f t="shared" si="66"/>
        <v>4</v>
      </c>
      <c r="AI172" s="225">
        <f t="shared" si="67"/>
        <v>-1.4132566055948532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6">
        <f t="shared" si="50"/>
        <v>0</v>
      </c>
      <c r="M173" s="855"/>
      <c r="N173" s="855"/>
      <c r="O173" s="324">
        <f t="shared" si="51"/>
        <v>0</v>
      </c>
      <c r="P173" s="169">
        <f>(INDEX(Models!$BJ173:$BT173,,T173)*(1-R173)+INDEX(Models!$BJ173:$BT173,,T173+1)*R173-ERP_i)*Q173*Ramure*Pc/MaxiM</f>
        <v>1.0967578933437053E-5</v>
      </c>
      <c r="Q173" s="305">
        <f t="shared" si="52"/>
        <v>0.7</v>
      </c>
      <c r="R173" s="177">
        <f t="shared" si="53"/>
        <v>0.59084907916775986</v>
      </c>
      <c r="S173" s="810">
        <f t="shared" si="71"/>
        <v>-2</v>
      </c>
      <c r="T173" s="176">
        <f t="shared" si="54"/>
        <v>4</v>
      </c>
      <c r="U173" s="251">
        <f t="shared" si="55"/>
        <v>-1.4091509208322401</v>
      </c>
      <c r="V173" s="383">
        <f t="shared" si="56"/>
        <v>64.233788943166644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5">
        <f t="shared" si="62"/>
        <v>0</v>
      </c>
      <c r="AD173" s="169">
        <f>(INDEX(Models!$BJ173:$BT173,,AH173)*(1-AF173)+INDEX(Models!$BJ173:$BT173,,AH173+1)*AF173-ERP_i)*AE173*Ramure*Pc/MaxiM</f>
        <v>1.0967578933437053E-5</v>
      </c>
      <c r="AE173" s="305">
        <f t="shared" si="63"/>
        <v>0.7</v>
      </c>
      <c r="AF173" s="177">
        <f t="shared" si="64"/>
        <v>0.59084907916775986</v>
      </c>
      <c r="AG173" s="810">
        <f t="shared" si="65"/>
        <v>-2</v>
      </c>
      <c r="AH173" s="176">
        <f t="shared" si="66"/>
        <v>4</v>
      </c>
      <c r="AI173" s="225">
        <f t="shared" si="67"/>
        <v>-1.4091509208322401</v>
      </c>
      <c r="AJ173" s="265" t="b">
        <f t="shared" si="68"/>
        <v>1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6">
        <f t="shared" si="50"/>
        <v>0</v>
      </c>
      <c r="M174" s="855"/>
      <c r="N174" s="855"/>
      <c r="O174" s="324">
        <f t="shared" si="51"/>
        <v>0</v>
      </c>
      <c r="P174" s="169">
        <f>(INDEX(Models!$BJ174:$BT174,,T174)*(1-R174)+INDEX(Models!$BJ174:$BT174,,T174+1)*R174-ERP_i)*Q174*Ramure*Pc/MaxiM</f>
        <v>1.1361288669737896E-5</v>
      </c>
      <c r="Q174" s="305">
        <f t="shared" si="52"/>
        <v>0.7</v>
      </c>
      <c r="R174" s="177">
        <f t="shared" si="53"/>
        <v>0.59496169888320471</v>
      </c>
      <c r="S174" s="810">
        <f t="shared" si="71"/>
        <v>-2</v>
      </c>
      <c r="T174" s="176">
        <f t="shared" si="54"/>
        <v>4</v>
      </c>
      <c r="U174" s="251">
        <f t="shared" si="55"/>
        <v>-1.4050383011167953</v>
      </c>
      <c r="V174" s="383">
        <f t="shared" si="56"/>
        <v>64.224343206456851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5">
        <f t="shared" si="62"/>
        <v>0</v>
      </c>
      <c r="AD174" s="169">
        <f>(INDEX(Models!$BJ174:$BT174,,AH174)*(1-AF174)+INDEX(Models!$BJ174:$BT174,,AH174+1)*AF174-ERP_i)*AE174*Ramure*Pc/MaxiM</f>
        <v>1.1361288669737896E-5</v>
      </c>
      <c r="AE174" s="305">
        <f t="shared" si="63"/>
        <v>0.7</v>
      </c>
      <c r="AF174" s="177">
        <f t="shared" si="64"/>
        <v>0.59496169888320471</v>
      </c>
      <c r="AG174" s="810">
        <f t="shared" si="65"/>
        <v>-2</v>
      </c>
      <c r="AH174" s="176">
        <f t="shared" si="66"/>
        <v>4</v>
      </c>
      <c r="AI174" s="225">
        <f t="shared" si="67"/>
        <v>-1.4050383011167953</v>
      </c>
      <c r="AJ174" s="265" t="b">
        <f t="shared" si="68"/>
        <v>1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6">
        <f t="shared" si="50"/>
        <v>0</v>
      </c>
      <c r="M175" s="855"/>
      <c r="N175" s="855"/>
      <c r="O175" s="324">
        <f t="shared" si="51"/>
        <v>0</v>
      </c>
      <c r="P175" s="169">
        <f>(INDEX(Models!$BJ175:$BT175,,T175)*(1-R175)+INDEX(Models!$BJ175:$BT175,,T175+1)*R175-ERP_i)*Q175*Ramure*Pc/MaxiM</f>
        <v>1.1757429297213725E-5</v>
      </c>
      <c r="Q175" s="305">
        <f t="shared" si="52"/>
        <v>0.7</v>
      </c>
      <c r="R175" s="177">
        <f t="shared" si="53"/>
        <v>0.59907779193201383</v>
      </c>
      <c r="S175" s="810">
        <f t="shared" si="71"/>
        <v>-2</v>
      </c>
      <c r="T175" s="176">
        <f t="shared" si="54"/>
        <v>4</v>
      </c>
      <c r="U175" s="251">
        <f t="shared" si="55"/>
        <v>-1.4009222080679862</v>
      </c>
      <c r="V175" s="383">
        <f t="shared" si="56"/>
        <v>64.212710758068852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5">
        <f t="shared" si="62"/>
        <v>0</v>
      </c>
      <c r="AD175" s="169">
        <f>(INDEX(Models!$BJ175:$BT175,,AH175)*(1-AF175)+INDEX(Models!$BJ175:$BT175,,AH175+1)*AF175-ERP_i)*AE175*Ramure*Pc/MaxiM</f>
        <v>1.1757429297213725E-5</v>
      </c>
      <c r="AE175" s="305">
        <f t="shared" si="63"/>
        <v>0.7</v>
      </c>
      <c r="AF175" s="177">
        <f t="shared" si="64"/>
        <v>0.59907779193201383</v>
      </c>
      <c r="AG175" s="810">
        <f t="shared" si="65"/>
        <v>-2</v>
      </c>
      <c r="AH175" s="176">
        <f t="shared" si="66"/>
        <v>4</v>
      </c>
      <c r="AI175" s="225">
        <f t="shared" si="67"/>
        <v>-1.4009222080679862</v>
      </c>
      <c r="AJ175" s="265" t="b">
        <f t="shared" si="68"/>
        <v>1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6">
        <f t="shared" si="50"/>
        <v>0</v>
      </c>
      <c r="M176" s="855"/>
      <c r="N176" s="855"/>
      <c r="O176" s="324">
        <f t="shared" si="51"/>
        <v>0</v>
      </c>
      <c r="P176" s="169">
        <f>(INDEX(Models!$BJ176:$BT176,,T176)*(1-R176)+INDEX(Models!$BJ176:$BT176,,T176+1)*R176-ERP_i)*Q176*Ramure*Pc/MaxiM</f>
        <v>1.2155370397397286E-5</v>
      </c>
      <c r="Q176" s="305">
        <f t="shared" si="52"/>
        <v>0.7</v>
      </c>
      <c r="R176" s="177">
        <f t="shared" si="53"/>
        <v>0.60319388498082294</v>
      </c>
      <c r="S176" s="810">
        <f t="shared" si="71"/>
        <v>-2</v>
      </c>
      <c r="T176" s="176">
        <f t="shared" si="54"/>
        <v>4</v>
      </c>
      <c r="U176" s="251">
        <f t="shared" si="55"/>
        <v>-1.3968061150191771</v>
      </c>
      <c r="V176" s="383">
        <f t="shared" si="56"/>
        <v>64.199219624847956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5">
        <f t="shared" si="62"/>
        <v>0</v>
      </c>
      <c r="AD176" s="169">
        <f>(INDEX(Models!$BJ176:$BT176,,AH176)*(1-AF176)+INDEX(Models!$BJ176:$BT176,,AH176+1)*AF176-ERP_i)*AE176*Ramure*Pc/MaxiM</f>
        <v>1.2155370397397286E-5</v>
      </c>
      <c r="AE176" s="305">
        <f t="shared" si="63"/>
        <v>0.7</v>
      </c>
      <c r="AF176" s="177">
        <f t="shared" si="64"/>
        <v>0.60319388498082294</v>
      </c>
      <c r="AG176" s="810">
        <f t="shared" si="65"/>
        <v>-2</v>
      </c>
      <c r="AH176" s="176">
        <f t="shared" si="66"/>
        <v>4</v>
      </c>
      <c r="AI176" s="225">
        <f t="shared" si="67"/>
        <v>-1.3968061150191771</v>
      </c>
      <c r="AJ176" s="265" t="b">
        <f t="shared" si="68"/>
        <v>1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6">
        <f t="shared" si="50"/>
        <v>0</v>
      </c>
      <c r="M177" s="855"/>
      <c r="N177" s="855"/>
      <c r="O177" s="324">
        <f t="shared" si="51"/>
        <v>0</v>
      </c>
      <c r="P177" s="169">
        <f>(INDEX(Models!$BJ177:$BT177,,T177)*(1-R177)+INDEX(Models!$BJ177:$BT177,,T177+1)*R177-ERP_i)*Q177*Ramure*Pc/MaxiM</f>
        <v>1.2554665344570263E-5</v>
      </c>
      <c r="Q177" s="305">
        <f t="shared" si="52"/>
        <v>0.7</v>
      </c>
      <c r="R177" s="177">
        <f t="shared" si="53"/>
        <v>0.60730650469626779</v>
      </c>
      <c r="S177" s="810">
        <f t="shared" si="71"/>
        <v>-2</v>
      </c>
      <c r="T177" s="176">
        <f t="shared" si="54"/>
        <v>4</v>
      </c>
      <c r="U177" s="251">
        <f t="shared" si="55"/>
        <v>-1.3926934953037322</v>
      </c>
      <c r="V177" s="383">
        <f t="shared" si="56"/>
        <v>64.183140984808887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5">
        <f t="shared" si="62"/>
        <v>0</v>
      </c>
      <c r="AD177" s="169">
        <f>(INDEX(Models!$BJ177:$BT177,,AH177)*(1-AF177)+INDEX(Models!$BJ177:$BT177,,AH177+1)*AF177-ERP_i)*AE177*Ramure*Pc/MaxiM</f>
        <v>1.2554665344570263E-5</v>
      </c>
      <c r="AE177" s="305">
        <f t="shared" si="63"/>
        <v>0.7</v>
      </c>
      <c r="AF177" s="177">
        <f t="shared" si="64"/>
        <v>0.60730650469626779</v>
      </c>
      <c r="AG177" s="810">
        <f t="shared" si="65"/>
        <v>-2</v>
      </c>
      <c r="AH177" s="176">
        <f t="shared" si="66"/>
        <v>4</v>
      </c>
      <c r="AI177" s="225">
        <f t="shared" si="67"/>
        <v>-1.3926934953037322</v>
      </c>
      <c r="AJ177" s="265" t="b">
        <f t="shared" si="68"/>
        <v>1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6">
        <f t="shared" si="50"/>
        <v>0</v>
      </c>
      <c r="M178" s="855"/>
      <c r="N178" s="855"/>
      <c r="O178" s="324">
        <f t="shared" si="51"/>
        <v>0</v>
      </c>
      <c r="P178" s="169">
        <f>(INDEX(Models!$BJ178:$BT178,,T178)*(1-R178)+INDEX(Models!$BJ178:$BT178,,T178+1)*R178-ERP_i)*Q178*Ramure*Pc/MaxiM</f>
        <v>1.2947916432459944E-5</v>
      </c>
      <c r="Q178" s="305">
        <f t="shared" si="52"/>
        <v>0.7</v>
      </c>
      <c r="R178" s="177">
        <f t="shared" si="53"/>
        <v>0.61141218945888109</v>
      </c>
      <c r="S178" s="810">
        <f t="shared" si="71"/>
        <v>-2</v>
      </c>
      <c r="T178" s="176">
        <f t="shared" si="54"/>
        <v>4</v>
      </c>
      <c r="U178" s="251">
        <f t="shared" si="55"/>
        <v>-1.3885878105411189</v>
      </c>
      <c r="V178" s="383">
        <f t="shared" si="56"/>
        <v>64.163600690688384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5">
        <f t="shared" si="62"/>
        <v>0</v>
      </c>
      <c r="AD178" s="169">
        <f>(INDEX(Models!$BJ178:$BT178,,AH178)*(1-AF178)+INDEX(Models!$BJ178:$BT178,,AH178+1)*AF178-ERP_i)*AE178*Ramure*Pc/MaxiM</f>
        <v>1.2947916432459944E-5</v>
      </c>
      <c r="AE178" s="305">
        <f t="shared" si="63"/>
        <v>0.7</v>
      </c>
      <c r="AF178" s="177">
        <f t="shared" si="64"/>
        <v>0.61141218945888109</v>
      </c>
      <c r="AG178" s="810">
        <f t="shared" si="65"/>
        <v>-2</v>
      </c>
      <c r="AH178" s="176">
        <f t="shared" si="66"/>
        <v>4</v>
      </c>
      <c r="AI178" s="225">
        <f t="shared" si="67"/>
        <v>-1.3885878105411189</v>
      </c>
      <c r="AJ178" s="265" t="b">
        <f t="shared" si="68"/>
        <v>1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6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6">
        <f t="shared" si="50"/>
        <v>0</v>
      </c>
      <c r="M179" s="855"/>
      <c r="N179" s="855"/>
      <c r="O179" s="324">
        <f t="shared" si="51"/>
        <v>0</v>
      </c>
      <c r="P179" s="169">
        <f>(INDEX(Models!$BJ179:$BT179,,T179)*(1-R179)+INDEX(Models!$BJ179:$BT179,,T179+1)*R179-ERP_i)*Q179*Ramure*Pc/MaxiM</f>
        <v>1.3338359055375965E-5</v>
      </c>
      <c r="Q179" s="305">
        <f t="shared" si="52"/>
        <v>0.7</v>
      </c>
      <c r="R179" s="177">
        <f t="shared" si="53"/>
        <v>0.61550750099314167</v>
      </c>
      <c r="S179" s="810">
        <f t="shared" si="71"/>
        <v>-2</v>
      </c>
      <c r="T179" s="176">
        <f t="shared" si="54"/>
        <v>4</v>
      </c>
      <c r="U179" s="251">
        <f t="shared" si="55"/>
        <v>-1.3844924990068583</v>
      </c>
      <c r="V179" s="383">
        <f t="shared" si="56"/>
        <v>64.140707867241844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5">
        <f t="shared" si="62"/>
        <v>0</v>
      </c>
      <c r="AD179" s="169">
        <f>(INDEX(Models!$BJ179:$BT179,,AH179)*(1-AF179)+INDEX(Models!$BJ179:$BT179,,AH179+1)*AF179-ERP_i)*AE179*Ramure*Pc/MaxiM</f>
        <v>1.3338359055375965E-5</v>
      </c>
      <c r="AE179" s="305">
        <f t="shared" si="63"/>
        <v>0.7</v>
      </c>
      <c r="AF179" s="177">
        <f t="shared" si="64"/>
        <v>0.61550750099314167</v>
      </c>
      <c r="AG179" s="810">
        <f t="shared" si="65"/>
        <v>-2</v>
      </c>
      <c r="AH179" s="176">
        <f t="shared" si="66"/>
        <v>4</v>
      </c>
      <c r="AI179" s="225">
        <f t="shared" si="67"/>
        <v>-1.3844924990068583</v>
      </c>
      <c r="AJ179" s="265" t="b">
        <f t="shared" si="68"/>
        <v>1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6">
        <f t="shared" si="50"/>
        <v>0</v>
      </c>
      <c r="M180" s="855"/>
      <c r="N180" s="855"/>
      <c r="O180" s="324">
        <f t="shared" si="51"/>
        <v>0</v>
      </c>
      <c r="P180" s="169">
        <f>(INDEX(Models!$BJ180:$BT180,,T180)*(1-R180)+INDEX(Models!$BJ180:$BT180,,T180+1)*R180-ERP_i)*Q180*Ramure*Pc/MaxiM</f>
        <v>1.3725190267816596E-5</v>
      </c>
      <c r="Q180" s="305">
        <f t="shared" si="52"/>
        <v>0.7</v>
      </c>
      <c r="R180" s="177">
        <f t="shared" si="53"/>
        <v>0.61958903583085378</v>
      </c>
      <c r="S180" s="810">
        <f t="shared" si="71"/>
        <v>-2</v>
      </c>
      <c r="T180" s="176">
        <f t="shared" si="54"/>
        <v>4</v>
      </c>
      <c r="U180" s="251">
        <f t="shared" si="55"/>
        <v>-1.3804109641691462</v>
      </c>
      <c r="V180" s="383">
        <f t="shared" si="56"/>
        <v>64.114571897817726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5">
        <f t="shared" si="62"/>
        <v>0</v>
      </c>
      <c r="AD180" s="169">
        <f>(INDEX(Models!$BJ180:$BT180,,AH180)*(1-AF180)+INDEX(Models!$BJ180:$BT180,,AH180+1)*AF180-ERP_i)*AE180*Ramure*Pc/MaxiM</f>
        <v>1.3725190267816596E-5</v>
      </c>
      <c r="AE180" s="305">
        <f t="shared" si="63"/>
        <v>0.7</v>
      </c>
      <c r="AF180" s="177">
        <f t="shared" si="64"/>
        <v>0.61958903583085378</v>
      </c>
      <c r="AG180" s="810">
        <f t="shared" si="65"/>
        <v>-2</v>
      </c>
      <c r="AH180" s="176">
        <f t="shared" si="66"/>
        <v>4</v>
      </c>
      <c r="AI180" s="225">
        <f t="shared" si="67"/>
        <v>-1.3804109641691462</v>
      </c>
      <c r="AJ180" s="265" t="b">
        <f t="shared" si="68"/>
        <v>1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6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6">
        <f t="shared" si="50"/>
        <v>0</v>
      </c>
      <c r="M181" s="855"/>
      <c r="N181" s="855"/>
      <c r="O181" s="324">
        <f t="shared" si="51"/>
        <v>0</v>
      </c>
      <c r="P181" s="169">
        <f>(INDEX(Models!$BJ181:$BT181,,T181)*(1-R181)+INDEX(Models!$BJ181:$BT181,,T181+1)*R181-ERP_i)*Q181*Ramure*Pc/MaxiM</f>
        <v>1.4107599946671958E-5</v>
      </c>
      <c r="Q181" s="305">
        <f t="shared" si="52"/>
        <v>0.7</v>
      </c>
      <c r="R181" s="177">
        <f t="shared" si="53"/>
        <v>0.62365343652707139</v>
      </c>
      <c r="S181" s="810">
        <f t="shared" si="71"/>
        <v>-2</v>
      </c>
      <c r="T181" s="176">
        <f t="shared" si="54"/>
        <v>4</v>
      </c>
      <c r="U181" s="251">
        <f t="shared" si="55"/>
        <v>-1.3763465634729286</v>
      </c>
      <c r="V181" s="383">
        <f t="shared" si="56"/>
        <v>64.085302165187358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5">
        <f t="shared" si="62"/>
        <v>0</v>
      </c>
      <c r="AD181" s="169">
        <f>(INDEX(Models!$BJ181:$BT181,,AH181)*(1-AF181)+INDEX(Models!$BJ181:$BT181,,AH181+1)*AF181-ERP_i)*AE181*Ramure*Pc/MaxiM</f>
        <v>1.4107599946671958E-5</v>
      </c>
      <c r="AE181" s="305">
        <f t="shared" si="63"/>
        <v>0.7</v>
      </c>
      <c r="AF181" s="177">
        <f t="shared" si="64"/>
        <v>0.62365343652707139</v>
      </c>
      <c r="AG181" s="810">
        <f t="shared" si="65"/>
        <v>-2</v>
      </c>
      <c r="AH181" s="176">
        <f t="shared" si="66"/>
        <v>4</v>
      </c>
      <c r="AI181" s="225">
        <f t="shared" si="67"/>
        <v>-1.3763465634729286</v>
      </c>
      <c r="AJ181" s="265" t="b">
        <f t="shared" si="68"/>
        <v>1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6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6">
        <f t="shared" si="50"/>
        <v>0</v>
      </c>
      <c r="M182" s="855"/>
      <c r="N182" s="855"/>
      <c r="O182" s="324">
        <f t="shared" si="51"/>
        <v>0</v>
      </c>
      <c r="P182" s="169">
        <f>(INDEX(Models!$BJ182:$BT182,,T182)*(1-R182)+INDEX(Models!$BJ182:$BT182,,T182+1)*R182-ERP_i)*Q182*Ramure*Pc/MaxiM</f>
        <v>1.4484773822546802E-5</v>
      </c>
      <c r="Q182" s="305">
        <f t="shared" si="52"/>
        <v>0.7</v>
      </c>
      <c r="R182" s="177">
        <f t="shared" si="53"/>
        <v>0.62769740255079909</v>
      </c>
      <c r="S182" s="810">
        <f t="shared" si="71"/>
        <v>-2</v>
      </c>
      <c r="T182" s="176">
        <f t="shared" si="54"/>
        <v>4</v>
      </c>
      <c r="U182" s="251">
        <f t="shared" si="55"/>
        <v>-1.3723025974492009</v>
      </c>
      <c r="V182" s="383">
        <f t="shared" si="56"/>
        <v>64.053008053483694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5">
        <f t="shared" si="62"/>
        <v>0</v>
      </c>
      <c r="AD182" s="169">
        <f>(INDEX(Models!$BJ182:$BT182,,AH182)*(1-AF182)+INDEX(Models!$BJ182:$BT182,,AH182+1)*AF182-ERP_i)*AE182*Ramure*Pc/MaxiM</f>
        <v>1.4484773822546802E-5</v>
      </c>
      <c r="AE182" s="305">
        <f t="shared" si="63"/>
        <v>0.7</v>
      </c>
      <c r="AF182" s="177">
        <f t="shared" si="64"/>
        <v>0.62769740255079909</v>
      </c>
      <c r="AG182" s="810">
        <f t="shared" si="65"/>
        <v>-2</v>
      </c>
      <c r="AH182" s="176">
        <f t="shared" si="66"/>
        <v>4</v>
      </c>
      <c r="AI182" s="225">
        <f t="shared" si="67"/>
        <v>-1.3723025974492009</v>
      </c>
      <c r="AJ182" s="265" t="b">
        <f t="shared" si="68"/>
        <v>1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6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6">
        <f t="shared" si="50"/>
        <v>0</v>
      </c>
      <c r="M183" s="855"/>
      <c r="N183" s="855"/>
      <c r="O183" s="324">
        <f t="shared" si="51"/>
        <v>0</v>
      </c>
      <c r="P183" s="169">
        <f>(INDEX(Models!$BJ183:$BT183,,T183)*(1-R183)+INDEX(Models!$BJ183:$BT183,,T183+1)*R183-ERP_i)*Q183*Ramure*Pc/MaxiM</f>
        <v>1.4855896515907551E-5</v>
      </c>
      <c r="Q183" s="305">
        <f t="shared" si="52"/>
        <v>0.7</v>
      </c>
      <c r="R183" s="177">
        <f t="shared" si="53"/>
        <v>0.6317177007766166</v>
      </c>
      <c r="S183" s="810">
        <f t="shared" si="71"/>
        <v>-2</v>
      </c>
      <c r="T183" s="176">
        <f t="shared" si="54"/>
        <v>4</v>
      </c>
      <c r="U183" s="251">
        <f t="shared" si="55"/>
        <v>-1.3682822992233834</v>
      </c>
      <c r="V183" s="383">
        <f t="shared" si="56"/>
        <v>64.017798943888664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5">
        <f t="shared" si="62"/>
        <v>0</v>
      </c>
      <c r="AD183" s="169">
        <f>(INDEX(Models!$BJ183:$BT183,,AH183)*(1-AF183)+INDEX(Models!$BJ183:$BT183,,AH183+1)*AF183-ERP_i)*AE183*Ramure*Pc/MaxiM</f>
        <v>1.4855896515907551E-5</v>
      </c>
      <c r="AE183" s="305">
        <f t="shared" si="63"/>
        <v>0.7</v>
      </c>
      <c r="AF183" s="177">
        <f t="shared" si="64"/>
        <v>0.6317177007766166</v>
      </c>
      <c r="AG183" s="810">
        <f t="shared" si="65"/>
        <v>-2</v>
      </c>
      <c r="AH183" s="176">
        <f t="shared" si="66"/>
        <v>4</v>
      </c>
      <c r="AI183" s="225">
        <f t="shared" si="67"/>
        <v>-1.3682822992233834</v>
      </c>
      <c r="AJ183" s="265" t="b">
        <f t="shared" si="68"/>
        <v>1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6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6">
        <f t="shared" si="50"/>
        <v>0</v>
      </c>
      <c r="M184" s="855"/>
      <c r="N184" s="855"/>
      <c r="O184" s="324">
        <f t="shared" si="51"/>
        <v>0</v>
      </c>
      <c r="P184" s="169">
        <f>(INDEX(Models!$BJ184:$BT184,,T184)*(1-R184)+INDEX(Models!$BJ184:$BT184,,T184+1)*R184-ERP_i)*Q184*Ramure*Pc/MaxiM</f>
        <v>1.5212219358558581E-5</v>
      </c>
      <c r="Q184" s="305">
        <f t="shared" si="52"/>
        <v>0.7</v>
      </c>
      <c r="R184" s="177">
        <f t="shared" si="53"/>
        <v>0.6357111755081466</v>
      </c>
      <c r="S184" s="810">
        <f t="shared" si="71"/>
        <v>-2</v>
      </c>
      <c r="T184" s="176">
        <f t="shared" si="54"/>
        <v>4</v>
      </c>
      <c r="U184" s="251">
        <f t="shared" si="55"/>
        <v>-1.3642888244918534</v>
      </c>
      <c r="V184" s="383">
        <f t="shared" si="56"/>
        <v>63.979784728188754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5">
        <f t="shared" si="62"/>
        <v>0</v>
      </c>
      <c r="AD184" s="169">
        <f>(INDEX(Models!$BJ184:$BT184,,AH184)*(1-AF184)+INDEX(Models!$BJ184:$BT184,,AH184+1)*AF184-ERP_i)*AE184*Ramure*Pc/MaxiM</f>
        <v>1.5212219358558581E-5</v>
      </c>
      <c r="AE184" s="305">
        <f t="shared" si="63"/>
        <v>0.7</v>
      </c>
      <c r="AF184" s="177">
        <f t="shared" si="64"/>
        <v>0.6357111755081466</v>
      </c>
      <c r="AG184" s="810">
        <f t="shared" si="65"/>
        <v>-2</v>
      </c>
      <c r="AH184" s="176">
        <f t="shared" si="66"/>
        <v>4</v>
      </c>
      <c r="AI184" s="225">
        <f t="shared" si="67"/>
        <v>-1.3642888244918534</v>
      </c>
      <c r="AJ184" s="265" t="b">
        <f t="shared" si="68"/>
        <v>1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6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6">
        <f t="shared" si="50"/>
        <v>0</v>
      </c>
      <c r="M185" s="855"/>
      <c r="N185" s="855"/>
      <c r="O185" s="324">
        <f t="shared" si="51"/>
        <v>0</v>
      </c>
      <c r="P185" s="169">
        <f>(INDEX(Models!$BJ185:$BT185,,T185)*(1-R185)+INDEX(Models!$BJ185:$BT185,,T185+1)*R185-ERP_i)*Q185*Ramure*Pc/MaxiM</f>
        <v>1.5553412059507356E-5</v>
      </c>
      <c r="Q185" s="305">
        <f t="shared" si="52"/>
        <v>0.7</v>
      </c>
      <c r="R185" s="177">
        <f t="shared" si="53"/>
        <v>0.63967475796981255</v>
      </c>
      <c r="S185" s="810">
        <f t="shared" si="71"/>
        <v>-2</v>
      </c>
      <c r="T185" s="176">
        <f t="shared" si="54"/>
        <v>4</v>
      </c>
      <c r="U185" s="251">
        <f t="shared" si="55"/>
        <v>-1.3603252420301875</v>
      </c>
      <c r="V185" s="383">
        <f t="shared" si="56"/>
        <v>63.939074755630948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5">
        <f t="shared" si="62"/>
        <v>0</v>
      </c>
      <c r="AD185" s="169">
        <f>(INDEX(Models!$BJ185:$BT185,,AH185)*(1-AF185)+INDEX(Models!$BJ185:$BT185,,AH185+1)*AF185-ERP_i)*AE185*Ramure*Pc/MaxiM</f>
        <v>1.5553412059507356E-5</v>
      </c>
      <c r="AE185" s="305">
        <f t="shared" si="63"/>
        <v>0.7</v>
      </c>
      <c r="AF185" s="177">
        <f t="shared" si="64"/>
        <v>0.63967475796981255</v>
      </c>
      <c r="AG185" s="810">
        <f t="shared" si="65"/>
        <v>-2</v>
      </c>
      <c r="AH185" s="176">
        <f t="shared" si="66"/>
        <v>4</v>
      </c>
      <c r="AI185" s="225">
        <f t="shared" si="67"/>
        <v>-1.3603252420301875</v>
      </c>
      <c r="AJ185" s="265" t="b">
        <f t="shared" si="68"/>
        <v>1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6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6">
        <f t="shared" si="50"/>
        <v>0</v>
      </c>
      <c r="M186" s="855"/>
      <c r="N186" s="855"/>
      <c r="O186" s="324">
        <f t="shared" si="51"/>
        <v>0</v>
      </c>
      <c r="P186" s="169">
        <f>(INDEX(Models!$BJ186:$BT186,,T186)*(1-R186)+INDEX(Models!$BJ186:$BT186,,T186+1)*R186-ERP_i)*Q186*Ramure*Pc/MaxiM</f>
        <v>1.5878262447229218E-5</v>
      </c>
      <c r="Q186" s="305">
        <f t="shared" si="52"/>
        <v>0.7</v>
      </c>
      <c r="R186" s="177">
        <f t="shared" si="53"/>
        <v>0.64360547520951394</v>
      </c>
      <c r="S186" s="810">
        <f t="shared" si="71"/>
        <v>-2</v>
      </c>
      <c r="T186" s="176">
        <f t="shared" si="54"/>
        <v>4</v>
      </c>
      <c r="U186" s="251">
        <f t="shared" si="55"/>
        <v>-1.3563945247904861</v>
      </c>
      <c r="V186" s="383">
        <f t="shared" si="56"/>
        <v>63.895778433225026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5">
        <f t="shared" si="62"/>
        <v>0</v>
      </c>
      <c r="AD186" s="169">
        <f>(INDEX(Models!$BJ186:$BT186,,AH186)*(1-AF186)+INDEX(Models!$BJ186:$BT186,,AH186+1)*AF186-ERP_i)*AE186*Ramure*Pc/MaxiM</f>
        <v>1.5878262447229218E-5</v>
      </c>
      <c r="AE186" s="305">
        <f t="shared" si="63"/>
        <v>0.7</v>
      </c>
      <c r="AF186" s="177">
        <f t="shared" si="64"/>
        <v>0.64360547520951394</v>
      </c>
      <c r="AG186" s="810">
        <f t="shared" si="65"/>
        <v>-2</v>
      </c>
      <c r="AH186" s="176">
        <f t="shared" si="66"/>
        <v>4</v>
      </c>
      <c r="AI186" s="225">
        <f t="shared" si="67"/>
        <v>-1.3563945247904861</v>
      </c>
      <c r="AJ186" s="265" t="b">
        <f t="shared" si="68"/>
        <v>1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6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6">
        <f t="shared" si="50"/>
        <v>0</v>
      </c>
      <c r="M187" s="855"/>
      <c r="N187" s="855"/>
      <c r="O187" s="324">
        <f t="shared" si="51"/>
        <v>0</v>
      </c>
      <c r="P187" s="169">
        <f>(INDEX(Models!$BJ187:$BT187,,T187)*(1-R187)+INDEX(Models!$BJ187:$BT187,,T187+1)*R187-ERP_i)*Q187*Ramure*Pc/MaxiM</f>
        <v>1.6185573966073385E-5</v>
      </c>
      <c r="Q187" s="305">
        <f t="shared" si="52"/>
        <v>0.7</v>
      </c>
      <c r="R187" s="177">
        <f t="shared" si="53"/>
        <v>0.64750045836158399</v>
      </c>
      <c r="S187" s="810">
        <f t="shared" si="71"/>
        <v>-2</v>
      </c>
      <c r="T187" s="176">
        <f t="shared" si="54"/>
        <v>4</v>
      </c>
      <c r="U187" s="251">
        <f t="shared" si="55"/>
        <v>-1.352499541638416</v>
      </c>
      <c r="V187" s="383">
        <f t="shared" si="56"/>
        <v>63.850005164252238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5">
        <f t="shared" si="62"/>
        <v>0</v>
      </c>
      <c r="AD187" s="169">
        <f>(INDEX(Models!$BJ187:$BT187,,AH187)*(1-AF187)+INDEX(Models!$BJ187:$BT187,,AH187+1)*AF187-ERP_i)*AE187*Ramure*Pc/MaxiM</f>
        <v>1.6185573966073385E-5</v>
      </c>
      <c r="AE187" s="305">
        <f t="shared" si="63"/>
        <v>0.7</v>
      </c>
      <c r="AF187" s="177">
        <f t="shared" si="64"/>
        <v>0.64750045836158399</v>
      </c>
      <c r="AG187" s="810">
        <f t="shared" si="65"/>
        <v>-2</v>
      </c>
      <c r="AH187" s="176">
        <f t="shared" si="66"/>
        <v>4</v>
      </c>
      <c r="AI187" s="225">
        <f t="shared" si="67"/>
        <v>-1.352499541638416</v>
      </c>
      <c r="AJ187" s="265" t="b">
        <f t="shared" si="68"/>
        <v>1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6">
        <f t="shared" si="50"/>
        <v>0</v>
      </c>
      <c r="M188" s="855"/>
      <c r="N188" s="855"/>
      <c r="O188" s="324">
        <f t="shared" si="51"/>
        <v>0</v>
      </c>
      <c r="P188" s="169">
        <f>(INDEX(Models!$BJ188:$BT188,,T188)*(1-R188)+INDEX(Models!$BJ188:$BT188,,T188+1)*R188-ERP_i)*Q188*Ramure*Pc/MaxiM</f>
        <v>1.6474000940426324E-5</v>
      </c>
      <c r="Q188" s="305">
        <f t="shared" si="52"/>
        <v>0.7</v>
      </c>
      <c r="R188" s="177">
        <f t="shared" si="53"/>
        <v>0.65135695022656148</v>
      </c>
      <c r="S188" s="810">
        <f t="shared" si="71"/>
        <v>-2</v>
      </c>
      <c r="T188" s="176">
        <f t="shared" si="54"/>
        <v>4</v>
      </c>
      <c r="U188" s="251">
        <f t="shared" si="55"/>
        <v>-1.3486430497734385</v>
      </c>
      <c r="V188" s="383">
        <f t="shared" si="56"/>
        <v>63.801864362333291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5">
        <f t="shared" si="62"/>
        <v>0</v>
      </c>
      <c r="AD188" s="169">
        <f>(INDEX(Models!$BJ188:$BT188,,AH188)*(1-AF188)+INDEX(Models!$BJ188:$BT188,,AH188+1)*AF188-ERP_i)*AE188*Ramure*Pc/MaxiM</f>
        <v>1.6474000940426324E-5</v>
      </c>
      <c r="AE188" s="305">
        <f t="shared" si="63"/>
        <v>0.7</v>
      </c>
      <c r="AF188" s="177">
        <f t="shared" si="64"/>
        <v>0.65135695022656148</v>
      </c>
      <c r="AG188" s="810">
        <f t="shared" si="65"/>
        <v>-2</v>
      </c>
      <c r="AH188" s="176">
        <f t="shared" si="66"/>
        <v>4</v>
      </c>
      <c r="AI188" s="225">
        <f t="shared" si="67"/>
        <v>-1.3486430497734385</v>
      </c>
      <c r="AJ188" s="265" t="b">
        <f t="shared" si="68"/>
        <v>1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6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6">
        <f t="shared" si="50"/>
        <v>0</v>
      </c>
      <c r="M189" s="855"/>
      <c r="N189" s="855"/>
      <c r="O189" s="324">
        <f t="shared" si="51"/>
        <v>0</v>
      </c>
      <c r="P189" s="169">
        <f>(INDEX(Models!$BJ189:$BT189,,T189)*(1-R189)+INDEX(Models!$BJ189:$BT189,,T189+1)*R189-ERP_i)*Q189*Ramure*Pc/MaxiM</f>
        <v>1.674220048702982E-5</v>
      </c>
      <c r="Q189" s="305">
        <f t="shared" si="52"/>
        <v>0.7</v>
      </c>
      <c r="R189" s="177">
        <f t="shared" si="53"/>
        <v>0.65517231213179539</v>
      </c>
      <c r="S189" s="810">
        <f t="shared" si="71"/>
        <v>-2</v>
      </c>
      <c r="T189" s="176">
        <f t="shared" si="54"/>
        <v>4</v>
      </c>
      <c r="U189" s="251">
        <f t="shared" si="55"/>
        <v>-1.3448276878682046</v>
      </c>
      <c r="V189" s="383">
        <f t="shared" si="56"/>
        <v>63.751465441137839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5">
        <f t="shared" si="62"/>
        <v>0</v>
      </c>
      <c r="AD189" s="169">
        <f>(INDEX(Models!$BJ189:$BT189,,AH189)*(1-AF189)+INDEX(Models!$BJ189:$BT189,,AH189+1)*AF189-ERP_i)*AE189*Ramure*Pc/MaxiM</f>
        <v>1.674220048702982E-5</v>
      </c>
      <c r="AE189" s="305">
        <f t="shared" si="63"/>
        <v>0.7</v>
      </c>
      <c r="AF189" s="177">
        <f t="shared" si="64"/>
        <v>0.65517231213179539</v>
      </c>
      <c r="AG189" s="810">
        <f t="shared" si="65"/>
        <v>-2</v>
      </c>
      <c r="AH189" s="176">
        <f t="shared" si="66"/>
        <v>4</v>
      </c>
      <c r="AI189" s="225">
        <f t="shared" si="67"/>
        <v>-1.3448276878682046</v>
      </c>
      <c r="AJ189" s="265" t="b">
        <f t="shared" si="68"/>
        <v>1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6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6">
        <f t="shared" si="50"/>
        <v>0</v>
      </c>
      <c r="M190" s="855"/>
      <c r="N190" s="855"/>
      <c r="O190" s="324">
        <f t="shared" si="51"/>
        <v>0</v>
      </c>
      <c r="P190" s="169">
        <f>(INDEX(Models!$BJ190:$BT190,,T190)*(1-R190)+INDEX(Models!$BJ190:$BT190,,T190+1)*R190-ERP_i)*Q190*Ramure*Pc/MaxiM</f>
        <v>1.6989015592866692E-5</v>
      </c>
      <c r="Q190" s="305">
        <f t="shared" si="52"/>
        <v>0.7</v>
      </c>
      <c r="R190" s="177">
        <f t="shared" si="53"/>
        <v>0.65894403004457613</v>
      </c>
      <c r="S190" s="810">
        <f t="shared" si="71"/>
        <v>-2</v>
      </c>
      <c r="T190" s="176">
        <f t="shared" si="54"/>
        <v>4</v>
      </c>
      <c r="U190" s="251">
        <f t="shared" si="55"/>
        <v>-1.3410559699554239</v>
      </c>
      <c r="V190" s="383">
        <f t="shared" si="56"/>
        <v>63.698917799334211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5">
        <f t="shared" si="62"/>
        <v>0</v>
      </c>
      <c r="AD190" s="169">
        <f>(INDEX(Models!$BJ190:$BT190,,AH190)*(1-AF190)+INDEX(Models!$BJ190:$BT190,,AH190+1)*AF190-ERP_i)*AE190*Ramure*Pc/MaxiM</f>
        <v>1.6989015592866692E-5</v>
      </c>
      <c r="AE190" s="305">
        <f t="shared" si="63"/>
        <v>0.7</v>
      </c>
      <c r="AF190" s="177">
        <f t="shared" si="64"/>
        <v>0.65894403004457613</v>
      </c>
      <c r="AG190" s="810">
        <f t="shared" si="65"/>
        <v>-2</v>
      </c>
      <c r="AH190" s="176">
        <f t="shared" si="66"/>
        <v>4</v>
      </c>
      <c r="AI190" s="225">
        <f t="shared" si="67"/>
        <v>-1.3410559699554239</v>
      </c>
      <c r="AJ190" s="265" t="b">
        <f t="shared" si="68"/>
        <v>1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6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6">
        <f t="shared" si="50"/>
        <v>0</v>
      </c>
      <c r="M191" s="855"/>
      <c r="N191" s="855"/>
      <c r="O191" s="324">
        <f t="shared" si="51"/>
        <v>0</v>
      </c>
      <c r="P191" s="169">
        <f>(INDEX(Models!$BJ191:$BT191,,T191)*(1-R191)+INDEX(Models!$BJ191:$BT191,,T191+1)*R191-ERP_i)*Q191*Ramure*Pc/MaxiM</f>
        <v>1.7213266202191552E-5</v>
      </c>
      <c r="Q191" s="305">
        <f t="shared" si="52"/>
        <v>0.7</v>
      </c>
      <c r="R191" s="177">
        <f t="shared" si="53"/>
        <v>0.66266971991724199</v>
      </c>
      <c r="S191" s="810">
        <f t="shared" si="71"/>
        <v>-2</v>
      </c>
      <c r="T191" s="176">
        <f t="shared" si="54"/>
        <v>4</v>
      </c>
      <c r="U191" s="251">
        <f t="shared" si="55"/>
        <v>-1.337330280082758</v>
      </c>
      <c r="V191" s="383">
        <f t="shared" si="56"/>
        <v>63.644531273449239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5">
        <f t="shared" si="62"/>
        <v>0</v>
      </c>
      <c r="AD191" s="169">
        <f>(INDEX(Models!$BJ191:$BT191,,AH191)*(1-AF191)+INDEX(Models!$BJ191:$BT191,,AH191+1)*AF191-ERP_i)*AE191*Ramure*Pc/MaxiM</f>
        <v>1.7213266202191552E-5</v>
      </c>
      <c r="AE191" s="305">
        <f t="shared" si="63"/>
        <v>0.7</v>
      </c>
      <c r="AF191" s="177">
        <f t="shared" si="64"/>
        <v>0.66266971991724199</v>
      </c>
      <c r="AG191" s="810">
        <f t="shared" si="65"/>
        <v>-2</v>
      </c>
      <c r="AH191" s="176">
        <f t="shared" si="66"/>
        <v>4</v>
      </c>
      <c r="AI191" s="225">
        <f t="shared" si="67"/>
        <v>-1.337330280082758</v>
      </c>
      <c r="AJ191" s="265" t="b">
        <f t="shared" si="68"/>
        <v>1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6">
        <f t="shared" si="50"/>
        <v>0</v>
      </c>
      <c r="M192" s="855"/>
      <c r="N192" s="855"/>
      <c r="O192" s="324">
        <f t="shared" si="51"/>
        <v>0</v>
      </c>
      <c r="P192" s="169">
        <f>(INDEX(Models!$BJ192:$BT192,,T192)*(1-R192)+INDEX(Models!$BJ192:$BT192,,T192+1)*R192-ERP_i)*Q192*Ramure*Pc/MaxiM</f>
        <v>1.7412789463294971E-5</v>
      </c>
      <c r="Q192" s="305">
        <f t="shared" si="52"/>
        <v>0.7</v>
      </c>
      <c r="R192" s="177">
        <f t="shared" si="53"/>
        <v>0.66634713225141562</v>
      </c>
      <c r="S192" s="810">
        <f t="shared" si="71"/>
        <v>-2</v>
      </c>
      <c r="T192" s="176">
        <f t="shared" si="54"/>
        <v>4</v>
      </c>
      <c r="U192" s="251">
        <f t="shared" si="55"/>
        <v>-1.3336528677485844</v>
      </c>
      <c r="V192" s="383">
        <f t="shared" si="56"/>
        <v>63.588397102741162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5">
        <f t="shared" si="62"/>
        <v>0</v>
      </c>
      <c r="AD192" s="169">
        <f>(INDEX(Models!$BJ192:$BT192,,AH192)*(1-AF192)+INDEX(Models!$BJ192:$BT192,,AH192+1)*AF192-ERP_i)*AE192*Ramure*Pc/MaxiM</f>
        <v>1.7412789463294971E-5</v>
      </c>
      <c r="AE192" s="305">
        <f t="shared" si="63"/>
        <v>0.7</v>
      </c>
      <c r="AF192" s="177">
        <f t="shared" si="64"/>
        <v>0.66634713225141562</v>
      </c>
      <c r="AG192" s="810">
        <f t="shared" si="65"/>
        <v>-2</v>
      </c>
      <c r="AH192" s="176">
        <f t="shared" si="66"/>
        <v>4</v>
      </c>
      <c r="AI192" s="225">
        <f t="shared" si="67"/>
        <v>-1.3336528677485844</v>
      </c>
      <c r="AJ192" s="265" t="b">
        <f t="shared" si="68"/>
        <v>1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6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6">
        <f t="shared" si="50"/>
        <v>0</v>
      </c>
      <c r="M193" s="855"/>
      <c r="N193" s="855"/>
      <c r="O193" s="324">
        <f t="shared" si="51"/>
        <v>0</v>
      </c>
      <c r="P193" s="169">
        <f>(INDEX(Models!$BJ193:$BT193,,T193)*(1-R193)+INDEX(Models!$BJ193:$BT193,,T193+1)*R193-ERP_i)*Q193*Ramure*Pc/MaxiM</f>
        <v>1.7595875148148851E-5</v>
      </c>
      <c r="Q193" s="305">
        <f t="shared" si="52"/>
        <v>0.7</v>
      </c>
      <c r="R193" s="177">
        <f t="shared" si="53"/>
        <v>0.66997415587607922</v>
      </c>
      <c r="S193" s="810">
        <f t="shared" si="71"/>
        <v>-2</v>
      </c>
      <c r="T193" s="176">
        <f t="shared" si="54"/>
        <v>4</v>
      </c>
      <c r="U193" s="251">
        <f t="shared" si="55"/>
        <v>-1.3300258441239208</v>
      </c>
      <c r="V193" s="383">
        <f t="shared" si="56"/>
        <v>63.530296103155834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5">
        <f t="shared" si="62"/>
        <v>0</v>
      </c>
      <c r="AD193" s="169">
        <f>(INDEX(Models!$BJ193:$BT193,,AH193)*(1-AF193)+INDEX(Models!$BJ193:$BT193,,AH193+1)*AF193-ERP_i)*AE193*Ramure*Pc/MaxiM</f>
        <v>1.7595875148148851E-5</v>
      </c>
      <c r="AE193" s="305">
        <f t="shared" si="63"/>
        <v>0.7</v>
      </c>
      <c r="AF193" s="177">
        <f t="shared" si="64"/>
        <v>0.66997415587607922</v>
      </c>
      <c r="AG193" s="810">
        <f t="shared" si="65"/>
        <v>-2</v>
      </c>
      <c r="AH193" s="176">
        <f t="shared" si="66"/>
        <v>4</v>
      </c>
      <c r="AI193" s="225">
        <f t="shared" si="67"/>
        <v>-1.3300258441239208</v>
      </c>
      <c r="AJ193" s="265" t="b">
        <f t="shared" si="68"/>
        <v>1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6">
        <f t="shared" si="50"/>
        <v>0</v>
      </c>
      <c r="M194" s="855"/>
      <c r="N194" s="855"/>
      <c r="O194" s="324">
        <f t="shared" si="51"/>
        <v>0</v>
      </c>
      <c r="P194" s="169">
        <f>(INDEX(Models!$BJ194:$BT194,,T194)*(1-R194)+INDEX(Models!$BJ194:$BT194,,T194+1)*R194-ERP_i)*Q194*Ramure*Pc/MaxiM</f>
        <v>1.7761984922790453E-5</v>
      </c>
      <c r="Q194" s="305">
        <f t="shared" si="52"/>
        <v>0.7</v>
      </c>
      <c r="R194" s="177">
        <f t="shared" si="53"/>
        <v>0.67354882094149726</v>
      </c>
      <c r="S194" s="810">
        <f t="shared" si="71"/>
        <v>-2</v>
      </c>
      <c r="T194" s="176">
        <f t="shared" si="54"/>
        <v>4</v>
      </c>
      <c r="U194" s="251">
        <f t="shared" si="55"/>
        <v>-1.3264511790585027</v>
      </c>
      <c r="V194" s="383">
        <f t="shared" si="56"/>
        <v>63.470009652999195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5">
        <f t="shared" si="62"/>
        <v>0</v>
      </c>
      <c r="AD194" s="169">
        <f>(INDEX(Models!$BJ194:$BT194,,AH194)*(1-AF194)+INDEX(Models!$BJ194:$BT194,,AH194+1)*AF194-ERP_i)*AE194*Ramure*Pc/MaxiM</f>
        <v>1.7761984922790453E-5</v>
      </c>
      <c r="AE194" s="305">
        <f t="shared" si="63"/>
        <v>0.7</v>
      </c>
      <c r="AF194" s="177">
        <f t="shared" si="64"/>
        <v>0.67354882094149726</v>
      </c>
      <c r="AG194" s="810">
        <f t="shared" si="65"/>
        <v>-2</v>
      </c>
      <c r="AH194" s="176">
        <f t="shared" si="66"/>
        <v>4</v>
      </c>
      <c r="AI194" s="225">
        <f t="shared" si="67"/>
        <v>-1.3264511790585027</v>
      </c>
      <c r="AJ194" s="265" t="b">
        <f t="shared" si="68"/>
        <v>1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6">
        <f t="shared" si="50"/>
        <v>0</v>
      </c>
      <c r="M195" s="855"/>
      <c r="N195" s="855"/>
      <c r="O195" s="324">
        <f t="shared" si="51"/>
        <v>0</v>
      </c>
      <c r="P195" s="169">
        <f>(INDEX(Models!$BJ195:$BT195,,T195)*(1-R195)+INDEX(Models!$BJ195:$BT195,,T195+1)*R195-ERP_i)*Q195*Ramure*Pc/MaxiM</f>
        <v>1.7910614722481237E-5</v>
      </c>
      <c r="Q195" s="305">
        <f t="shared" si="52"/>
        <v>0.7</v>
      </c>
      <c r="R195" s="177">
        <f t="shared" si="53"/>
        <v>0.67706930113794161</v>
      </c>
      <c r="S195" s="810">
        <f t="shared" si="71"/>
        <v>-2</v>
      </c>
      <c r="T195" s="176">
        <f t="shared" si="54"/>
        <v>4</v>
      </c>
      <c r="U195" s="251">
        <f t="shared" si="55"/>
        <v>-1.3229306988620584</v>
      </c>
      <c r="V195" s="383">
        <f t="shared" si="56"/>
        <v>63.407319126423708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5">
        <f t="shared" si="62"/>
        <v>0</v>
      </c>
      <c r="AD195" s="169">
        <f>(INDEX(Models!$BJ195:$BT195,,AH195)*(1-AF195)+INDEX(Models!$BJ195:$BT195,,AH195+1)*AF195-ERP_i)*AE195*Ramure*Pc/MaxiM</f>
        <v>1.7910614722481237E-5</v>
      </c>
      <c r="AE195" s="305">
        <f t="shared" si="63"/>
        <v>0.7</v>
      </c>
      <c r="AF195" s="177">
        <f t="shared" si="64"/>
        <v>0.67706930113794161</v>
      </c>
      <c r="AG195" s="810">
        <f t="shared" si="65"/>
        <v>-2</v>
      </c>
      <c r="AH195" s="176">
        <f t="shared" si="66"/>
        <v>4</v>
      </c>
      <c r="AI195" s="225">
        <f t="shared" si="67"/>
        <v>-1.3229306988620584</v>
      </c>
      <c r="AJ195" s="265" t="b">
        <f t="shared" si="68"/>
        <v>1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6">
        <f t="shared" si="50"/>
        <v>0</v>
      </c>
      <c r="M196" s="855"/>
      <c r="N196" s="855"/>
      <c r="O196" s="324">
        <f t="shared" si="51"/>
        <v>0</v>
      </c>
      <c r="P196" s="169">
        <f>(INDEX(Models!$BJ196:$BT196,,T196)*(1-R196)+INDEX(Models!$BJ196:$BT196,,T196+1)*R196-ERP_i)*Q196*Ramure*Pc/MaxiM</f>
        <v>1.8041294801769817E-5</v>
      </c>
      <c r="Q196" s="305">
        <f t="shared" si="52"/>
        <v>0.7</v>
      </c>
      <c r="R196" s="177">
        <f t="shared" si="53"/>
        <v>0.68053391515469586</v>
      </c>
      <c r="S196" s="810">
        <f t="shared" si="71"/>
        <v>-2</v>
      </c>
      <c r="T196" s="176">
        <f t="shared" si="54"/>
        <v>4</v>
      </c>
      <c r="U196" s="251">
        <f t="shared" si="55"/>
        <v>-1.3194660848453041</v>
      </c>
      <c r="V196" s="383">
        <f t="shared" si="56"/>
        <v>63.342005895860993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5">
        <f t="shared" si="62"/>
        <v>0</v>
      </c>
      <c r="AD196" s="169">
        <f>(INDEX(Models!$BJ196:$BT196,,AH196)*(1-AF196)+INDEX(Models!$BJ196:$BT196,,AH196+1)*AF196-ERP_i)*AE196*Ramure*Pc/MaxiM</f>
        <v>1.8041294801769817E-5</v>
      </c>
      <c r="AE196" s="305">
        <f t="shared" si="63"/>
        <v>0.7</v>
      </c>
      <c r="AF196" s="177">
        <f t="shared" si="64"/>
        <v>0.68053391515469586</v>
      </c>
      <c r="AG196" s="810">
        <f t="shared" si="65"/>
        <v>-2</v>
      </c>
      <c r="AH196" s="176">
        <f t="shared" si="66"/>
        <v>4</v>
      </c>
      <c r="AI196" s="225">
        <f t="shared" si="67"/>
        <v>-1.3194660848453041</v>
      </c>
      <c r="AJ196" s="265" t="b">
        <f t="shared" si="68"/>
        <v>1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6">
        <f t="shared" si="50"/>
        <v>0</v>
      </c>
      <c r="M197" s="855"/>
      <c r="N197" s="855"/>
      <c r="O197" s="324">
        <f t="shared" si="51"/>
        <v>0</v>
      </c>
      <c r="P197" s="169">
        <f>(INDEX(Models!$BJ197:$BT197,,T197)*(1-R197)+INDEX(Models!$BJ197:$BT197,,T197+1)*R197-ERP_i)*Q197*Ramure*Pc/MaxiM</f>
        <v>1.8153589489657223E-5</v>
      </c>
      <c r="Q197" s="305">
        <f t="shared" si="52"/>
        <v>0.7</v>
      </c>
      <c r="R197" s="177">
        <f t="shared" si="53"/>
        <v>0.68394112740082447</v>
      </c>
      <c r="S197" s="810">
        <f t="shared" si="71"/>
        <v>-2</v>
      </c>
      <c r="T197" s="176">
        <f t="shared" si="54"/>
        <v>4</v>
      </c>
      <c r="U197" s="251">
        <f t="shared" si="55"/>
        <v>-1.3160588725991755</v>
      </c>
      <c r="V197" s="383">
        <f t="shared" si="56"/>
        <v>63.273851331438784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5">
        <f t="shared" si="62"/>
        <v>0</v>
      </c>
      <c r="AD197" s="169">
        <f>(INDEX(Models!$BJ197:$BT197,,AH197)*(1-AF197)+INDEX(Models!$BJ197:$BT197,,AH197+1)*AF197-ERP_i)*AE197*Ramure*Pc/MaxiM</f>
        <v>1.8153589489657223E-5</v>
      </c>
      <c r="AE197" s="305">
        <f t="shared" si="63"/>
        <v>0.7</v>
      </c>
      <c r="AF197" s="177">
        <f t="shared" si="64"/>
        <v>0.68394112740082447</v>
      </c>
      <c r="AG197" s="810">
        <f t="shared" si="65"/>
        <v>-2</v>
      </c>
      <c r="AH197" s="176">
        <f t="shared" si="66"/>
        <v>4</v>
      </c>
      <c r="AI197" s="225">
        <f t="shared" si="67"/>
        <v>-1.3160588725991755</v>
      </c>
      <c r="AJ197" s="265" t="b">
        <f t="shared" si="68"/>
        <v>1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6">
        <f t="shared" si="50"/>
        <v>0</v>
      </c>
      <c r="M198" s="855"/>
      <c r="N198" s="855"/>
      <c r="O198" s="324">
        <f t="shared" si="51"/>
        <v>0</v>
      </c>
      <c r="P198" s="169">
        <f>(INDEX(Models!$BJ198:$BT198,,T198)*(1-R198)+INDEX(Models!$BJ198:$BT198,,T198+1)*R198-ERP_i)*Q198*Ramure*Pc/MaxiM</f>
        <v>1.8241051766049723E-5</v>
      </c>
      <c r="Q198" s="305">
        <f t="shared" si="52"/>
        <v>0.7</v>
      </c>
      <c r="R198" s="177">
        <f t="shared" si="53"/>
        <v>0.68728954801466169</v>
      </c>
      <c r="S198" s="810">
        <f t="shared" si="71"/>
        <v>-2</v>
      </c>
      <c r="T198" s="176">
        <f t="shared" si="54"/>
        <v>4</v>
      </c>
      <c r="U198" s="251">
        <f t="shared" si="55"/>
        <v>-1.3127104519853383</v>
      </c>
      <c r="V198" s="383">
        <f t="shared" si="56"/>
        <v>63.202637183965358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5">
        <f t="shared" si="62"/>
        <v>0</v>
      </c>
      <c r="AD198" s="169">
        <f>(INDEX(Models!$BJ198:$BT198,,AH198)*(1-AF198)+INDEX(Models!$BJ198:$BT198,,AH198+1)*AF198-ERP_i)*AE198*Ramure*Pc/MaxiM</f>
        <v>1.8241051766049723E-5</v>
      </c>
      <c r="AE198" s="305">
        <f t="shared" si="63"/>
        <v>0.7</v>
      </c>
      <c r="AF198" s="177">
        <f t="shared" si="64"/>
        <v>0.68728954801466169</v>
      </c>
      <c r="AG198" s="810">
        <f t="shared" si="65"/>
        <v>-2</v>
      </c>
      <c r="AH198" s="176">
        <f t="shared" si="66"/>
        <v>4</v>
      </c>
      <c r="AI198" s="225">
        <f t="shared" si="67"/>
        <v>-1.3127104519853383</v>
      </c>
      <c r="AJ198" s="265" t="b">
        <f t="shared" si="68"/>
        <v>1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6">
        <f t="shared" si="50"/>
        <v>0</v>
      </c>
      <c r="M199" s="855"/>
      <c r="N199" s="855"/>
      <c r="O199" s="324">
        <f t="shared" si="51"/>
        <v>0</v>
      </c>
      <c r="P199" s="169">
        <f>(INDEX(Models!$BJ199:$BT199,,T199)*(1-R199)+INDEX(Models!$BJ199:$BT199,,T199+1)*R199-ERP_i)*Q199*Ramure*Pc/MaxiM</f>
        <v>1.831321323725245E-5</v>
      </c>
      <c r="Q199" s="305">
        <f t="shared" si="52"/>
        <v>0.7</v>
      </c>
      <c r="R199" s="177">
        <f t="shared" si="53"/>
        <v>0.69057793219382724</v>
      </c>
      <c r="S199" s="810">
        <f t="shared" si="71"/>
        <v>-2</v>
      </c>
      <c r="T199" s="176">
        <f t="shared" si="54"/>
        <v>4</v>
      </c>
      <c r="U199" s="251">
        <f t="shared" si="55"/>
        <v>-1.3094220678061728</v>
      </c>
      <c r="V199" s="383">
        <f t="shared" si="56"/>
        <v>63.128144191365458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5">
        <f t="shared" si="62"/>
        <v>0</v>
      </c>
      <c r="AD199" s="169">
        <f>(INDEX(Models!$BJ199:$BT199,,AH199)*(1-AF199)+INDEX(Models!$BJ199:$BT199,,AH199+1)*AF199-ERP_i)*AE199*Ramure*Pc/MaxiM</f>
        <v>1.831321323725245E-5</v>
      </c>
      <c r="AE199" s="305">
        <f t="shared" si="63"/>
        <v>0.7</v>
      </c>
      <c r="AF199" s="177">
        <f t="shared" si="64"/>
        <v>0.69057793219382724</v>
      </c>
      <c r="AG199" s="810">
        <f t="shared" si="65"/>
        <v>-2</v>
      </c>
      <c r="AH199" s="176">
        <f t="shared" si="66"/>
        <v>4</v>
      </c>
      <c r="AI199" s="225">
        <f t="shared" si="67"/>
        <v>-1.3094220678061728</v>
      </c>
      <c r="AJ199" s="265" t="b">
        <f t="shared" si="68"/>
        <v>1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6">
        <f t="shared" si="50"/>
        <v>0</v>
      </c>
      <c r="M200" s="855"/>
      <c r="N200" s="855"/>
      <c r="O200" s="324">
        <f t="shared" si="51"/>
        <v>0</v>
      </c>
      <c r="P200" s="169">
        <f>(INDEX(Models!$BJ200:$BT200,,T200)*(1-R200)+INDEX(Models!$BJ200:$BT200,,T200+1)*R200-ERP_i)*Q200*Ramure*Pc/MaxiM</f>
        <v>1.8369897897190258E-5</v>
      </c>
      <c r="Q200" s="305">
        <f t="shared" si="52"/>
        <v>0.7</v>
      </c>
      <c r="R200" s="177">
        <f t="shared" si="53"/>
        <v>0.69380517888180648</v>
      </c>
      <c r="S200" s="810">
        <f t="shared" si="71"/>
        <v>-2</v>
      </c>
      <c r="T200" s="176">
        <f t="shared" si="54"/>
        <v>4</v>
      </c>
      <c r="U200" s="251">
        <f t="shared" si="55"/>
        <v>-1.3061948211181935</v>
      </c>
      <c r="V200" s="383">
        <f t="shared" si="56"/>
        <v>63.050153707415816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5">
        <f t="shared" si="62"/>
        <v>0</v>
      </c>
      <c r="AD200" s="169">
        <f>(INDEX(Models!$BJ200:$BT200,,AH200)*(1-AF200)+INDEX(Models!$BJ200:$BT200,,AH200+1)*AF200-ERP_i)*AE200*Ramure*Pc/MaxiM</f>
        <v>1.8369897897190258E-5</v>
      </c>
      <c r="AE200" s="305">
        <f t="shared" si="63"/>
        <v>0.7</v>
      </c>
      <c r="AF200" s="177">
        <f t="shared" si="64"/>
        <v>0.69380517888180648</v>
      </c>
      <c r="AG200" s="810">
        <f t="shared" si="65"/>
        <v>-2</v>
      </c>
      <c r="AH200" s="176">
        <f t="shared" si="66"/>
        <v>4</v>
      </c>
      <c r="AI200" s="225">
        <f t="shared" si="67"/>
        <v>-1.3061948211181935</v>
      </c>
      <c r="AJ200" s="265" t="b">
        <f t="shared" si="68"/>
        <v>1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6">
        <f t="shared" si="50"/>
        <v>0</v>
      </c>
      <c r="M201" s="855"/>
      <c r="N201" s="855"/>
      <c r="O201" s="324">
        <f t="shared" si="51"/>
        <v>0</v>
      </c>
      <c r="P201" s="169">
        <f>(INDEX(Models!$BJ201:$BT201,,T201)*(1-R201)+INDEX(Models!$BJ201:$BT201,,T201+1)*R201-ERP_i)*Q201*Ramure*Pc/MaxiM</f>
        <v>1.8410955529500388E-5</v>
      </c>
      <c r="Q201" s="305">
        <f t="shared" si="52"/>
        <v>0.7</v>
      </c>
      <c r="R201" s="177">
        <f t="shared" si="53"/>
        <v>0.6969703288507072</v>
      </c>
      <c r="S201" s="810">
        <f t="shared" si="71"/>
        <v>-2</v>
      </c>
      <c r="T201" s="176">
        <f t="shared" si="54"/>
        <v>4</v>
      </c>
      <c r="U201" s="251">
        <f t="shared" si="55"/>
        <v>-1.3030296711492928</v>
      </c>
      <c r="V201" s="383">
        <f t="shared" si="56"/>
        <v>62.968447082935803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5">
        <f t="shared" si="62"/>
        <v>0</v>
      </c>
      <c r="AD201" s="169">
        <f>(INDEX(Models!$BJ201:$BT201,,AH201)*(1-AF201)+INDEX(Models!$BJ201:$BT201,,AH201+1)*AF201-ERP_i)*AE201*Ramure*Pc/MaxiM</f>
        <v>1.8410955529500388E-5</v>
      </c>
      <c r="AE201" s="305">
        <f t="shared" si="63"/>
        <v>0.7</v>
      </c>
      <c r="AF201" s="177">
        <f t="shared" si="64"/>
        <v>0.6969703288507072</v>
      </c>
      <c r="AG201" s="810">
        <f t="shared" si="65"/>
        <v>-2</v>
      </c>
      <c r="AH201" s="176">
        <f t="shared" si="66"/>
        <v>4</v>
      </c>
      <c r="AI201" s="225">
        <f t="shared" si="67"/>
        <v>-1.3030296711492928</v>
      </c>
      <c r="AJ201" s="265" t="b">
        <f t="shared" si="68"/>
        <v>1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6">
        <f t="shared" si="50"/>
        <v>0</v>
      </c>
      <c r="M202" s="855"/>
      <c r="N202" s="855"/>
      <c r="O202" s="324">
        <f t="shared" si="51"/>
        <v>0</v>
      </c>
      <c r="P202" s="169">
        <f>(INDEX(Models!$BJ202:$BT202,,T202)*(1-R202)+INDEX(Models!$BJ202:$BT202,,T202+1)*R202-ERP_i)*Q202*Ramure*Pc/MaxiM</f>
        <v>1.8436260253175138E-5</v>
      </c>
      <c r="Q202" s="305">
        <f t="shared" si="52"/>
        <v>0.7</v>
      </c>
      <c r="R202" s="177">
        <f t="shared" si="53"/>
        <v>0.70007256222273906</v>
      </c>
      <c r="S202" s="810">
        <f t="shared" si="71"/>
        <v>-2</v>
      </c>
      <c r="T202" s="176">
        <f t="shared" si="54"/>
        <v>4</v>
      </c>
      <c r="U202" s="251">
        <f t="shared" si="55"/>
        <v>-1.2999274377772609</v>
      </c>
      <c r="V202" s="383">
        <f t="shared" si="56"/>
        <v>62.882805669202249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5">
        <f t="shared" si="62"/>
        <v>0</v>
      </c>
      <c r="AD202" s="169">
        <f>(INDEX(Models!$BJ202:$BT202,,AH202)*(1-AF202)+INDEX(Models!$BJ202:$BT202,,AH202+1)*AF202-ERP_i)*AE202*Ramure*Pc/MaxiM</f>
        <v>1.8436260253175138E-5</v>
      </c>
      <c r="AE202" s="305">
        <f t="shared" si="63"/>
        <v>0.7</v>
      </c>
      <c r="AF202" s="177">
        <f t="shared" si="64"/>
        <v>0.70007256222273906</v>
      </c>
      <c r="AG202" s="810">
        <f t="shared" si="65"/>
        <v>-2</v>
      </c>
      <c r="AH202" s="176">
        <f t="shared" si="66"/>
        <v>4</v>
      </c>
      <c r="AI202" s="225">
        <f t="shared" si="67"/>
        <v>-1.2999274377772609</v>
      </c>
      <c r="AJ202" s="265" t="b">
        <f t="shared" si="68"/>
        <v>1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6">
        <f t="shared" si="50"/>
        <v>0</v>
      </c>
      <c r="M203" s="855"/>
      <c r="N203" s="855"/>
      <c r="O203" s="324">
        <f t="shared" si="51"/>
        <v>0</v>
      </c>
      <c r="P203" s="169">
        <f>(INDEX(Models!$BJ203:$BT203,,T203)*(1-R203)+INDEX(Models!$BJ203:$BT203,,T203+1)*R203-ERP_i)*Q203*Ramure*Pc/MaxiM</f>
        <v>1.8445708920843751E-5</v>
      </c>
      <c r="Q203" s="305">
        <f t="shared" si="52"/>
        <v>0.7</v>
      </c>
      <c r="R203" s="177">
        <f t="shared" si="53"/>
        <v>0.70311119547522094</v>
      </c>
      <c r="S203" s="810">
        <f t="shared" si="71"/>
        <v>-2</v>
      </c>
      <c r="T203" s="176">
        <f t="shared" si="54"/>
        <v>4</v>
      </c>
      <c r="U203" s="251">
        <f t="shared" si="55"/>
        <v>-1.2968888045247791</v>
      </c>
      <c r="V203" s="383">
        <f t="shared" si="56"/>
        <v>62.793010813204646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5">
        <f t="shared" si="62"/>
        <v>0</v>
      </c>
      <c r="AD203" s="169">
        <f>(INDEX(Models!$BJ203:$BT203,,AH203)*(1-AF203)+INDEX(Models!$BJ203:$BT203,,AH203+1)*AF203-ERP_i)*AE203*Ramure*Pc/MaxiM</f>
        <v>1.8445708920843751E-5</v>
      </c>
      <c r="AE203" s="305">
        <f t="shared" si="63"/>
        <v>0.7</v>
      </c>
      <c r="AF203" s="177">
        <f t="shared" si="64"/>
        <v>0.70311119547522094</v>
      </c>
      <c r="AG203" s="810">
        <f t="shared" si="65"/>
        <v>-2</v>
      </c>
      <c r="AH203" s="176">
        <f t="shared" si="66"/>
        <v>4</v>
      </c>
      <c r="AI203" s="225">
        <f t="shared" si="67"/>
        <v>-1.2968888045247791</v>
      </c>
      <c r="AJ203" s="265" t="b">
        <f t="shared" si="68"/>
        <v>1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6">
        <f t="shared" si="50"/>
        <v>0</v>
      </c>
      <c r="M204" s="855"/>
      <c r="N204" s="855"/>
      <c r="O204" s="324">
        <f t="shared" si="51"/>
        <v>0</v>
      </c>
      <c r="P204" s="169">
        <f>(INDEX(Models!$BJ204:$BT204,,T204)*(1-R204)+INDEX(Models!$BJ204:$BT204,,T204+1)*R204-ERP_i)*Q204*Ramure*Pc/MaxiM</f>
        <v>1.8439219381616837E-5</v>
      </c>
      <c r="Q204" s="305">
        <f t="shared" si="52"/>
        <v>0.7</v>
      </c>
      <c r="R204" s="177">
        <f t="shared" si="53"/>
        <v>0.70608567797558264</v>
      </c>
      <c r="S204" s="810">
        <f t="shared" si="71"/>
        <v>-2</v>
      </c>
      <c r="T204" s="176">
        <f t="shared" si="54"/>
        <v>4</v>
      </c>
      <c r="U204" s="251">
        <f t="shared" si="55"/>
        <v>-1.2939143220244174</v>
      </c>
      <c r="V204" s="383">
        <f t="shared" si="56"/>
        <v>62.698843861317293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5">
        <f t="shared" si="62"/>
        <v>0</v>
      </c>
      <c r="AD204" s="169">
        <f>(INDEX(Models!$BJ204:$BT204,,AH204)*(1-AF204)+INDEX(Models!$BJ204:$BT204,,AH204+1)*AF204-ERP_i)*AE204*Ramure*Pc/MaxiM</f>
        <v>1.8439219381616837E-5</v>
      </c>
      <c r="AE204" s="305">
        <f t="shared" si="63"/>
        <v>0.7</v>
      </c>
      <c r="AF204" s="177">
        <f t="shared" si="64"/>
        <v>0.70608567797558264</v>
      </c>
      <c r="AG204" s="810">
        <f t="shared" si="65"/>
        <v>-2</v>
      </c>
      <c r="AH204" s="176">
        <f t="shared" si="66"/>
        <v>4</v>
      </c>
      <c r="AI204" s="225">
        <f t="shared" si="67"/>
        <v>-1.2939143220244174</v>
      </c>
      <c r="AJ204" s="265" t="b">
        <f t="shared" si="68"/>
        <v>1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6">
        <f t="shared" si="50"/>
        <v>0</v>
      </c>
      <c r="M205" s="855"/>
      <c r="N205" s="855"/>
      <c r="O205" s="324">
        <f t="shared" si="51"/>
        <v>0</v>
      </c>
      <c r="P205" s="169">
        <f>(INDEX(Models!$BJ205:$BT205,,T205)*(1-R205)+INDEX(Models!$BJ205:$BT205,,T205+1)*R205-ERP_i)*Q205*Ramure*Pc/MaxiM</f>
        <v>1.8416498127738481E-5</v>
      </c>
      <c r="Q205" s="305">
        <f t="shared" si="52"/>
        <v>0.7</v>
      </c>
      <c r="R205" s="177">
        <f t="shared" si="53"/>
        <v>0.70899558809384544</v>
      </c>
      <c r="S205" s="810">
        <f t="shared" si="71"/>
        <v>-2</v>
      </c>
      <c r="T205" s="176">
        <f t="shared" si="54"/>
        <v>4</v>
      </c>
      <c r="U205" s="251">
        <f t="shared" si="55"/>
        <v>-1.2910044119061546</v>
      </c>
      <c r="V205" s="383">
        <f t="shared" si="56"/>
        <v>62.600869684607339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5">
        <f t="shared" si="62"/>
        <v>0</v>
      </c>
      <c r="AD205" s="169">
        <f>(INDEX(Models!$BJ205:$BT205,,AH205)*(1-AF205)+INDEX(Models!$BJ205:$BT205,,AH205+1)*AF205-ERP_i)*AE205*Ramure*Pc/MaxiM</f>
        <v>1.8416498127738481E-5</v>
      </c>
      <c r="AE205" s="305">
        <f t="shared" si="63"/>
        <v>0.7</v>
      </c>
      <c r="AF205" s="177">
        <f t="shared" si="64"/>
        <v>0.70899558809384544</v>
      </c>
      <c r="AG205" s="810">
        <f t="shared" si="65"/>
        <v>-2</v>
      </c>
      <c r="AH205" s="176">
        <f t="shared" si="66"/>
        <v>4</v>
      </c>
      <c r="AI205" s="225">
        <f t="shared" si="67"/>
        <v>-1.2910044119061546</v>
      </c>
      <c r="AJ205" s="265" t="b">
        <f t="shared" si="68"/>
        <v>1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6">
        <f t="shared" si="50"/>
        <v>0</v>
      </c>
      <c r="M206" s="855"/>
      <c r="N206" s="855"/>
      <c r="O206" s="324">
        <f t="shared" si="51"/>
        <v>0</v>
      </c>
      <c r="P206" s="169">
        <f>(INDEX(Models!$BJ206:$BT206,,T206)*(1-R206)+INDEX(Models!$BJ206:$BT206,,T206+1)*R206-ERP_i)*Q206*Ramure*Pc/MaxiM</f>
        <v>1.8388934953315859E-5</v>
      </c>
      <c r="Q206" s="305">
        <f t="shared" si="52"/>
        <v>0.7</v>
      </c>
      <c r="R206" s="177">
        <f t="shared" si="53"/>
        <v>0.71184062894053701</v>
      </c>
      <c r="S206" s="810">
        <f t="shared" si="71"/>
        <v>-2</v>
      </c>
      <c r="T206" s="176">
        <f t="shared" si="54"/>
        <v>4</v>
      </c>
      <c r="U206" s="251">
        <f t="shared" si="55"/>
        <v>-1.288159371059463</v>
      </c>
      <c r="V206" s="383">
        <f t="shared" si="56"/>
        <v>62.499725310846138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5">
        <f t="shared" si="62"/>
        <v>0</v>
      </c>
      <c r="AD206" s="169">
        <f>(INDEX(Models!$BJ206:$BT206,,AH206)*(1-AF206)+INDEX(Models!$BJ206:$BT206,,AH206+1)*AF206-ERP_i)*AE206*Ramure*Pc/MaxiM</f>
        <v>1.8388934953315859E-5</v>
      </c>
      <c r="AE206" s="305">
        <f t="shared" si="63"/>
        <v>0.7</v>
      </c>
      <c r="AF206" s="177">
        <f t="shared" si="64"/>
        <v>0.71184062894053701</v>
      </c>
      <c r="AG206" s="810">
        <f t="shared" si="65"/>
        <v>-2</v>
      </c>
      <c r="AH206" s="176">
        <f t="shared" si="66"/>
        <v>4</v>
      </c>
      <c r="AI206" s="225">
        <f t="shared" si="67"/>
        <v>-1.288159371059463</v>
      </c>
      <c r="AJ206" s="265" t="b">
        <f t="shared" si="68"/>
        <v>1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6">
        <f t="shared" ref="L207:L270" si="75">IF(t&lt;T0,0,IF(t&lt;Tvie,1-EXP((T0-t)*PertePVj),1-EXP((T0-t)*PertePVj)+Pspv))</f>
        <v>0</v>
      </c>
      <c r="M207" s="855"/>
      <c r="N207" s="855"/>
      <c r="O207" s="324">
        <f t="shared" ref="O207:O270" si="76">IF(t&lt;T0,0,IF(t&lt;Tnet,Salim_i*(1-EXP((T0-t)/Tau_ij)),Resal+(Salim-Resal)*(1-EXP((Tnet-t)/(Tau_j)))))*Salcycl</f>
        <v>0</v>
      </c>
      <c r="P207" s="169">
        <f>(INDEX(Models!$BJ207:$BT207,,T207)*(1-R207)+INDEX(Models!$BJ207:$BT207,,T207+1)*R207-ERP_i)*Q207*Ramure*Pc/MaxiM</f>
        <v>1.8358159445953561E-5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0.71462062377791158</v>
      </c>
      <c r="S207" s="810">
        <f t="shared" si="71"/>
        <v>-2</v>
      </c>
      <c r="T207" s="176">
        <f t="shared" ref="T207:T270" si="79">MIN(MATCH(Hp_vg,Echel_vg),10)</f>
        <v>4</v>
      </c>
      <c r="U207" s="251">
        <f t="shared" ref="U207:U270" si="80">IF(OR(t&lt;Ttai,Notai),Hdd+PousH*Croivg,Hdtf+PousH*(Croivg-Croi_tai))</f>
        <v>-1.2853793762220884</v>
      </c>
      <c r="V207" s="383">
        <f t="shared" ref="V207:V270" si="81">MaxiM*(1-Ppv)*(1-Pvg)*(1-Psa)</f>
        <v>62.395301309048527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0</v>
      </c>
      <c r="AD207" s="169">
        <f>(INDEX(Models!$BJ207:$BT207,,AH207)*(1-AF207)+INDEX(Models!$BJ207:$BT207,,AH207+1)*AF207-ERP_i)*AE207*Ramure*Pc/MaxiM</f>
        <v>1.8358159445953561E-5</v>
      </c>
      <c r="AE207" s="305">
        <f t="shared" ref="AE207:AE270" si="88">Dd+PousD*Croivg</f>
        <v>0.7</v>
      </c>
      <c r="AF207" s="177">
        <f t="shared" ref="AF207:AF270" si="89">(Hp_vg_s-AG207)/(INDEX(Echel_vg,AH207+1)-AG207)</f>
        <v>0.71462062377791158</v>
      </c>
      <c r="AG207" s="810">
        <f t="shared" ref="AG207:AG270" si="90">INDEX(Echel_vg,AH207)</f>
        <v>-2</v>
      </c>
      <c r="AH207" s="176">
        <f t="shared" ref="AH207:AH270" si="91">MIN(MATCH(Hp_vg_s,Echel_vg),10)</f>
        <v>4</v>
      </c>
      <c r="AI207" s="225">
        <f t="shared" ref="AI207:AI270" si="92">Hdd+PousH*Croivg</f>
        <v>-1.2853793762220884</v>
      </c>
      <c r="AJ207" s="265" t="b">
        <f t="shared" ref="AJ207:AJ270" si="93">t&lt;Tnet</f>
        <v>1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6">
        <f t="shared" si="75"/>
        <v>0</v>
      </c>
      <c r="M208" s="855"/>
      <c r="N208" s="855"/>
      <c r="O208" s="324">
        <f t="shared" si="76"/>
        <v>0</v>
      </c>
      <c r="P208" s="169">
        <f>(INDEX(Models!$BJ208:$BT208,,T208)*(1-R208)+INDEX(Models!$BJ208:$BT208,,T208+1)*R208-ERP_i)*Q208*Ramure*Pc/MaxiM</f>
        <v>1.8324538193153718E-5</v>
      </c>
      <c r="Q208" s="305">
        <f t="shared" si="77"/>
        <v>0.7</v>
      </c>
      <c r="R208" s="177">
        <f t="shared" si="78"/>
        <v>0.71733551115178784</v>
      </c>
      <c r="S208" s="810">
        <f t="shared" ref="S208:S271" si="96">INDEX(Echel_vg,T208)</f>
        <v>-2</v>
      </c>
      <c r="T208" s="176">
        <f t="shared" si="79"/>
        <v>4</v>
      </c>
      <c r="U208" s="251">
        <f t="shared" si="80"/>
        <v>-1.2826644888482122</v>
      </c>
      <c r="V208" s="383">
        <f t="shared" si="81"/>
        <v>62.287488327228182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5">
        <f t="shared" si="87"/>
        <v>0</v>
      </c>
      <c r="AD208" s="169">
        <f>(INDEX(Models!$BJ208:$BT208,,AH208)*(1-AF208)+INDEX(Models!$BJ208:$BT208,,AH208+1)*AF208-ERP_i)*AE208*Ramure*Pc/MaxiM</f>
        <v>1.8324538193153718E-5</v>
      </c>
      <c r="AE208" s="305">
        <f t="shared" si="88"/>
        <v>0.7</v>
      </c>
      <c r="AF208" s="177">
        <f t="shared" si="89"/>
        <v>0.71733551115178784</v>
      </c>
      <c r="AG208" s="810">
        <f t="shared" si="90"/>
        <v>-2</v>
      </c>
      <c r="AH208" s="176">
        <f t="shared" si="91"/>
        <v>4</v>
      </c>
      <c r="AI208" s="225">
        <f t="shared" si="92"/>
        <v>-1.2826644888482122</v>
      </c>
      <c r="AJ208" s="265" t="b">
        <f t="shared" si="93"/>
        <v>1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6">
        <f t="shared" si="75"/>
        <v>0</v>
      </c>
      <c r="M209" s="855"/>
      <c r="N209" s="855"/>
      <c r="O209" s="324">
        <f t="shared" si="76"/>
        <v>0</v>
      </c>
      <c r="P209" s="169">
        <f>(INDEX(Models!$BJ209:$BT209,,T209)*(1-R209)+INDEX(Models!$BJ209:$BT209,,T209+1)*R209-ERP_i)*Q209*Ramure*Pc/MaxiM</f>
        <v>1.8288439272867821E-5</v>
      </c>
      <c r="Q209" s="305">
        <f t="shared" si="77"/>
        <v>0.7</v>
      </c>
      <c r="R209" s="177">
        <f t="shared" si="78"/>
        <v>0.71998533979029422</v>
      </c>
      <c r="S209" s="810">
        <f t="shared" si="96"/>
        <v>-2</v>
      </c>
      <c r="T209" s="176">
        <f t="shared" si="79"/>
        <v>4</v>
      </c>
      <c r="U209" s="251">
        <f t="shared" si="80"/>
        <v>-1.2800146602097058</v>
      </c>
      <c r="V209" s="383">
        <f t="shared" si="81"/>
        <v>62.176177013948625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5">
        <f t="shared" si="87"/>
        <v>0</v>
      </c>
      <c r="AD209" s="169">
        <f>(INDEX(Models!$BJ209:$BT209,,AH209)*(1-AF209)+INDEX(Models!$BJ209:$BT209,,AH209+1)*AF209-ERP_i)*AE209*Ramure*Pc/MaxiM</f>
        <v>1.8288439272867821E-5</v>
      </c>
      <c r="AE209" s="305">
        <f t="shared" si="88"/>
        <v>0.7</v>
      </c>
      <c r="AF209" s="177">
        <f t="shared" si="89"/>
        <v>0.71998533979029422</v>
      </c>
      <c r="AG209" s="810">
        <f t="shared" si="90"/>
        <v>-2</v>
      </c>
      <c r="AH209" s="176">
        <f t="shared" si="91"/>
        <v>4</v>
      </c>
      <c r="AI209" s="225">
        <f t="shared" si="92"/>
        <v>-1.2800146602097058</v>
      </c>
      <c r="AJ209" s="265" t="b">
        <f t="shared" si="93"/>
        <v>1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6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6">
        <f t="shared" si="75"/>
        <v>0</v>
      </c>
      <c r="M210" s="855"/>
      <c r="N210" s="855"/>
      <c r="O210" s="324">
        <f t="shared" si="76"/>
        <v>0</v>
      </c>
      <c r="P210" s="169">
        <f>(INDEX(Models!$BJ210:$BT210,,T210)*(1-R210)+INDEX(Models!$BJ210:$BT210,,T210+1)*R210-ERP_i)*Q210*Ramure*Pc/MaxiM</f>
        <v>1.8250231167740382E-5</v>
      </c>
      <c r="Q210" s="305">
        <f t="shared" si="77"/>
        <v>0.7</v>
      </c>
      <c r="R210" s="177">
        <f t="shared" si="78"/>
        <v>0.72257026331441621</v>
      </c>
      <c r="S210" s="810">
        <f t="shared" si="96"/>
        <v>-2</v>
      </c>
      <c r="T210" s="176">
        <f t="shared" si="79"/>
        <v>4</v>
      </c>
      <c r="U210" s="251">
        <f t="shared" si="80"/>
        <v>-1.2774297366855838</v>
      </c>
      <c r="V210" s="383">
        <f t="shared" si="81"/>
        <v>62.061258017948816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5">
        <f t="shared" si="87"/>
        <v>0</v>
      </c>
      <c r="AD210" s="169">
        <f>(INDEX(Models!$BJ210:$BT210,,AH210)*(1-AF210)+INDEX(Models!$BJ210:$BT210,,AH210+1)*AF210-ERP_i)*AE210*Ramure*Pc/MaxiM</f>
        <v>1.8250231167740382E-5</v>
      </c>
      <c r="AE210" s="305">
        <f t="shared" si="88"/>
        <v>0.7</v>
      </c>
      <c r="AF210" s="177">
        <f t="shared" si="89"/>
        <v>0.72257026331441621</v>
      </c>
      <c r="AG210" s="810">
        <f t="shared" si="90"/>
        <v>-2</v>
      </c>
      <c r="AH210" s="176">
        <f t="shared" si="91"/>
        <v>4</v>
      </c>
      <c r="AI210" s="225">
        <f t="shared" si="92"/>
        <v>-1.2774297366855838</v>
      </c>
      <c r="AJ210" s="265" t="b">
        <f t="shared" si="93"/>
        <v>1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6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6">
        <f t="shared" si="75"/>
        <v>0</v>
      </c>
      <c r="M211" s="855"/>
      <c r="N211" s="855"/>
      <c r="O211" s="324">
        <f t="shared" si="76"/>
        <v>0</v>
      </c>
      <c r="P211" s="169">
        <f>(INDEX(Models!$BJ211:$BT211,,T211)*(1-R211)+INDEX(Models!$BJ211:$BT211,,T211+1)*R211-ERP_i)*Q211*Ramure*Pc/MaxiM</f>
        <v>1.8210281764515833E-5</v>
      </c>
      <c r="Q211" s="305">
        <f t="shared" si="77"/>
        <v>0.7</v>
      </c>
      <c r="R211" s="177">
        <f t="shared" si="78"/>
        <v>0.72509053480348928</v>
      </c>
      <c r="S211" s="810">
        <f t="shared" si="96"/>
        <v>-2</v>
      </c>
      <c r="T211" s="176">
        <f t="shared" si="79"/>
        <v>4</v>
      </c>
      <c r="U211" s="251">
        <f t="shared" si="80"/>
        <v>-1.2749094651965107</v>
      </c>
      <c r="V211" s="383">
        <f t="shared" si="81"/>
        <v>61.942621986300168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5">
        <f t="shared" si="87"/>
        <v>0</v>
      </c>
      <c r="AD211" s="169">
        <f>(INDEX(Models!$BJ211:$BT211,,AH211)*(1-AF211)+INDEX(Models!$BJ211:$BT211,,AH211+1)*AF211-ERP_i)*AE211*Ramure*Pc/MaxiM</f>
        <v>1.8210281764515833E-5</v>
      </c>
      <c r="AE211" s="305">
        <f t="shared" si="88"/>
        <v>0.7</v>
      </c>
      <c r="AF211" s="177">
        <f t="shared" si="89"/>
        <v>0.72509053480348928</v>
      </c>
      <c r="AG211" s="810">
        <f t="shared" si="90"/>
        <v>-2</v>
      </c>
      <c r="AH211" s="176">
        <f t="shared" si="91"/>
        <v>4</v>
      </c>
      <c r="AI211" s="225">
        <f t="shared" si="92"/>
        <v>-1.2749094651965107</v>
      </c>
      <c r="AJ211" s="265" t="b">
        <f t="shared" si="93"/>
        <v>1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6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6">
        <f t="shared" si="75"/>
        <v>0</v>
      </c>
      <c r="M212" s="855"/>
      <c r="N212" s="855"/>
      <c r="O212" s="324">
        <f t="shared" si="76"/>
        <v>0</v>
      </c>
      <c r="P212" s="169">
        <f>(INDEX(Models!$BJ212:$BT212,,T212)*(1-R212)+INDEX(Models!$BJ212:$BT212,,T212+1)*R212-ERP_i)*Q212*Ramure*Pc/MaxiM</f>
        <v>1.8177699888272651E-5</v>
      </c>
      <c r="Q212" s="305">
        <f t="shared" si="77"/>
        <v>0.7</v>
      </c>
      <c r="R212" s="177">
        <f t="shared" si="78"/>
        <v>0.72754650125675036</v>
      </c>
      <c r="S212" s="810">
        <f t="shared" si="96"/>
        <v>-2</v>
      </c>
      <c r="T212" s="176">
        <f t="shared" si="79"/>
        <v>4</v>
      </c>
      <c r="U212" s="251">
        <f t="shared" si="80"/>
        <v>-1.2724534987432496</v>
      </c>
      <c r="V212" s="383">
        <f t="shared" si="81"/>
        <v>61.820159030071466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5">
        <f t="shared" si="87"/>
        <v>0</v>
      </c>
      <c r="AD212" s="169">
        <f>(INDEX(Models!$BJ212:$BT212,,AH212)*(1-AF212)+INDEX(Models!$BJ212:$BT212,,AH212+1)*AF212-ERP_i)*AE212*Ramure*Pc/MaxiM</f>
        <v>1.8177699888272651E-5</v>
      </c>
      <c r="AE212" s="305">
        <f t="shared" si="88"/>
        <v>0.7</v>
      </c>
      <c r="AF212" s="177">
        <f t="shared" si="89"/>
        <v>0.72754650125675036</v>
      </c>
      <c r="AG212" s="810">
        <f t="shared" si="90"/>
        <v>-2</v>
      </c>
      <c r="AH212" s="176">
        <f t="shared" si="91"/>
        <v>4</v>
      </c>
      <c r="AI212" s="225">
        <f t="shared" si="92"/>
        <v>-1.2724534987432496</v>
      </c>
      <c r="AJ212" s="265" t="b">
        <f t="shared" si="93"/>
        <v>1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6">
        <f t="shared" si="75"/>
        <v>0</v>
      </c>
      <c r="M213" s="855"/>
      <c r="N213" s="855"/>
      <c r="O213" s="324">
        <f t="shared" si="76"/>
        <v>0</v>
      </c>
      <c r="P213" s="169">
        <f>(INDEX(Models!$BJ213:$BT213,,T213)*(1-R213)+INDEX(Models!$BJ213:$BT213,,T213+1)*R213-ERP_i)*Q213*Ramure*Pc/MaxiM</f>
        <v>1.8160246303652379E-5</v>
      </c>
      <c r="Q213" s="305">
        <f t="shared" si="77"/>
        <v>0.7</v>
      </c>
      <c r="R213" s="177">
        <f t="shared" si="78"/>
        <v>0.72993859798978256</v>
      </c>
      <c r="S213" s="810">
        <f t="shared" si="96"/>
        <v>-2</v>
      </c>
      <c r="T213" s="176">
        <f t="shared" si="79"/>
        <v>4</v>
      </c>
      <c r="U213" s="251">
        <f t="shared" si="80"/>
        <v>-1.2700614020102174</v>
      </c>
      <c r="V213" s="383">
        <f t="shared" si="81"/>
        <v>61.693759343098407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5">
        <f t="shared" si="87"/>
        <v>0</v>
      </c>
      <c r="AD213" s="169">
        <f>(INDEX(Models!$BJ213:$BT213,,AH213)*(1-AF213)+INDEX(Models!$BJ213:$BT213,,AH213+1)*AF213-ERP_i)*AE213*Ramure*Pc/MaxiM</f>
        <v>1.8160246303652379E-5</v>
      </c>
      <c r="AE213" s="305">
        <f t="shared" si="88"/>
        <v>0.7</v>
      </c>
      <c r="AF213" s="177">
        <f t="shared" si="89"/>
        <v>0.72993859798978256</v>
      </c>
      <c r="AG213" s="810">
        <f t="shared" si="90"/>
        <v>-2</v>
      </c>
      <c r="AH213" s="176">
        <f t="shared" si="91"/>
        <v>4</v>
      </c>
      <c r="AI213" s="225">
        <f t="shared" si="92"/>
        <v>-1.2700614020102174</v>
      </c>
      <c r="AJ213" s="265" t="b">
        <f t="shared" si="93"/>
        <v>1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6">
        <f t="shared" si="75"/>
        <v>0</v>
      </c>
      <c r="M214" s="855"/>
      <c r="N214" s="855"/>
      <c r="O214" s="324">
        <f t="shared" si="76"/>
        <v>0</v>
      </c>
      <c r="P214" s="169">
        <f>(INDEX(Models!$BJ214:$BT214,,T214)*(1-R214)+INDEX(Models!$BJ214:$BT214,,T214+1)*R214-ERP_i)*Q214*Ramure*Pc/MaxiM</f>
        <v>1.8158718013926101E-5</v>
      </c>
      <c r="Q214" s="305">
        <f t="shared" si="77"/>
        <v>0.7</v>
      </c>
      <c r="R214" s="177">
        <f t="shared" si="78"/>
        <v>0.73226734300223351</v>
      </c>
      <c r="S214" s="810">
        <f t="shared" si="96"/>
        <v>-2</v>
      </c>
      <c r="T214" s="176">
        <f t="shared" si="79"/>
        <v>4</v>
      </c>
      <c r="U214" s="251">
        <f t="shared" si="80"/>
        <v>-1.2677326569977665</v>
      </c>
      <c r="V214" s="383">
        <f t="shared" si="81"/>
        <v>61.563313555127728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5">
        <f t="shared" si="87"/>
        <v>0</v>
      </c>
      <c r="AD214" s="169">
        <f>(INDEX(Models!$BJ214:$BT214,,AH214)*(1-AF214)+INDEX(Models!$BJ214:$BT214,,AH214+1)*AF214-ERP_i)*AE214*Ramure*Pc/MaxiM</f>
        <v>1.8158718013926101E-5</v>
      </c>
      <c r="AE214" s="305">
        <f t="shared" si="88"/>
        <v>0.7</v>
      </c>
      <c r="AF214" s="177">
        <f t="shared" si="89"/>
        <v>0.73226734300223351</v>
      </c>
      <c r="AG214" s="810">
        <f t="shared" si="90"/>
        <v>-2</v>
      </c>
      <c r="AH214" s="176">
        <f t="shared" si="91"/>
        <v>4</v>
      </c>
      <c r="AI214" s="225">
        <f t="shared" si="92"/>
        <v>-1.2677326569977665</v>
      </c>
      <c r="AJ214" s="265" t="b">
        <f t="shared" si="93"/>
        <v>1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6">
        <f t="shared" si="75"/>
        <v>0</v>
      </c>
      <c r="M215" s="855"/>
      <c r="N215" s="855"/>
      <c r="O215" s="324">
        <f t="shared" si="76"/>
        <v>0</v>
      </c>
      <c r="P215" s="169">
        <f>(INDEX(Models!$BJ215:$BT215,,T215)*(1-R215)+INDEX(Models!$BJ215:$BT215,,T215+1)*R215-ERP_i)*Q215*Ramure*Pc/MaxiM</f>
        <v>1.8173897884674404E-5</v>
      </c>
      <c r="Q215" s="305">
        <f t="shared" si="77"/>
        <v>0.7</v>
      </c>
      <c r="R215" s="177">
        <f t="shared" si="78"/>
        <v>0.73453333135058174</v>
      </c>
      <c r="S215" s="810">
        <f t="shared" si="96"/>
        <v>-2</v>
      </c>
      <c r="T215" s="176">
        <f t="shared" si="79"/>
        <v>4</v>
      </c>
      <c r="U215" s="251">
        <f t="shared" si="80"/>
        <v>-1.2654666686494183</v>
      </c>
      <c r="V215" s="383">
        <f t="shared" si="81"/>
        <v>61.428712298231822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5">
        <f t="shared" si="87"/>
        <v>0</v>
      </c>
      <c r="AD215" s="169">
        <f>(INDEX(Models!$BJ215:$BT215,,AH215)*(1-AF215)+INDEX(Models!$BJ215:$BT215,,AH215+1)*AF215-ERP_i)*AE215*Ramure*Pc/MaxiM</f>
        <v>1.8173897884674404E-5</v>
      </c>
      <c r="AE215" s="305">
        <f t="shared" si="88"/>
        <v>0.7</v>
      </c>
      <c r="AF215" s="177">
        <f t="shared" si="89"/>
        <v>0.73453333135058174</v>
      </c>
      <c r="AG215" s="810">
        <f t="shared" si="90"/>
        <v>-2</v>
      </c>
      <c r="AH215" s="176">
        <f t="shared" si="91"/>
        <v>4</v>
      </c>
      <c r="AI215" s="225">
        <f t="shared" si="92"/>
        <v>-1.2654666686494183</v>
      </c>
      <c r="AJ215" s="265" t="b">
        <f t="shared" si="93"/>
        <v>1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6">
        <f t="shared" si="75"/>
        <v>0</v>
      </c>
      <c r="M216" s="855"/>
      <c r="N216" s="855"/>
      <c r="O216" s="324">
        <f t="shared" si="76"/>
        <v>0</v>
      </c>
      <c r="P216" s="169">
        <f>(INDEX(Models!$BJ216:$BT216,,T216)*(1-R216)+INDEX(Models!$BJ216:$BT216,,T216+1)*R216-ERP_i)*Q216*Ramure*Pc/MaxiM</f>
        <v>1.8206555388231825E-5</v>
      </c>
      <c r="Q216" s="305">
        <f t="shared" si="77"/>
        <v>0.7</v>
      </c>
      <c r="R216" s="177">
        <f t="shared" si="78"/>
        <v>0.73673722955702958</v>
      </c>
      <c r="S216" s="810">
        <f t="shared" si="96"/>
        <v>-2</v>
      </c>
      <c r="T216" s="176">
        <f t="shared" si="79"/>
        <v>4</v>
      </c>
      <c r="U216" s="251">
        <f t="shared" si="80"/>
        <v>-1.2632627704429704</v>
      </c>
      <c r="V216" s="383">
        <f t="shared" si="81"/>
        <v>61.289846201295845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5">
        <f t="shared" si="87"/>
        <v>0</v>
      </c>
      <c r="AD216" s="169">
        <f>(INDEX(Models!$BJ216:$BT216,,AH216)*(1-AF216)+INDEX(Models!$BJ216:$BT216,,AH216+1)*AF216-ERP_i)*AE216*Ramure*Pc/MaxiM</f>
        <v>1.8206555388231825E-5</v>
      </c>
      <c r="AE216" s="305">
        <f t="shared" si="88"/>
        <v>0.7</v>
      </c>
      <c r="AF216" s="177">
        <f t="shared" si="89"/>
        <v>0.73673722955702958</v>
      </c>
      <c r="AG216" s="810">
        <f t="shared" si="90"/>
        <v>-2</v>
      </c>
      <c r="AH216" s="176">
        <f t="shared" si="91"/>
        <v>4</v>
      </c>
      <c r="AI216" s="225">
        <f t="shared" si="92"/>
        <v>-1.2632627704429704</v>
      </c>
      <c r="AJ216" s="265" t="b">
        <f t="shared" si="93"/>
        <v>1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6">
        <f t="shared" si="75"/>
        <v>0</v>
      </c>
      <c r="M217" s="855"/>
      <c r="N217" s="855"/>
      <c r="O217" s="324">
        <f t="shared" si="76"/>
        <v>0</v>
      </c>
      <c r="P217" s="169">
        <f>(INDEX(Models!$BJ217:$BT217,,T217)*(1-R217)+INDEX(Models!$BJ217:$BT217,,T217+1)*R217-ERP_i)*Q217*Ramure*Pc/MaxiM</f>
        <v>1.8257447503601387E-5</v>
      </c>
      <c r="Q217" s="305">
        <f t="shared" si="77"/>
        <v>0.7</v>
      </c>
      <c r="R217" s="177">
        <f t="shared" si="78"/>
        <v>0.73887977008285288</v>
      </c>
      <c r="S217" s="810">
        <f t="shared" si="96"/>
        <v>-2</v>
      </c>
      <c r="T217" s="176">
        <f t="shared" si="79"/>
        <v>4</v>
      </c>
      <c r="U217" s="251">
        <f t="shared" si="80"/>
        <v>-1.2611202299171471</v>
      </c>
      <c r="V217" s="383">
        <f t="shared" si="81"/>
        <v>61.146605901366627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5">
        <f t="shared" si="87"/>
        <v>0</v>
      </c>
      <c r="AD217" s="169">
        <f>(INDEX(Models!$BJ217:$BT217,,AH217)*(1-AF217)+INDEX(Models!$BJ217:$BT217,,AH217+1)*AF217-ERP_i)*AE217*Ramure*Pc/MaxiM</f>
        <v>1.8257447503601387E-5</v>
      </c>
      <c r="AE217" s="305">
        <f t="shared" si="88"/>
        <v>0.7</v>
      </c>
      <c r="AF217" s="177">
        <f t="shared" si="89"/>
        <v>0.73887977008285288</v>
      </c>
      <c r="AG217" s="810">
        <f t="shared" si="90"/>
        <v>-2</v>
      </c>
      <c r="AH217" s="176">
        <f t="shared" si="91"/>
        <v>4</v>
      </c>
      <c r="AI217" s="225">
        <f t="shared" si="92"/>
        <v>-1.2611202299171471</v>
      </c>
      <c r="AJ217" s="265" t="b">
        <f t="shared" si="93"/>
        <v>1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6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6">
        <f t="shared" si="75"/>
        <v>0</v>
      </c>
      <c r="M218" s="855"/>
      <c r="N218" s="855"/>
      <c r="O218" s="324">
        <f t="shared" si="76"/>
        <v>0</v>
      </c>
      <c r="P218" s="169">
        <f>(INDEX(Models!$BJ218:$BT218,,T218)*(1-R218)+INDEX(Models!$BJ218:$BT218,,T218+1)*R218-ERP_i)*Q218*Ramure*Pc/MaxiM</f>
        <v>1.8327319771929336E-5</v>
      </c>
      <c r="Q218" s="305">
        <f t="shared" si="77"/>
        <v>0.7</v>
      </c>
      <c r="R218" s="177">
        <f t="shared" si="78"/>
        <v>0.74096174589175856</v>
      </c>
      <c r="S218" s="810">
        <f t="shared" si="96"/>
        <v>-2</v>
      </c>
      <c r="T218" s="176">
        <f t="shared" si="79"/>
        <v>4</v>
      </c>
      <c r="U218" s="251">
        <f t="shared" si="80"/>
        <v>-1.2590382541082414</v>
      </c>
      <c r="V218" s="383">
        <f t="shared" si="81"/>
        <v>60.998882033493913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5">
        <f t="shared" si="87"/>
        <v>0</v>
      </c>
      <c r="AD218" s="169">
        <f>(INDEX(Models!$BJ218:$BT218,,AH218)*(1-AF218)+INDEX(Models!$BJ218:$BT218,,AH218+1)*AF218-ERP_i)*AE218*Ramure*Pc/MaxiM</f>
        <v>1.8327319771929336E-5</v>
      </c>
      <c r="AE218" s="305">
        <f t="shared" si="88"/>
        <v>0.7</v>
      </c>
      <c r="AF218" s="177">
        <f t="shared" si="89"/>
        <v>0.74096174589175856</v>
      </c>
      <c r="AG218" s="810">
        <f t="shared" si="90"/>
        <v>-2</v>
      </c>
      <c r="AH218" s="176">
        <f t="shared" si="91"/>
        <v>4</v>
      </c>
      <c r="AI218" s="225">
        <f t="shared" si="92"/>
        <v>-1.2590382541082414</v>
      </c>
      <c r="AJ218" s="265" t="b">
        <f t="shared" si="93"/>
        <v>1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6">
        <f t="shared" si="75"/>
        <v>0</v>
      </c>
      <c r="M219" s="855"/>
      <c r="N219" s="855"/>
      <c r="O219" s="324">
        <f t="shared" si="76"/>
        <v>0</v>
      </c>
      <c r="P219" s="169">
        <f>(INDEX(Models!$BJ219:$BT219,,T219)*(1-R219)+INDEX(Models!$BJ219:$BT219,,T219+1)*R219-ERP_i)*Q219*Ramure*Pc/MaxiM</f>
        <v>1.8416866714601047E-5</v>
      </c>
      <c r="Q219" s="305">
        <f t="shared" si="77"/>
        <v>0.7</v>
      </c>
      <c r="R219" s="177">
        <f t="shared" si="78"/>
        <v>0.74298400512606055</v>
      </c>
      <c r="S219" s="810">
        <f t="shared" si="96"/>
        <v>-2</v>
      </c>
      <c r="T219" s="176">
        <f t="shared" si="79"/>
        <v>4</v>
      </c>
      <c r="U219" s="251">
        <f t="shared" si="80"/>
        <v>-1.2570159948739394</v>
      </c>
      <c r="V219" s="383">
        <f t="shared" si="81"/>
        <v>60.846601678384822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5">
        <f t="shared" si="87"/>
        <v>0</v>
      </c>
      <c r="AD219" s="169">
        <f>(INDEX(Models!$BJ219:$BT219,,AH219)*(1-AF219)+INDEX(Models!$BJ219:$BT219,,AH219+1)*AF219-ERP_i)*AE219*Ramure*Pc/MaxiM</f>
        <v>1.8416866714601047E-5</v>
      </c>
      <c r="AE219" s="305">
        <f t="shared" si="88"/>
        <v>0.7</v>
      </c>
      <c r="AF219" s="177">
        <f t="shared" si="89"/>
        <v>0.74298400512606055</v>
      </c>
      <c r="AG219" s="810">
        <f t="shared" si="90"/>
        <v>-2</v>
      </c>
      <c r="AH219" s="176">
        <f t="shared" si="91"/>
        <v>4</v>
      </c>
      <c r="AI219" s="225">
        <f t="shared" si="92"/>
        <v>-1.2570159948739394</v>
      </c>
      <c r="AJ219" s="265" t="b">
        <f t="shared" si="93"/>
        <v>1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90"/>
      <c r="D220" s="393"/>
      <c r="E220" s="385"/>
      <c r="F220" s="385"/>
      <c r="G220" s="110"/>
      <c r="I220" s="380">
        <f t="shared" si="73"/>
        <v>0</v>
      </c>
      <c r="J220" s="85">
        <v>2018</v>
      </c>
      <c r="K220" s="197">
        <f t="shared" si="74"/>
        <v>43306</v>
      </c>
      <c r="L220" s="436">
        <f t="shared" si="75"/>
        <v>0</v>
      </c>
      <c r="M220" s="855"/>
      <c r="N220" s="855"/>
      <c r="O220" s="324">
        <f t="shared" si="76"/>
        <v>0</v>
      </c>
      <c r="P220" s="169">
        <f>(INDEX(Models!$BJ220:$BT220,,T220)*(1-R220)+INDEX(Models!$BJ220:$BT220,,T220+1)*R220-ERP_i)*Q220*Ramure*Pc/MaxiM</f>
        <v>1.8525252679199975E-5</v>
      </c>
      <c r="Q220" s="305">
        <f t="shared" si="77"/>
        <v>0.7</v>
      </c>
      <c r="R220" s="177">
        <f t="shared" si="78"/>
        <v>0.74494744591576856</v>
      </c>
      <c r="S220" s="810">
        <f t="shared" si="96"/>
        <v>-2</v>
      </c>
      <c r="T220" s="176">
        <f t="shared" si="79"/>
        <v>4</v>
      </c>
      <c r="U220" s="251">
        <f t="shared" si="80"/>
        <v>-1.2550525540842314</v>
      </c>
      <c r="V220" s="383">
        <f t="shared" si="81"/>
        <v>60.689837783237088</v>
      </c>
      <c r="W220" s="58"/>
      <c r="X220" s="157">
        <f t="shared" si="82"/>
        <v>43306</v>
      </c>
      <c r="Y220" s="385">
        <f t="shared" si="83"/>
        <v>0</v>
      </c>
      <c r="Z220" s="385">
        <f t="shared" si="84"/>
        <v>0</v>
      </c>
      <c r="AA220" s="386">
        <f t="shared" si="85"/>
        <v>0</v>
      </c>
      <c r="AB220" s="197">
        <f t="shared" si="86"/>
        <v>43306</v>
      </c>
      <c r="AC220" s="425">
        <f t="shared" si="87"/>
        <v>0</v>
      </c>
      <c r="AD220" s="169">
        <f>(INDEX(Models!$BJ220:$BT220,,AH220)*(1-AF220)+INDEX(Models!$BJ220:$BT220,,AH220+1)*AF220-ERP_i)*AE220*Ramure*Pc/MaxiM</f>
        <v>1.8525252679199975E-5</v>
      </c>
      <c r="AE220" s="305">
        <f t="shared" si="88"/>
        <v>0.7</v>
      </c>
      <c r="AF220" s="177">
        <f t="shared" si="89"/>
        <v>0.74494744591576856</v>
      </c>
      <c r="AG220" s="810">
        <f t="shared" si="90"/>
        <v>-2</v>
      </c>
      <c r="AH220" s="176">
        <f t="shared" si="91"/>
        <v>4</v>
      </c>
      <c r="AI220" s="225">
        <f t="shared" si="92"/>
        <v>-1.2550525540842314</v>
      </c>
      <c r="AJ220" s="265" t="b">
        <f t="shared" si="93"/>
        <v>1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90"/>
      <c r="D221" s="393"/>
      <c r="E221" s="385"/>
      <c r="F221" s="385"/>
      <c r="G221" s="110"/>
      <c r="I221" s="380">
        <f t="shared" si="73"/>
        <v>0</v>
      </c>
      <c r="J221" s="85">
        <v>2018</v>
      </c>
      <c r="K221" s="197">
        <f t="shared" si="74"/>
        <v>43307</v>
      </c>
      <c r="L221" s="436">
        <f t="shared" si="75"/>
        <v>0</v>
      </c>
      <c r="M221" s="855"/>
      <c r="N221" s="855"/>
      <c r="O221" s="324">
        <f t="shared" si="76"/>
        <v>0</v>
      </c>
      <c r="P221" s="169">
        <f>(INDEX(Models!$BJ221:$BT221,,T221)*(1-R221)+INDEX(Models!$BJ221:$BT221,,T221+1)*R221-ERP_i)*Q221*Ramure*Pc/MaxiM</f>
        <v>1.8639650062747866E-5</v>
      </c>
      <c r="Q221" s="305">
        <f t="shared" si="77"/>
        <v>0.7</v>
      </c>
      <c r="R221" s="177">
        <f t="shared" si="78"/>
        <v>0.74685301133805559</v>
      </c>
      <c r="S221" s="810">
        <f t="shared" si="96"/>
        <v>-2</v>
      </c>
      <c r="T221" s="176">
        <f t="shared" si="79"/>
        <v>4</v>
      </c>
      <c r="U221" s="251">
        <f t="shared" si="80"/>
        <v>-1.2531469886619444</v>
      </c>
      <c r="V221" s="383">
        <f t="shared" si="81"/>
        <v>60.528700462840348</v>
      </c>
      <c r="W221" s="58"/>
      <c r="X221" s="157">
        <f t="shared" si="82"/>
        <v>43307</v>
      </c>
      <c r="Y221" s="385">
        <f t="shared" si="83"/>
        <v>0</v>
      </c>
      <c r="Z221" s="385">
        <f t="shared" si="84"/>
        <v>0</v>
      </c>
      <c r="AA221" s="386">
        <f t="shared" si="85"/>
        <v>0</v>
      </c>
      <c r="AB221" s="197">
        <f t="shared" si="86"/>
        <v>43307</v>
      </c>
      <c r="AC221" s="425">
        <f t="shared" si="87"/>
        <v>0</v>
      </c>
      <c r="AD221" s="169">
        <f>(INDEX(Models!$BJ221:$BT221,,AH221)*(1-AF221)+INDEX(Models!$BJ221:$BT221,,AH221+1)*AF221-ERP_i)*AE221*Ramure*Pc/MaxiM</f>
        <v>1.8639650062747866E-5</v>
      </c>
      <c r="AE221" s="305">
        <f t="shared" si="88"/>
        <v>0.7</v>
      </c>
      <c r="AF221" s="177">
        <f t="shared" si="89"/>
        <v>0.74685301133805559</v>
      </c>
      <c r="AG221" s="810">
        <f t="shared" si="90"/>
        <v>-2</v>
      </c>
      <c r="AH221" s="176">
        <f t="shared" si="91"/>
        <v>4</v>
      </c>
      <c r="AI221" s="225">
        <f t="shared" si="92"/>
        <v>-1.2531469886619444</v>
      </c>
      <c r="AJ221" s="265" t="b">
        <f t="shared" si="93"/>
        <v>1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90"/>
      <c r="D222" s="393"/>
      <c r="E222" s="385"/>
      <c r="F222" s="385"/>
      <c r="G222" s="110"/>
      <c r="I222" s="380">
        <f t="shared" si="73"/>
        <v>0</v>
      </c>
      <c r="J222" s="85">
        <v>2018</v>
      </c>
      <c r="K222" s="197">
        <f t="shared" si="74"/>
        <v>43308</v>
      </c>
      <c r="L222" s="436">
        <f t="shared" si="75"/>
        <v>0</v>
      </c>
      <c r="M222" s="855"/>
      <c r="N222" s="855"/>
      <c r="O222" s="324">
        <f t="shared" si="76"/>
        <v>0</v>
      </c>
      <c r="P222" s="169">
        <f>(INDEX(Models!$BJ222:$BT222,,T222)*(1-R222)+INDEX(Models!$BJ222:$BT222,,T222+1)*R222-ERP_i)*Q222*Ramure*Pc/MaxiM</f>
        <v>1.8760326218620229E-5</v>
      </c>
      <c r="Q222" s="305">
        <f t="shared" si="77"/>
        <v>0.7</v>
      </c>
      <c r="R222" s="177">
        <f t="shared" si="78"/>
        <v>0.74870168454202823</v>
      </c>
      <c r="S222" s="810">
        <f t="shared" si="96"/>
        <v>-2</v>
      </c>
      <c r="T222" s="176">
        <f t="shared" si="79"/>
        <v>4</v>
      </c>
      <c r="U222" s="251">
        <f t="shared" si="80"/>
        <v>-1.2512983154579718</v>
      </c>
      <c r="V222" s="383">
        <f t="shared" si="81"/>
        <v>60.363299030384255</v>
      </c>
      <c r="W222" s="58"/>
      <c r="X222" s="157">
        <f t="shared" si="82"/>
        <v>43308</v>
      </c>
      <c r="Y222" s="385">
        <f t="shared" si="83"/>
        <v>0</v>
      </c>
      <c r="Z222" s="385">
        <f t="shared" si="84"/>
        <v>0</v>
      </c>
      <c r="AA222" s="386">
        <f t="shared" si="85"/>
        <v>0</v>
      </c>
      <c r="AB222" s="197">
        <f t="shared" si="86"/>
        <v>43308</v>
      </c>
      <c r="AC222" s="425">
        <f t="shared" si="87"/>
        <v>0</v>
      </c>
      <c r="AD222" s="169">
        <f>(INDEX(Models!$BJ222:$BT222,,AH222)*(1-AF222)+INDEX(Models!$BJ222:$BT222,,AH222+1)*AF222-ERP_i)*AE222*Ramure*Pc/MaxiM</f>
        <v>1.8760326218620229E-5</v>
      </c>
      <c r="AE222" s="305">
        <f t="shared" si="88"/>
        <v>0.7</v>
      </c>
      <c r="AF222" s="177">
        <f t="shared" si="89"/>
        <v>0.74870168454202823</v>
      </c>
      <c r="AG222" s="810">
        <f t="shared" si="90"/>
        <v>-2</v>
      </c>
      <c r="AH222" s="176">
        <f t="shared" si="91"/>
        <v>4</v>
      </c>
      <c r="AI222" s="225">
        <f t="shared" si="92"/>
        <v>-1.2512983154579718</v>
      </c>
      <c r="AJ222" s="265" t="b">
        <f t="shared" si="93"/>
        <v>1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90"/>
      <c r="D223" s="393"/>
      <c r="E223" s="385"/>
      <c r="F223" s="385"/>
      <c r="G223" s="110"/>
      <c r="I223" s="380">
        <f t="shared" si="73"/>
        <v>0</v>
      </c>
      <c r="J223" s="85">
        <v>2018</v>
      </c>
      <c r="K223" s="197">
        <f t="shared" si="74"/>
        <v>43309</v>
      </c>
      <c r="L223" s="436">
        <f t="shared" si="75"/>
        <v>0</v>
      </c>
      <c r="M223" s="855"/>
      <c r="N223" s="855"/>
      <c r="O223" s="324">
        <f t="shared" si="76"/>
        <v>0</v>
      </c>
      <c r="P223" s="169">
        <f>(INDEX(Models!$BJ223:$BT223,,T223)*(1-R223)+INDEX(Models!$BJ223:$BT223,,T223+1)*R223-ERP_i)*Q223*Ramure*Pc/MaxiM</f>
        <v>1.8887543915463325E-5</v>
      </c>
      <c r="Q223" s="305">
        <f t="shared" si="77"/>
        <v>0.7</v>
      </c>
      <c r="R223" s="177">
        <f t="shared" si="78"/>
        <v>0.75049448405129349</v>
      </c>
      <c r="S223" s="810">
        <f t="shared" si="96"/>
        <v>-2</v>
      </c>
      <c r="T223" s="176">
        <f t="shared" si="79"/>
        <v>4</v>
      </c>
      <c r="U223" s="251">
        <f t="shared" si="80"/>
        <v>-1.2495055159487065</v>
      </c>
      <c r="V223" s="383">
        <f t="shared" si="81"/>
        <v>60.193742804274727</v>
      </c>
      <c r="W223" s="58"/>
      <c r="X223" s="157">
        <f t="shared" si="82"/>
        <v>43309</v>
      </c>
      <c r="Y223" s="385">
        <f t="shared" si="83"/>
        <v>0</v>
      </c>
      <c r="Z223" s="385">
        <f t="shared" si="84"/>
        <v>0</v>
      </c>
      <c r="AA223" s="386">
        <f t="shared" si="85"/>
        <v>0</v>
      </c>
      <c r="AB223" s="197">
        <f t="shared" si="86"/>
        <v>43309</v>
      </c>
      <c r="AC223" s="425">
        <f t="shared" si="87"/>
        <v>0</v>
      </c>
      <c r="AD223" s="169">
        <f>(INDEX(Models!$BJ223:$BT223,,AH223)*(1-AF223)+INDEX(Models!$BJ223:$BT223,,AH223+1)*AF223-ERP_i)*AE223*Ramure*Pc/MaxiM</f>
        <v>1.8887543915463325E-5</v>
      </c>
      <c r="AE223" s="305">
        <f t="shared" si="88"/>
        <v>0.7</v>
      </c>
      <c r="AF223" s="177">
        <f t="shared" si="89"/>
        <v>0.75049448405129349</v>
      </c>
      <c r="AG223" s="810">
        <f t="shared" si="90"/>
        <v>-2</v>
      </c>
      <c r="AH223" s="176">
        <f t="shared" si="91"/>
        <v>4</v>
      </c>
      <c r="AI223" s="225">
        <f t="shared" si="92"/>
        <v>-1.2495055159487065</v>
      </c>
      <c r="AJ223" s="265" t="b">
        <f t="shared" si="93"/>
        <v>1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90"/>
      <c r="D224" s="393"/>
      <c r="E224" s="385"/>
      <c r="F224" s="385"/>
      <c r="G224" s="110"/>
      <c r="I224" s="380">
        <f t="shared" si="73"/>
        <v>0</v>
      </c>
      <c r="J224" s="85">
        <v>2018</v>
      </c>
      <c r="K224" s="197">
        <f t="shared" si="74"/>
        <v>43310</v>
      </c>
      <c r="L224" s="436">
        <f t="shared" si="75"/>
        <v>0</v>
      </c>
      <c r="M224" s="855"/>
      <c r="N224" s="855"/>
      <c r="O224" s="324">
        <f t="shared" si="76"/>
        <v>0</v>
      </c>
      <c r="P224" s="169">
        <f>(INDEX(Models!$BJ224:$BT224,,T224)*(1-R224)+INDEX(Models!$BJ224:$BT224,,T224+1)*R224-ERP_i)*Q224*Ramure*Pc/MaxiM</f>
        <v>1.9021561289102117E-5</v>
      </c>
      <c r="Q224" s="305">
        <f t="shared" si="77"/>
        <v>0.7</v>
      </c>
      <c r="R224" s="177">
        <f t="shared" si="78"/>
        <v>0.7522324592545202</v>
      </c>
      <c r="S224" s="810">
        <f t="shared" si="96"/>
        <v>-2</v>
      </c>
      <c r="T224" s="176">
        <f t="shared" si="79"/>
        <v>4</v>
      </c>
      <c r="U224" s="251">
        <f t="shared" si="80"/>
        <v>-1.2477675407454798</v>
      </c>
      <c r="V224" s="383">
        <f t="shared" si="81"/>
        <v>60.020141100872877</v>
      </c>
      <c r="W224" s="58"/>
      <c r="X224" s="157">
        <f t="shared" si="82"/>
        <v>43310</v>
      </c>
      <c r="Y224" s="385">
        <f t="shared" si="83"/>
        <v>0</v>
      </c>
      <c r="Z224" s="385">
        <f t="shared" si="84"/>
        <v>0</v>
      </c>
      <c r="AA224" s="386">
        <f t="shared" si="85"/>
        <v>0</v>
      </c>
      <c r="AB224" s="197">
        <f t="shared" si="86"/>
        <v>43310</v>
      </c>
      <c r="AC224" s="425">
        <f t="shared" si="87"/>
        <v>0</v>
      </c>
      <c r="AD224" s="169">
        <f>(INDEX(Models!$BJ224:$BT224,,AH224)*(1-AF224)+INDEX(Models!$BJ224:$BT224,,AH224+1)*AF224-ERP_i)*AE224*Ramure*Pc/MaxiM</f>
        <v>1.9021561289102117E-5</v>
      </c>
      <c r="AE224" s="305">
        <f t="shared" si="88"/>
        <v>0.7</v>
      </c>
      <c r="AF224" s="177">
        <f t="shared" si="89"/>
        <v>0.7522324592545202</v>
      </c>
      <c r="AG224" s="810">
        <f t="shared" si="90"/>
        <v>-2</v>
      </c>
      <c r="AH224" s="176">
        <f t="shared" si="91"/>
        <v>4</v>
      </c>
      <c r="AI224" s="225">
        <f t="shared" si="92"/>
        <v>-1.2477675407454798</v>
      </c>
      <c r="AJ224" s="265" t="b">
        <f t="shared" si="93"/>
        <v>1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6"/>
      <c r="C225" s="390"/>
      <c r="D225" s="393"/>
      <c r="E225" s="385"/>
      <c r="F225" s="385"/>
      <c r="G225" s="110"/>
      <c r="I225" s="380">
        <f t="shared" si="73"/>
        <v>0</v>
      </c>
      <c r="J225" s="85">
        <v>2018</v>
      </c>
      <c r="K225" s="197">
        <f t="shared" si="74"/>
        <v>43311</v>
      </c>
      <c r="L225" s="436">
        <f t="shared" si="75"/>
        <v>0</v>
      </c>
      <c r="M225" s="855"/>
      <c r="N225" s="855"/>
      <c r="O225" s="324">
        <f t="shared" si="76"/>
        <v>0</v>
      </c>
      <c r="P225" s="169">
        <f>(INDEX(Models!$BJ225:$BT225,,T225)*(1-R225)+INDEX(Models!$BJ225:$BT225,,T225+1)*R225-ERP_i)*Q225*Ramure*Pc/MaxiM</f>
        <v>1.9162631817007831E-5</v>
      </c>
      <c r="Q225" s="305">
        <f t="shared" si="77"/>
        <v>0.7</v>
      </c>
      <c r="R225" s="177">
        <f t="shared" si="78"/>
        <v>0.75391668609202611</v>
      </c>
      <c r="S225" s="810">
        <f t="shared" si="96"/>
        <v>-2</v>
      </c>
      <c r="T225" s="176">
        <f t="shared" si="79"/>
        <v>4</v>
      </c>
      <c r="U225" s="251">
        <f t="shared" si="80"/>
        <v>-1.2460833139079739</v>
      </c>
      <c r="V225" s="383">
        <f t="shared" si="81"/>
        <v>59.842603236252202</v>
      </c>
      <c r="W225" s="58"/>
      <c r="X225" s="157">
        <f t="shared" si="82"/>
        <v>43311</v>
      </c>
      <c r="Y225" s="385">
        <f t="shared" si="83"/>
        <v>0</v>
      </c>
      <c r="Z225" s="385">
        <f t="shared" si="84"/>
        <v>0</v>
      </c>
      <c r="AA225" s="386">
        <f t="shared" si="85"/>
        <v>0</v>
      </c>
      <c r="AB225" s="197">
        <f t="shared" si="86"/>
        <v>43311</v>
      </c>
      <c r="AC225" s="425">
        <f t="shared" si="87"/>
        <v>0</v>
      </c>
      <c r="AD225" s="169">
        <f>(INDEX(Models!$BJ225:$BT225,,AH225)*(1-AF225)+INDEX(Models!$BJ225:$BT225,,AH225+1)*AF225-ERP_i)*AE225*Ramure*Pc/MaxiM</f>
        <v>1.9162631817007831E-5</v>
      </c>
      <c r="AE225" s="305">
        <f t="shared" si="88"/>
        <v>0.7</v>
      </c>
      <c r="AF225" s="177">
        <f t="shared" si="89"/>
        <v>0.75391668609202611</v>
      </c>
      <c r="AG225" s="810">
        <f t="shared" si="90"/>
        <v>-2</v>
      </c>
      <c r="AH225" s="176">
        <f t="shared" si="91"/>
        <v>4</v>
      </c>
      <c r="AI225" s="225">
        <f t="shared" si="92"/>
        <v>-1.2460833139079739</v>
      </c>
      <c r="AJ225" s="265" t="b">
        <f t="shared" si="93"/>
        <v>1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6"/>
      <c r="C226" s="390"/>
      <c r="D226" s="393"/>
      <c r="E226" s="385"/>
      <c r="F226" s="385"/>
      <c r="G226" s="110"/>
      <c r="I226" s="380">
        <f t="shared" si="73"/>
        <v>0</v>
      </c>
      <c r="J226" s="85">
        <v>2018</v>
      </c>
      <c r="K226" s="197">
        <f t="shared" si="74"/>
        <v>43312</v>
      </c>
      <c r="L226" s="436">
        <f t="shared" si="75"/>
        <v>0</v>
      </c>
      <c r="M226" s="855"/>
      <c r="N226" s="855"/>
      <c r="O226" s="324">
        <f t="shared" si="76"/>
        <v>0</v>
      </c>
      <c r="P226" s="169">
        <f>(INDEX(Models!$BJ226:$BT226,,T226)*(1-R226)+INDEX(Models!$BJ226:$BT226,,T226+1)*R226-ERP_i)*Q226*Ramure*Pc/MaxiM</f>
        <v>1.9348135205853568E-5</v>
      </c>
      <c r="Q226" s="305">
        <f t="shared" si="77"/>
        <v>0.7</v>
      </c>
      <c r="R226" s="177">
        <f t="shared" si="78"/>
        <v>0.75554826294440458</v>
      </c>
      <c r="S226" s="810">
        <f t="shared" si="96"/>
        <v>-2</v>
      </c>
      <c r="T226" s="176">
        <f t="shared" si="79"/>
        <v>4</v>
      </c>
      <c r="U226" s="251">
        <f t="shared" si="80"/>
        <v>-1.2444517370555954</v>
      </c>
      <c r="V226" s="383">
        <f t="shared" si="81"/>
        <v>59.661236314391793</v>
      </c>
      <c r="W226" s="58"/>
      <c r="X226" s="157">
        <f t="shared" si="82"/>
        <v>43312</v>
      </c>
      <c r="Y226" s="385">
        <f t="shared" si="83"/>
        <v>0</v>
      </c>
      <c r="Z226" s="385">
        <f t="shared" si="84"/>
        <v>0</v>
      </c>
      <c r="AA226" s="386">
        <f t="shared" si="85"/>
        <v>0</v>
      </c>
      <c r="AB226" s="197">
        <f t="shared" si="86"/>
        <v>43312</v>
      </c>
      <c r="AC226" s="425">
        <f t="shared" si="87"/>
        <v>0</v>
      </c>
      <c r="AD226" s="169">
        <f>(INDEX(Models!$BJ226:$BT226,,AH226)*(1-AF226)+INDEX(Models!$BJ226:$BT226,,AH226+1)*AF226-ERP_i)*AE226*Ramure*Pc/MaxiM</f>
        <v>1.9348135205853568E-5</v>
      </c>
      <c r="AE226" s="305">
        <f t="shared" si="88"/>
        <v>0.7</v>
      </c>
      <c r="AF226" s="177">
        <f t="shared" si="89"/>
        <v>0.75554826294440458</v>
      </c>
      <c r="AG226" s="810">
        <f t="shared" si="90"/>
        <v>-2</v>
      </c>
      <c r="AH226" s="176">
        <f t="shared" si="91"/>
        <v>4</v>
      </c>
      <c r="AI226" s="225">
        <f t="shared" si="92"/>
        <v>-1.2444517370555954</v>
      </c>
      <c r="AJ226" s="265" t="b">
        <f t="shared" si="93"/>
        <v>1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6"/>
      <c r="C227" s="390"/>
      <c r="D227" s="393"/>
      <c r="E227" s="385"/>
      <c r="F227" s="385"/>
      <c r="G227" s="110"/>
      <c r="I227" s="380">
        <f t="shared" si="73"/>
        <v>0</v>
      </c>
      <c r="J227" s="85">
        <v>2018</v>
      </c>
      <c r="K227" s="197">
        <f t="shared" si="74"/>
        <v>43313</v>
      </c>
      <c r="L227" s="436">
        <f t="shared" si="75"/>
        <v>0</v>
      </c>
      <c r="M227" s="855"/>
      <c r="N227" s="855"/>
      <c r="O227" s="324">
        <f t="shared" si="76"/>
        <v>0</v>
      </c>
      <c r="P227" s="169">
        <f>(INDEX(Models!$BJ227:$BT227,,T227)*(1-R227)+INDEX(Models!$BJ227:$BT227,,T227+1)*R227-ERP_i)*Q227*Ramure*Pc/MaxiM</f>
        <v>1.9569246693179043E-5</v>
      </c>
      <c r="Q227" s="305">
        <f t="shared" si="77"/>
        <v>0.7</v>
      </c>
      <c r="R227" s="177">
        <f t="shared" si="78"/>
        <v>0.75712830672733999</v>
      </c>
      <c r="S227" s="810">
        <f t="shared" si="96"/>
        <v>-2</v>
      </c>
      <c r="T227" s="176">
        <f t="shared" si="79"/>
        <v>4</v>
      </c>
      <c r="U227" s="251">
        <f t="shared" si="80"/>
        <v>-1.24287169327266</v>
      </c>
      <c r="V227" s="383">
        <f t="shared" si="81"/>
        <v>59.4761502144678</v>
      </c>
      <c r="W227" s="58"/>
      <c r="X227" s="157">
        <f t="shared" si="82"/>
        <v>43313</v>
      </c>
      <c r="Y227" s="385">
        <f t="shared" si="83"/>
        <v>0</v>
      </c>
      <c r="Z227" s="385">
        <f t="shared" si="84"/>
        <v>0</v>
      </c>
      <c r="AA227" s="386">
        <f t="shared" si="85"/>
        <v>0</v>
      </c>
      <c r="AB227" s="197">
        <f t="shared" si="86"/>
        <v>43313</v>
      </c>
      <c r="AC227" s="425">
        <f t="shared" si="87"/>
        <v>0</v>
      </c>
      <c r="AD227" s="169">
        <f>(INDEX(Models!$BJ227:$BT227,,AH227)*(1-AF227)+INDEX(Models!$BJ227:$BT227,,AH227+1)*AF227-ERP_i)*AE227*Ramure*Pc/MaxiM</f>
        <v>1.9569246693179043E-5</v>
      </c>
      <c r="AE227" s="305">
        <f t="shared" si="88"/>
        <v>0.7</v>
      </c>
      <c r="AF227" s="177">
        <f t="shared" si="89"/>
        <v>0.75712830672733999</v>
      </c>
      <c r="AG227" s="810">
        <f t="shared" si="90"/>
        <v>-2</v>
      </c>
      <c r="AH227" s="176">
        <f t="shared" si="91"/>
        <v>4</v>
      </c>
      <c r="AI227" s="225">
        <f t="shared" si="92"/>
        <v>-1.24287169327266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6"/>
      <c r="C228" s="390"/>
      <c r="D228" s="393"/>
      <c r="E228" s="385"/>
      <c r="F228" s="385"/>
      <c r="G228" s="110"/>
      <c r="I228" s="380">
        <f t="shared" si="73"/>
        <v>0</v>
      </c>
      <c r="J228" s="85">
        <v>2018</v>
      </c>
      <c r="K228" s="197">
        <f t="shared" si="74"/>
        <v>43314</v>
      </c>
      <c r="L228" s="436">
        <f t="shared" si="75"/>
        <v>2.3271460905971431E-5</v>
      </c>
      <c r="M228" s="855"/>
      <c r="N228" s="855"/>
      <c r="O228" s="324">
        <f t="shared" si="76"/>
        <v>1.9549813094950794E-4</v>
      </c>
      <c r="P228" s="169">
        <f>(INDEX(Models!$BJ228:$BT228,,T228)*(1-R228)+INDEX(Models!$BJ228:$BT228,,T228+1)*R228-ERP_i)*Q228*Ramure*Pc/MaxiM</f>
        <v>1.982679983073902E-5</v>
      </c>
      <c r="Q228" s="305">
        <f t="shared" si="77"/>
        <v>0.7</v>
      </c>
      <c r="R228" s="177">
        <f t="shared" si="78"/>
        <v>0.75865794919504959</v>
      </c>
      <c r="S228" s="810">
        <f t="shared" si="96"/>
        <v>-2</v>
      </c>
      <c r="T228" s="176">
        <f t="shared" si="79"/>
        <v>4</v>
      </c>
      <c r="U228" s="251">
        <f t="shared" si="80"/>
        <v>-1.2413420508049504</v>
      </c>
      <c r="V228" s="383">
        <f t="shared" si="81"/>
        <v>59.274484211586596</v>
      </c>
      <c r="W228" s="58"/>
      <c r="X228" s="157">
        <f t="shared" si="82"/>
        <v>43314</v>
      </c>
      <c r="Y228" s="385">
        <f t="shared" si="83"/>
        <v>0</v>
      </c>
      <c r="Z228" s="385">
        <f t="shared" si="84"/>
        <v>0</v>
      </c>
      <c r="AA228" s="386">
        <f t="shared" si="85"/>
        <v>0</v>
      </c>
      <c r="AB228" s="197">
        <f t="shared" si="86"/>
        <v>43314</v>
      </c>
      <c r="AC228" s="425">
        <f t="shared" si="87"/>
        <v>1.9549813094950794E-4</v>
      </c>
      <c r="AD228" s="169">
        <f>(INDEX(Models!$BJ228:$BT228,,AH228)*(1-AF228)+INDEX(Models!$BJ228:$BT228,,AH228+1)*AF228-ERP_i)*AE228*Ramure*Pc/MaxiM</f>
        <v>1.982679983073902E-5</v>
      </c>
      <c r="AE228" s="305">
        <f t="shared" si="88"/>
        <v>0.7</v>
      </c>
      <c r="AF228" s="177">
        <f t="shared" si="89"/>
        <v>0.75865794919504959</v>
      </c>
      <c r="AG228" s="810">
        <f t="shared" si="90"/>
        <v>-2</v>
      </c>
      <c r="AH228" s="176">
        <f t="shared" si="91"/>
        <v>4</v>
      </c>
      <c r="AI228" s="225">
        <f t="shared" si="92"/>
        <v>-1.2413420508049504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6"/>
      <c r="C229" s="390"/>
      <c r="D229" s="393"/>
      <c r="E229" s="385"/>
      <c r="F229" s="385"/>
      <c r="G229" s="110"/>
      <c r="I229" s="380">
        <f t="shared" si="73"/>
        <v>0</v>
      </c>
      <c r="J229" s="85">
        <v>2018</v>
      </c>
      <c r="K229" s="197">
        <f t="shared" si="74"/>
        <v>43315</v>
      </c>
      <c r="L229" s="436">
        <f t="shared" si="75"/>
        <v>4.6542380251035631E-5</v>
      </c>
      <c r="M229" s="855"/>
      <c r="N229" s="855"/>
      <c r="O229" s="324">
        <f t="shared" si="76"/>
        <v>3.9077563726979113E-4</v>
      </c>
      <c r="P229" s="169">
        <f>(INDEX(Models!$BJ229:$BT229,,T229)*(1-R229)+INDEX(Models!$BJ229:$BT229,,T229+1)*R229-ERP_i)*Q229*Ramure*Pc/MaxiM</f>
        <v>2.0121617540858815E-5</v>
      </c>
      <c r="Q229" s="305">
        <f t="shared" si="77"/>
        <v>0.7</v>
      </c>
      <c r="R229" s="177">
        <f t="shared" si="78"/>
        <v>0.7601383334532279</v>
      </c>
      <c r="S229" s="810">
        <f t="shared" si="96"/>
        <v>-2</v>
      </c>
      <c r="T229" s="176">
        <f t="shared" si="79"/>
        <v>4</v>
      </c>
      <c r="U229" s="251">
        <f t="shared" si="80"/>
        <v>-1.2398616665467721</v>
      </c>
      <c r="V229" s="383">
        <f t="shared" si="81"/>
        <v>59.069415330870676</v>
      </c>
      <c r="W229" s="58"/>
      <c r="X229" s="157">
        <f t="shared" si="82"/>
        <v>43315</v>
      </c>
      <c r="Y229" s="385">
        <f t="shared" si="83"/>
        <v>0</v>
      </c>
      <c r="Z229" s="385">
        <f t="shared" si="84"/>
        <v>0</v>
      </c>
      <c r="AA229" s="386">
        <f t="shared" si="85"/>
        <v>0</v>
      </c>
      <c r="AB229" s="197">
        <f t="shared" si="86"/>
        <v>43315</v>
      </c>
      <c r="AC229" s="425">
        <f t="shared" si="87"/>
        <v>3.9077563726979113E-4</v>
      </c>
      <c r="AD229" s="169">
        <f>(INDEX(Models!$BJ229:$BT229,,AH229)*(1-AF229)+INDEX(Models!$BJ229:$BT229,,AH229+1)*AF229-ERP_i)*AE229*Ramure*Pc/MaxiM</f>
        <v>2.0121617540858815E-5</v>
      </c>
      <c r="AE229" s="305">
        <f t="shared" si="88"/>
        <v>0.7</v>
      </c>
      <c r="AF229" s="177">
        <f t="shared" si="89"/>
        <v>0.7601383334532279</v>
      </c>
      <c r="AG229" s="810">
        <f t="shared" si="90"/>
        <v>-2</v>
      </c>
      <c r="AH229" s="176">
        <f t="shared" si="91"/>
        <v>4</v>
      </c>
      <c r="AI229" s="225">
        <f t="shared" si="92"/>
        <v>-1.2398616665467721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6"/>
      <c r="C230" s="390"/>
      <c r="D230" s="393"/>
      <c r="E230" s="385"/>
      <c r="F230" s="385"/>
      <c r="G230" s="110"/>
      <c r="I230" s="380">
        <f t="shared" si="73"/>
        <v>0</v>
      </c>
      <c r="J230" s="85">
        <v>2018</v>
      </c>
      <c r="K230" s="197">
        <f t="shared" si="74"/>
        <v>43316</v>
      </c>
      <c r="L230" s="436">
        <f t="shared" si="75"/>
        <v>6.9812758047849144E-5</v>
      </c>
      <c r="M230" s="855"/>
      <c r="N230" s="855"/>
      <c r="O230" s="324">
        <f t="shared" si="76"/>
        <v>5.8583127309492925E-4</v>
      </c>
      <c r="P230" s="169">
        <f>(INDEX(Models!$BJ230:$BT230,,T230)*(1-R230)+INDEX(Models!$BJ230:$BT230,,T230+1)*R230-ERP_i)*Q230*Ramure*Pc/MaxiM</f>
        <v>2.0454512899398477E-5</v>
      </c>
      <c r="Q230" s="305">
        <f t="shared" si="77"/>
        <v>0.7</v>
      </c>
      <c r="R230" s="177">
        <f t="shared" si="78"/>
        <v>0.76157061068096921</v>
      </c>
      <c r="S230" s="810">
        <f t="shared" si="96"/>
        <v>-2</v>
      </c>
      <c r="T230" s="176">
        <f t="shared" si="79"/>
        <v>4</v>
      </c>
      <c r="U230" s="251">
        <f t="shared" si="80"/>
        <v>-1.2384293893190308</v>
      </c>
      <c r="V230" s="383">
        <f t="shared" si="81"/>
        <v>58.861055038920128</v>
      </c>
      <c r="W230" s="58"/>
      <c r="X230" s="157">
        <f t="shared" si="82"/>
        <v>43316</v>
      </c>
      <c r="Y230" s="385">
        <f t="shared" si="83"/>
        <v>0</v>
      </c>
      <c r="Z230" s="385">
        <f t="shared" si="84"/>
        <v>0</v>
      </c>
      <c r="AA230" s="386">
        <f t="shared" si="85"/>
        <v>0</v>
      </c>
      <c r="AB230" s="197">
        <f t="shared" si="86"/>
        <v>43316</v>
      </c>
      <c r="AC230" s="425">
        <f t="shared" si="87"/>
        <v>5.8583127309492925E-4</v>
      </c>
      <c r="AD230" s="169">
        <f>(INDEX(Models!$BJ230:$BT230,,AH230)*(1-AF230)+INDEX(Models!$BJ230:$BT230,,AH230+1)*AF230-ERP_i)*AE230*Ramure*Pc/MaxiM</f>
        <v>2.0454512899398477E-5</v>
      </c>
      <c r="AE230" s="305">
        <f t="shared" si="88"/>
        <v>0.7</v>
      </c>
      <c r="AF230" s="177">
        <f t="shared" si="89"/>
        <v>0.76157061068096921</v>
      </c>
      <c r="AG230" s="810">
        <f t="shared" si="90"/>
        <v>-2</v>
      </c>
      <c r="AH230" s="176">
        <f t="shared" si="91"/>
        <v>4</v>
      </c>
      <c r="AI230" s="225">
        <f t="shared" si="92"/>
        <v>-1.2384293893190308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6"/>
      <c r="C231" s="390"/>
      <c r="D231" s="393"/>
      <c r="E231" s="385"/>
      <c r="F231" s="385"/>
      <c r="G231" s="110"/>
      <c r="I231" s="380">
        <f t="shared" si="73"/>
        <v>0</v>
      </c>
      <c r="J231" s="85">
        <v>2018</v>
      </c>
      <c r="K231" s="197">
        <f t="shared" si="74"/>
        <v>43317</v>
      </c>
      <c r="L231" s="436">
        <f t="shared" si="75"/>
        <v>9.3082594308957489E-5</v>
      </c>
      <c r="M231" s="855"/>
      <c r="N231" s="855"/>
      <c r="O231" s="324">
        <f t="shared" si="76"/>
        <v>7.8066387211572655E-4</v>
      </c>
      <c r="P231" s="169">
        <f>(INDEX(Models!$BJ231:$BT231,,T231)*(1-R231)+INDEX(Models!$BJ231:$BT231,,T231+1)*R231-ERP_i)*Q231*Ramure*Pc/MaxiM</f>
        <v>2.0826289858256206E-5</v>
      </c>
      <c r="Q231" s="305">
        <f t="shared" si="77"/>
        <v>0.7</v>
      </c>
      <c r="R231" s="177">
        <f t="shared" si="78"/>
        <v>0.76295593705988307</v>
      </c>
      <c r="S231" s="810">
        <f t="shared" si="96"/>
        <v>-2</v>
      </c>
      <c r="T231" s="176">
        <f t="shared" si="79"/>
        <v>4</v>
      </c>
      <c r="U231" s="251">
        <f t="shared" si="80"/>
        <v>-1.2370440629401169</v>
      </c>
      <c r="V231" s="383">
        <f t="shared" si="81"/>
        <v>58.649514698991595</v>
      </c>
      <c r="W231" s="58"/>
      <c r="X231" s="157">
        <f t="shared" si="82"/>
        <v>43317</v>
      </c>
      <c r="Y231" s="385">
        <f t="shared" si="83"/>
        <v>0</v>
      </c>
      <c r="Z231" s="385">
        <f t="shared" si="84"/>
        <v>0</v>
      </c>
      <c r="AA231" s="386">
        <f t="shared" si="85"/>
        <v>0</v>
      </c>
      <c r="AB231" s="197">
        <f t="shared" si="86"/>
        <v>43317</v>
      </c>
      <c r="AC231" s="425">
        <f t="shared" si="87"/>
        <v>7.8066387211572655E-4</v>
      </c>
      <c r="AD231" s="169">
        <f>(INDEX(Models!$BJ231:$BT231,,AH231)*(1-AF231)+INDEX(Models!$BJ231:$BT231,,AH231+1)*AF231-ERP_i)*AE231*Ramure*Pc/MaxiM</f>
        <v>2.0826289858256206E-5</v>
      </c>
      <c r="AE231" s="305">
        <f t="shared" si="88"/>
        <v>0.7</v>
      </c>
      <c r="AF231" s="177">
        <f t="shared" si="89"/>
        <v>0.76295593705988307</v>
      </c>
      <c r="AG231" s="810">
        <f t="shared" si="90"/>
        <v>-2</v>
      </c>
      <c r="AH231" s="176">
        <f t="shared" si="91"/>
        <v>4</v>
      </c>
      <c r="AI231" s="225">
        <f t="shared" si="92"/>
        <v>-1.2370440629401169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6"/>
      <c r="C232" s="390"/>
      <c r="D232" s="393"/>
      <c r="E232" s="385"/>
      <c r="F232" s="385"/>
      <c r="G232" s="110"/>
      <c r="I232" s="380">
        <f t="shared" si="73"/>
        <v>0</v>
      </c>
      <c r="J232" s="85">
        <v>2018</v>
      </c>
      <c r="K232" s="197">
        <f t="shared" si="74"/>
        <v>43318</v>
      </c>
      <c r="L232" s="436">
        <f t="shared" si="75"/>
        <v>1.1635188904701721E-4</v>
      </c>
      <c r="M232" s="855"/>
      <c r="N232" s="855"/>
      <c r="O232" s="324">
        <f t="shared" si="76"/>
        <v>9.7527232650977604E-4</v>
      </c>
      <c r="P232" s="169">
        <f>(INDEX(Models!$BJ232:$BT232,,T232)*(1-R232)+INDEX(Models!$BJ232:$BT232,,T232+1)*R232-ERP_i)*Q232*Ramure*Pc/MaxiM</f>
        <v>2.1237743906737172E-5</v>
      </c>
      <c r="Q232" s="305">
        <f t="shared" si="77"/>
        <v>0.7</v>
      </c>
      <c r="R232" s="177">
        <f t="shared" si="78"/>
        <v>0.76429547090750827</v>
      </c>
      <c r="S232" s="810">
        <f t="shared" si="96"/>
        <v>-2</v>
      </c>
      <c r="T232" s="176">
        <f t="shared" si="79"/>
        <v>4</v>
      </c>
      <c r="U232" s="251">
        <f t="shared" si="80"/>
        <v>-1.2357045290924917</v>
      </c>
      <c r="V232" s="383">
        <f t="shared" si="81"/>
        <v>58.434905570119682</v>
      </c>
      <c r="W232" s="58"/>
      <c r="X232" s="157">
        <f t="shared" si="82"/>
        <v>43318</v>
      </c>
      <c r="Y232" s="385">
        <f t="shared" si="83"/>
        <v>0</v>
      </c>
      <c r="Z232" s="385">
        <f t="shared" si="84"/>
        <v>0</v>
      </c>
      <c r="AA232" s="386">
        <f t="shared" si="85"/>
        <v>0</v>
      </c>
      <c r="AB232" s="197">
        <f t="shared" si="86"/>
        <v>43318</v>
      </c>
      <c r="AC232" s="425">
        <f t="shared" si="87"/>
        <v>9.7527232650977604E-4</v>
      </c>
      <c r="AD232" s="169">
        <f>(INDEX(Models!$BJ232:$BT232,,AH232)*(1-AF232)+INDEX(Models!$BJ232:$BT232,,AH232+1)*AF232-ERP_i)*AE232*Ramure*Pc/MaxiM</f>
        <v>2.1237743906737172E-5</v>
      </c>
      <c r="AE232" s="305">
        <f t="shared" si="88"/>
        <v>0.7</v>
      </c>
      <c r="AF232" s="177">
        <f t="shared" si="89"/>
        <v>0.76429547090750827</v>
      </c>
      <c r="AG232" s="810">
        <f t="shared" si="90"/>
        <v>-2</v>
      </c>
      <c r="AH232" s="176">
        <f t="shared" si="91"/>
        <v>4</v>
      </c>
      <c r="AI232" s="225">
        <f t="shared" si="92"/>
        <v>-1.2357045290924917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6"/>
      <c r="C233" s="390"/>
      <c r="D233" s="393"/>
      <c r="E233" s="385"/>
      <c r="F233" s="385"/>
      <c r="G233" s="110"/>
      <c r="I233" s="380">
        <f t="shared" si="73"/>
        <v>0</v>
      </c>
      <c r="J233" s="85">
        <v>2018</v>
      </c>
      <c r="K233" s="197">
        <f t="shared" si="74"/>
        <v>43319</v>
      </c>
      <c r="L233" s="436">
        <f t="shared" si="75"/>
        <v>1.396206422744628E-4</v>
      </c>
      <c r="M233" s="855"/>
      <c r="N233" s="855"/>
      <c r="O233" s="324">
        <f t="shared" si="76"/>
        <v>1.1696555670883976E-3</v>
      </c>
      <c r="P233" s="169">
        <f>(INDEX(Models!$BJ233:$BT233,,T233)*(1-R233)+INDEX(Models!$BJ233:$BT233,,T233+1)*R233-ERP_i)*Q233*Ramure*Pc/MaxiM</f>
        <v>2.1689588086750367E-5</v>
      </c>
      <c r="Q233" s="305">
        <f t="shared" si="77"/>
        <v>0.7</v>
      </c>
      <c r="R233" s="177">
        <f t="shared" si="78"/>
        <v>0.76559037001115926</v>
      </c>
      <c r="S233" s="810">
        <f t="shared" si="96"/>
        <v>-2</v>
      </c>
      <c r="T233" s="176">
        <f t="shared" si="79"/>
        <v>4</v>
      </c>
      <c r="U233" s="251">
        <f t="shared" si="80"/>
        <v>-1.2344096299888407</v>
      </c>
      <c r="V233" s="383">
        <f t="shared" si="81"/>
        <v>58.217538987358829</v>
      </c>
      <c r="W233" s="58"/>
      <c r="X233" s="157">
        <f t="shared" si="82"/>
        <v>43319</v>
      </c>
      <c r="Y233" s="385">
        <f t="shared" si="83"/>
        <v>0</v>
      </c>
      <c r="Z233" s="385">
        <f t="shared" si="84"/>
        <v>0</v>
      </c>
      <c r="AA233" s="386">
        <f t="shared" si="85"/>
        <v>0</v>
      </c>
      <c r="AB233" s="197">
        <f t="shared" si="86"/>
        <v>43319</v>
      </c>
      <c r="AC233" s="425">
        <f t="shared" si="87"/>
        <v>1.1696555670883976E-3</v>
      </c>
      <c r="AD233" s="169">
        <f>(INDEX(Models!$BJ233:$BT233,,AH233)*(1-AF233)+INDEX(Models!$BJ233:$BT233,,AH233+1)*AF233-ERP_i)*AE233*Ramure*Pc/MaxiM</f>
        <v>2.1689588086750367E-5</v>
      </c>
      <c r="AE233" s="305">
        <f t="shared" si="88"/>
        <v>0.7</v>
      </c>
      <c r="AF233" s="177">
        <f t="shared" si="89"/>
        <v>0.76559037001115926</v>
      </c>
      <c r="AG233" s="810">
        <f t="shared" si="90"/>
        <v>-2</v>
      </c>
      <c r="AH233" s="176">
        <f t="shared" si="91"/>
        <v>4</v>
      </c>
      <c r="AI233" s="225">
        <f t="shared" si="92"/>
        <v>-1.2344096299888407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6"/>
      <c r="C234" s="390"/>
      <c r="D234" s="393"/>
      <c r="E234" s="385"/>
      <c r="F234" s="385"/>
      <c r="G234" s="110"/>
      <c r="I234" s="380">
        <f t="shared" si="73"/>
        <v>0</v>
      </c>
      <c r="J234" s="85">
        <v>2018</v>
      </c>
      <c r="K234" s="197">
        <f t="shared" si="74"/>
        <v>43320</v>
      </c>
      <c r="L234" s="436">
        <f t="shared" si="75"/>
        <v>1.6288885400417286E-4</v>
      </c>
      <c r="M234" s="855"/>
      <c r="N234" s="855"/>
      <c r="O234" s="324">
        <f t="shared" si="76"/>
        <v>1.3638125447541245E-3</v>
      </c>
      <c r="P234" s="169">
        <f>(INDEX(Models!$BJ234:$BT234,,T234)*(1-R234)+INDEX(Models!$BJ234:$BT234,,T234+1)*R234-ERP_i)*Q234*Ramure*Pc/MaxiM</f>
        <v>2.2259637692754353E-5</v>
      </c>
      <c r="Q234" s="305">
        <f t="shared" si="77"/>
        <v>0.7</v>
      </c>
      <c r="R234" s="177">
        <f t="shared" si="78"/>
        <v>0.76684178915749657</v>
      </c>
      <c r="S234" s="810">
        <f t="shared" si="96"/>
        <v>-2</v>
      </c>
      <c r="T234" s="176">
        <f t="shared" si="79"/>
        <v>4</v>
      </c>
      <c r="U234" s="251">
        <f t="shared" si="80"/>
        <v>-1.2331582108425034</v>
      </c>
      <c r="V234" s="383">
        <f t="shared" si="81"/>
        <v>57.997503217087797</v>
      </c>
      <c r="W234" s="58"/>
      <c r="X234" s="157">
        <f t="shared" si="82"/>
        <v>43320</v>
      </c>
      <c r="Y234" s="385">
        <f t="shared" si="83"/>
        <v>0</v>
      </c>
      <c r="Z234" s="385">
        <f t="shared" si="84"/>
        <v>0</v>
      </c>
      <c r="AA234" s="386">
        <f t="shared" si="85"/>
        <v>0</v>
      </c>
      <c r="AB234" s="197">
        <f t="shared" si="86"/>
        <v>43320</v>
      </c>
      <c r="AC234" s="425">
        <f t="shared" si="87"/>
        <v>1.3638125447541245E-3</v>
      </c>
      <c r="AD234" s="169">
        <f>(INDEX(Models!$BJ234:$BT234,,AH234)*(1-AF234)+INDEX(Models!$BJ234:$BT234,,AH234+1)*AF234-ERP_i)*AE234*Ramure*Pc/MaxiM</f>
        <v>2.2259637692754353E-5</v>
      </c>
      <c r="AE234" s="305">
        <f t="shared" si="88"/>
        <v>0.7</v>
      </c>
      <c r="AF234" s="177">
        <f t="shared" si="89"/>
        <v>0.76684178915749657</v>
      </c>
      <c r="AG234" s="810">
        <f t="shared" si="90"/>
        <v>-2</v>
      </c>
      <c r="AH234" s="176">
        <f t="shared" si="91"/>
        <v>4</v>
      </c>
      <c r="AI234" s="225">
        <f t="shared" si="92"/>
        <v>-1.2331582108425034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6"/>
      <c r="C235" s="390"/>
      <c r="D235" s="393"/>
      <c r="E235" s="385"/>
      <c r="F235" s="385"/>
      <c r="G235" s="110"/>
      <c r="I235" s="380">
        <f t="shared" si="73"/>
        <v>0</v>
      </c>
      <c r="J235" s="85">
        <v>2018</v>
      </c>
      <c r="K235" s="197">
        <f t="shared" si="74"/>
        <v>43321</v>
      </c>
      <c r="L235" s="436">
        <f t="shared" si="75"/>
        <v>1.8615652424858187E-4</v>
      </c>
      <c r="M235" s="855"/>
      <c r="N235" s="855"/>
      <c r="O235" s="324">
        <f t="shared" si="76"/>
        <v>1.5577422133358847E-3</v>
      </c>
      <c r="P235" s="169">
        <f>(INDEX(Models!$BJ235:$BT235,,T235)*(1-R235)+INDEX(Models!$BJ235:$BT235,,T235+1)*R235-ERP_i)*Q235*Ramure*Pc/MaxiM</f>
        <v>2.2951967930309391E-5</v>
      </c>
      <c r="Q235" s="305">
        <f t="shared" si="77"/>
        <v>0.7</v>
      </c>
      <c r="R235" s="177">
        <f t="shared" si="78"/>
        <v>0.76805087785239912</v>
      </c>
      <c r="S235" s="810">
        <f t="shared" si="96"/>
        <v>-2</v>
      </c>
      <c r="T235" s="176">
        <f t="shared" si="79"/>
        <v>4</v>
      </c>
      <c r="U235" s="251">
        <f t="shared" si="80"/>
        <v>-1.2319491221476009</v>
      </c>
      <c r="V235" s="383">
        <f t="shared" si="81"/>
        <v>57.774581553046978</v>
      </c>
      <c r="W235" s="58"/>
      <c r="X235" s="157">
        <f t="shared" si="82"/>
        <v>43321</v>
      </c>
      <c r="Y235" s="385">
        <f t="shared" si="83"/>
        <v>0</v>
      </c>
      <c r="Z235" s="385">
        <f t="shared" si="84"/>
        <v>0</v>
      </c>
      <c r="AA235" s="386">
        <f t="shared" si="85"/>
        <v>0</v>
      </c>
      <c r="AB235" s="197">
        <f t="shared" si="86"/>
        <v>43321</v>
      </c>
      <c r="AC235" s="425">
        <f t="shared" si="87"/>
        <v>1.5577422133358847E-3</v>
      </c>
      <c r="AD235" s="169">
        <f>(INDEX(Models!$BJ235:$BT235,,AH235)*(1-AF235)+INDEX(Models!$BJ235:$BT235,,AH235+1)*AF235-ERP_i)*AE235*Ramure*Pc/MaxiM</f>
        <v>2.2951967930309391E-5</v>
      </c>
      <c r="AE235" s="305">
        <f t="shared" si="88"/>
        <v>0.7</v>
      </c>
      <c r="AF235" s="177">
        <f t="shared" si="89"/>
        <v>0.76805087785239912</v>
      </c>
      <c r="AG235" s="810">
        <f t="shared" si="90"/>
        <v>-2</v>
      </c>
      <c r="AH235" s="176">
        <f t="shared" si="91"/>
        <v>4</v>
      </c>
      <c r="AI235" s="225">
        <f t="shared" si="92"/>
        <v>-1.2319491221476009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6"/>
      <c r="C236" s="390"/>
      <c r="D236" s="393"/>
      <c r="E236" s="385"/>
      <c r="F236" s="385"/>
      <c r="G236" s="110"/>
      <c r="I236" s="380">
        <f t="shared" si="73"/>
        <v>0</v>
      </c>
      <c r="J236" s="85">
        <v>2018</v>
      </c>
      <c r="K236" s="197">
        <f t="shared" si="74"/>
        <v>43322</v>
      </c>
      <c r="L236" s="436">
        <f t="shared" si="75"/>
        <v>2.0942365302023536E-4</v>
      </c>
      <c r="M236" s="855"/>
      <c r="N236" s="855"/>
      <c r="O236" s="324">
        <f t="shared" si="76"/>
        <v>1.7514435138419487E-3</v>
      </c>
      <c r="P236" s="169">
        <f>(INDEX(Models!$BJ236:$BT236,,T236)*(1-R236)+INDEX(Models!$BJ236:$BT236,,T236+1)*R236-ERP_i)*Q236*Ramure*Pc/MaxiM</f>
        <v>2.3769054387636703E-5</v>
      </c>
      <c r="Q236" s="305">
        <f t="shared" si="77"/>
        <v>0.7</v>
      </c>
      <c r="R236" s="177">
        <f t="shared" si="78"/>
        <v>0.76921877822511675</v>
      </c>
      <c r="S236" s="810">
        <f t="shared" si="96"/>
        <v>-2</v>
      </c>
      <c r="T236" s="176">
        <f t="shared" si="79"/>
        <v>4</v>
      </c>
      <c r="U236" s="251">
        <f t="shared" si="80"/>
        <v>-1.2307812217748832</v>
      </c>
      <c r="V236" s="383">
        <f t="shared" si="81"/>
        <v>57.548557572353864</v>
      </c>
      <c r="W236" s="58"/>
      <c r="X236" s="157">
        <f t="shared" si="82"/>
        <v>43322</v>
      </c>
      <c r="Y236" s="385">
        <f t="shared" si="83"/>
        <v>0</v>
      </c>
      <c r="Z236" s="385">
        <f t="shared" si="84"/>
        <v>0</v>
      </c>
      <c r="AA236" s="386">
        <f t="shared" si="85"/>
        <v>0</v>
      </c>
      <c r="AB236" s="197">
        <f t="shared" si="86"/>
        <v>43322</v>
      </c>
      <c r="AC236" s="425">
        <f t="shared" si="87"/>
        <v>1.7514435138419487E-3</v>
      </c>
      <c r="AD236" s="169">
        <f>(INDEX(Models!$BJ236:$BT236,,AH236)*(1-AF236)+INDEX(Models!$BJ236:$BT236,,AH236+1)*AF236-ERP_i)*AE236*Ramure*Pc/MaxiM</f>
        <v>2.3769054387636703E-5</v>
      </c>
      <c r="AE236" s="305">
        <f t="shared" si="88"/>
        <v>0.7</v>
      </c>
      <c r="AF236" s="177">
        <f t="shared" si="89"/>
        <v>0.76921877822511675</v>
      </c>
      <c r="AG236" s="810">
        <f t="shared" si="90"/>
        <v>-2</v>
      </c>
      <c r="AH236" s="176">
        <f t="shared" si="91"/>
        <v>4</v>
      </c>
      <c r="AI236" s="225">
        <f t="shared" si="92"/>
        <v>-1.2307812217748832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6"/>
      <c r="C237" s="390"/>
      <c r="D237" s="393"/>
      <c r="E237" s="385"/>
      <c r="F237" s="385"/>
      <c r="G237" s="110"/>
      <c r="I237" s="380">
        <f t="shared" si="73"/>
        <v>0</v>
      </c>
      <c r="J237" s="85">
        <v>2018</v>
      </c>
      <c r="K237" s="197">
        <f t="shared" si="74"/>
        <v>43323</v>
      </c>
      <c r="L237" s="436">
        <f t="shared" si="75"/>
        <v>2.3269024033190089E-4</v>
      </c>
      <c r="M237" s="855"/>
      <c r="N237" s="855"/>
      <c r="O237" s="324">
        <f t="shared" si="76"/>
        <v>1.9449153601445507E-3</v>
      </c>
      <c r="P237" s="169">
        <f>(INDEX(Models!$BJ237:$BT237,,T237)*(1-R237)+INDEX(Models!$BJ237:$BT237,,T237+1)*R237-ERP_i)*Q237*Ramure*Pc/MaxiM</f>
        <v>2.4713382554173271E-5</v>
      </c>
      <c r="Q237" s="305">
        <f t="shared" si="77"/>
        <v>0.7</v>
      </c>
      <c r="R237" s="177">
        <f t="shared" si="78"/>
        <v>0.77034662311019075</v>
      </c>
      <c r="S237" s="810">
        <f t="shared" si="96"/>
        <v>-2</v>
      </c>
      <c r="T237" s="176">
        <f t="shared" si="79"/>
        <v>4</v>
      </c>
      <c r="U237" s="251">
        <f t="shared" si="80"/>
        <v>-1.2296533768898092</v>
      </c>
      <c r="V237" s="383">
        <f t="shared" si="81"/>
        <v>57.319215042456939</v>
      </c>
      <c r="W237" s="58"/>
      <c r="X237" s="157">
        <f t="shared" si="82"/>
        <v>43323</v>
      </c>
      <c r="Y237" s="385">
        <f t="shared" si="83"/>
        <v>0</v>
      </c>
      <c r="Z237" s="385">
        <f t="shared" si="84"/>
        <v>0</v>
      </c>
      <c r="AA237" s="386">
        <f t="shared" si="85"/>
        <v>0</v>
      </c>
      <c r="AB237" s="197">
        <f t="shared" si="86"/>
        <v>43323</v>
      </c>
      <c r="AC237" s="425">
        <f t="shared" si="87"/>
        <v>1.9449153601445507E-3</v>
      </c>
      <c r="AD237" s="169">
        <f>(INDEX(Models!$BJ237:$BT237,,AH237)*(1-AF237)+INDEX(Models!$BJ237:$BT237,,AH237+1)*AF237-ERP_i)*AE237*Ramure*Pc/MaxiM</f>
        <v>2.4713382554173271E-5</v>
      </c>
      <c r="AE237" s="305">
        <f t="shared" si="88"/>
        <v>0.7</v>
      </c>
      <c r="AF237" s="177">
        <f t="shared" si="89"/>
        <v>0.77034662311019075</v>
      </c>
      <c r="AG237" s="810">
        <f t="shared" si="90"/>
        <v>-2</v>
      </c>
      <c r="AH237" s="176">
        <f t="shared" si="91"/>
        <v>4</v>
      </c>
      <c r="AI237" s="225">
        <f t="shared" si="92"/>
        <v>-1.2296533768898092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6"/>
      <c r="C238" s="390"/>
      <c r="D238" s="393"/>
      <c r="E238" s="385"/>
      <c r="F238" s="385"/>
      <c r="G238" s="110"/>
      <c r="I238" s="380">
        <f t="shared" si="73"/>
        <v>0</v>
      </c>
      <c r="J238" s="85">
        <v>2018</v>
      </c>
      <c r="K238" s="197">
        <f t="shared" si="74"/>
        <v>43324</v>
      </c>
      <c r="L238" s="436">
        <f t="shared" si="75"/>
        <v>2.5595628619601296E-4</v>
      </c>
      <c r="M238" s="855"/>
      <c r="N238" s="855"/>
      <c r="O238" s="324">
        <f t="shared" si="76"/>
        <v>2.1381566260843974E-3</v>
      </c>
      <c r="P238" s="169">
        <f>(INDEX(Models!$BJ238:$BT238,,T238)*(1-R238)+INDEX(Models!$BJ238:$BT238,,T238+1)*R238-ERP_i)*Q238*Ramure*Pc/MaxiM</f>
        <v>2.578745706279028E-5</v>
      </c>
      <c r="Q238" s="305">
        <f t="shared" si="77"/>
        <v>0.7</v>
      </c>
      <c r="R238" s="177">
        <f t="shared" si="78"/>
        <v>0.7714355343002437</v>
      </c>
      <c r="S238" s="810">
        <f t="shared" si="96"/>
        <v>-2</v>
      </c>
      <c r="T238" s="176">
        <f t="shared" si="79"/>
        <v>4</v>
      </c>
      <c r="U238" s="251">
        <f t="shared" si="80"/>
        <v>-1.2285644656997563</v>
      </c>
      <c r="V238" s="383">
        <f t="shared" si="81"/>
        <v>57.086337921626871</v>
      </c>
      <c r="W238" s="58"/>
      <c r="X238" s="157">
        <f t="shared" si="82"/>
        <v>43324</v>
      </c>
      <c r="Y238" s="385">
        <f t="shared" si="83"/>
        <v>0</v>
      </c>
      <c r="Z238" s="385">
        <f t="shared" si="84"/>
        <v>0</v>
      </c>
      <c r="AA238" s="386">
        <f t="shared" si="85"/>
        <v>0</v>
      </c>
      <c r="AB238" s="197">
        <f t="shared" si="86"/>
        <v>43324</v>
      </c>
      <c r="AC238" s="425">
        <f t="shared" si="87"/>
        <v>2.1381566260843974E-3</v>
      </c>
      <c r="AD238" s="169">
        <f>(INDEX(Models!$BJ238:$BT238,,AH238)*(1-AF238)+INDEX(Models!$BJ238:$BT238,,AH238+1)*AF238-ERP_i)*AE238*Ramure*Pc/MaxiM</f>
        <v>2.578745706279028E-5</v>
      </c>
      <c r="AE238" s="305">
        <f t="shared" si="88"/>
        <v>0.7</v>
      </c>
      <c r="AF238" s="177">
        <f t="shared" si="89"/>
        <v>0.7714355343002437</v>
      </c>
      <c r="AG238" s="810">
        <f t="shared" si="90"/>
        <v>-2</v>
      </c>
      <c r="AH238" s="176">
        <f t="shared" si="91"/>
        <v>4</v>
      </c>
      <c r="AI238" s="225">
        <f t="shared" si="92"/>
        <v>-1.2285644656997563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6"/>
      <c r="C239" s="390"/>
      <c r="D239" s="393"/>
      <c r="E239" s="385"/>
      <c r="F239" s="385"/>
      <c r="G239" s="110"/>
      <c r="I239" s="380">
        <f t="shared" si="73"/>
        <v>0</v>
      </c>
      <c r="J239" s="85">
        <v>2018</v>
      </c>
      <c r="K239" s="197">
        <f t="shared" si="74"/>
        <v>43325</v>
      </c>
      <c r="L239" s="436">
        <f t="shared" si="75"/>
        <v>2.7922179062522812E-4</v>
      </c>
      <c r="M239" s="855"/>
      <c r="N239" s="855"/>
      <c r="O239" s="324">
        <f t="shared" si="76"/>
        <v>2.331166133959321E-3</v>
      </c>
      <c r="P239" s="169">
        <f>(INDEX(Models!$BJ239:$BT239,,T239)*(1-R239)+INDEX(Models!$BJ239:$BT239,,T239+1)*R239-ERP_i)*Q239*Ramure*Pc/MaxiM</f>
        <v>2.6993811143970389E-5</v>
      </c>
      <c r="Q239" s="305">
        <f t="shared" si="77"/>
        <v>0.7</v>
      </c>
      <c r="R239" s="177">
        <f t="shared" si="78"/>
        <v>0.77248662096243859</v>
      </c>
      <c r="S239" s="810">
        <f t="shared" si="96"/>
        <v>-2</v>
      </c>
      <c r="T239" s="176">
        <f t="shared" si="79"/>
        <v>4</v>
      </c>
      <c r="U239" s="251">
        <f t="shared" si="80"/>
        <v>-1.2275133790375614</v>
      </c>
      <c r="V239" s="383">
        <f t="shared" si="81"/>
        <v>56.849710358162341</v>
      </c>
      <c r="W239" s="58"/>
      <c r="X239" s="157">
        <f t="shared" si="82"/>
        <v>43325</v>
      </c>
      <c r="Y239" s="385">
        <f t="shared" si="83"/>
        <v>0</v>
      </c>
      <c r="Z239" s="385">
        <f t="shared" si="84"/>
        <v>0</v>
      </c>
      <c r="AA239" s="386">
        <f t="shared" si="85"/>
        <v>0</v>
      </c>
      <c r="AB239" s="197">
        <f t="shared" si="86"/>
        <v>43325</v>
      </c>
      <c r="AC239" s="425">
        <f t="shared" si="87"/>
        <v>2.331166133959321E-3</v>
      </c>
      <c r="AD239" s="169">
        <f>(INDEX(Models!$BJ239:$BT239,,AH239)*(1-AF239)+INDEX(Models!$BJ239:$BT239,,AH239+1)*AF239-ERP_i)*AE239*Ramure*Pc/MaxiM</f>
        <v>2.6993811143970389E-5</v>
      </c>
      <c r="AE239" s="305">
        <f t="shared" si="88"/>
        <v>0.7</v>
      </c>
      <c r="AF239" s="177">
        <f t="shared" si="89"/>
        <v>0.77248662096243859</v>
      </c>
      <c r="AG239" s="810">
        <f t="shared" si="90"/>
        <v>-2</v>
      </c>
      <c r="AH239" s="176">
        <f t="shared" si="91"/>
        <v>4</v>
      </c>
      <c r="AI239" s="225">
        <f t="shared" si="92"/>
        <v>-1.2275133790375614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6"/>
      <c r="C240" s="390"/>
      <c r="D240" s="393"/>
      <c r="E240" s="385"/>
      <c r="F240" s="385"/>
      <c r="G240" s="110"/>
      <c r="I240" s="380">
        <f t="shared" si="73"/>
        <v>0</v>
      </c>
      <c r="J240" s="85">
        <v>2018</v>
      </c>
      <c r="K240" s="197">
        <f t="shared" si="74"/>
        <v>43326</v>
      </c>
      <c r="L240" s="436">
        <f t="shared" si="75"/>
        <v>3.0248675363231392E-4</v>
      </c>
      <c r="M240" s="855"/>
      <c r="N240" s="855"/>
      <c r="O240" s="324">
        <f t="shared" si="76"/>
        <v>2.5239426443376574E-3</v>
      </c>
      <c r="P240" s="169">
        <f>(INDEX(Models!$BJ240:$BT240,,T240)*(1-R240)+INDEX(Models!$BJ240:$BT240,,T240+1)*R240-ERP_i)*Q240*Ramure*Pc/MaxiM</f>
        <v>2.8432062406950852E-5</v>
      </c>
      <c r="Q240" s="305">
        <f t="shared" si="77"/>
        <v>0.7</v>
      </c>
      <c r="R240" s="177">
        <f t="shared" si="78"/>
        <v>0.77350097821119768</v>
      </c>
      <c r="S240" s="810">
        <f t="shared" si="96"/>
        <v>-2</v>
      </c>
      <c r="T240" s="176">
        <f t="shared" si="79"/>
        <v>4</v>
      </c>
      <c r="U240" s="251">
        <f t="shared" si="80"/>
        <v>-1.2264990217888023</v>
      </c>
      <c r="V240" s="383">
        <f t="shared" si="81"/>
        <v>56.609111198951261</v>
      </c>
      <c r="W240" s="58"/>
      <c r="X240" s="157">
        <f t="shared" si="82"/>
        <v>43326</v>
      </c>
      <c r="Y240" s="385">
        <f t="shared" si="83"/>
        <v>0</v>
      </c>
      <c r="Z240" s="385">
        <f t="shared" si="84"/>
        <v>0</v>
      </c>
      <c r="AA240" s="386">
        <f t="shared" si="85"/>
        <v>0</v>
      </c>
      <c r="AB240" s="197">
        <f t="shared" si="86"/>
        <v>43326</v>
      </c>
      <c r="AC240" s="425">
        <f t="shared" si="87"/>
        <v>2.5239426443376574E-3</v>
      </c>
      <c r="AD240" s="169">
        <f>(INDEX(Models!$BJ240:$BT240,,AH240)*(1-AF240)+INDEX(Models!$BJ240:$BT240,,AH240+1)*AF240-ERP_i)*AE240*Ramure*Pc/MaxiM</f>
        <v>2.8432062406950852E-5</v>
      </c>
      <c r="AE240" s="305">
        <f t="shared" si="88"/>
        <v>0.7</v>
      </c>
      <c r="AF240" s="177">
        <f t="shared" si="89"/>
        <v>0.77350097821119768</v>
      </c>
      <c r="AG240" s="810">
        <f t="shared" si="90"/>
        <v>-2</v>
      </c>
      <c r="AH240" s="176">
        <f t="shared" si="91"/>
        <v>4</v>
      </c>
      <c r="AI240" s="225">
        <f t="shared" si="92"/>
        <v>-1.2264990217888023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6"/>
      <c r="C241" s="390"/>
      <c r="D241" s="393"/>
      <c r="E241" s="385"/>
      <c r="F241" s="385"/>
      <c r="G241" s="110"/>
      <c r="I241" s="380">
        <f t="shared" si="73"/>
        <v>0</v>
      </c>
      <c r="J241" s="85">
        <v>2018</v>
      </c>
      <c r="K241" s="197">
        <f t="shared" si="74"/>
        <v>43327</v>
      </c>
      <c r="L241" s="436">
        <f t="shared" si="75"/>
        <v>3.2575117522959385E-4</v>
      </c>
      <c r="M241" s="855"/>
      <c r="N241" s="855"/>
      <c r="O241" s="324">
        <f t="shared" si="76"/>
        <v>2.7164848471170188E-3</v>
      </c>
      <c r="P241" s="169">
        <f>(INDEX(Models!$BJ241:$BT241,,T241)*(1-R241)+INDEX(Models!$BJ241:$BT241,,T241+1)*R241-ERP_i)*Q241*Ramure*Pc/MaxiM</f>
        <v>3.006559878762557E-5</v>
      </c>
      <c r="Q241" s="305">
        <f t="shared" si="77"/>
        <v>0.7</v>
      </c>
      <c r="R241" s="177">
        <f t="shared" si="78"/>
        <v>0.77447968582962989</v>
      </c>
      <c r="S241" s="810">
        <f t="shared" si="96"/>
        <v>-2</v>
      </c>
      <c r="T241" s="176">
        <f t="shared" si="79"/>
        <v>4</v>
      </c>
      <c r="U241" s="251">
        <f t="shared" si="80"/>
        <v>-1.2255203141703701</v>
      </c>
      <c r="V241" s="383">
        <f t="shared" si="81"/>
        <v>56.364327252925939</v>
      </c>
      <c r="W241" s="58"/>
      <c r="X241" s="157">
        <f t="shared" si="82"/>
        <v>43327</v>
      </c>
      <c r="Y241" s="385">
        <f t="shared" si="83"/>
        <v>0</v>
      </c>
      <c r="Z241" s="385">
        <f t="shared" si="84"/>
        <v>0</v>
      </c>
      <c r="AA241" s="386">
        <f t="shared" si="85"/>
        <v>0</v>
      </c>
      <c r="AB241" s="197">
        <f t="shared" si="86"/>
        <v>43327</v>
      </c>
      <c r="AC241" s="425">
        <f t="shared" si="87"/>
        <v>2.7164848471170188E-3</v>
      </c>
      <c r="AD241" s="169">
        <f>(INDEX(Models!$BJ241:$BT241,,AH241)*(1-AF241)+INDEX(Models!$BJ241:$BT241,,AH241+1)*AF241-ERP_i)*AE241*Ramure*Pc/MaxiM</f>
        <v>3.006559878762557E-5</v>
      </c>
      <c r="AE241" s="305">
        <f t="shared" si="88"/>
        <v>0.7</v>
      </c>
      <c r="AF241" s="177">
        <f t="shared" si="89"/>
        <v>0.77447968582962989</v>
      </c>
      <c r="AG241" s="810">
        <f t="shared" si="90"/>
        <v>-2</v>
      </c>
      <c r="AH241" s="176">
        <f t="shared" si="91"/>
        <v>4</v>
      </c>
      <c r="AI241" s="225">
        <f t="shared" si="92"/>
        <v>-1.2255203141703701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6"/>
      <c r="C242" s="390"/>
      <c r="D242" s="393"/>
      <c r="E242" s="385"/>
      <c r="F242" s="385"/>
      <c r="G242" s="110"/>
      <c r="I242" s="380">
        <f t="shared" si="73"/>
        <v>0</v>
      </c>
      <c r="J242" s="85">
        <v>2018</v>
      </c>
      <c r="K242" s="197">
        <f t="shared" si="74"/>
        <v>43328</v>
      </c>
      <c r="L242" s="436">
        <f t="shared" si="75"/>
        <v>3.4901505542983546E-4</v>
      </c>
      <c r="M242" s="855"/>
      <c r="N242" s="855"/>
      <c r="O242" s="324">
        <f t="shared" si="76"/>
        <v>2.9087913537289294E-3</v>
      </c>
      <c r="P242" s="169">
        <f>(INDEX(Models!$BJ242:$BT242,,T242)*(1-R242)+INDEX(Models!$BJ242:$BT242,,T242+1)*R242-ERP_i)*Q242*Ramure*Pc/MaxiM</f>
        <v>3.1898202528901031E-5</v>
      </c>
      <c r="Q242" s="305">
        <f t="shared" si="77"/>
        <v>0.7</v>
      </c>
      <c r="R242" s="177">
        <f t="shared" si="78"/>
        <v>0.77542380713204495</v>
      </c>
      <c r="S242" s="810">
        <f t="shared" si="96"/>
        <v>-2</v>
      </c>
      <c r="T242" s="176">
        <f t="shared" si="79"/>
        <v>4</v>
      </c>
      <c r="U242" s="251">
        <f t="shared" si="80"/>
        <v>-1.224576192867955</v>
      </c>
      <c r="V242" s="383">
        <f t="shared" si="81"/>
        <v>56.115143222057746</v>
      </c>
      <c r="W242" s="58"/>
      <c r="X242" s="157">
        <f t="shared" si="82"/>
        <v>43328</v>
      </c>
      <c r="Y242" s="385">
        <f t="shared" si="83"/>
        <v>0</v>
      </c>
      <c r="Z242" s="385">
        <f t="shared" si="84"/>
        <v>0</v>
      </c>
      <c r="AA242" s="386">
        <f t="shared" si="85"/>
        <v>0</v>
      </c>
      <c r="AB242" s="197">
        <f t="shared" si="86"/>
        <v>43328</v>
      </c>
      <c r="AC242" s="425">
        <f t="shared" si="87"/>
        <v>2.9087913537289294E-3</v>
      </c>
      <c r="AD242" s="169">
        <f>(INDEX(Models!$BJ242:$BT242,,AH242)*(1-AF242)+INDEX(Models!$BJ242:$BT242,,AH242+1)*AF242-ERP_i)*AE242*Ramure*Pc/MaxiM</f>
        <v>3.1898202528901031E-5</v>
      </c>
      <c r="AE242" s="305">
        <f t="shared" si="88"/>
        <v>0.7</v>
      </c>
      <c r="AF242" s="177">
        <f t="shared" si="89"/>
        <v>0.77542380713204495</v>
      </c>
      <c r="AG242" s="810">
        <f t="shared" si="90"/>
        <v>-2</v>
      </c>
      <c r="AH242" s="176">
        <f t="shared" si="91"/>
        <v>4</v>
      </c>
      <c r="AI242" s="225">
        <f t="shared" si="92"/>
        <v>-1.224576192867955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6"/>
      <c r="C243" s="390"/>
      <c r="D243" s="393"/>
      <c r="E243" s="385"/>
      <c r="F243" s="385"/>
      <c r="G243" s="110"/>
      <c r="I243" s="380">
        <f t="shared" si="73"/>
        <v>0</v>
      </c>
      <c r="J243" s="85">
        <v>2018</v>
      </c>
      <c r="K243" s="197">
        <f t="shared" si="74"/>
        <v>43329</v>
      </c>
      <c r="L243" s="436">
        <f t="shared" si="75"/>
        <v>3.7227839424558429E-4</v>
      </c>
      <c r="M243" s="855"/>
      <c r="N243" s="855"/>
      <c r="O243" s="324">
        <f t="shared" si="76"/>
        <v>3.1008606903746212E-3</v>
      </c>
      <c r="P243" s="169">
        <f>(INDEX(Models!$BJ243:$BT243,,T243)*(1-R243)+INDEX(Models!$BJ243:$BT243,,T243+1)*R243-ERP_i)*Q243*Ramure*Pc/MaxiM</f>
        <v>3.3933741351492627E-5</v>
      </c>
      <c r="Q243" s="305">
        <f t="shared" si="77"/>
        <v>0.7</v>
      </c>
      <c r="R243" s="177">
        <f t="shared" si="78"/>
        <v>0.77633438795992693</v>
      </c>
      <c r="S243" s="810">
        <f t="shared" si="96"/>
        <v>-2</v>
      </c>
      <c r="T243" s="176">
        <f t="shared" si="79"/>
        <v>4</v>
      </c>
      <c r="U243" s="251">
        <f t="shared" si="80"/>
        <v>-1.2236656120400731</v>
      </c>
      <c r="V243" s="383">
        <f t="shared" si="81"/>
        <v>55.861343998847474</v>
      </c>
      <c r="W243" s="58"/>
      <c r="X243" s="157">
        <f t="shared" si="82"/>
        <v>43329</v>
      </c>
      <c r="Y243" s="385">
        <f t="shared" si="83"/>
        <v>0</v>
      </c>
      <c r="Z243" s="385">
        <f t="shared" si="84"/>
        <v>0</v>
      </c>
      <c r="AA243" s="386">
        <f t="shared" si="85"/>
        <v>0</v>
      </c>
      <c r="AB243" s="197">
        <f t="shared" si="86"/>
        <v>43329</v>
      </c>
      <c r="AC243" s="425">
        <f t="shared" si="87"/>
        <v>3.1008606903746212E-3</v>
      </c>
      <c r="AD243" s="169">
        <f>(INDEX(Models!$BJ243:$BT243,,AH243)*(1-AF243)+INDEX(Models!$BJ243:$BT243,,AH243+1)*AF243-ERP_i)*AE243*Ramure*Pc/MaxiM</f>
        <v>3.3933741351492627E-5</v>
      </c>
      <c r="AE243" s="305">
        <f t="shared" si="88"/>
        <v>0.7</v>
      </c>
      <c r="AF243" s="177">
        <f t="shared" si="89"/>
        <v>0.77633438795992693</v>
      </c>
      <c r="AG243" s="810">
        <f t="shared" si="90"/>
        <v>-2</v>
      </c>
      <c r="AH243" s="176">
        <f t="shared" si="91"/>
        <v>4</v>
      </c>
      <c r="AI243" s="225">
        <f t="shared" si="92"/>
        <v>-1.2236656120400731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6"/>
      <c r="C244" s="390"/>
      <c r="D244" s="393"/>
      <c r="E244" s="385"/>
      <c r="F244" s="385"/>
      <c r="G244" s="110"/>
      <c r="I244" s="380">
        <f t="shared" si="73"/>
        <v>0</v>
      </c>
      <c r="J244" s="85">
        <v>2018</v>
      </c>
      <c r="K244" s="197">
        <f t="shared" si="74"/>
        <v>43330</v>
      </c>
      <c r="L244" s="436">
        <f t="shared" si="75"/>
        <v>3.9554119168949686E-4</v>
      </c>
      <c r="M244" s="855"/>
      <c r="N244" s="855"/>
      <c r="O244" s="324">
        <f t="shared" si="76"/>
        <v>3.292691292162237E-3</v>
      </c>
      <c r="P244" s="169">
        <f>(INDEX(Models!$BJ244:$BT244,,T244)*(1-R244)+INDEX(Models!$BJ244:$BT244,,T244+1)*R244-ERP_i)*Q244*Ramure*Pc/MaxiM</f>
        <v>3.6176184041167655E-5</v>
      </c>
      <c r="Q244" s="305">
        <f t="shared" si="77"/>
        <v>0.7</v>
      </c>
      <c r="R244" s="177">
        <f t="shared" si="78"/>
        <v>0.77721245580377785</v>
      </c>
      <c r="S244" s="810">
        <f t="shared" si="96"/>
        <v>-2</v>
      </c>
      <c r="T244" s="176">
        <f t="shared" si="79"/>
        <v>4</v>
      </c>
      <c r="U244" s="251">
        <f t="shared" si="80"/>
        <v>-1.2227875441962222</v>
      </c>
      <c r="V244" s="383">
        <f t="shared" si="81"/>
        <v>55.602714664571188</v>
      </c>
      <c r="W244" s="58"/>
      <c r="X244" s="157">
        <f t="shared" si="82"/>
        <v>43330</v>
      </c>
      <c r="Y244" s="385">
        <f t="shared" si="83"/>
        <v>0</v>
      </c>
      <c r="Z244" s="385">
        <f t="shared" si="84"/>
        <v>0</v>
      </c>
      <c r="AA244" s="386">
        <f t="shared" si="85"/>
        <v>0</v>
      </c>
      <c r="AB244" s="197">
        <f t="shared" si="86"/>
        <v>43330</v>
      </c>
      <c r="AC244" s="425">
        <f t="shared" si="87"/>
        <v>3.292691292162237E-3</v>
      </c>
      <c r="AD244" s="169">
        <f>(INDEX(Models!$BJ244:$BT244,,AH244)*(1-AF244)+INDEX(Models!$BJ244:$BT244,,AH244+1)*AF244-ERP_i)*AE244*Ramure*Pc/MaxiM</f>
        <v>3.6176184041167655E-5</v>
      </c>
      <c r="AE244" s="305">
        <f t="shared" si="88"/>
        <v>0.7</v>
      </c>
      <c r="AF244" s="177">
        <f t="shared" si="89"/>
        <v>0.77721245580377785</v>
      </c>
      <c r="AG244" s="810">
        <f t="shared" si="90"/>
        <v>-2</v>
      </c>
      <c r="AH244" s="176">
        <f t="shared" si="91"/>
        <v>4</v>
      </c>
      <c r="AI244" s="225">
        <f t="shared" si="92"/>
        <v>-1.2227875441962222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6"/>
      <c r="C245" s="390"/>
      <c r="D245" s="393"/>
      <c r="E245" s="385"/>
      <c r="F245" s="385"/>
      <c r="G245" s="110"/>
      <c r="I245" s="380">
        <f t="shared" si="73"/>
        <v>0</v>
      </c>
      <c r="J245" s="85">
        <v>2018</v>
      </c>
      <c r="K245" s="197">
        <f t="shared" si="74"/>
        <v>43331</v>
      </c>
      <c r="L245" s="436">
        <f t="shared" si="75"/>
        <v>4.1880344777400769E-4</v>
      </c>
      <c r="M245" s="855"/>
      <c r="N245" s="855"/>
      <c r="O245" s="324">
        <f t="shared" si="76"/>
        <v>3.4842814980053432E-3</v>
      </c>
      <c r="P245" s="169">
        <f>(INDEX(Models!$BJ245:$BT245,,T245)*(1-R245)+INDEX(Models!$BJ245:$BT245,,T245+1)*R245-ERP_i)*Q245*Ramure*Pc/MaxiM</f>
        <v>3.8629616605831395E-5</v>
      </c>
      <c r="Q245" s="305">
        <f t="shared" si="77"/>
        <v>0.7</v>
      </c>
      <c r="R245" s="177">
        <f t="shared" si="78"/>
        <v>0.77805901904332941</v>
      </c>
      <c r="S245" s="810">
        <f t="shared" si="96"/>
        <v>-2</v>
      </c>
      <c r="T245" s="176">
        <f t="shared" si="79"/>
        <v>4</v>
      </c>
      <c r="U245" s="251">
        <f t="shared" si="80"/>
        <v>-1.2219409809566706</v>
      </c>
      <c r="V245" s="383">
        <f t="shared" si="81"/>
        <v>55.339040492912559</v>
      </c>
      <c r="W245" s="58"/>
      <c r="X245" s="157">
        <f t="shared" si="82"/>
        <v>43331</v>
      </c>
      <c r="Y245" s="385">
        <f t="shared" si="83"/>
        <v>0</v>
      </c>
      <c r="Z245" s="385">
        <f t="shared" si="84"/>
        <v>0</v>
      </c>
      <c r="AA245" s="386">
        <f t="shared" si="85"/>
        <v>0</v>
      </c>
      <c r="AB245" s="197">
        <f t="shared" si="86"/>
        <v>43331</v>
      </c>
      <c r="AC245" s="425">
        <f t="shared" si="87"/>
        <v>3.4842814980053432E-3</v>
      </c>
      <c r="AD245" s="169">
        <f>(INDEX(Models!$BJ245:$BT245,,AH245)*(1-AF245)+INDEX(Models!$BJ245:$BT245,,AH245+1)*AF245-ERP_i)*AE245*Ramure*Pc/MaxiM</f>
        <v>3.8629616605831395E-5</v>
      </c>
      <c r="AE245" s="305">
        <f t="shared" si="88"/>
        <v>0.7</v>
      </c>
      <c r="AF245" s="177">
        <f t="shared" si="89"/>
        <v>0.77805901904332941</v>
      </c>
      <c r="AG245" s="810">
        <f t="shared" si="90"/>
        <v>-2</v>
      </c>
      <c r="AH245" s="176">
        <f t="shared" si="91"/>
        <v>4</v>
      </c>
      <c r="AI245" s="225">
        <f t="shared" si="92"/>
        <v>-1.2219409809566706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6"/>
      <c r="C246" s="390"/>
      <c r="D246" s="393"/>
      <c r="E246" s="385"/>
      <c r="F246" s="385"/>
      <c r="G246" s="110"/>
      <c r="I246" s="380">
        <f t="shared" si="73"/>
        <v>0</v>
      </c>
      <c r="J246" s="85">
        <v>2018</v>
      </c>
      <c r="K246" s="197">
        <f t="shared" si="74"/>
        <v>43332</v>
      </c>
      <c r="L246" s="436">
        <f t="shared" si="75"/>
        <v>4.4206516251199535E-4</v>
      </c>
      <c r="M246" s="855"/>
      <c r="N246" s="855"/>
      <c r="O246" s="324">
        <f t="shared" si="76"/>
        <v>3.6756295461345206E-3</v>
      </c>
      <c r="P246" s="169">
        <f>(INDEX(Models!$BJ246:$BT246,,T246)*(1-R246)+INDEX(Models!$BJ246:$BT246,,T246+1)*R246-ERP_i)*Q246*Ramure*Pc/MaxiM</f>
        <v>4.1298259080475203E-5</v>
      </c>
      <c r="Q246" s="305">
        <f t="shared" si="77"/>
        <v>0.7</v>
      </c>
      <c r="R246" s="177">
        <f t="shared" si="78"/>
        <v>0.77887506629875758</v>
      </c>
      <c r="S246" s="810">
        <f t="shared" si="96"/>
        <v>-2</v>
      </c>
      <c r="T246" s="176">
        <f t="shared" si="79"/>
        <v>4</v>
      </c>
      <c r="U246" s="251">
        <f t="shared" si="80"/>
        <v>-1.2211249337012424</v>
      </c>
      <c r="V246" s="383">
        <f t="shared" si="81"/>
        <v>55.070106944327009</v>
      </c>
      <c r="W246" s="58"/>
      <c r="X246" s="157">
        <f t="shared" si="82"/>
        <v>43332</v>
      </c>
      <c r="Y246" s="385">
        <f t="shared" si="83"/>
        <v>0</v>
      </c>
      <c r="Z246" s="385">
        <f t="shared" si="84"/>
        <v>0</v>
      </c>
      <c r="AA246" s="386">
        <f t="shared" si="85"/>
        <v>0</v>
      </c>
      <c r="AB246" s="197">
        <f t="shared" si="86"/>
        <v>43332</v>
      </c>
      <c r="AC246" s="425">
        <f t="shared" si="87"/>
        <v>3.6756295461345206E-3</v>
      </c>
      <c r="AD246" s="169">
        <f>(INDEX(Models!$BJ246:$BT246,,AH246)*(1-AF246)+INDEX(Models!$BJ246:$BT246,,AH246+1)*AF246-ERP_i)*AE246*Ramure*Pc/MaxiM</f>
        <v>4.1298259080475203E-5</v>
      </c>
      <c r="AE246" s="305">
        <f t="shared" si="88"/>
        <v>0.7</v>
      </c>
      <c r="AF246" s="177">
        <f t="shared" si="89"/>
        <v>0.77887506629875758</v>
      </c>
      <c r="AG246" s="810">
        <f t="shared" si="90"/>
        <v>-2</v>
      </c>
      <c r="AH246" s="176">
        <f t="shared" si="91"/>
        <v>4</v>
      </c>
      <c r="AI246" s="225">
        <f t="shared" si="92"/>
        <v>-1.2211249337012424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6"/>
      <c r="C247" s="390"/>
      <c r="D247" s="393"/>
      <c r="E247" s="385"/>
      <c r="F247" s="385"/>
      <c r="G247" s="110"/>
      <c r="I247" s="380">
        <f t="shared" si="73"/>
        <v>0</v>
      </c>
      <c r="J247" s="85">
        <v>2018</v>
      </c>
      <c r="K247" s="197">
        <f t="shared" si="74"/>
        <v>43333</v>
      </c>
      <c r="L247" s="436">
        <f t="shared" si="75"/>
        <v>4.6532633591578332E-4</v>
      </c>
      <c r="M247" s="855"/>
      <c r="N247" s="855"/>
      <c r="O247" s="324">
        <f t="shared" si="76"/>
        <v>3.8667335700682372E-3</v>
      </c>
      <c r="P247" s="169">
        <f>(INDEX(Models!$BJ247:$BT247,,T247)*(1-R247)+INDEX(Models!$BJ247:$BT247,,T247+1)*R247-ERP_i)*Q247*Ramure*Pc/MaxiM</f>
        <v>4.4185663813773289E-5</v>
      </c>
      <c r="Q247" s="305">
        <f t="shared" si="77"/>
        <v>0.7</v>
      </c>
      <c r="R247" s="177">
        <f t="shared" si="78"/>
        <v>0.77966156588568891</v>
      </c>
      <c r="S247" s="810">
        <f t="shared" si="96"/>
        <v>-2</v>
      </c>
      <c r="T247" s="176">
        <f t="shared" si="79"/>
        <v>4</v>
      </c>
      <c r="U247" s="251">
        <f t="shared" si="80"/>
        <v>-1.2203384341143111</v>
      </c>
      <c r="V247" s="383">
        <f t="shared" si="81"/>
        <v>54.796715659413401</v>
      </c>
      <c r="W247" s="58"/>
      <c r="X247" s="157">
        <f t="shared" si="82"/>
        <v>43333</v>
      </c>
      <c r="Y247" s="385">
        <f t="shared" si="83"/>
        <v>0</v>
      </c>
      <c r="Z247" s="385">
        <f t="shared" si="84"/>
        <v>0</v>
      </c>
      <c r="AA247" s="386">
        <f t="shared" si="85"/>
        <v>0</v>
      </c>
      <c r="AB247" s="197">
        <f t="shared" si="86"/>
        <v>43333</v>
      </c>
      <c r="AC247" s="425">
        <f t="shared" si="87"/>
        <v>3.8667335700682372E-3</v>
      </c>
      <c r="AD247" s="169">
        <f>(INDEX(Models!$BJ247:$BT247,,AH247)*(1-AF247)+INDEX(Models!$BJ247:$BT247,,AH247+1)*AF247-ERP_i)*AE247*Ramure*Pc/MaxiM</f>
        <v>4.4185663813773289E-5</v>
      </c>
      <c r="AE247" s="305">
        <f t="shared" si="88"/>
        <v>0.7</v>
      </c>
      <c r="AF247" s="177">
        <f t="shared" si="89"/>
        <v>0.77966156588568891</v>
      </c>
      <c r="AG247" s="810">
        <f t="shared" si="90"/>
        <v>-2</v>
      </c>
      <c r="AH247" s="176">
        <f t="shared" si="91"/>
        <v>4</v>
      </c>
      <c r="AI247" s="225">
        <f t="shared" si="92"/>
        <v>-1.2203384341143111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6"/>
      <c r="C248" s="390"/>
      <c r="D248" s="393"/>
      <c r="E248" s="385"/>
      <c r="F248" s="385"/>
      <c r="G248" s="110"/>
      <c r="I248" s="380">
        <f t="shared" si="73"/>
        <v>0</v>
      </c>
      <c r="J248" s="85">
        <v>2018</v>
      </c>
      <c r="K248" s="197">
        <f t="shared" si="74"/>
        <v>43334</v>
      </c>
      <c r="L248" s="436">
        <f t="shared" si="75"/>
        <v>4.8858696799813917E-4</v>
      </c>
      <c r="M248" s="855"/>
      <c r="N248" s="855"/>
      <c r="O248" s="324">
        <f t="shared" si="76"/>
        <v>4.0575915948883479E-3</v>
      </c>
      <c r="P248" s="169">
        <f>(INDEX(Models!$BJ248:$BT248,,T248)*(1-R248)+INDEX(Models!$BJ248:$BT248,,T248+1)*R248-ERP_i)*Q248*Ramure*Pc/MaxiM</f>
        <v>4.745834620773306E-5</v>
      </c>
      <c r="Q248" s="305">
        <f t="shared" si="77"/>
        <v>0.7</v>
      </c>
      <c r="R248" s="177">
        <f t="shared" si="78"/>
        <v>0.78041946536698359</v>
      </c>
      <c r="S248" s="810">
        <f t="shared" si="96"/>
        <v>-2</v>
      </c>
      <c r="T248" s="176">
        <f t="shared" si="79"/>
        <v>4</v>
      </c>
      <c r="U248" s="251">
        <f t="shared" si="80"/>
        <v>-1.2195805346330164</v>
      </c>
      <c r="V248" s="383">
        <f t="shared" si="81"/>
        <v>54.519658704228881</v>
      </c>
      <c r="W248" s="58"/>
      <c r="X248" s="157">
        <f t="shared" si="82"/>
        <v>43334</v>
      </c>
      <c r="Y248" s="385">
        <f t="shared" si="83"/>
        <v>0</v>
      </c>
      <c r="Z248" s="385">
        <f t="shared" si="84"/>
        <v>0</v>
      </c>
      <c r="AA248" s="386">
        <f t="shared" si="85"/>
        <v>0</v>
      </c>
      <c r="AB248" s="197">
        <f t="shared" si="86"/>
        <v>43334</v>
      </c>
      <c r="AC248" s="425">
        <f t="shared" si="87"/>
        <v>4.0575915948883479E-3</v>
      </c>
      <c r="AD248" s="169">
        <f>(INDEX(Models!$BJ248:$BT248,,AH248)*(1-AF248)+INDEX(Models!$BJ248:$BT248,,AH248+1)*AF248-ERP_i)*AE248*Ramure*Pc/MaxiM</f>
        <v>4.745834620773306E-5</v>
      </c>
      <c r="AE248" s="305">
        <f t="shared" si="88"/>
        <v>0.7</v>
      </c>
      <c r="AF248" s="177">
        <f t="shared" si="89"/>
        <v>0.78041946536698359</v>
      </c>
      <c r="AG248" s="810">
        <f t="shared" si="90"/>
        <v>-2</v>
      </c>
      <c r="AH248" s="176">
        <f t="shared" si="91"/>
        <v>4</v>
      </c>
      <c r="AI248" s="225">
        <f t="shared" si="92"/>
        <v>-1.2195805346330164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6"/>
      <c r="C249" s="390"/>
      <c r="D249" s="393"/>
      <c r="E249" s="385"/>
      <c r="F249" s="385"/>
      <c r="G249" s="110"/>
      <c r="I249" s="380">
        <f t="shared" si="73"/>
        <v>0</v>
      </c>
      <c r="J249" s="85">
        <v>2018</v>
      </c>
      <c r="K249" s="197">
        <f t="shared" si="74"/>
        <v>43335</v>
      </c>
      <c r="L249" s="436">
        <f t="shared" si="75"/>
        <v>5.1184705877160841E-4</v>
      </c>
      <c r="M249" s="855"/>
      <c r="N249" s="855"/>
      <c r="O249" s="324">
        <f t="shared" si="76"/>
        <v>4.2482015336659205E-3</v>
      </c>
      <c r="P249" s="169">
        <f>(INDEX(Models!$BJ249:$BT249,,T249)*(1-R249)+INDEX(Models!$BJ249:$BT249,,T249+1)*R249-ERP_i)*Q249*Ramure*Pc/MaxiM</f>
        <v>5.1038886721168803E-5</v>
      </c>
      <c r="Q249" s="305">
        <f t="shared" si="77"/>
        <v>0.7</v>
      </c>
      <c r="R249" s="177">
        <f t="shared" si="78"/>
        <v>0.78114969119449262</v>
      </c>
      <c r="S249" s="810">
        <f t="shared" si="96"/>
        <v>-2</v>
      </c>
      <c r="T249" s="176">
        <f t="shared" si="79"/>
        <v>4</v>
      </c>
      <c r="U249" s="251">
        <f t="shared" si="80"/>
        <v>-1.2188503088055074</v>
      </c>
      <c r="V249" s="383">
        <f t="shared" si="81"/>
        <v>54.238725367935267</v>
      </c>
      <c r="W249" s="58"/>
      <c r="X249" s="157">
        <f t="shared" si="82"/>
        <v>43335</v>
      </c>
      <c r="Y249" s="385">
        <f t="shared" si="83"/>
        <v>0</v>
      </c>
      <c r="Z249" s="385">
        <f t="shared" si="84"/>
        <v>0</v>
      </c>
      <c r="AA249" s="386">
        <f t="shared" si="85"/>
        <v>0</v>
      </c>
      <c r="AB249" s="197">
        <f t="shared" si="86"/>
        <v>43335</v>
      </c>
      <c r="AC249" s="425">
        <f t="shared" si="87"/>
        <v>4.2482015336659205E-3</v>
      </c>
      <c r="AD249" s="169">
        <f>(INDEX(Models!$BJ249:$BT249,,AH249)*(1-AF249)+INDEX(Models!$BJ249:$BT249,,AH249+1)*AF249-ERP_i)*AE249*Ramure*Pc/MaxiM</f>
        <v>5.1038886721168803E-5</v>
      </c>
      <c r="AE249" s="305">
        <f t="shared" si="88"/>
        <v>0.7</v>
      </c>
      <c r="AF249" s="177">
        <f t="shared" si="89"/>
        <v>0.78114969119449262</v>
      </c>
      <c r="AG249" s="810">
        <f t="shared" si="90"/>
        <v>-2</v>
      </c>
      <c r="AH249" s="176">
        <f t="shared" si="91"/>
        <v>4</v>
      </c>
      <c r="AI249" s="225">
        <f t="shared" si="92"/>
        <v>-1.2188503088055074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6"/>
      <c r="C250" s="390"/>
      <c r="D250" s="393"/>
      <c r="E250" s="385"/>
      <c r="F250" s="385"/>
      <c r="G250" s="110"/>
      <c r="I250" s="380">
        <f t="shared" si="73"/>
        <v>0</v>
      </c>
      <c r="J250" s="85">
        <v>2018</v>
      </c>
      <c r="K250" s="197">
        <f t="shared" si="74"/>
        <v>43336</v>
      </c>
      <c r="L250" s="436">
        <f t="shared" si="75"/>
        <v>5.3510660824873657E-4</v>
      </c>
      <c r="M250" s="855"/>
      <c r="N250" s="855"/>
      <c r="O250" s="324">
        <f t="shared" si="76"/>
        <v>4.4385611838885395E-3</v>
      </c>
      <c r="P250" s="169">
        <f>(INDEX(Models!$BJ250:$BT250,,T250)*(1-R250)+INDEX(Models!$BJ250:$BT250,,T250+1)*R250-ERP_i)*Q250*Ramure*Pc/MaxiM</f>
        <v>5.4933364331996996E-5</v>
      </c>
      <c r="Q250" s="305">
        <f t="shared" si="77"/>
        <v>0.7</v>
      </c>
      <c r="R250" s="177">
        <f t="shared" si="78"/>
        <v>0.78185314843422415</v>
      </c>
      <c r="S250" s="810">
        <f t="shared" si="96"/>
        <v>-2</v>
      </c>
      <c r="T250" s="176">
        <f t="shared" si="79"/>
        <v>4</v>
      </c>
      <c r="U250" s="251">
        <f t="shared" si="80"/>
        <v>-1.2181468515657758</v>
      </c>
      <c r="V250" s="383">
        <f t="shared" si="81"/>
        <v>53.953700540391615</v>
      </c>
      <c r="W250" s="58"/>
      <c r="X250" s="157">
        <f t="shared" si="82"/>
        <v>43336</v>
      </c>
      <c r="Y250" s="385">
        <f t="shared" si="83"/>
        <v>0</v>
      </c>
      <c r="Z250" s="385">
        <f t="shared" si="84"/>
        <v>0</v>
      </c>
      <c r="AA250" s="386">
        <f t="shared" si="85"/>
        <v>0</v>
      </c>
      <c r="AB250" s="197">
        <f t="shared" si="86"/>
        <v>43336</v>
      </c>
      <c r="AC250" s="425">
        <f t="shared" si="87"/>
        <v>4.4385611838885395E-3</v>
      </c>
      <c r="AD250" s="169">
        <f>(INDEX(Models!$BJ250:$BT250,,AH250)*(1-AF250)+INDEX(Models!$BJ250:$BT250,,AH250+1)*AF250-ERP_i)*AE250*Ramure*Pc/MaxiM</f>
        <v>5.4933364331996996E-5</v>
      </c>
      <c r="AE250" s="305">
        <f t="shared" si="88"/>
        <v>0.7</v>
      </c>
      <c r="AF250" s="177">
        <f t="shared" si="89"/>
        <v>0.78185314843422415</v>
      </c>
      <c r="AG250" s="810">
        <f t="shared" si="90"/>
        <v>-2</v>
      </c>
      <c r="AH250" s="176">
        <f t="shared" si="91"/>
        <v>4</v>
      </c>
      <c r="AI250" s="225">
        <f t="shared" si="92"/>
        <v>-1.2181468515657758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6"/>
      <c r="C251" s="390"/>
      <c r="D251" s="393"/>
      <c r="E251" s="385"/>
      <c r="F251" s="385"/>
      <c r="G251" s="110"/>
      <c r="I251" s="380">
        <f t="shared" si="73"/>
        <v>0</v>
      </c>
      <c r="J251" s="85">
        <v>2018</v>
      </c>
      <c r="K251" s="197">
        <f t="shared" si="74"/>
        <v>43337</v>
      </c>
      <c r="L251" s="436">
        <f t="shared" si="75"/>
        <v>5.5836561644218019E-4</v>
      </c>
      <c r="M251" s="855"/>
      <c r="N251" s="855"/>
      <c r="O251" s="324">
        <f t="shared" si="76"/>
        <v>4.6286682237471344E-3</v>
      </c>
      <c r="P251" s="169">
        <f>(INDEX(Models!$BJ251:$BT251,,T251)*(1-R251)+INDEX(Models!$BJ251:$BT251,,T251+1)*R251-ERP_i)*Q251*Ramure*Pc/MaxiM</f>
        <v>5.914808911099021E-5</v>
      </c>
      <c r="Q251" s="305">
        <f t="shared" si="77"/>
        <v>0.7</v>
      </c>
      <c r="R251" s="177">
        <f t="shared" si="78"/>
        <v>0.78253072056859585</v>
      </c>
      <c r="S251" s="810">
        <f t="shared" si="96"/>
        <v>-2</v>
      </c>
      <c r="T251" s="176">
        <f t="shared" si="79"/>
        <v>4</v>
      </c>
      <c r="U251" s="251">
        <f t="shared" si="80"/>
        <v>-1.2174692794314041</v>
      </c>
      <c r="V251" s="383">
        <f t="shared" si="81"/>
        <v>53.664369305129618</v>
      </c>
      <c r="W251" s="58"/>
      <c r="X251" s="157">
        <f t="shared" si="82"/>
        <v>43337</v>
      </c>
      <c r="Y251" s="385">
        <f t="shared" si="83"/>
        <v>0</v>
      </c>
      <c r="Z251" s="385">
        <f t="shared" si="84"/>
        <v>0</v>
      </c>
      <c r="AA251" s="386">
        <f t="shared" si="85"/>
        <v>0</v>
      </c>
      <c r="AB251" s="197">
        <f t="shared" si="86"/>
        <v>43337</v>
      </c>
      <c r="AC251" s="425">
        <f t="shared" si="87"/>
        <v>4.6286682237471344E-3</v>
      </c>
      <c r="AD251" s="169">
        <f>(INDEX(Models!$BJ251:$BT251,,AH251)*(1-AF251)+INDEX(Models!$BJ251:$BT251,,AH251+1)*AF251-ERP_i)*AE251*Ramure*Pc/MaxiM</f>
        <v>5.914808911099021E-5</v>
      </c>
      <c r="AE251" s="305">
        <f t="shared" si="88"/>
        <v>0.7</v>
      </c>
      <c r="AF251" s="177">
        <f t="shared" si="89"/>
        <v>0.78253072056859585</v>
      </c>
      <c r="AG251" s="810">
        <f t="shared" si="90"/>
        <v>-2</v>
      </c>
      <c r="AH251" s="176">
        <f t="shared" si="91"/>
        <v>4</v>
      </c>
      <c r="AI251" s="225">
        <f t="shared" si="92"/>
        <v>-1.2174692794314041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6"/>
      <c r="C252" s="390"/>
      <c r="D252" s="393"/>
      <c r="E252" s="385"/>
      <c r="F252" s="385"/>
      <c r="G252" s="110"/>
      <c r="I252" s="380">
        <f t="shared" si="73"/>
        <v>0</v>
      </c>
      <c r="J252" s="85">
        <v>2018</v>
      </c>
      <c r="K252" s="197">
        <f t="shared" si="74"/>
        <v>43338</v>
      </c>
      <c r="L252" s="436">
        <f t="shared" si="75"/>
        <v>5.8162408336459581E-4</v>
      </c>
      <c r="M252" s="855"/>
      <c r="N252" s="855"/>
      <c r="O252" s="324">
        <f t="shared" si="76"/>
        <v>4.8185202081517855E-3</v>
      </c>
      <c r="P252" s="169">
        <f>(INDEX(Models!$BJ252:$BT252,,T252)*(1-R252)+INDEX(Models!$BJ252:$BT252,,T252+1)*R252-ERP_i)*Q252*Ramure*Pc/MaxiM</f>
        <v>6.368957489495741E-5</v>
      </c>
      <c r="Q252" s="305">
        <f t="shared" si="77"/>
        <v>0.7</v>
      </c>
      <c r="R252" s="177">
        <f t="shared" si="78"/>
        <v>0.78318326936971872</v>
      </c>
      <c r="S252" s="810">
        <f t="shared" si="96"/>
        <v>-2</v>
      </c>
      <c r="T252" s="176">
        <f t="shared" si="79"/>
        <v>4</v>
      </c>
      <c r="U252" s="251">
        <f t="shared" si="80"/>
        <v>-1.2168167306302813</v>
      </c>
      <c r="V252" s="383">
        <f t="shared" si="81"/>
        <v>53.370516934630778</v>
      </c>
      <c r="W252" s="58"/>
      <c r="X252" s="157">
        <f t="shared" si="82"/>
        <v>43338</v>
      </c>
      <c r="Y252" s="385">
        <f t="shared" si="83"/>
        <v>0</v>
      </c>
      <c r="Z252" s="385">
        <f t="shared" si="84"/>
        <v>0</v>
      </c>
      <c r="AA252" s="386">
        <f t="shared" si="85"/>
        <v>0</v>
      </c>
      <c r="AB252" s="197">
        <f t="shared" si="86"/>
        <v>43338</v>
      </c>
      <c r="AC252" s="425">
        <f t="shared" si="87"/>
        <v>4.8185202081517855E-3</v>
      </c>
      <c r="AD252" s="169">
        <f>(INDEX(Models!$BJ252:$BT252,,AH252)*(1-AF252)+INDEX(Models!$BJ252:$BT252,,AH252+1)*AF252-ERP_i)*AE252*Ramure*Pc/MaxiM</f>
        <v>6.368957489495741E-5</v>
      </c>
      <c r="AE252" s="305">
        <f t="shared" si="88"/>
        <v>0.7</v>
      </c>
      <c r="AF252" s="177">
        <f t="shared" si="89"/>
        <v>0.78318326936971872</v>
      </c>
      <c r="AG252" s="810">
        <f t="shared" si="90"/>
        <v>-2</v>
      </c>
      <c r="AH252" s="176">
        <f t="shared" si="91"/>
        <v>4</v>
      </c>
      <c r="AI252" s="225">
        <f t="shared" si="92"/>
        <v>-1.2168167306302813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6"/>
      <c r="C253" s="390"/>
      <c r="D253" s="393"/>
      <c r="E253" s="385"/>
      <c r="F253" s="385"/>
      <c r="G253" s="110"/>
      <c r="I253" s="380">
        <f t="shared" si="73"/>
        <v>0</v>
      </c>
      <c r="J253" s="85">
        <v>2018</v>
      </c>
      <c r="K253" s="197">
        <f t="shared" si="74"/>
        <v>43339</v>
      </c>
      <c r="L253" s="436">
        <f t="shared" si="75"/>
        <v>6.0488200902841793E-4</v>
      </c>
      <c r="M253" s="855"/>
      <c r="N253" s="855"/>
      <c r="O253" s="324">
        <f t="shared" si="76"/>
        <v>5.0081145643586936E-3</v>
      </c>
      <c r="P253" s="169">
        <f>(INDEX(Models!$BJ253:$BT253,,T253)*(1-R253)+INDEX(Models!$BJ253:$BT253,,T253+1)*R253-ERP_i)*Q253*Ramure*Pc/MaxiM</f>
        <v>6.8564597147153153E-5</v>
      </c>
      <c r="Q253" s="305">
        <f t="shared" si="77"/>
        <v>0.7</v>
      </c>
      <c r="R253" s="177">
        <f t="shared" si="78"/>
        <v>0.78381163483791649</v>
      </c>
      <c r="S253" s="810">
        <f t="shared" si="96"/>
        <v>-2</v>
      </c>
      <c r="T253" s="176">
        <f t="shared" si="79"/>
        <v>4</v>
      </c>
      <c r="U253" s="251">
        <f t="shared" si="80"/>
        <v>-1.2161883651620835</v>
      </c>
      <c r="V253" s="383">
        <f t="shared" si="81"/>
        <v>53.071928892456484</v>
      </c>
      <c r="W253" s="58"/>
      <c r="X253" s="157">
        <f t="shared" si="82"/>
        <v>43339</v>
      </c>
      <c r="Y253" s="385">
        <f t="shared" si="83"/>
        <v>0</v>
      </c>
      <c r="Z253" s="385">
        <f t="shared" si="84"/>
        <v>0</v>
      </c>
      <c r="AA253" s="386">
        <f t="shared" si="85"/>
        <v>0</v>
      </c>
      <c r="AB253" s="197">
        <f t="shared" si="86"/>
        <v>43339</v>
      </c>
      <c r="AC253" s="425">
        <f t="shared" si="87"/>
        <v>5.0081145643586936E-3</v>
      </c>
      <c r="AD253" s="169">
        <f>(INDEX(Models!$BJ253:$BT253,,AH253)*(1-AF253)+INDEX(Models!$BJ253:$BT253,,AH253+1)*AF253-ERP_i)*AE253*Ramure*Pc/MaxiM</f>
        <v>6.8564597147153153E-5</v>
      </c>
      <c r="AE253" s="305">
        <f t="shared" si="88"/>
        <v>0.7</v>
      </c>
      <c r="AF253" s="177">
        <f t="shared" si="89"/>
        <v>0.78381163483791649</v>
      </c>
      <c r="AG253" s="810">
        <f t="shared" si="90"/>
        <v>-2</v>
      </c>
      <c r="AH253" s="176">
        <f t="shared" si="91"/>
        <v>4</v>
      </c>
      <c r="AI253" s="225">
        <f t="shared" si="92"/>
        <v>-1.2161883651620835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6"/>
      <c r="C254" s="390"/>
      <c r="D254" s="393"/>
      <c r="E254" s="385"/>
      <c r="F254" s="385"/>
      <c r="G254" s="110"/>
      <c r="I254" s="380">
        <f t="shared" si="73"/>
        <v>0</v>
      </c>
      <c r="J254" s="85">
        <v>2018</v>
      </c>
      <c r="K254" s="197">
        <f t="shared" si="74"/>
        <v>43340</v>
      </c>
      <c r="L254" s="436">
        <f t="shared" si="75"/>
        <v>6.2813939344641412E-4</v>
      </c>
      <c r="M254" s="855"/>
      <c r="N254" s="855"/>
      <c r="O254" s="324">
        <f t="shared" si="76"/>
        <v>5.1974485871073223E-3</v>
      </c>
      <c r="P254" s="169">
        <f>(INDEX(Models!$BJ254:$BT254,,T254)*(1-R254)+INDEX(Models!$BJ254:$BT254,,T254+1)*R254-ERP_i)*Q254*Ramure*Pc/MaxiM</f>
        <v>7.3889028908330248E-5</v>
      </c>
      <c r="Q254" s="305">
        <f t="shared" si="77"/>
        <v>0.7</v>
      </c>
      <c r="R254" s="177">
        <f t="shared" si="78"/>
        <v>0.78441663519996441</v>
      </c>
      <c r="S254" s="810">
        <f t="shared" si="96"/>
        <v>-2</v>
      </c>
      <c r="T254" s="176">
        <f t="shared" si="79"/>
        <v>4</v>
      </c>
      <c r="U254" s="251">
        <f t="shared" si="80"/>
        <v>-1.2155833648000356</v>
      </c>
      <c r="V254" s="383">
        <f t="shared" si="81"/>
        <v>52.768385087748108</v>
      </c>
      <c r="W254" s="58"/>
      <c r="X254" s="157">
        <f t="shared" si="82"/>
        <v>43340</v>
      </c>
      <c r="Y254" s="385">
        <f t="shared" si="83"/>
        <v>0</v>
      </c>
      <c r="Z254" s="385">
        <f t="shared" si="84"/>
        <v>0</v>
      </c>
      <c r="AA254" s="386">
        <f t="shared" si="85"/>
        <v>0</v>
      </c>
      <c r="AB254" s="197">
        <f t="shared" si="86"/>
        <v>43340</v>
      </c>
      <c r="AC254" s="425">
        <f t="shared" si="87"/>
        <v>5.1974485871073223E-3</v>
      </c>
      <c r="AD254" s="169">
        <f>(INDEX(Models!$BJ254:$BT254,,AH254)*(1-AF254)+INDEX(Models!$BJ254:$BT254,,AH254+1)*AF254-ERP_i)*AE254*Ramure*Pc/MaxiM</f>
        <v>7.3889028908330248E-5</v>
      </c>
      <c r="AE254" s="305">
        <f t="shared" si="88"/>
        <v>0.7</v>
      </c>
      <c r="AF254" s="177">
        <f t="shared" si="89"/>
        <v>0.78441663519996441</v>
      </c>
      <c r="AG254" s="810">
        <f t="shared" si="90"/>
        <v>-2</v>
      </c>
      <c r="AH254" s="176">
        <f t="shared" si="91"/>
        <v>4</v>
      </c>
      <c r="AI254" s="225">
        <f t="shared" si="92"/>
        <v>-1.2155833648000356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6"/>
      <c r="C255" s="390"/>
      <c r="D255" s="393"/>
      <c r="E255" s="385"/>
      <c r="F255" s="385"/>
      <c r="G255" s="110"/>
      <c r="I255" s="380">
        <f t="shared" si="73"/>
        <v>0</v>
      </c>
      <c r="J255" s="85">
        <v>2018</v>
      </c>
      <c r="K255" s="197">
        <f t="shared" si="74"/>
        <v>43341</v>
      </c>
      <c r="L255" s="436">
        <f t="shared" si="75"/>
        <v>6.5139623663101887E-4</v>
      </c>
      <c r="M255" s="855"/>
      <c r="N255" s="855"/>
      <c r="O255" s="324">
        <f t="shared" si="76"/>
        <v>5.3865194331851451E-3</v>
      </c>
      <c r="P255" s="169">
        <f>(INDEX(Models!$BJ255:$BT255,,T255)*(1-R255)+INDEX(Models!$BJ255:$BT255,,T255+1)*R255-ERP_i)*Q255*Ramure*Pc/MaxiM</f>
        <v>7.9565456709934765E-5</v>
      </c>
      <c r="Q255" s="305">
        <f t="shared" si="77"/>
        <v>0.7</v>
      </c>
      <c r="R255" s="177">
        <f t="shared" si="78"/>
        <v>0.78499906696180011</v>
      </c>
      <c r="S255" s="810">
        <f t="shared" si="96"/>
        <v>-2</v>
      </c>
      <c r="T255" s="176">
        <f t="shared" si="79"/>
        <v>4</v>
      </c>
      <c r="U255" s="251">
        <f t="shared" si="80"/>
        <v>-1.2150009330381999</v>
      </c>
      <c r="V255" s="383">
        <f t="shared" si="81"/>
        <v>52.45967695761658</v>
      </c>
      <c r="W255" s="58"/>
      <c r="X255" s="157">
        <f t="shared" si="82"/>
        <v>43341</v>
      </c>
      <c r="Y255" s="385">
        <f t="shared" si="83"/>
        <v>0</v>
      </c>
      <c r="Z255" s="385">
        <f t="shared" si="84"/>
        <v>0</v>
      </c>
      <c r="AA255" s="386">
        <f t="shared" si="85"/>
        <v>0</v>
      </c>
      <c r="AB255" s="197">
        <f t="shared" si="86"/>
        <v>43341</v>
      </c>
      <c r="AC255" s="425">
        <f t="shared" si="87"/>
        <v>5.3865194331851451E-3</v>
      </c>
      <c r="AD255" s="169">
        <f>(INDEX(Models!$BJ255:$BT255,,AH255)*(1-AF255)+INDEX(Models!$BJ255:$BT255,,AH255+1)*AF255-ERP_i)*AE255*Ramure*Pc/MaxiM</f>
        <v>7.9565456709934765E-5</v>
      </c>
      <c r="AE255" s="305">
        <f t="shared" si="88"/>
        <v>0.7</v>
      </c>
      <c r="AF255" s="177">
        <f t="shared" si="89"/>
        <v>0.78499906696180011</v>
      </c>
      <c r="AG255" s="810">
        <f t="shared" si="90"/>
        <v>-2</v>
      </c>
      <c r="AH255" s="176">
        <f t="shared" si="91"/>
        <v>4</v>
      </c>
      <c r="AI255" s="225">
        <f t="shared" si="92"/>
        <v>-1.2150009330381999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6"/>
      <c r="C256" s="390"/>
      <c r="D256" s="393"/>
      <c r="E256" s="385"/>
      <c r="F256" s="385"/>
      <c r="G256" s="110"/>
      <c r="I256" s="380">
        <f t="shared" si="73"/>
        <v>0</v>
      </c>
      <c r="J256" s="85">
        <v>2018</v>
      </c>
      <c r="K256" s="197">
        <f t="shared" si="74"/>
        <v>43342</v>
      </c>
      <c r="L256" s="436">
        <f t="shared" si="75"/>
        <v>6.7465253859488872E-4</v>
      </c>
      <c r="M256" s="855"/>
      <c r="N256" s="855"/>
      <c r="O256" s="324">
        <f t="shared" si="76"/>
        <v>5.5753241153578218E-3</v>
      </c>
      <c r="P256" s="169">
        <f>(INDEX(Models!$BJ256:$BT256,,T256)*(1-R256)+INDEX(Models!$BJ256:$BT256,,T256+1)*R256-ERP_i)*Q256*Ramure*Pc/MaxiM</f>
        <v>8.5601704326578772E-5</v>
      </c>
      <c r="Q256" s="305">
        <f t="shared" si="77"/>
        <v>0.7</v>
      </c>
      <c r="R256" s="177">
        <f t="shared" si="78"/>
        <v>0.78555970501073968</v>
      </c>
      <c r="S256" s="810">
        <f t="shared" si="96"/>
        <v>-2</v>
      </c>
      <c r="T256" s="176">
        <f t="shared" si="79"/>
        <v>4</v>
      </c>
      <c r="U256" s="251">
        <f t="shared" si="80"/>
        <v>-1.2144402949892603</v>
      </c>
      <c r="V256" s="383">
        <f t="shared" si="81"/>
        <v>52.145590531259522</v>
      </c>
      <c r="W256" s="58"/>
      <c r="X256" s="157">
        <f t="shared" si="82"/>
        <v>43342</v>
      </c>
      <c r="Y256" s="385">
        <f t="shared" si="83"/>
        <v>0</v>
      </c>
      <c r="Z256" s="385">
        <f t="shared" si="84"/>
        <v>0</v>
      </c>
      <c r="AA256" s="386">
        <f t="shared" si="85"/>
        <v>0</v>
      </c>
      <c r="AB256" s="197">
        <f t="shared" si="86"/>
        <v>43342</v>
      </c>
      <c r="AC256" s="425">
        <f t="shared" si="87"/>
        <v>5.5753241153578218E-3</v>
      </c>
      <c r="AD256" s="169">
        <f>(INDEX(Models!$BJ256:$BT256,,AH256)*(1-AF256)+INDEX(Models!$BJ256:$BT256,,AH256+1)*AF256-ERP_i)*AE256*Ramure*Pc/MaxiM</f>
        <v>8.5601704326578772E-5</v>
      </c>
      <c r="AE256" s="305">
        <f t="shared" si="88"/>
        <v>0.7</v>
      </c>
      <c r="AF256" s="177">
        <f t="shared" si="89"/>
        <v>0.78555970501073968</v>
      </c>
      <c r="AG256" s="810">
        <f t="shared" si="90"/>
        <v>-2</v>
      </c>
      <c r="AH256" s="176">
        <f t="shared" si="91"/>
        <v>4</v>
      </c>
      <c r="AI256" s="225">
        <f t="shared" si="92"/>
        <v>-1.2144402949892603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6"/>
      <c r="C257" s="390"/>
      <c r="D257" s="393"/>
      <c r="E257" s="385"/>
      <c r="F257" s="385"/>
      <c r="G257" s="110"/>
      <c r="I257" s="380">
        <f t="shared" si="73"/>
        <v>0</v>
      </c>
      <c r="J257" s="85">
        <v>2018</v>
      </c>
      <c r="K257" s="197">
        <f t="shared" si="74"/>
        <v>43343</v>
      </c>
      <c r="L257" s="436">
        <f t="shared" si="75"/>
        <v>6.9790829935068022E-4</v>
      </c>
      <c r="M257" s="855"/>
      <c r="N257" s="855"/>
      <c r="O257" s="324">
        <f t="shared" si="76"/>
        <v>5.7638594956259583E-3</v>
      </c>
      <c r="P257" s="169">
        <f>(INDEX(Models!$BJ257:$BT257,,T257)*(1-R257)+INDEX(Models!$BJ257:$BT257,,T257+1)*R257-ERP_i)*Q257*Ramure*Pc/MaxiM</f>
        <v>9.2005986831588611E-5</v>
      </c>
      <c r="Q257" s="305">
        <f t="shared" si="77"/>
        <v>0.7</v>
      </c>
      <c r="R257" s="177">
        <f t="shared" si="78"/>
        <v>0.78609930276250006</v>
      </c>
      <c r="S257" s="810">
        <f t="shared" si="96"/>
        <v>-2</v>
      </c>
      <c r="T257" s="176">
        <f t="shared" si="79"/>
        <v>4</v>
      </c>
      <c r="U257" s="251">
        <f t="shared" si="80"/>
        <v>-1.2139006972374999</v>
      </c>
      <c r="V257" s="383">
        <f t="shared" si="81"/>
        <v>51.825912021487362</v>
      </c>
      <c r="W257" s="58"/>
      <c r="X257" s="157">
        <f t="shared" si="82"/>
        <v>43343</v>
      </c>
      <c r="Y257" s="385">
        <f t="shared" si="83"/>
        <v>0</v>
      </c>
      <c r="Z257" s="385">
        <f t="shared" si="84"/>
        <v>0</v>
      </c>
      <c r="AA257" s="386">
        <f t="shared" si="85"/>
        <v>0</v>
      </c>
      <c r="AB257" s="197">
        <f t="shared" si="86"/>
        <v>43343</v>
      </c>
      <c r="AC257" s="425">
        <f t="shared" si="87"/>
        <v>5.7638594956259583E-3</v>
      </c>
      <c r="AD257" s="169">
        <f>(INDEX(Models!$BJ257:$BT257,,AH257)*(1-AF257)+INDEX(Models!$BJ257:$BT257,,AH257+1)*AF257-ERP_i)*AE257*Ramure*Pc/MaxiM</f>
        <v>9.2005986831588611E-5</v>
      </c>
      <c r="AE257" s="305">
        <f t="shared" si="88"/>
        <v>0.7</v>
      </c>
      <c r="AF257" s="177">
        <f t="shared" si="89"/>
        <v>0.78609930276250006</v>
      </c>
      <c r="AG257" s="810">
        <f t="shared" si="90"/>
        <v>-2</v>
      </c>
      <c r="AH257" s="176">
        <f t="shared" si="91"/>
        <v>4</v>
      </c>
      <c r="AI257" s="225">
        <f t="shared" si="92"/>
        <v>-1.2139006972374999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6"/>
      <c r="C258" s="390"/>
      <c r="D258" s="393"/>
      <c r="E258" s="385"/>
      <c r="F258" s="385"/>
      <c r="G258" s="110"/>
      <c r="I258" s="380">
        <f t="shared" si="73"/>
        <v>0</v>
      </c>
      <c r="J258" s="85">
        <v>2018</v>
      </c>
      <c r="K258" s="197">
        <f t="shared" si="74"/>
        <v>43344</v>
      </c>
      <c r="L258" s="436">
        <f t="shared" si="75"/>
        <v>7.2116351891104991E-4</v>
      </c>
      <c r="M258" s="855"/>
      <c r="N258" s="855"/>
      <c r="O258" s="324">
        <f t="shared" si="76"/>
        <v>5.952122277793021E-3</v>
      </c>
      <c r="P258" s="169">
        <f>(INDEX(Models!$BJ258:$BT258,,T258)*(1-R258)+INDEX(Models!$BJ258:$BT258,,T258+1)*R258-ERP_i)*Q258*Ramure*Pc/MaxiM</f>
        <v>9.8786946450095189E-5</v>
      </c>
      <c r="Q258" s="305">
        <f t="shared" si="77"/>
        <v>0.7</v>
      </c>
      <c r="R258" s="177">
        <f t="shared" si="78"/>
        <v>0.7866185923485971</v>
      </c>
      <c r="S258" s="810">
        <f t="shared" si="96"/>
        <v>-2</v>
      </c>
      <c r="T258" s="176">
        <f t="shared" si="79"/>
        <v>4</v>
      </c>
      <c r="U258" s="251">
        <f t="shared" si="80"/>
        <v>-1.2133814076514029</v>
      </c>
      <c r="V258" s="383">
        <f t="shared" si="81"/>
        <v>51.500427825305756</v>
      </c>
      <c r="W258" s="58"/>
      <c r="X258" s="157">
        <f t="shared" si="82"/>
        <v>43344</v>
      </c>
      <c r="Y258" s="385">
        <f t="shared" si="83"/>
        <v>0</v>
      </c>
      <c r="Z258" s="385">
        <f t="shared" si="84"/>
        <v>0</v>
      </c>
      <c r="AA258" s="386">
        <f t="shared" si="85"/>
        <v>0</v>
      </c>
      <c r="AB258" s="197">
        <f t="shared" si="86"/>
        <v>43344</v>
      </c>
      <c r="AC258" s="425">
        <f t="shared" si="87"/>
        <v>5.952122277793021E-3</v>
      </c>
      <c r="AD258" s="169">
        <f>(INDEX(Models!$BJ258:$BT258,,AH258)*(1-AF258)+INDEX(Models!$BJ258:$BT258,,AH258+1)*AF258-ERP_i)*AE258*Ramure*Pc/MaxiM</f>
        <v>9.8786946450095189E-5</v>
      </c>
      <c r="AE258" s="305">
        <f t="shared" si="88"/>
        <v>0.7</v>
      </c>
      <c r="AF258" s="177">
        <f t="shared" si="89"/>
        <v>0.7866185923485971</v>
      </c>
      <c r="AG258" s="810">
        <f t="shared" si="90"/>
        <v>-2</v>
      </c>
      <c r="AH258" s="176">
        <f t="shared" si="91"/>
        <v>4</v>
      </c>
      <c r="AI258" s="225">
        <f t="shared" si="92"/>
        <v>-1.2133814076514029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6"/>
      <c r="C259" s="390"/>
      <c r="D259" s="393"/>
      <c r="E259" s="385"/>
      <c r="F259" s="385"/>
      <c r="G259" s="110"/>
      <c r="I259" s="380">
        <f t="shared" si="73"/>
        <v>0</v>
      </c>
      <c r="J259" s="85">
        <v>2018</v>
      </c>
      <c r="K259" s="197">
        <f t="shared" si="74"/>
        <v>43345</v>
      </c>
      <c r="L259" s="436">
        <f t="shared" si="75"/>
        <v>7.4441819728832126E-4</v>
      </c>
      <c r="M259" s="855"/>
      <c r="N259" s="855"/>
      <c r="O259" s="324">
        <f t="shared" si="76"/>
        <v>6.1401089993548368E-3</v>
      </c>
      <c r="P259" s="169">
        <f>(INDEX(Models!$BJ259:$BT259,,T259)*(1-R259)+INDEX(Models!$BJ259:$BT259,,T259+1)*R259-ERP_i)*Q259*Ramure*Pc/MaxiM</f>
        <v>1.0595369058853874E-4</v>
      </c>
      <c r="Q259" s="305">
        <f t="shared" si="77"/>
        <v>0.7</v>
      </c>
      <c r="R259" s="177">
        <f t="shared" si="78"/>
        <v>0.78711828483996249</v>
      </c>
      <c r="S259" s="810">
        <f t="shared" si="96"/>
        <v>-2</v>
      </c>
      <c r="T259" s="176">
        <f t="shared" si="79"/>
        <v>4</v>
      </c>
      <c r="U259" s="251">
        <f t="shared" si="80"/>
        <v>-1.2128817151600375</v>
      </c>
      <c r="V259" s="383">
        <f t="shared" si="81"/>
        <v>51.168924533078723</v>
      </c>
      <c r="W259" s="58"/>
      <c r="X259" s="157">
        <f t="shared" si="82"/>
        <v>43345</v>
      </c>
      <c r="Y259" s="385">
        <f t="shared" si="83"/>
        <v>0</v>
      </c>
      <c r="Z259" s="385">
        <f t="shared" si="84"/>
        <v>0</v>
      </c>
      <c r="AA259" s="386">
        <f t="shared" si="85"/>
        <v>0</v>
      </c>
      <c r="AB259" s="197">
        <f t="shared" si="86"/>
        <v>43345</v>
      </c>
      <c r="AC259" s="425">
        <f t="shared" si="87"/>
        <v>6.1401089993548368E-3</v>
      </c>
      <c r="AD259" s="169">
        <f>(INDEX(Models!$BJ259:$BT259,,AH259)*(1-AF259)+INDEX(Models!$BJ259:$BT259,,AH259+1)*AF259-ERP_i)*AE259*Ramure*Pc/MaxiM</f>
        <v>1.0595369058853874E-4</v>
      </c>
      <c r="AE259" s="305">
        <f t="shared" si="88"/>
        <v>0.7</v>
      </c>
      <c r="AF259" s="177">
        <f t="shared" si="89"/>
        <v>0.78711828483996249</v>
      </c>
      <c r="AG259" s="810">
        <f t="shared" si="90"/>
        <v>-2</v>
      </c>
      <c r="AH259" s="176">
        <f t="shared" si="91"/>
        <v>4</v>
      </c>
      <c r="AI259" s="225">
        <f t="shared" si="92"/>
        <v>-1.2128817151600375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6"/>
      <c r="C260" s="390"/>
      <c r="D260" s="393"/>
      <c r="E260" s="385"/>
      <c r="F260" s="385"/>
      <c r="G260" s="110"/>
      <c r="I260" s="380">
        <f t="shared" si="73"/>
        <v>0</v>
      </c>
      <c r="J260" s="85">
        <v>2018</v>
      </c>
      <c r="K260" s="197">
        <f t="shared" si="74"/>
        <v>43346</v>
      </c>
      <c r="L260" s="436">
        <f t="shared" si="75"/>
        <v>7.6767233449537287E-4</v>
      </c>
      <c r="M260" s="855"/>
      <c r="N260" s="855"/>
      <c r="O260" s="324">
        <f t="shared" si="76"/>
        <v>6.3278160227469701E-3</v>
      </c>
      <c r="P260" s="169">
        <f>(INDEX(Models!$BJ260:$BT260,,T260)*(1-R260)+INDEX(Models!$BJ260:$BT260,,T260+1)*R260-ERP_i)*Q260*Ramure*Pc/MaxiM</f>
        <v>1.1351583234892707E-4</v>
      </c>
      <c r="Q260" s="305">
        <f t="shared" si="77"/>
        <v>0.7</v>
      </c>
      <c r="R260" s="177">
        <f t="shared" si="78"/>
        <v>0.78759907050286282</v>
      </c>
      <c r="S260" s="810">
        <f t="shared" si="96"/>
        <v>-2</v>
      </c>
      <c r="T260" s="176">
        <f t="shared" si="79"/>
        <v>4</v>
      </c>
      <c r="U260" s="251">
        <f t="shared" si="80"/>
        <v>-1.2124009294971372</v>
      </c>
      <c r="V260" s="383">
        <f t="shared" si="81"/>
        <v>50.831188910005714</v>
      </c>
      <c r="W260" s="58"/>
      <c r="X260" s="157">
        <f t="shared" si="82"/>
        <v>43346</v>
      </c>
      <c r="Y260" s="385">
        <f t="shared" si="83"/>
        <v>0</v>
      </c>
      <c r="Z260" s="385">
        <f t="shared" si="84"/>
        <v>0</v>
      </c>
      <c r="AA260" s="386">
        <f t="shared" si="85"/>
        <v>0</v>
      </c>
      <c r="AB260" s="197">
        <f t="shared" si="86"/>
        <v>43346</v>
      </c>
      <c r="AC260" s="425">
        <f t="shared" si="87"/>
        <v>6.3278160227469701E-3</v>
      </c>
      <c r="AD260" s="169">
        <f>(INDEX(Models!$BJ260:$BT260,,AH260)*(1-AF260)+INDEX(Models!$BJ260:$BT260,,AH260+1)*AF260-ERP_i)*AE260*Ramure*Pc/MaxiM</f>
        <v>1.1351583234892707E-4</v>
      </c>
      <c r="AE260" s="305">
        <f t="shared" si="88"/>
        <v>0.7</v>
      </c>
      <c r="AF260" s="177">
        <f t="shared" si="89"/>
        <v>0.78759907050286282</v>
      </c>
      <c r="AG260" s="810">
        <f t="shared" si="90"/>
        <v>-2</v>
      </c>
      <c r="AH260" s="176">
        <f t="shared" si="91"/>
        <v>4</v>
      </c>
      <c r="AI260" s="225">
        <f t="shared" si="92"/>
        <v>-1.2124009294971372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6"/>
      <c r="C261" s="390"/>
      <c r="D261" s="393"/>
      <c r="E261" s="385"/>
      <c r="F261" s="385"/>
      <c r="G261" s="110"/>
      <c r="I261" s="380">
        <f t="shared" si="73"/>
        <v>0</v>
      </c>
      <c r="J261" s="85">
        <v>2018</v>
      </c>
      <c r="K261" s="197">
        <f t="shared" si="74"/>
        <v>43347</v>
      </c>
      <c r="L261" s="436">
        <f t="shared" si="75"/>
        <v>7.9092593054463922E-4</v>
      </c>
      <c r="M261" s="855"/>
      <c r="N261" s="855"/>
      <c r="O261" s="324">
        <f t="shared" si="76"/>
        <v>6.5152395260128079E-3</v>
      </c>
      <c r="P261" s="169">
        <f>(INDEX(Models!$BJ261:$BT261,,T261)*(1-R261)+INDEX(Models!$BJ261:$BT261,,T261+1)*R261-ERP_i)*Q261*Ramure*Pc/MaxiM</f>
        <v>1.2148449113211965E-4</v>
      </c>
      <c r="Q261" s="305">
        <f t="shared" si="77"/>
        <v>0.7</v>
      </c>
      <c r="R261" s="177">
        <f t="shared" si="78"/>
        <v>0.78806161908347416</v>
      </c>
      <c r="S261" s="810">
        <f t="shared" si="96"/>
        <v>-2</v>
      </c>
      <c r="T261" s="176">
        <f t="shared" si="79"/>
        <v>4</v>
      </c>
      <c r="U261" s="251">
        <f t="shared" si="80"/>
        <v>-1.2119383809165258</v>
      </c>
      <c r="V261" s="383">
        <f t="shared" si="81"/>
        <v>50.486609962492381</v>
      </c>
      <c r="W261" s="58"/>
      <c r="X261" s="157">
        <f t="shared" si="82"/>
        <v>43347</v>
      </c>
      <c r="Y261" s="385">
        <f t="shared" si="83"/>
        <v>0</v>
      </c>
      <c r="Z261" s="385">
        <f t="shared" si="84"/>
        <v>0</v>
      </c>
      <c r="AA261" s="386">
        <f t="shared" si="85"/>
        <v>0</v>
      </c>
      <c r="AB261" s="197">
        <f t="shared" si="86"/>
        <v>43347</v>
      </c>
      <c r="AC261" s="425">
        <f t="shared" si="87"/>
        <v>6.5152395260128079E-3</v>
      </c>
      <c r="AD261" s="169">
        <f>(INDEX(Models!$BJ261:$BT261,,AH261)*(1-AF261)+INDEX(Models!$BJ261:$BT261,,AH261+1)*AF261-ERP_i)*AE261*Ramure*Pc/MaxiM</f>
        <v>1.2148449113211965E-4</v>
      </c>
      <c r="AE261" s="305">
        <f t="shared" si="88"/>
        <v>0.7</v>
      </c>
      <c r="AF261" s="177">
        <f t="shared" si="89"/>
        <v>0.78806161908347416</v>
      </c>
      <c r="AG261" s="810">
        <f t="shared" si="90"/>
        <v>-2</v>
      </c>
      <c r="AH261" s="176">
        <f t="shared" si="91"/>
        <v>4</v>
      </c>
      <c r="AI261" s="225">
        <f t="shared" si="92"/>
        <v>-1.2119383809165258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6"/>
      <c r="C262" s="390"/>
      <c r="D262" s="393"/>
      <c r="E262" s="385"/>
      <c r="F262" s="385"/>
      <c r="G262" s="110"/>
      <c r="I262" s="380">
        <f t="shared" si="73"/>
        <v>0</v>
      </c>
      <c r="J262" s="85">
        <v>2018</v>
      </c>
      <c r="K262" s="197">
        <f t="shared" si="74"/>
        <v>43348</v>
      </c>
      <c r="L262" s="436">
        <f t="shared" si="75"/>
        <v>8.1417898544866585E-4</v>
      </c>
      <c r="M262" s="855"/>
      <c r="N262" s="855"/>
      <c r="O262" s="324">
        <f t="shared" si="76"/>
        <v>6.7023754929816564E-3</v>
      </c>
      <c r="P262" s="169">
        <f>(INDEX(Models!$BJ262:$BT262,,T262)*(1-R262)+INDEX(Models!$BJ262:$BT262,,T262+1)*R262-ERP_i)*Q262*Ramure*Pc/MaxiM</f>
        <v>1.2974542605782534E-4</v>
      </c>
      <c r="Q262" s="305">
        <f t="shared" si="77"/>
        <v>0.7</v>
      </c>
      <c r="R262" s="177">
        <f t="shared" si="78"/>
        <v>0.78850658011769159</v>
      </c>
      <c r="S262" s="810">
        <f t="shared" si="96"/>
        <v>-2</v>
      </c>
      <c r="T262" s="176">
        <f t="shared" si="79"/>
        <v>4</v>
      </c>
      <c r="U262" s="251">
        <f t="shared" si="80"/>
        <v>-1.2114934198823084</v>
      </c>
      <c r="V262" s="383">
        <f t="shared" si="81"/>
        <v>50.135017527128966</v>
      </c>
      <c r="W262" s="58"/>
      <c r="X262" s="157">
        <f t="shared" si="82"/>
        <v>43348</v>
      </c>
      <c r="Y262" s="385">
        <f t="shared" si="83"/>
        <v>0</v>
      </c>
      <c r="Z262" s="385">
        <f t="shared" si="84"/>
        <v>0</v>
      </c>
      <c r="AA262" s="386">
        <f t="shared" si="85"/>
        <v>0</v>
      </c>
      <c r="AB262" s="197">
        <f t="shared" si="86"/>
        <v>43348</v>
      </c>
      <c r="AC262" s="425">
        <f t="shared" si="87"/>
        <v>6.7023754929816564E-3</v>
      </c>
      <c r="AD262" s="169">
        <f>(INDEX(Models!$BJ262:$BT262,,AH262)*(1-AF262)+INDEX(Models!$BJ262:$BT262,,AH262+1)*AF262-ERP_i)*AE262*Ramure*Pc/MaxiM</f>
        <v>1.2974542605782534E-4</v>
      </c>
      <c r="AE262" s="305">
        <f t="shared" si="88"/>
        <v>0.7</v>
      </c>
      <c r="AF262" s="177">
        <f t="shared" si="89"/>
        <v>0.78850658011769159</v>
      </c>
      <c r="AG262" s="810">
        <f t="shared" si="90"/>
        <v>-2</v>
      </c>
      <c r="AH262" s="176">
        <f t="shared" si="91"/>
        <v>4</v>
      </c>
      <c r="AI262" s="225">
        <f t="shared" si="92"/>
        <v>-1.2114934198823084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6"/>
      <c r="C263" s="390"/>
      <c r="D263" s="393"/>
      <c r="E263" s="385"/>
      <c r="F263" s="385"/>
      <c r="G263" s="110"/>
      <c r="I263" s="380">
        <f t="shared" si="73"/>
        <v>0</v>
      </c>
      <c r="J263" s="85">
        <v>2018</v>
      </c>
      <c r="K263" s="197">
        <f t="shared" si="74"/>
        <v>43349</v>
      </c>
      <c r="L263" s="436">
        <f t="shared" si="75"/>
        <v>8.3743149922022031E-4</v>
      </c>
      <c r="M263" s="855"/>
      <c r="N263" s="855"/>
      <c r="O263" s="324">
        <f t="shared" si="76"/>
        <v>6.8892197030723063E-3</v>
      </c>
      <c r="P263" s="169">
        <f>(INDEX(Models!$BJ263:$BT263,,T263)*(1-R263)+INDEX(Models!$BJ263:$BT263,,T263+1)*R263-ERP_i)*Q263*Ramure*Pc/MaxiM</f>
        <v>1.3812511194521794E-4</v>
      </c>
      <c r="Q263" s="305">
        <f t="shared" si="77"/>
        <v>0.7</v>
      </c>
      <c r="R263" s="177">
        <f t="shared" si="78"/>
        <v>0.78893458326299704</v>
      </c>
      <c r="S263" s="810">
        <f t="shared" si="96"/>
        <v>-2</v>
      </c>
      <c r="T263" s="176">
        <f t="shared" si="79"/>
        <v>4</v>
      </c>
      <c r="U263" s="251">
        <f t="shared" si="80"/>
        <v>-1.211065416737003</v>
      </c>
      <c r="V263" s="383">
        <f t="shared" si="81"/>
        <v>49.776859053357221</v>
      </c>
      <c r="W263" s="58"/>
      <c r="X263" s="157">
        <f t="shared" si="82"/>
        <v>43349</v>
      </c>
      <c r="Y263" s="385">
        <f t="shared" si="83"/>
        <v>0</v>
      </c>
      <c r="Z263" s="385">
        <f t="shared" si="84"/>
        <v>0</v>
      </c>
      <c r="AA263" s="386">
        <f t="shared" si="85"/>
        <v>0</v>
      </c>
      <c r="AB263" s="197">
        <f t="shared" si="86"/>
        <v>43349</v>
      </c>
      <c r="AC263" s="425">
        <f t="shared" si="87"/>
        <v>6.8892197030723063E-3</v>
      </c>
      <c r="AD263" s="169">
        <f>(INDEX(Models!$BJ263:$BT263,,AH263)*(1-AF263)+INDEX(Models!$BJ263:$BT263,,AH263+1)*AF263-ERP_i)*AE263*Ramure*Pc/MaxiM</f>
        <v>1.3812511194521794E-4</v>
      </c>
      <c r="AE263" s="305">
        <f t="shared" si="88"/>
        <v>0.7</v>
      </c>
      <c r="AF263" s="177">
        <f t="shared" si="89"/>
        <v>0.78893458326299704</v>
      </c>
      <c r="AG263" s="810">
        <f t="shared" si="90"/>
        <v>-2</v>
      </c>
      <c r="AH263" s="176">
        <f t="shared" si="91"/>
        <v>4</v>
      </c>
      <c r="AI263" s="225">
        <f t="shared" si="92"/>
        <v>-1.211065416737003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6"/>
      <c r="C264" s="390"/>
      <c r="D264" s="393"/>
      <c r="E264" s="385"/>
      <c r="F264" s="385"/>
      <c r="G264" s="110"/>
      <c r="I264" s="380">
        <f t="shared" si="73"/>
        <v>0</v>
      </c>
      <c r="J264" s="85">
        <v>2018</v>
      </c>
      <c r="K264" s="197">
        <f t="shared" si="74"/>
        <v>43350</v>
      </c>
      <c r="L264" s="436">
        <f t="shared" si="75"/>
        <v>8.6068347187184813E-4</v>
      </c>
      <c r="M264" s="855"/>
      <c r="N264" s="855"/>
      <c r="O264" s="324">
        <f t="shared" si="76"/>
        <v>7.0757677208628132E-3</v>
      </c>
      <c r="P264" s="169">
        <f>(INDEX(Models!$BJ264:$BT264,,T264)*(1-R264)+INDEX(Models!$BJ264:$BT264,,T264+1)*R264-ERP_i)*Q264*Ramure*Pc/MaxiM</f>
        <v>1.4662658824531028E-4</v>
      </c>
      <c r="Q264" s="305">
        <f t="shared" si="77"/>
        <v>0.7</v>
      </c>
      <c r="R264" s="177">
        <f t="shared" si="78"/>
        <v>0.78934623864942699</v>
      </c>
      <c r="S264" s="810">
        <f t="shared" si="96"/>
        <v>-2</v>
      </c>
      <c r="T264" s="176">
        <f t="shared" si="79"/>
        <v>4</v>
      </c>
      <c r="U264" s="251">
        <f t="shared" si="80"/>
        <v>-1.210653761350573</v>
      </c>
      <c r="V264" s="383">
        <f t="shared" si="81"/>
        <v>49.412572642062287</v>
      </c>
      <c r="W264" s="58"/>
      <c r="X264" s="157">
        <f t="shared" si="82"/>
        <v>43350</v>
      </c>
      <c r="Y264" s="385">
        <f t="shared" si="83"/>
        <v>0</v>
      </c>
      <c r="Z264" s="385">
        <f t="shared" si="84"/>
        <v>0</v>
      </c>
      <c r="AA264" s="386">
        <f t="shared" si="85"/>
        <v>0</v>
      </c>
      <c r="AB264" s="197">
        <f t="shared" si="86"/>
        <v>43350</v>
      </c>
      <c r="AC264" s="425">
        <f t="shared" si="87"/>
        <v>7.0757677208628132E-3</v>
      </c>
      <c r="AD264" s="169">
        <f>(INDEX(Models!$BJ264:$BT264,,AH264)*(1-AF264)+INDEX(Models!$BJ264:$BT264,,AH264+1)*AF264-ERP_i)*AE264*Ramure*Pc/MaxiM</f>
        <v>1.4662658824531028E-4</v>
      </c>
      <c r="AE264" s="305">
        <f t="shared" si="88"/>
        <v>0.7</v>
      </c>
      <c r="AF264" s="177">
        <f t="shared" si="89"/>
        <v>0.78934623864942699</v>
      </c>
      <c r="AG264" s="810">
        <f t="shared" si="90"/>
        <v>-2</v>
      </c>
      <c r="AH264" s="176">
        <f t="shared" si="91"/>
        <v>4</v>
      </c>
      <c r="AI264" s="225">
        <f t="shared" si="92"/>
        <v>-1.210653761350573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6"/>
      <c r="C265" s="390"/>
      <c r="D265" s="393"/>
      <c r="E265" s="385"/>
      <c r="F265" s="385"/>
      <c r="G265" s="110"/>
      <c r="I265" s="380">
        <f t="shared" si="73"/>
        <v>0</v>
      </c>
      <c r="J265" s="85">
        <v>2018</v>
      </c>
      <c r="K265" s="197">
        <f t="shared" si="74"/>
        <v>43351</v>
      </c>
      <c r="L265" s="436">
        <f t="shared" si="75"/>
        <v>8.839349034159838E-4</v>
      </c>
      <c r="M265" s="855"/>
      <c r="N265" s="855"/>
      <c r="O265" s="324">
        <f t="shared" si="76"/>
        <v>7.2620148855909762E-3</v>
      </c>
      <c r="P265" s="169">
        <f>(INDEX(Models!$BJ265:$BT265,,T265)*(1-R265)+INDEX(Models!$BJ265:$BT265,,T265+1)*R265-ERP_i)*Q265*Ramure*Pc/MaxiM</f>
        <v>1.5525277191583245E-4</v>
      </c>
      <c r="Q265" s="305">
        <f t="shared" si="77"/>
        <v>0.7</v>
      </c>
      <c r="R265" s="177">
        <f t="shared" si="78"/>
        <v>0.78974213724690379</v>
      </c>
      <c r="S265" s="810">
        <f t="shared" si="96"/>
        <v>-2</v>
      </c>
      <c r="T265" s="176">
        <f t="shared" si="79"/>
        <v>4</v>
      </c>
      <c r="U265" s="251">
        <f t="shared" si="80"/>
        <v>-1.2102578627530962</v>
      </c>
      <c r="V265" s="383">
        <f t="shared" si="81"/>
        <v>49.042596017728265</v>
      </c>
      <c r="W265" s="58"/>
      <c r="X265" s="157">
        <f t="shared" si="82"/>
        <v>43351</v>
      </c>
      <c r="Y265" s="385">
        <f t="shared" si="83"/>
        <v>0</v>
      </c>
      <c r="Z265" s="385">
        <f t="shared" si="84"/>
        <v>0</v>
      </c>
      <c r="AA265" s="386">
        <f t="shared" si="85"/>
        <v>0</v>
      </c>
      <c r="AB265" s="197">
        <f t="shared" si="86"/>
        <v>43351</v>
      </c>
      <c r="AC265" s="425">
        <f t="shared" si="87"/>
        <v>7.2620148855909762E-3</v>
      </c>
      <c r="AD265" s="169">
        <f>(INDEX(Models!$BJ265:$BT265,,AH265)*(1-AF265)+INDEX(Models!$BJ265:$BT265,,AH265+1)*AF265-ERP_i)*AE265*Ramure*Pc/MaxiM</f>
        <v>1.5525277191583245E-4</v>
      </c>
      <c r="AE265" s="305">
        <f t="shared" si="88"/>
        <v>0.7</v>
      </c>
      <c r="AF265" s="177">
        <f t="shared" si="89"/>
        <v>0.78974213724690379</v>
      </c>
      <c r="AG265" s="810">
        <f t="shared" si="90"/>
        <v>-2</v>
      </c>
      <c r="AH265" s="176">
        <f t="shared" si="91"/>
        <v>4</v>
      </c>
      <c r="AI265" s="225">
        <f t="shared" si="92"/>
        <v>-1.2102578627530962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6"/>
      <c r="C266" s="390"/>
      <c r="D266" s="393"/>
      <c r="E266" s="385"/>
      <c r="F266" s="385"/>
      <c r="G266" s="110"/>
      <c r="I266" s="380">
        <f t="shared" si="73"/>
        <v>0</v>
      </c>
      <c r="J266" s="85">
        <v>2018</v>
      </c>
      <c r="K266" s="197">
        <f t="shared" si="74"/>
        <v>43352</v>
      </c>
      <c r="L266" s="436">
        <f t="shared" si="75"/>
        <v>9.0718579386550591E-4</v>
      </c>
      <c r="M266" s="855"/>
      <c r="N266" s="855"/>
      <c r="O266" s="324">
        <f t="shared" si="76"/>
        <v>7.4479563007727361E-3</v>
      </c>
      <c r="P266" s="169">
        <f>(INDEX(Models!$BJ266:$BT266,,T266)*(1-R266)+INDEX(Models!$BJ266:$BT266,,T266+1)*R266-ERP_i)*Q266*Ramure*Pc/MaxiM</f>
        <v>1.6400644110716573E-4</v>
      </c>
      <c r="Q266" s="305">
        <f t="shared" si="77"/>
        <v>0.7</v>
      </c>
      <c r="R266" s="177">
        <f t="shared" si="78"/>
        <v>0.79012285124638781</v>
      </c>
      <c r="S266" s="810">
        <f t="shared" si="96"/>
        <v>-2</v>
      </c>
      <c r="T266" s="176">
        <f t="shared" si="79"/>
        <v>4</v>
      </c>
      <c r="U266" s="251">
        <f t="shared" si="80"/>
        <v>-1.2098771487536122</v>
      </c>
      <c r="V266" s="383">
        <f t="shared" si="81"/>
        <v>48.667366530411122</v>
      </c>
      <c r="W266" s="58"/>
      <c r="X266" s="157">
        <f t="shared" si="82"/>
        <v>43352</v>
      </c>
      <c r="Y266" s="385">
        <f t="shared" si="83"/>
        <v>0</v>
      </c>
      <c r="Z266" s="385">
        <f t="shared" si="84"/>
        <v>0</v>
      </c>
      <c r="AA266" s="386">
        <f t="shared" si="85"/>
        <v>0</v>
      </c>
      <c r="AB266" s="197">
        <f t="shared" si="86"/>
        <v>43352</v>
      </c>
      <c r="AC266" s="425">
        <f t="shared" si="87"/>
        <v>7.4479563007727361E-3</v>
      </c>
      <c r="AD266" s="169">
        <f>(INDEX(Models!$BJ266:$BT266,,AH266)*(1-AF266)+INDEX(Models!$BJ266:$BT266,,AH266+1)*AF266-ERP_i)*AE266*Ramure*Pc/MaxiM</f>
        <v>1.6400644110716573E-4</v>
      </c>
      <c r="AE266" s="305">
        <f t="shared" si="88"/>
        <v>0.7</v>
      </c>
      <c r="AF266" s="177">
        <f t="shared" si="89"/>
        <v>0.79012285124638781</v>
      </c>
      <c r="AG266" s="810">
        <f t="shared" si="90"/>
        <v>-2</v>
      </c>
      <c r="AH266" s="176">
        <f t="shared" si="91"/>
        <v>4</v>
      </c>
      <c r="AI266" s="225">
        <f t="shared" si="92"/>
        <v>-1.2098771487536122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6"/>
      <c r="C267" s="390"/>
      <c r="D267" s="393"/>
      <c r="E267" s="385"/>
      <c r="F267" s="385"/>
      <c r="G267" s="110"/>
      <c r="I267" s="380">
        <f t="shared" si="73"/>
        <v>0</v>
      </c>
      <c r="J267" s="85">
        <v>2018</v>
      </c>
      <c r="K267" s="197">
        <f t="shared" si="74"/>
        <v>43353</v>
      </c>
      <c r="L267" s="436">
        <f t="shared" si="75"/>
        <v>9.3043614323273793E-4</v>
      </c>
      <c r="M267" s="855"/>
      <c r="N267" s="855"/>
      <c r="O267" s="324">
        <f t="shared" si="76"/>
        <v>7.6335868241455794E-3</v>
      </c>
      <c r="P267" s="169">
        <f>(INDEX(Models!$BJ267:$BT267,,T267)*(1-R267)+INDEX(Models!$BJ267:$BT267,,T267+1)*R267-ERP_i)*Q267*Ramure*Pc/MaxiM</f>
        <v>1.7289021738785504E-4</v>
      </c>
      <c r="Q267" s="305">
        <f t="shared" si="77"/>
        <v>0.7</v>
      </c>
      <c r="R267" s="177">
        <f t="shared" si="78"/>
        <v>0.79048893445251989</v>
      </c>
      <c r="S267" s="810">
        <f t="shared" si="96"/>
        <v>-2</v>
      </c>
      <c r="T267" s="176">
        <f t="shared" si="79"/>
        <v>4</v>
      </c>
      <c r="U267" s="251">
        <f t="shared" si="80"/>
        <v>-1.2095110655474801</v>
      </c>
      <c r="V267" s="383">
        <f t="shared" si="81"/>
        <v>48.287321164919369</v>
      </c>
      <c r="W267" s="58"/>
      <c r="X267" s="157">
        <f t="shared" si="82"/>
        <v>43353</v>
      </c>
      <c r="Y267" s="385">
        <f t="shared" si="83"/>
        <v>0</v>
      </c>
      <c r="Z267" s="385">
        <f t="shared" si="84"/>
        <v>0</v>
      </c>
      <c r="AA267" s="386">
        <f t="shared" si="85"/>
        <v>0</v>
      </c>
      <c r="AB267" s="197">
        <f t="shared" si="86"/>
        <v>43353</v>
      </c>
      <c r="AC267" s="425">
        <f t="shared" si="87"/>
        <v>7.6335868241455794E-3</v>
      </c>
      <c r="AD267" s="169">
        <f>(INDEX(Models!$BJ267:$BT267,,AH267)*(1-AF267)+INDEX(Models!$BJ267:$BT267,,AH267+1)*AF267-ERP_i)*AE267*Ramure*Pc/MaxiM</f>
        <v>1.7289021738785504E-4</v>
      </c>
      <c r="AE267" s="305">
        <f t="shared" si="88"/>
        <v>0.7</v>
      </c>
      <c r="AF267" s="177">
        <f t="shared" si="89"/>
        <v>0.79048893445251989</v>
      </c>
      <c r="AG267" s="810">
        <f t="shared" si="90"/>
        <v>-2</v>
      </c>
      <c r="AH267" s="176">
        <f t="shared" si="91"/>
        <v>4</v>
      </c>
      <c r="AI267" s="225">
        <f t="shared" si="92"/>
        <v>-1.2095110655474801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6"/>
      <c r="C268" s="390"/>
      <c r="D268" s="393"/>
      <c r="E268" s="385"/>
      <c r="F268" s="385"/>
      <c r="G268" s="110"/>
      <c r="I268" s="380">
        <f t="shared" si="73"/>
        <v>0</v>
      </c>
      <c r="J268" s="85">
        <v>2018</v>
      </c>
      <c r="K268" s="197">
        <f t="shared" si="74"/>
        <v>43354</v>
      </c>
      <c r="L268" s="436">
        <f t="shared" si="75"/>
        <v>9.5368595153033642E-4</v>
      </c>
      <c r="M268" s="855"/>
      <c r="N268" s="855"/>
      <c r="O268" s="324">
        <f t="shared" si="76"/>
        <v>7.8189010581627416E-3</v>
      </c>
      <c r="P268" s="169">
        <f>(INDEX(Models!$BJ268:$BT268,,T268)*(1-R268)+INDEX(Models!$BJ268:$BT268,,T268+1)*R268-ERP_i)*Q268*Ramure*Pc/MaxiM</f>
        <v>1.8171708760184637E-4</v>
      </c>
      <c r="Q268" s="305">
        <f t="shared" si="77"/>
        <v>0.7</v>
      </c>
      <c r="R268" s="177">
        <f t="shared" si="78"/>
        <v>0.79084092268558925</v>
      </c>
      <c r="S268" s="810">
        <f t="shared" si="96"/>
        <v>-2</v>
      </c>
      <c r="T268" s="176">
        <f t="shared" si="79"/>
        <v>4</v>
      </c>
      <c r="U268" s="251">
        <f t="shared" si="80"/>
        <v>-1.2091590773144107</v>
      </c>
      <c r="V268" s="383">
        <f t="shared" si="81"/>
        <v>47.902905611729743</v>
      </c>
      <c r="W268" s="58"/>
      <c r="X268" s="157">
        <f t="shared" si="82"/>
        <v>43354</v>
      </c>
      <c r="Y268" s="385">
        <f t="shared" si="83"/>
        <v>0</v>
      </c>
      <c r="Z268" s="385">
        <f t="shared" si="84"/>
        <v>0</v>
      </c>
      <c r="AA268" s="386">
        <f t="shared" si="85"/>
        <v>0</v>
      </c>
      <c r="AB268" s="197">
        <f t="shared" si="86"/>
        <v>43354</v>
      </c>
      <c r="AC268" s="425">
        <f t="shared" si="87"/>
        <v>7.8189010581627416E-3</v>
      </c>
      <c r="AD268" s="169">
        <f>(INDEX(Models!$BJ268:$BT268,,AH268)*(1-AF268)+INDEX(Models!$BJ268:$BT268,,AH268+1)*AF268-ERP_i)*AE268*Ramure*Pc/MaxiM</f>
        <v>1.8171708760184637E-4</v>
      </c>
      <c r="AE268" s="305">
        <f t="shared" si="88"/>
        <v>0.7</v>
      </c>
      <c r="AF268" s="177">
        <f t="shared" si="89"/>
        <v>0.79084092268558925</v>
      </c>
      <c r="AG268" s="810">
        <f t="shared" si="90"/>
        <v>-2</v>
      </c>
      <c r="AH268" s="176">
        <f t="shared" si="91"/>
        <v>4</v>
      </c>
      <c r="AI268" s="225">
        <f t="shared" si="92"/>
        <v>-1.2091590773144107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6"/>
      <c r="C269" s="390"/>
      <c r="D269" s="393"/>
      <c r="E269" s="385"/>
      <c r="F269" s="385"/>
      <c r="G269" s="110"/>
      <c r="I269" s="380">
        <f t="shared" si="73"/>
        <v>0</v>
      </c>
      <c r="J269" s="85">
        <v>2018</v>
      </c>
      <c r="K269" s="197">
        <f t="shared" si="74"/>
        <v>43355</v>
      </c>
      <c r="L269" s="436">
        <f t="shared" si="75"/>
        <v>9.769352187709579E-4</v>
      </c>
      <c r="M269" s="855"/>
      <c r="N269" s="855"/>
      <c r="O269" s="324">
        <f t="shared" si="76"/>
        <v>8.0038933412781219E-3</v>
      </c>
      <c r="P269" s="169">
        <f>(INDEX(Models!$BJ269:$BT269,,T269)*(1-R269)+INDEX(Models!$BJ269:$BT269,,T269+1)*R269-ERP_i)*Q269*Ramure*Pc/MaxiM</f>
        <v>1.9036344431647194E-4</v>
      </c>
      <c r="Q269" s="305">
        <f t="shared" si="77"/>
        <v>0.7</v>
      </c>
      <c r="R269" s="177">
        <f t="shared" si="78"/>
        <v>0.79117933419085884</v>
      </c>
      <c r="S269" s="810">
        <f t="shared" si="96"/>
        <v>-2</v>
      </c>
      <c r="T269" s="176">
        <f t="shared" si="79"/>
        <v>4</v>
      </c>
      <c r="U269" s="251">
        <f t="shared" si="80"/>
        <v>-1.2088206658091412</v>
      </c>
      <c r="V269" s="383">
        <f t="shared" si="81"/>
        <v>47.514561874252095</v>
      </c>
      <c r="W269" s="58"/>
      <c r="X269" s="157">
        <f t="shared" si="82"/>
        <v>43355</v>
      </c>
      <c r="Y269" s="385">
        <f t="shared" si="83"/>
        <v>0</v>
      </c>
      <c r="Z269" s="385">
        <f t="shared" si="84"/>
        <v>0</v>
      </c>
      <c r="AA269" s="386">
        <f t="shared" si="85"/>
        <v>0</v>
      </c>
      <c r="AB269" s="197">
        <f t="shared" si="86"/>
        <v>43355</v>
      </c>
      <c r="AC269" s="425">
        <f t="shared" si="87"/>
        <v>8.0038933412781219E-3</v>
      </c>
      <c r="AD269" s="169">
        <f>(INDEX(Models!$BJ269:$BT269,,AH269)*(1-AF269)+INDEX(Models!$BJ269:$BT269,,AH269+1)*AF269-ERP_i)*AE269*Ramure*Pc/MaxiM</f>
        <v>1.9036344431647194E-4</v>
      </c>
      <c r="AE269" s="305">
        <f t="shared" si="88"/>
        <v>0.7</v>
      </c>
      <c r="AF269" s="177">
        <f t="shared" si="89"/>
        <v>0.79117933419085884</v>
      </c>
      <c r="AG269" s="810">
        <f t="shared" si="90"/>
        <v>-2</v>
      </c>
      <c r="AH269" s="176">
        <f t="shared" si="91"/>
        <v>4</v>
      </c>
      <c r="AI269" s="225">
        <f t="shared" si="92"/>
        <v>-1.2088206658091412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6"/>
      <c r="C270" s="390"/>
      <c r="D270" s="393"/>
      <c r="E270" s="385"/>
      <c r="F270" s="385"/>
      <c r="G270" s="110"/>
      <c r="I270" s="380">
        <f t="shared" si="73"/>
        <v>0</v>
      </c>
      <c r="J270" s="85">
        <v>2018</v>
      </c>
      <c r="K270" s="197">
        <f t="shared" si="74"/>
        <v>43356</v>
      </c>
      <c r="L270" s="436">
        <f t="shared" si="75"/>
        <v>1.0001839449671479E-3</v>
      </c>
      <c r="M270" s="855"/>
      <c r="N270" s="855"/>
      <c r="O270" s="324">
        <f t="shared" si="76"/>
        <v>8.1885577402751788E-3</v>
      </c>
      <c r="P270" s="169">
        <f>(INDEX(Models!$BJ270:$BT270,,T270)*(1-R270)+INDEX(Models!$BJ270:$BT270,,T270+1)*R270-ERP_i)*Q270*Ramure*Pc/MaxiM</f>
        <v>1.9882373915637699E-4</v>
      </c>
      <c r="Q270" s="305">
        <f t="shared" si="77"/>
        <v>0.7</v>
      </c>
      <c r="R270" s="177">
        <f t="shared" si="78"/>
        <v>0.79150467005342673</v>
      </c>
      <c r="S270" s="810">
        <f t="shared" si="96"/>
        <v>-2</v>
      </c>
      <c r="T270" s="176">
        <f t="shared" si="79"/>
        <v>4</v>
      </c>
      <c r="U270" s="251">
        <f t="shared" si="80"/>
        <v>-1.2084953299465733</v>
      </c>
      <c r="V270" s="383">
        <f t="shared" si="81"/>
        <v>47.122725818033381</v>
      </c>
      <c r="W270" s="58"/>
      <c r="X270" s="157">
        <f t="shared" si="82"/>
        <v>43356</v>
      </c>
      <c r="Y270" s="385">
        <f t="shared" si="83"/>
        <v>0</v>
      </c>
      <c r="Z270" s="385">
        <f t="shared" si="84"/>
        <v>0</v>
      </c>
      <c r="AA270" s="386">
        <f t="shared" si="85"/>
        <v>0</v>
      </c>
      <c r="AB270" s="197">
        <f t="shared" si="86"/>
        <v>43356</v>
      </c>
      <c r="AC270" s="425">
        <f t="shared" si="87"/>
        <v>8.1885577402751788E-3</v>
      </c>
      <c r="AD270" s="169">
        <f>(INDEX(Models!$BJ270:$BT270,,AH270)*(1-AF270)+INDEX(Models!$BJ270:$BT270,,AH270+1)*AF270-ERP_i)*AE270*Ramure*Pc/MaxiM</f>
        <v>1.9882373915637699E-4</v>
      </c>
      <c r="AE270" s="305">
        <f t="shared" si="88"/>
        <v>0.7</v>
      </c>
      <c r="AF270" s="177">
        <f t="shared" si="89"/>
        <v>0.79150467005342673</v>
      </c>
      <c r="AG270" s="810">
        <f t="shared" si="90"/>
        <v>-2</v>
      </c>
      <c r="AH270" s="176">
        <f t="shared" si="91"/>
        <v>4</v>
      </c>
      <c r="AI270" s="225">
        <f t="shared" si="92"/>
        <v>-1.2084953299465733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6"/>
      <c r="C271" s="390"/>
      <c r="D271" s="393"/>
      <c r="E271" s="385"/>
      <c r="F271" s="385"/>
      <c r="G271" s="110"/>
      <c r="I271" s="380">
        <f t="shared" ref="I271:I334" si="97">Wh_hp</f>
        <v>0</v>
      </c>
      <c r="J271" s="85">
        <v>2018</v>
      </c>
      <c r="K271" s="197">
        <f t="shared" ref="K271:K334" si="98">t</f>
        <v>43357</v>
      </c>
      <c r="L271" s="436">
        <f t="shared" ref="L271:L334" si="99">IF(t&lt;T0,0,IF(t&lt;Tvie,1-EXP((T0-t)*PertePVj),1-EXP((T0-t)*PertePVj)+Pspv))</f>
        <v>1.023432130131563E-3</v>
      </c>
      <c r="M271" s="855"/>
      <c r="N271" s="855"/>
      <c r="O271" s="324">
        <f t="shared" ref="O271:O334" si="100">IF(t&lt;T0,0,IF(t&lt;Tnet,Salim_i*(1-EXP((T0-t)/Tau_ij)),Resal+(Salim-Resal)*(1-EXP((Tnet-t)/(Tau_j)))))*Salcycl</f>
        <v>8.3728880439011416E-3</v>
      </c>
      <c r="P271" s="169">
        <f>(INDEX(Models!$BJ271:$BT271,,T271)*(1-R271)+INDEX(Models!$BJ271:$BT271,,T271+1)*R271-ERP_i)*Q271*Ramure*Pc/MaxiM</f>
        <v>2.0709194757289988E-4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0.79181741461697541</v>
      </c>
      <c r="S271" s="810">
        <f t="shared" si="96"/>
        <v>-2</v>
      </c>
      <c r="T271" s="176">
        <f t="shared" ref="T271:T334" si="103">MIN(MATCH(Hp_vg,Echel_vg),10)</f>
        <v>4</v>
      </c>
      <c r="U271" s="251">
        <f t="shared" ref="U271:U334" si="104">IF(OR(t&lt;Ttai,Notai),Hdd+PousH*Croivg,Hdtf+PousH*(Croivg-Croi_tai))</f>
        <v>-1.2081825853830246</v>
      </c>
      <c r="V271" s="383">
        <f t="shared" ref="V271:V334" si="105">MaxiM*(1-Ppv)*(1-Pvg)*(1-Psa)</f>
        <v>46.727832933021446</v>
      </c>
      <c r="W271" s="58"/>
      <c r="X271" s="157">
        <f t="shared" ref="X271:X334" si="106">t</f>
        <v>43357</v>
      </c>
      <c r="Y271" s="385">
        <f t="shared" ref="Y271:Y334" si="107">Wh_pvt_s*(1-Ppv)</f>
        <v>0</v>
      </c>
      <c r="Z271" s="385">
        <f t="shared" ref="Z271:Z334" si="108">Wh_sa_s*(1-Psa_s)</f>
        <v>0</v>
      </c>
      <c r="AA271" s="386">
        <f t="shared" ref="AA271:AA334" si="109">Wh_hp*(1-Pvg_s*MEDIAN((-Sdif+Wh/Env_an)/Csdif,0,1))</f>
        <v>0</v>
      </c>
      <c r="AB271" s="197">
        <f t="shared" ref="AB271:AB334" si="110">t</f>
        <v>43357</v>
      </c>
      <c r="AC271" s="425">
        <f t="shared" ref="AC271:AC334" si="111">IF(t&lt;T0,0,IF(OR(t&lt;Tnet,NoTnet),Salim_i*(1-EXP((T0-t)/Tau_ij)),Resal_s+(Salim-Resal_s)*(1-EXP((Tnet_s-t)/Tau_j))))*Salcycl</f>
        <v>8.3728880439011416E-3</v>
      </c>
      <c r="AD271" s="169">
        <f>(INDEX(Models!$BJ271:$BT271,,AH271)*(1-AF271)+INDEX(Models!$BJ271:$BT271,,AH271+1)*AF271-ERP_i)*AE271*Ramure*Pc/MaxiM</f>
        <v>2.0709194757289988E-4</v>
      </c>
      <c r="AE271" s="305">
        <f t="shared" ref="AE271:AE334" si="112">Dd+PousD*Croivg</f>
        <v>0.7</v>
      </c>
      <c r="AF271" s="177">
        <f t="shared" ref="AF271:AF334" si="113">(Hp_vg_s-AG271)/(INDEX(Echel_vg,AH271+1)-AG271)</f>
        <v>0.79181741461697541</v>
      </c>
      <c r="AG271" s="810">
        <f t="shared" ref="AG271:AG334" si="114">INDEX(Echel_vg,AH271)</f>
        <v>-2</v>
      </c>
      <c r="AH271" s="176">
        <f t="shared" ref="AH271:AH334" si="115">MIN(MATCH(Hp_vg_s,Echel_vg),10)</f>
        <v>4</v>
      </c>
      <c r="AI271" s="225">
        <f t="shared" ref="AI271:AI334" si="116">Hdd+PousH*Croivg</f>
        <v>-1.2081825853830246</v>
      </c>
      <c r="AJ271" s="265" t="b">
        <f t="shared" ref="AJ271:AJ334" si="117">t&lt;Tnet</f>
        <v>0</v>
      </c>
      <c r="AK271" s="265" t="b">
        <f t="shared" ref="AK271:AK334" si="118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9">A271+1</f>
        <v>43358</v>
      </c>
      <c r="B272" s="616"/>
      <c r="C272" s="390"/>
      <c r="D272" s="393"/>
      <c r="E272" s="385"/>
      <c r="F272" s="385"/>
      <c r="G272" s="110"/>
      <c r="I272" s="380">
        <f t="shared" si="97"/>
        <v>0</v>
      </c>
      <c r="J272" s="85">
        <v>2018</v>
      </c>
      <c r="K272" s="197">
        <f t="shared" si="98"/>
        <v>43358</v>
      </c>
      <c r="L272" s="436">
        <f t="shared" si="99"/>
        <v>1.0466797742767486E-3</v>
      </c>
      <c r="M272" s="855"/>
      <c r="N272" s="855"/>
      <c r="O272" s="324">
        <f t="shared" si="100"/>
        <v>8.5568777580736968E-3</v>
      </c>
      <c r="P272" s="169">
        <f>(INDEX(Models!$BJ272:$BT272,,T272)*(1-R272)+INDEX(Models!$BJ272:$BT272,,T272+1)*R272-ERP_i)*Q272*Ramure*Pc/MaxiM</f>
        <v>2.1516156088751542E-4</v>
      </c>
      <c r="Q272" s="305">
        <f t="shared" si="101"/>
        <v>0.7</v>
      </c>
      <c r="R272" s="177">
        <f t="shared" si="102"/>
        <v>0.79211803590489382</v>
      </c>
      <c r="S272" s="810">
        <f t="shared" ref="S272:S335" si="120">INDEX(Echel_vg,T272)</f>
        <v>-2</v>
      </c>
      <c r="T272" s="176">
        <f t="shared" si="103"/>
        <v>4</v>
      </c>
      <c r="U272" s="251">
        <f t="shared" si="104"/>
        <v>-1.2078819640951062</v>
      </c>
      <c r="V272" s="383">
        <f t="shared" si="105"/>
        <v>46.330318340244588</v>
      </c>
      <c r="W272" s="58"/>
      <c r="X272" s="157">
        <f t="shared" si="106"/>
        <v>43358</v>
      </c>
      <c r="Y272" s="385">
        <f t="shared" si="107"/>
        <v>0</v>
      </c>
      <c r="Z272" s="385">
        <f t="shared" si="108"/>
        <v>0</v>
      </c>
      <c r="AA272" s="386">
        <f t="shared" si="109"/>
        <v>0</v>
      </c>
      <c r="AB272" s="197">
        <f t="shared" si="110"/>
        <v>43358</v>
      </c>
      <c r="AC272" s="425">
        <f t="shared" si="111"/>
        <v>8.5568777580736968E-3</v>
      </c>
      <c r="AD272" s="169">
        <f>(INDEX(Models!$BJ272:$BT272,,AH272)*(1-AF272)+INDEX(Models!$BJ272:$BT272,,AH272+1)*AF272-ERP_i)*AE272*Ramure*Pc/MaxiM</f>
        <v>2.1516156088751542E-4</v>
      </c>
      <c r="AE272" s="305">
        <f t="shared" si="112"/>
        <v>0.7</v>
      </c>
      <c r="AF272" s="177">
        <f t="shared" si="113"/>
        <v>0.79211803590489382</v>
      </c>
      <c r="AG272" s="810">
        <f t="shared" si="114"/>
        <v>-2</v>
      </c>
      <c r="AH272" s="176">
        <f t="shared" si="115"/>
        <v>4</v>
      </c>
      <c r="AI272" s="225">
        <f t="shared" si="116"/>
        <v>-1.2078819640951062</v>
      </c>
      <c r="AJ272" s="265" t="b">
        <f t="shared" si="117"/>
        <v>0</v>
      </c>
      <c r="AK272" s="265" t="b">
        <f t="shared" si="118"/>
        <v>0</v>
      </c>
      <c r="AL272" s="265"/>
      <c r="AM272" s="265"/>
      <c r="AN272" s="75"/>
    </row>
    <row r="273" spans="1:40" s="6" customFormat="1" ht="11.25" x14ac:dyDescent="0.2">
      <c r="A273" s="56">
        <f t="shared" si="119"/>
        <v>43359</v>
      </c>
      <c r="B273" s="616"/>
      <c r="C273" s="390"/>
      <c r="D273" s="393"/>
      <c r="E273" s="385"/>
      <c r="F273" s="385"/>
      <c r="G273" s="110"/>
      <c r="I273" s="380">
        <f t="shared" si="97"/>
        <v>0</v>
      </c>
      <c r="J273" s="85">
        <v>2018</v>
      </c>
      <c r="K273" s="197">
        <f t="shared" si="98"/>
        <v>43359</v>
      </c>
      <c r="L273" s="436">
        <f t="shared" si="99"/>
        <v>1.0699268774152504E-3</v>
      </c>
      <c r="M273" s="855"/>
      <c r="N273" s="855"/>
      <c r="O273" s="324">
        <f t="shared" si="100"/>
        <v>8.7405201029284608E-3</v>
      </c>
      <c r="P273" s="169">
        <f>(INDEX(Models!$BJ273:$BT273,,T273)*(1-R273)+INDEX(Models!$BJ273:$BT273,,T273+1)*R273-ERP_i)*Q273*Ramure*Pc/MaxiM</f>
        <v>2.2302557954625453E-4</v>
      </c>
      <c r="Q273" s="305">
        <f t="shared" si="101"/>
        <v>0.7</v>
      </c>
      <c r="R273" s="177">
        <f t="shared" si="102"/>
        <v>0.79240698604241033</v>
      </c>
      <c r="S273" s="810">
        <f t="shared" si="120"/>
        <v>-2</v>
      </c>
      <c r="T273" s="176">
        <f t="shared" si="103"/>
        <v>4</v>
      </c>
      <c r="U273" s="251">
        <f t="shared" si="104"/>
        <v>-1.2075930139575897</v>
      </c>
      <c r="V273" s="383">
        <f t="shared" si="105"/>
        <v>45.930616790324628</v>
      </c>
      <c r="W273" s="58"/>
      <c r="X273" s="157">
        <f t="shared" si="106"/>
        <v>43359</v>
      </c>
      <c r="Y273" s="385">
        <f t="shared" si="107"/>
        <v>0</v>
      </c>
      <c r="Z273" s="385">
        <f t="shared" si="108"/>
        <v>0</v>
      </c>
      <c r="AA273" s="386">
        <f t="shared" si="109"/>
        <v>0</v>
      </c>
      <c r="AB273" s="197">
        <f t="shared" si="110"/>
        <v>43359</v>
      </c>
      <c r="AC273" s="425">
        <f t="shared" si="111"/>
        <v>8.7405201029284608E-3</v>
      </c>
      <c r="AD273" s="169">
        <f>(INDEX(Models!$BJ273:$BT273,,AH273)*(1-AF273)+INDEX(Models!$BJ273:$BT273,,AH273+1)*AF273-ERP_i)*AE273*Ramure*Pc/MaxiM</f>
        <v>2.2302557954625453E-4</v>
      </c>
      <c r="AE273" s="305">
        <f t="shared" si="112"/>
        <v>0.7</v>
      </c>
      <c r="AF273" s="177">
        <f t="shared" si="113"/>
        <v>0.79240698604241033</v>
      </c>
      <c r="AG273" s="810">
        <f t="shared" si="114"/>
        <v>-2</v>
      </c>
      <c r="AH273" s="176">
        <f t="shared" si="115"/>
        <v>4</v>
      </c>
      <c r="AI273" s="225">
        <f t="shared" si="116"/>
        <v>-1.2075930139575897</v>
      </c>
      <c r="AJ273" s="265" t="b">
        <f t="shared" si="117"/>
        <v>0</v>
      </c>
      <c r="AK273" s="265" t="b">
        <f t="shared" si="118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9"/>
        <v>43360</v>
      </c>
      <c r="B274" s="616"/>
      <c r="C274" s="390"/>
      <c r="D274" s="393"/>
      <c r="E274" s="385"/>
      <c r="F274" s="385"/>
      <c r="G274" s="110"/>
      <c r="I274" s="380">
        <f t="shared" si="97"/>
        <v>0</v>
      </c>
      <c r="J274" s="85">
        <v>2018</v>
      </c>
      <c r="K274" s="197">
        <f t="shared" si="98"/>
        <v>43360</v>
      </c>
      <c r="L274" s="436">
        <f t="shared" si="99"/>
        <v>1.0931734395597248E-3</v>
      </c>
      <c r="M274" s="855"/>
      <c r="N274" s="855"/>
      <c r="O274" s="324">
        <f t="shared" si="100"/>
        <v>8.9238080119739653E-3</v>
      </c>
      <c r="P274" s="169">
        <f>(INDEX(Models!$BJ274:$BT274,,T274)*(1-R274)+INDEX(Models!$BJ274:$BT274,,T274+1)*R274-ERP_i)*Q274*Ramure*Pc/MaxiM</f>
        <v>2.3067650779923286E-4</v>
      </c>
      <c r="Q274" s="305">
        <f t="shared" si="101"/>
        <v>0.7</v>
      </c>
      <c r="R274" s="177">
        <f t="shared" si="102"/>
        <v>0.79268470167848903</v>
      </c>
      <c r="S274" s="810">
        <f t="shared" si="120"/>
        <v>-2</v>
      </c>
      <c r="T274" s="176">
        <f t="shared" si="103"/>
        <v>4</v>
      </c>
      <c r="U274" s="251">
        <f t="shared" si="104"/>
        <v>-1.207315298321511</v>
      </c>
      <c r="V274" s="383">
        <f t="shared" si="105"/>
        <v>45.529162663788753</v>
      </c>
      <c r="W274" s="58"/>
      <c r="X274" s="157">
        <f t="shared" si="106"/>
        <v>43360</v>
      </c>
      <c r="Y274" s="385">
        <f t="shared" si="107"/>
        <v>0</v>
      </c>
      <c r="Z274" s="385">
        <f t="shared" si="108"/>
        <v>0</v>
      </c>
      <c r="AA274" s="386">
        <f t="shared" si="109"/>
        <v>0</v>
      </c>
      <c r="AB274" s="197">
        <f t="shared" si="110"/>
        <v>43360</v>
      </c>
      <c r="AC274" s="425">
        <f t="shared" si="111"/>
        <v>8.9238080119739653E-3</v>
      </c>
      <c r="AD274" s="169">
        <f>(INDEX(Models!$BJ274:$BT274,,AH274)*(1-AF274)+INDEX(Models!$BJ274:$BT274,,AH274+1)*AF274-ERP_i)*AE274*Ramure*Pc/MaxiM</f>
        <v>2.3067650779923286E-4</v>
      </c>
      <c r="AE274" s="305">
        <f t="shared" si="112"/>
        <v>0.7</v>
      </c>
      <c r="AF274" s="177">
        <f t="shared" si="113"/>
        <v>0.79268470167848903</v>
      </c>
      <c r="AG274" s="810">
        <f t="shared" si="114"/>
        <v>-2</v>
      </c>
      <c r="AH274" s="176">
        <f t="shared" si="115"/>
        <v>4</v>
      </c>
      <c r="AI274" s="225">
        <f t="shared" si="116"/>
        <v>-1.207315298321511</v>
      </c>
      <c r="AJ274" s="265" t="b">
        <f t="shared" si="117"/>
        <v>0</v>
      </c>
      <c r="AK274" s="265" t="b">
        <f t="shared" si="118"/>
        <v>0</v>
      </c>
      <c r="AL274" s="265"/>
      <c r="AM274" s="265"/>
      <c r="AN274" s="75"/>
    </row>
    <row r="275" spans="1:40" s="6" customFormat="1" ht="11.25" x14ac:dyDescent="0.2">
      <c r="A275" s="56">
        <f t="shared" si="119"/>
        <v>43361</v>
      </c>
      <c r="B275" s="616"/>
      <c r="C275" s="390"/>
      <c r="D275" s="393"/>
      <c r="E275" s="385"/>
      <c r="F275" s="385"/>
      <c r="G275" s="110"/>
      <c r="I275" s="380">
        <f t="shared" si="97"/>
        <v>0</v>
      </c>
      <c r="J275" s="85">
        <v>2018</v>
      </c>
      <c r="K275" s="197">
        <f t="shared" si="98"/>
        <v>43361</v>
      </c>
      <c r="L275" s="436">
        <f t="shared" si="99"/>
        <v>1.1164194607228284E-3</v>
      </c>
      <c r="M275" s="855"/>
      <c r="N275" s="855"/>
      <c r="O275" s="324">
        <f t="shared" si="100"/>
        <v>9.1067341336139446E-3</v>
      </c>
      <c r="P275" s="169">
        <f>(INDEX(Models!$BJ275:$BT275,,T275)*(1-R275)+INDEX(Models!$BJ275:$BT275,,T275+1)*R275-ERP_i)*Q275*Ramure*Pc/MaxiM</f>
        <v>2.3812442808401158E-4</v>
      </c>
      <c r="Q275" s="305">
        <f t="shared" si="101"/>
        <v>0.7</v>
      </c>
      <c r="R275" s="177">
        <f t="shared" si="102"/>
        <v>0.79295160440637513</v>
      </c>
      <c r="S275" s="810">
        <f t="shared" si="120"/>
        <v>-2</v>
      </c>
      <c r="T275" s="176">
        <f t="shared" si="103"/>
        <v>4</v>
      </c>
      <c r="U275" s="251">
        <f t="shared" si="104"/>
        <v>-1.2070483955936249</v>
      </c>
      <c r="V275" s="383">
        <f t="shared" si="105"/>
        <v>45.12296323356879</v>
      </c>
      <c r="W275" s="58"/>
      <c r="X275" s="157">
        <f t="shared" si="106"/>
        <v>43361</v>
      </c>
      <c r="Y275" s="385">
        <f t="shared" si="107"/>
        <v>0</v>
      </c>
      <c r="Z275" s="385">
        <f t="shared" si="108"/>
        <v>0</v>
      </c>
      <c r="AA275" s="386">
        <f t="shared" si="109"/>
        <v>0</v>
      </c>
      <c r="AB275" s="197">
        <f t="shared" si="110"/>
        <v>43361</v>
      </c>
      <c r="AC275" s="425">
        <f t="shared" si="111"/>
        <v>9.1067341336139446E-3</v>
      </c>
      <c r="AD275" s="169">
        <f>(INDEX(Models!$BJ275:$BT275,,AH275)*(1-AF275)+INDEX(Models!$BJ275:$BT275,,AH275+1)*AF275-ERP_i)*AE275*Ramure*Pc/MaxiM</f>
        <v>2.3812442808401158E-4</v>
      </c>
      <c r="AE275" s="305">
        <f t="shared" si="112"/>
        <v>0.7</v>
      </c>
      <c r="AF275" s="177">
        <f t="shared" si="113"/>
        <v>0.79295160440637513</v>
      </c>
      <c r="AG275" s="810">
        <f t="shared" si="114"/>
        <v>-2</v>
      </c>
      <c r="AH275" s="176">
        <f t="shared" si="115"/>
        <v>4</v>
      </c>
      <c r="AI275" s="225">
        <f t="shared" si="116"/>
        <v>-1.2070483955936249</v>
      </c>
      <c r="AJ275" s="265" t="b">
        <f t="shared" si="117"/>
        <v>0</v>
      </c>
      <c r="AK275" s="265" t="b">
        <f t="shared" si="118"/>
        <v>0</v>
      </c>
      <c r="AL275" s="265"/>
      <c r="AM275" s="265"/>
      <c r="AN275" s="75"/>
    </row>
    <row r="276" spans="1:40" s="6" customFormat="1" ht="11.25" x14ac:dyDescent="0.2">
      <c r="A276" s="56">
        <f t="shared" si="119"/>
        <v>43362</v>
      </c>
      <c r="B276" s="616"/>
      <c r="C276" s="390"/>
      <c r="D276" s="393"/>
      <c r="E276" s="385"/>
      <c r="F276" s="385"/>
      <c r="G276" s="110"/>
      <c r="I276" s="380">
        <f t="shared" si="97"/>
        <v>0</v>
      </c>
      <c r="J276" s="85">
        <v>2018</v>
      </c>
      <c r="K276" s="197">
        <f t="shared" si="98"/>
        <v>43362</v>
      </c>
      <c r="L276" s="436">
        <f t="shared" si="99"/>
        <v>1.1396649409168846E-3</v>
      </c>
      <c r="M276" s="855"/>
      <c r="N276" s="855"/>
      <c r="O276" s="324">
        <f t="shared" si="100"/>
        <v>9.2892908352866978E-3</v>
      </c>
      <c r="P276" s="169">
        <f>(INDEX(Models!$BJ276:$BT276,,T276)*(1-R276)+INDEX(Models!$BJ276:$BT276,,T276+1)*R276-ERP_i)*Q276*Ramure*Pc/MaxiM</f>
        <v>2.4511346382490045E-4</v>
      </c>
      <c r="Q276" s="305">
        <f t="shared" si="101"/>
        <v>0.7</v>
      </c>
      <c r="R276" s="177">
        <f t="shared" si="102"/>
        <v>0.79320810118178464</v>
      </c>
      <c r="S276" s="810">
        <f t="shared" si="120"/>
        <v>-2</v>
      </c>
      <c r="T276" s="176">
        <f t="shared" si="103"/>
        <v>4</v>
      </c>
      <c r="U276" s="251">
        <f t="shared" si="104"/>
        <v>-1.2067918988182154</v>
      </c>
      <c r="V276" s="383">
        <f t="shared" si="105"/>
        <v>44.709472902885189</v>
      </c>
      <c r="W276" s="58"/>
      <c r="X276" s="157">
        <f t="shared" si="106"/>
        <v>43362</v>
      </c>
      <c r="Y276" s="385">
        <f t="shared" si="107"/>
        <v>0</v>
      </c>
      <c r="Z276" s="385">
        <f t="shared" si="108"/>
        <v>0</v>
      </c>
      <c r="AA276" s="386">
        <f t="shared" si="109"/>
        <v>0</v>
      </c>
      <c r="AB276" s="197">
        <f t="shared" si="110"/>
        <v>43362</v>
      </c>
      <c r="AC276" s="425">
        <f t="shared" si="111"/>
        <v>9.2892908352866978E-3</v>
      </c>
      <c r="AD276" s="169">
        <f>(INDEX(Models!$BJ276:$BT276,,AH276)*(1-AF276)+INDEX(Models!$BJ276:$BT276,,AH276+1)*AF276-ERP_i)*AE276*Ramure*Pc/MaxiM</f>
        <v>2.4511346382490045E-4</v>
      </c>
      <c r="AE276" s="305">
        <f t="shared" si="112"/>
        <v>0.7</v>
      </c>
      <c r="AF276" s="177">
        <f t="shared" si="113"/>
        <v>0.79320810118178464</v>
      </c>
      <c r="AG276" s="810">
        <f t="shared" si="114"/>
        <v>-2</v>
      </c>
      <c r="AH276" s="176">
        <f t="shared" si="115"/>
        <v>4</v>
      </c>
      <c r="AI276" s="225">
        <f t="shared" si="116"/>
        <v>-1.2067918988182154</v>
      </c>
      <c r="AJ276" s="265" t="b">
        <f t="shared" si="117"/>
        <v>0</v>
      </c>
      <c r="AK276" s="265" t="b">
        <f t="shared" si="118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9"/>
        <v>43363</v>
      </c>
      <c r="B277" s="616"/>
      <c r="C277" s="390"/>
      <c r="D277" s="393"/>
      <c r="E277" s="385"/>
      <c r="F277" s="385"/>
      <c r="G277" s="110"/>
      <c r="I277" s="380">
        <f t="shared" si="97"/>
        <v>0</v>
      </c>
      <c r="J277" s="85">
        <v>2018</v>
      </c>
      <c r="K277" s="197">
        <f t="shared" si="98"/>
        <v>43363</v>
      </c>
      <c r="L277" s="436">
        <f t="shared" si="99"/>
        <v>1.1629098801547721E-3</v>
      </c>
      <c r="M277" s="855"/>
      <c r="N277" s="855"/>
      <c r="O277" s="324">
        <f t="shared" si="100"/>
        <v>9.4714702104574024E-3</v>
      </c>
      <c r="P277" s="169">
        <f>(INDEX(Models!$BJ277:$BT277,,T277)*(1-R277)+INDEX(Models!$BJ277:$BT277,,T277+1)*R277-ERP_i)*Q277*Ramure*Pc/MaxiM</f>
        <v>2.5176900928955821E-4</v>
      </c>
      <c r="Q277" s="305">
        <f t="shared" si="101"/>
        <v>0.7</v>
      </c>
      <c r="R277" s="177">
        <f t="shared" si="102"/>
        <v>0.79345458473783159</v>
      </c>
      <c r="S277" s="810">
        <f t="shared" si="120"/>
        <v>-2</v>
      </c>
      <c r="T277" s="176">
        <f t="shared" si="103"/>
        <v>4</v>
      </c>
      <c r="U277" s="251">
        <f t="shared" si="104"/>
        <v>-1.2065454152621684</v>
      </c>
      <c r="V277" s="383">
        <f t="shared" si="105"/>
        <v>44.289771667405965</v>
      </c>
      <c r="W277" s="58"/>
      <c r="X277" s="157">
        <f t="shared" si="106"/>
        <v>43363</v>
      </c>
      <c r="Y277" s="385">
        <f t="shared" si="107"/>
        <v>0</v>
      </c>
      <c r="Z277" s="385">
        <f t="shared" si="108"/>
        <v>0</v>
      </c>
      <c r="AA277" s="386">
        <f t="shared" si="109"/>
        <v>0</v>
      </c>
      <c r="AB277" s="197">
        <f t="shared" si="110"/>
        <v>43363</v>
      </c>
      <c r="AC277" s="425">
        <f t="shared" si="111"/>
        <v>9.4714702104574024E-3</v>
      </c>
      <c r="AD277" s="169">
        <f>(INDEX(Models!$BJ277:$BT277,,AH277)*(1-AF277)+INDEX(Models!$BJ277:$BT277,,AH277+1)*AF277-ERP_i)*AE277*Ramure*Pc/MaxiM</f>
        <v>2.5176900928955821E-4</v>
      </c>
      <c r="AE277" s="305">
        <f t="shared" si="112"/>
        <v>0.7</v>
      </c>
      <c r="AF277" s="177">
        <f t="shared" si="113"/>
        <v>0.79345458473783159</v>
      </c>
      <c r="AG277" s="810">
        <f t="shared" si="114"/>
        <v>-2</v>
      </c>
      <c r="AH277" s="176">
        <f t="shared" si="115"/>
        <v>4</v>
      </c>
      <c r="AI277" s="225">
        <f t="shared" si="116"/>
        <v>-1.2065454152621684</v>
      </c>
      <c r="AJ277" s="265" t="b">
        <f t="shared" si="117"/>
        <v>0</v>
      </c>
      <c r="AK277" s="265" t="b">
        <f t="shared" si="118"/>
        <v>0</v>
      </c>
      <c r="AL277" s="265"/>
      <c r="AM277" s="265"/>
      <c r="AN277" s="75"/>
    </row>
    <row r="278" spans="1:40" s="6" customFormat="1" ht="11.25" x14ac:dyDescent="0.2">
      <c r="A278" s="56">
        <f t="shared" si="119"/>
        <v>43364</v>
      </c>
      <c r="B278" s="616"/>
      <c r="C278" s="390"/>
      <c r="D278" s="393"/>
      <c r="E278" s="385"/>
      <c r="F278" s="385"/>
      <c r="G278" s="110"/>
      <c r="I278" s="380">
        <f t="shared" si="97"/>
        <v>0</v>
      </c>
      <c r="J278" s="85">
        <v>2018</v>
      </c>
      <c r="K278" s="197">
        <f t="shared" si="98"/>
        <v>43364</v>
      </c>
      <c r="L278" s="436">
        <f t="shared" si="99"/>
        <v>1.1861542784489254E-3</v>
      </c>
      <c r="M278" s="855"/>
      <c r="N278" s="855"/>
      <c r="O278" s="324">
        <f t="shared" si="100"/>
        <v>9.6532640886799748E-3</v>
      </c>
      <c r="P278" s="169">
        <f>(INDEX(Models!$BJ278:$BT278,,T278)*(1-R278)+INDEX(Models!$BJ278:$BT278,,T278+1)*R278-ERP_i)*Q278*Ramure*Pc/MaxiM</f>
        <v>2.5807777836185186E-4</v>
      </c>
      <c r="Q278" s="305">
        <f t="shared" si="101"/>
        <v>0.7</v>
      </c>
      <c r="R278" s="177">
        <f t="shared" si="102"/>
        <v>0.79369143399590159</v>
      </c>
      <c r="S278" s="810">
        <f t="shared" si="120"/>
        <v>-2</v>
      </c>
      <c r="T278" s="176">
        <f t="shared" si="103"/>
        <v>4</v>
      </c>
      <c r="U278" s="251">
        <f t="shared" si="104"/>
        <v>-1.2063085660040984</v>
      </c>
      <c r="V278" s="383">
        <f t="shared" si="105"/>
        <v>43.864944862126421</v>
      </c>
      <c r="W278" s="58"/>
      <c r="X278" s="157">
        <f t="shared" si="106"/>
        <v>43364</v>
      </c>
      <c r="Y278" s="385">
        <f t="shared" si="107"/>
        <v>0</v>
      </c>
      <c r="Z278" s="385">
        <f t="shared" si="108"/>
        <v>0</v>
      </c>
      <c r="AA278" s="386">
        <f t="shared" si="109"/>
        <v>0</v>
      </c>
      <c r="AB278" s="197">
        <f t="shared" si="110"/>
        <v>43364</v>
      </c>
      <c r="AC278" s="425">
        <f t="shared" si="111"/>
        <v>9.6532640886799748E-3</v>
      </c>
      <c r="AD278" s="169">
        <f>(INDEX(Models!$BJ278:$BT278,,AH278)*(1-AF278)+INDEX(Models!$BJ278:$BT278,,AH278+1)*AF278-ERP_i)*AE278*Ramure*Pc/MaxiM</f>
        <v>2.5807777836185186E-4</v>
      </c>
      <c r="AE278" s="305">
        <f t="shared" si="112"/>
        <v>0.7</v>
      </c>
      <c r="AF278" s="177">
        <f t="shared" si="113"/>
        <v>0.79369143399590159</v>
      </c>
      <c r="AG278" s="810">
        <f t="shared" si="114"/>
        <v>-2</v>
      </c>
      <c r="AH278" s="176">
        <f t="shared" si="115"/>
        <v>4</v>
      </c>
      <c r="AI278" s="225">
        <f t="shared" si="116"/>
        <v>-1.2063085660040984</v>
      </c>
      <c r="AJ278" s="265" t="b">
        <f t="shared" si="117"/>
        <v>0</v>
      </c>
      <c r="AK278" s="265" t="b">
        <f t="shared" si="118"/>
        <v>0</v>
      </c>
      <c r="AL278" s="265"/>
      <c r="AM278" s="265"/>
      <c r="AN278" s="75"/>
    </row>
    <row r="279" spans="1:40" s="6" customFormat="1" ht="11.25" x14ac:dyDescent="0.2">
      <c r="A279" s="56">
        <f t="shared" si="119"/>
        <v>43365</v>
      </c>
      <c r="B279" s="616"/>
      <c r="C279" s="390"/>
      <c r="D279" s="393"/>
      <c r="E279" s="385"/>
      <c r="F279" s="385"/>
      <c r="G279" s="110"/>
      <c r="I279" s="380">
        <f t="shared" si="97"/>
        <v>0</v>
      </c>
      <c r="J279" s="85">
        <v>2018</v>
      </c>
      <c r="K279" s="197">
        <f t="shared" si="98"/>
        <v>43365</v>
      </c>
      <c r="L279" s="436">
        <f t="shared" si="99"/>
        <v>1.209398135812001E-3</v>
      </c>
      <c r="M279" s="855"/>
      <c r="N279" s="855"/>
      <c r="O279" s="324">
        <f t="shared" si="100"/>
        <v>9.8346640489240678E-3</v>
      </c>
      <c r="P279" s="169">
        <f>(INDEX(Models!$BJ279:$BT279,,T279)*(1-R279)+INDEX(Models!$BJ279:$BT279,,T279+1)*R279-ERP_i)*Q279*Ramure*Pc/MaxiM</f>
        <v>2.6402528885044647E-4</v>
      </c>
      <c r="Q279" s="305">
        <f t="shared" si="101"/>
        <v>0.7</v>
      </c>
      <c r="R279" s="177">
        <f t="shared" si="102"/>
        <v>0.79391901447174984</v>
      </c>
      <c r="S279" s="810">
        <f t="shared" si="120"/>
        <v>-2</v>
      </c>
      <c r="T279" s="176">
        <f t="shared" si="103"/>
        <v>4</v>
      </c>
      <c r="U279" s="251">
        <f t="shared" si="104"/>
        <v>-1.2060809855282502</v>
      </c>
      <c r="V279" s="383">
        <f t="shared" si="105"/>
        <v>43.436076900045023</v>
      </c>
      <c r="W279" s="58"/>
      <c r="X279" s="157">
        <f t="shared" si="106"/>
        <v>43365</v>
      </c>
      <c r="Y279" s="385">
        <f t="shared" si="107"/>
        <v>0</v>
      </c>
      <c r="Z279" s="385">
        <f t="shared" si="108"/>
        <v>0</v>
      </c>
      <c r="AA279" s="386">
        <f t="shared" si="109"/>
        <v>0</v>
      </c>
      <c r="AB279" s="197">
        <f t="shared" si="110"/>
        <v>43365</v>
      </c>
      <c r="AC279" s="425">
        <f t="shared" si="111"/>
        <v>9.8346640489240678E-3</v>
      </c>
      <c r="AD279" s="169">
        <f>(INDEX(Models!$BJ279:$BT279,,AH279)*(1-AF279)+INDEX(Models!$BJ279:$BT279,,AH279+1)*AF279-ERP_i)*AE279*Ramure*Pc/MaxiM</f>
        <v>2.6402528885044647E-4</v>
      </c>
      <c r="AE279" s="305">
        <f t="shared" si="112"/>
        <v>0.7</v>
      </c>
      <c r="AF279" s="177">
        <f t="shared" si="113"/>
        <v>0.79391901447174984</v>
      </c>
      <c r="AG279" s="810">
        <f t="shared" si="114"/>
        <v>-2</v>
      </c>
      <c r="AH279" s="176">
        <f t="shared" si="115"/>
        <v>4</v>
      </c>
      <c r="AI279" s="225">
        <f t="shared" si="116"/>
        <v>-1.2060809855282502</v>
      </c>
      <c r="AJ279" s="265" t="b">
        <f t="shared" si="117"/>
        <v>0</v>
      </c>
      <c r="AK279" s="265" t="b">
        <f t="shared" si="118"/>
        <v>0</v>
      </c>
      <c r="AL279" s="265"/>
      <c r="AM279" s="265"/>
      <c r="AN279" s="75"/>
    </row>
    <row r="280" spans="1:40" s="6" customFormat="1" ht="11.25" x14ac:dyDescent="0.2">
      <c r="A280" s="56">
        <f t="shared" si="119"/>
        <v>43366</v>
      </c>
      <c r="B280" s="616"/>
      <c r="C280" s="390"/>
      <c r="D280" s="393"/>
      <c r="E280" s="385"/>
      <c r="F280" s="385"/>
      <c r="G280" s="110"/>
      <c r="I280" s="380">
        <f t="shared" si="97"/>
        <v>0</v>
      </c>
      <c r="J280" s="85">
        <v>2018</v>
      </c>
      <c r="K280" s="197">
        <f t="shared" si="98"/>
        <v>43366</v>
      </c>
      <c r="L280" s="436">
        <f t="shared" si="99"/>
        <v>1.2326414522565443E-3</v>
      </c>
      <c r="M280" s="855"/>
      <c r="N280" s="855"/>
      <c r="O280" s="324">
        <f t="shared" si="100"/>
        <v>1.0015661436335992E-2</v>
      </c>
      <c r="P280" s="169">
        <f>(INDEX(Models!$BJ280:$BT280,,T280)*(1-R280)+INDEX(Models!$BJ280:$BT280,,T280+1)*R280-ERP_i)*Q280*Ramure*Pc/MaxiM</f>
        <v>2.6959731805890891E-4</v>
      </c>
      <c r="Q280" s="305">
        <f t="shared" si="101"/>
        <v>0.7</v>
      </c>
      <c r="R280" s="177">
        <f t="shared" si="102"/>
        <v>0.794137678676202</v>
      </c>
      <c r="S280" s="810">
        <f t="shared" si="120"/>
        <v>-2</v>
      </c>
      <c r="T280" s="176">
        <f t="shared" si="103"/>
        <v>4</v>
      </c>
      <c r="U280" s="251">
        <f t="shared" si="104"/>
        <v>-1.205862321323798</v>
      </c>
      <c r="V280" s="383">
        <f t="shared" si="105"/>
        <v>43.004251215571756</v>
      </c>
      <c r="W280" s="58"/>
      <c r="X280" s="157">
        <f t="shared" si="106"/>
        <v>43366</v>
      </c>
      <c r="Y280" s="385">
        <f t="shared" si="107"/>
        <v>0</v>
      </c>
      <c r="Z280" s="385">
        <f t="shared" si="108"/>
        <v>0</v>
      </c>
      <c r="AA280" s="386">
        <f t="shared" si="109"/>
        <v>0</v>
      </c>
      <c r="AB280" s="197">
        <f t="shared" si="110"/>
        <v>43366</v>
      </c>
      <c r="AC280" s="425">
        <f t="shared" si="111"/>
        <v>1.0015661436335992E-2</v>
      </c>
      <c r="AD280" s="169">
        <f>(INDEX(Models!$BJ280:$BT280,,AH280)*(1-AF280)+INDEX(Models!$BJ280:$BT280,,AH280+1)*AF280-ERP_i)*AE280*Ramure*Pc/MaxiM</f>
        <v>2.6959731805890891E-4</v>
      </c>
      <c r="AE280" s="305">
        <f t="shared" si="112"/>
        <v>0.7</v>
      </c>
      <c r="AF280" s="177">
        <f t="shared" si="113"/>
        <v>0.794137678676202</v>
      </c>
      <c r="AG280" s="810">
        <f t="shared" si="114"/>
        <v>-2</v>
      </c>
      <c r="AH280" s="176">
        <f t="shared" si="115"/>
        <v>4</v>
      </c>
      <c r="AI280" s="225">
        <f t="shared" si="116"/>
        <v>-1.205862321323798</v>
      </c>
      <c r="AJ280" s="265" t="b">
        <f t="shared" si="117"/>
        <v>0</v>
      </c>
      <c r="AK280" s="265" t="b">
        <f t="shared" si="118"/>
        <v>0</v>
      </c>
      <c r="AL280" s="265"/>
      <c r="AM280" s="265"/>
      <c r="AN280" s="75"/>
    </row>
    <row r="281" spans="1:40" s="6" customFormat="1" ht="11.25" x14ac:dyDescent="0.2">
      <c r="A281" s="56">
        <f t="shared" si="119"/>
        <v>43367</v>
      </c>
      <c r="B281" s="616"/>
      <c r="C281" s="390"/>
      <c r="D281" s="393"/>
      <c r="E281" s="385"/>
      <c r="F281" s="385"/>
      <c r="G281" s="110"/>
      <c r="I281" s="380">
        <f t="shared" si="97"/>
        <v>0</v>
      </c>
      <c r="J281" s="85">
        <v>2018</v>
      </c>
      <c r="K281" s="197">
        <f t="shared" si="98"/>
        <v>43367</v>
      </c>
      <c r="L281" s="436">
        <f t="shared" si="99"/>
        <v>1.255884227795101E-3</v>
      </c>
      <c r="M281" s="855"/>
      <c r="N281" s="855"/>
      <c r="O281" s="324">
        <f t="shared" si="100"/>
        <v>1.0196247382573192E-2</v>
      </c>
      <c r="P281" s="169">
        <f>(INDEX(Models!$BJ281:$BT281,,T281)*(1-R281)+INDEX(Models!$BJ281:$BT281,,T281+1)*R281-ERP_i)*Q281*Ramure*Pc/MaxiM</f>
        <v>2.7477787681289391E-4</v>
      </c>
      <c r="Q281" s="305">
        <f t="shared" si="101"/>
        <v>0.7</v>
      </c>
      <c r="R281" s="177">
        <f t="shared" si="102"/>
        <v>0.79434776650991079</v>
      </c>
      <c r="S281" s="810">
        <f t="shared" si="120"/>
        <v>-2</v>
      </c>
      <c r="T281" s="176">
        <f t="shared" si="103"/>
        <v>4</v>
      </c>
      <c r="U281" s="251">
        <f t="shared" si="104"/>
        <v>-1.2056522334900892</v>
      </c>
      <c r="V281" s="383">
        <f t="shared" si="105"/>
        <v>42.570550358649825</v>
      </c>
      <c r="W281" s="58"/>
      <c r="X281" s="157">
        <f t="shared" si="106"/>
        <v>43367</v>
      </c>
      <c r="Y281" s="385">
        <f t="shared" si="107"/>
        <v>0</v>
      </c>
      <c r="Z281" s="385">
        <f t="shared" si="108"/>
        <v>0</v>
      </c>
      <c r="AA281" s="386">
        <f t="shared" si="109"/>
        <v>0</v>
      </c>
      <c r="AB281" s="197">
        <f t="shared" si="110"/>
        <v>43367</v>
      </c>
      <c r="AC281" s="425">
        <f t="shared" si="111"/>
        <v>1.0196247382573192E-2</v>
      </c>
      <c r="AD281" s="169">
        <f>(INDEX(Models!$BJ281:$BT281,,AH281)*(1-AF281)+INDEX(Models!$BJ281:$BT281,,AH281+1)*AF281-ERP_i)*AE281*Ramure*Pc/MaxiM</f>
        <v>2.7477787681289391E-4</v>
      </c>
      <c r="AE281" s="305">
        <f t="shared" si="112"/>
        <v>0.7</v>
      </c>
      <c r="AF281" s="177">
        <f t="shared" si="113"/>
        <v>0.79434776650991079</v>
      </c>
      <c r="AG281" s="810">
        <f t="shared" si="114"/>
        <v>-2</v>
      </c>
      <c r="AH281" s="176">
        <f t="shared" si="115"/>
        <v>4</v>
      </c>
      <c r="AI281" s="225">
        <f t="shared" si="116"/>
        <v>-1.2056522334900892</v>
      </c>
      <c r="AJ281" s="265" t="b">
        <f t="shared" si="117"/>
        <v>0</v>
      </c>
      <c r="AK281" s="265" t="b">
        <f t="shared" si="118"/>
        <v>0</v>
      </c>
      <c r="AL281" s="265"/>
      <c r="AM281" s="265"/>
      <c r="AN281" s="75"/>
    </row>
    <row r="282" spans="1:40" s="6" customFormat="1" ht="11.25" x14ac:dyDescent="0.2">
      <c r="A282" s="56">
        <f t="shared" si="119"/>
        <v>43368</v>
      </c>
      <c r="B282" s="616"/>
      <c r="C282" s="390"/>
      <c r="D282" s="393"/>
      <c r="E282" s="385"/>
      <c r="F282" s="385"/>
      <c r="G282" s="110"/>
      <c r="I282" s="380">
        <f t="shared" si="97"/>
        <v>0</v>
      </c>
      <c r="J282" s="85">
        <v>2018</v>
      </c>
      <c r="K282" s="197">
        <f t="shared" si="98"/>
        <v>43368</v>
      </c>
      <c r="L282" s="436">
        <f t="shared" si="99"/>
        <v>1.2791264624404386E-3</v>
      </c>
      <c r="M282" s="855"/>
      <c r="N282" s="855"/>
      <c r="O282" s="324">
        <f t="shared" si="100"/>
        <v>1.0376412829819682E-2</v>
      </c>
      <c r="P282" s="169">
        <f>(INDEX(Models!$BJ282:$BT282,,T282)*(1-R282)+INDEX(Models!$BJ282:$BT282,,T282+1)*R282-ERP_i)*Q282*Ramure*Pc/MaxiM</f>
        <v>2.792910875309091E-4</v>
      </c>
      <c r="Q282" s="305">
        <f t="shared" si="101"/>
        <v>0.7</v>
      </c>
      <c r="R282" s="177">
        <f t="shared" si="102"/>
        <v>0.79454960565168542</v>
      </c>
      <c r="S282" s="810">
        <f t="shared" si="120"/>
        <v>-2</v>
      </c>
      <c r="T282" s="176">
        <f t="shared" si="103"/>
        <v>4</v>
      </c>
      <c r="U282" s="251">
        <f t="shared" si="104"/>
        <v>-1.2054503943483146</v>
      </c>
      <c r="V282" s="383">
        <f t="shared" si="105"/>
        <v>42.136066872720377</v>
      </c>
      <c r="W282" s="58"/>
      <c r="X282" s="157">
        <f t="shared" si="106"/>
        <v>43368</v>
      </c>
      <c r="Y282" s="385">
        <f t="shared" si="107"/>
        <v>0</v>
      </c>
      <c r="Z282" s="385">
        <f t="shared" si="108"/>
        <v>0</v>
      </c>
      <c r="AA282" s="386">
        <f t="shared" si="109"/>
        <v>0</v>
      </c>
      <c r="AB282" s="197">
        <f t="shared" si="110"/>
        <v>43368</v>
      </c>
      <c r="AC282" s="425">
        <f t="shared" si="111"/>
        <v>1.0376412829819682E-2</v>
      </c>
      <c r="AD282" s="169">
        <f>(INDEX(Models!$BJ282:$BT282,,AH282)*(1-AF282)+INDEX(Models!$BJ282:$BT282,,AH282+1)*AF282-ERP_i)*AE282*Ramure*Pc/MaxiM</f>
        <v>2.792910875309091E-4</v>
      </c>
      <c r="AE282" s="305">
        <f t="shared" si="112"/>
        <v>0.7</v>
      </c>
      <c r="AF282" s="177">
        <f t="shared" si="113"/>
        <v>0.79454960565168542</v>
      </c>
      <c r="AG282" s="810">
        <f t="shared" si="114"/>
        <v>-2</v>
      </c>
      <c r="AH282" s="176">
        <f t="shared" si="115"/>
        <v>4</v>
      </c>
      <c r="AI282" s="225">
        <f t="shared" si="116"/>
        <v>-1.2054503943483146</v>
      </c>
      <c r="AJ282" s="265" t="b">
        <f t="shared" si="117"/>
        <v>0</v>
      </c>
      <c r="AK282" s="265" t="b">
        <f t="shared" si="118"/>
        <v>0</v>
      </c>
      <c r="AL282" s="265"/>
      <c r="AM282" s="265"/>
      <c r="AN282" s="75"/>
    </row>
    <row r="283" spans="1:40" s="6" customFormat="1" ht="11.25" x14ac:dyDescent="0.2">
      <c r="A283" s="56">
        <f t="shared" si="119"/>
        <v>43369</v>
      </c>
      <c r="B283" s="616"/>
      <c r="C283" s="390"/>
      <c r="D283" s="393"/>
      <c r="E283" s="385"/>
      <c r="F283" s="385"/>
      <c r="G283" s="110"/>
      <c r="I283" s="380">
        <f t="shared" si="97"/>
        <v>0</v>
      </c>
      <c r="J283" s="85">
        <v>2018</v>
      </c>
      <c r="K283" s="197">
        <f t="shared" si="98"/>
        <v>43369</v>
      </c>
      <c r="L283" s="436">
        <f t="shared" si="99"/>
        <v>1.3023681562048806E-3</v>
      </c>
      <c r="M283" s="855"/>
      <c r="N283" s="855"/>
      <c r="O283" s="324">
        <f t="shared" si="100"/>
        <v>1.0556148558553295E-2</v>
      </c>
      <c r="P283" s="169">
        <f>(INDEX(Models!$BJ283:$BT283,,T283)*(1-R283)+INDEX(Models!$BJ283:$BT283,,T283+1)*R283-ERP_i)*Q283*Ramure*Pc/MaxiM</f>
        <v>2.8332577843585372E-4</v>
      </c>
      <c r="Q283" s="305">
        <f t="shared" si="101"/>
        <v>0.7</v>
      </c>
      <c r="R283" s="177">
        <f t="shared" si="102"/>
        <v>0.79474351193998771</v>
      </c>
      <c r="S283" s="810">
        <f t="shared" si="120"/>
        <v>-2</v>
      </c>
      <c r="T283" s="176">
        <f t="shared" si="103"/>
        <v>4</v>
      </c>
      <c r="U283" s="251">
        <f t="shared" si="104"/>
        <v>-1.2052564880600123</v>
      </c>
      <c r="V283" s="383">
        <f t="shared" si="105"/>
        <v>41.70187251500505</v>
      </c>
      <c r="W283" s="58"/>
      <c r="X283" s="157">
        <f t="shared" si="106"/>
        <v>43369</v>
      </c>
      <c r="Y283" s="385">
        <f t="shared" si="107"/>
        <v>0</v>
      </c>
      <c r="Z283" s="385">
        <f t="shared" si="108"/>
        <v>0</v>
      </c>
      <c r="AA283" s="386">
        <f t="shared" si="109"/>
        <v>0</v>
      </c>
      <c r="AB283" s="197">
        <f t="shared" si="110"/>
        <v>43369</v>
      </c>
      <c r="AC283" s="425">
        <f t="shared" si="111"/>
        <v>1.0556148558553295E-2</v>
      </c>
      <c r="AD283" s="169">
        <f>(INDEX(Models!$BJ283:$BT283,,AH283)*(1-AF283)+INDEX(Models!$BJ283:$BT283,,AH283+1)*AF283-ERP_i)*AE283*Ramure*Pc/MaxiM</f>
        <v>2.8332577843585372E-4</v>
      </c>
      <c r="AE283" s="305">
        <f t="shared" si="112"/>
        <v>0.7</v>
      </c>
      <c r="AF283" s="177">
        <f t="shared" si="113"/>
        <v>0.79474351193998771</v>
      </c>
      <c r="AG283" s="810">
        <f t="shared" si="114"/>
        <v>-2</v>
      </c>
      <c r="AH283" s="176">
        <f t="shared" si="115"/>
        <v>4</v>
      </c>
      <c r="AI283" s="225">
        <f t="shared" si="116"/>
        <v>-1.2052564880600123</v>
      </c>
      <c r="AJ283" s="265" t="b">
        <f t="shared" si="117"/>
        <v>0</v>
      </c>
      <c r="AK283" s="265" t="b">
        <f t="shared" si="118"/>
        <v>0</v>
      </c>
      <c r="AL283" s="265"/>
      <c r="AM283" s="265"/>
      <c r="AN283" s="75"/>
    </row>
    <row r="284" spans="1:40" s="6" customFormat="1" ht="11.25" x14ac:dyDescent="0.2">
      <c r="A284" s="56">
        <f t="shared" si="119"/>
        <v>43370</v>
      </c>
      <c r="B284" s="616"/>
      <c r="C284" s="390"/>
      <c r="D284" s="393"/>
      <c r="E284" s="385"/>
      <c r="F284" s="385"/>
      <c r="G284" s="110"/>
      <c r="I284" s="380">
        <f t="shared" si="97"/>
        <v>0</v>
      </c>
      <c r="J284" s="85">
        <v>2018</v>
      </c>
      <c r="K284" s="197">
        <f t="shared" si="98"/>
        <v>43370</v>
      </c>
      <c r="L284" s="436">
        <f t="shared" si="99"/>
        <v>1.3256093091013055E-3</v>
      </c>
      <c r="M284" s="855"/>
      <c r="N284" s="855"/>
      <c r="O284" s="324">
        <f t="shared" si="100"/>
        <v>1.0735445219098333E-2</v>
      </c>
      <c r="P284" s="169">
        <f>(INDEX(Models!$BJ284:$BT284,,T284)*(1-R284)+INDEX(Models!$BJ284:$BT284,,T284+1)*R284-ERP_i)*Q284*Ramure*Pc/MaxiM</f>
        <v>2.8686032302385951E-4</v>
      </c>
      <c r="Q284" s="305">
        <f t="shared" si="101"/>
        <v>0.7</v>
      </c>
      <c r="R284" s="177">
        <f t="shared" si="102"/>
        <v>0.79492978974724315</v>
      </c>
      <c r="S284" s="810">
        <f t="shared" si="120"/>
        <v>-2</v>
      </c>
      <c r="T284" s="176">
        <f t="shared" si="103"/>
        <v>4</v>
      </c>
      <c r="U284" s="251">
        <f t="shared" si="104"/>
        <v>-1.2050702102527568</v>
      </c>
      <c r="V284" s="383">
        <f t="shared" si="105"/>
        <v>41.269047145342014</v>
      </c>
      <c r="W284" s="58"/>
      <c r="X284" s="157">
        <f t="shared" si="106"/>
        <v>43370</v>
      </c>
      <c r="Y284" s="385">
        <f t="shared" si="107"/>
        <v>0</v>
      </c>
      <c r="Z284" s="385">
        <f t="shared" si="108"/>
        <v>0</v>
      </c>
      <c r="AA284" s="386">
        <f t="shared" si="109"/>
        <v>0</v>
      </c>
      <c r="AB284" s="197">
        <f t="shared" si="110"/>
        <v>43370</v>
      </c>
      <c r="AC284" s="425">
        <f t="shared" si="111"/>
        <v>1.0735445219098333E-2</v>
      </c>
      <c r="AD284" s="169">
        <f>(INDEX(Models!$BJ284:$BT284,,AH284)*(1-AF284)+INDEX(Models!$BJ284:$BT284,,AH284+1)*AF284-ERP_i)*AE284*Ramure*Pc/MaxiM</f>
        <v>2.8686032302385951E-4</v>
      </c>
      <c r="AE284" s="305">
        <f t="shared" si="112"/>
        <v>0.7</v>
      </c>
      <c r="AF284" s="177">
        <f t="shared" si="113"/>
        <v>0.79492978974724315</v>
      </c>
      <c r="AG284" s="810">
        <f t="shared" si="114"/>
        <v>-2</v>
      </c>
      <c r="AH284" s="176">
        <f t="shared" si="115"/>
        <v>4</v>
      </c>
      <c r="AI284" s="225">
        <f t="shared" si="116"/>
        <v>-1.2050702102527568</v>
      </c>
      <c r="AJ284" s="265" t="b">
        <f t="shared" si="117"/>
        <v>0</v>
      </c>
      <c r="AK284" s="265" t="b">
        <f t="shared" si="118"/>
        <v>0</v>
      </c>
      <c r="AL284" s="265"/>
      <c r="AM284" s="265"/>
      <c r="AN284" s="75"/>
    </row>
    <row r="285" spans="1:40" s="6" customFormat="1" ht="11.25" x14ac:dyDescent="0.2">
      <c r="A285" s="56">
        <f t="shared" si="119"/>
        <v>43371</v>
      </c>
      <c r="B285" s="616"/>
      <c r="C285" s="390"/>
      <c r="D285" s="393"/>
      <c r="E285" s="385"/>
      <c r="F285" s="385"/>
      <c r="G285" s="110"/>
      <c r="I285" s="380">
        <f t="shared" si="97"/>
        <v>0</v>
      </c>
      <c r="J285" s="85">
        <v>2018</v>
      </c>
      <c r="K285" s="197">
        <f t="shared" si="98"/>
        <v>43371</v>
      </c>
      <c r="L285" s="436">
        <f t="shared" si="99"/>
        <v>1.3488499211420368E-3</v>
      </c>
      <c r="M285" s="855"/>
      <c r="N285" s="855"/>
      <c r="O285" s="324">
        <f t="shared" si="100"/>
        <v>1.0914293366955678E-2</v>
      </c>
      <c r="P285" s="169">
        <f>(INDEX(Models!$BJ285:$BT285,,T285)*(1-R285)+INDEX(Models!$BJ285:$BT285,,T285+1)*R285-ERP_i)*Q285*Ramure*Pc/MaxiM</f>
        <v>2.8987215686416092E-4</v>
      </c>
      <c r="Q285" s="305">
        <f t="shared" si="101"/>
        <v>0.7</v>
      </c>
      <c r="R285" s="177">
        <f t="shared" si="102"/>
        <v>0.79510873234667256</v>
      </c>
      <c r="S285" s="810">
        <f t="shared" si="120"/>
        <v>-2</v>
      </c>
      <c r="T285" s="176">
        <f t="shared" si="103"/>
        <v>4</v>
      </c>
      <c r="U285" s="251">
        <f t="shared" si="104"/>
        <v>-1.2048912676533274</v>
      </c>
      <c r="V285" s="383">
        <f t="shared" si="105"/>
        <v>40.838669718040023</v>
      </c>
      <c r="W285" s="58"/>
      <c r="X285" s="157">
        <f t="shared" si="106"/>
        <v>43371</v>
      </c>
      <c r="Y285" s="385">
        <f t="shared" si="107"/>
        <v>0</v>
      </c>
      <c r="Z285" s="385">
        <f t="shared" si="108"/>
        <v>0</v>
      </c>
      <c r="AA285" s="386">
        <f t="shared" si="109"/>
        <v>0</v>
      </c>
      <c r="AB285" s="197">
        <f t="shared" si="110"/>
        <v>43371</v>
      </c>
      <c r="AC285" s="425">
        <f t="shared" si="111"/>
        <v>1.0914293366955678E-2</v>
      </c>
      <c r="AD285" s="169">
        <f>(INDEX(Models!$BJ285:$BT285,,AH285)*(1-AF285)+INDEX(Models!$BJ285:$BT285,,AH285+1)*AF285-ERP_i)*AE285*Ramure*Pc/MaxiM</f>
        <v>2.8987215686416092E-4</v>
      </c>
      <c r="AE285" s="305">
        <f t="shared" si="112"/>
        <v>0.7</v>
      </c>
      <c r="AF285" s="177">
        <f t="shared" si="113"/>
        <v>0.79510873234667256</v>
      </c>
      <c r="AG285" s="810">
        <f t="shared" si="114"/>
        <v>-2</v>
      </c>
      <c r="AH285" s="176">
        <f t="shared" si="115"/>
        <v>4</v>
      </c>
      <c r="AI285" s="225">
        <f t="shared" si="116"/>
        <v>-1.2048912676533274</v>
      </c>
      <c r="AJ285" s="265" t="b">
        <f t="shared" si="117"/>
        <v>0</v>
      </c>
      <c r="AK285" s="265" t="b">
        <f t="shared" si="118"/>
        <v>0</v>
      </c>
      <c r="AL285" s="265"/>
      <c r="AM285" s="265"/>
      <c r="AN285" s="75"/>
    </row>
    <row r="286" spans="1:40" s="6" customFormat="1" ht="11.25" x14ac:dyDescent="0.2">
      <c r="A286" s="56">
        <f t="shared" si="119"/>
        <v>43372</v>
      </c>
      <c r="B286" s="616"/>
      <c r="C286" s="390"/>
      <c r="D286" s="393"/>
      <c r="E286" s="385"/>
      <c r="F286" s="385"/>
      <c r="G286" s="110"/>
      <c r="I286" s="380">
        <f t="shared" si="97"/>
        <v>0</v>
      </c>
      <c r="J286" s="85">
        <v>2018</v>
      </c>
      <c r="K286" s="197">
        <f t="shared" si="98"/>
        <v>43372</v>
      </c>
      <c r="L286" s="436">
        <f t="shared" si="99"/>
        <v>1.3720899923398422E-3</v>
      </c>
      <c r="M286" s="855"/>
      <c r="N286" s="855"/>
      <c r="O286" s="324">
        <f t="shared" si="100"/>
        <v>1.1092683501861263E-2</v>
      </c>
      <c r="P286" s="169">
        <f>(INDEX(Models!$BJ286:$BT286,,T286)*(1-R286)+INDEX(Models!$BJ286:$BT286,,T286+1)*R286-ERP_i)*Q286*Ramure*Pc/MaxiM</f>
        <v>2.9233789447911436E-4</v>
      </c>
      <c r="Q286" s="305">
        <f t="shared" si="101"/>
        <v>0.7</v>
      </c>
      <c r="R286" s="177">
        <f t="shared" si="102"/>
        <v>0.79528062227140062</v>
      </c>
      <c r="S286" s="810">
        <f t="shared" si="120"/>
        <v>-2</v>
      </c>
      <c r="T286" s="176">
        <f t="shared" si="103"/>
        <v>4</v>
      </c>
      <c r="U286" s="251">
        <f t="shared" si="104"/>
        <v>-1.2047193777285994</v>
      </c>
      <c r="V286" s="383">
        <f t="shared" si="105"/>
        <v>40.411818283999743</v>
      </c>
      <c r="W286" s="58"/>
      <c r="X286" s="157">
        <f t="shared" si="106"/>
        <v>43372</v>
      </c>
      <c r="Y286" s="385">
        <f t="shared" si="107"/>
        <v>0</v>
      </c>
      <c r="Z286" s="385">
        <f t="shared" si="108"/>
        <v>0</v>
      </c>
      <c r="AA286" s="386">
        <f t="shared" si="109"/>
        <v>0</v>
      </c>
      <c r="AB286" s="197">
        <f t="shared" si="110"/>
        <v>43372</v>
      </c>
      <c r="AC286" s="425">
        <f t="shared" si="111"/>
        <v>1.1092683501861263E-2</v>
      </c>
      <c r="AD286" s="169">
        <f>(INDEX(Models!$BJ286:$BT286,,AH286)*(1-AF286)+INDEX(Models!$BJ286:$BT286,,AH286+1)*AF286-ERP_i)*AE286*Ramure*Pc/MaxiM</f>
        <v>2.9233789447911436E-4</v>
      </c>
      <c r="AE286" s="305">
        <f t="shared" si="112"/>
        <v>0.7</v>
      </c>
      <c r="AF286" s="177">
        <f t="shared" si="113"/>
        <v>0.79528062227140062</v>
      </c>
      <c r="AG286" s="810">
        <f t="shared" si="114"/>
        <v>-2</v>
      </c>
      <c r="AH286" s="176">
        <f t="shared" si="115"/>
        <v>4</v>
      </c>
      <c r="AI286" s="225">
        <f t="shared" si="116"/>
        <v>-1.2047193777285994</v>
      </c>
      <c r="AJ286" s="265" t="b">
        <f t="shared" si="117"/>
        <v>0</v>
      </c>
      <c r="AK286" s="265" t="b">
        <f t="shared" si="118"/>
        <v>0</v>
      </c>
      <c r="AL286" s="265"/>
      <c r="AM286" s="265"/>
      <c r="AN286" s="75"/>
    </row>
    <row r="287" spans="1:40" s="6" customFormat="1" ht="11.25" x14ac:dyDescent="0.2">
      <c r="A287" s="56">
        <f t="shared" si="119"/>
        <v>43373</v>
      </c>
      <c r="B287" s="616"/>
      <c r="C287" s="390"/>
      <c r="D287" s="393"/>
      <c r="E287" s="385"/>
      <c r="F287" s="385"/>
      <c r="G287" s="110"/>
      <c r="I287" s="380">
        <f t="shared" si="97"/>
        <v>0</v>
      </c>
      <c r="J287" s="85">
        <v>2018</v>
      </c>
      <c r="K287" s="197">
        <f t="shared" si="98"/>
        <v>43373</v>
      </c>
      <c r="L287" s="436">
        <f t="shared" si="99"/>
        <v>1.395329522707156E-3</v>
      </c>
      <c r="M287" s="855"/>
      <c r="N287" s="855"/>
      <c r="O287" s="324">
        <f t="shared" si="100"/>
        <v>1.127060611047895E-2</v>
      </c>
      <c r="P287" s="169">
        <f>(INDEX(Models!$BJ287:$BT287,,T287)*(1-R287)+INDEX(Models!$BJ287:$BT287,,T287+1)*R287-ERP_i)*Q287*Ramure*Pc/MaxiM</f>
        <v>2.9423346645076687E-4</v>
      </c>
      <c r="Q287" s="305">
        <f t="shared" si="101"/>
        <v>0.7</v>
      </c>
      <c r="R287" s="177">
        <f t="shared" si="102"/>
        <v>0.7954457316656478</v>
      </c>
      <c r="S287" s="810">
        <f t="shared" si="120"/>
        <v>-2</v>
      </c>
      <c r="T287" s="176">
        <f t="shared" si="103"/>
        <v>4</v>
      </c>
      <c r="U287" s="251">
        <f t="shared" si="104"/>
        <v>-1.2045542683343522</v>
      </c>
      <c r="V287" s="383">
        <f t="shared" si="105"/>
        <v>39.989569996579455</v>
      </c>
      <c r="W287" s="58"/>
      <c r="X287" s="157">
        <f t="shared" si="106"/>
        <v>43373</v>
      </c>
      <c r="Y287" s="385">
        <f t="shared" si="107"/>
        <v>0</v>
      </c>
      <c r="Z287" s="385">
        <f t="shared" si="108"/>
        <v>0</v>
      </c>
      <c r="AA287" s="386">
        <f t="shared" si="109"/>
        <v>0</v>
      </c>
      <c r="AB287" s="197">
        <f t="shared" si="110"/>
        <v>43373</v>
      </c>
      <c r="AC287" s="425">
        <f t="shared" si="111"/>
        <v>1.127060611047895E-2</v>
      </c>
      <c r="AD287" s="169">
        <f>(INDEX(Models!$BJ287:$BT287,,AH287)*(1-AF287)+INDEX(Models!$BJ287:$BT287,,AH287+1)*AF287-ERP_i)*AE287*Ramure*Pc/MaxiM</f>
        <v>2.9423346645076687E-4</v>
      </c>
      <c r="AE287" s="305">
        <f t="shared" si="112"/>
        <v>0.7</v>
      </c>
      <c r="AF287" s="177">
        <f t="shared" si="113"/>
        <v>0.7954457316656478</v>
      </c>
      <c r="AG287" s="810">
        <f t="shared" si="114"/>
        <v>-2</v>
      </c>
      <c r="AH287" s="176">
        <f t="shared" si="115"/>
        <v>4</v>
      </c>
      <c r="AI287" s="225">
        <f t="shared" si="116"/>
        <v>-1.2045542683343522</v>
      </c>
      <c r="AJ287" s="265" t="b">
        <f t="shared" si="117"/>
        <v>0</v>
      </c>
      <c r="AK287" s="265" t="b">
        <f t="shared" si="118"/>
        <v>0</v>
      </c>
      <c r="AL287" s="265"/>
      <c r="AM287" s="265"/>
      <c r="AN287" s="75"/>
    </row>
    <row r="288" spans="1:40" s="6" customFormat="1" ht="11.25" x14ac:dyDescent="0.2">
      <c r="A288" s="56">
        <f t="shared" si="119"/>
        <v>43374</v>
      </c>
      <c r="B288" s="616">
        <v>4.2519999999999998</v>
      </c>
      <c r="C288" s="390"/>
      <c r="D288" s="393">
        <f t="shared" ref="D288:D334" si="121">Wh/(1-Ppv)</f>
        <v>4.2580403219246019</v>
      </c>
      <c r="E288" s="385">
        <f t="shared" ref="E288:E296" si="122">Wh_pvt/(1-Psa)</f>
        <v>4.307351100062399</v>
      </c>
      <c r="F288" s="385">
        <f>Wh_sa/(1-Pvg*MEDIAN((-Sdif+Wh/Env_an)/Csdif,0,1))</f>
        <v>4.307351100062399</v>
      </c>
      <c r="G288" s="110">
        <f t="shared" ref="G288:G296" si="123">+Wh_hp/MaxiM</f>
        <v>0.10741523940405023</v>
      </c>
      <c r="I288" s="380">
        <f t="shared" si="97"/>
        <v>4.307351100062399</v>
      </c>
      <c r="J288" s="85">
        <v>2018</v>
      </c>
      <c r="K288" s="197">
        <f t="shared" si="98"/>
        <v>43374</v>
      </c>
      <c r="L288" s="436">
        <f t="shared" si="99"/>
        <v>1.418568512256746E-3</v>
      </c>
      <c r="M288" s="855"/>
      <c r="N288" s="855"/>
      <c r="O288" s="324">
        <f t="shared" si="100"/>
        <v>1.144805171259018E-2</v>
      </c>
      <c r="P288" s="169">
        <f>(INDEX(Models!$BJ288:$BT288,,T288)*(1-R288)+INDEX(Models!$BJ288:$BT288,,T288+1)*R288-ERP_i)*Q288*Ramure*Pc/MaxiM</f>
        <v>2.9553427856727598E-4</v>
      </c>
      <c r="Q288" s="305">
        <f t="shared" si="101"/>
        <v>0.7</v>
      </c>
      <c r="R288" s="177">
        <f t="shared" si="102"/>
        <v>0.79560432262784642</v>
      </c>
      <c r="S288" s="810">
        <f t="shared" si="120"/>
        <v>-2</v>
      </c>
      <c r="T288" s="176">
        <f t="shared" si="103"/>
        <v>4</v>
      </c>
      <c r="U288" s="251">
        <f t="shared" si="104"/>
        <v>-1.2043956773721536</v>
      </c>
      <c r="V288" s="383">
        <f t="shared" si="105"/>
        <v>39.573001110746048</v>
      </c>
      <c r="W288" s="58"/>
      <c r="X288" s="157">
        <f t="shared" si="106"/>
        <v>43374</v>
      </c>
      <c r="Y288" s="385">
        <f t="shared" si="107"/>
        <v>4.2519999999999998</v>
      </c>
      <c r="Z288" s="385">
        <f t="shared" si="108"/>
        <v>4.2580403219246019</v>
      </c>
      <c r="AA288" s="386">
        <f t="shared" si="109"/>
        <v>4.307351100062399</v>
      </c>
      <c r="AB288" s="197">
        <f t="shared" si="110"/>
        <v>43374</v>
      </c>
      <c r="AC288" s="425">
        <f t="shared" si="111"/>
        <v>1.144805171259018E-2</v>
      </c>
      <c r="AD288" s="169">
        <f>(INDEX(Models!$BJ288:$BT288,,AH288)*(1-AF288)+INDEX(Models!$BJ288:$BT288,,AH288+1)*AF288-ERP_i)*AE288*Ramure*Pc/MaxiM</f>
        <v>2.9553427856727598E-4</v>
      </c>
      <c r="AE288" s="305">
        <f t="shared" si="112"/>
        <v>0.7</v>
      </c>
      <c r="AF288" s="177">
        <f t="shared" si="113"/>
        <v>0.79560432262784642</v>
      </c>
      <c r="AG288" s="810">
        <f t="shared" si="114"/>
        <v>-2</v>
      </c>
      <c r="AH288" s="176">
        <f t="shared" si="115"/>
        <v>4</v>
      </c>
      <c r="AI288" s="225">
        <f t="shared" si="116"/>
        <v>-1.2043956773721536</v>
      </c>
      <c r="AJ288" s="265" t="b">
        <f t="shared" si="117"/>
        <v>0</v>
      </c>
      <c r="AK288" s="265" t="b">
        <f t="shared" si="118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9"/>
        <v>43375</v>
      </c>
      <c r="B289" s="616">
        <v>37.603999999999999</v>
      </c>
      <c r="C289" s="390"/>
      <c r="D289" s="393">
        <f t="shared" si="121"/>
        <v>37.65829599330258</v>
      </c>
      <c r="E289" s="385">
        <f t="shared" si="122"/>
        <v>38.101223127871187</v>
      </c>
      <c r="F289" s="385">
        <f>Wh_sa/(1-Pvg*MEDIAN((-Sdif+Wh/Env_an)/Csdif,0,1))</f>
        <v>38.111872481927541</v>
      </c>
      <c r="G289" s="110">
        <f t="shared" si="123"/>
        <v>0.96024888935467512</v>
      </c>
      <c r="I289" s="380">
        <f t="shared" si="97"/>
        <v>38.111872481927541</v>
      </c>
      <c r="J289" s="85">
        <v>2018</v>
      </c>
      <c r="K289" s="197">
        <f t="shared" si="98"/>
        <v>43375</v>
      </c>
      <c r="L289" s="436">
        <f t="shared" si="99"/>
        <v>1.4418069610010464E-3</v>
      </c>
      <c r="M289" s="855"/>
      <c r="N289" s="855"/>
      <c r="O289" s="324">
        <f t="shared" si="100"/>
        <v>1.1625010910597314E-2</v>
      </c>
      <c r="P289" s="169">
        <f>(INDEX(Models!$BJ289:$BT289,,T289)*(1-R289)+INDEX(Models!$BJ289:$BT289,,T289+1)*R289-ERP_i)*Q289*Ramure*Pc/MaxiM</f>
        <v>2.9623932932424865E-4</v>
      </c>
      <c r="Q289" s="305">
        <f t="shared" si="101"/>
        <v>0.7</v>
      </c>
      <c r="R289" s="177">
        <f t="shared" si="102"/>
        <v>0.79575664754557152</v>
      </c>
      <c r="S289" s="810">
        <f t="shared" si="120"/>
        <v>-2</v>
      </c>
      <c r="T289" s="176">
        <f t="shared" si="103"/>
        <v>4</v>
      </c>
      <c r="U289" s="251">
        <f t="shared" si="104"/>
        <v>-1.2042433524544285</v>
      </c>
      <c r="V289" s="383">
        <f t="shared" si="105"/>
        <v>39.16002184321588</v>
      </c>
      <c r="W289" s="58"/>
      <c r="X289" s="157">
        <f t="shared" si="106"/>
        <v>43375</v>
      </c>
      <c r="Y289" s="385">
        <f t="shared" si="107"/>
        <v>37.603999999999999</v>
      </c>
      <c r="Z289" s="385">
        <f t="shared" si="108"/>
        <v>37.65829599330258</v>
      </c>
      <c r="AA289" s="386">
        <f t="shared" si="109"/>
        <v>38.101223127871187</v>
      </c>
      <c r="AB289" s="197">
        <f t="shared" si="110"/>
        <v>43375</v>
      </c>
      <c r="AC289" s="425">
        <f t="shared" si="111"/>
        <v>1.1625010910597314E-2</v>
      </c>
      <c r="AD289" s="169">
        <f>(INDEX(Models!$BJ289:$BT289,,AH289)*(1-AF289)+INDEX(Models!$BJ289:$BT289,,AH289+1)*AF289-ERP_i)*AE289*Ramure*Pc/MaxiM</f>
        <v>2.9623932932424865E-4</v>
      </c>
      <c r="AE289" s="305">
        <f t="shared" si="112"/>
        <v>0.7</v>
      </c>
      <c r="AF289" s="177">
        <f t="shared" si="113"/>
        <v>0.79575664754557152</v>
      </c>
      <c r="AG289" s="810">
        <f t="shared" si="114"/>
        <v>-2</v>
      </c>
      <c r="AH289" s="176">
        <f t="shared" si="115"/>
        <v>4</v>
      </c>
      <c r="AI289" s="225">
        <f t="shared" si="116"/>
        <v>-1.2042433524544285</v>
      </c>
      <c r="AJ289" s="265" t="b">
        <f t="shared" si="117"/>
        <v>0</v>
      </c>
      <c r="AK289" s="265" t="b">
        <f t="shared" si="118"/>
        <v>0</v>
      </c>
      <c r="AL289" s="265"/>
      <c r="AM289" s="265"/>
      <c r="AN289" s="75"/>
    </row>
    <row r="290" spans="1:40" s="6" customFormat="1" ht="11.25" x14ac:dyDescent="0.2">
      <c r="A290" s="56">
        <f t="shared" si="119"/>
        <v>43376</v>
      </c>
      <c r="B290" s="616">
        <v>37.164999999999999</v>
      </c>
      <c r="C290" s="390"/>
      <c r="D290" s="393">
        <f t="shared" si="121"/>
        <v>37.219528278929879</v>
      </c>
      <c r="E290" s="385">
        <f t="shared" si="122"/>
        <v>37.664019239370575</v>
      </c>
      <c r="F290" s="385">
        <f>Wh_sa/(1-Pvg*MEDIAN((-Sdif+Wh/Env_an)/Csdif,0,1))</f>
        <v>37.674567346028716</v>
      </c>
      <c r="G290" s="110">
        <f t="shared" si="123"/>
        <v>0.95913134415413115</v>
      </c>
      <c r="I290" s="380">
        <f t="shared" si="97"/>
        <v>37.674567346028716</v>
      </c>
      <c r="J290" s="85">
        <v>2018</v>
      </c>
      <c r="K290" s="197">
        <f t="shared" si="98"/>
        <v>43376</v>
      </c>
      <c r="L290" s="436">
        <f t="shared" si="99"/>
        <v>1.465044868952603E-3</v>
      </c>
      <c r="M290" s="855"/>
      <c r="N290" s="855"/>
      <c r="O290" s="324">
        <f t="shared" si="100"/>
        <v>1.1801474442113295E-2</v>
      </c>
      <c r="P290" s="169">
        <f>(INDEX(Models!$BJ290:$BT290,,T290)*(1-R290)+INDEX(Models!$BJ290:$BT290,,T290+1)*R290-ERP_i)*Q290*Ramure*Pc/MaxiM</f>
        <v>2.9733179001484983E-4</v>
      </c>
      <c r="Q290" s="305">
        <f t="shared" si="101"/>
        <v>0.7</v>
      </c>
      <c r="R290" s="177">
        <f t="shared" si="102"/>
        <v>0.79590294942220208</v>
      </c>
      <c r="S290" s="810">
        <f t="shared" si="120"/>
        <v>-2</v>
      </c>
      <c r="T290" s="176">
        <f t="shared" si="103"/>
        <v>4</v>
      </c>
      <c r="U290" s="251">
        <f t="shared" si="104"/>
        <v>-1.2040970505777979</v>
      </c>
      <c r="V290" s="383">
        <f t="shared" si="105"/>
        <v>38.747930768998764</v>
      </c>
      <c r="W290" s="58"/>
      <c r="X290" s="157">
        <f t="shared" si="106"/>
        <v>43376</v>
      </c>
      <c r="Y290" s="385">
        <f t="shared" si="107"/>
        <v>37.164999999999999</v>
      </c>
      <c r="Z290" s="385">
        <f t="shared" si="108"/>
        <v>37.219528278929879</v>
      </c>
      <c r="AA290" s="386">
        <f t="shared" si="109"/>
        <v>37.664019239370575</v>
      </c>
      <c r="AB290" s="197">
        <f t="shared" si="110"/>
        <v>43376</v>
      </c>
      <c r="AC290" s="425">
        <f t="shared" si="111"/>
        <v>1.1801474442113295E-2</v>
      </c>
      <c r="AD290" s="169">
        <f>(INDEX(Models!$BJ290:$BT290,,AH290)*(1-AF290)+INDEX(Models!$BJ290:$BT290,,AH290+1)*AF290-ERP_i)*AE290*Ramure*Pc/MaxiM</f>
        <v>2.9733179001484983E-4</v>
      </c>
      <c r="AE290" s="305">
        <f t="shared" si="112"/>
        <v>0.7</v>
      </c>
      <c r="AF290" s="177">
        <f t="shared" si="113"/>
        <v>0.79590294942220208</v>
      </c>
      <c r="AG290" s="810">
        <f t="shared" si="114"/>
        <v>-2</v>
      </c>
      <c r="AH290" s="176">
        <f t="shared" si="115"/>
        <v>4</v>
      </c>
      <c r="AI290" s="225">
        <f t="shared" si="116"/>
        <v>-1.2040970505777979</v>
      </c>
      <c r="AJ290" s="265" t="b">
        <f t="shared" si="117"/>
        <v>0</v>
      </c>
      <c r="AK290" s="265" t="b">
        <f t="shared" si="118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9"/>
        <v>43377</v>
      </c>
      <c r="B291" s="616">
        <v>35.950000000000003</v>
      </c>
      <c r="C291" s="390"/>
      <c r="D291" s="393">
        <f t="shared" si="121"/>
        <v>36.003583493750568</v>
      </c>
      <c r="E291" s="385">
        <f t="shared" si="122"/>
        <v>36.440041659825049</v>
      </c>
      <c r="F291" s="385">
        <f>Wh_sa/(1-Pvg*MEDIAN((-Sdif+Wh/Env_an)/Csdif,0,1))</f>
        <v>36.449974928255941</v>
      </c>
      <c r="G291" s="110">
        <f t="shared" si="123"/>
        <v>0.93771311355699183</v>
      </c>
      <c r="I291" s="380">
        <f t="shared" si="97"/>
        <v>36.449974928255941</v>
      </c>
      <c r="J291" s="85">
        <v>2018</v>
      </c>
      <c r="K291" s="197">
        <f t="shared" si="98"/>
        <v>43377</v>
      </c>
      <c r="L291" s="436">
        <f t="shared" si="99"/>
        <v>1.4882822361241832E-3</v>
      </c>
      <c r="M291" s="855"/>
      <c r="N291" s="855"/>
      <c r="O291" s="324">
        <f t="shared" si="100"/>
        <v>1.1977433235365209E-2</v>
      </c>
      <c r="P291" s="169">
        <f>(INDEX(Models!$BJ291:$BT291,,T291)*(1-R291)+INDEX(Models!$BJ291:$BT291,,T291+1)*R291-ERP_i)*Q291*Ramure*Pc/MaxiM</f>
        <v>2.9912356971570239E-4</v>
      </c>
      <c r="Q291" s="305">
        <f t="shared" si="101"/>
        <v>0.7</v>
      </c>
      <c r="R291" s="177">
        <f t="shared" si="102"/>
        <v>0.79604346219526634</v>
      </c>
      <c r="S291" s="810">
        <f t="shared" si="120"/>
        <v>-2</v>
      </c>
      <c r="T291" s="176">
        <f t="shared" si="103"/>
        <v>4</v>
      </c>
      <c r="U291" s="251">
        <f t="shared" si="104"/>
        <v>-1.2039565378047337</v>
      </c>
      <c r="V291" s="383">
        <f t="shared" si="105"/>
        <v>38.336931353044861</v>
      </c>
      <c r="W291" s="58"/>
      <c r="X291" s="157">
        <f t="shared" si="106"/>
        <v>43377</v>
      </c>
      <c r="Y291" s="385">
        <f t="shared" si="107"/>
        <v>35.950000000000003</v>
      </c>
      <c r="Z291" s="385">
        <f t="shared" si="108"/>
        <v>36.003583493750568</v>
      </c>
      <c r="AA291" s="386">
        <f t="shared" si="109"/>
        <v>36.440041659825049</v>
      </c>
      <c r="AB291" s="197">
        <f t="shared" si="110"/>
        <v>43377</v>
      </c>
      <c r="AC291" s="425">
        <f t="shared" si="111"/>
        <v>1.1977433235365209E-2</v>
      </c>
      <c r="AD291" s="169">
        <f>(INDEX(Models!$BJ291:$BT291,,AH291)*(1-AF291)+INDEX(Models!$BJ291:$BT291,,AH291+1)*AF291-ERP_i)*AE291*Ramure*Pc/MaxiM</f>
        <v>2.9912356971570239E-4</v>
      </c>
      <c r="AE291" s="305">
        <f t="shared" si="112"/>
        <v>0.7</v>
      </c>
      <c r="AF291" s="177">
        <f t="shared" si="113"/>
        <v>0.79604346219526634</v>
      </c>
      <c r="AG291" s="810">
        <f t="shared" si="114"/>
        <v>-2</v>
      </c>
      <c r="AH291" s="176">
        <f t="shared" si="115"/>
        <v>4</v>
      </c>
      <c r="AI291" s="225">
        <f t="shared" si="116"/>
        <v>-1.2039565378047337</v>
      </c>
      <c r="AJ291" s="265" t="b">
        <f t="shared" si="117"/>
        <v>0</v>
      </c>
      <c r="AK291" s="265" t="b">
        <f t="shared" si="118"/>
        <v>0</v>
      </c>
      <c r="AL291" s="265"/>
      <c r="AM291" s="265"/>
      <c r="AN291" s="75"/>
    </row>
    <row r="292" spans="1:40" s="6" customFormat="1" ht="11.25" x14ac:dyDescent="0.2">
      <c r="A292" s="56">
        <f t="shared" si="119"/>
        <v>43378</v>
      </c>
      <c r="B292" s="616">
        <v>35.628</v>
      </c>
      <c r="C292" s="390"/>
      <c r="D292" s="393">
        <f t="shared" si="121"/>
        <v>35.681933923312961</v>
      </c>
      <c r="E292" s="385">
        <f t="shared" si="122"/>
        <v>36.12090691517443</v>
      </c>
      <c r="F292" s="385">
        <f>Wh_sa/(1-Pvg*MEDIAN((-Sdif+Wh/Env_an)/Csdif,0,1))</f>
        <v>36.130861278389162</v>
      </c>
      <c r="G292" s="110">
        <f t="shared" si="123"/>
        <v>0.9393530977480361</v>
      </c>
      <c r="I292" s="380">
        <f t="shared" si="97"/>
        <v>36.130861278389162</v>
      </c>
      <c r="J292" s="85">
        <v>2018</v>
      </c>
      <c r="K292" s="197">
        <f t="shared" si="98"/>
        <v>43378</v>
      </c>
      <c r="L292" s="436">
        <f t="shared" si="99"/>
        <v>1.5115190625283326E-3</v>
      </c>
      <c r="M292" s="855"/>
      <c r="N292" s="855"/>
      <c r="O292" s="324">
        <f t="shared" si="100"/>
        <v>1.2152878467097786E-2</v>
      </c>
      <c r="P292" s="169">
        <f>(INDEX(Models!$BJ292:$BT292,,T292)*(1-R292)+INDEX(Models!$BJ292:$BT292,,T292+1)*R292-ERP_i)*Q292*Ramure*Pc/MaxiM</f>
        <v>3.0163085318100344E-4</v>
      </c>
      <c r="Q292" s="305">
        <f t="shared" si="101"/>
        <v>0.7</v>
      </c>
      <c r="R292" s="177">
        <f t="shared" si="102"/>
        <v>0.79617841104645182</v>
      </c>
      <c r="S292" s="810">
        <f t="shared" si="120"/>
        <v>-2</v>
      </c>
      <c r="T292" s="176">
        <f t="shared" si="103"/>
        <v>4</v>
      </c>
      <c r="U292" s="251">
        <f t="shared" si="104"/>
        <v>-1.2038215889535482</v>
      </c>
      <c r="V292" s="383">
        <f t="shared" si="105"/>
        <v>37.927238591640062</v>
      </c>
      <c r="W292" s="58"/>
      <c r="X292" s="157">
        <f t="shared" si="106"/>
        <v>43378</v>
      </c>
      <c r="Y292" s="385">
        <f t="shared" si="107"/>
        <v>35.628</v>
      </c>
      <c r="Z292" s="385">
        <f t="shared" si="108"/>
        <v>35.681933923312961</v>
      </c>
      <c r="AA292" s="386">
        <f t="shared" si="109"/>
        <v>36.12090691517443</v>
      </c>
      <c r="AB292" s="197">
        <f t="shared" si="110"/>
        <v>43378</v>
      </c>
      <c r="AC292" s="425">
        <f t="shared" si="111"/>
        <v>1.2152878467097786E-2</v>
      </c>
      <c r="AD292" s="169">
        <f>(INDEX(Models!$BJ292:$BT292,,AH292)*(1-AF292)+INDEX(Models!$BJ292:$BT292,,AH292+1)*AF292-ERP_i)*AE292*Ramure*Pc/MaxiM</f>
        <v>3.0163085318100344E-4</v>
      </c>
      <c r="AE292" s="305">
        <f t="shared" si="112"/>
        <v>0.7</v>
      </c>
      <c r="AF292" s="177">
        <f t="shared" si="113"/>
        <v>0.79617841104645182</v>
      </c>
      <c r="AG292" s="810">
        <f t="shared" si="114"/>
        <v>-2</v>
      </c>
      <c r="AH292" s="176">
        <f t="shared" si="115"/>
        <v>4</v>
      </c>
      <c r="AI292" s="225">
        <f t="shared" si="116"/>
        <v>-1.2038215889535482</v>
      </c>
      <c r="AJ292" s="265" t="b">
        <f t="shared" si="117"/>
        <v>0</v>
      </c>
      <c r="AK292" s="265" t="b">
        <f t="shared" si="118"/>
        <v>0</v>
      </c>
      <c r="AL292" s="265"/>
      <c r="AM292" s="265"/>
      <c r="AN292" s="75"/>
    </row>
    <row r="293" spans="1:40" s="6" customFormat="1" ht="11.25" x14ac:dyDescent="0.2">
      <c r="A293" s="56">
        <f t="shared" si="119"/>
        <v>43379</v>
      </c>
      <c r="B293" s="616">
        <v>33.067999999999998</v>
      </c>
      <c r="C293" s="390"/>
      <c r="D293" s="393">
        <f t="shared" si="121"/>
        <v>33.118829300394154</v>
      </c>
      <c r="E293" s="385">
        <f t="shared" si="122"/>
        <v>33.532207704949258</v>
      </c>
      <c r="F293" s="385">
        <f t="shared" ref="F293:F324" si="124">Wh_sa/(1-Pvg*MEDIAN((-Sdif+Wh/Env_an)/Csdif,0,1))</f>
        <v>33.540700247739295</v>
      </c>
      <c r="G293" s="110">
        <f t="shared" si="123"/>
        <v>0.88131964255446715</v>
      </c>
      <c r="I293" s="380">
        <f t="shared" si="97"/>
        <v>33.540700247739295</v>
      </c>
      <c r="J293" s="85">
        <v>2018</v>
      </c>
      <c r="K293" s="197">
        <f t="shared" si="98"/>
        <v>43379</v>
      </c>
      <c r="L293" s="436">
        <f t="shared" si="99"/>
        <v>1.5347553481774856E-3</v>
      </c>
      <c r="M293" s="855"/>
      <c r="N293" s="855"/>
      <c r="O293" s="324">
        <f t="shared" si="100"/>
        <v>1.2327801622619941E-2</v>
      </c>
      <c r="P293" s="169">
        <f>(INDEX(Models!$BJ293:$BT293,,T293)*(1-R293)+INDEX(Models!$BJ293:$BT293,,T293+1)*R293-ERP_i)*Q293*Ramure*Pc/MaxiM</f>
        <v>3.0486995856949639E-4</v>
      </c>
      <c r="Q293" s="305">
        <f t="shared" si="101"/>
        <v>0.7</v>
      </c>
      <c r="R293" s="177">
        <f t="shared" si="102"/>
        <v>0.79630801270328311</v>
      </c>
      <c r="S293" s="810">
        <f t="shared" si="120"/>
        <v>-2</v>
      </c>
      <c r="T293" s="176">
        <f t="shared" si="103"/>
        <v>4</v>
      </c>
      <c r="U293" s="251">
        <f t="shared" si="104"/>
        <v>-1.2036919872967169</v>
      </c>
      <c r="V293" s="383">
        <f t="shared" si="105"/>
        <v>37.519067300261831</v>
      </c>
      <c r="W293" s="58"/>
      <c r="X293" s="157">
        <f t="shared" si="106"/>
        <v>43379</v>
      </c>
      <c r="Y293" s="385">
        <f t="shared" si="107"/>
        <v>33.067999999999998</v>
      </c>
      <c r="Z293" s="385">
        <f t="shared" si="108"/>
        <v>33.118829300394154</v>
      </c>
      <c r="AA293" s="386">
        <f t="shared" si="109"/>
        <v>33.532207704949258</v>
      </c>
      <c r="AB293" s="197">
        <f t="shared" si="110"/>
        <v>43379</v>
      </c>
      <c r="AC293" s="425">
        <f t="shared" si="111"/>
        <v>1.2327801622619941E-2</v>
      </c>
      <c r="AD293" s="169">
        <f>(INDEX(Models!$BJ293:$BT293,,AH293)*(1-AF293)+INDEX(Models!$BJ293:$BT293,,AH293+1)*AF293-ERP_i)*AE293*Ramure*Pc/MaxiM</f>
        <v>3.0486995856949639E-4</v>
      </c>
      <c r="AE293" s="305">
        <f t="shared" si="112"/>
        <v>0.7</v>
      </c>
      <c r="AF293" s="177">
        <f t="shared" si="113"/>
        <v>0.79630801270328311</v>
      </c>
      <c r="AG293" s="810">
        <f t="shared" si="114"/>
        <v>-2</v>
      </c>
      <c r="AH293" s="176">
        <f t="shared" si="115"/>
        <v>4</v>
      </c>
      <c r="AI293" s="225">
        <f t="shared" si="116"/>
        <v>-1.2036919872967169</v>
      </c>
      <c r="AJ293" s="265" t="b">
        <f t="shared" si="117"/>
        <v>0</v>
      </c>
      <c r="AK293" s="265" t="b">
        <f t="shared" si="118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9"/>
        <v>43380</v>
      </c>
      <c r="B294" s="616">
        <v>12.294</v>
      </c>
      <c r="C294" s="390"/>
      <c r="D294" s="393">
        <f t="shared" si="121"/>
        <v>12.313183830735797</v>
      </c>
      <c r="E294" s="385">
        <f t="shared" si="122"/>
        <v>12.469074627684344</v>
      </c>
      <c r="F294" s="385">
        <f t="shared" si="124"/>
        <v>12.469246622366361</v>
      </c>
      <c r="G294" s="110">
        <f t="shared" si="123"/>
        <v>0.33116412759452662</v>
      </c>
      <c r="I294" s="380">
        <f t="shared" si="97"/>
        <v>12.469246622366361</v>
      </c>
      <c r="J294" s="85">
        <v>2018</v>
      </c>
      <c r="K294" s="197">
        <f t="shared" si="98"/>
        <v>43380</v>
      </c>
      <c r="L294" s="436">
        <f t="shared" si="99"/>
        <v>1.5579910930844099E-3</v>
      </c>
      <c r="M294" s="855"/>
      <c r="N294" s="855"/>
      <c r="O294" s="324">
        <f t="shared" si="100"/>
        <v>1.2502194557600332E-2</v>
      </c>
      <c r="P294" s="169">
        <f>(INDEX(Models!$BJ294:$BT294,,T294)*(1-R294)+INDEX(Models!$BJ294:$BT294,,T294+1)*R294-ERP_i)*Q294*Ramure*Pc/MaxiM</f>
        <v>3.0885729193562552E-4</v>
      </c>
      <c r="Q294" s="305">
        <f t="shared" si="101"/>
        <v>0.7</v>
      </c>
      <c r="R294" s="177">
        <f t="shared" si="102"/>
        <v>0.7964324757325012</v>
      </c>
      <c r="S294" s="810">
        <f t="shared" si="120"/>
        <v>-2</v>
      </c>
      <c r="T294" s="176">
        <f t="shared" si="103"/>
        <v>4</v>
      </c>
      <c r="U294" s="251">
        <f t="shared" si="104"/>
        <v>-1.2035675242674988</v>
      </c>
      <c r="V294" s="383">
        <f t="shared" si="105"/>
        <v>37.112632111169376</v>
      </c>
      <c r="W294" s="58"/>
      <c r="X294" s="157">
        <f t="shared" si="106"/>
        <v>43380</v>
      </c>
      <c r="Y294" s="385">
        <f t="shared" si="107"/>
        <v>12.294</v>
      </c>
      <c r="Z294" s="385">
        <f t="shared" si="108"/>
        <v>12.313183830735797</v>
      </c>
      <c r="AA294" s="386">
        <f t="shared" si="109"/>
        <v>12.469074627684344</v>
      </c>
      <c r="AB294" s="197">
        <f t="shared" si="110"/>
        <v>43380</v>
      </c>
      <c r="AC294" s="425">
        <f t="shared" si="111"/>
        <v>1.2502194557600332E-2</v>
      </c>
      <c r="AD294" s="169">
        <f>(INDEX(Models!$BJ294:$BT294,,AH294)*(1-AF294)+INDEX(Models!$BJ294:$BT294,,AH294+1)*AF294-ERP_i)*AE294*Ramure*Pc/MaxiM</f>
        <v>3.0885729193562552E-4</v>
      </c>
      <c r="AE294" s="305">
        <f t="shared" si="112"/>
        <v>0.7</v>
      </c>
      <c r="AF294" s="177">
        <f t="shared" si="113"/>
        <v>0.7964324757325012</v>
      </c>
      <c r="AG294" s="810">
        <f t="shared" si="114"/>
        <v>-2</v>
      </c>
      <c r="AH294" s="176">
        <f t="shared" si="115"/>
        <v>4</v>
      </c>
      <c r="AI294" s="225">
        <f t="shared" si="116"/>
        <v>-1.2035675242674988</v>
      </c>
      <c r="AJ294" s="265" t="b">
        <f t="shared" si="117"/>
        <v>0</v>
      </c>
      <c r="AK294" s="265" t="b">
        <f t="shared" si="118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9"/>
        <v>43381</v>
      </c>
      <c r="B295" s="616">
        <v>12.217000000000001</v>
      </c>
      <c r="C295" s="390"/>
      <c r="D295" s="393">
        <f t="shared" si="121"/>
        <v>12.236348435929347</v>
      </c>
      <c r="E295" s="385">
        <f t="shared" si="122"/>
        <v>12.393448402108401</v>
      </c>
      <c r="F295" s="385">
        <f t="shared" si="124"/>
        <v>12.393630604418719</v>
      </c>
      <c r="G295" s="110">
        <f t="shared" si="123"/>
        <v>0.33271491555569677</v>
      </c>
      <c r="I295" s="380">
        <f t="shared" si="97"/>
        <v>12.393630604418719</v>
      </c>
      <c r="J295" s="85">
        <v>2018</v>
      </c>
      <c r="K295" s="197">
        <f t="shared" si="98"/>
        <v>43381</v>
      </c>
      <c r="L295" s="436">
        <f t="shared" si="99"/>
        <v>1.5812262972615398E-3</v>
      </c>
      <c r="M295" s="855"/>
      <c r="N295" s="855"/>
      <c r="O295" s="324">
        <f t="shared" si="100"/>
        <v>1.2676049561180052E-2</v>
      </c>
      <c r="P295" s="169">
        <f>(INDEX(Models!$BJ295:$BT295,,T295)*(1-R295)+INDEX(Models!$BJ295:$BT295,,T295+1)*R295-ERP_i)*Q295*Ramure*Pc/MaxiM</f>
        <v>3.1360929901214871E-4</v>
      </c>
      <c r="Q295" s="305">
        <f t="shared" si="101"/>
        <v>0.7</v>
      </c>
      <c r="R295" s="177">
        <f t="shared" si="102"/>
        <v>0.79655200082519029</v>
      </c>
      <c r="S295" s="810">
        <f t="shared" si="120"/>
        <v>-2</v>
      </c>
      <c r="T295" s="176">
        <f t="shared" si="103"/>
        <v>4</v>
      </c>
      <c r="U295" s="251">
        <f t="shared" si="104"/>
        <v>-1.2034479991748097</v>
      </c>
      <c r="V295" s="383">
        <f t="shared" si="105"/>
        <v>36.708147474309278</v>
      </c>
      <c r="W295" s="58"/>
      <c r="X295" s="157">
        <f t="shared" si="106"/>
        <v>43381</v>
      </c>
      <c r="Y295" s="385">
        <f t="shared" si="107"/>
        <v>12.217000000000001</v>
      </c>
      <c r="Z295" s="385">
        <f t="shared" si="108"/>
        <v>12.236348435929347</v>
      </c>
      <c r="AA295" s="386">
        <f t="shared" si="109"/>
        <v>12.393448402108401</v>
      </c>
      <c r="AB295" s="197">
        <f t="shared" si="110"/>
        <v>43381</v>
      </c>
      <c r="AC295" s="425">
        <f t="shared" si="111"/>
        <v>1.2676049561180052E-2</v>
      </c>
      <c r="AD295" s="169">
        <f>(INDEX(Models!$BJ295:$BT295,,AH295)*(1-AF295)+INDEX(Models!$BJ295:$BT295,,AH295+1)*AF295-ERP_i)*AE295*Ramure*Pc/MaxiM</f>
        <v>3.1360929901214871E-4</v>
      </c>
      <c r="AE295" s="305">
        <f t="shared" si="112"/>
        <v>0.7</v>
      </c>
      <c r="AF295" s="177">
        <f t="shared" si="113"/>
        <v>0.79655200082519029</v>
      </c>
      <c r="AG295" s="810">
        <f t="shared" si="114"/>
        <v>-2</v>
      </c>
      <c r="AH295" s="176">
        <f t="shared" si="115"/>
        <v>4</v>
      </c>
      <c r="AI295" s="225">
        <f t="shared" si="116"/>
        <v>-1.2034479991748097</v>
      </c>
      <c r="AJ295" s="265" t="b">
        <f t="shared" si="117"/>
        <v>0</v>
      </c>
      <c r="AK295" s="265" t="b">
        <f t="shared" si="118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9"/>
        <v>43382</v>
      </c>
      <c r="B296" s="616">
        <v>33.241999999999997</v>
      </c>
      <c r="C296" s="390"/>
      <c r="D296" s="393">
        <f t="shared" si="121"/>
        <v>33.295421203491784</v>
      </c>
      <c r="E296" s="385">
        <f t="shared" si="122"/>
        <v>33.728814868546316</v>
      </c>
      <c r="F296" s="385">
        <f t="shared" si="124"/>
        <v>33.738307636072044</v>
      </c>
      <c r="G296" s="110">
        <f t="shared" si="123"/>
        <v>0.91557598278562413</v>
      </c>
      <c r="I296" s="380">
        <f t="shared" si="97"/>
        <v>33.738307636072044</v>
      </c>
      <c r="J296" s="85">
        <v>2018</v>
      </c>
      <c r="K296" s="197">
        <f t="shared" si="98"/>
        <v>43382</v>
      </c>
      <c r="L296" s="436">
        <f t="shared" si="99"/>
        <v>1.6044609607216431E-3</v>
      </c>
      <c r="M296" s="855"/>
      <c r="N296" s="855"/>
      <c r="O296" s="324">
        <f t="shared" si="100"/>
        <v>1.2849359419938826E-2</v>
      </c>
      <c r="P296" s="169">
        <f>(INDEX(Models!$BJ296:$BT296,,T296)*(1-R296)+INDEX(Models!$BJ296:$BT296,,T296+1)*R296-ERP_i)*Q296*Ramure*Pc/MaxiM</f>
        <v>3.1993444723400755E-4</v>
      </c>
      <c r="Q296" s="305">
        <f t="shared" si="101"/>
        <v>0.7</v>
      </c>
      <c r="R296" s="177">
        <f t="shared" si="102"/>
        <v>0.79666678107372046</v>
      </c>
      <c r="S296" s="810">
        <f t="shared" si="120"/>
        <v>-2</v>
      </c>
      <c r="T296" s="176">
        <f t="shared" si="103"/>
        <v>4</v>
      </c>
      <c r="U296" s="251">
        <f t="shared" si="104"/>
        <v>-1.2033332189262795</v>
      </c>
      <c r="V296" s="383">
        <f t="shared" si="105"/>
        <v>36.305798893082212</v>
      </c>
      <c r="W296" s="58"/>
      <c r="X296" s="157">
        <f t="shared" si="106"/>
        <v>43382</v>
      </c>
      <c r="Y296" s="385">
        <f t="shared" si="107"/>
        <v>33.241999999999997</v>
      </c>
      <c r="Z296" s="385">
        <f t="shared" si="108"/>
        <v>33.295421203491784</v>
      </c>
      <c r="AA296" s="386">
        <f t="shared" si="109"/>
        <v>33.728814868546316</v>
      </c>
      <c r="AB296" s="197">
        <f t="shared" si="110"/>
        <v>43382</v>
      </c>
      <c r="AC296" s="425">
        <f t="shared" si="111"/>
        <v>1.2849359419938826E-2</v>
      </c>
      <c r="AD296" s="169">
        <f>(INDEX(Models!$BJ296:$BT296,,AH296)*(1-AF296)+INDEX(Models!$BJ296:$BT296,,AH296+1)*AF296-ERP_i)*AE296*Ramure*Pc/MaxiM</f>
        <v>3.1993444723400755E-4</v>
      </c>
      <c r="AE296" s="305">
        <f t="shared" si="112"/>
        <v>0.7</v>
      </c>
      <c r="AF296" s="177">
        <f t="shared" si="113"/>
        <v>0.79666678107372046</v>
      </c>
      <c r="AG296" s="810">
        <f t="shared" si="114"/>
        <v>-2</v>
      </c>
      <c r="AH296" s="176">
        <f t="shared" si="115"/>
        <v>4</v>
      </c>
      <c r="AI296" s="225">
        <f t="shared" si="116"/>
        <v>-1.2033332189262795</v>
      </c>
      <c r="AJ296" s="265" t="b">
        <f t="shared" si="117"/>
        <v>0</v>
      </c>
      <c r="AK296" s="265" t="b">
        <f t="shared" si="118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9"/>
        <v>43383</v>
      </c>
      <c r="B297" s="616">
        <v>18.212</v>
      </c>
      <c r="C297" s="390"/>
      <c r="D297" s="393">
        <f t="shared" si="121"/>
        <v>18.241691912239855</v>
      </c>
      <c r="E297" s="385">
        <f t="shared" ref="E297:E360" si="125">Wh_pvt/(1-Psa)</f>
        <v>18.482371525596228</v>
      </c>
      <c r="F297" s="385">
        <f t="shared" si="124"/>
        <v>18.484167146927827</v>
      </c>
      <c r="G297" s="110">
        <f t="shared" ref="G297:G360" si="126">+Wh_hp/MaxiM</f>
        <v>0.50709905571254277</v>
      </c>
      <c r="I297" s="380">
        <f t="shared" si="97"/>
        <v>18.484167146927827</v>
      </c>
      <c r="J297" s="85">
        <v>2018</v>
      </c>
      <c r="K297" s="197">
        <f t="shared" si="98"/>
        <v>43383</v>
      </c>
      <c r="L297" s="436">
        <f t="shared" si="99"/>
        <v>1.6276950834770432E-3</v>
      </c>
      <c r="M297" s="855"/>
      <c r="N297" s="855"/>
      <c r="O297" s="324">
        <f t="shared" si="100"/>
        <v>1.3022117482221131E-2</v>
      </c>
      <c r="P297" s="169">
        <f>(INDEX(Models!$BJ297:$BT297,,T297)*(1-R297)+INDEX(Models!$BJ297:$BT297,,T297+1)*R297-ERP_i)*Q297*Ramure*Pc/MaxiM</f>
        <v>3.2816262153781059E-4</v>
      </c>
      <c r="Q297" s="305">
        <f t="shared" si="101"/>
        <v>0.7</v>
      </c>
      <c r="R297" s="177">
        <f t="shared" si="102"/>
        <v>0.79677700224059311</v>
      </c>
      <c r="S297" s="810">
        <f t="shared" si="120"/>
        <v>-2</v>
      </c>
      <c r="T297" s="176">
        <f t="shared" si="103"/>
        <v>4</v>
      </c>
      <c r="U297" s="251">
        <f t="shared" si="104"/>
        <v>-1.2032229977594069</v>
      </c>
      <c r="V297" s="383">
        <f t="shared" si="105"/>
        <v>35.905790141912306</v>
      </c>
      <c r="W297" s="58"/>
      <c r="X297" s="157">
        <f t="shared" si="106"/>
        <v>43383</v>
      </c>
      <c r="Y297" s="385">
        <f t="shared" si="107"/>
        <v>18.212</v>
      </c>
      <c r="Z297" s="385">
        <f t="shared" si="108"/>
        <v>18.241691912239855</v>
      </c>
      <c r="AA297" s="386">
        <f t="shared" si="109"/>
        <v>18.482371525596228</v>
      </c>
      <c r="AB297" s="197">
        <f t="shared" si="110"/>
        <v>43383</v>
      </c>
      <c r="AC297" s="425">
        <f t="shared" si="111"/>
        <v>1.3022117482221131E-2</v>
      </c>
      <c r="AD297" s="169">
        <f>(INDEX(Models!$BJ297:$BT297,,AH297)*(1-AF297)+INDEX(Models!$BJ297:$BT297,,AH297+1)*AF297-ERP_i)*AE297*Ramure*Pc/MaxiM</f>
        <v>3.2816262153781059E-4</v>
      </c>
      <c r="AE297" s="305">
        <f t="shared" si="112"/>
        <v>0.7</v>
      </c>
      <c r="AF297" s="177">
        <f t="shared" si="113"/>
        <v>0.79677700224059311</v>
      </c>
      <c r="AG297" s="810">
        <f t="shared" si="114"/>
        <v>-2</v>
      </c>
      <c r="AH297" s="176">
        <f t="shared" si="115"/>
        <v>4</v>
      </c>
      <c r="AI297" s="225">
        <f t="shared" si="116"/>
        <v>-1.2032229977594069</v>
      </c>
      <c r="AJ297" s="265" t="b">
        <f t="shared" si="117"/>
        <v>0</v>
      </c>
      <c r="AK297" s="265" t="b">
        <f t="shared" si="118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9"/>
        <v>43384</v>
      </c>
      <c r="B298" s="616">
        <v>25.311</v>
      </c>
      <c r="C298" s="390"/>
      <c r="D298" s="393">
        <f t="shared" si="121"/>
        <v>25.352855756321425</v>
      </c>
      <c r="E298" s="385">
        <f t="shared" si="125"/>
        <v>25.691842083644282</v>
      </c>
      <c r="F298" s="385">
        <f t="shared" si="124"/>
        <v>25.696969434499717</v>
      </c>
      <c r="G298" s="110">
        <f t="shared" si="126"/>
        <v>0.71271958113939982</v>
      </c>
      <c r="I298" s="380">
        <f t="shared" si="97"/>
        <v>25.696969434499717</v>
      </c>
      <c r="J298" s="85">
        <v>2018</v>
      </c>
      <c r="K298" s="197">
        <f t="shared" si="98"/>
        <v>43384</v>
      </c>
      <c r="L298" s="436">
        <f t="shared" si="99"/>
        <v>1.6509286655405075E-3</v>
      </c>
      <c r="M298" s="855"/>
      <c r="N298" s="855"/>
      <c r="O298" s="324">
        <f t="shared" si="100"/>
        <v>1.3194317722303783E-2</v>
      </c>
      <c r="P298" s="169">
        <f>(INDEX(Models!$BJ298:$BT298,,T298)*(1-R298)+INDEX(Models!$BJ298:$BT298,,T298+1)*R298-ERP_i)*Q298*Ramure*Pc/MaxiM</f>
        <v>3.3833737098032683E-4</v>
      </c>
      <c r="Q298" s="305">
        <f t="shared" si="101"/>
        <v>0.7</v>
      </c>
      <c r="R298" s="177">
        <f t="shared" si="102"/>
        <v>0.79688284301928625</v>
      </c>
      <c r="S298" s="810">
        <f t="shared" si="120"/>
        <v>-2</v>
      </c>
      <c r="T298" s="176">
        <f t="shared" si="103"/>
        <v>4</v>
      </c>
      <c r="U298" s="251">
        <f t="shared" si="104"/>
        <v>-1.2031171569807138</v>
      </c>
      <c r="V298" s="383">
        <f t="shared" si="105"/>
        <v>35.508335464900526</v>
      </c>
      <c r="W298" s="58"/>
      <c r="X298" s="157">
        <f t="shared" si="106"/>
        <v>43384</v>
      </c>
      <c r="Y298" s="385">
        <f t="shared" si="107"/>
        <v>25.311</v>
      </c>
      <c r="Z298" s="385">
        <f t="shared" si="108"/>
        <v>25.352855756321425</v>
      </c>
      <c r="AA298" s="386">
        <f t="shared" si="109"/>
        <v>25.691842083644282</v>
      </c>
      <c r="AB298" s="197">
        <f t="shared" si="110"/>
        <v>43384</v>
      </c>
      <c r="AC298" s="425">
        <f t="shared" si="111"/>
        <v>1.3194317722303783E-2</v>
      </c>
      <c r="AD298" s="169">
        <f>(INDEX(Models!$BJ298:$BT298,,AH298)*(1-AF298)+INDEX(Models!$BJ298:$BT298,,AH298+1)*AF298-ERP_i)*AE298*Ramure*Pc/MaxiM</f>
        <v>3.3833737098032683E-4</v>
      </c>
      <c r="AE298" s="305">
        <f t="shared" si="112"/>
        <v>0.7</v>
      </c>
      <c r="AF298" s="177">
        <f t="shared" si="113"/>
        <v>0.79688284301928625</v>
      </c>
      <c r="AG298" s="810">
        <f t="shared" si="114"/>
        <v>-2</v>
      </c>
      <c r="AH298" s="176">
        <f t="shared" si="115"/>
        <v>4</v>
      </c>
      <c r="AI298" s="225">
        <f t="shared" si="116"/>
        <v>-1.2031171569807138</v>
      </c>
      <c r="AJ298" s="265" t="b">
        <f t="shared" si="117"/>
        <v>0</v>
      </c>
      <c r="AK298" s="265" t="b">
        <f t="shared" si="118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9"/>
        <v>43385</v>
      </c>
      <c r="B299" s="616">
        <v>31.262</v>
      </c>
      <c r="C299" s="390"/>
      <c r="D299" s="393">
        <f t="shared" si="121"/>
        <v>31.314425411898949</v>
      </c>
      <c r="E299" s="385">
        <f t="shared" si="125"/>
        <v>31.738642675434861</v>
      </c>
      <c r="F299" s="385">
        <f t="shared" si="124"/>
        <v>31.748026689972871</v>
      </c>
      <c r="G299" s="110">
        <f t="shared" si="126"/>
        <v>0.89026015211135345</v>
      </c>
      <c r="I299" s="380">
        <f t="shared" si="97"/>
        <v>31.748026689972871</v>
      </c>
      <c r="J299" s="85">
        <v>2018</v>
      </c>
      <c r="K299" s="197">
        <f t="shared" si="98"/>
        <v>43385</v>
      </c>
      <c r="L299" s="436">
        <f t="shared" si="99"/>
        <v>1.6741617069245818E-3</v>
      </c>
      <c r="M299" s="855"/>
      <c r="N299" s="855"/>
      <c r="O299" s="324">
        <f t="shared" si="100"/>
        <v>1.3365954803865985E-2</v>
      </c>
      <c r="P299" s="169">
        <f>(INDEX(Models!$BJ299:$BT299,,T299)*(1-R299)+INDEX(Models!$BJ299:$BT299,,T299+1)*R299-ERP_i)*Q299*Ramure*Pc/MaxiM</f>
        <v>3.5050201740089522E-4</v>
      </c>
      <c r="Q299" s="305">
        <f t="shared" si="101"/>
        <v>0.7</v>
      </c>
      <c r="R299" s="177">
        <f t="shared" si="102"/>
        <v>0.79698447528720751</v>
      </c>
      <c r="S299" s="810">
        <f t="shared" si="120"/>
        <v>-2</v>
      </c>
      <c r="T299" s="176">
        <f t="shared" si="103"/>
        <v>4</v>
      </c>
      <c r="U299" s="251">
        <f t="shared" si="104"/>
        <v>-1.2030155247127925</v>
      </c>
      <c r="V299" s="383">
        <f t="shared" si="105"/>
        <v>35.113648948482869</v>
      </c>
      <c r="W299" s="58"/>
      <c r="X299" s="157">
        <f t="shared" si="106"/>
        <v>43385</v>
      </c>
      <c r="Y299" s="385">
        <f t="shared" si="107"/>
        <v>31.262</v>
      </c>
      <c r="Z299" s="385">
        <f t="shared" si="108"/>
        <v>31.314425411898949</v>
      </c>
      <c r="AA299" s="386">
        <f t="shared" si="109"/>
        <v>31.738642675434861</v>
      </c>
      <c r="AB299" s="197">
        <f t="shared" si="110"/>
        <v>43385</v>
      </c>
      <c r="AC299" s="425">
        <f t="shared" si="111"/>
        <v>1.3365954803865985E-2</v>
      </c>
      <c r="AD299" s="169">
        <f>(INDEX(Models!$BJ299:$BT299,,AH299)*(1-AF299)+INDEX(Models!$BJ299:$BT299,,AH299+1)*AF299-ERP_i)*AE299*Ramure*Pc/MaxiM</f>
        <v>3.5050201740089522E-4</v>
      </c>
      <c r="AE299" s="305">
        <f t="shared" si="112"/>
        <v>0.7</v>
      </c>
      <c r="AF299" s="177">
        <f t="shared" si="113"/>
        <v>0.79698447528720751</v>
      </c>
      <c r="AG299" s="810">
        <f t="shared" si="114"/>
        <v>-2</v>
      </c>
      <c r="AH299" s="176">
        <f t="shared" si="115"/>
        <v>4</v>
      </c>
      <c r="AI299" s="225">
        <f t="shared" si="116"/>
        <v>-1.2030155247127925</v>
      </c>
      <c r="AJ299" s="265" t="b">
        <f t="shared" si="117"/>
        <v>0</v>
      </c>
      <c r="AK299" s="265" t="b">
        <f t="shared" si="118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9"/>
        <v>43386</v>
      </c>
      <c r="B300" s="616">
        <v>27.513000000000002</v>
      </c>
      <c r="C300" s="390"/>
      <c r="D300" s="393">
        <f t="shared" si="121"/>
        <v>27.559779810614423</v>
      </c>
      <c r="E300" s="385">
        <f t="shared" si="125"/>
        <v>27.937976878097651</v>
      </c>
      <c r="F300" s="385">
        <f t="shared" si="124"/>
        <v>27.945145646785555</v>
      </c>
      <c r="G300" s="110">
        <f t="shared" si="126"/>
        <v>0.79229500386502305</v>
      </c>
      <c r="I300" s="380">
        <f t="shared" si="97"/>
        <v>27.945145646785555</v>
      </c>
      <c r="J300" s="85">
        <v>2018</v>
      </c>
      <c r="K300" s="197">
        <f t="shared" si="98"/>
        <v>43386</v>
      </c>
      <c r="L300" s="436">
        <f t="shared" si="99"/>
        <v>1.6973942076418114E-3</v>
      </c>
      <c r="M300" s="855"/>
      <c r="N300" s="855"/>
      <c r="O300" s="324">
        <f t="shared" si="100"/>
        <v>1.3537024142207081E-2</v>
      </c>
      <c r="P300" s="169">
        <f>(INDEX(Models!$BJ300:$BT300,,T300)*(1-R300)+INDEX(Models!$BJ300:$BT300,,T300+1)*R300-ERP_i)*Q300*Ramure*Pc/MaxiM</f>
        <v>3.6469950651275027E-4</v>
      </c>
      <c r="Q300" s="305">
        <f t="shared" si="101"/>
        <v>0.7</v>
      </c>
      <c r="R300" s="177">
        <f t="shared" si="102"/>
        <v>0.79708206435088269</v>
      </c>
      <c r="S300" s="810">
        <f t="shared" si="120"/>
        <v>-2</v>
      </c>
      <c r="T300" s="176">
        <f t="shared" si="103"/>
        <v>4</v>
      </c>
      <c r="U300" s="251">
        <f t="shared" si="104"/>
        <v>-1.2029179356491173</v>
      </c>
      <c r="V300" s="383">
        <f t="shared" si="105"/>
        <v>34.72194452191107</v>
      </c>
      <c r="W300" s="58"/>
      <c r="X300" s="157">
        <f t="shared" si="106"/>
        <v>43386</v>
      </c>
      <c r="Y300" s="385">
        <f t="shared" si="107"/>
        <v>27.513000000000002</v>
      </c>
      <c r="Z300" s="385">
        <f t="shared" si="108"/>
        <v>27.559779810614423</v>
      </c>
      <c r="AA300" s="386">
        <f t="shared" si="109"/>
        <v>27.937976878097651</v>
      </c>
      <c r="AB300" s="197">
        <f t="shared" si="110"/>
        <v>43386</v>
      </c>
      <c r="AC300" s="425">
        <f t="shared" si="111"/>
        <v>1.3537024142207081E-2</v>
      </c>
      <c r="AD300" s="169">
        <f>(INDEX(Models!$BJ300:$BT300,,AH300)*(1-AF300)+INDEX(Models!$BJ300:$BT300,,AH300+1)*AF300-ERP_i)*AE300*Ramure*Pc/MaxiM</f>
        <v>3.6469950651275027E-4</v>
      </c>
      <c r="AE300" s="305">
        <f t="shared" si="112"/>
        <v>0.7</v>
      </c>
      <c r="AF300" s="177">
        <f t="shared" si="113"/>
        <v>0.79708206435088269</v>
      </c>
      <c r="AG300" s="810">
        <f t="shared" si="114"/>
        <v>-2</v>
      </c>
      <c r="AH300" s="176">
        <f t="shared" si="115"/>
        <v>4</v>
      </c>
      <c r="AI300" s="225">
        <f t="shared" si="116"/>
        <v>-1.2029179356491173</v>
      </c>
      <c r="AJ300" s="265" t="b">
        <f t="shared" si="117"/>
        <v>0</v>
      </c>
      <c r="AK300" s="265" t="b">
        <f t="shared" si="118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9"/>
        <v>43387</v>
      </c>
      <c r="B301" s="616">
        <v>30.286000000000001</v>
      </c>
      <c r="C301" s="390"/>
      <c r="D301" s="393">
        <f t="shared" si="121"/>
        <v>30.338200702008958</v>
      </c>
      <c r="E301" s="385">
        <f t="shared" si="125"/>
        <v>30.759841910627937</v>
      </c>
      <c r="F301" s="385">
        <f t="shared" si="124"/>
        <v>30.769590122587346</v>
      </c>
      <c r="G301" s="110">
        <f t="shared" si="126"/>
        <v>0.88205725466871632</v>
      </c>
      <c r="I301" s="380">
        <f t="shared" si="97"/>
        <v>30.769590122587346</v>
      </c>
      <c r="J301" s="85">
        <v>2018</v>
      </c>
      <c r="K301" s="197">
        <f t="shared" si="98"/>
        <v>43387</v>
      </c>
      <c r="L301" s="436">
        <f t="shared" si="99"/>
        <v>1.7206261677048529E-3</v>
      </c>
      <c r="M301" s="855"/>
      <c r="N301" s="855"/>
      <c r="O301" s="324">
        <f t="shared" si="100"/>
        <v>1.3707521964646271E-2</v>
      </c>
      <c r="P301" s="169">
        <f>(INDEX(Models!$BJ301:$BT301,,T301)*(1-R301)+INDEX(Models!$BJ301:$BT301,,T301+1)*R301-ERP_i)*Q301*Ramure*Pc/MaxiM</f>
        <v>3.8097225328246009E-4</v>
      </c>
      <c r="Q301" s="305">
        <f t="shared" si="101"/>
        <v>0.7</v>
      </c>
      <c r="R301" s="177">
        <f t="shared" si="102"/>
        <v>0.7971757691835073</v>
      </c>
      <c r="S301" s="810">
        <f t="shared" si="120"/>
        <v>-2</v>
      </c>
      <c r="T301" s="176">
        <f t="shared" si="103"/>
        <v>4</v>
      </c>
      <c r="U301" s="251">
        <f t="shared" si="104"/>
        <v>-1.2028242308164927</v>
      </c>
      <c r="V301" s="383">
        <f t="shared" si="105"/>
        <v>34.33343595608234</v>
      </c>
      <c r="W301" s="58"/>
      <c r="X301" s="157">
        <f t="shared" si="106"/>
        <v>43387</v>
      </c>
      <c r="Y301" s="385">
        <f t="shared" si="107"/>
        <v>30.286000000000001</v>
      </c>
      <c r="Z301" s="385">
        <f t="shared" si="108"/>
        <v>30.338200702008958</v>
      </c>
      <c r="AA301" s="386">
        <f t="shared" si="109"/>
        <v>30.759841910627937</v>
      </c>
      <c r="AB301" s="197">
        <f t="shared" si="110"/>
        <v>43387</v>
      </c>
      <c r="AC301" s="425">
        <f t="shared" si="111"/>
        <v>1.3707521964646271E-2</v>
      </c>
      <c r="AD301" s="169">
        <f>(INDEX(Models!$BJ301:$BT301,,AH301)*(1-AF301)+INDEX(Models!$BJ301:$BT301,,AH301+1)*AF301-ERP_i)*AE301*Ramure*Pc/MaxiM</f>
        <v>3.8097225328246009E-4</v>
      </c>
      <c r="AE301" s="305">
        <f t="shared" si="112"/>
        <v>0.7</v>
      </c>
      <c r="AF301" s="177">
        <f t="shared" si="113"/>
        <v>0.7971757691835073</v>
      </c>
      <c r="AG301" s="810">
        <f t="shared" si="114"/>
        <v>-2</v>
      </c>
      <c r="AH301" s="176">
        <f t="shared" si="115"/>
        <v>4</v>
      </c>
      <c r="AI301" s="225">
        <f t="shared" si="116"/>
        <v>-1.2028242308164927</v>
      </c>
      <c r="AJ301" s="265" t="b">
        <f t="shared" si="117"/>
        <v>0</v>
      </c>
      <c r="AK301" s="265" t="b">
        <f t="shared" si="118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9"/>
        <v>43388</v>
      </c>
      <c r="B302" s="616">
        <v>10.467000000000001</v>
      </c>
      <c r="C302" s="390"/>
      <c r="D302" s="393">
        <f t="shared" si="121"/>
        <v>10.485284843527566</v>
      </c>
      <c r="E302" s="385">
        <f t="shared" si="125"/>
        <v>10.632841520845382</v>
      </c>
      <c r="F302" s="385">
        <f t="shared" si="124"/>
        <v>10.632892000735561</v>
      </c>
      <c r="G302" s="110">
        <f t="shared" si="126"/>
        <v>0.30819976814059058</v>
      </c>
      <c r="I302" s="380">
        <f t="shared" si="97"/>
        <v>10.632892000735561</v>
      </c>
      <c r="J302" s="85">
        <v>2018</v>
      </c>
      <c r="K302" s="197">
        <f t="shared" si="98"/>
        <v>43388</v>
      </c>
      <c r="L302" s="436">
        <f t="shared" si="99"/>
        <v>1.7438575871262518E-3</v>
      </c>
      <c r="M302" s="855"/>
      <c r="N302" s="855"/>
      <c r="O302" s="324">
        <f t="shared" si="100"/>
        <v>1.3877445368534467E-2</v>
      </c>
      <c r="P302" s="169">
        <f>(INDEX(Models!$BJ302:$BT302,,T302)*(1-R302)+INDEX(Models!$BJ302:$BT302,,T302+1)*R302-ERP_i)*Q302*Ramure*Pc/MaxiM</f>
        <v>3.9936198174631818E-4</v>
      </c>
      <c r="Q302" s="305">
        <f t="shared" si="101"/>
        <v>0.7</v>
      </c>
      <c r="R302" s="177">
        <f t="shared" si="102"/>
        <v>0.79726574265500005</v>
      </c>
      <c r="S302" s="810">
        <f t="shared" si="120"/>
        <v>-2</v>
      </c>
      <c r="T302" s="176">
        <f t="shared" si="103"/>
        <v>4</v>
      </c>
      <c r="U302" s="251">
        <f t="shared" si="104"/>
        <v>-1.2027342573449999</v>
      </c>
      <c r="V302" s="383">
        <f t="shared" si="105"/>
        <v>33.948336865941705</v>
      </c>
      <c r="W302" s="58"/>
      <c r="X302" s="157">
        <f t="shared" si="106"/>
        <v>43388</v>
      </c>
      <c r="Y302" s="385">
        <f t="shared" si="107"/>
        <v>10.467000000000001</v>
      </c>
      <c r="Z302" s="385">
        <f t="shared" si="108"/>
        <v>10.485284843527566</v>
      </c>
      <c r="AA302" s="386">
        <f t="shared" si="109"/>
        <v>10.632841520845382</v>
      </c>
      <c r="AB302" s="197">
        <f t="shared" si="110"/>
        <v>43388</v>
      </c>
      <c r="AC302" s="425">
        <f t="shared" si="111"/>
        <v>1.3877445368534467E-2</v>
      </c>
      <c r="AD302" s="169">
        <f>(INDEX(Models!$BJ302:$BT302,,AH302)*(1-AF302)+INDEX(Models!$BJ302:$BT302,,AH302+1)*AF302-ERP_i)*AE302*Ramure*Pc/MaxiM</f>
        <v>3.9936198174631818E-4</v>
      </c>
      <c r="AE302" s="305">
        <f t="shared" si="112"/>
        <v>0.7</v>
      </c>
      <c r="AF302" s="177">
        <f t="shared" si="113"/>
        <v>0.79726574265500005</v>
      </c>
      <c r="AG302" s="810">
        <f t="shared" si="114"/>
        <v>-2</v>
      </c>
      <c r="AH302" s="176">
        <f t="shared" si="115"/>
        <v>4</v>
      </c>
      <c r="AI302" s="225">
        <f t="shared" si="116"/>
        <v>-1.2027342573449999</v>
      </c>
      <c r="AJ302" s="265" t="b">
        <f t="shared" si="117"/>
        <v>0</v>
      </c>
      <c r="AK302" s="265" t="b">
        <f t="shared" si="118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9"/>
        <v>43389</v>
      </c>
      <c r="B303" s="616">
        <v>17.056999999999999</v>
      </c>
      <c r="C303" s="390"/>
      <c r="D303" s="393">
        <f t="shared" si="121"/>
        <v>17.087194584465113</v>
      </c>
      <c r="E303" s="385">
        <f t="shared" si="125"/>
        <v>17.330634407740334</v>
      </c>
      <c r="F303" s="385">
        <f t="shared" si="124"/>
        <v>17.332798754122535</v>
      </c>
      <c r="G303" s="110">
        <f t="shared" si="126"/>
        <v>0.5080081879715409</v>
      </c>
      <c r="I303" s="380">
        <f t="shared" si="97"/>
        <v>17.332798754122535</v>
      </c>
      <c r="J303" s="85">
        <v>2018</v>
      </c>
      <c r="K303" s="197">
        <f t="shared" si="98"/>
        <v>43389</v>
      </c>
      <c r="L303" s="436">
        <f t="shared" si="99"/>
        <v>1.7670884659185537E-3</v>
      </c>
      <c r="M303" s="855"/>
      <c r="N303" s="855"/>
      <c r="O303" s="324">
        <f t="shared" si="100"/>
        <v>1.4046792376307548E-2</v>
      </c>
      <c r="P303" s="169">
        <f>(INDEX(Models!$BJ303:$BT303,,T303)*(1-R303)+INDEX(Models!$BJ303:$BT303,,T303+1)*R303-ERP_i)*Q303*Ramure*Pc/MaxiM</f>
        <v>4.1991628724014123E-4</v>
      </c>
      <c r="Q303" s="305">
        <f t="shared" si="101"/>
        <v>0.7</v>
      </c>
      <c r="R303" s="177">
        <f t="shared" si="102"/>
        <v>0.79735213175470654</v>
      </c>
      <c r="S303" s="810">
        <f t="shared" si="120"/>
        <v>-2</v>
      </c>
      <c r="T303" s="176">
        <f t="shared" si="103"/>
        <v>4</v>
      </c>
      <c r="U303" s="251">
        <f t="shared" si="104"/>
        <v>-1.2026478682452935</v>
      </c>
      <c r="V303" s="383">
        <f t="shared" si="105"/>
        <v>33.566322690332242</v>
      </c>
      <c r="W303" s="58"/>
      <c r="X303" s="157">
        <f t="shared" si="106"/>
        <v>43389</v>
      </c>
      <c r="Y303" s="385">
        <f t="shared" si="107"/>
        <v>17.056999999999999</v>
      </c>
      <c r="Z303" s="385">
        <f t="shared" si="108"/>
        <v>17.087194584465113</v>
      </c>
      <c r="AA303" s="386">
        <f t="shared" si="109"/>
        <v>17.330634407740334</v>
      </c>
      <c r="AB303" s="197">
        <f t="shared" si="110"/>
        <v>43389</v>
      </c>
      <c r="AC303" s="425">
        <f t="shared" si="111"/>
        <v>1.4046792376307548E-2</v>
      </c>
      <c r="AD303" s="169">
        <f>(INDEX(Models!$BJ303:$BT303,,AH303)*(1-AF303)+INDEX(Models!$BJ303:$BT303,,AH303+1)*AF303-ERP_i)*AE303*Ramure*Pc/MaxiM</f>
        <v>4.1991628724014123E-4</v>
      </c>
      <c r="AE303" s="305">
        <f t="shared" si="112"/>
        <v>0.7</v>
      </c>
      <c r="AF303" s="177">
        <f t="shared" si="113"/>
        <v>0.79735213175470654</v>
      </c>
      <c r="AG303" s="810">
        <f t="shared" si="114"/>
        <v>-2</v>
      </c>
      <c r="AH303" s="176">
        <f t="shared" si="115"/>
        <v>4</v>
      </c>
      <c r="AI303" s="225">
        <f t="shared" si="116"/>
        <v>-1.2026478682452935</v>
      </c>
      <c r="AJ303" s="265" t="b">
        <f t="shared" si="117"/>
        <v>0</v>
      </c>
      <c r="AK303" s="265" t="b">
        <f t="shared" si="118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9"/>
        <v>43390</v>
      </c>
      <c r="B304" s="616">
        <v>21.744</v>
      </c>
      <c r="C304" s="390"/>
      <c r="D304" s="393">
        <f t="shared" si="121"/>
        <v>21.782998511845317</v>
      </c>
      <c r="E304" s="385">
        <f t="shared" si="125"/>
        <v>22.097121512440072</v>
      </c>
      <c r="F304" s="385">
        <f t="shared" si="124"/>
        <v>22.10206989722602</v>
      </c>
      <c r="G304" s="110">
        <f t="shared" si="126"/>
        <v>0.65505439119967313</v>
      </c>
      <c r="I304" s="380">
        <f t="shared" si="97"/>
        <v>22.10206989722602</v>
      </c>
      <c r="J304" s="85">
        <v>2018</v>
      </c>
      <c r="K304" s="197">
        <f t="shared" si="98"/>
        <v>43390</v>
      </c>
      <c r="L304" s="436">
        <f t="shared" si="99"/>
        <v>1.7903188040944151E-3</v>
      </c>
      <c r="M304" s="855"/>
      <c r="N304" s="855"/>
      <c r="O304" s="324">
        <f t="shared" si="100"/>
        <v>1.4215561987017752E-2</v>
      </c>
      <c r="P304" s="169">
        <f>(INDEX(Models!$BJ304:$BT304,,T304)*(1-R304)+INDEX(Models!$BJ304:$BT304,,T304+1)*R304-ERP_i)*Q304*Ramure*Pc/MaxiM</f>
        <v>4.4122436262149109E-4</v>
      </c>
      <c r="Q304" s="305">
        <f t="shared" si="101"/>
        <v>0.7</v>
      </c>
      <c r="R304" s="177">
        <f t="shared" si="102"/>
        <v>0.79743507780690237</v>
      </c>
      <c r="S304" s="810">
        <f t="shared" si="120"/>
        <v>-2</v>
      </c>
      <c r="T304" s="176">
        <f t="shared" si="103"/>
        <v>4</v>
      </c>
      <c r="U304" s="251">
        <f t="shared" si="104"/>
        <v>-1.2025649221930976</v>
      </c>
      <c r="V304" s="383">
        <f t="shared" si="105"/>
        <v>33.186974194090695</v>
      </c>
      <c r="W304" s="58"/>
      <c r="X304" s="157">
        <f t="shared" si="106"/>
        <v>43390</v>
      </c>
      <c r="Y304" s="385">
        <f t="shared" si="107"/>
        <v>21.744</v>
      </c>
      <c r="Z304" s="385">
        <f t="shared" si="108"/>
        <v>21.782998511845317</v>
      </c>
      <c r="AA304" s="386">
        <f t="shared" si="109"/>
        <v>22.097121512440072</v>
      </c>
      <c r="AB304" s="197">
        <f t="shared" si="110"/>
        <v>43390</v>
      </c>
      <c r="AC304" s="425">
        <f t="shared" si="111"/>
        <v>1.4215561987017752E-2</v>
      </c>
      <c r="AD304" s="169">
        <f>(INDEX(Models!$BJ304:$BT304,,AH304)*(1-AF304)+INDEX(Models!$BJ304:$BT304,,AH304+1)*AF304-ERP_i)*AE304*Ramure*Pc/MaxiM</f>
        <v>4.4122436262149109E-4</v>
      </c>
      <c r="AE304" s="305">
        <f t="shared" si="112"/>
        <v>0.7</v>
      </c>
      <c r="AF304" s="177">
        <f t="shared" si="113"/>
        <v>0.79743507780690237</v>
      </c>
      <c r="AG304" s="810">
        <f t="shared" si="114"/>
        <v>-2</v>
      </c>
      <c r="AH304" s="176">
        <f t="shared" si="115"/>
        <v>4</v>
      </c>
      <c r="AI304" s="225">
        <f t="shared" si="116"/>
        <v>-1.2025649221930976</v>
      </c>
      <c r="AJ304" s="265" t="b">
        <f t="shared" si="117"/>
        <v>0</v>
      </c>
      <c r="AK304" s="265" t="b">
        <f t="shared" si="118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9"/>
        <v>43391</v>
      </c>
      <c r="B305" s="616">
        <v>10.292999999999999</v>
      </c>
      <c r="C305" s="390"/>
      <c r="D305" s="393">
        <f t="shared" si="121"/>
        <v>10.311700770513164</v>
      </c>
      <c r="E305" s="385">
        <f t="shared" si="125"/>
        <v>10.462186286704645</v>
      </c>
      <c r="F305" s="385">
        <f t="shared" si="124"/>
        <v>10.462281009834356</v>
      </c>
      <c r="G305" s="110">
        <f t="shared" si="126"/>
        <v>0.31357005878394156</v>
      </c>
      <c r="I305" s="380">
        <f t="shared" si="97"/>
        <v>10.462281009834356</v>
      </c>
      <c r="J305" s="85">
        <v>2018</v>
      </c>
      <c r="K305" s="197">
        <f t="shared" si="98"/>
        <v>43391</v>
      </c>
      <c r="L305" s="436">
        <f t="shared" si="99"/>
        <v>1.8135486016662705E-3</v>
      </c>
      <c r="M305" s="855"/>
      <c r="N305" s="855"/>
      <c r="O305" s="324">
        <f t="shared" si="100"/>
        <v>1.438375422379134E-2</v>
      </c>
      <c r="P305" s="169">
        <f>(INDEX(Models!$BJ305:$BT305,,T305)*(1-R305)+INDEX(Models!$BJ305:$BT305,,T305+1)*R305-ERP_i)*Q305*Ramure*Pc/MaxiM</f>
        <v>4.6218953357990964E-4</v>
      </c>
      <c r="Q305" s="305">
        <f t="shared" si="101"/>
        <v>0.7</v>
      </c>
      <c r="R305" s="177">
        <f t="shared" si="102"/>
        <v>0.79751471667925489</v>
      </c>
      <c r="S305" s="810">
        <f t="shared" si="120"/>
        <v>-2</v>
      </c>
      <c r="T305" s="176">
        <f t="shared" si="103"/>
        <v>4</v>
      </c>
      <c r="U305" s="251">
        <f t="shared" si="104"/>
        <v>-1.2024852833207451</v>
      </c>
      <c r="V305" s="383">
        <f t="shared" si="105"/>
        <v>32.810325932582593</v>
      </c>
      <c r="W305" s="58"/>
      <c r="X305" s="157">
        <f t="shared" si="106"/>
        <v>43391</v>
      </c>
      <c r="Y305" s="385">
        <f t="shared" si="107"/>
        <v>10.292999999999999</v>
      </c>
      <c r="Z305" s="385">
        <f t="shared" si="108"/>
        <v>10.311700770513164</v>
      </c>
      <c r="AA305" s="386">
        <f t="shared" si="109"/>
        <v>10.462186286704645</v>
      </c>
      <c r="AB305" s="197">
        <f t="shared" si="110"/>
        <v>43391</v>
      </c>
      <c r="AC305" s="425">
        <f t="shared" si="111"/>
        <v>1.438375422379134E-2</v>
      </c>
      <c r="AD305" s="169">
        <f>(INDEX(Models!$BJ305:$BT305,,AH305)*(1-AF305)+INDEX(Models!$BJ305:$BT305,,AH305+1)*AF305-ERP_i)*AE305*Ramure*Pc/MaxiM</f>
        <v>4.6218953357990964E-4</v>
      </c>
      <c r="AE305" s="305">
        <f t="shared" si="112"/>
        <v>0.7</v>
      </c>
      <c r="AF305" s="177">
        <f t="shared" si="113"/>
        <v>0.79751471667925489</v>
      </c>
      <c r="AG305" s="810">
        <f t="shared" si="114"/>
        <v>-2</v>
      </c>
      <c r="AH305" s="176">
        <f t="shared" si="115"/>
        <v>4</v>
      </c>
      <c r="AI305" s="225">
        <f t="shared" si="116"/>
        <v>-1.2024852833207451</v>
      </c>
      <c r="AJ305" s="265" t="b">
        <f t="shared" si="117"/>
        <v>0</v>
      </c>
      <c r="AK305" s="265" t="b">
        <f t="shared" si="118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9"/>
        <v>43392</v>
      </c>
      <c r="B306" s="616">
        <v>22.702999999999999</v>
      </c>
      <c r="C306" s="390"/>
      <c r="D306" s="393">
        <f t="shared" si="121"/>
        <v>22.744777102982617</v>
      </c>
      <c r="E306" s="385">
        <f t="shared" si="125"/>
        <v>23.080631921991174</v>
      </c>
      <c r="F306" s="385">
        <f t="shared" si="124"/>
        <v>23.087000052216265</v>
      </c>
      <c r="G306" s="110">
        <f t="shared" si="126"/>
        <v>0.6997791677314652</v>
      </c>
      <c r="I306" s="380">
        <f t="shared" si="97"/>
        <v>23.087000052216265</v>
      </c>
      <c r="J306" s="85">
        <v>2018</v>
      </c>
      <c r="K306" s="197">
        <f t="shared" si="98"/>
        <v>43392</v>
      </c>
      <c r="L306" s="436">
        <f t="shared" si="99"/>
        <v>1.8367778586468875E-3</v>
      </c>
      <c r="M306" s="855"/>
      <c r="N306" s="855"/>
      <c r="O306" s="324">
        <f t="shared" si="100"/>
        <v>1.4551370176678475E-2</v>
      </c>
      <c r="P306" s="169">
        <f>(INDEX(Models!$BJ306:$BT306,,T306)*(1-R306)+INDEX(Models!$BJ306:$BT306,,T306+1)*R306-ERP_i)*Q306*Ramure*Pc/MaxiM</f>
        <v>4.8279740905529753E-4</v>
      </c>
      <c r="Q306" s="305">
        <f t="shared" si="101"/>
        <v>0.7</v>
      </c>
      <c r="R306" s="177">
        <f t="shared" si="102"/>
        <v>0.79759117898439902</v>
      </c>
      <c r="S306" s="810">
        <f t="shared" si="120"/>
        <v>-2</v>
      </c>
      <c r="T306" s="176">
        <f t="shared" si="103"/>
        <v>4</v>
      </c>
      <c r="U306" s="251">
        <f t="shared" si="104"/>
        <v>-1.202408821015601</v>
      </c>
      <c r="V306" s="383">
        <f t="shared" si="105"/>
        <v>32.43637566171234</v>
      </c>
      <c r="W306" s="58"/>
      <c r="X306" s="157">
        <f t="shared" si="106"/>
        <v>43392</v>
      </c>
      <c r="Y306" s="385">
        <f t="shared" si="107"/>
        <v>22.702999999999999</v>
      </c>
      <c r="Z306" s="385">
        <f t="shared" si="108"/>
        <v>22.744777102982617</v>
      </c>
      <c r="AA306" s="386">
        <f t="shared" si="109"/>
        <v>23.080631921991174</v>
      </c>
      <c r="AB306" s="197">
        <f t="shared" si="110"/>
        <v>43392</v>
      </c>
      <c r="AC306" s="425">
        <f t="shared" si="111"/>
        <v>1.4551370176678475E-2</v>
      </c>
      <c r="AD306" s="169">
        <f>(INDEX(Models!$BJ306:$BT306,,AH306)*(1-AF306)+INDEX(Models!$BJ306:$BT306,,AH306+1)*AF306-ERP_i)*AE306*Ramure*Pc/MaxiM</f>
        <v>4.8279740905529753E-4</v>
      </c>
      <c r="AE306" s="305">
        <f t="shared" si="112"/>
        <v>0.7</v>
      </c>
      <c r="AF306" s="177">
        <f t="shared" si="113"/>
        <v>0.79759117898439902</v>
      </c>
      <c r="AG306" s="810">
        <f t="shared" si="114"/>
        <v>-2</v>
      </c>
      <c r="AH306" s="176">
        <f t="shared" si="115"/>
        <v>4</v>
      </c>
      <c r="AI306" s="225">
        <f t="shared" si="116"/>
        <v>-1.202408821015601</v>
      </c>
      <c r="AJ306" s="265" t="b">
        <f t="shared" si="117"/>
        <v>0</v>
      </c>
      <c r="AK306" s="265" t="b">
        <f t="shared" si="118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9"/>
        <v>43393</v>
      </c>
      <c r="B307" s="616">
        <v>9.7309999999999999</v>
      </c>
      <c r="C307" s="390"/>
      <c r="D307" s="393">
        <f t="shared" si="121"/>
        <v>9.7491334523223472</v>
      </c>
      <c r="E307" s="385">
        <f t="shared" si="125"/>
        <v>9.8947687356174914</v>
      </c>
      <c r="F307" s="385">
        <f t="shared" si="124"/>
        <v>9.8947934532220128</v>
      </c>
      <c r="G307" s="110">
        <f t="shared" si="126"/>
        <v>0.30332426460768036</v>
      </c>
      <c r="I307" s="380">
        <f t="shared" si="97"/>
        <v>9.8947934532220128</v>
      </c>
      <c r="J307" s="85">
        <v>2018</v>
      </c>
      <c r="K307" s="197">
        <f t="shared" si="98"/>
        <v>43393</v>
      </c>
      <c r="L307" s="436">
        <f t="shared" si="99"/>
        <v>1.8600065750488115E-3</v>
      </c>
      <c r="M307" s="855"/>
      <c r="N307" s="855"/>
      <c r="O307" s="324">
        <f t="shared" si="100"/>
        <v>1.4718412040385733E-2</v>
      </c>
      <c r="P307" s="169">
        <f>(INDEX(Models!$BJ307:$BT307,,T307)*(1-R307)+INDEX(Models!$BJ307:$BT307,,T307+1)*R307-ERP_i)*Q307*Ramure*Pc/MaxiM</f>
        <v>5.0303385991773972E-4</v>
      </c>
      <c r="Q307" s="305">
        <f t="shared" si="101"/>
        <v>0.7</v>
      </c>
      <c r="R307" s="177">
        <f t="shared" si="102"/>
        <v>0.79766459027479364</v>
      </c>
      <c r="S307" s="810">
        <f t="shared" si="120"/>
        <v>-2</v>
      </c>
      <c r="T307" s="176">
        <f t="shared" si="103"/>
        <v>4</v>
      </c>
      <c r="U307" s="251">
        <f t="shared" si="104"/>
        <v>-1.2023354097252064</v>
      </c>
      <c r="V307" s="383">
        <f t="shared" si="105"/>
        <v>32.065121088691399</v>
      </c>
      <c r="W307" s="58"/>
      <c r="X307" s="157">
        <f t="shared" si="106"/>
        <v>43393</v>
      </c>
      <c r="Y307" s="385">
        <f t="shared" si="107"/>
        <v>9.7309999999999999</v>
      </c>
      <c r="Z307" s="385">
        <f t="shared" si="108"/>
        <v>9.7491334523223472</v>
      </c>
      <c r="AA307" s="386">
        <f t="shared" si="109"/>
        <v>9.8947687356174914</v>
      </c>
      <c r="AB307" s="197">
        <f t="shared" si="110"/>
        <v>43393</v>
      </c>
      <c r="AC307" s="425">
        <f t="shared" si="111"/>
        <v>1.4718412040385733E-2</v>
      </c>
      <c r="AD307" s="169">
        <f>(INDEX(Models!$BJ307:$BT307,,AH307)*(1-AF307)+INDEX(Models!$BJ307:$BT307,,AH307+1)*AF307-ERP_i)*AE307*Ramure*Pc/MaxiM</f>
        <v>5.0303385991773972E-4</v>
      </c>
      <c r="AE307" s="305">
        <f t="shared" si="112"/>
        <v>0.7</v>
      </c>
      <c r="AF307" s="177">
        <f t="shared" si="113"/>
        <v>0.79766459027479364</v>
      </c>
      <c r="AG307" s="810">
        <f t="shared" si="114"/>
        <v>-2</v>
      </c>
      <c r="AH307" s="176">
        <f t="shared" si="115"/>
        <v>4</v>
      </c>
      <c r="AI307" s="225">
        <f t="shared" si="116"/>
        <v>-1.2023354097252064</v>
      </c>
      <c r="AJ307" s="265" t="b">
        <f t="shared" si="117"/>
        <v>0</v>
      </c>
      <c r="AK307" s="265" t="b">
        <f t="shared" si="118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9"/>
        <v>43394</v>
      </c>
      <c r="B308" s="616">
        <v>17.373000000000001</v>
      </c>
      <c r="C308" s="390"/>
      <c r="D308" s="393">
        <f t="shared" si="121"/>
        <v>17.405779168195767</v>
      </c>
      <c r="E308" s="385">
        <f t="shared" si="125"/>
        <v>17.668776846901892</v>
      </c>
      <c r="F308" s="385">
        <f t="shared" si="124"/>
        <v>17.672051975187159</v>
      </c>
      <c r="G308" s="110">
        <f t="shared" si="126"/>
        <v>0.54791859453153779</v>
      </c>
      <c r="I308" s="380">
        <f t="shared" si="97"/>
        <v>17.672051975187159</v>
      </c>
      <c r="J308" s="85">
        <v>2018</v>
      </c>
      <c r="K308" s="197">
        <f t="shared" si="98"/>
        <v>43394</v>
      </c>
      <c r="L308" s="436">
        <f t="shared" si="99"/>
        <v>1.8832347508844771E-3</v>
      </c>
      <c r="M308" s="855"/>
      <c r="N308" s="855"/>
      <c r="O308" s="324">
        <f t="shared" si="100"/>
        <v>1.4884883146409813E-2</v>
      </c>
      <c r="P308" s="169">
        <f>(INDEX(Models!$BJ308:$BT308,,T308)*(1-R308)+INDEX(Models!$BJ308:$BT308,,T308+1)*R308-ERP_i)*Q308*Ramure*Pc/MaxiM</f>
        <v>5.2288505715290064E-4</v>
      </c>
      <c r="Q308" s="305">
        <f t="shared" si="101"/>
        <v>0.7</v>
      </c>
      <c r="R308" s="177">
        <f t="shared" si="102"/>
        <v>0.79773507123102183</v>
      </c>
      <c r="S308" s="810">
        <f t="shared" si="120"/>
        <v>-2</v>
      </c>
      <c r="T308" s="176">
        <f t="shared" si="103"/>
        <v>4</v>
      </c>
      <c r="U308" s="251">
        <f t="shared" si="104"/>
        <v>-1.2022649287689782</v>
      </c>
      <c r="V308" s="383">
        <f t="shared" si="105"/>
        <v>31.696559871742082</v>
      </c>
      <c r="W308" s="58"/>
      <c r="X308" s="157">
        <f t="shared" si="106"/>
        <v>43394</v>
      </c>
      <c r="Y308" s="385">
        <f t="shared" si="107"/>
        <v>17.373000000000001</v>
      </c>
      <c r="Z308" s="385">
        <f t="shared" si="108"/>
        <v>17.405779168195767</v>
      </c>
      <c r="AA308" s="386">
        <f t="shared" si="109"/>
        <v>17.668776846901892</v>
      </c>
      <c r="AB308" s="197">
        <f t="shared" si="110"/>
        <v>43394</v>
      </c>
      <c r="AC308" s="425">
        <f t="shared" si="111"/>
        <v>1.4884883146409813E-2</v>
      </c>
      <c r="AD308" s="169">
        <f>(INDEX(Models!$BJ308:$BT308,,AH308)*(1-AF308)+INDEX(Models!$BJ308:$BT308,,AH308+1)*AF308-ERP_i)*AE308*Ramure*Pc/MaxiM</f>
        <v>5.2288505715290064E-4</v>
      </c>
      <c r="AE308" s="305">
        <f t="shared" si="112"/>
        <v>0.7</v>
      </c>
      <c r="AF308" s="177">
        <f t="shared" si="113"/>
        <v>0.79773507123102183</v>
      </c>
      <c r="AG308" s="810">
        <f t="shared" si="114"/>
        <v>-2</v>
      </c>
      <c r="AH308" s="176">
        <f t="shared" si="115"/>
        <v>4</v>
      </c>
      <c r="AI308" s="225">
        <f t="shared" si="116"/>
        <v>-1.2022649287689782</v>
      </c>
      <c r="AJ308" s="265" t="b">
        <f t="shared" si="117"/>
        <v>0</v>
      </c>
      <c r="AK308" s="265" t="b">
        <f t="shared" si="118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9"/>
        <v>43395</v>
      </c>
      <c r="B309" s="616">
        <v>22.254999999999999</v>
      </c>
      <c r="C309" s="390"/>
      <c r="D309" s="393">
        <f t="shared" si="121"/>
        <v>22.297509362905576</v>
      </c>
      <c r="E309" s="385">
        <f t="shared" si="125"/>
        <v>22.638232602250596</v>
      </c>
      <c r="F309" s="385">
        <f t="shared" si="124"/>
        <v>22.645431750652453</v>
      </c>
      <c r="G309" s="110">
        <f t="shared" si="126"/>
        <v>0.71016642103597749</v>
      </c>
      <c r="I309" s="380">
        <f t="shared" si="97"/>
        <v>22.645431750652453</v>
      </c>
      <c r="J309" s="85">
        <v>2018</v>
      </c>
      <c r="K309" s="197">
        <f t="shared" si="98"/>
        <v>43395</v>
      </c>
      <c r="L309" s="436">
        <f t="shared" si="99"/>
        <v>1.9064623861665408E-3</v>
      </c>
      <c r="M309" s="855"/>
      <c r="N309" s="855"/>
      <c r="O309" s="324">
        <f t="shared" si="100"/>
        <v>1.5050787989127158E-2</v>
      </c>
      <c r="P309" s="169">
        <f>(INDEX(Models!$BJ309:$BT309,,T309)*(1-R309)+INDEX(Models!$BJ309:$BT309,,T309+1)*R309-ERP_i)*Q309*Ramure*Pc/MaxiM</f>
        <v>5.4233750699880974E-4</v>
      </c>
      <c r="Q309" s="305">
        <f t="shared" si="101"/>
        <v>0.7</v>
      </c>
      <c r="R309" s="177">
        <f t="shared" si="102"/>
        <v>0.79780273784369848</v>
      </c>
      <c r="S309" s="810">
        <f t="shared" si="120"/>
        <v>-2</v>
      </c>
      <c r="T309" s="176">
        <f t="shared" si="103"/>
        <v>4</v>
      </c>
      <c r="U309" s="251">
        <f t="shared" si="104"/>
        <v>-1.2021972621563015</v>
      </c>
      <c r="V309" s="383">
        <f t="shared" si="105"/>
        <v>31.330689622386728</v>
      </c>
      <c r="W309" s="58"/>
      <c r="X309" s="157">
        <f t="shared" si="106"/>
        <v>43395</v>
      </c>
      <c r="Y309" s="385">
        <f t="shared" si="107"/>
        <v>22.254999999999999</v>
      </c>
      <c r="Z309" s="385">
        <f t="shared" si="108"/>
        <v>22.297509362905576</v>
      </c>
      <c r="AA309" s="386">
        <f t="shared" si="109"/>
        <v>22.638232602250596</v>
      </c>
      <c r="AB309" s="197">
        <f t="shared" si="110"/>
        <v>43395</v>
      </c>
      <c r="AC309" s="425">
        <f t="shared" si="111"/>
        <v>1.5050787989127158E-2</v>
      </c>
      <c r="AD309" s="169">
        <f>(INDEX(Models!$BJ309:$BT309,,AH309)*(1-AF309)+INDEX(Models!$BJ309:$BT309,,AH309+1)*AF309-ERP_i)*AE309*Ramure*Pc/MaxiM</f>
        <v>5.4233750699880974E-4</v>
      </c>
      <c r="AE309" s="305">
        <f t="shared" si="112"/>
        <v>0.7</v>
      </c>
      <c r="AF309" s="177">
        <f t="shared" si="113"/>
        <v>0.79780273784369848</v>
      </c>
      <c r="AG309" s="810">
        <f t="shared" si="114"/>
        <v>-2</v>
      </c>
      <c r="AH309" s="176">
        <f t="shared" si="115"/>
        <v>4</v>
      </c>
      <c r="AI309" s="225">
        <f t="shared" si="116"/>
        <v>-1.2021972621563015</v>
      </c>
      <c r="AJ309" s="265" t="b">
        <f t="shared" si="117"/>
        <v>0</v>
      </c>
      <c r="AK309" s="265" t="b">
        <f t="shared" si="118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9"/>
        <v>43396</v>
      </c>
      <c r="B310" s="616">
        <v>30.337</v>
      </c>
      <c r="C310" s="390"/>
      <c r="D310" s="393">
        <f t="shared" si="121"/>
        <v>30.395654174125116</v>
      </c>
      <c r="E310" s="385">
        <f t="shared" si="125"/>
        <v>30.865304732734003</v>
      </c>
      <c r="F310" s="385">
        <f t="shared" si="124"/>
        <v>30.882091109404431</v>
      </c>
      <c r="G310" s="110">
        <f t="shared" si="126"/>
        <v>0.97962223368264101</v>
      </c>
      <c r="I310" s="380">
        <f t="shared" si="97"/>
        <v>30.882091109404431</v>
      </c>
      <c r="J310" s="85">
        <v>2018</v>
      </c>
      <c r="K310" s="197">
        <f t="shared" si="98"/>
        <v>43396</v>
      </c>
      <c r="L310" s="436">
        <f t="shared" si="99"/>
        <v>1.9296894809076592E-3</v>
      </c>
      <c r="M310" s="855"/>
      <c r="N310" s="855"/>
      <c r="O310" s="324">
        <f t="shared" si="100"/>
        <v>1.5216132245433446E-2</v>
      </c>
      <c r="P310" s="169">
        <f>(INDEX(Models!$BJ310:$BT310,,T310)*(1-R310)+INDEX(Models!$BJ310:$BT310,,T310+1)*R310-ERP_i)*Q310*Ramure*Pc/MaxiM</f>
        <v>5.5984850888149797E-4</v>
      </c>
      <c r="Q310" s="305">
        <f t="shared" si="101"/>
        <v>0.7</v>
      </c>
      <c r="R310" s="177">
        <f t="shared" si="102"/>
        <v>0.79786770158915599</v>
      </c>
      <c r="S310" s="810">
        <f t="shared" si="120"/>
        <v>-2</v>
      </c>
      <c r="T310" s="176">
        <f t="shared" si="103"/>
        <v>4</v>
      </c>
      <c r="U310" s="251">
        <f t="shared" si="104"/>
        <v>-1.202132298410844</v>
      </c>
      <c r="V310" s="383">
        <f t="shared" si="105"/>
        <v>30.96755529742353</v>
      </c>
      <c r="W310" s="58"/>
      <c r="X310" s="157">
        <f t="shared" si="106"/>
        <v>43396</v>
      </c>
      <c r="Y310" s="385">
        <f t="shared" si="107"/>
        <v>30.337</v>
      </c>
      <c r="Z310" s="385">
        <f t="shared" si="108"/>
        <v>30.395654174125116</v>
      </c>
      <c r="AA310" s="386">
        <f t="shared" si="109"/>
        <v>30.865304732734003</v>
      </c>
      <c r="AB310" s="197">
        <f t="shared" si="110"/>
        <v>43396</v>
      </c>
      <c r="AC310" s="425">
        <f t="shared" si="111"/>
        <v>1.5216132245433446E-2</v>
      </c>
      <c r="AD310" s="169">
        <f>(INDEX(Models!$BJ310:$BT310,,AH310)*(1-AF310)+INDEX(Models!$BJ310:$BT310,,AH310+1)*AF310-ERP_i)*AE310*Ramure*Pc/MaxiM</f>
        <v>5.5984850888149797E-4</v>
      </c>
      <c r="AE310" s="305">
        <f t="shared" si="112"/>
        <v>0.7</v>
      </c>
      <c r="AF310" s="177">
        <f t="shared" si="113"/>
        <v>0.79786770158915599</v>
      </c>
      <c r="AG310" s="810">
        <f t="shared" si="114"/>
        <v>-2</v>
      </c>
      <c r="AH310" s="176">
        <f t="shared" si="115"/>
        <v>4</v>
      </c>
      <c r="AI310" s="225">
        <f t="shared" si="116"/>
        <v>-1.202132298410844</v>
      </c>
      <c r="AJ310" s="265" t="b">
        <f t="shared" si="117"/>
        <v>0</v>
      </c>
      <c r="AK310" s="265" t="b">
        <f t="shared" si="118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9"/>
        <v>43397</v>
      </c>
      <c r="B311" s="616">
        <v>30.698</v>
      </c>
      <c r="C311" s="390"/>
      <c r="D311" s="393">
        <f t="shared" si="121"/>
        <v>30.758067924058214</v>
      </c>
      <c r="E311" s="385">
        <f t="shared" si="125"/>
        <v>31.238545581645553</v>
      </c>
      <c r="F311" s="385">
        <f t="shared" si="124"/>
        <v>31.256502042295658</v>
      </c>
      <c r="G311" s="110">
        <f t="shared" si="126"/>
        <v>1.0029672487263548</v>
      </c>
      <c r="I311" s="380">
        <f t="shared" si="97"/>
        <v>31.256502042295658</v>
      </c>
      <c r="J311" s="85">
        <v>2018</v>
      </c>
      <c r="K311" s="197">
        <f t="shared" si="98"/>
        <v>43397</v>
      </c>
      <c r="L311" s="436">
        <f t="shared" si="99"/>
        <v>1.9529160351202668E-3</v>
      </c>
      <c r="M311" s="855"/>
      <c r="N311" s="855"/>
      <c r="O311" s="324">
        <f t="shared" si="100"/>
        <v>1.5380922787572074E-2</v>
      </c>
      <c r="P311" s="169">
        <f>(INDEX(Models!$BJ311:$BT311,,T311)*(1-R311)+INDEX(Models!$BJ311:$BT311,,T311+1)*R311-ERP_i)*Q311*Ramure*Pc/MaxiM</f>
        <v>5.7448720991894371E-4</v>
      </c>
      <c r="Q311" s="305">
        <f t="shared" si="101"/>
        <v>0.7</v>
      </c>
      <c r="R311" s="177">
        <f t="shared" si="102"/>
        <v>0.79793006959907009</v>
      </c>
      <c r="S311" s="810">
        <f t="shared" si="120"/>
        <v>-2</v>
      </c>
      <c r="T311" s="176">
        <f t="shared" si="103"/>
        <v>4</v>
      </c>
      <c r="U311" s="251">
        <f t="shared" si="104"/>
        <v>-1.2020699304009299</v>
      </c>
      <c r="V311" s="383">
        <f t="shared" si="105"/>
        <v>30.607180881512026</v>
      </c>
      <c r="W311" s="58"/>
      <c r="X311" s="157">
        <f t="shared" si="106"/>
        <v>43397</v>
      </c>
      <c r="Y311" s="385">
        <f t="shared" si="107"/>
        <v>30.698</v>
      </c>
      <c r="Z311" s="385">
        <f t="shared" si="108"/>
        <v>30.758067924058214</v>
      </c>
      <c r="AA311" s="386">
        <f t="shared" si="109"/>
        <v>31.238545581645553</v>
      </c>
      <c r="AB311" s="197">
        <f t="shared" si="110"/>
        <v>43397</v>
      </c>
      <c r="AC311" s="425">
        <f t="shared" si="111"/>
        <v>1.5380922787572074E-2</v>
      </c>
      <c r="AD311" s="169">
        <f>(INDEX(Models!$BJ311:$BT311,,AH311)*(1-AF311)+INDEX(Models!$BJ311:$BT311,,AH311+1)*AF311-ERP_i)*AE311*Ramure*Pc/MaxiM</f>
        <v>5.7448720991894371E-4</v>
      </c>
      <c r="AE311" s="305">
        <f t="shared" si="112"/>
        <v>0.7</v>
      </c>
      <c r="AF311" s="177">
        <f t="shared" si="113"/>
        <v>0.79793006959907009</v>
      </c>
      <c r="AG311" s="810">
        <f t="shared" si="114"/>
        <v>-2</v>
      </c>
      <c r="AH311" s="176">
        <f t="shared" si="115"/>
        <v>4</v>
      </c>
      <c r="AI311" s="225">
        <f t="shared" si="116"/>
        <v>-1.2020699304009299</v>
      </c>
      <c r="AJ311" s="265" t="b">
        <f t="shared" si="117"/>
        <v>0</v>
      </c>
      <c r="AK311" s="265" t="b">
        <f t="shared" si="118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9"/>
        <v>43398</v>
      </c>
      <c r="B312" s="616">
        <v>29.766999999999999</v>
      </c>
      <c r="C312" s="390"/>
      <c r="D312" s="393">
        <f t="shared" si="121"/>
        <v>29.825940294761988</v>
      </c>
      <c r="E312" s="385">
        <f t="shared" si="125"/>
        <v>30.29691085444826</v>
      </c>
      <c r="F312" s="385">
        <f t="shared" si="124"/>
        <v>30.314275892312452</v>
      </c>
      <c r="G312" s="110">
        <f t="shared" si="126"/>
        <v>0.98403412966757731</v>
      </c>
      <c r="I312" s="380">
        <f t="shared" si="97"/>
        <v>30.314275892312452</v>
      </c>
      <c r="J312" s="85">
        <v>2018</v>
      </c>
      <c r="K312" s="197">
        <f t="shared" si="98"/>
        <v>43398</v>
      </c>
      <c r="L312" s="436">
        <f t="shared" si="99"/>
        <v>1.9761420488171311E-3</v>
      </c>
      <c r="M312" s="855"/>
      <c r="N312" s="855"/>
      <c r="O312" s="324">
        <f t="shared" si="100"/>
        <v>1.5545167688841189E-2</v>
      </c>
      <c r="P312" s="169">
        <f>(INDEX(Models!$BJ312:$BT312,,T312)*(1-R312)+INDEX(Models!$BJ312:$BT312,,T312+1)*R312-ERP_i)*Q312*Ramure*Pc/MaxiM</f>
        <v>5.8619276435283388E-4</v>
      </c>
      <c r="Q312" s="305">
        <f t="shared" si="101"/>
        <v>0.7</v>
      </c>
      <c r="R312" s="177">
        <f t="shared" si="102"/>
        <v>0.79798994482419672</v>
      </c>
      <c r="S312" s="810">
        <f t="shared" si="120"/>
        <v>-2</v>
      </c>
      <c r="T312" s="176">
        <f t="shared" si="103"/>
        <v>4</v>
      </c>
      <c r="U312" s="251">
        <f t="shared" si="104"/>
        <v>-1.2020100551758033</v>
      </c>
      <c r="V312" s="383">
        <f t="shared" si="105"/>
        <v>30.249562707670115</v>
      </c>
      <c r="W312" s="58"/>
      <c r="X312" s="157">
        <f t="shared" si="106"/>
        <v>43398</v>
      </c>
      <c r="Y312" s="385">
        <f t="shared" si="107"/>
        <v>29.766999999999999</v>
      </c>
      <c r="Z312" s="385">
        <f t="shared" si="108"/>
        <v>29.825940294761988</v>
      </c>
      <c r="AA312" s="386">
        <f t="shared" si="109"/>
        <v>30.29691085444826</v>
      </c>
      <c r="AB312" s="197">
        <f t="shared" si="110"/>
        <v>43398</v>
      </c>
      <c r="AC312" s="425">
        <f t="shared" si="111"/>
        <v>1.5545167688841189E-2</v>
      </c>
      <c r="AD312" s="169">
        <f>(INDEX(Models!$BJ312:$BT312,,AH312)*(1-AF312)+INDEX(Models!$BJ312:$BT312,,AH312+1)*AF312-ERP_i)*AE312*Ramure*Pc/MaxiM</f>
        <v>5.8619276435283388E-4</v>
      </c>
      <c r="AE312" s="305">
        <f t="shared" si="112"/>
        <v>0.7</v>
      </c>
      <c r="AF312" s="177">
        <f t="shared" si="113"/>
        <v>0.79798994482419672</v>
      </c>
      <c r="AG312" s="810">
        <f t="shared" si="114"/>
        <v>-2</v>
      </c>
      <c r="AH312" s="176">
        <f t="shared" si="115"/>
        <v>4</v>
      </c>
      <c r="AI312" s="225">
        <f t="shared" si="116"/>
        <v>-1.2020100551758033</v>
      </c>
      <c r="AJ312" s="265" t="b">
        <f t="shared" si="117"/>
        <v>0</v>
      </c>
      <c r="AK312" s="265" t="b">
        <f t="shared" si="118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9"/>
        <v>43399</v>
      </c>
      <c r="B313" s="616">
        <v>4.008</v>
      </c>
      <c r="C313" s="390"/>
      <c r="D313" s="393">
        <f t="shared" si="121"/>
        <v>4.0160295189877004</v>
      </c>
      <c r="E313" s="385">
        <f t="shared" si="125"/>
        <v>4.0801236767966298</v>
      </c>
      <c r="F313" s="385">
        <f t="shared" si="124"/>
        <v>4.0801236767966298</v>
      </c>
      <c r="G313" s="110">
        <f t="shared" si="126"/>
        <v>0.1339908418013718</v>
      </c>
      <c r="I313" s="380">
        <f t="shared" si="97"/>
        <v>4.0801236767966298</v>
      </c>
      <c r="J313" s="85">
        <v>2018</v>
      </c>
      <c r="K313" s="197">
        <f t="shared" si="98"/>
        <v>43399</v>
      </c>
      <c r="L313" s="436">
        <f t="shared" si="99"/>
        <v>1.9993675220106866E-3</v>
      </c>
      <c r="M313" s="855"/>
      <c r="N313" s="855"/>
      <c r="O313" s="324">
        <f t="shared" si="100"/>
        <v>1.5708876221921523E-2</v>
      </c>
      <c r="P313" s="169">
        <f>(INDEX(Models!$BJ313:$BT313,,T313)*(1-R313)+INDEX(Models!$BJ313:$BT313,,T313+1)*R313-ERP_i)*Q313*Ramure*Pc/MaxiM</f>
        <v>5.9489972803236277E-4</v>
      </c>
      <c r="Q313" s="305">
        <f t="shared" si="101"/>
        <v>0.7</v>
      </c>
      <c r="R313" s="177">
        <f t="shared" si="102"/>
        <v>0.79804742619238045</v>
      </c>
      <c r="S313" s="810">
        <f t="shared" si="120"/>
        <v>-2</v>
      </c>
      <c r="T313" s="176">
        <f t="shared" si="103"/>
        <v>4</v>
      </c>
      <c r="U313" s="251">
        <f t="shared" si="104"/>
        <v>-1.2019525738076196</v>
      </c>
      <c r="V313" s="383">
        <f t="shared" si="105"/>
        <v>29.89469719003614</v>
      </c>
      <c r="W313" s="58"/>
      <c r="X313" s="157">
        <f t="shared" si="106"/>
        <v>43399</v>
      </c>
      <c r="Y313" s="385">
        <f t="shared" si="107"/>
        <v>4.008</v>
      </c>
      <c r="Z313" s="385">
        <f t="shared" si="108"/>
        <v>4.0160295189877004</v>
      </c>
      <c r="AA313" s="386">
        <f t="shared" si="109"/>
        <v>4.0801236767966298</v>
      </c>
      <c r="AB313" s="197">
        <f t="shared" si="110"/>
        <v>43399</v>
      </c>
      <c r="AC313" s="425">
        <f t="shared" si="111"/>
        <v>1.5708876221921523E-2</v>
      </c>
      <c r="AD313" s="169">
        <f>(INDEX(Models!$BJ313:$BT313,,AH313)*(1-AF313)+INDEX(Models!$BJ313:$BT313,,AH313+1)*AF313-ERP_i)*AE313*Ramure*Pc/MaxiM</f>
        <v>5.9489972803236277E-4</v>
      </c>
      <c r="AE313" s="305">
        <f t="shared" si="112"/>
        <v>0.7</v>
      </c>
      <c r="AF313" s="177">
        <f t="shared" si="113"/>
        <v>0.79804742619238045</v>
      </c>
      <c r="AG313" s="810">
        <f t="shared" si="114"/>
        <v>-2</v>
      </c>
      <c r="AH313" s="176">
        <f t="shared" si="115"/>
        <v>4</v>
      </c>
      <c r="AI313" s="225">
        <f t="shared" si="116"/>
        <v>-1.2019525738076196</v>
      </c>
      <c r="AJ313" s="265" t="b">
        <f t="shared" si="117"/>
        <v>0</v>
      </c>
      <c r="AK313" s="265" t="b">
        <f t="shared" si="118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9"/>
        <v>43400</v>
      </c>
      <c r="B314" s="616">
        <v>8.7970000000000006</v>
      </c>
      <c r="C314" s="390"/>
      <c r="D314" s="393">
        <f t="shared" si="121"/>
        <v>8.8148288062330789</v>
      </c>
      <c r="E314" s="385">
        <f t="shared" si="125"/>
        <v>8.9569947540857164</v>
      </c>
      <c r="F314" s="385">
        <f t="shared" si="124"/>
        <v>8.9569947540857164</v>
      </c>
      <c r="G314" s="110">
        <f>+Wh_hp/MaxiM</f>
        <v>0.29759475383574907</v>
      </c>
      <c r="I314" s="380">
        <f t="shared" si="97"/>
        <v>8.9569947540857164</v>
      </c>
      <c r="J314" s="85">
        <v>2018</v>
      </c>
      <c r="K314" s="197">
        <f t="shared" si="98"/>
        <v>43400</v>
      </c>
      <c r="L314" s="436">
        <f t="shared" si="99"/>
        <v>2.0225924547134788E-3</v>
      </c>
      <c r="M314" s="855"/>
      <c r="N314" s="855"/>
      <c r="O314" s="324">
        <f t="shared" si="100"/>
        <v>1.5872058849625819E-2</v>
      </c>
      <c r="P314" s="169">
        <f>(INDEX(Models!$BJ314:$BT314,,T314)*(1-R314)+INDEX(Models!$BJ314:$BT314,,T314+1)*R314-ERP_i)*Q314*Ramure*Pc/MaxiM</f>
        <v>6.0054243799621593E-4</v>
      </c>
      <c r="Q314" s="305">
        <f t="shared" si="101"/>
        <v>0.7</v>
      </c>
      <c r="R314" s="177">
        <f t="shared" si="102"/>
        <v>0.79810260876100214</v>
      </c>
      <c r="S314" s="810">
        <f t="shared" si="120"/>
        <v>-2</v>
      </c>
      <c r="T314" s="176">
        <f t="shared" si="103"/>
        <v>4</v>
      </c>
      <c r="U314" s="251">
        <f t="shared" si="104"/>
        <v>-1.2018973912389979</v>
      </c>
      <c r="V314" s="383">
        <f t="shared" si="105"/>
        <v>29.542580690200417</v>
      </c>
      <c r="W314" s="58"/>
      <c r="X314" s="157">
        <f t="shared" si="106"/>
        <v>43400</v>
      </c>
      <c r="Y314" s="385">
        <f t="shared" si="107"/>
        <v>8.7970000000000006</v>
      </c>
      <c r="Z314" s="385">
        <f t="shared" si="108"/>
        <v>8.8148288062330789</v>
      </c>
      <c r="AA314" s="386">
        <f t="shared" si="109"/>
        <v>8.9569947540857164</v>
      </c>
      <c r="AB314" s="197">
        <f t="shared" si="110"/>
        <v>43400</v>
      </c>
      <c r="AC314" s="425">
        <f t="shared" si="111"/>
        <v>1.5872058849625819E-2</v>
      </c>
      <c r="AD314" s="169">
        <f>(INDEX(Models!$BJ314:$BT314,,AH314)*(1-AF314)+INDEX(Models!$BJ314:$BT314,,AH314+1)*AF314-ERP_i)*AE314*Ramure*Pc/MaxiM</f>
        <v>6.0054243799621593E-4</v>
      </c>
      <c r="AE314" s="305">
        <f t="shared" si="112"/>
        <v>0.7</v>
      </c>
      <c r="AF314" s="177">
        <f t="shared" si="113"/>
        <v>0.79810260876100214</v>
      </c>
      <c r="AG314" s="810">
        <f t="shared" si="114"/>
        <v>-2</v>
      </c>
      <c r="AH314" s="176">
        <f t="shared" si="115"/>
        <v>4</v>
      </c>
      <c r="AI314" s="225">
        <f t="shared" si="116"/>
        <v>-1.2018973912389979</v>
      </c>
      <c r="AJ314" s="265" t="b">
        <f t="shared" si="117"/>
        <v>0</v>
      </c>
      <c r="AK314" s="265" t="b">
        <f t="shared" si="118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9"/>
        <v>43401</v>
      </c>
      <c r="B315" s="616">
        <v>3.625</v>
      </c>
      <c r="C315" s="390"/>
      <c r="D315" s="393">
        <f t="shared" si="121"/>
        <v>3.6324312891266408</v>
      </c>
      <c r="E315" s="385">
        <f t="shared" si="125"/>
        <v>3.6916254969236548</v>
      </c>
      <c r="F315" s="385">
        <f t="shared" si="124"/>
        <v>3.6916254969236548</v>
      </c>
      <c r="G315" s="110">
        <f t="shared" si="126"/>
        <v>0.12409782909235301</v>
      </c>
      <c r="I315" s="380">
        <f t="shared" si="97"/>
        <v>3.6916254969236548</v>
      </c>
      <c r="J315" s="85">
        <v>2018</v>
      </c>
      <c r="K315" s="197">
        <f t="shared" si="98"/>
        <v>43401</v>
      </c>
      <c r="L315" s="436">
        <f t="shared" si="99"/>
        <v>2.0458168469382754E-3</v>
      </c>
      <c r="M315" s="855"/>
      <c r="N315" s="855"/>
      <c r="O315" s="324">
        <f t="shared" si="100"/>
        <v>1.6034727207931077E-2</v>
      </c>
      <c r="P315" s="169">
        <f>(INDEX(Models!$BJ315:$BT315,,T315)*(1-R315)+INDEX(Models!$BJ315:$BT315,,T315+1)*R315-ERP_i)*Q315*Ramure*Pc/MaxiM</f>
        <v>6.0305488041740077E-4</v>
      </c>
      <c r="Q315" s="305">
        <f t="shared" si="101"/>
        <v>0.7</v>
      </c>
      <c r="R315" s="177">
        <f t="shared" si="102"/>
        <v>0.79815558386402774</v>
      </c>
      <c r="S315" s="810">
        <f t="shared" si="120"/>
        <v>-2</v>
      </c>
      <c r="T315" s="176">
        <f t="shared" si="103"/>
        <v>4</v>
      </c>
      <c r="U315" s="251">
        <f t="shared" si="104"/>
        <v>-1.2018444161359723</v>
      </c>
      <c r="V315" s="383">
        <f t="shared" si="105"/>
        <v>29.193209523128772</v>
      </c>
      <c r="W315" s="58"/>
      <c r="X315" s="157">
        <f t="shared" si="106"/>
        <v>43401</v>
      </c>
      <c r="Y315" s="385">
        <f t="shared" si="107"/>
        <v>3.625</v>
      </c>
      <c r="Z315" s="385">
        <f t="shared" si="108"/>
        <v>3.6324312891266408</v>
      </c>
      <c r="AA315" s="386">
        <f t="shared" si="109"/>
        <v>3.6916254969236548</v>
      </c>
      <c r="AB315" s="197">
        <f t="shared" si="110"/>
        <v>43401</v>
      </c>
      <c r="AC315" s="425">
        <f t="shared" si="111"/>
        <v>1.6034727207931077E-2</v>
      </c>
      <c r="AD315" s="169">
        <f>(INDEX(Models!$BJ315:$BT315,,AH315)*(1-AF315)+INDEX(Models!$BJ315:$BT315,,AH315+1)*AF315-ERP_i)*AE315*Ramure*Pc/MaxiM</f>
        <v>6.0305488041740077E-4</v>
      </c>
      <c r="AE315" s="305">
        <f t="shared" si="112"/>
        <v>0.7</v>
      </c>
      <c r="AF315" s="177">
        <f t="shared" si="113"/>
        <v>0.79815558386402774</v>
      </c>
      <c r="AG315" s="810">
        <f t="shared" si="114"/>
        <v>-2</v>
      </c>
      <c r="AH315" s="176">
        <f t="shared" si="115"/>
        <v>4</v>
      </c>
      <c r="AI315" s="225">
        <f t="shared" si="116"/>
        <v>-1.2018444161359723</v>
      </c>
      <c r="AJ315" s="265" t="b">
        <f t="shared" si="117"/>
        <v>0</v>
      </c>
      <c r="AK315" s="265" t="b">
        <f t="shared" si="118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9"/>
        <v>43402</v>
      </c>
      <c r="B316" s="616">
        <v>4.3120000000000003</v>
      </c>
      <c r="C316" s="390"/>
      <c r="D316" s="393">
        <f t="shared" si="121"/>
        <v>4.3209402011327818</v>
      </c>
      <c r="E316" s="385">
        <f t="shared" si="125"/>
        <v>4.3920782269714627</v>
      </c>
      <c r="F316" s="385">
        <f t="shared" si="124"/>
        <v>4.3920782269714627</v>
      </c>
      <c r="G316" s="110">
        <f t="shared" si="126"/>
        <v>0.14939041588716895</v>
      </c>
      <c r="I316" s="380">
        <f t="shared" si="97"/>
        <v>4.3920782269714627</v>
      </c>
      <c r="J316" s="85">
        <v>2018</v>
      </c>
      <c r="K316" s="197">
        <f t="shared" si="98"/>
        <v>43402</v>
      </c>
      <c r="L316" s="436">
        <f t="shared" si="99"/>
        <v>2.0690406986973997E-3</v>
      </c>
      <c r="M316" s="855"/>
      <c r="N316" s="855"/>
      <c r="O316" s="324">
        <f t="shared" si="100"/>
        <v>1.6196894081218077E-2</v>
      </c>
      <c r="P316" s="169">
        <f>(INDEX(Models!$BJ316:$BT316,,T316)*(1-R316)+INDEX(Models!$BJ316:$BT316,,T316+1)*R316-ERP_i)*Q316*Ramure*Pc/MaxiM</f>
        <v>6.0237053440143735E-4</v>
      </c>
      <c r="Q316" s="305">
        <f t="shared" si="101"/>
        <v>0.7</v>
      </c>
      <c r="R316" s="177">
        <f t="shared" si="102"/>
        <v>0.79820643925381685</v>
      </c>
      <c r="S316" s="810">
        <f t="shared" si="120"/>
        <v>-2</v>
      </c>
      <c r="T316" s="176">
        <f t="shared" si="103"/>
        <v>4</v>
      </c>
      <c r="U316" s="251">
        <f t="shared" si="104"/>
        <v>-1.2017935607461832</v>
      </c>
      <c r="V316" s="383">
        <f t="shared" si="105"/>
        <v>28.84657996742208</v>
      </c>
      <c r="W316" s="58"/>
      <c r="X316" s="157">
        <f t="shared" si="106"/>
        <v>43402</v>
      </c>
      <c r="Y316" s="385">
        <f t="shared" si="107"/>
        <v>4.3120000000000003</v>
      </c>
      <c r="Z316" s="385">
        <f t="shared" si="108"/>
        <v>4.3209402011327818</v>
      </c>
      <c r="AA316" s="386">
        <f t="shared" si="109"/>
        <v>4.3920782269714627</v>
      </c>
      <c r="AB316" s="197">
        <f t="shared" si="110"/>
        <v>43402</v>
      </c>
      <c r="AC316" s="425">
        <f t="shared" si="111"/>
        <v>1.6196894081218077E-2</v>
      </c>
      <c r="AD316" s="169">
        <f>(INDEX(Models!$BJ316:$BT316,,AH316)*(1-AF316)+INDEX(Models!$BJ316:$BT316,,AH316+1)*AF316-ERP_i)*AE316*Ramure*Pc/MaxiM</f>
        <v>6.0237053440143735E-4</v>
      </c>
      <c r="AE316" s="305">
        <f t="shared" si="112"/>
        <v>0.7</v>
      </c>
      <c r="AF316" s="177">
        <f t="shared" si="113"/>
        <v>0.79820643925381685</v>
      </c>
      <c r="AG316" s="810">
        <f t="shared" si="114"/>
        <v>-2</v>
      </c>
      <c r="AH316" s="176">
        <f t="shared" si="115"/>
        <v>4</v>
      </c>
      <c r="AI316" s="225">
        <f t="shared" si="116"/>
        <v>-1.2017935607461832</v>
      </c>
      <c r="AJ316" s="265" t="b">
        <f t="shared" si="117"/>
        <v>0</v>
      </c>
      <c r="AK316" s="265" t="b">
        <f t="shared" si="118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9"/>
        <v>43403</v>
      </c>
      <c r="B317" s="616">
        <v>25.161999999999999</v>
      </c>
      <c r="C317" s="390"/>
      <c r="D317" s="393">
        <f t="shared" si="121"/>
        <v>25.214755926345717</v>
      </c>
      <c r="E317" s="385">
        <f t="shared" si="125"/>
        <v>25.634093119405456</v>
      </c>
      <c r="F317" s="385">
        <f t="shared" si="124"/>
        <v>25.646872317786048</v>
      </c>
      <c r="G317" s="110">
        <f t="shared" si="126"/>
        <v>0.88274145423331174</v>
      </c>
      <c r="I317" s="380">
        <f t="shared" si="97"/>
        <v>25.646872317786048</v>
      </c>
      <c r="J317" s="85">
        <v>2018</v>
      </c>
      <c r="K317" s="197">
        <f t="shared" si="98"/>
        <v>43403</v>
      </c>
      <c r="L317" s="436">
        <f t="shared" si="99"/>
        <v>2.0922640100036194E-3</v>
      </c>
      <c r="M317" s="855"/>
      <c r="N317" s="855"/>
      <c r="O317" s="324">
        <f t="shared" si="100"/>
        <v>1.6358573369708643E-2</v>
      </c>
      <c r="P317" s="169">
        <f>(INDEX(Models!$BJ317:$BT317,,T317)*(1-R317)+INDEX(Models!$BJ317:$BT317,,T317+1)*R317-ERP_i)*Q317*Ramure*Pc/MaxiM</f>
        <v>5.9844658691169447E-4</v>
      </c>
      <c r="Q317" s="305">
        <f t="shared" si="101"/>
        <v>0.7</v>
      </c>
      <c r="R317" s="177">
        <f t="shared" si="102"/>
        <v>0.7982552592378509</v>
      </c>
      <c r="S317" s="810">
        <f t="shared" si="120"/>
        <v>-2</v>
      </c>
      <c r="T317" s="176">
        <f t="shared" si="103"/>
        <v>4</v>
      </c>
      <c r="U317" s="251">
        <f t="shared" si="104"/>
        <v>-1.2017447407621491</v>
      </c>
      <c r="V317" s="383">
        <f t="shared" si="105"/>
        <v>28.501525682697721</v>
      </c>
      <c r="W317" s="58"/>
      <c r="X317" s="157">
        <f t="shared" si="106"/>
        <v>43403</v>
      </c>
      <c r="Y317" s="385">
        <f t="shared" si="107"/>
        <v>25.161999999999999</v>
      </c>
      <c r="Z317" s="385">
        <f t="shared" si="108"/>
        <v>25.214755926345717</v>
      </c>
      <c r="AA317" s="386">
        <f t="shared" si="109"/>
        <v>25.634093119405456</v>
      </c>
      <c r="AB317" s="197">
        <f t="shared" si="110"/>
        <v>43403</v>
      </c>
      <c r="AC317" s="425">
        <f t="shared" si="111"/>
        <v>1.6358573369708643E-2</v>
      </c>
      <c r="AD317" s="169">
        <f>(INDEX(Models!$BJ317:$BT317,,AH317)*(1-AF317)+INDEX(Models!$BJ317:$BT317,,AH317+1)*AF317-ERP_i)*AE317*Ramure*Pc/MaxiM</f>
        <v>5.9844658691169447E-4</v>
      </c>
      <c r="AE317" s="305">
        <f t="shared" si="112"/>
        <v>0.7</v>
      </c>
      <c r="AF317" s="177">
        <f t="shared" si="113"/>
        <v>0.7982552592378509</v>
      </c>
      <c r="AG317" s="810">
        <f t="shared" si="114"/>
        <v>-2</v>
      </c>
      <c r="AH317" s="176">
        <f t="shared" si="115"/>
        <v>4</v>
      </c>
      <c r="AI317" s="225">
        <f t="shared" si="116"/>
        <v>-1.2017447407621491</v>
      </c>
      <c r="AJ317" s="265" t="b">
        <f t="shared" si="117"/>
        <v>0</v>
      </c>
      <c r="AK317" s="265" t="b">
        <f t="shared" si="118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9"/>
        <v>43404</v>
      </c>
      <c r="B318" s="616">
        <v>10.492000000000001</v>
      </c>
      <c r="C318" s="390"/>
      <c r="D318" s="393">
        <f t="shared" si="121"/>
        <v>10.514242741530561</v>
      </c>
      <c r="E318" s="385">
        <f t="shared" si="125"/>
        <v>10.690853286359022</v>
      </c>
      <c r="F318" s="385">
        <f t="shared" si="124"/>
        <v>10.691508724847605</v>
      </c>
      <c r="G318" s="110">
        <f t="shared" si="126"/>
        <v>0.37242428938001432</v>
      </c>
      <c r="I318" s="380">
        <f t="shared" si="97"/>
        <v>10.691508724847605</v>
      </c>
      <c r="J318" s="85">
        <v>2018</v>
      </c>
      <c r="K318" s="197">
        <f t="shared" si="98"/>
        <v>43404</v>
      </c>
      <c r="L318" s="436">
        <f t="shared" si="99"/>
        <v>2.1154867808694799E-3</v>
      </c>
      <c r="M318" s="855"/>
      <c r="N318" s="855"/>
      <c r="O318" s="324">
        <f t="shared" si="100"/>
        <v>1.6519780049157339E-2</v>
      </c>
      <c r="P318" s="169">
        <f>(INDEX(Models!$BJ318:$BT318,,T318)*(1-R318)+INDEX(Models!$BJ318:$BT318,,T318+1)*R318-ERP_i)*Q318*Ramure*Pc/MaxiM</f>
        <v>5.9091484322880829E-4</v>
      </c>
      <c r="Q318" s="305">
        <f t="shared" si="101"/>
        <v>0.7</v>
      </c>
      <c r="R318" s="177">
        <f t="shared" si="102"/>
        <v>0.79830212481053975</v>
      </c>
      <c r="S318" s="810">
        <f t="shared" si="120"/>
        <v>-2</v>
      </c>
      <c r="T318" s="176">
        <f t="shared" si="103"/>
        <v>4</v>
      </c>
      <c r="U318" s="251">
        <f t="shared" si="104"/>
        <v>-1.2016978751894603</v>
      </c>
      <c r="V318" s="383">
        <f t="shared" si="105"/>
        <v>28.157247761527515</v>
      </c>
      <c r="W318" s="58"/>
      <c r="X318" s="157">
        <f t="shared" si="106"/>
        <v>43404</v>
      </c>
      <c r="Y318" s="385">
        <f t="shared" si="107"/>
        <v>10.492000000000001</v>
      </c>
      <c r="Z318" s="385">
        <f t="shared" si="108"/>
        <v>10.514242741530561</v>
      </c>
      <c r="AA318" s="386">
        <f t="shared" si="109"/>
        <v>10.690853286359022</v>
      </c>
      <c r="AB318" s="197">
        <f t="shared" si="110"/>
        <v>43404</v>
      </c>
      <c r="AC318" s="425">
        <f t="shared" si="111"/>
        <v>1.6519780049157339E-2</v>
      </c>
      <c r="AD318" s="169">
        <f>(INDEX(Models!$BJ318:$BT318,,AH318)*(1-AF318)+INDEX(Models!$BJ318:$BT318,,AH318+1)*AF318-ERP_i)*AE318*Ramure*Pc/MaxiM</f>
        <v>5.9091484322880829E-4</v>
      </c>
      <c r="AE318" s="305">
        <f t="shared" si="112"/>
        <v>0.7</v>
      </c>
      <c r="AF318" s="177">
        <f t="shared" si="113"/>
        <v>0.79830212481053975</v>
      </c>
      <c r="AG318" s="810">
        <f t="shared" si="114"/>
        <v>-2</v>
      </c>
      <c r="AH318" s="176">
        <f t="shared" si="115"/>
        <v>4</v>
      </c>
      <c r="AI318" s="225">
        <f t="shared" si="116"/>
        <v>-1.2016978751894603</v>
      </c>
      <c r="AJ318" s="265" t="b">
        <f t="shared" si="117"/>
        <v>0</v>
      </c>
      <c r="AK318" s="265" t="b">
        <f t="shared" si="118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9"/>
        <v>43405</v>
      </c>
      <c r="B319" s="616">
        <v>18.734000000000002</v>
      </c>
      <c r="C319" s="390"/>
      <c r="D319" s="393">
        <f t="shared" si="121"/>
        <v>18.774152449022388</v>
      </c>
      <c r="E319" s="385">
        <f t="shared" si="125"/>
        <v>19.09262759881009</v>
      </c>
      <c r="F319" s="385">
        <f t="shared" si="124"/>
        <v>19.098552150285446</v>
      </c>
      <c r="G319" s="110">
        <f t="shared" si="126"/>
        <v>0.67335736181026229</v>
      </c>
      <c r="I319" s="380">
        <f t="shared" si="97"/>
        <v>19.098552150285446</v>
      </c>
      <c r="J319" s="85">
        <v>2018</v>
      </c>
      <c r="K319" s="197">
        <f t="shared" si="98"/>
        <v>43405</v>
      </c>
      <c r="L319" s="436">
        <f t="shared" si="99"/>
        <v>2.1387090113076379E-3</v>
      </c>
      <c r="M319" s="855"/>
      <c r="N319" s="855"/>
      <c r="O319" s="324">
        <f t="shared" si="100"/>
        <v>1.6680530122922983E-2</v>
      </c>
      <c r="P319" s="169">
        <f>(INDEX(Models!$BJ319:$BT319,,T319)*(1-R319)+INDEX(Models!$BJ319:$BT319,,T319+1)*R319-ERP_i)*Q319*Ramure*Pc/MaxiM</f>
        <v>5.8132089198122702E-4</v>
      </c>
      <c r="Q319" s="305">
        <f t="shared" si="101"/>
        <v>0.7</v>
      </c>
      <c r="R319" s="177">
        <f t="shared" si="102"/>
        <v>0.79834711378025291</v>
      </c>
      <c r="S319" s="810">
        <f t="shared" si="120"/>
        <v>-2</v>
      </c>
      <c r="T319" s="176">
        <f t="shared" si="103"/>
        <v>4</v>
      </c>
      <c r="U319" s="251">
        <f t="shared" si="104"/>
        <v>-1.2016528862197471</v>
      </c>
      <c r="V319" s="383">
        <f t="shared" si="105"/>
        <v>27.814234290045349</v>
      </c>
      <c r="W319" s="58"/>
      <c r="X319" s="157">
        <f t="shared" si="106"/>
        <v>43405</v>
      </c>
      <c r="Y319" s="385">
        <f t="shared" si="107"/>
        <v>18.734000000000002</v>
      </c>
      <c r="Z319" s="385">
        <f t="shared" si="108"/>
        <v>18.774152449022388</v>
      </c>
      <c r="AA319" s="386">
        <f t="shared" si="109"/>
        <v>19.09262759881009</v>
      </c>
      <c r="AB319" s="197">
        <f t="shared" si="110"/>
        <v>43405</v>
      </c>
      <c r="AC319" s="425">
        <f t="shared" si="111"/>
        <v>1.6680530122922983E-2</v>
      </c>
      <c r="AD319" s="169">
        <f>(INDEX(Models!$BJ319:$BT319,,AH319)*(1-AF319)+INDEX(Models!$BJ319:$BT319,,AH319+1)*AF319-ERP_i)*AE319*Ramure*Pc/MaxiM</f>
        <v>5.8132089198122702E-4</v>
      </c>
      <c r="AE319" s="305">
        <f t="shared" si="112"/>
        <v>0.7</v>
      </c>
      <c r="AF319" s="177">
        <f t="shared" si="113"/>
        <v>0.79834711378025291</v>
      </c>
      <c r="AG319" s="810">
        <f t="shared" si="114"/>
        <v>-2</v>
      </c>
      <c r="AH319" s="176">
        <f t="shared" si="115"/>
        <v>4</v>
      </c>
      <c r="AI319" s="225">
        <f t="shared" si="116"/>
        <v>-1.2016528862197471</v>
      </c>
      <c r="AJ319" s="265" t="b">
        <f t="shared" si="117"/>
        <v>0</v>
      </c>
      <c r="AK319" s="265" t="b">
        <f t="shared" si="118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9"/>
        <v>43406</v>
      </c>
      <c r="B320" s="616">
        <v>8.3290000000000006</v>
      </c>
      <c r="C320" s="390"/>
      <c r="D320" s="393">
        <f t="shared" si="121"/>
        <v>8.3470457344386926</v>
      </c>
      <c r="E320" s="385">
        <f t="shared" si="125"/>
        <v>8.4900248900180575</v>
      </c>
      <c r="F320" s="385">
        <f t="shared" si="124"/>
        <v>8.4900467914903555</v>
      </c>
      <c r="G320" s="110">
        <f t="shared" si="126"/>
        <v>0.30299826754794784</v>
      </c>
      <c r="I320" s="380">
        <f t="shared" si="97"/>
        <v>8.4900467914903555</v>
      </c>
      <c r="J320" s="85">
        <v>2018</v>
      </c>
      <c r="K320" s="197">
        <f t="shared" si="98"/>
        <v>43406</v>
      </c>
      <c r="L320" s="436">
        <f t="shared" si="99"/>
        <v>2.1619307013304168E-3</v>
      </c>
      <c r="M320" s="855"/>
      <c r="N320" s="855"/>
      <c r="O320" s="324">
        <f t="shared" si="100"/>
        <v>1.6840840566612274E-2</v>
      </c>
      <c r="P320" s="169">
        <f>(INDEX(Models!$BJ320:$BT320,,T320)*(1-R320)+INDEX(Models!$BJ320:$BT320,,T320+1)*R320-ERP_i)*Q320*Ramure*Pc/MaxiM</f>
        <v>5.6961058362144708E-4</v>
      </c>
      <c r="Q320" s="305">
        <f t="shared" si="101"/>
        <v>0.7</v>
      </c>
      <c r="R320" s="177">
        <f t="shared" si="102"/>
        <v>0.79839030089173635</v>
      </c>
      <c r="S320" s="810">
        <f t="shared" si="120"/>
        <v>-2</v>
      </c>
      <c r="T320" s="176">
        <f t="shared" si="103"/>
        <v>4</v>
      </c>
      <c r="U320" s="251">
        <f t="shared" si="104"/>
        <v>-1.2016096991082637</v>
      </c>
      <c r="V320" s="383">
        <f t="shared" si="105"/>
        <v>27.473019085741409</v>
      </c>
      <c r="W320" s="58"/>
      <c r="X320" s="157">
        <f t="shared" si="106"/>
        <v>43406</v>
      </c>
      <c r="Y320" s="385">
        <f t="shared" si="107"/>
        <v>8.3290000000000006</v>
      </c>
      <c r="Z320" s="385">
        <f t="shared" si="108"/>
        <v>8.3470457344386926</v>
      </c>
      <c r="AA320" s="386">
        <f t="shared" si="109"/>
        <v>8.4900248900180575</v>
      </c>
      <c r="AB320" s="197">
        <f t="shared" si="110"/>
        <v>43406</v>
      </c>
      <c r="AC320" s="425">
        <f t="shared" si="111"/>
        <v>1.6840840566612274E-2</v>
      </c>
      <c r="AD320" s="169">
        <f>(INDEX(Models!$BJ320:$BT320,,AH320)*(1-AF320)+INDEX(Models!$BJ320:$BT320,,AH320+1)*AF320-ERP_i)*AE320*Ramure*Pc/MaxiM</f>
        <v>5.6961058362144708E-4</v>
      </c>
      <c r="AE320" s="305">
        <f t="shared" si="112"/>
        <v>0.7</v>
      </c>
      <c r="AF320" s="177">
        <f t="shared" si="113"/>
        <v>0.79839030089173635</v>
      </c>
      <c r="AG320" s="810">
        <f t="shared" si="114"/>
        <v>-2</v>
      </c>
      <c r="AH320" s="176">
        <f t="shared" si="115"/>
        <v>4</v>
      </c>
      <c r="AI320" s="225">
        <f t="shared" si="116"/>
        <v>-1.2016096991082637</v>
      </c>
      <c r="AJ320" s="265" t="b">
        <f t="shared" si="117"/>
        <v>0</v>
      </c>
      <c r="AK320" s="265" t="b">
        <f t="shared" si="118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9"/>
        <v>43407</v>
      </c>
      <c r="B321" s="616">
        <v>25.122</v>
      </c>
      <c r="C321" s="390"/>
      <c r="D321" s="393">
        <f t="shared" si="121"/>
        <v>25.177015602244655</v>
      </c>
      <c r="E321" s="385">
        <f t="shared" si="125"/>
        <v>25.612445860141619</v>
      </c>
      <c r="F321" s="385">
        <f t="shared" si="124"/>
        <v>25.62517790632015</v>
      </c>
      <c r="G321" s="110">
        <f t="shared" si="126"/>
        <v>0.92579032869868405</v>
      </c>
      <c r="I321" s="380">
        <f t="shared" si="97"/>
        <v>25.62517790632015</v>
      </c>
      <c r="J321" s="85">
        <v>2018</v>
      </c>
      <c r="K321" s="197">
        <f t="shared" si="98"/>
        <v>43407</v>
      </c>
      <c r="L321" s="436">
        <f t="shared" si="99"/>
        <v>2.1851518509505841E-3</v>
      </c>
      <c r="M321" s="855"/>
      <c r="N321" s="855"/>
      <c r="O321" s="324">
        <f t="shared" si="100"/>
        <v>1.7000729265555528E-2</v>
      </c>
      <c r="P321" s="169">
        <f>(INDEX(Models!$BJ321:$BT321,,T321)*(1-R321)+INDEX(Models!$BJ321:$BT321,,T321+1)*R321-ERP_i)*Q321*Ramure*Pc/MaxiM</f>
        <v>5.557284938402685E-4</v>
      </c>
      <c r="Q321" s="305">
        <f t="shared" si="101"/>
        <v>0.7</v>
      </c>
      <c r="R321" s="177">
        <f t="shared" si="102"/>
        <v>0.79843175794405097</v>
      </c>
      <c r="S321" s="810">
        <f t="shared" si="120"/>
        <v>-2</v>
      </c>
      <c r="T321" s="176">
        <f t="shared" si="103"/>
        <v>4</v>
      </c>
      <c r="U321" s="251">
        <f t="shared" si="104"/>
        <v>-1.201568242055949</v>
      </c>
      <c r="V321" s="383">
        <f t="shared" si="105"/>
        <v>27.134135574362922</v>
      </c>
      <c r="W321" s="58"/>
      <c r="X321" s="157">
        <f t="shared" si="106"/>
        <v>43407</v>
      </c>
      <c r="Y321" s="385">
        <f t="shared" si="107"/>
        <v>25.122</v>
      </c>
      <c r="Z321" s="385">
        <f t="shared" si="108"/>
        <v>25.177015602244655</v>
      </c>
      <c r="AA321" s="386">
        <f t="shared" si="109"/>
        <v>25.612445860141619</v>
      </c>
      <c r="AB321" s="197">
        <f t="shared" si="110"/>
        <v>43407</v>
      </c>
      <c r="AC321" s="425">
        <f t="shared" si="111"/>
        <v>1.7000729265555528E-2</v>
      </c>
      <c r="AD321" s="169">
        <f>(INDEX(Models!$BJ321:$BT321,,AH321)*(1-AF321)+INDEX(Models!$BJ321:$BT321,,AH321+1)*AF321-ERP_i)*AE321*Ramure*Pc/MaxiM</f>
        <v>5.557284938402685E-4</v>
      </c>
      <c r="AE321" s="305">
        <f t="shared" si="112"/>
        <v>0.7</v>
      </c>
      <c r="AF321" s="177">
        <f t="shared" si="113"/>
        <v>0.79843175794405097</v>
      </c>
      <c r="AG321" s="810">
        <f t="shared" si="114"/>
        <v>-2</v>
      </c>
      <c r="AH321" s="176">
        <f t="shared" si="115"/>
        <v>4</v>
      </c>
      <c r="AI321" s="225">
        <f t="shared" si="116"/>
        <v>-1.201568242055949</v>
      </c>
      <c r="AJ321" s="265" t="b">
        <f t="shared" si="117"/>
        <v>0</v>
      </c>
      <c r="AK321" s="265" t="b">
        <f t="shared" si="118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9"/>
        <v>43408</v>
      </c>
      <c r="B322" s="616">
        <v>21.498999999999999</v>
      </c>
      <c r="C322" s="390"/>
      <c r="D322" s="393">
        <f t="shared" si="121"/>
        <v>21.546582880243729</v>
      </c>
      <c r="E322" s="385">
        <f t="shared" si="125"/>
        <v>21.922782540846825</v>
      </c>
      <c r="F322" s="385">
        <f t="shared" si="124"/>
        <v>21.931273937161258</v>
      </c>
      <c r="G322" s="110">
        <f t="shared" si="126"/>
        <v>0.80213552576528024</v>
      </c>
      <c r="I322" s="380">
        <f t="shared" si="97"/>
        <v>21.931273937161258</v>
      </c>
      <c r="J322" s="85">
        <v>2018</v>
      </c>
      <c r="K322" s="197">
        <f t="shared" si="98"/>
        <v>43408</v>
      </c>
      <c r="L322" s="436">
        <f t="shared" si="99"/>
        <v>2.2083724601806853E-3</v>
      </c>
      <c r="M322" s="855"/>
      <c r="N322" s="855"/>
      <c r="O322" s="324">
        <f t="shared" si="100"/>
        <v>1.7160214945441014E-2</v>
      </c>
      <c r="P322" s="169">
        <f>(INDEX(Models!$BJ322:$BT322,,T322)*(1-R322)+INDEX(Models!$BJ322:$BT322,,T322+1)*R322-ERP_i)*Q322*Ramure*Pc/MaxiM</f>
        <v>5.3961814437396131E-4</v>
      </c>
      <c r="Q322" s="305">
        <f t="shared" si="101"/>
        <v>0.7</v>
      </c>
      <c r="R322" s="177">
        <f t="shared" si="102"/>
        <v>0.79847155390418889</v>
      </c>
      <c r="S322" s="810">
        <f t="shared" si="120"/>
        <v>-2</v>
      </c>
      <c r="T322" s="176">
        <f t="shared" si="103"/>
        <v>4</v>
      </c>
      <c r="U322" s="251">
        <f t="shared" si="104"/>
        <v>-1.2015284460958111</v>
      </c>
      <c r="V322" s="383">
        <f t="shared" si="105"/>
        <v>26.798116798559459</v>
      </c>
      <c r="W322" s="58"/>
      <c r="X322" s="157">
        <f t="shared" si="106"/>
        <v>43408</v>
      </c>
      <c r="Y322" s="385">
        <f t="shared" si="107"/>
        <v>21.498999999999999</v>
      </c>
      <c r="Z322" s="385">
        <f t="shared" si="108"/>
        <v>21.546582880243729</v>
      </c>
      <c r="AA322" s="386">
        <f t="shared" si="109"/>
        <v>21.922782540846825</v>
      </c>
      <c r="AB322" s="197">
        <f t="shared" si="110"/>
        <v>43408</v>
      </c>
      <c r="AC322" s="425">
        <f t="shared" si="111"/>
        <v>1.7160214945441014E-2</v>
      </c>
      <c r="AD322" s="169">
        <f>(INDEX(Models!$BJ322:$BT322,,AH322)*(1-AF322)+INDEX(Models!$BJ322:$BT322,,AH322+1)*AF322-ERP_i)*AE322*Ramure*Pc/MaxiM</f>
        <v>5.3961814437396131E-4</v>
      </c>
      <c r="AE322" s="305">
        <f t="shared" si="112"/>
        <v>0.7</v>
      </c>
      <c r="AF322" s="177">
        <f t="shared" si="113"/>
        <v>0.79847155390418889</v>
      </c>
      <c r="AG322" s="810">
        <f t="shared" si="114"/>
        <v>-2</v>
      </c>
      <c r="AH322" s="176">
        <f t="shared" si="115"/>
        <v>4</v>
      </c>
      <c r="AI322" s="225">
        <f t="shared" si="116"/>
        <v>-1.2015284460958111</v>
      </c>
      <c r="AJ322" s="265" t="b">
        <f t="shared" si="117"/>
        <v>0</v>
      </c>
      <c r="AK322" s="265" t="b">
        <f t="shared" si="118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9"/>
        <v>43409</v>
      </c>
      <c r="B323" s="616">
        <v>9.4849999999999994</v>
      </c>
      <c r="C323" s="390"/>
      <c r="D323" s="393">
        <f t="shared" si="121"/>
        <v>9.5062139961331624</v>
      </c>
      <c r="E323" s="385">
        <f t="shared" si="125"/>
        <v>9.6737568586831166</v>
      </c>
      <c r="F323" s="385">
        <f t="shared" si="124"/>
        <v>9.6741774750646314</v>
      </c>
      <c r="G323" s="110">
        <f t="shared" si="126"/>
        <v>0.35821994817489466</v>
      </c>
      <c r="I323" s="380">
        <f t="shared" si="97"/>
        <v>9.6741774750646314</v>
      </c>
      <c r="J323" s="85">
        <v>2018</v>
      </c>
      <c r="K323" s="197">
        <f t="shared" si="98"/>
        <v>43409</v>
      </c>
      <c r="L323" s="436">
        <f t="shared" si="99"/>
        <v>2.2315925290332661E-3</v>
      </c>
      <c r="M323" s="855"/>
      <c r="N323" s="855"/>
      <c r="O323" s="324">
        <f t="shared" si="100"/>
        <v>1.7319317096497845E-2</v>
      </c>
      <c r="P323" s="169">
        <f>(INDEX(Models!$BJ323:$BT323,,T323)*(1-R323)+INDEX(Models!$BJ323:$BT323,,T323+1)*R323-ERP_i)*Q323*Ramure*Pc/MaxiM</f>
        <v>5.2122226485713449E-4</v>
      </c>
      <c r="Q323" s="305">
        <f t="shared" si="101"/>
        <v>0.7</v>
      </c>
      <c r="R323" s="177">
        <f t="shared" si="102"/>
        <v>0.79850975501650034</v>
      </c>
      <c r="S323" s="810">
        <f t="shared" si="120"/>
        <v>-2</v>
      </c>
      <c r="T323" s="176">
        <f t="shared" si="103"/>
        <v>4</v>
      </c>
      <c r="U323" s="251">
        <f t="shared" si="104"/>
        <v>-1.2014902449834997</v>
      </c>
      <c r="V323" s="383">
        <f t="shared" si="105"/>
        <v>26.465495429187065</v>
      </c>
      <c r="W323" s="58"/>
      <c r="X323" s="157">
        <f t="shared" si="106"/>
        <v>43409</v>
      </c>
      <c r="Y323" s="385">
        <f t="shared" si="107"/>
        <v>9.4849999999999994</v>
      </c>
      <c r="Z323" s="385">
        <f t="shared" si="108"/>
        <v>9.5062139961331624</v>
      </c>
      <c r="AA323" s="386">
        <f t="shared" si="109"/>
        <v>9.6737568586831166</v>
      </c>
      <c r="AB323" s="197">
        <f t="shared" si="110"/>
        <v>43409</v>
      </c>
      <c r="AC323" s="425">
        <f t="shared" si="111"/>
        <v>1.7319317096497845E-2</v>
      </c>
      <c r="AD323" s="169">
        <f>(INDEX(Models!$BJ323:$BT323,,AH323)*(1-AF323)+INDEX(Models!$BJ323:$BT323,,AH323+1)*AF323-ERP_i)*AE323*Ramure*Pc/MaxiM</f>
        <v>5.2122226485713449E-4</v>
      </c>
      <c r="AE323" s="305">
        <f t="shared" si="112"/>
        <v>0.7</v>
      </c>
      <c r="AF323" s="177">
        <f t="shared" si="113"/>
        <v>0.79850975501650034</v>
      </c>
      <c r="AG323" s="810">
        <f t="shared" si="114"/>
        <v>-2</v>
      </c>
      <c r="AH323" s="176">
        <f t="shared" si="115"/>
        <v>4</v>
      </c>
      <c r="AI323" s="225">
        <f t="shared" si="116"/>
        <v>-1.2014902449834997</v>
      </c>
      <c r="AJ323" s="265" t="b">
        <f t="shared" si="117"/>
        <v>0</v>
      </c>
      <c r="AK323" s="265" t="b">
        <f t="shared" si="118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9"/>
        <v>43410</v>
      </c>
      <c r="B324" s="616">
        <v>17.731999999999999</v>
      </c>
      <c r="C324" s="390"/>
      <c r="D324" s="393">
        <f t="shared" si="121"/>
        <v>17.772072683774514</v>
      </c>
      <c r="E324" s="385">
        <f t="shared" si="125"/>
        <v>18.088219596869571</v>
      </c>
      <c r="F324" s="385">
        <f t="shared" si="124"/>
        <v>18.093121508891922</v>
      </c>
      <c r="G324" s="110">
        <f t="shared" si="126"/>
        <v>0.67827453417187122</v>
      </c>
      <c r="I324" s="380">
        <f t="shared" si="97"/>
        <v>18.093121508891922</v>
      </c>
      <c r="J324" s="85">
        <v>2018</v>
      </c>
      <c r="K324" s="197">
        <f t="shared" si="98"/>
        <v>43410</v>
      </c>
      <c r="L324" s="436">
        <f t="shared" si="99"/>
        <v>2.2548120575209829E-3</v>
      </c>
      <c r="M324" s="855"/>
      <c r="N324" s="855"/>
      <c r="O324" s="324">
        <f t="shared" si="100"/>
        <v>1.7478055891679476E-2</v>
      </c>
      <c r="P324" s="169">
        <f>(INDEX(Models!$BJ324:$BT324,,T324)*(1-R324)+INDEX(Models!$BJ324:$BT324,,T324+1)*R324-ERP_i)*Q324*Ramure*Pc/MaxiM</f>
        <v>5.0114525004580463E-4</v>
      </c>
      <c r="Q324" s="305">
        <f t="shared" si="101"/>
        <v>0.7</v>
      </c>
      <c r="R324" s="177">
        <f t="shared" si="102"/>
        <v>0.79854642490807559</v>
      </c>
      <c r="S324" s="810">
        <f t="shared" si="120"/>
        <v>-2</v>
      </c>
      <c r="T324" s="176">
        <f t="shared" si="103"/>
        <v>4</v>
      </c>
      <c r="U324" s="251">
        <f t="shared" si="104"/>
        <v>-1.2014535750919244</v>
      </c>
      <c r="V324" s="383">
        <f t="shared" si="105"/>
        <v>26.136786459633178</v>
      </c>
      <c r="W324" s="58"/>
      <c r="X324" s="157">
        <f t="shared" si="106"/>
        <v>43410</v>
      </c>
      <c r="Y324" s="385">
        <f t="shared" si="107"/>
        <v>17.731999999999999</v>
      </c>
      <c r="Z324" s="385">
        <f t="shared" si="108"/>
        <v>17.772072683774514</v>
      </c>
      <c r="AA324" s="386">
        <f t="shared" si="109"/>
        <v>18.088219596869571</v>
      </c>
      <c r="AB324" s="197">
        <f t="shared" si="110"/>
        <v>43410</v>
      </c>
      <c r="AC324" s="425">
        <f t="shared" si="111"/>
        <v>1.7478055891679476E-2</v>
      </c>
      <c r="AD324" s="169">
        <f>(INDEX(Models!$BJ324:$BT324,,AH324)*(1-AF324)+INDEX(Models!$BJ324:$BT324,,AH324+1)*AF324-ERP_i)*AE324*Ramure*Pc/MaxiM</f>
        <v>5.0114525004580463E-4</v>
      </c>
      <c r="AE324" s="305">
        <f t="shared" si="112"/>
        <v>0.7</v>
      </c>
      <c r="AF324" s="177">
        <f t="shared" si="113"/>
        <v>0.79854642490807559</v>
      </c>
      <c r="AG324" s="810">
        <f t="shared" si="114"/>
        <v>-2</v>
      </c>
      <c r="AH324" s="176">
        <f t="shared" si="115"/>
        <v>4</v>
      </c>
      <c r="AI324" s="225">
        <f t="shared" si="116"/>
        <v>-1.2014535750919244</v>
      </c>
      <c r="AJ324" s="265" t="b">
        <f t="shared" si="117"/>
        <v>0</v>
      </c>
      <c r="AK324" s="265" t="b">
        <f t="shared" si="118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9"/>
        <v>43411</v>
      </c>
      <c r="B325" s="616">
        <v>9.7379999999999995</v>
      </c>
      <c r="C325" s="390"/>
      <c r="D325" s="393">
        <f t="shared" si="121"/>
        <v>9.7602341163298725</v>
      </c>
      <c r="E325" s="385">
        <f t="shared" si="125"/>
        <v>9.9354603875397913</v>
      </c>
      <c r="F325" s="385">
        <f t="shared" ref="F325:F356" si="127">Wh_sa/(1-Pvg*MEDIAN((-Sdif+Wh/Env_an)/Csdif,0,1))</f>
        <v>9.9359879328924468</v>
      </c>
      <c r="G325" s="110">
        <f t="shared" si="126"/>
        <v>0.37709794184070217</v>
      </c>
      <c r="I325" s="380">
        <f t="shared" si="97"/>
        <v>9.9359879328924468</v>
      </c>
      <c r="J325" s="85">
        <v>2018</v>
      </c>
      <c r="K325" s="197">
        <f t="shared" si="98"/>
        <v>43411</v>
      </c>
      <c r="L325" s="436">
        <f t="shared" si="99"/>
        <v>2.2780310456562702E-3</v>
      </c>
      <c r="M325" s="855"/>
      <c r="N325" s="855"/>
      <c r="O325" s="324">
        <f t="shared" si="100"/>
        <v>1.7636452099358369E-2</v>
      </c>
      <c r="P325" s="169">
        <f>(INDEX(Models!$BJ325:$BT325,,T325)*(1-R325)+INDEX(Models!$BJ325:$BT325,,T325+1)*R325-ERP_i)*Q325*Ramure*Pc/MaxiM</f>
        <v>4.810557819877683E-4</v>
      </c>
      <c r="Q325" s="305">
        <f t="shared" si="101"/>
        <v>0.7</v>
      </c>
      <c r="R325" s="177">
        <f t="shared" si="102"/>
        <v>0.79858162469021243</v>
      </c>
      <c r="S325" s="810">
        <f t="shared" si="120"/>
        <v>-2</v>
      </c>
      <c r="T325" s="176">
        <f t="shared" si="103"/>
        <v>4</v>
      </c>
      <c r="U325" s="251">
        <f t="shared" si="104"/>
        <v>-1.2014183753097876</v>
      </c>
      <c r="V325" s="383">
        <f t="shared" si="105"/>
        <v>25.812477902428586</v>
      </c>
      <c r="W325" s="58"/>
      <c r="X325" s="157">
        <f t="shared" si="106"/>
        <v>43411</v>
      </c>
      <c r="Y325" s="385">
        <f t="shared" si="107"/>
        <v>9.7379999999999995</v>
      </c>
      <c r="Z325" s="385">
        <f t="shared" si="108"/>
        <v>9.7602341163298725</v>
      </c>
      <c r="AA325" s="386">
        <f t="shared" si="109"/>
        <v>9.9354603875397913</v>
      </c>
      <c r="AB325" s="197">
        <f t="shared" si="110"/>
        <v>43411</v>
      </c>
      <c r="AC325" s="425">
        <f t="shared" si="111"/>
        <v>1.7636452099358369E-2</v>
      </c>
      <c r="AD325" s="169">
        <f>(INDEX(Models!$BJ325:$BT325,,AH325)*(1-AF325)+INDEX(Models!$BJ325:$BT325,,AH325+1)*AF325-ERP_i)*AE325*Ramure*Pc/MaxiM</f>
        <v>4.810557819877683E-4</v>
      </c>
      <c r="AE325" s="305">
        <f t="shared" si="112"/>
        <v>0.7</v>
      </c>
      <c r="AF325" s="177">
        <f t="shared" si="113"/>
        <v>0.79858162469021243</v>
      </c>
      <c r="AG325" s="810">
        <f t="shared" si="114"/>
        <v>-2</v>
      </c>
      <c r="AH325" s="176">
        <f t="shared" si="115"/>
        <v>4</v>
      </c>
      <c r="AI325" s="225">
        <f t="shared" si="116"/>
        <v>-1.2014183753097876</v>
      </c>
      <c r="AJ325" s="265" t="b">
        <f t="shared" si="117"/>
        <v>0</v>
      </c>
      <c r="AK325" s="265" t="b">
        <f t="shared" si="118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9"/>
        <v>43412</v>
      </c>
      <c r="B326" s="616">
        <v>13.156000000000001</v>
      </c>
      <c r="C326" s="390"/>
      <c r="D326" s="393">
        <f t="shared" si="121"/>
        <v>13.186345069912619</v>
      </c>
      <c r="E326" s="385">
        <f t="shared" si="125"/>
        <v>13.425240881133927</v>
      </c>
      <c r="F326" s="385">
        <f t="shared" si="127"/>
        <v>13.427151249755362</v>
      </c>
      <c r="G326" s="110">
        <f t="shared" si="126"/>
        <v>0.51589668416272816</v>
      </c>
      <c r="I326" s="380">
        <f t="shared" si="97"/>
        <v>13.427151249755362</v>
      </c>
      <c r="J326" s="85">
        <v>2018</v>
      </c>
      <c r="K326" s="197">
        <f t="shared" si="98"/>
        <v>43412</v>
      </c>
      <c r="L326" s="436">
        <f t="shared" si="99"/>
        <v>2.3012494934518957E-3</v>
      </c>
      <c r="M326" s="855"/>
      <c r="N326" s="855"/>
      <c r="O326" s="324">
        <f t="shared" si="100"/>
        <v>1.7794526991096436E-2</v>
      </c>
      <c r="P326" s="169">
        <f>(INDEX(Models!$BJ326:$BT326,,T326)*(1-R326)+INDEX(Models!$BJ326:$BT326,,T326+1)*R326-ERP_i)*Q326*Ramure*Pc/MaxiM</f>
        <v>4.6095085573607256E-4</v>
      </c>
      <c r="Q326" s="305">
        <f t="shared" si="101"/>
        <v>0.7</v>
      </c>
      <c r="R326" s="177">
        <f t="shared" si="102"/>
        <v>0.79861541305610539</v>
      </c>
      <c r="S326" s="810">
        <f t="shared" si="120"/>
        <v>-2</v>
      </c>
      <c r="T326" s="176">
        <f t="shared" si="103"/>
        <v>4</v>
      </c>
      <c r="U326" s="251">
        <f t="shared" si="104"/>
        <v>-1.2013845869438946</v>
      </c>
      <c r="V326" s="383">
        <f t="shared" si="105"/>
        <v>25.493102258391282</v>
      </c>
      <c r="W326" s="58"/>
      <c r="X326" s="157">
        <f t="shared" si="106"/>
        <v>43412</v>
      </c>
      <c r="Y326" s="385">
        <f t="shared" si="107"/>
        <v>13.156000000000001</v>
      </c>
      <c r="Z326" s="385">
        <f t="shared" si="108"/>
        <v>13.186345069912619</v>
      </c>
      <c r="AA326" s="386">
        <f t="shared" si="109"/>
        <v>13.425240881133927</v>
      </c>
      <c r="AB326" s="197">
        <f t="shared" si="110"/>
        <v>43412</v>
      </c>
      <c r="AC326" s="425">
        <f t="shared" si="111"/>
        <v>1.7794526991096436E-2</v>
      </c>
      <c r="AD326" s="169">
        <f>(INDEX(Models!$BJ326:$BT326,,AH326)*(1-AF326)+INDEX(Models!$BJ326:$BT326,,AH326+1)*AF326-ERP_i)*AE326*Ramure*Pc/MaxiM</f>
        <v>4.6095085573607256E-4</v>
      </c>
      <c r="AE326" s="305">
        <f t="shared" si="112"/>
        <v>0.7</v>
      </c>
      <c r="AF326" s="177">
        <f t="shared" si="113"/>
        <v>0.79861541305610539</v>
      </c>
      <c r="AG326" s="810">
        <f t="shared" si="114"/>
        <v>-2</v>
      </c>
      <c r="AH326" s="176">
        <f t="shared" si="115"/>
        <v>4</v>
      </c>
      <c r="AI326" s="225">
        <f t="shared" si="116"/>
        <v>-1.2013845869438946</v>
      </c>
      <c r="AJ326" s="265" t="b">
        <f t="shared" si="117"/>
        <v>0</v>
      </c>
      <c r="AK326" s="265" t="b">
        <f t="shared" si="118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9"/>
        <v>43413</v>
      </c>
      <c r="B327" s="616">
        <v>5.351</v>
      </c>
      <c r="C327" s="390"/>
      <c r="D327" s="393">
        <f t="shared" si="121"/>
        <v>5.3634672046731673</v>
      </c>
      <c r="E327" s="385">
        <f t="shared" si="125"/>
        <v>5.4615139538892565</v>
      </c>
      <c r="F327" s="385">
        <f t="shared" si="127"/>
        <v>5.4615139538892565</v>
      </c>
      <c r="G327" s="110">
        <f t="shared" si="126"/>
        <v>0.21242306727143709</v>
      </c>
      <c r="I327" s="380">
        <f t="shared" si="97"/>
        <v>5.4615139538892565</v>
      </c>
      <c r="J327" s="85">
        <v>2018</v>
      </c>
      <c r="K327" s="197">
        <f t="shared" si="98"/>
        <v>43413</v>
      </c>
      <c r="L327" s="436">
        <f t="shared" si="99"/>
        <v>2.3244674009201827E-3</v>
      </c>
      <c r="M327" s="855"/>
      <c r="N327" s="855"/>
      <c r="O327" s="324">
        <f t="shared" si="100"/>
        <v>1.7952302245106942E-2</v>
      </c>
      <c r="P327" s="169">
        <f>(INDEX(Models!$BJ327:$BT327,,T327)*(1-R327)+INDEX(Models!$BJ327:$BT327,,T327+1)*R327-ERP_i)*Q327*Ramure*Pc/MaxiM</f>
        <v>4.4082836295942298E-4</v>
      </c>
      <c r="Q327" s="305">
        <f t="shared" si="101"/>
        <v>0.7</v>
      </c>
      <c r="R327" s="177">
        <f t="shared" si="102"/>
        <v>0.79864784637488095</v>
      </c>
      <c r="S327" s="810">
        <f t="shared" si="120"/>
        <v>-2</v>
      </c>
      <c r="T327" s="176">
        <f t="shared" si="103"/>
        <v>4</v>
      </c>
      <c r="U327" s="251">
        <f t="shared" si="104"/>
        <v>-1.201352153625119</v>
      </c>
      <c r="V327" s="383">
        <f t="shared" si="105"/>
        <v>25.179191676934209</v>
      </c>
      <c r="W327" s="58"/>
      <c r="X327" s="157">
        <f t="shared" si="106"/>
        <v>43413</v>
      </c>
      <c r="Y327" s="385">
        <f t="shared" si="107"/>
        <v>5.351</v>
      </c>
      <c r="Z327" s="385">
        <f t="shared" si="108"/>
        <v>5.3634672046731673</v>
      </c>
      <c r="AA327" s="386">
        <f t="shared" si="109"/>
        <v>5.4615139538892565</v>
      </c>
      <c r="AB327" s="197">
        <f t="shared" si="110"/>
        <v>43413</v>
      </c>
      <c r="AC327" s="425">
        <f t="shared" si="111"/>
        <v>1.7952302245106942E-2</v>
      </c>
      <c r="AD327" s="169">
        <f>(INDEX(Models!$BJ327:$BT327,,AH327)*(1-AF327)+INDEX(Models!$BJ327:$BT327,,AH327+1)*AF327-ERP_i)*AE327*Ramure*Pc/MaxiM</f>
        <v>4.4082836295942298E-4</v>
      </c>
      <c r="AE327" s="305">
        <f t="shared" si="112"/>
        <v>0.7</v>
      </c>
      <c r="AF327" s="177">
        <f t="shared" si="113"/>
        <v>0.79864784637488095</v>
      </c>
      <c r="AG327" s="810">
        <f t="shared" si="114"/>
        <v>-2</v>
      </c>
      <c r="AH327" s="176">
        <f t="shared" si="115"/>
        <v>4</v>
      </c>
      <c r="AI327" s="225">
        <f t="shared" si="116"/>
        <v>-1.201352153625119</v>
      </c>
      <c r="AJ327" s="265" t="b">
        <f t="shared" si="117"/>
        <v>0</v>
      </c>
      <c r="AK327" s="265" t="b">
        <f t="shared" si="118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9"/>
        <v>43414</v>
      </c>
      <c r="B328" s="616">
        <v>16.806000000000001</v>
      </c>
      <c r="C328" s="390"/>
      <c r="D328" s="393">
        <f t="shared" si="121"/>
        <v>16.845548036535231</v>
      </c>
      <c r="E328" s="385">
        <f t="shared" si="125"/>
        <v>17.156244184832818</v>
      </c>
      <c r="F328" s="385">
        <f t="shared" si="127"/>
        <v>17.160118945788746</v>
      </c>
      <c r="G328" s="110">
        <f t="shared" si="126"/>
        <v>0.67558747961331322</v>
      </c>
      <c r="I328" s="380">
        <f t="shared" si="97"/>
        <v>17.160118945788746</v>
      </c>
      <c r="J328" s="85">
        <v>2018</v>
      </c>
      <c r="K328" s="197">
        <f t="shared" si="98"/>
        <v>43414</v>
      </c>
      <c r="L328" s="436">
        <f t="shared" si="99"/>
        <v>2.3476847680738988E-3</v>
      </c>
      <c r="M328" s="855"/>
      <c r="N328" s="855"/>
      <c r="O328" s="324">
        <f t="shared" si="100"/>
        <v>1.810979984606783E-2</v>
      </c>
      <c r="P328" s="169">
        <f>(INDEX(Models!$BJ328:$BT328,,T328)*(1-R328)+INDEX(Models!$BJ328:$BT328,,T328+1)*R328-ERP_i)*Q328*Ramure*Pc/MaxiM</f>
        <v>4.206871768594463E-4</v>
      </c>
      <c r="Q328" s="305">
        <f t="shared" si="101"/>
        <v>0.7</v>
      </c>
      <c r="R328" s="177">
        <f t="shared" si="102"/>
        <v>0.79867897878210914</v>
      </c>
      <c r="S328" s="810">
        <f t="shared" si="120"/>
        <v>-2</v>
      </c>
      <c r="T328" s="176">
        <f t="shared" si="103"/>
        <v>4</v>
      </c>
      <c r="U328" s="251">
        <f t="shared" si="104"/>
        <v>-1.2013210212178909</v>
      </c>
      <c r="V328" s="383">
        <f t="shared" si="105"/>
        <v>24.871277960881596</v>
      </c>
      <c r="W328" s="58"/>
      <c r="X328" s="157">
        <f t="shared" si="106"/>
        <v>43414</v>
      </c>
      <c r="Y328" s="385">
        <f t="shared" si="107"/>
        <v>16.806000000000001</v>
      </c>
      <c r="Z328" s="385">
        <f t="shared" si="108"/>
        <v>16.845548036535231</v>
      </c>
      <c r="AA328" s="386">
        <f t="shared" si="109"/>
        <v>17.156244184832818</v>
      </c>
      <c r="AB328" s="197">
        <f t="shared" si="110"/>
        <v>43414</v>
      </c>
      <c r="AC328" s="425">
        <f t="shared" si="111"/>
        <v>1.810979984606783E-2</v>
      </c>
      <c r="AD328" s="169">
        <f>(INDEX(Models!$BJ328:$BT328,,AH328)*(1-AF328)+INDEX(Models!$BJ328:$BT328,,AH328+1)*AF328-ERP_i)*AE328*Ramure*Pc/MaxiM</f>
        <v>4.206871768594463E-4</v>
      </c>
      <c r="AE328" s="305">
        <f t="shared" si="112"/>
        <v>0.7</v>
      </c>
      <c r="AF328" s="177">
        <f t="shared" si="113"/>
        <v>0.79867897878210914</v>
      </c>
      <c r="AG328" s="810">
        <f t="shared" si="114"/>
        <v>-2</v>
      </c>
      <c r="AH328" s="176">
        <f t="shared" si="115"/>
        <v>4</v>
      </c>
      <c r="AI328" s="225">
        <f t="shared" si="116"/>
        <v>-1.2013210212178909</v>
      </c>
      <c r="AJ328" s="265" t="b">
        <f t="shared" si="117"/>
        <v>0</v>
      </c>
      <c r="AK328" s="265" t="b">
        <f t="shared" si="118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9"/>
        <v>43415</v>
      </c>
      <c r="B329" s="616">
        <v>19.417999999999999</v>
      </c>
      <c r="C329" s="390"/>
      <c r="D329" s="393">
        <f t="shared" si="121"/>
        <v>19.464147578537823</v>
      </c>
      <c r="E329" s="385">
        <f t="shared" si="125"/>
        <v>19.826315720145857</v>
      </c>
      <c r="F329" s="385">
        <f t="shared" si="127"/>
        <v>19.831879561210012</v>
      </c>
      <c r="G329" s="110">
        <f t="shared" si="126"/>
        <v>0.79022199968097262</v>
      </c>
      <c r="I329" s="380">
        <f t="shared" si="97"/>
        <v>19.831879561210012</v>
      </c>
      <c r="J329" s="85">
        <v>2018</v>
      </c>
      <c r="K329" s="197">
        <f t="shared" si="98"/>
        <v>43415</v>
      </c>
      <c r="L329" s="436">
        <f t="shared" si="99"/>
        <v>2.3709015949255896E-3</v>
      </c>
      <c r="M329" s="855"/>
      <c r="N329" s="855"/>
      <c r="O329" s="324">
        <f t="shared" si="100"/>
        <v>1.8267041981987007E-2</v>
      </c>
      <c r="P329" s="169">
        <f>(INDEX(Models!$BJ329:$BT329,,T329)*(1-R329)+INDEX(Models!$BJ329:$BT329,,T329+1)*R329-ERP_i)*Q329*Ramure*Pc/MaxiM</f>
        <v>4.0052724600891254E-4</v>
      </c>
      <c r="Q329" s="305">
        <f t="shared" si="101"/>
        <v>0.7</v>
      </c>
      <c r="R329" s="177">
        <f t="shared" si="102"/>
        <v>0.79870886226690674</v>
      </c>
      <c r="S329" s="810">
        <f t="shared" si="120"/>
        <v>-2</v>
      </c>
      <c r="T329" s="176">
        <f t="shared" si="103"/>
        <v>4</v>
      </c>
      <c r="U329" s="251">
        <f t="shared" si="104"/>
        <v>-1.2012911377330933</v>
      </c>
      <c r="V329" s="383">
        <f t="shared" si="105"/>
        <v>24.569892565624144</v>
      </c>
      <c r="W329" s="58"/>
      <c r="X329" s="157">
        <f t="shared" si="106"/>
        <v>43415</v>
      </c>
      <c r="Y329" s="385">
        <f t="shared" si="107"/>
        <v>19.417999999999999</v>
      </c>
      <c r="Z329" s="385">
        <f t="shared" si="108"/>
        <v>19.464147578537823</v>
      </c>
      <c r="AA329" s="386">
        <f t="shared" si="109"/>
        <v>19.826315720145857</v>
      </c>
      <c r="AB329" s="197">
        <f t="shared" si="110"/>
        <v>43415</v>
      </c>
      <c r="AC329" s="425">
        <f t="shared" si="111"/>
        <v>1.8267041981987007E-2</v>
      </c>
      <c r="AD329" s="169">
        <f>(INDEX(Models!$BJ329:$BT329,,AH329)*(1-AF329)+INDEX(Models!$BJ329:$BT329,,AH329+1)*AF329-ERP_i)*AE329*Ramure*Pc/MaxiM</f>
        <v>4.0052724600891254E-4</v>
      </c>
      <c r="AE329" s="305">
        <f t="shared" si="112"/>
        <v>0.7</v>
      </c>
      <c r="AF329" s="177">
        <f t="shared" si="113"/>
        <v>0.79870886226690674</v>
      </c>
      <c r="AG329" s="810">
        <f t="shared" si="114"/>
        <v>-2</v>
      </c>
      <c r="AH329" s="176">
        <f t="shared" si="115"/>
        <v>4</v>
      </c>
      <c r="AI329" s="225">
        <f t="shared" si="116"/>
        <v>-1.2012911377330933</v>
      </c>
      <c r="AJ329" s="265" t="b">
        <f t="shared" si="117"/>
        <v>0</v>
      </c>
      <c r="AK329" s="265" t="b">
        <f t="shared" si="118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9"/>
        <v>43416</v>
      </c>
      <c r="B330" s="616">
        <v>21.288</v>
      </c>
      <c r="C330" s="390"/>
      <c r="D330" s="393">
        <f t="shared" si="121"/>
        <v>21.339088292856577</v>
      </c>
      <c r="E330" s="385">
        <f t="shared" si="125"/>
        <v>21.739620162114697</v>
      </c>
      <c r="F330" s="385">
        <f t="shared" si="127"/>
        <v>21.746437222180582</v>
      </c>
      <c r="G330" s="110">
        <f t="shared" si="126"/>
        <v>0.87687246868900104</v>
      </c>
      <c r="I330" s="380">
        <f t="shared" si="97"/>
        <v>21.746437222180582</v>
      </c>
      <c r="J330" s="85">
        <v>2018</v>
      </c>
      <c r="K330" s="197">
        <f t="shared" si="98"/>
        <v>43416</v>
      </c>
      <c r="L330" s="436">
        <f t="shared" si="99"/>
        <v>2.3941178814878006E-3</v>
      </c>
      <c r="M330" s="855"/>
      <c r="N330" s="855"/>
      <c r="O330" s="324">
        <f t="shared" si="100"/>
        <v>1.8424050938853281E-2</v>
      </c>
      <c r="P330" s="169">
        <f>(INDEX(Models!$BJ330:$BT330,,T330)*(1-R330)+INDEX(Models!$BJ330:$BT330,,T330+1)*R330-ERP_i)*Q330*Ramure*Pc/MaxiM</f>
        <v>3.8034969617246753E-4</v>
      </c>
      <c r="Q330" s="305">
        <f t="shared" si="101"/>
        <v>0.7</v>
      </c>
      <c r="R330" s="177">
        <f t="shared" si="102"/>
        <v>0.79873754675575737</v>
      </c>
      <c r="S330" s="810">
        <f t="shared" si="120"/>
        <v>-2</v>
      </c>
      <c r="T330" s="176">
        <f t="shared" si="103"/>
        <v>4</v>
      </c>
      <c r="U330" s="251">
        <f t="shared" si="104"/>
        <v>-1.2012624532442426</v>
      </c>
      <c r="V330" s="383">
        <f t="shared" si="105"/>
        <v>24.275566606105706</v>
      </c>
      <c r="W330" s="58"/>
      <c r="X330" s="157">
        <f t="shared" si="106"/>
        <v>43416</v>
      </c>
      <c r="Y330" s="385">
        <f t="shared" si="107"/>
        <v>21.288</v>
      </c>
      <c r="Z330" s="385">
        <f t="shared" si="108"/>
        <v>21.339088292856577</v>
      </c>
      <c r="AA330" s="386">
        <f t="shared" si="109"/>
        <v>21.739620162114697</v>
      </c>
      <c r="AB330" s="197">
        <f t="shared" si="110"/>
        <v>43416</v>
      </c>
      <c r="AC330" s="425">
        <f t="shared" si="111"/>
        <v>1.8424050938853281E-2</v>
      </c>
      <c r="AD330" s="169">
        <f>(INDEX(Models!$BJ330:$BT330,,AH330)*(1-AF330)+INDEX(Models!$BJ330:$BT330,,AH330+1)*AF330-ERP_i)*AE330*Ramure*Pc/MaxiM</f>
        <v>3.8034969617246753E-4</v>
      </c>
      <c r="AE330" s="305">
        <f t="shared" si="112"/>
        <v>0.7</v>
      </c>
      <c r="AF330" s="177">
        <f t="shared" si="113"/>
        <v>0.79873754675575737</v>
      </c>
      <c r="AG330" s="810">
        <f t="shared" si="114"/>
        <v>-2</v>
      </c>
      <c r="AH330" s="176">
        <f t="shared" si="115"/>
        <v>4</v>
      </c>
      <c r="AI330" s="225">
        <f t="shared" si="116"/>
        <v>-1.2012624532442426</v>
      </c>
      <c r="AJ330" s="265" t="b">
        <f t="shared" si="117"/>
        <v>0</v>
      </c>
      <c r="AK330" s="265" t="b">
        <f t="shared" si="118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9"/>
        <v>43417</v>
      </c>
      <c r="B331" s="616">
        <v>7.7119999999999997</v>
      </c>
      <c r="C331" s="390"/>
      <c r="D331" s="393">
        <f t="shared" si="121"/>
        <v>7.7306876512251161</v>
      </c>
      <c r="E331" s="385">
        <f t="shared" si="125"/>
        <v>7.877049926424915</v>
      </c>
      <c r="F331" s="385">
        <f t="shared" si="127"/>
        <v>7.8771371520927262</v>
      </c>
      <c r="G331" s="110">
        <f t="shared" si="126"/>
        <v>0.3214072767519503</v>
      </c>
      <c r="I331" s="380">
        <f t="shared" si="97"/>
        <v>7.8771371520927262</v>
      </c>
      <c r="J331" s="85">
        <v>2018</v>
      </c>
      <c r="K331" s="197">
        <f t="shared" si="98"/>
        <v>43417</v>
      </c>
      <c r="L331" s="436">
        <f t="shared" si="99"/>
        <v>2.4173336277730773E-3</v>
      </c>
      <c r="M331" s="855"/>
      <c r="N331" s="855"/>
      <c r="O331" s="324">
        <f t="shared" si="100"/>
        <v>1.8580848993834786E-2</v>
      </c>
      <c r="P331" s="169">
        <f>(INDEX(Models!$BJ331:$BT331,,T331)*(1-R331)+INDEX(Models!$BJ331:$BT331,,T331+1)*R331-ERP_i)*Q331*Ramure*Pc/MaxiM</f>
        <v>3.6019790848091564E-4</v>
      </c>
      <c r="Q331" s="305">
        <f t="shared" si="101"/>
        <v>0.7</v>
      </c>
      <c r="R331" s="177">
        <f t="shared" si="102"/>
        <v>0.79876508019315784</v>
      </c>
      <c r="S331" s="810">
        <f t="shared" si="120"/>
        <v>-2</v>
      </c>
      <c r="T331" s="176">
        <f t="shared" si="103"/>
        <v>4</v>
      </c>
      <c r="U331" s="251">
        <f t="shared" si="104"/>
        <v>-1.2012349198068422</v>
      </c>
      <c r="V331" s="383">
        <f t="shared" si="105"/>
        <v>23.986101369212324</v>
      </c>
      <c r="W331" s="58"/>
      <c r="X331" s="157">
        <f t="shared" si="106"/>
        <v>43417</v>
      </c>
      <c r="Y331" s="385">
        <f t="shared" si="107"/>
        <v>7.7119999999999997</v>
      </c>
      <c r="Z331" s="385">
        <f t="shared" si="108"/>
        <v>7.7306876512251161</v>
      </c>
      <c r="AA331" s="386">
        <f t="shared" si="109"/>
        <v>7.877049926424915</v>
      </c>
      <c r="AB331" s="197">
        <f t="shared" si="110"/>
        <v>43417</v>
      </c>
      <c r="AC331" s="425">
        <f t="shared" si="111"/>
        <v>1.8580848993834786E-2</v>
      </c>
      <c r="AD331" s="169">
        <f>(INDEX(Models!$BJ331:$BT331,,AH331)*(1-AF331)+INDEX(Models!$BJ331:$BT331,,AH331+1)*AF331-ERP_i)*AE331*Ramure*Pc/MaxiM</f>
        <v>3.6019790848091564E-4</v>
      </c>
      <c r="AE331" s="305">
        <f t="shared" si="112"/>
        <v>0.7</v>
      </c>
      <c r="AF331" s="177">
        <f t="shared" si="113"/>
        <v>0.79876508019315784</v>
      </c>
      <c r="AG331" s="810">
        <f t="shared" si="114"/>
        <v>-2</v>
      </c>
      <c r="AH331" s="176">
        <f t="shared" si="115"/>
        <v>4</v>
      </c>
      <c r="AI331" s="225">
        <f t="shared" si="116"/>
        <v>-1.2012349198068422</v>
      </c>
      <c r="AJ331" s="265" t="b">
        <f t="shared" si="117"/>
        <v>0</v>
      </c>
      <c r="AK331" s="265" t="b">
        <f t="shared" si="118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9"/>
        <v>43418</v>
      </c>
      <c r="B332" s="616">
        <v>16.678000000000001</v>
      </c>
      <c r="C332" s="390"/>
      <c r="D332" s="393">
        <f t="shared" si="121"/>
        <v>16.718803055299045</v>
      </c>
      <c r="E332" s="385">
        <f t="shared" si="125"/>
        <v>17.038052860417327</v>
      </c>
      <c r="F332" s="385">
        <f t="shared" si="127"/>
        <v>17.041403423677032</v>
      </c>
      <c r="G332" s="110">
        <f t="shared" si="126"/>
        <v>0.70363075098509065</v>
      </c>
      <c r="I332" s="380">
        <f t="shared" si="97"/>
        <v>17.041403423677032</v>
      </c>
      <c r="J332" s="85">
        <v>2018</v>
      </c>
      <c r="K332" s="197">
        <f t="shared" si="98"/>
        <v>43418</v>
      </c>
      <c r="L332" s="436">
        <f t="shared" si="99"/>
        <v>2.4405488337940762E-3</v>
      </c>
      <c r="M332" s="855"/>
      <c r="N332" s="855"/>
      <c r="O332" s="324">
        <f t="shared" si="100"/>
        <v>1.8737458307807122E-2</v>
      </c>
      <c r="P332" s="169">
        <f>(INDEX(Models!$BJ332:$BT332,,T332)*(1-R332)+INDEX(Models!$BJ332:$BT332,,T332+1)*R332-ERP_i)*Q332*Ramure*Pc/MaxiM</f>
        <v>3.4089215218239974E-4</v>
      </c>
      <c r="Q332" s="305">
        <f t="shared" si="101"/>
        <v>0.7</v>
      </c>
      <c r="R332" s="177">
        <f t="shared" si="102"/>
        <v>0.79879150861920722</v>
      </c>
      <c r="S332" s="810">
        <f t="shared" si="120"/>
        <v>-2</v>
      </c>
      <c r="T332" s="176">
        <f t="shared" si="103"/>
        <v>4</v>
      </c>
      <c r="U332" s="251">
        <f t="shared" si="104"/>
        <v>-1.2012084913807928</v>
      </c>
      <c r="V332" s="383">
        <f t="shared" si="105"/>
        <v>23.699352561728301</v>
      </c>
      <c r="W332" s="58"/>
      <c r="X332" s="157">
        <f t="shared" si="106"/>
        <v>43418</v>
      </c>
      <c r="Y332" s="385">
        <f t="shared" si="107"/>
        <v>16.678000000000001</v>
      </c>
      <c r="Z332" s="385">
        <f t="shared" si="108"/>
        <v>16.718803055299045</v>
      </c>
      <c r="AA332" s="386">
        <f t="shared" si="109"/>
        <v>17.038052860417327</v>
      </c>
      <c r="AB332" s="197">
        <f t="shared" si="110"/>
        <v>43418</v>
      </c>
      <c r="AC332" s="425">
        <f t="shared" si="111"/>
        <v>1.8737458307807122E-2</v>
      </c>
      <c r="AD332" s="169">
        <f>(INDEX(Models!$BJ332:$BT332,,AH332)*(1-AF332)+INDEX(Models!$BJ332:$BT332,,AH332+1)*AF332-ERP_i)*AE332*Ramure*Pc/MaxiM</f>
        <v>3.4089215218239974E-4</v>
      </c>
      <c r="AE332" s="305">
        <f t="shared" si="112"/>
        <v>0.7</v>
      </c>
      <c r="AF332" s="177">
        <f t="shared" si="113"/>
        <v>0.79879150861920722</v>
      </c>
      <c r="AG332" s="810">
        <f t="shared" si="114"/>
        <v>-2</v>
      </c>
      <c r="AH332" s="176">
        <f t="shared" si="115"/>
        <v>4</v>
      </c>
      <c r="AI332" s="225">
        <f t="shared" si="116"/>
        <v>-1.2012084913807928</v>
      </c>
      <c r="AJ332" s="265" t="b">
        <f t="shared" si="117"/>
        <v>0</v>
      </c>
      <c r="AK332" s="265" t="b">
        <f t="shared" si="118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9"/>
        <v>43419</v>
      </c>
      <c r="B333" s="616">
        <v>15.21</v>
      </c>
      <c r="C333" s="390"/>
      <c r="D333" s="393">
        <f t="shared" si="121"/>
        <v>15.247566397547445</v>
      </c>
      <c r="E333" s="385">
        <f t="shared" si="125"/>
        <v>15.541200294504604</v>
      </c>
      <c r="F333" s="385">
        <f t="shared" si="127"/>
        <v>15.543705853836657</v>
      </c>
      <c r="G333" s="110">
        <f t="shared" si="126"/>
        <v>0.64945219874044058</v>
      </c>
      <c r="I333" s="380">
        <f t="shared" si="97"/>
        <v>15.543705853836657</v>
      </c>
      <c r="J333" s="85">
        <v>2018</v>
      </c>
      <c r="K333" s="197">
        <f t="shared" si="98"/>
        <v>43419</v>
      </c>
      <c r="L333" s="436">
        <f t="shared" si="99"/>
        <v>2.4637634995632318E-3</v>
      </c>
      <c r="M333" s="855"/>
      <c r="N333" s="855"/>
      <c r="O333" s="324">
        <f t="shared" si="100"/>
        <v>1.8893900818007445E-2</v>
      </c>
      <c r="P333" s="169">
        <f>(INDEX(Models!$BJ333:$BT333,,T333)*(1-R333)+INDEX(Models!$BJ333:$BT333,,T333+1)*R333-ERP_i)*Q333*Ramure*Pc/MaxiM</f>
        <v>3.2279732546633123E-4</v>
      </c>
      <c r="Q333" s="305">
        <f t="shared" si="101"/>
        <v>0.7</v>
      </c>
      <c r="R333" s="177">
        <f t="shared" si="102"/>
        <v>0.79881687624424336</v>
      </c>
      <c r="S333" s="810">
        <f t="shared" si="120"/>
        <v>-2</v>
      </c>
      <c r="T333" s="176">
        <f t="shared" si="103"/>
        <v>4</v>
      </c>
      <c r="U333" s="251">
        <f t="shared" si="104"/>
        <v>-1.2011831237557566</v>
      </c>
      <c r="V333" s="383">
        <f t="shared" si="105"/>
        <v>23.415952172758395</v>
      </c>
      <c r="W333" s="58"/>
      <c r="X333" s="157">
        <f t="shared" si="106"/>
        <v>43419</v>
      </c>
      <c r="Y333" s="385">
        <f t="shared" si="107"/>
        <v>15.21</v>
      </c>
      <c r="Z333" s="385">
        <f t="shared" si="108"/>
        <v>15.247566397547445</v>
      </c>
      <c r="AA333" s="386">
        <f t="shared" si="109"/>
        <v>15.541200294504604</v>
      </c>
      <c r="AB333" s="197">
        <f t="shared" si="110"/>
        <v>43419</v>
      </c>
      <c r="AC333" s="425">
        <f t="shared" si="111"/>
        <v>1.8893900818007445E-2</v>
      </c>
      <c r="AD333" s="169">
        <f>(INDEX(Models!$BJ333:$BT333,,AH333)*(1-AF333)+INDEX(Models!$BJ333:$BT333,,AH333+1)*AF333-ERP_i)*AE333*Ramure*Pc/MaxiM</f>
        <v>3.2279732546633123E-4</v>
      </c>
      <c r="AE333" s="305">
        <f t="shared" si="112"/>
        <v>0.7</v>
      </c>
      <c r="AF333" s="177">
        <f t="shared" si="113"/>
        <v>0.79881687624424336</v>
      </c>
      <c r="AG333" s="810">
        <f t="shared" si="114"/>
        <v>-2</v>
      </c>
      <c r="AH333" s="176">
        <f t="shared" si="115"/>
        <v>4</v>
      </c>
      <c r="AI333" s="225">
        <f t="shared" si="116"/>
        <v>-1.2011831237557566</v>
      </c>
      <c r="AJ333" s="265" t="b">
        <f t="shared" si="117"/>
        <v>0</v>
      </c>
      <c r="AK333" s="265" t="b">
        <f t="shared" si="118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9"/>
        <v>43420</v>
      </c>
      <c r="B334" s="616">
        <v>19.896999999999998</v>
      </c>
      <c r="C334" s="390"/>
      <c r="D334" s="393">
        <f t="shared" si="121"/>
        <v>19.946606764720393</v>
      </c>
      <c r="E334" s="385">
        <f t="shared" si="125"/>
        <v>20.333972978768902</v>
      </c>
      <c r="F334" s="385">
        <f t="shared" si="127"/>
        <v>20.338950705107482</v>
      </c>
      <c r="G334" s="110">
        <f t="shared" si="126"/>
        <v>0.85992901067386784</v>
      </c>
      <c r="I334" s="380">
        <f t="shared" si="97"/>
        <v>20.338950705107482</v>
      </c>
      <c r="J334" s="85">
        <v>2018</v>
      </c>
      <c r="K334" s="197">
        <f t="shared" si="98"/>
        <v>43420</v>
      </c>
      <c r="L334" s="436">
        <f t="shared" si="99"/>
        <v>2.4869776250933118E-3</v>
      </c>
      <c r="M334" s="855"/>
      <c r="N334" s="855"/>
      <c r="O334" s="324">
        <f t="shared" si="100"/>
        <v>1.9050198131617711E-2</v>
      </c>
      <c r="P334" s="169">
        <f>(INDEX(Models!$BJ334:$BT334,,T334)*(1-R334)+INDEX(Models!$BJ334:$BT334,,T334+1)*R334-ERP_i)*Q334*Ramure*Pc/MaxiM</f>
        <v>3.0593327593554805E-4</v>
      </c>
      <c r="Q334" s="305">
        <f t="shared" si="101"/>
        <v>0.7</v>
      </c>
      <c r="R334" s="177">
        <f t="shared" si="102"/>
        <v>0.79884122552063497</v>
      </c>
      <c r="S334" s="810">
        <f t="shared" si="120"/>
        <v>-2</v>
      </c>
      <c r="T334" s="176">
        <f t="shared" si="103"/>
        <v>4</v>
      </c>
      <c r="U334" s="251">
        <f t="shared" si="104"/>
        <v>-1.201158774479365</v>
      </c>
      <c r="V334" s="383">
        <f t="shared" si="105"/>
        <v>23.136540184747076</v>
      </c>
      <c r="W334" s="58"/>
      <c r="X334" s="157">
        <f t="shared" si="106"/>
        <v>43420</v>
      </c>
      <c r="Y334" s="385">
        <f t="shared" si="107"/>
        <v>19.896999999999998</v>
      </c>
      <c r="Z334" s="385">
        <f t="shared" si="108"/>
        <v>19.946606764720393</v>
      </c>
      <c r="AA334" s="386">
        <f t="shared" si="109"/>
        <v>20.333972978768902</v>
      </c>
      <c r="AB334" s="197">
        <f t="shared" si="110"/>
        <v>43420</v>
      </c>
      <c r="AC334" s="425">
        <f t="shared" si="111"/>
        <v>1.9050198131617711E-2</v>
      </c>
      <c r="AD334" s="169">
        <f>(INDEX(Models!$BJ334:$BT334,,AH334)*(1-AF334)+INDEX(Models!$BJ334:$BT334,,AH334+1)*AF334-ERP_i)*AE334*Ramure*Pc/MaxiM</f>
        <v>3.0593327593554805E-4</v>
      </c>
      <c r="AE334" s="305">
        <f t="shared" si="112"/>
        <v>0.7</v>
      </c>
      <c r="AF334" s="177">
        <f t="shared" si="113"/>
        <v>0.79884122552063497</v>
      </c>
      <c r="AG334" s="810">
        <f t="shared" si="114"/>
        <v>-2</v>
      </c>
      <c r="AH334" s="176">
        <f t="shared" si="115"/>
        <v>4</v>
      </c>
      <c r="AI334" s="225">
        <f t="shared" si="116"/>
        <v>-1.201158774479365</v>
      </c>
      <c r="AJ334" s="265" t="b">
        <f t="shared" si="117"/>
        <v>0</v>
      </c>
      <c r="AK334" s="265" t="b">
        <f t="shared" si="118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9"/>
        <v>43421</v>
      </c>
      <c r="B335" s="616">
        <v>21.411000000000001</v>
      </c>
      <c r="C335" s="390"/>
      <c r="D335" s="393">
        <f t="shared" ref="D335:D379" si="128">Wh/(1-Ppv)</f>
        <v>21.464880955506725</v>
      </c>
      <c r="E335" s="385">
        <f t="shared" si="125"/>
        <v>21.885216553259387</v>
      </c>
      <c r="F335" s="385">
        <f t="shared" si="127"/>
        <v>21.890995839338444</v>
      </c>
      <c r="G335" s="110">
        <f t="shared" si="126"/>
        <v>0.93651757129345548</v>
      </c>
      <c r="I335" s="380">
        <f t="shared" ref="I335:I380" si="129">Wh_hp</f>
        <v>21.890995839338444</v>
      </c>
      <c r="J335" s="85">
        <v>2018</v>
      </c>
      <c r="K335" s="197">
        <f t="shared" ref="K335:K379" si="130">t</f>
        <v>43421</v>
      </c>
      <c r="L335" s="436">
        <f t="shared" ref="L335:L378" si="131">IF(t&lt;T0,0,IF(t&lt;Tvie,1-EXP((T0-t)*PertePVj),1-EXP((T0-t)*PertePVj)+Pspv))</f>
        <v>2.5101912103966395E-3</v>
      </c>
      <c r="M335" s="855"/>
      <c r="N335" s="855"/>
      <c r="O335" s="324">
        <f t="shared" ref="O335:O379" si="132">IF(t&lt;T0,0,IF(t&lt;Tnet,Salim_i*(1-EXP((T0-t)/Tau_ij)),Resal+(Salim-Resal)*(1-EXP((Tnet-t)/(Tau_j)))))*Salcycl</f>
        <v>1.9206371421079591E-2</v>
      </c>
      <c r="P335" s="169">
        <f>(INDEX(Models!$BJ335:$BT335,,T335)*(1-R335)+INDEX(Models!$BJ335:$BT335,,T335+1)*R335-ERP_i)*Q335*Ramure*Pc/MaxiM</f>
        <v>2.9032169825307105E-4</v>
      </c>
      <c r="Q335" s="305">
        <f t="shared" ref="Q335:Q379" si="133">IF(OR(t&lt;Ttai,Notai),Dd+PousD*Croivg,Dens+PousD*(Croivg-Croi_tai))</f>
        <v>0.7</v>
      </c>
      <c r="R335" s="177">
        <f t="shared" ref="R335:R379" si="134">(Hp_vg-S335)/(INDEX(Echel_vg,T335+1)-S335)</f>
        <v>0.79886459721183045</v>
      </c>
      <c r="S335" s="810">
        <f t="shared" si="120"/>
        <v>-2</v>
      </c>
      <c r="T335" s="176">
        <f t="shared" ref="T335:T379" si="135">MIN(MATCH(Hp_vg,Echel_vg),10)</f>
        <v>4</v>
      </c>
      <c r="U335" s="251">
        <f t="shared" ref="U335:U379" si="136">IF(OR(t&lt;Ttai,Notai),Hdd+PousH*Croivg,Hdtf+PousH*(Croivg-Croi_tai))</f>
        <v>-1.2011354027881695</v>
      </c>
      <c r="V335" s="383">
        <f t="shared" ref="V335:V379" si="137">MaxiM*(1-Ppv)*(1-Pvg)*(1-Psa)</f>
        <v>22.861756143594981</v>
      </c>
      <c r="W335" s="58"/>
      <c r="X335" s="157">
        <f t="shared" ref="X335:X379" si="138">t</f>
        <v>43421</v>
      </c>
      <c r="Y335" s="385">
        <f t="shared" ref="Y335:Y379" si="139">Wh_pvt_s*(1-Ppv)</f>
        <v>21.411000000000001</v>
      </c>
      <c r="Z335" s="385">
        <f t="shared" ref="Z335:Z379" si="140">Wh_sa_s*(1-Psa_s)</f>
        <v>21.464880955506725</v>
      </c>
      <c r="AA335" s="386">
        <f t="shared" ref="AA335:AA379" si="141">Wh_hp*(1-Pvg_s*MEDIAN((-Sdif+Wh/Env_an)/Csdif,0,1))</f>
        <v>21.885216553259387</v>
      </c>
      <c r="AB335" s="197">
        <f t="shared" ref="AB335:AB379" si="142">t</f>
        <v>43421</v>
      </c>
      <c r="AC335" s="425">
        <f t="shared" ref="AC335:AC379" si="143">IF(t&lt;T0,0,IF(OR(t&lt;Tnet,NoTnet),Salim_i*(1-EXP((T0-t)/Tau_ij)),Resal_s+(Salim-Resal_s)*(1-EXP((Tnet_s-t)/Tau_j))))*Salcycl</f>
        <v>1.9206371421079591E-2</v>
      </c>
      <c r="AD335" s="169">
        <f>(INDEX(Models!$BJ335:$BT335,,AH335)*(1-AF335)+INDEX(Models!$BJ335:$BT335,,AH335+1)*AF335-ERP_i)*AE335*Ramure*Pc/MaxiM</f>
        <v>2.9032169825307105E-4</v>
      </c>
      <c r="AE335" s="305">
        <f t="shared" ref="AE335:AE379" si="144">Dd+PousD*Croivg</f>
        <v>0.7</v>
      </c>
      <c r="AF335" s="177">
        <f t="shared" ref="AF335:AF379" si="145">(Hp_vg_s-AG335)/(INDEX(Echel_vg,AH335+1)-AG335)</f>
        <v>0.79886459721183045</v>
      </c>
      <c r="AG335" s="810">
        <f t="shared" ref="AG335:AG379" si="146">INDEX(Echel_vg,AH335)</f>
        <v>-2</v>
      </c>
      <c r="AH335" s="176">
        <f t="shared" ref="AH335:AH379" si="147">MIN(MATCH(Hp_vg_s,Echel_vg),10)</f>
        <v>4</v>
      </c>
      <c r="AI335" s="225">
        <f t="shared" ref="AI335:AI379" si="148">Hdd+PousH*Croivg</f>
        <v>-1.2011354027881695</v>
      </c>
      <c r="AJ335" s="265" t="b">
        <f t="shared" ref="AJ335:AJ380" si="149">t&lt;Tnet</f>
        <v>0</v>
      </c>
      <c r="AK335" s="265" t="b">
        <f t="shared" ref="AK335:AK380" si="150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1">A335+1</f>
        <v>43422</v>
      </c>
      <c r="B336" s="616">
        <v>21.369</v>
      </c>
      <c r="C336" s="390"/>
      <c r="D336" s="393">
        <f t="shared" si="128"/>
        <v>21.423273813044407</v>
      </c>
      <c r="E336" s="385">
        <f t="shared" si="125"/>
        <v>21.846270952464614</v>
      </c>
      <c r="F336" s="385">
        <f t="shared" si="127"/>
        <v>21.851835276639576</v>
      </c>
      <c r="G336" s="110">
        <f t="shared" si="126"/>
        <v>0.94583558374526766</v>
      </c>
      <c r="I336" s="380">
        <f t="shared" si="129"/>
        <v>21.851835276639576</v>
      </c>
      <c r="J336" s="85">
        <v>2018</v>
      </c>
      <c r="K336" s="197">
        <f t="shared" si="130"/>
        <v>43422</v>
      </c>
      <c r="L336" s="436">
        <f t="shared" si="131"/>
        <v>2.5334042554859826E-3</v>
      </c>
      <c r="M336" s="855"/>
      <c r="N336" s="855"/>
      <c r="O336" s="324">
        <f t="shared" si="132"/>
        <v>1.9362441321935757E-2</v>
      </c>
      <c r="P336" s="169">
        <f>(INDEX(Models!$BJ336:$BT336,,T336)*(1-R336)+INDEX(Models!$BJ336:$BT336,,T336+1)*R336-ERP_i)*Q336*Ramure*Pc/MaxiM</f>
        <v>2.7598596375322525E-4</v>
      </c>
      <c r="Q336" s="305">
        <f t="shared" si="133"/>
        <v>0.7</v>
      </c>
      <c r="R336" s="177">
        <f t="shared" si="134"/>
        <v>0.79888703045876097</v>
      </c>
      <c r="S336" s="810">
        <f t="shared" ref="S336:S379" si="152">INDEX(Echel_vg,T336)</f>
        <v>-2</v>
      </c>
      <c r="T336" s="176">
        <f t="shared" si="135"/>
        <v>4</v>
      </c>
      <c r="U336" s="251">
        <f t="shared" si="136"/>
        <v>-1.201112969541239</v>
      </c>
      <c r="V336" s="383">
        <f t="shared" si="137"/>
        <v>22.592239161418586</v>
      </c>
      <c r="W336" s="58"/>
      <c r="X336" s="157">
        <f t="shared" si="138"/>
        <v>43422</v>
      </c>
      <c r="Y336" s="385">
        <f t="shared" si="139"/>
        <v>21.369</v>
      </c>
      <c r="Z336" s="385">
        <f t="shared" si="140"/>
        <v>21.423273813044407</v>
      </c>
      <c r="AA336" s="386">
        <f t="shared" si="141"/>
        <v>21.846270952464614</v>
      </c>
      <c r="AB336" s="197">
        <f t="shared" si="142"/>
        <v>43422</v>
      </c>
      <c r="AC336" s="425">
        <f t="shared" si="143"/>
        <v>1.9362441321935757E-2</v>
      </c>
      <c r="AD336" s="169">
        <f>(INDEX(Models!$BJ336:$BT336,,AH336)*(1-AF336)+INDEX(Models!$BJ336:$BT336,,AH336+1)*AF336-ERP_i)*AE336*Ramure*Pc/MaxiM</f>
        <v>2.7598596375322525E-4</v>
      </c>
      <c r="AE336" s="305">
        <f t="shared" si="144"/>
        <v>0.7</v>
      </c>
      <c r="AF336" s="177">
        <f t="shared" si="145"/>
        <v>0.79888703045876097</v>
      </c>
      <c r="AG336" s="810">
        <f t="shared" si="146"/>
        <v>-2</v>
      </c>
      <c r="AH336" s="176">
        <f t="shared" si="147"/>
        <v>4</v>
      </c>
      <c r="AI336" s="225">
        <f t="shared" si="148"/>
        <v>-1.201112969541239</v>
      </c>
      <c r="AJ336" s="265" t="b">
        <f t="shared" si="149"/>
        <v>0</v>
      </c>
      <c r="AK336" s="265" t="b">
        <f t="shared" si="150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1"/>
        <v>43423</v>
      </c>
      <c r="B337" s="616">
        <v>17.329999999999998</v>
      </c>
      <c r="C337" s="390"/>
      <c r="D337" s="393">
        <f t="shared" si="128"/>
        <v>17.374419732690367</v>
      </c>
      <c r="E337" s="385">
        <f t="shared" si="125"/>
        <v>17.720291972757639</v>
      </c>
      <c r="F337" s="385">
        <f t="shared" si="127"/>
        <v>17.723461935066776</v>
      </c>
      <c r="G337" s="110">
        <f t="shared" si="126"/>
        <v>0.77606839340946077</v>
      </c>
      <c r="I337" s="380">
        <f t="shared" si="129"/>
        <v>17.723461935066776</v>
      </c>
      <c r="J337" s="85">
        <v>2018</v>
      </c>
      <c r="K337" s="197">
        <f t="shared" si="130"/>
        <v>43423</v>
      </c>
      <c r="L337" s="436">
        <f t="shared" si="131"/>
        <v>2.5566167603738865E-3</v>
      </c>
      <c r="M337" s="855"/>
      <c r="N337" s="855"/>
      <c r="O337" s="324">
        <f t="shared" si="132"/>
        <v>1.9518427833977101E-2</v>
      </c>
      <c r="P337" s="169">
        <f>(INDEX(Models!$BJ337:$BT337,,T337)*(1-R337)+INDEX(Models!$BJ337:$BT337,,T337+1)*R337-ERP_i)*Q337*Ramure*Pc/MaxiM</f>
        <v>2.6295091399507073E-4</v>
      </c>
      <c r="Q337" s="305">
        <f t="shared" si="133"/>
        <v>0.7</v>
      </c>
      <c r="R337" s="177">
        <f t="shared" si="134"/>
        <v>0.79890856284369738</v>
      </c>
      <c r="S337" s="810">
        <f t="shared" si="152"/>
        <v>-2</v>
      </c>
      <c r="T337" s="176">
        <f t="shared" si="135"/>
        <v>4</v>
      </c>
      <c r="U337" s="251">
        <f t="shared" si="136"/>
        <v>-1.2010914371563026</v>
      </c>
      <c r="V337" s="383">
        <f t="shared" si="137"/>
        <v>22.328627909688304</v>
      </c>
      <c r="W337" s="58"/>
      <c r="X337" s="157">
        <f t="shared" si="138"/>
        <v>43423</v>
      </c>
      <c r="Y337" s="385">
        <f t="shared" si="139"/>
        <v>17.329999999999998</v>
      </c>
      <c r="Z337" s="385">
        <f t="shared" si="140"/>
        <v>17.374419732690367</v>
      </c>
      <c r="AA337" s="386">
        <f t="shared" si="141"/>
        <v>17.720291972757639</v>
      </c>
      <c r="AB337" s="197">
        <f t="shared" si="142"/>
        <v>43423</v>
      </c>
      <c r="AC337" s="425">
        <f t="shared" si="143"/>
        <v>1.9518427833977101E-2</v>
      </c>
      <c r="AD337" s="169">
        <f>(INDEX(Models!$BJ337:$BT337,,AH337)*(1-AF337)+INDEX(Models!$BJ337:$BT337,,AH337+1)*AF337-ERP_i)*AE337*Ramure*Pc/MaxiM</f>
        <v>2.6295091399507073E-4</v>
      </c>
      <c r="AE337" s="305">
        <f t="shared" si="144"/>
        <v>0.7</v>
      </c>
      <c r="AF337" s="177">
        <f t="shared" si="145"/>
        <v>0.79890856284369738</v>
      </c>
      <c r="AG337" s="810">
        <f t="shared" si="146"/>
        <v>-2</v>
      </c>
      <c r="AH337" s="176">
        <f t="shared" si="147"/>
        <v>4</v>
      </c>
      <c r="AI337" s="225">
        <f t="shared" si="148"/>
        <v>-1.2010914371563026</v>
      </c>
      <c r="AJ337" s="265" t="b">
        <f t="shared" si="149"/>
        <v>0</v>
      </c>
      <c r="AK337" s="265" t="b">
        <f t="shared" si="150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1"/>
        <v>43424</v>
      </c>
      <c r="B338" s="616">
        <v>7.68</v>
      </c>
      <c r="C338" s="390"/>
      <c r="D338" s="393">
        <f t="shared" si="128"/>
        <v>7.699864331180744</v>
      </c>
      <c r="E338" s="385">
        <f t="shared" si="125"/>
        <v>7.8543944381740856</v>
      </c>
      <c r="F338" s="385">
        <f t="shared" si="127"/>
        <v>7.8545297263798011</v>
      </c>
      <c r="G338" s="110">
        <f t="shared" si="126"/>
        <v>0.34787765303842499</v>
      </c>
      <c r="I338" s="380">
        <f t="shared" si="129"/>
        <v>7.8545297263798011</v>
      </c>
      <c r="J338" s="85">
        <v>2018</v>
      </c>
      <c r="K338" s="197">
        <f t="shared" si="130"/>
        <v>43424</v>
      </c>
      <c r="L338" s="436">
        <f t="shared" si="131"/>
        <v>2.5798287250728968E-3</v>
      </c>
      <c r="M338" s="855"/>
      <c r="N338" s="855"/>
      <c r="O338" s="324">
        <f t="shared" si="132"/>
        <v>1.9674350226453044E-2</v>
      </c>
      <c r="P338" s="169">
        <f>(INDEX(Models!$BJ338:$BT338,,T338)*(1-R338)+INDEX(Models!$BJ338:$BT338,,T338+1)*R338-ERP_i)*Q338*Ramure*Pc/MaxiM</f>
        <v>2.5140066268050979E-4</v>
      </c>
      <c r="Q338" s="305">
        <f t="shared" si="133"/>
        <v>0.7</v>
      </c>
      <c r="R338" s="177">
        <f t="shared" si="134"/>
        <v>0.79892923045164865</v>
      </c>
      <c r="S338" s="810">
        <f t="shared" si="152"/>
        <v>-2</v>
      </c>
      <c r="T338" s="176">
        <f t="shared" si="135"/>
        <v>4</v>
      </c>
      <c r="U338" s="251">
        <f t="shared" si="136"/>
        <v>-1.2010707695483513</v>
      </c>
      <c r="V338" s="383">
        <f t="shared" si="137"/>
        <v>22.071557132043395</v>
      </c>
      <c r="W338" s="58"/>
      <c r="X338" s="157">
        <f t="shared" si="138"/>
        <v>43424</v>
      </c>
      <c r="Y338" s="385">
        <f t="shared" si="139"/>
        <v>7.68</v>
      </c>
      <c r="Z338" s="385">
        <f t="shared" si="140"/>
        <v>7.699864331180744</v>
      </c>
      <c r="AA338" s="386">
        <f t="shared" si="141"/>
        <v>7.8543944381740856</v>
      </c>
      <c r="AB338" s="197">
        <f t="shared" si="142"/>
        <v>43424</v>
      </c>
      <c r="AC338" s="425">
        <f t="shared" si="143"/>
        <v>1.9674350226453044E-2</v>
      </c>
      <c r="AD338" s="169">
        <f>(INDEX(Models!$BJ338:$BT338,,AH338)*(1-AF338)+INDEX(Models!$BJ338:$BT338,,AH338+1)*AF338-ERP_i)*AE338*Ramure*Pc/MaxiM</f>
        <v>2.5140066268050979E-4</v>
      </c>
      <c r="AE338" s="305">
        <f t="shared" si="144"/>
        <v>0.7</v>
      </c>
      <c r="AF338" s="177">
        <f t="shared" si="145"/>
        <v>0.79892923045164865</v>
      </c>
      <c r="AG338" s="810">
        <f t="shared" si="146"/>
        <v>-2</v>
      </c>
      <c r="AH338" s="176">
        <f t="shared" si="147"/>
        <v>4</v>
      </c>
      <c r="AI338" s="225">
        <f t="shared" si="148"/>
        <v>-1.2010707695483513</v>
      </c>
      <c r="AJ338" s="265" t="b">
        <f t="shared" si="149"/>
        <v>0</v>
      </c>
      <c r="AK338" s="265" t="b">
        <f t="shared" si="150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1"/>
        <v>43425</v>
      </c>
      <c r="B339" s="616">
        <v>20.613</v>
      </c>
      <c r="C339" s="390"/>
      <c r="D339" s="393">
        <f t="shared" si="128"/>
        <v>20.666796501055767</v>
      </c>
      <c r="E339" s="385">
        <f t="shared" si="125"/>
        <v>21.084915153735185</v>
      </c>
      <c r="F339" s="385">
        <f t="shared" si="127"/>
        <v>21.089588297092583</v>
      </c>
      <c r="G339" s="110">
        <f t="shared" si="126"/>
        <v>0.9445930221454919</v>
      </c>
      <c r="I339" s="380">
        <f t="shared" si="129"/>
        <v>21.089588297092583</v>
      </c>
      <c r="J339" s="85">
        <v>2018</v>
      </c>
      <c r="K339" s="197">
        <f t="shared" si="130"/>
        <v>43425</v>
      </c>
      <c r="L339" s="436">
        <f t="shared" si="131"/>
        <v>2.6030401495955591E-3</v>
      </c>
      <c r="M339" s="855"/>
      <c r="N339" s="855"/>
      <c r="O339" s="324">
        <f t="shared" si="132"/>
        <v>1.9830226948072398E-2</v>
      </c>
      <c r="P339" s="169">
        <f>(INDEX(Models!$BJ339:$BT339,,T339)*(1-R339)+INDEX(Models!$BJ339:$BT339,,T339+1)*R339-ERP_i)*Q339*Ramure*Pc/MaxiM</f>
        <v>2.4062531883547943E-4</v>
      </c>
      <c r="Q339" s="305">
        <f t="shared" si="133"/>
        <v>0.7</v>
      </c>
      <c r="R339" s="177">
        <f t="shared" si="134"/>
        <v>0.79894906792939668</v>
      </c>
      <c r="S339" s="810">
        <f t="shared" si="152"/>
        <v>-2</v>
      </c>
      <c r="T339" s="176">
        <f t="shared" si="135"/>
        <v>4</v>
      </c>
      <c r="U339" s="251">
        <f t="shared" si="136"/>
        <v>-1.2010509320706033</v>
      </c>
      <c r="V339" s="383">
        <f t="shared" si="137"/>
        <v>21.821680828090727</v>
      </c>
      <c r="W339" s="58"/>
      <c r="X339" s="157">
        <f t="shared" si="138"/>
        <v>43425</v>
      </c>
      <c r="Y339" s="385">
        <f t="shared" si="139"/>
        <v>20.613</v>
      </c>
      <c r="Z339" s="385">
        <f t="shared" si="140"/>
        <v>20.666796501055767</v>
      </c>
      <c r="AA339" s="386">
        <f t="shared" si="141"/>
        <v>21.084915153735185</v>
      </c>
      <c r="AB339" s="197">
        <f t="shared" si="142"/>
        <v>43425</v>
      </c>
      <c r="AC339" s="425">
        <f t="shared" si="143"/>
        <v>1.9830226948072398E-2</v>
      </c>
      <c r="AD339" s="169">
        <f>(INDEX(Models!$BJ339:$BT339,,AH339)*(1-AF339)+INDEX(Models!$BJ339:$BT339,,AH339+1)*AF339-ERP_i)*AE339*Ramure*Pc/MaxiM</f>
        <v>2.4062531883547943E-4</v>
      </c>
      <c r="AE339" s="305">
        <f t="shared" si="144"/>
        <v>0.7</v>
      </c>
      <c r="AF339" s="177">
        <f t="shared" si="145"/>
        <v>0.79894906792939668</v>
      </c>
      <c r="AG339" s="810">
        <f t="shared" si="146"/>
        <v>-2</v>
      </c>
      <c r="AH339" s="176">
        <f t="shared" si="147"/>
        <v>4</v>
      </c>
      <c r="AI339" s="225">
        <f t="shared" si="148"/>
        <v>-1.2010509320706033</v>
      </c>
      <c r="AJ339" s="265" t="b">
        <f t="shared" si="149"/>
        <v>0</v>
      </c>
      <c r="AK339" s="265" t="b">
        <f t="shared" si="150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1"/>
        <v>43426</v>
      </c>
      <c r="B340" s="616">
        <v>16.594000000000001</v>
      </c>
      <c r="C340" s="390"/>
      <c r="D340" s="393">
        <f t="shared" si="128"/>
        <v>16.637694763074144</v>
      </c>
      <c r="E340" s="385">
        <f t="shared" si="125"/>
        <v>16.976998334267478</v>
      </c>
      <c r="F340" s="385">
        <f t="shared" si="127"/>
        <v>16.979621982627695</v>
      </c>
      <c r="G340" s="110">
        <f t="shared" si="126"/>
        <v>0.76890715304334467</v>
      </c>
      <c r="I340" s="380">
        <f t="shared" si="129"/>
        <v>16.979621982627695</v>
      </c>
      <c r="J340" s="85">
        <v>2018</v>
      </c>
      <c r="K340" s="197">
        <f t="shared" si="130"/>
        <v>43426</v>
      </c>
      <c r="L340" s="436">
        <f t="shared" si="131"/>
        <v>2.6262510339544187E-3</v>
      </c>
      <c r="M340" s="855"/>
      <c r="N340" s="855"/>
      <c r="O340" s="324">
        <f t="shared" si="132"/>
        <v>1.9986075542486357E-2</v>
      </c>
      <c r="P340" s="169">
        <f>(INDEX(Models!$BJ340:$BT340,,T340)*(1-R340)+INDEX(Models!$BJ340:$BT340,,T340+1)*R340-ERP_i)*Q340*Ramure*Pc/MaxiM</f>
        <v>2.3063996981376175E-4</v>
      </c>
      <c r="Q340" s="305">
        <f t="shared" si="133"/>
        <v>0.7</v>
      </c>
      <c r="R340" s="177">
        <f t="shared" si="134"/>
        <v>0.79896810854225175</v>
      </c>
      <c r="S340" s="810">
        <f t="shared" si="152"/>
        <v>-2</v>
      </c>
      <c r="T340" s="176">
        <f t="shared" si="135"/>
        <v>4</v>
      </c>
      <c r="U340" s="251">
        <f t="shared" si="136"/>
        <v>-1.2010318914577482</v>
      </c>
      <c r="V340" s="383">
        <f t="shared" si="137"/>
        <v>21.579636192065252</v>
      </c>
      <c r="W340" s="58"/>
      <c r="X340" s="157">
        <f t="shared" si="138"/>
        <v>43426</v>
      </c>
      <c r="Y340" s="385">
        <f t="shared" si="139"/>
        <v>16.594000000000001</v>
      </c>
      <c r="Z340" s="385">
        <f t="shared" si="140"/>
        <v>16.637694763074144</v>
      </c>
      <c r="AA340" s="386">
        <f t="shared" si="141"/>
        <v>16.976998334267478</v>
      </c>
      <c r="AB340" s="197">
        <f t="shared" si="142"/>
        <v>43426</v>
      </c>
      <c r="AC340" s="425">
        <f t="shared" si="143"/>
        <v>1.9986075542486357E-2</v>
      </c>
      <c r="AD340" s="169">
        <f>(INDEX(Models!$BJ340:$BT340,,AH340)*(1-AF340)+INDEX(Models!$BJ340:$BT340,,AH340+1)*AF340-ERP_i)*AE340*Ramure*Pc/MaxiM</f>
        <v>2.3063996981376175E-4</v>
      </c>
      <c r="AE340" s="305">
        <f t="shared" si="144"/>
        <v>0.7</v>
      </c>
      <c r="AF340" s="177">
        <f t="shared" si="145"/>
        <v>0.79896810854225175</v>
      </c>
      <c r="AG340" s="810">
        <f t="shared" si="146"/>
        <v>-2</v>
      </c>
      <c r="AH340" s="176">
        <f t="shared" si="147"/>
        <v>4</v>
      </c>
      <c r="AI340" s="225">
        <f t="shared" si="148"/>
        <v>-1.2010318914577482</v>
      </c>
      <c r="AJ340" s="265" t="b">
        <f t="shared" si="149"/>
        <v>0</v>
      </c>
      <c r="AK340" s="265" t="b">
        <f t="shared" si="150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1"/>
        <v>43427</v>
      </c>
      <c r="B341" s="616">
        <v>11.032</v>
      </c>
      <c r="C341" s="390"/>
      <c r="D341" s="393">
        <f t="shared" si="128"/>
        <v>11.061306504375356</v>
      </c>
      <c r="E341" s="385">
        <f t="shared" si="125"/>
        <v>11.288682153337282</v>
      </c>
      <c r="F341" s="385">
        <f t="shared" si="127"/>
        <v>11.289456545409543</v>
      </c>
      <c r="G341" s="110">
        <f t="shared" si="126"/>
        <v>0.51673767778354818</v>
      </c>
      <c r="I341" s="380">
        <f t="shared" si="129"/>
        <v>11.289456545409543</v>
      </c>
      <c r="J341" s="85">
        <v>2018</v>
      </c>
      <c r="K341" s="197">
        <f t="shared" si="130"/>
        <v>43427</v>
      </c>
      <c r="L341" s="436">
        <f t="shared" si="131"/>
        <v>2.6494613781621323E-3</v>
      </c>
      <c r="M341" s="855"/>
      <c r="N341" s="855"/>
      <c r="O341" s="324">
        <f t="shared" si="132"/>
        <v>2.0141912569901534E-2</v>
      </c>
      <c r="P341" s="169">
        <f>(INDEX(Models!$BJ341:$BT341,,T341)*(1-R341)+INDEX(Models!$BJ341:$BT341,,T341+1)*R341-ERP_i)*Q341*Ramure*Pc/MaxiM</f>
        <v>2.214589311981637E-4</v>
      </c>
      <c r="Q341" s="305">
        <f t="shared" si="133"/>
        <v>0.7</v>
      </c>
      <c r="R341" s="177">
        <f t="shared" si="134"/>
        <v>0.79898638422861135</v>
      </c>
      <c r="S341" s="810">
        <f t="shared" si="152"/>
        <v>-2</v>
      </c>
      <c r="T341" s="176">
        <f t="shared" si="135"/>
        <v>4</v>
      </c>
      <c r="U341" s="251">
        <f t="shared" si="136"/>
        <v>-1.2010136157713887</v>
      </c>
      <c r="V341" s="383">
        <f t="shared" si="137"/>
        <v>21.346060013904022</v>
      </c>
      <c r="W341" s="58"/>
      <c r="X341" s="157">
        <f t="shared" si="138"/>
        <v>43427</v>
      </c>
      <c r="Y341" s="385">
        <f t="shared" si="139"/>
        <v>11.032</v>
      </c>
      <c r="Z341" s="385">
        <f t="shared" si="140"/>
        <v>11.061306504375356</v>
      </c>
      <c r="AA341" s="386">
        <f t="shared" si="141"/>
        <v>11.288682153337282</v>
      </c>
      <c r="AB341" s="197">
        <f t="shared" si="142"/>
        <v>43427</v>
      </c>
      <c r="AC341" s="425">
        <f t="shared" si="143"/>
        <v>2.0141912569901534E-2</v>
      </c>
      <c r="AD341" s="169">
        <f>(INDEX(Models!$BJ341:$BT341,,AH341)*(1-AF341)+INDEX(Models!$BJ341:$BT341,,AH341+1)*AF341-ERP_i)*AE341*Ramure*Pc/MaxiM</f>
        <v>2.214589311981637E-4</v>
      </c>
      <c r="AE341" s="305">
        <f t="shared" si="144"/>
        <v>0.7</v>
      </c>
      <c r="AF341" s="177">
        <f t="shared" si="145"/>
        <v>0.79898638422861135</v>
      </c>
      <c r="AG341" s="810">
        <f t="shared" si="146"/>
        <v>-2</v>
      </c>
      <c r="AH341" s="176">
        <f t="shared" si="147"/>
        <v>4</v>
      </c>
      <c r="AI341" s="225">
        <f t="shared" si="148"/>
        <v>-1.2010136157713887</v>
      </c>
      <c r="AJ341" s="265" t="b">
        <f t="shared" si="149"/>
        <v>0</v>
      </c>
      <c r="AK341" s="265" t="b">
        <f t="shared" si="150"/>
        <v>0</v>
      </c>
      <c r="AL341" s="265"/>
      <c r="AM341" s="265"/>
      <c r="AN341" s="75"/>
    </row>
    <row r="342" spans="1:40" s="6" customFormat="1" ht="11.25" x14ac:dyDescent="0.2">
      <c r="A342" s="56">
        <f t="shared" si="151"/>
        <v>43428</v>
      </c>
      <c r="B342" s="616">
        <v>15.785</v>
      </c>
      <c r="C342" s="390"/>
      <c r="D342" s="393">
        <f t="shared" si="128"/>
        <v>15.827301171734188</v>
      </c>
      <c r="E342" s="385">
        <f t="shared" si="125"/>
        <v>16.155215759532762</v>
      </c>
      <c r="F342" s="385">
        <f t="shared" si="127"/>
        <v>16.157416103674155</v>
      </c>
      <c r="G342" s="110">
        <f t="shared" si="126"/>
        <v>0.7472821288035133</v>
      </c>
      <c r="I342" s="380">
        <f t="shared" si="129"/>
        <v>16.157416103674155</v>
      </c>
      <c r="J342" s="85">
        <v>2018</v>
      </c>
      <c r="K342" s="197">
        <f t="shared" si="130"/>
        <v>43428</v>
      </c>
      <c r="L342" s="436">
        <f t="shared" si="131"/>
        <v>2.6726711822312454E-3</v>
      </c>
      <c r="M342" s="855"/>
      <c r="N342" s="855"/>
      <c r="O342" s="324">
        <f t="shared" si="132"/>
        <v>2.0297753535422743E-2</v>
      </c>
      <c r="P342" s="169">
        <f>(INDEX(Models!$BJ342:$BT342,,T342)*(1-R342)+INDEX(Models!$BJ342:$BT342,,T342+1)*R342-ERP_i)*Q342*Ramure*Pc/MaxiM</f>
        <v>2.1309800208949288E-4</v>
      </c>
      <c r="Q342" s="305">
        <f t="shared" si="133"/>
        <v>0.7</v>
      </c>
      <c r="R342" s="177">
        <f t="shared" si="134"/>
        <v>0.79900392565240974</v>
      </c>
      <c r="S342" s="810">
        <f t="shared" si="152"/>
        <v>-2</v>
      </c>
      <c r="T342" s="176">
        <f t="shared" si="135"/>
        <v>4</v>
      </c>
      <c r="U342" s="251">
        <f t="shared" si="136"/>
        <v>-1.2009960743475903</v>
      </c>
      <c r="V342" s="383">
        <f t="shared" si="137"/>
        <v>21.121588623875979</v>
      </c>
      <c r="W342" s="58"/>
      <c r="X342" s="157">
        <f t="shared" si="138"/>
        <v>43428</v>
      </c>
      <c r="Y342" s="385">
        <f t="shared" si="139"/>
        <v>15.785</v>
      </c>
      <c r="Z342" s="385">
        <f t="shared" si="140"/>
        <v>15.827301171734188</v>
      </c>
      <c r="AA342" s="386">
        <f t="shared" si="141"/>
        <v>16.155215759532762</v>
      </c>
      <c r="AB342" s="197">
        <f t="shared" si="142"/>
        <v>43428</v>
      </c>
      <c r="AC342" s="425">
        <f t="shared" si="143"/>
        <v>2.0297753535422743E-2</v>
      </c>
      <c r="AD342" s="169">
        <f>(INDEX(Models!$BJ342:$BT342,,AH342)*(1-AF342)+INDEX(Models!$BJ342:$BT342,,AH342+1)*AF342-ERP_i)*AE342*Ramure*Pc/MaxiM</f>
        <v>2.1309800208949288E-4</v>
      </c>
      <c r="AE342" s="305">
        <f t="shared" si="144"/>
        <v>0.7</v>
      </c>
      <c r="AF342" s="177">
        <f t="shared" si="145"/>
        <v>0.79900392565240974</v>
      </c>
      <c r="AG342" s="810">
        <f t="shared" si="146"/>
        <v>-2</v>
      </c>
      <c r="AH342" s="176">
        <f t="shared" si="147"/>
        <v>4</v>
      </c>
      <c r="AI342" s="225">
        <f t="shared" si="148"/>
        <v>-1.2009960743475903</v>
      </c>
      <c r="AJ342" s="265" t="b">
        <f t="shared" si="149"/>
        <v>0</v>
      </c>
      <c r="AK342" s="265" t="b">
        <f t="shared" si="150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1"/>
        <v>43429</v>
      </c>
      <c r="B343" s="616">
        <v>10.576000000000001</v>
      </c>
      <c r="C343" s="390"/>
      <c r="D343" s="393">
        <f t="shared" si="128"/>
        <v>10.604588703325016</v>
      </c>
      <c r="E343" s="385">
        <f t="shared" si="125"/>
        <v>10.826019923267692</v>
      </c>
      <c r="F343" s="385">
        <f t="shared" si="127"/>
        <v>10.826674474098668</v>
      </c>
      <c r="G343" s="110">
        <f t="shared" si="126"/>
        <v>0.50578930650616449</v>
      </c>
      <c r="I343" s="380">
        <f t="shared" si="129"/>
        <v>10.826674474098668</v>
      </c>
      <c r="J343" s="85">
        <v>2018</v>
      </c>
      <c r="K343" s="197">
        <f t="shared" si="130"/>
        <v>43429</v>
      </c>
      <c r="L343" s="436">
        <f t="shared" si="131"/>
        <v>2.6958804461743036E-3</v>
      </c>
      <c r="M343" s="855"/>
      <c r="N343" s="855"/>
      <c r="O343" s="324">
        <f t="shared" si="132"/>
        <v>2.0453612824669575E-2</v>
      </c>
      <c r="P343" s="169">
        <f>(INDEX(Models!$BJ343:$BT343,,T343)*(1-R343)+INDEX(Models!$BJ343:$BT343,,T343+1)*R343-ERP_i)*Q343*Ramure*Pc/MaxiM</f>
        <v>2.0557421114716551E-4</v>
      </c>
      <c r="Q343" s="305">
        <f t="shared" si="133"/>
        <v>0.7</v>
      </c>
      <c r="R343" s="177">
        <f t="shared" si="134"/>
        <v>0.79902076225352769</v>
      </c>
      <c r="S343" s="810">
        <f t="shared" si="152"/>
        <v>-2</v>
      </c>
      <c r="T343" s="176">
        <f t="shared" si="135"/>
        <v>4</v>
      </c>
      <c r="U343" s="251">
        <f t="shared" si="136"/>
        <v>-1.2009792377464723</v>
      </c>
      <c r="V343" s="383">
        <f t="shared" si="137"/>
        <v>20.906857883453455</v>
      </c>
      <c r="W343" s="58"/>
      <c r="X343" s="157">
        <f t="shared" si="138"/>
        <v>43429</v>
      </c>
      <c r="Y343" s="385">
        <f t="shared" si="139"/>
        <v>10.576000000000001</v>
      </c>
      <c r="Z343" s="385">
        <f t="shared" si="140"/>
        <v>10.604588703325016</v>
      </c>
      <c r="AA343" s="386">
        <f t="shared" si="141"/>
        <v>10.826019923267692</v>
      </c>
      <c r="AB343" s="197">
        <f t="shared" si="142"/>
        <v>43429</v>
      </c>
      <c r="AC343" s="425">
        <f t="shared" si="143"/>
        <v>2.0453612824669575E-2</v>
      </c>
      <c r="AD343" s="169">
        <f>(INDEX(Models!$BJ343:$BT343,,AH343)*(1-AF343)+INDEX(Models!$BJ343:$BT343,,AH343+1)*AF343-ERP_i)*AE343*Ramure*Pc/MaxiM</f>
        <v>2.0557421114716551E-4</v>
      </c>
      <c r="AE343" s="305">
        <f t="shared" si="144"/>
        <v>0.7</v>
      </c>
      <c r="AF343" s="177">
        <f t="shared" si="145"/>
        <v>0.79902076225352769</v>
      </c>
      <c r="AG343" s="810">
        <f t="shared" si="146"/>
        <v>-2</v>
      </c>
      <c r="AH343" s="176">
        <f t="shared" si="147"/>
        <v>4</v>
      </c>
      <c r="AI343" s="225">
        <f t="shared" si="148"/>
        <v>-1.2009792377464723</v>
      </c>
      <c r="AJ343" s="265" t="b">
        <f t="shared" si="149"/>
        <v>0</v>
      </c>
      <c r="AK343" s="265" t="b">
        <f t="shared" si="150"/>
        <v>0</v>
      </c>
      <c r="AL343" s="265"/>
      <c r="AM343" s="265"/>
      <c r="AN343" s="75"/>
    </row>
    <row r="344" spans="1:40" s="6" customFormat="1" ht="11.25" x14ac:dyDescent="0.2">
      <c r="A344" s="56">
        <f t="shared" si="151"/>
        <v>43430</v>
      </c>
      <c r="B344" s="616">
        <v>3.65</v>
      </c>
      <c r="C344" s="390"/>
      <c r="D344" s="393">
        <f t="shared" si="128"/>
        <v>3.6599517351257171</v>
      </c>
      <c r="E344" s="385">
        <f t="shared" si="125"/>
        <v>3.736968807390932</v>
      </c>
      <c r="F344" s="385">
        <f t="shared" si="127"/>
        <v>3.736968807390932</v>
      </c>
      <c r="G344" s="110">
        <f t="shared" si="126"/>
        <v>0.17627211354378614</v>
      </c>
      <c r="I344" s="380">
        <f t="shared" si="129"/>
        <v>3.736968807390932</v>
      </c>
      <c r="J344" s="85">
        <v>2018</v>
      </c>
      <c r="K344" s="197">
        <f t="shared" si="130"/>
        <v>43430</v>
      </c>
      <c r="L344" s="436">
        <f t="shared" si="131"/>
        <v>2.7190891700038522E-3</v>
      </c>
      <c r="M344" s="855"/>
      <c r="N344" s="855"/>
      <c r="O344" s="324">
        <f t="shared" si="132"/>
        <v>2.0609503647151476E-2</v>
      </c>
      <c r="P344" s="169">
        <f>(INDEX(Models!$BJ344:$BT344,,T344)*(1-R344)+INDEX(Models!$BJ344:$BT344,,T344+1)*R344-ERP_i)*Q344*Ramure*Pc/MaxiM</f>
        <v>1.9890432540196827E-4</v>
      </c>
      <c r="Q344" s="305">
        <f t="shared" si="133"/>
        <v>0.7</v>
      </c>
      <c r="R344" s="177">
        <f t="shared" si="134"/>
        <v>0.79903692229624657</v>
      </c>
      <c r="S344" s="810">
        <f t="shared" si="152"/>
        <v>-2</v>
      </c>
      <c r="T344" s="176">
        <f t="shared" si="135"/>
        <v>4</v>
      </c>
      <c r="U344" s="251">
        <f t="shared" si="136"/>
        <v>-1.2009630777037534</v>
      </c>
      <c r="V344" s="383">
        <f t="shared" si="137"/>
        <v>20.702503225536017</v>
      </c>
      <c r="W344" s="58"/>
      <c r="X344" s="157">
        <f t="shared" si="138"/>
        <v>43430</v>
      </c>
      <c r="Y344" s="385">
        <f t="shared" si="139"/>
        <v>3.65</v>
      </c>
      <c r="Z344" s="385">
        <f t="shared" si="140"/>
        <v>3.6599517351257171</v>
      </c>
      <c r="AA344" s="386">
        <f t="shared" si="141"/>
        <v>3.736968807390932</v>
      </c>
      <c r="AB344" s="197">
        <f t="shared" si="142"/>
        <v>43430</v>
      </c>
      <c r="AC344" s="425">
        <f t="shared" si="143"/>
        <v>2.0609503647151476E-2</v>
      </c>
      <c r="AD344" s="169">
        <f>(INDEX(Models!$BJ344:$BT344,,AH344)*(1-AF344)+INDEX(Models!$BJ344:$BT344,,AH344+1)*AF344-ERP_i)*AE344*Ramure*Pc/MaxiM</f>
        <v>1.9890432540196827E-4</v>
      </c>
      <c r="AE344" s="305">
        <f t="shared" si="144"/>
        <v>0.7</v>
      </c>
      <c r="AF344" s="177">
        <f t="shared" si="145"/>
        <v>0.79903692229624657</v>
      </c>
      <c r="AG344" s="810">
        <f t="shared" si="146"/>
        <v>-2</v>
      </c>
      <c r="AH344" s="176">
        <f t="shared" si="147"/>
        <v>4</v>
      </c>
      <c r="AI344" s="225">
        <f t="shared" si="148"/>
        <v>-1.2009630777037534</v>
      </c>
      <c r="AJ344" s="265" t="b">
        <f t="shared" si="149"/>
        <v>0</v>
      </c>
      <c r="AK344" s="265" t="b">
        <f t="shared" si="150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1"/>
        <v>43431</v>
      </c>
      <c r="B345" s="616">
        <v>17.797000000000001</v>
      </c>
      <c r="C345" s="390"/>
      <c r="D345" s="393">
        <f t="shared" si="128"/>
        <v>17.845938870940653</v>
      </c>
      <c r="E345" s="385">
        <f t="shared" si="125"/>
        <v>18.224376021072967</v>
      </c>
      <c r="F345" s="385">
        <f t="shared" si="127"/>
        <v>18.227231813309963</v>
      </c>
      <c r="G345" s="110">
        <f t="shared" si="126"/>
        <v>0.86784368902474496</v>
      </c>
      <c r="I345" s="380">
        <f t="shared" si="129"/>
        <v>18.227231813309963</v>
      </c>
      <c r="J345" s="85">
        <v>2018</v>
      </c>
      <c r="K345" s="197">
        <f t="shared" si="130"/>
        <v>43431</v>
      </c>
      <c r="L345" s="436">
        <f t="shared" si="131"/>
        <v>2.7422973537325479E-3</v>
      </c>
      <c r="M345" s="855"/>
      <c r="N345" s="855"/>
      <c r="O345" s="324">
        <f t="shared" si="132"/>
        <v>2.0765437987820441E-2</v>
      </c>
      <c r="P345" s="169">
        <f>(INDEX(Models!$BJ345:$BT345,,T345)*(1-R345)+INDEX(Models!$BJ345:$BT345,,T345+1)*R345-ERP_i)*Q345*Ramure*Pc/MaxiM</f>
        <v>1.9313052847339744E-4</v>
      </c>
      <c r="Q345" s="305">
        <f t="shared" si="133"/>
        <v>0.7</v>
      </c>
      <c r="R345" s="177">
        <f t="shared" si="134"/>
        <v>0.79905243291581485</v>
      </c>
      <c r="S345" s="810">
        <f t="shared" si="152"/>
        <v>-2</v>
      </c>
      <c r="T345" s="176">
        <f t="shared" si="135"/>
        <v>4</v>
      </c>
      <c r="U345" s="251">
        <f t="shared" si="136"/>
        <v>-1.2009475670841852</v>
      </c>
      <c r="V345" s="383">
        <f t="shared" si="137"/>
        <v>20.506401514573593</v>
      </c>
      <c r="W345" s="58"/>
      <c r="X345" s="157">
        <f t="shared" si="138"/>
        <v>43431</v>
      </c>
      <c r="Y345" s="385">
        <f t="shared" si="139"/>
        <v>17.797000000000001</v>
      </c>
      <c r="Z345" s="385">
        <f t="shared" si="140"/>
        <v>17.845938870940653</v>
      </c>
      <c r="AA345" s="386">
        <f t="shared" si="141"/>
        <v>18.224376021072967</v>
      </c>
      <c r="AB345" s="197">
        <f t="shared" si="142"/>
        <v>43431</v>
      </c>
      <c r="AC345" s="425">
        <f t="shared" si="143"/>
        <v>2.0765437987820441E-2</v>
      </c>
      <c r="AD345" s="169">
        <f>(INDEX(Models!$BJ345:$BT345,,AH345)*(1-AF345)+INDEX(Models!$BJ345:$BT345,,AH345+1)*AF345-ERP_i)*AE345*Ramure*Pc/MaxiM</f>
        <v>1.9313052847339744E-4</v>
      </c>
      <c r="AE345" s="305">
        <f t="shared" si="144"/>
        <v>0.7</v>
      </c>
      <c r="AF345" s="177">
        <f t="shared" si="145"/>
        <v>0.79905243291581485</v>
      </c>
      <c r="AG345" s="810">
        <f t="shared" si="146"/>
        <v>-2</v>
      </c>
      <c r="AH345" s="176">
        <f t="shared" si="147"/>
        <v>4</v>
      </c>
      <c r="AI345" s="225">
        <f t="shared" si="148"/>
        <v>-1.2009475670841852</v>
      </c>
      <c r="AJ345" s="265" t="b">
        <f t="shared" si="149"/>
        <v>0</v>
      </c>
      <c r="AK345" s="265" t="b">
        <f t="shared" si="150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1"/>
        <v>43432</v>
      </c>
      <c r="B346" s="616">
        <v>13.535</v>
      </c>
      <c r="C346" s="390"/>
      <c r="D346" s="393">
        <f t="shared" si="128"/>
        <v>13.572534913129276</v>
      </c>
      <c r="E346" s="385">
        <f t="shared" si="125"/>
        <v>13.862559432325462</v>
      </c>
      <c r="F346" s="385">
        <f t="shared" si="127"/>
        <v>13.863925920515646</v>
      </c>
      <c r="G346" s="110">
        <f t="shared" si="126"/>
        <v>0.66615207544041322</v>
      </c>
      <c r="I346" s="380">
        <f t="shared" si="129"/>
        <v>13.863925920515646</v>
      </c>
      <c r="J346" s="85">
        <v>2018</v>
      </c>
      <c r="K346" s="197">
        <f t="shared" si="130"/>
        <v>43432</v>
      </c>
      <c r="L346" s="436">
        <f t="shared" si="131"/>
        <v>2.7655049973728252E-3</v>
      </c>
      <c r="M346" s="855"/>
      <c r="N346" s="855"/>
      <c r="O346" s="324">
        <f t="shared" si="132"/>
        <v>2.0921426567152616E-2</v>
      </c>
      <c r="P346" s="169">
        <f>(INDEX(Models!$BJ346:$BT346,,T346)*(1-R346)+INDEX(Models!$BJ346:$BT346,,T346+1)*R346-ERP_i)*Q346*Ramure*Pc/MaxiM</f>
        <v>1.8840186728136219E-4</v>
      </c>
      <c r="Q346" s="305">
        <f t="shared" si="133"/>
        <v>0.7</v>
      </c>
      <c r="R346" s="177">
        <f t="shared" si="134"/>
        <v>0.79906732016320259</v>
      </c>
      <c r="S346" s="810">
        <f t="shared" si="152"/>
        <v>-2</v>
      </c>
      <c r="T346" s="176">
        <f t="shared" si="135"/>
        <v>4</v>
      </c>
      <c r="U346" s="251">
        <f t="shared" si="136"/>
        <v>-1.2009326798367974</v>
      </c>
      <c r="V346" s="383">
        <f t="shared" si="137"/>
        <v>20.316357822279162</v>
      </c>
      <c r="W346" s="58"/>
      <c r="X346" s="157">
        <f t="shared" si="138"/>
        <v>43432</v>
      </c>
      <c r="Y346" s="385">
        <f t="shared" si="139"/>
        <v>13.535</v>
      </c>
      <c r="Z346" s="385">
        <f t="shared" si="140"/>
        <v>13.572534913129276</v>
      </c>
      <c r="AA346" s="386">
        <f t="shared" si="141"/>
        <v>13.862559432325462</v>
      </c>
      <c r="AB346" s="197">
        <f t="shared" si="142"/>
        <v>43432</v>
      </c>
      <c r="AC346" s="425">
        <f t="shared" si="143"/>
        <v>2.0921426567152616E-2</v>
      </c>
      <c r="AD346" s="169">
        <f>(INDEX(Models!$BJ346:$BT346,,AH346)*(1-AF346)+INDEX(Models!$BJ346:$BT346,,AH346+1)*AF346-ERP_i)*AE346*Ramure*Pc/MaxiM</f>
        <v>1.8840186728136219E-4</v>
      </c>
      <c r="AE346" s="305">
        <f t="shared" si="144"/>
        <v>0.7</v>
      </c>
      <c r="AF346" s="177">
        <f t="shared" si="145"/>
        <v>0.79906732016320259</v>
      </c>
      <c r="AG346" s="810">
        <f t="shared" si="146"/>
        <v>-2</v>
      </c>
      <c r="AH346" s="176">
        <f t="shared" si="147"/>
        <v>4</v>
      </c>
      <c r="AI346" s="225">
        <f t="shared" si="148"/>
        <v>-1.2009326798367974</v>
      </c>
      <c r="AJ346" s="265" t="b">
        <f t="shared" si="149"/>
        <v>0</v>
      </c>
      <c r="AK346" s="265" t="b">
        <f t="shared" si="150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1"/>
        <v>43433</v>
      </c>
      <c r="B347" s="616">
        <v>19.54</v>
      </c>
      <c r="C347" s="390"/>
      <c r="D347" s="393">
        <f t="shared" si="128"/>
        <v>19.594643820335325</v>
      </c>
      <c r="E347" s="385">
        <f t="shared" si="125"/>
        <v>20.016542061486515</v>
      </c>
      <c r="F347" s="385">
        <f t="shared" si="127"/>
        <v>20.020068183984399</v>
      </c>
      <c r="G347" s="110">
        <f t="shared" si="126"/>
        <v>0.97054221324400824</v>
      </c>
      <c r="I347" s="380">
        <f t="shared" si="129"/>
        <v>20.020068183984399</v>
      </c>
      <c r="J347" s="85">
        <v>2018</v>
      </c>
      <c r="K347" s="197">
        <f t="shared" si="130"/>
        <v>43433</v>
      </c>
      <c r="L347" s="436">
        <f t="shared" si="131"/>
        <v>2.7887121009373406E-3</v>
      </c>
      <c r="M347" s="855"/>
      <c r="N347" s="855"/>
      <c r="O347" s="324">
        <f t="shared" si="132"/>
        <v>2.1077478810036656E-2</v>
      </c>
      <c r="P347" s="169">
        <f>(INDEX(Models!$BJ347:$BT347,,T347)*(1-R347)+INDEX(Models!$BJ347:$BT347,,T347+1)*R347-ERP_i)*Q347*Ramure*Pc/MaxiM</f>
        <v>1.8386492817703184E-4</v>
      </c>
      <c r="Q347" s="305">
        <f t="shared" si="133"/>
        <v>0.7</v>
      </c>
      <c r="R347" s="177">
        <f t="shared" si="134"/>
        <v>0.79908160904810588</v>
      </c>
      <c r="S347" s="810">
        <f t="shared" si="152"/>
        <v>-2</v>
      </c>
      <c r="T347" s="176">
        <f t="shared" si="135"/>
        <v>4</v>
      </c>
      <c r="U347" s="251">
        <f t="shared" si="136"/>
        <v>-1.2009183909518941</v>
      </c>
      <c r="V347" s="383">
        <f t="shared" si="137"/>
        <v>20.132920087776572</v>
      </c>
      <c r="W347" s="58"/>
      <c r="X347" s="157">
        <f t="shared" si="138"/>
        <v>43433</v>
      </c>
      <c r="Y347" s="385">
        <f t="shared" si="139"/>
        <v>19.54</v>
      </c>
      <c r="Z347" s="385">
        <f t="shared" si="140"/>
        <v>19.594643820335325</v>
      </c>
      <c r="AA347" s="386">
        <f t="shared" si="141"/>
        <v>20.016542061486515</v>
      </c>
      <c r="AB347" s="197">
        <f t="shared" si="142"/>
        <v>43433</v>
      </c>
      <c r="AC347" s="425">
        <f t="shared" si="143"/>
        <v>2.1077478810036656E-2</v>
      </c>
      <c r="AD347" s="169">
        <f>(INDEX(Models!$BJ347:$BT347,,AH347)*(1-AF347)+INDEX(Models!$BJ347:$BT347,,AH347+1)*AF347-ERP_i)*AE347*Ramure*Pc/MaxiM</f>
        <v>1.8386492817703184E-4</v>
      </c>
      <c r="AE347" s="305">
        <f t="shared" si="144"/>
        <v>0.7</v>
      </c>
      <c r="AF347" s="177">
        <f t="shared" si="145"/>
        <v>0.79908160904810588</v>
      </c>
      <c r="AG347" s="810">
        <f t="shared" si="146"/>
        <v>-2</v>
      </c>
      <c r="AH347" s="176">
        <f t="shared" si="147"/>
        <v>4</v>
      </c>
      <c r="AI347" s="225">
        <f t="shared" si="148"/>
        <v>-1.2009183909518941</v>
      </c>
      <c r="AJ347" s="265" t="b">
        <f t="shared" si="149"/>
        <v>0</v>
      </c>
      <c r="AK347" s="265" t="b">
        <f t="shared" si="150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1"/>
        <v>43434</v>
      </c>
      <c r="B348" s="616">
        <v>9.3539999999999992</v>
      </c>
      <c r="C348" s="390"/>
      <c r="D348" s="393">
        <f t="shared" si="128"/>
        <v>9.3803768567630001</v>
      </c>
      <c r="E348" s="385">
        <f t="shared" si="125"/>
        <v>9.5838770965418618</v>
      </c>
      <c r="F348" s="385">
        <f t="shared" si="127"/>
        <v>9.584291795649472</v>
      </c>
      <c r="G348" s="110">
        <f t="shared" si="126"/>
        <v>0.46865282211357107</v>
      </c>
      <c r="I348" s="380">
        <f t="shared" si="129"/>
        <v>9.584291795649472</v>
      </c>
      <c r="J348" s="85">
        <v>2018</v>
      </c>
      <c r="K348" s="197">
        <f t="shared" si="130"/>
        <v>43434</v>
      </c>
      <c r="L348" s="436">
        <f t="shared" si="131"/>
        <v>2.8119186644387506E-3</v>
      </c>
      <c r="M348" s="855"/>
      <c r="N348" s="855"/>
      <c r="O348" s="324">
        <f t="shared" si="132"/>
        <v>2.1233602823672634E-2</v>
      </c>
      <c r="P348" s="169">
        <f>(INDEX(Models!$BJ348:$BT348,,T348)*(1-R348)+INDEX(Models!$BJ348:$BT348,,T348+1)*R348-ERP_i)*Q348*Ramure*Pc/MaxiM</f>
        <v>1.7952009585102172E-4</v>
      </c>
      <c r="Q348" s="305">
        <f t="shared" si="133"/>
        <v>0.7</v>
      </c>
      <c r="R348" s="177">
        <f t="shared" si="134"/>
        <v>0.79909532358027313</v>
      </c>
      <c r="S348" s="810">
        <f t="shared" si="152"/>
        <v>-2</v>
      </c>
      <c r="T348" s="176">
        <f t="shared" si="135"/>
        <v>4</v>
      </c>
      <c r="U348" s="251">
        <f t="shared" si="136"/>
        <v>-1.2009046764197269</v>
      </c>
      <c r="V348" s="383">
        <f t="shared" si="137"/>
        <v>19.956618219846273</v>
      </c>
      <c r="W348" s="58"/>
      <c r="X348" s="157">
        <f t="shared" si="138"/>
        <v>43434</v>
      </c>
      <c r="Y348" s="385">
        <f t="shared" si="139"/>
        <v>9.3539999999999992</v>
      </c>
      <c r="Z348" s="385">
        <f t="shared" si="140"/>
        <v>9.3803768567630001</v>
      </c>
      <c r="AA348" s="386">
        <f t="shared" si="141"/>
        <v>9.5838770965418618</v>
      </c>
      <c r="AB348" s="197">
        <f t="shared" si="142"/>
        <v>43434</v>
      </c>
      <c r="AC348" s="425">
        <f t="shared" si="143"/>
        <v>2.1233602823672634E-2</v>
      </c>
      <c r="AD348" s="169">
        <f>(INDEX(Models!$BJ348:$BT348,,AH348)*(1-AF348)+INDEX(Models!$BJ348:$BT348,,AH348+1)*AF348-ERP_i)*AE348*Ramure*Pc/MaxiM</f>
        <v>1.7952009585102172E-4</v>
      </c>
      <c r="AE348" s="305">
        <f t="shared" si="144"/>
        <v>0.7</v>
      </c>
      <c r="AF348" s="177">
        <f t="shared" si="145"/>
        <v>0.79909532358027313</v>
      </c>
      <c r="AG348" s="810">
        <f t="shared" si="146"/>
        <v>-2</v>
      </c>
      <c r="AH348" s="176">
        <f t="shared" si="147"/>
        <v>4</v>
      </c>
      <c r="AI348" s="225">
        <f t="shared" si="148"/>
        <v>-1.2009046764197269</v>
      </c>
      <c r="AJ348" s="265" t="b">
        <f t="shared" si="149"/>
        <v>0</v>
      </c>
      <c r="AK348" s="265" t="b">
        <f t="shared" si="150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1"/>
        <v>43435</v>
      </c>
      <c r="B349" s="616">
        <v>15.047000000000001</v>
      </c>
      <c r="C349" s="390"/>
      <c r="D349" s="393">
        <f t="shared" si="128"/>
        <v>15.089781411815492</v>
      </c>
      <c r="E349" s="385">
        <f t="shared" si="125"/>
        <v>15.419603734810861</v>
      </c>
      <c r="F349" s="385">
        <f t="shared" si="127"/>
        <v>15.421382510362893</v>
      </c>
      <c r="G349" s="110">
        <f t="shared" si="126"/>
        <v>0.76036540304386158</v>
      </c>
      <c r="I349" s="380">
        <f t="shared" si="129"/>
        <v>15.421382510362893</v>
      </c>
      <c r="J349" s="85">
        <v>2018</v>
      </c>
      <c r="K349" s="197">
        <f t="shared" si="130"/>
        <v>43435</v>
      </c>
      <c r="L349" s="436">
        <f t="shared" si="131"/>
        <v>2.8351246878893788E-3</v>
      </c>
      <c r="M349" s="855"/>
      <c r="N349" s="855"/>
      <c r="O349" s="324">
        <f t="shared" si="132"/>
        <v>2.1389805384607375E-2</v>
      </c>
      <c r="P349" s="169">
        <f>(INDEX(Models!$BJ349:$BT349,,T349)*(1-R349)+INDEX(Models!$BJ349:$BT349,,T349+1)*R349-ERP_i)*Q349*Ramure*Pc/MaxiM</f>
        <v>1.7536791697509869E-4</v>
      </c>
      <c r="Q349" s="305">
        <f t="shared" si="133"/>
        <v>0.7</v>
      </c>
      <c r="R349" s="177">
        <f t="shared" si="134"/>
        <v>0.79910848680921376</v>
      </c>
      <c r="S349" s="810">
        <f t="shared" si="152"/>
        <v>-2</v>
      </c>
      <c r="T349" s="176">
        <f t="shared" si="135"/>
        <v>4</v>
      </c>
      <c r="U349" s="251">
        <f t="shared" si="136"/>
        <v>-1.2008915131907862</v>
      </c>
      <c r="V349" s="383">
        <f t="shared" si="137"/>
        <v>19.787981761173754</v>
      </c>
      <c r="W349" s="58"/>
      <c r="X349" s="157">
        <f t="shared" si="138"/>
        <v>43435</v>
      </c>
      <c r="Y349" s="385">
        <f t="shared" si="139"/>
        <v>15.047000000000001</v>
      </c>
      <c r="Z349" s="385">
        <f t="shared" si="140"/>
        <v>15.089781411815492</v>
      </c>
      <c r="AA349" s="386">
        <f t="shared" si="141"/>
        <v>15.419603734810861</v>
      </c>
      <c r="AB349" s="197">
        <f t="shared" si="142"/>
        <v>43435</v>
      </c>
      <c r="AC349" s="425">
        <f t="shared" si="143"/>
        <v>2.1389805384607375E-2</v>
      </c>
      <c r="AD349" s="169">
        <f>(INDEX(Models!$BJ349:$BT349,,AH349)*(1-AF349)+INDEX(Models!$BJ349:$BT349,,AH349+1)*AF349-ERP_i)*AE349*Ramure*Pc/MaxiM</f>
        <v>1.7536791697509869E-4</v>
      </c>
      <c r="AE349" s="305">
        <f t="shared" si="144"/>
        <v>0.7</v>
      </c>
      <c r="AF349" s="177">
        <f t="shared" si="145"/>
        <v>0.79910848680921376</v>
      </c>
      <c r="AG349" s="810">
        <f t="shared" si="146"/>
        <v>-2</v>
      </c>
      <c r="AH349" s="176">
        <f t="shared" si="147"/>
        <v>4</v>
      </c>
      <c r="AI349" s="225">
        <f t="shared" si="148"/>
        <v>-1.2008915131907862</v>
      </c>
      <c r="AJ349" s="265" t="b">
        <f t="shared" si="149"/>
        <v>0</v>
      </c>
      <c r="AK349" s="265" t="b">
        <f t="shared" si="150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1"/>
        <v>43436</v>
      </c>
      <c r="B350" s="616">
        <v>6.7350000000000003</v>
      </c>
      <c r="C350" s="390"/>
      <c r="D350" s="393">
        <f t="shared" si="128"/>
        <v>6.7543060367309966</v>
      </c>
      <c r="E350" s="385">
        <f t="shared" si="125"/>
        <v>6.9030395617592886</v>
      </c>
      <c r="F350" s="385">
        <f t="shared" si="127"/>
        <v>6.9031124846572887</v>
      </c>
      <c r="G350" s="110">
        <f t="shared" si="126"/>
        <v>0.34308511062205593</v>
      </c>
      <c r="I350" s="380">
        <f t="shared" si="129"/>
        <v>6.9031124846572887</v>
      </c>
      <c r="J350" s="85">
        <v>2018</v>
      </c>
      <c r="K350" s="197">
        <f t="shared" si="130"/>
        <v>43436</v>
      </c>
      <c r="L350" s="436">
        <f t="shared" si="131"/>
        <v>2.8583301713021037E-3</v>
      </c>
      <c r="M350" s="855"/>
      <c r="N350" s="855"/>
      <c r="O350" s="324">
        <f t="shared" si="132"/>
        <v>2.1546091934954277E-2</v>
      </c>
      <c r="P350" s="169">
        <f>(INDEX(Models!$BJ350:$BT350,,T350)*(1-R350)+INDEX(Models!$BJ350:$BT350,,T350+1)*R350-ERP_i)*Q350*Ramure*Pc/MaxiM</f>
        <v>1.7140907490833938E-4</v>
      </c>
      <c r="Q350" s="305">
        <f t="shared" si="133"/>
        <v>0.7</v>
      </c>
      <c r="R350" s="177">
        <f t="shared" si="134"/>
        <v>0.79912112086235121</v>
      </c>
      <c r="S350" s="810">
        <f t="shared" si="152"/>
        <v>-2</v>
      </c>
      <c r="T350" s="176">
        <f t="shared" si="135"/>
        <v>4</v>
      </c>
      <c r="U350" s="251">
        <f t="shared" si="136"/>
        <v>-1.2008788791376488</v>
      </c>
      <c r="V350" s="383">
        <f t="shared" si="137"/>
        <v>19.627539893012347</v>
      </c>
      <c r="W350" s="58"/>
      <c r="X350" s="157">
        <f t="shared" si="138"/>
        <v>43436</v>
      </c>
      <c r="Y350" s="385">
        <f t="shared" si="139"/>
        <v>6.7350000000000003</v>
      </c>
      <c r="Z350" s="385">
        <f t="shared" si="140"/>
        <v>6.7543060367309966</v>
      </c>
      <c r="AA350" s="386">
        <f t="shared" si="141"/>
        <v>6.9030395617592886</v>
      </c>
      <c r="AB350" s="197">
        <f t="shared" si="142"/>
        <v>43436</v>
      </c>
      <c r="AC350" s="425">
        <f t="shared" si="143"/>
        <v>2.1546091934954277E-2</v>
      </c>
      <c r="AD350" s="169">
        <f>(INDEX(Models!$BJ350:$BT350,,AH350)*(1-AF350)+INDEX(Models!$BJ350:$BT350,,AH350+1)*AF350-ERP_i)*AE350*Ramure*Pc/MaxiM</f>
        <v>1.7140907490833938E-4</v>
      </c>
      <c r="AE350" s="305">
        <f t="shared" si="144"/>
        <v>0.7</v>
      </c>
      <c r="AF350" s="177">
        <f t="shared" si="145"/>
        <v>0.79912112086235121</v>
      </c>
      <c r="AG350" s="810">
        <f t="shared" si="146"/>
        <v>-2</v>
      </c>
      <c r="AH350" s="176">
        <f t="shared" si="147"/>
        <v>4</v>
      </c>
      <c r="AI350" s="225">
        <f t="shared" si="148"/>
        <v>-1.2008788791376488</v>
      </c>
      <c r="AJ350" s="265" t="b">
        <f t="shared" si="149"/>
        <v>0</v>
      </c>
      <c r="AK350" s="265" t="b">
        <f t="shared" si="150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1"/>
        <v>43437</v>
      </c>
      <c r="B351" s="616">
        <v>7.5720000000000001</v>
      </c>
      <c r="C351" s="390"/>
      <c r="D351" s="393">
        <f t="shared" si="128"/>
        <v>7.5938820377485809</v>
      </c>
      <c r="E351" s="385">
        <f t="shared" si="125"/>
        <v>7.7623440501394807</v>
      </c>
      <c r="F351" s="385">
        <f t="shared" si="127"/>
        <v>7.7625091154931898</v>
      </c>
      <c r="G351" s="110">
        <f t="shared" si="126"/>
        <v>0.38873285089763132</v>
      </c>
      <c r="I351" s="380">
        <f t="shared" si="129"/>
        <v>7.7625091154931898</v>
      </c>
      <c r="J351" s="85">
        <v>2018</v>
      </c>
      <c r="K351" s="197">
        <f t="shared" si="130"/>
        <v>43437</v>
      </c>
      <c r="L351" s="436">
        <f t="shared" si="131"/>
        <v>2.8815351146892487E-3</v>
      </c>
      <c r="M351" s="855"/>
      <c r="N351" s="855"/>
      <c r="O351" s="324">
        <f t="shared" si="132"/>
        <v>2.1702466587766398E-2</v>
      </c>
      <c r="P351" s="169">
        <f>(INDEX(Models!$BJ351:$BT351,,T351)*(1-R351)+INDEX(Models!$BJ351:$BT351,,T351+1)*R351-ERP_i)*Q351*Ramure*Pc/MaxiM</f>
        <v>1.6764435966337408E-4</v>
      </c>
      <c r="Q351" s="305">
        <f t="shared" si="133"/>
        <v>0.7</v>
      </c>
      <c r="R351" s="177">
        <f t="shared" si="134"/>
        <v>0.7991332469816812</v>
      </c>
      <c r="S351" s="810">
        <f t="shared" si="152"/>
        <v>-2</v>
      </c>
      <c r="T351" s="176">
        <f t="shared" si="135"/>
        <v>4</v>
      </c>
      <c r="U351" s="251">
        <f t="shared" si="136"/>
        <v>-1.2008667530183188</v>
      </c>
      <c r="V351" s="383">
        <f t="shared" si="137"/>
        <v>19.47582142888665</v>
      </c>
      <c r="W351" s="58"/>
      <c r="X351" s="157">
        <f t="shared" si="138"/>
        <v>43437</v>
      </c>
      <c r="Y351" s="385">
        <f t="shared" si="139"/>
        <v>7.5720000000000001</v>
      </c>
      <c r="Z351" s="385">
        <f t="shared" si="140"/>
        <v>7.5938820377485809</v>
      </c>
      <c r="AA351" s="386">
        <f t="shared" si="141"/>
        <v>7.7623440501394807</v>
      </c>
      <c r="AB351" s="197">
        <f t="shared" si="142"/>
        <v>43437</v>
      </c>
      <c r="AC351" s="425">
        <f t="shared" si="143"/>
        <v>2.1702466587766398E-2</v>
      </c>
      <c r="AD351" s="169">
        <f>(INDEX(Models!$BJ351:$BT351,,AH351)*(1-AF351)+INDEX(Models!$BJ351:$BT351,,AH351+1)*AF351-ERP_i)*AE351*Ramure*Pc/MaxiM</f>
        <v>1.6764435966337408E-4</v>
      </c>
      <c r="AE351" s="305">
        <f t="shared" si="144"/>
        <v>0.7</v>
      </c>
      <c r="AF351" s="177">
        <f t="shared" si="145"/>
        <v>0.7991332469816812</v>
      </c>
      <c r="AG351" s="810">
        <f t="shared" si="146"/>
        <v>-2</v>
      </c>
      <c r="AH351" s="176">
        <f t="shared" si="147"/>
        <v>4</v>
      </c>
      <c r="AI351" s="225">
        <f t="shared" si="148"/>
        <v>-1.2008667530183188</v>
      </c>
      <c r="AJ351" s="265" t="b">
        <f t="shared" si="149"/>
        <v>0</v>
      </c>
      <c r="AK351" s="265" t="b">
        <f t="shared" si="150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1"/>
        <v>43438</v>
      </c>
      <c r="B352" s="616">
        <v>5.391</v>
      </c>
      <c r="C352" s="390"/>
      <c r="D352" s="393">
        <f t="shared" si="128"/>
        <v>5.4067050698789911</v>
      </c>
      <c r="E352" s="385">
        <f t="shared" si="125"/>
        <v>5.5275309948041942</v>
      </c>
      <c r="F352" s="385">
        <f t="shared" si="127"/>
        <v>5.5275309948041942</v>
      </c>
      <c r="G352" s="110">
        <f t="shared" si="126"/>
        <v>0.27879876643643592</v>
      </c>
      <c r="I352" s="380">
        <f t="shared" si="129"/>
        <v>5.5275309948041942</v>
      </c>
      <c r="J352" s="85">
        <v>2018</v>
      </c>
      <c r="K352" s="197">
        <f t="shared" si="130"/>
        <v>43438</v>
      </c>
      <c r="L352" s="436">
        <f t="shared" si="131"/>
        <v>2.9047395180633595E-3</v>
      </c>
      <c r="M352" s="855"/>
      <c r="N352" s="855"/>
      <c r="O352" s="324">
        <f t="shared" si="132"/>
        <v>2.1858932141452972E-2</v>
      </c>
      <c r="P352" s="169">
        <f>(INDEX(Models!$BJ352:$BT352,,T352)*(1-R352)+INDEX(Models!$BJ352:$BT352,,T352+1)*R352-ERP_i)*Q352*Ramure*Pc/MaxiM</f>
        <v>1.6423200596350649E-4</v>
      </c>
      <c r="Q352" s="305">
        <f t="shared" si="133"/>
        <v>0.7</v>
      </c>
      <c r="R352" s="177">
        <f t="shared" si="134"/>
        <v>0.79914488555898933</v>
      </c>
      <c r="S352" s="810">
        <f t="shared" si="152"/>
        <v>-2</v>
      </c>
      <c r="T352" s="176">
        <f t="shared" si="135"/>
        <v>4</v>
      </c>
      <c r="U352" s="251">
        <f t="shared" si="136"/>
        <v>-1.2008551144410107</v>
      </c>
      <c r="V352" s="383">
        <f t="shared" si="137"/>
        <v>19.333351772504194</v>
      </c>
      <c r="W352" s="58"/>
      <c r="X352" s="157">
        <f t="shared" si="138"/>
        <v>43438</v>
      </c>
      <c r="Y352" s="385">
        <f t="shared" si="139"/>
        <v>5.391</v>
      </c>
      <c r="Z352" s="385">
        <f t="shared" si="140"/>
        <v>5.4067050698789911</v>
      </c>
      <c r="AA352" s="386">
        <f t="shared" si="141"/>
        <v>5.5275309948041942</v>
      </c>
      <c r="AB352" s="197">
        <f t="shared" si="142"/>
        <v>43438</v>
      </c>
      <c r="AC352" s="425">
        <f t="shared" si="143"/>
        <v>2.1858932141452972E-2</v>
      </c>
      <c r="AD352" s="169">
        <f>(INDEX(Models!$BJ352:$BT352,,AH352)*(1-AF352)+INDEX(Models!$BJ352:$BT352,,AH352+1)*AF352-ERP_i)*AE352*Ramure*Pc/MaxiM</f>
        <v>1.6423200596350649E-4</v>
      </c>
      <c r="AE352" s="305">
        <f t="shared" si="144"/>
        <v>0.7</v>
      </c>
      <c r="AF352" s="177">
        <f t="shared" si="145"/>
        <v>0.79914488555898933</v>
      </c>
      <c r="AG352" s="810">
        <f t="shared" si="146"/>
        <v>-2</v>
      </c>
      <c r="AH352" s="176">
        <f t="shared" si="147"/>
        <v>4</v>
      </c>
      <c r="AI352" s="225">
        <f t="shared" si="148"/>
        <v>-1.2008551144410107</v>
      </c>
      <c r="AJ352" s="265" t="b">
        <f t="shared" si="149"/>
        <v>0</v>
      </c>
      <c r="AK352" s="265" t="b">
        <f t="shared" si="150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1"/>
        <v>43439</v>
      </c>
      <c r="B353" s="616">
        <v>14.91</v>
      </c>
      <c r="C353" s="390"/>
      <c r="D353" s="393">
        <f t="shared" si="128"/>
        <v>14.953783832399518</v>
      </c>
      <c r="E353" s="385">
        <f t="shared" si="125"/>
        <v>15.29040969572741</v>
      </c>
      <c r="F353" s="385">
        <f t="shared" si="127"/>
        <v>15.29208578158242</v>
      </c>
      <c r="G353" s="110">
        <f t="shared" si="126"/>
        <v>0.77649579590034634</v>
      </c>
      <c r="I353" s="380">
        <f t="shared" si="129"/>
        <v>15.29208578158242</v>
      </c>
      <c r="J353" s="85">
        <v>2018</v>
      </c>
      <c r="K353" s="197">
        <f t="shared" si="130"/>
        <v>43439</v>
      </c>
      <c r="L353" s="436">
        <f t="shared" si="131"/>
        <v>2.9279433814372036E-3</v>
      </c>
      <c r="M353" s="855"/>
      <c r="N353" s="855"/>
      <c r="O353" s="324">
        <f t="shared" si="132"/>
        <v>2.201549010305167E-2</v>
      </c>
      <c r="P353" s="169">
        <f>(INDEX(Models!$BJ353:$BT353,,T353)*(1-R353)+INDEX(Models!$BJ353:$BT353,,T353+1)*R353-ERP_i)*Q353*Ramure*Pc/MaxiM</f>
        <v>1.6100231570535494E-4</v>
      </c>
      <c r="Q353" s="305">
        <f t="shared" si="133"/>
        <v>0.7</v>
      </c>
      <c r="R353" s="177">
        <f t="shared" si="134"/>
        <v>0.79915605616968444</v>
      </c>
      <c r="S353" s="810">
        <f t="shared" si="152"/>
        <v>-2</v>
      </c>
      <c r="T353" s="176">
        <f t="shared" si="135"/>
        <v>4</v>
      </c>
      <c r="U353" s="251">
        <f t="shared" si="136"/>
        <v>-1.2008439438303156</v>
      </c>
      <c r="V353" s="383">
        <f t="shared" si="137"/>
        <v>19.200662331474977</v>
      </c>
      <c r="W353" s="58"/>
      <c r="X353" s="157">
        <f t="shared" si="138"/>
        <v>43439</v>
      </c>
      <c r="Y353" s="385">
        <f t="shared" si="139"/>
        <v>14.91</v>
      </c>
      <c r="Z353" s="385">
        <f t="shared" si="140"/>
        <v>14.953783832399518</v>
      </c>
      <c r="AA353" s="386">
        <f t="shared" si="141"/>
        <v>15.29040969572741</v>
      </c>
      <c r="AB353" s="197">
        <f t="shared" si="142"/>
        <v>43439</v>
      </c>
      <c r="AC353" s="425">
        <f t="shared" si="143"/>
        <v>2.201549010305167E-2</v>
      </c>
      <c r="AD353" s="169">
        <f>(INDEX(Models!$BJ353:$BT353,,AH353)*(1-AF353)+INDEX(Models!$BJ353:$BT353,,AH353+1)*AF353-ERP_i)*AE353*Ramure*Pc/MaxiM</f>
        <v>1.6100231570535494E-4</v>
      </c>
      <c r="AE353" s="305">
        <f t="shared" si="144"/>
        <v>0.7</v>
      </c>
      <c r="AF353" s="177">
        <f t="shared" si="145"/>
        <v>0.79915605616968444</v>
      </c>
      <c r="AG353" s="810">
        <f t="shared" si="146"/>
        <v>-2</v>
      </c>
      <c r="AH353" s="176">
        <f t="shared" si="147"/>
        <v>4</v>
      </c>
      <c r="AI353" s="225">
        <f t="shared" si="148"/>
        <v>-1.2008439438303156</v>
      </c>
      <c r="AJ353" s="265" t="b">
        <f t="shared" si="149"/>
        <v>0</v>
      </c>
      <c r="AK353" s="265" t="b">
        <f t="shared" si="150"/>
        <v>0</v>
      </c>
      <c r="AL353" s="265"/>
      <c r="AM353" s="265"/>
      <c r="AN353" s="75"/>
    </row>
    <row r="354" spans="1:40" s="6" customFormat="1" ht="11.25" x14ac:dyDescent="0.2">
      <c r="A354" s="56">
        <f t="shared" si="151"/>
        <v>43440</v>
      </c>
      <c r="B354" s="616">
        <v>11.667999999999999</v>
      </c>
      <c r="C354" s="390"/>
      <c r="D354" s="393">
        <f t="shared" si="128"/>
        <v>11.702535900260129</v>
      </c>
      <c r="E354" s="385">
        <f t="shared" si="125"/>
        <v>11.967889633332929</v>
      </c>
      <c r="F354" s="385">
        <f t="shared" si="127"/>
        <v>11.96873115049803</v>
      </c>
      <c r="G354" s="110">
        <f t="shared" si="126"/>
        <v>0.6115318980609914</v>
      </c>
      <c r="I354" s="380">
        <f t="shared" si="129"/>
        <v>11.96873115049803</v>
      </c>
      <c r="J354" s="85">
        <v>2018</v>
      </c>
      <c r="K354" s="197">
        <f t="shared" si="130"/>
        <v>43440</v>
      </c>
      <c r="L354" s="436">
        <f t="shared" si="131"/>
        <v>2.9511467048233264E-3</v>
      </c>
      <c r="M354" s="855"/>
      <c r="N354" s="855"/>
      <c r="O354" s="324">
        <f t="shared" si="132"/>
        <v>2.2172140720092996E-2</v>
      </c>
      <c r="P354" s="169">
        <f>(INDEX(Models!$BJ354:$BT354,,T354)*(1-R354)+INDEX(Models!$BJ354:$BT354,,T354+1)*R354-ERP_i)*Q354*Ramure*Pc/MaxiM</f>
        <v>1.5795583053200115E-4</v>
      </c>
      <c r="Q354" s="305">
        <f t="shared" si="133"/>
        <v>0.7</v>
      </c>
      <c r="R354" s="177">
        <f t="shared" si="134"/>
        <v>0.79916677760530286</v>
      </c>
      <c r="S354" s="810">
        <f t="shared" si="152"/>
        <v>-2</v>
      </c>
      <c r="T354" s="176">
        <f t="shared" si="135"/>
        <v>4</v>
      </c>
      <c r="U354" s="251">
        <f t="shared" si="136"/>
        <v>-1.2008332223946971</v>
      </c>
      <c r="V354" s="383">
        <f t="shared" si="137"/>
        <v>19.078280804846319</v>
      </c>
      <c r="W354" s="58"/>
      <c r="X354" s="157">
        <f t="shared" si="138"/>
        <v>43440</v>
      </c>
      <c r="Y354" s="385">
        <f t="shared" si="139"/>
        <v>11.667999999999999</v>
      </c>
      <c r="Z354" s="385">
        <f t="shared" si="140"/>
        <v>11.702535900260129</v>
      </c>
      <c r="AA354" s="386">
        <f t="shared" si="141"/>
        <v>11.967889633332929</v>
      </c>
      <c r="AB354" s="197">
        <f t="shared" si="142"/>
        <v>43440</v>
      </c>
      <c r="AC354" s="425">
        <f t="shared" si="143"/>
        <v>2.2172140720092996E-2</v>
      </c>
      <c r="AD354" s="169">
        <f>(INDEX(Models!$BJ354:$BT354,,AH354)*(1-AF354)+INDEX(Models!$BJ354:$BT354,,AH354+1)*AF354-ERP_i)*AE354*Ramure*Pc/MaxiM</f>
        <v>1.5795583053200115E-4</v>
      </c>
      <c r="AE354" s="305">
        <f t="shared" si="144"/>
        <v>0.7</v>
      </c>
      <c r="AF354" s="177">
        <f t="shared" si="145"/>
        <v>0.79916677760530286</v>
      </c>
      <c r="AG354" s="810">
        <f t="shared" si="146"/>
        <v>-2</v>
      </c>
      <c r="AH354" s="176">
        <f t="shared" si="147"/>
        <v>4</v>
      </c>
      <c r="AI354" s="225">
        <f t="shared" si="148"/>
        <v>-1.2008332223946971</v>
      </c>
      <c r="AJ354" s="265" t="b">
        <f t="shared" si="149"/>
        <v>0</v>
      </c>
      <c r="AK354" s="265" t="b">
        <f t="shared" si="150"/>
        <v>0</v>
      </c>
      <c r="AL354" s="265"/>
      <c r="AM354" s="265"/>
      <c r="AN354" s="75"/>
    </row>
    <row r="355" spans="1:40" s="6" customFormat="1" ht="11.25" x14ac:dyDescent="0.2">
      <c r="A355" s="56">
        <f t="shared" si="151"/>
        <v>43441</v>
      </c>
      <c r="B355" s="616">
        <v>15.199</v>
      </c>
      <c r="C355" s="390"/>
      <c r="D355" s="393">
        <f t="shared" si="128"/>
        <v>15.244342000828629</v>
      </c>
      <c r="E355" s="385">
        <f t="shared" si="125"/>
        <v>15.592505226020396</v>
      </c>
      <c r="F355" s="385">
        <f t="shared" si="127"/>
        <v>15.59423743287989</v>
      </c>
      <c r="G355" s="110">
        <f t="shared" si="126"/>
        <v>0.80131511096483554</v>
      </c>
      <c r="I355" s="380">
        <f t="shared" si="129"/>
        <v>15.59423743287989</v>
      </c>
      <c r="J355" s="85">
        <v>2018</v>
      </c>
      <c r="K355" s="197">
        <f t="shared" si="130"/>
        <v>43441</v>
      </c>
      <c r="L355" s="436">
        <f t="shared" si="131"/>
        <v>2.9743494882340515E-3</v>
      </c>
      <c r="M355" s="855"/>
      <c r="N355" s="855"/>
      <c r="O355" s="324">
        <f t="shared" si="132"/>
        <v>2.2328883020719583E-2</v>
      </c>
      <c r="P355" s="169">
        <f>(INDEX(Models!$BJ355:$BT355,,T355)*(1-R355)+INDEX(Models!$BJ355:$BT355,,T355+1)*R355-ERP_i)*Q355*Ramure*Pc/MaxiM</f>
        <v>1.5509303656309966E-4</v>
      </c>
      <c r="Q355" s="305">
        <f t="shared" si="133"/>
        <v>0.7</v>
      </c>
      <c r="R355" s="177">
        <f t="shared" si="134"/>
        <v>0.79917706790473098</v>
      </c>
      <c r="S355" s="810">
        <f t="shared" si="152"/>
        <v>-2</v>
      </c>
      <c r="T355" s="176">
        <f t="shared" si="135"/>
        <v>4</v>
      </c>
      <c r="U355" s="251">
        <f t="shared" si="136"/>
        <v>-1.200822932095269</v>
      </c>
      <c r="V355" s="383">
        <f t="shared" si="137"/>
        <v>18.966734512510836</v>
      </c>
      <c r="W355" s="58"/>
      <c r="X355" s="157">
        <f t="shared" si="138"/>
        <v>43441</v>
      </c>
      <c r="Y355" s="385">
        <f t="shared" si="139"/>
        <v>15.199</v>
      </c>
      <c r="Z355" s="385">
        <f t="shared" si="140"/>
        <v>15.244342000828629</v>
      </c>
      <c r="AA355" s="386">
        <f t="shared" si="141"/>
        <v>15.592505226020396</v>
      </c>
      <c r="AB355" s="197">
        <f t="shared" si="142"/>
        <v>43441</v>
      </c>
      <c r="AC355" s="425">
        <f t="shared" si="143"/>
        <v>2.2328883020719583E-2</v>
      </c>
      <c r="AD355" s="169">
        <f>(INDEX(Models!$BJ355:$BT355,,AH355)*(1-AF355)+INDEX(Models!$BJ355:$BT355,,AH355+1)*AF355-ERP_i)*AE355*Ramure*Pc/MaxiM</f>
        <v>1.5509303656309966E-4</v>
      </c>
      <c r="AE355" s="305">
        <f t="shared" si="144"/>
        <v>0.7</v>
      </c>
      <c r="AF355" s="177">
        <f t="shared" si="145"/>
        <v>0.79917706790473098</v>
      </c>
      <c r="AG355" s="810">
        <f t="shared" si="146"/>
        <v>-2</v>
      </c>
      <c r="AH355" s="176">
        <f t="shared" si="147"/>
        <v>4</v>
      </c>
      <c r="AI355" s="225">
        <f t="shared" si="148"/>
        <v>-1.200822932095269</v>
      </c>
      <c r="AJ355" s="265" t="b">
        <f t="shared" si="149"/>
        <v>0</v>
      </c>
      <c r="AK355" s="265" t="b">
        <f t="shared" si="150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1"/>
        <v>43442</v>
      </c>
      <c r="B356" s="616">
        <v>10.272</v>
      </c>
      <c r="C356" s="390"/>
      <c r="D356" s="393">
        <f t="shared" si="128"/>
        <v>10.302883426055093</v>
      </c>
      <c r="E356" s="385">
        <f t="shared" si="125"/>
        <v>10.539880166147068</v>
      </c>
      <c r="F356" s="385">
        <f t="shared" si="127"/>
        <v>10.540441196807956</v>
      </c>
      <c r="G356" s="110">
        <f t="shared" si="126"/>
        <v>0.54440164599510843</v>
      </c>
      <c r="I356" s="380">
        <f t="shared" si="129"/>
        <v>10.540441196807956</v>
      </c>
      <c r="J356" s="85">
        <v>2018</v>
      </c>
      <c r="K356" s="197">
        <f t="shared" si="130"/>
        <v>43442</v>
      </c>
      <c r="L356" s="436">
        <f t="shared" si="131"/>
        <v>2.9975517316822575E-3</v>
      </c>
      <c r="M356" s="855"/>
      <c r="N356" s="855"/>
      <c r="O356" s="324">
        <f t="shared" si="132"/>
        <v>2.2485714861653069E-2</v>
      </c>
      <c r="P356" s="169">
        <f>(INDEX(Models!$BJ356:$BT356,,T356)*(1-R356)+INDEX(Models!$BJ356:$BT356,,T356+1)*R356-ERP_i)*Q356*Ramure*Pc/MaxiM</f>
        <v>1.5241431670863021E-4</v>
      </c>
      <c r="Q356" s="305">
        <f t="shared" si="133"/>
        <v>0.7</v>
      </c>
      <c r="R356" s="177">
        <f t="shared" si="134"/>
        <v>0.79918694438419813</v>
      </c>
      <c r="S356" s="810">
        <f t="shared" si="152"/>
        <v>-2</v>
      </c>
      <c r="T356" s="176">
        <f t="shared" si="135"/>
        <v>4</v>
      </c>
      <c r="U356" s="251">
        <f t="shared" si="136"/>
        <v>-1.2008130556158019</v>
      </c>
      <c r="V356" s="383">
        <f t="shared" si="137"/>
        <v>18.86655039334115</v>
      </c>
      <c r="W356" s="58"/>
      <c r="X356" s="157">
        <f t="shared" si="138"/>
        <v>43442</v>
      </c>
      <c r="Y356" s="385">
        <f t="shared" si="139"/>
        <v>10.272</v>
      </c>
      <c r="Z356" s="385">
        <f t="shared" si="140"/>
        <v>10.302883426055093</v>
      </c>
      <c r="AA356" s="386">
        <f t="shared" si="141"/>
        <v>10.539880166147068</v>
      </c>
      <c r="AB356" s="197">
        <f t="shared" si="142"/>
        <v>43442</v>
      </c>
      <c r="AC356" s="425">
        <f t="shared" si="143"/>
        <v>2.2485714861653069E-2</v>
      </c>
      <c r="AD356" s="169">
        <f>(INDEX(Models!$BJ356:$BT356,,AH356)*(1-AF356)+INDEX(Models!$BJ356:$BT356,,AH356+1)*AF356-ERP_i)*AE356*Ramure*Pc/MaxiM</f>
        <v>1.5241431670863021E-4</v>
      </c>
      <c r="AE356" s="305">
        <f t="shared" si="144"/>
        <v>0.7</v>
      </c>
      <c r="AF356" s="177">
        <f t="shared" si="145"/>
        <v>0.79918694438419813</v>
      </c>
      <c r="AG356" s="810">
        <f t="shared" si="146"/>
        <v>-2</v>
      </c>
      <c r="AH356" s="176">
        <f t="shared" si="147"/>
        <v>4</v>
      </c>
      <c r="AI356" s="225">
        <f t="shared" si="148"/>
        <v>-1.2008130556158019</v>
      </c>
      <c r="AJ356" s="265" t="b">
        <f t="shared" si="149"/>
        <v>0</v>
      </c>
      <c r="AK356" s="265" t="b">
        <f t="shared" si="150"/>
        <v>0</v>
      </c>
      <c r="AL356" s="265"/>
      <c r="AM356" s="265"/>
      <c r="AN356" s="75"/>
    </row>
    <row r="357" spans="1:40" s="6" customFormat="1" ht="11.25" x14ac:dyDescent="0.2">
      <c r="A357" s="56">
        <f t="shared" si="151"/>
        <v>43443</v>
      </c>
      <c r="B357" s="616">
        <v>5.2329999999999997</v>
      </c>
      <c r="C357" s="390"/>
      <c r="D357" s="393">
        <f t="shared" si="128"/>
        <v>5.2488554982771856</v>
      </c>
      <c r="E357" s="385">
        <f t="shared" si="125"/>
        <v>5.3704567801029901</v>
      </c>
      <c r="F357" s="385">
        <f t="shared" ref="F357:F379" si="153">Wh_sa/(1-Pvg*MEDIAN((-Sdif+Wh/Env_an)/Csdif,0,1))</f>
        <v>5.3704567801029901</v>
      </c>
      <c r="G357" s="110">
        <f t="shared" si="126"/>
        <v>0.27863161220205163</v>
      </c>
      <c r="I357" s="380">
        <f t="shared" si="129"/>
        <v>5.3704567801029901</v>
      </c>
      <c r="J357" s="85">
        <v>2018</v>
      </c>
      <c r="K357" s="197">
        <f t="shared" si="130"/>
        <v>43443</v>
      </c>
      <c r="L357" s="436">
        <f t="shared" si="131"/>
        <v>3.0207534351802678E-3</v>
      </c>
      <c r="M357" s="855"/>
      <c r="N357" s="855"/>
      <c r="O357" s="324">
        <f t="shared" si="132"/>
        <v>2.2642632983534208E-2</v>
      </c>
      <c r="P357" s="169">
        <f>(INDEX(Models!$BJ357:$BT357,,T357)*(1-R357)+INDEX(Models!$BJ357:$BT357,,T357+1)*R357-ERP_i)*Q357*Ramure*Pc/MaxiM</f>
        <v>1.4991989983320782E-4</v>
      </c>
      <c r="Q357" s="305">
        <f t="shared" si="133"/>
        <v>0.7</v>
      </c>
      <c r="R357" s="177">
        <f t="shared" si="134"/>
        <v>0.79919642366608601</v>
      </c>
      <c r="S357" s="810">
        <f t="shared" si="152"/>
        <v>-2</v>
      </c>
      <c r="T357" s="176">
        <f t="shared" si="135"/>
        <v>4</v>
      </c>
      <c r="U357" s="251">
        <f t="shared" si="136"/>
        <v>-1.200803576333914</v>
      </c>
      <c r="V357" s="383">
        <f t="shared" si="137"/>
        <v>18.77825501497653</v>
      </c>
      <c r="W357" s="58"/>
      <c r="X357" s="157">
        <f t="shared" si="138"/>
        <v>43443</v>
      </c>
      <c r="Y357" s="385">
        <f t="shared" si="139"/>
        <v>5.2329999999999997</v>
      </c>
      <c r="Z357" s="385">
        <f t="shared" si="140"/>
        <v>5.2488554982771856</v>
      </c>
      <c r="AA357" s="386">
        <f t="shared" si="141"/>
        <v>5.3704567801029901</v>
      </c>
      <c r="AB357" s="197">
        <f t="shared" si="142"/>
        <v>43443</v>
      </c>
      <c r="AC357" s="425">
        <f t="shared" si="143"/>
        <v>2.2642632983534208E-2</v>
      </c>
      <c r="AD357" s="169">
        <f>(INDEX(Models!$BJ357:$BT357,,AH357)*(1-AF357)+INDEX(Models!$BJ357:$BT357,,AH357+1)*AF357-ERP_i)*AE357*Ramure*Pc/MaxiM</f>
        <v>1.4991989983320782E-4</v>
      </c>
      <c r="AE357" s="305">
        <f t="shared" si="144"/>
        <v>0.7</v>
      </c>
      <c r="AF357" s="177">
        <f t="shared" si="145"/>
        <v>0.79919642366608601</v>
      </c>
      <c r="AG357" s="810">
        <f t="shared" si="146"/>
        <v>-2</v>
      </c>
      <c r="AH357" s="176">
        <f t="shared" si="147"/>
        <v>4</v>
      </c>
      <c r="AI357" s="225">
        <f t="shared" si="148"/>
        <v>-1.200803576333914</v>
      </c>
      <c r="AJ357" s="265" t="b">
        <f t="shared" si="149"/>
        <v>0</v>
      </c>
      <c r="AK357" s="265" t="b">
        <f t="shared" si="150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1"/>
        <v>43444</v>
      </c>
      <c r="B358" s="616">
        <v>9.4619999999999997</v>
      </c>
      <c r="C358" s="390"/>
      <c r="D358" s="393">
        <f t="shared" si="128"/>
        <v>9.4908898377678153</v>
      </c>
      <c r="E358" s="385">
        <f t="shared" si="125"/>
        <v>9.7123273373451298</v>
      </c>
      <c r="F358" s="385">
        <f t="shared" si="153"/>
        <v>9.712749100415218</v>
      </c>
      <c r="G358" s="110">
        <f t="shared" si="126"/>
        <v>0.50587234901922007</v>
      </c>
      <c r="I358" s="380">
        <f t="shared" si="129"/>
        <v>9.712749100415218</v>
      </c>
      <c r="J358" s="85">
        <v>2018</v>
      </c>
      <c r="K358" s="197">
        <f t="shared" si="130"/>
        <v>43444</v>
      </c>
      <c r="L358" s="436">
        <f t="shared" si="131"/>
        <v>3.043954598740739E-3</v>
      </c>
      <c r="M358" s="855"/>
      <c r="N358" s="855"/>
      <c r="O358" s="324">
        <f t="shared" si="132"/>
        <v>2.2799633073100716E-2</v>
      </c>
      <c r="P358" s="169">
        <f>(INDEX(Models!$BJ358:$BT358,,T358)*(1-R358)+INDEX(Models!$BJ358:$BT358,,T358+1)*R358-ERP_i)*Q358*Ramure*Pc/MaxiM</f>
        <v>1.4760980786846314E-4</v>
      </c>
      <c r="Q358" s="305">
        <f t="shared" si="133"/>
        <v>0.7</v>
      </c>
      <c r="R358" s="177">
        <f t="shared" si="134"/>
        <v>0.79920552170660164</v>
      </c>
      <c r="S358" s="810">
        <f t="shared" si="152"/>
        <v>-2</v>
      </c>
      <c r="T358" s="176">
        <f t="shared" si="135"/>
        <v>4</v>
      </c>
      <c r="U358" s="251">
        <f t="shared" si="136"/>
        <v>-1.2007944782933984</v>
      </c>
      <c r="V358" s="383">
        <f t="shared" si="137"/>
        <v>18.702374553895091</v>
      </c>
      <c r="W358" s="58"/>
      <c r="X358" s="157">
        <f t="shared" si="138"/>
        <v>43444</v>
      </c>
      <c r="Y358" s="385">
        <f t="shared" si="139"/>
        <v>9.4619999999999997</v>
      </c>
      <c r="Z358" s="385">
        <f t="shared" si="140"/>
        <v>9.4908898377678153</v>
      </c>
      <c r="AA358" s="386">
        <f t="shared" si="141"/>
        <v>9.7123273373451298</v>
      </c>
      <c r="AB358" s="197">
        <f t="shared" si="142"/>
        <v>43444</v>
      </c>
      <c r="AC358" s="425">
        <f t="shared" si="143"/>
        <v>2.2799633073100716E-2</v>
      </c>
      <c r="AD358" s="169">
        <f>(INDEX(Models!$BJ358:$BT358,,AH358)*(1-AF358)+INDEX(Models!$BJ358:$BT358,,AH358+1)*AF358-ERP_i)*AE358*Ramure*Pc/MaxiM</f>
        <v>1.4760980786846314E-4</v>
      </c>
      <c r="AE358" s="305">
        <f t="shared" si="144"/>
        <v>0.7</v>
      </c>
      <c r="AF358" s="177">
        <f t="shared" si="145"/>
        <v>0.79920552170660164</v>
      </c>
      <c r="AG358" s="810">
        <f t="shared" si="146"/>
        <v>-2</v>
      </c>
      <c r="AH358" s="176">
        <f t="shared" si="147"/>
        <v>4</v>
      </c>
      <c r="AI358" s="225">
        <f t="shared" si="148"/>
        <v>-1.2007944782933984</v>
      </c>
      <c r="AJ358" s="265" t="b">
        <f t="shared" si="149"/>
        <v>0</v>
      </c>
      <c r="AK358" s="265" t="b">
        <f t="shared" si="150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1"/>
        <v>43445</v>
      </c>
      <c r="B359" s="616">
        <v>16.05</v>
      </c>
      <c r="C359" s="390"/>
      <c r="D359" s="393">
        <f t="shared" si="128"/>
        <v>16.099379295282542</v>
      </c>
      <c r="E359" s="385">
        <f t="shared" si="125"/>
        <v>16.477651970270294</v>
      </c>
      <c r="F359" s="385">
        <f t="shared" si="153"/>
        <v>16.479573454056037</v>
      </c>
      <c r="G359" s="110">
        <f t="shared" si="126"/>
        <v>0.86101458233695916</v>
      </c>
      <c r="I359" s="380">
        <f t="shared" si="129"/>
        <v>16.479573454056037</v>
      </c>
      <c r="J359" s="85">
        <v>2018</v>
      </c>
      <c r="K359" s="197">
        <f t="shared" si="130"/>
        <v>43445</v>
      </c>
      <c r="L359" s="436">
        <f t="shared" si="131"/>
        <v>3.0671552223763277E-3</v>
      </c>
      <c r="M359" s="855"/>
      <c r="N359" s="855"/>
      <c r="O359" s="324">
        <f t="shared" si="132"/>
        <v>2.2956709831609912E-2</v>
      </c>
      <c r="P359" s="169">
        <f>(INDEX(Models!$BJ359:$BT359,,T359)*(1-R359)+INDEX(Models!$BJ359:$BT359,,T359+1)*R359-ERP_i)*Q359*Ramure*Pc/MaxiM</f>
        <v>1.4547735495544156E-4</v>
      </c>
      <c r="Q359" s="305">
        <f t="shared" si="133"/>
        <v>0.7</v>
      </c>
      <c r="R359" s="177">
        <f t="shared" si="134"/>
        <v>0.79921425382235478</v>
      </c>
      <c r="S359" s="810">
        <f t="shared" si="152"/>
        <v>-2</v>
      </c>
      <c r="T359" s="176">
        <f t="shared" si="135"/>
        <v>4</v>
      </c>
      <c r="U359" s="251">
        <f t="shared" si="136"/>
        <v>-1.2007857461776452</v>
      </c>
      <c r="V359" s="383">
        <f t="shared" si="137"/>
        <v>18.640260873700889</v>
      </c>
      <c r="W359" s="58"/>
      <c r="X359" s="157">
        <f t="shared" si="138"/>
        <v>43445</v>
      </c>
      <c r="Y359" s="385">
        <f t="shared" si="139"/>
        <v>16.05</v>
      </c>
      <c r="Z359" s="385">
        <f t="shared" si="140"/>
        <v>16.099379295282542</v>
      </c>
      <c r="AA359" s="386">
        <f t="shared" si="141"/>
        <v>16.477651970270294</v>
      </c>
      <c r="AB359" s="197">
        <f t="shared" si="142"/>
        <v>43445</v>
      </c>
      <c r="AC359" s="425">
        <f t="shared" si="143"/>
        <v>2.2956709831609912E-2</v>
      </c>
      <c r="AD359" s="169">
        <f>(INDEX(Models!$BJ359:$BT359,,AH359)*(1-AF359)+INDEX(Models!$BJ359:$BT359,,AH359+1)*AF359-ERP_i)*AE359*Ramure*Pc/MaxiM</f>
        <v>1.4547735495544156E-4</v>
      </c>
      <c r="AE359" s="305">
        <f t="shared" si="144"/>
        <v>0.7</v>
      </c>
      <c r="AF359" s="177">
        <f t="shared" si="145"/>
        <v>0.79921425382235478</v>
      </c>
      <c r="AG359" s="810">
        <f t="shared" si="146"/>
        <v>-2</v>
      </c>
      <c r="AH359" s="176">
        <f t="shared" si="147"/>
        <v>4</v>
      </c>
      <c r="AI359" s="225">
        <f t="shared" si="148"/>
        <v>-1.2007857461776452</v>
      </c>
      <c r="AJ359" s="265" t="b">
        <f t="shared" si="149"/>
        <v>0</v>
      </c>
      <c r="AK359" s="265" t="b">
        <f t="shared" si="150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1"/>
        <v>43446</v>
      </c>
      <c r="B360" s="616">
        <v>3.2749999999999999</v>
      </c>
      <c r="C360" s="390"/>
      <c r="D360" s="393">
        <f t="shared" si="128"/>
        <v>3.2851522878039598</v>
      </c>
      <c r="E360" s="385">
        <f t="shared" si="125"/>
        <v>3.3628814488857777</v>
      </c>
      <c r="F360" s="385">
        <f t="shared" si="153"/>
        <v>3.3628814488857777</v>
      </c>
      <c r="G360" s="110">
        <f t="shared" si="126"/>
        <v>0.1761234176553414</v>
      </c>
      <c r="I360" s="380">
        <f t="shared" si="129"/>
        <v>3.3628814488857777</v>
      </c>
      <c r="J360" s="85">
        <v>2018</v>
      </c>
      <c r="K360" s="197">
        <f t="shared" si="130"/>
        <v>43446</v>
      </c>
      <c r="L360" s="436">
        <f t="shared" si="131"/>
        <v>3.0903553060994682E-3</v>
      </c>
      <c r="M360" s="855"/>
      <c r="N360" s="855"/>
      <c r="O360" s="324">
        <f t="shared" si="132"/>
        <v>2.3113857048862624E-2</v>
      </c>
      <c r="P360" s="169">
        <f>(INDEX(Models!$BJ360:$BT360,,T360)*(1-R360)+INDEX(Models!$BJ360:$BT360,,T360+1)*R360-ERP_i)*Q360*Ramure*Pc/MaxiM</f>
        <v>1.4352368496283493E-4</v>
      </c>
      <c r="Q360" s="305">
        <f t="shared" si="133"/>
        <v>0.7</v>
      </c>
      <c r="R360" s="177">
        <f t="shared" si="134"/>
        <v>0.79922263471588662</v>
      </c>
      <c r="S360" s="810">
        <f t="shared" si="152"/>
        <v>-2</v>
      </c>
      <c r="T360" s="176">
        <f t="shared" si="135"/>
        <v>4</v>
      </c>
      <c r="U360" s="251">
        <f t="shared" si="136"/>
        <v>-1.2007773652841134</v>
      </c>
      <c r="V360" s="383">
        <f t="shared" si="137"/>
        <v>18.592246298216427</v>
      </c>
      <c r="W360" s="58"/>
      <c r="X360" s="157">
        <f t="shared" si="138"/>
        <v>43446</v>
      </c>
      <c r="Y360" s="385">
        <f t="shared" si="139"/>
        <v>3.2749999999999999</v>
      </c>
      <c r="Z360" s="385">
        <f t="shared" si="140"/>
        <v>3.2851522878039598</v>
      </c>
      <c r="AA360" s="386">
        <f t="shared" si="141"/>
        <v>3.3628814488857777</v>
      </c>
      <c r="AB360" s="197">
        <f t="shared" si="142"/>
        <v>43446</v>
      </c>
      <c r="AC360" s="425">
        <f t="shared" si="143"/>
        <v>2.3113857048862624E-2</v>
      </c>
      <c r="AD360" s="169">
        <f>(INDEX(Models!$BJ360:$BT360,,AH360)*(1-AF360)+INDEX(Models!$BJ360:$BT360,,AH360+1)*AF360-ERP_i)*AE360*Ramure*Pc/MaxiM</f>
        <v>1.4352368496283493E-4</v>
      </c>
      <c r="AE360" s="305">
        <f t="shared" si="144"/>
        <v>0.7</v>
      </c>
      <c r="AF360" s="177">
        <f t="shared" si="145"/>
        <v>0.79922263471588662</v>
      </c>
      <c r="AG360" s="810">
        <f t="shared" si="146"/>
        <v>-2</v>
      </c>
      <c r="AH360" s="176">
        <f t="shared" si="147"/>
        <v>4</v>
      </c>
      <c r="AI360" s="225">
        <f t="shared" si="148"/>
        <v>-1.2007773652841134</v>
      </c>
      <c r="AJ360" s="265" t="b">
        <f t="shared" si="149"/>
        <v>0</v>
      </c>
      <c r="AK360" s="265" t="b">
        <f t="shared" si="150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1"/>
        <v>43447</v>
      </c>
      <c r="B361" s="616">
        <v>1.8440000000000001</v>
      </c>
      <c r="C361" s="390"/>
      <c r="D361" s="393">
        <f t="shared" si="128"/>
        <v>1.8497593271241572</v>
      </c>
      <c r="E361" s="385">
        <f t="shared" ref="E361:E379" si="154">Wh_pvt/(1-Psa)</f>
        <v>1.8938307916552872</v>
      </c>
      <c r="F361" s="385">
        <f t="shared" si="153"/>
        <v>1.8938307916552872</v>
      </c>
      <c r="G361" s="110">
        <f t="shared" ref="G361:G379" si="155">+Wh_hp/MaxiM</f>
        <v>9.9353667618296809E-2</v>
      </c>
      <c r="I361" s="380">
        <f t="shared" si="129"/>
        <v>1.8938307916552872</v>
      </c>
      <c r="J361" s="85">
        <v>2018</v>
      </c>
      <c r="K361" s="197">
        <f t="shared" si="130"/>
        <v>43447</v>
      </c>
      <c r="L361" s="436">
        <f t="shared" si="131"/>
        <v>3.1135548499227061E-3</v>
      </c>
      <c r="M361" s="855"/>
      <c r="N361" s="855"/>
      <c r="O361" s="324">
        <f t="shared" si="132"/>
        <v>2.3271067682139497E-2</v>
      </c>
      <c r="P361" s="169">
        <f>(INDEX(Models!$BJ361:$BT361,,T361)*(1-R361)+INDEX(Models!$BJ361:$BT361,,T361+1)*R361-ERP_i)*Q361*Ramure*Pc/MaxiM</f>
        <v>1.4171916070799431E-4</v>
      </c>
      <c r="Q361" s="305">
        <f t="shared" si="133"/>
        <v>0.7</v>
      </c>
      <c r="R361" s="177">
        <f t="shared" si="134"/>
        <v>0.79923067850018725</v>
      </c>
      <c r="S361" s="810">
        <f t="shared" si="152"/>
        <v>-2</v>
      </c>
      <c r="T361" s="176">
        <f t="shared" si="135"/>
        <v>4</v>
      </c>
      <c r="U361" s="251">
        <f t="shared" si="136"/>
        <v>-1.2007693214998127</v>
      </c>
      <c r="V361" s="383">
        <f t="shared" si="137"/>
        <v>18.557328723394953</v>
      </c>
      <c r="W361" s="58"/>
      <c r="X361" s="157">
        <f t="shared" si="138"/>
        <v>43447</v>
      </c>
      <c r="Y361" s="385">
        <f t="shared" si="139"/>
        <v>1.8440000000000001</v>
      </c>
      <c r="Z361" s="385">
        <f t="shared" si="140"/>
        <v>1.8497593271241572</v>
      </c>
      <c r="AA361" s="386">
        <f t="shared" si="141"/>
        <v>1.8938307916552872</v>
      </c>
      <c r="AB361" s="197">
        <f t="shared" si="142"/>
        <v>43447</v>
      </c>
      <c r="AC361" s="425">
        <f t="shared" si="143"/>
        <v>2.3271067682139497E-2</v>
      </c>
      <c r="AD361" s="169">
        <f>(INDEX(Models!$BJ361:$BT361,,AH361)*(1-AF361)+INDEX(Models!$BJ361:$BT361,,AH361+1)*AF361-ERP_i)*AE361*Ramure*Pc/MaxiM</f>
        <v>1.4171916070799431E-4</v>
      </c>
      <c r="AE361" s="305">
        <f t="shared" si="144"/>
        <v>0.7</v>
      </c>
      <c r="AF361" s="177">
        <f t="shared" si="145"/>
        <v>0.79923067850018725</v>
      </c>
      <c r="AG361" s="810">
        <f t="shared" si="146"/>
        <v>-2</v>
      </c>
      <c r="AH361" s="176">
        <f t="shared" si="147"/>
        <v>4</v>
      </c>
      <c r="AI361" s="225">
        <f t="shared" si="148"/>
        <v>-1.2007693214998127</v>
      </c>
      <c r="AJ361" s="265" t="b">
        <f t="shared" si="149"/>
        <v>0</v>
      </c>
      <c r="AK361" s="265" t="b">
        <f t="shared" si="150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1"/>
        <v>43448</v>
      </c>
      <c r="B362" s="616">
        <v>2.58</v>
      </c>
      <c r="C362" s="390"/>
      <c r="D362" s="393">
        <f t="shared" si="128"/>
        <v>2.5881182900204638</v>
      </c>
      <c r="E362" s="385">
        <f t="shared" si="154"/>
        <v>2.6502082540040206</v>
      </c>
      <c r="F362" s="385">
        <f t="shared" si="153"/>
        <v>2.6502082540040206</v>
      </c>
      <c r="G362" s="110">
        <f t="shared" si="155"/>
        <v>0.13918032707107764</v>
      </c>
      <c r="I362" s="380">
        <f t="shared" si="129"/>
        <v>2.6502082540040206</v>
      </c>
      <c r="J362" s="85">
        <v>2018</v>
      </c>
      <c r="K362" s="197">
        <f t="shared" si="130"/>
        <v>43448</v>
      </c>
      <c r="L362" s="436">
        <f t="shared" si="131"/>
        <v>3.1367538538586981E-3</v>
      </c>
      <c r="M362" s="855"/>
      <c r="N362" s="855"/>
      <c r="O362" s="324">
        <f t="shared" si="132"/>
        <v>2.3428333939323174E-2</v>
      </c>
      <c r="P362" s="169">
        <f>(INDEX(Models!$BJ362:$BT362,,T362)*(1-R362)+INDEX(Models!$BJ362:$BT362,,T362+1)*R362-ERP_i)*Q362*Ramure*Pc/MaxiM</f>
        <v>1.4007379112491696E-4</v>
      </c>
      <c r="Q362" s="305">
        <f t="shared" si="133"/>
        <v>0.7</v>
      </c>
      <c r="R362" s="177">
        <f t="shared" si="134"/>
        <v>0.79923839872224267</v>
      </c>
      <c r="S362" s="810">
        <f t="shared" si="152"/>
        <v>-2</v>
      </c>
      <c r="T362" s="176">
        <f t="shared" si="135"/>
        <v>4</v>
      </c>
      <c r="U362" s="251">
        <f t="shared" si="136"/>
        <v>-1.2007616012777573</v>
      </c>
      <c r="V362" s="383">
        <f t="shared" si="137"/>
        <v>18.534506017517177</v>
      </c>
      <c r="W362" s="58"/>
      <c r="X362" s="157">
        <f t="shared" si="138"/>
        <v>43448</v>
      </c>
      <c r="Y362" s="385">
        <f t="shared" si="139"/>
        <v>2.58</v>
      </c>
      <c r="Z362" s="385">
        <f t="shared" si="140"/>
        <v>2.5881182900204638</v>
      </c>
      <c r="AA362" s="386">
        <f t="shared" si="141"/>
        <v>2.6502082540040206</v>
      </c>
      <c r="AB362" s="197">
        <f t="shared" si="142"/>
        <v>43448</v>
      </c>
      <c r="AC362" s="425">
        <f t="shared" si="143"/>
        <v>2.3428333939323174E-2</v>
      </c>
      <c r="AD362" s="169">
        <f>(INDEX(Models!$BJ362:$BT362,,AH362)*(1-AF362)+INDEX(Models!$BJ362:$BT362,,AH362+1)*AF362-ERP_i)*AE362*Ramure*Pc/MaxiM</f>
        <v>1.4007379112491696E-4</v>
      </c>
      <c r="AE362" s="305">
        <f t="shared" si="144"/>
        <v>0.7</v>
      </c>
      <c r="AF362" s="177">
        <f t="shared" si="145"/>
        <v>0.79923839872224267</v>
      </c>
      <c r="AG362" s="810">
        <f t="shared" si="146"/>
        <v>-2</v>
      </c>
      <c r="AH362" s="176">
        <f t="shared" si="147"/>
        <v>4</v>
      </c>
      <c r="AI362" s="225">
        <f t="shared" si="148"/>
        <v>-1.2007616012777573</v>
      </c>
      <c r="AJ362" s="265" t="b">
        <f t="shared" si="149"/>
        <v>0</v>
      </c>
      <c r="AK362" s="265" t="b">
        <f t="shared" si="150"/>
        <v>0</v>
      </c>
      <c r="AL362" s="265"/>
      <c r="AM362" s="265"/>
      <c r="AN362" s="75"/>
    </row>
    <row r="363" spans="1:40" s="6" customFormat="1" ht="11.25" x14ac:dyDescent="0.2">
      <c r="A363" s="56">
        <f t="shared" si="151"/>
        <v>43449</v>
      </c>
      <c r="B363" s="616">
        <v>5.67</v>
      </c>
      <c r="C363" s="390"/>
      <c r="D363" s="393">
        <f t="shared" si="128"/>
        <v>5.6879737257589804</v>
      </c>
      <c r="E363" s="385">
        <f t="shared" si="154"/>
        <v>5.8253688205337646</v>
      </c>
      <c r="F363" s="385">
        <f t="shared" si="153"/>
        <v>5.8253758673465965</v>
      </c>
      <c r="G363" s="110">
        <f t="shared" si="155"/>
        <v>0.30606755547571579</v>
      </c>
      <c r="I363" s="380">
        <f t="shared" si="129"/>
        <v>5.8253758673465965</v>
      </c>
      <c r="J363" s="85">
        <v>2018</v>
      </c>
      <c r="K363" s="197">
        <f t="shared" si="130"/>
        <v>43449</v>
      </c>
      <c r="L363" s="436">
        <f t="shared" si="131"/>
        <v>3.1599523179199895E-3</v>
      </c>
      <c r="M363" s="855"/>
      <c r="N363" s="855"/>
      <c r="O363" s="324">
        <f t="shared" si="132"/>
        <v>2.3585647365447857E-2</v>
      </c>
      <c r="P363" s="169">
        <f>(INDEX(Models!$BJ363:$BT363,,T363)*(1-R363)+INDEX(Models!$BJ363:$BT363,,T363+1)*R363-ERP_i)*Q363*Ramure*Pc/MaxiM</f>
        <v>1.3859681845292826E-4</v>
      </c>
      <c r="Q363" s="305">
        <f t="shared" si="133"/>
        <v>0.7</v>
      </c>
      <c r="R363" s="177">
        <f t="shared" si="134"/>
        <v>0.79924580838564796</v>
      </c>
      <c r="S363" s="810">
        <f t="shared" si="152"/>
        <v>-2</v>
      </c>
      <c r="T363" s="176">
        <f t="shared" si="135"/>
        <v>4</v>
      </c>
      <c r="U363" s="251">
        <f t="shared" si="136"/>
        <v>-1.200754191614352</v>
      </c>
      <c r="V363" s="383">
        <f t="shared" si="137"/>
        <v>18.522776793979254</v>
      </c>
      <c r="W363" s="58"/>
      <c r="X363" s="157">
        <f t="shared" si="138"/>
        <v>43449</v>
      </c>
      <c r="Y363" s="385">
        <f t="shared" si="139"/>
        <v>5.67</v>
      </c>
      <c r="Z363" s="385">
        <f t="shared" si="140"/>
        <v>5.6879737257589804</v>
      </c>
      <c r="AA363" s="386">
        <f t="shared" si="141"/>
        <v>5.8253688205337646</v>
      </c>
      <c r="AB363" s="197">
        <f t="shared" si="142"/>
        <v>43449</v>
      </c>
      <c r="AC363" s="425">
        <f t="shared" si="143"/>
        <v>2.3585647365447857E-2</v>
      </c>
      <c r="AD363" s="169">
        <f>(INDEX(Models!$BJ363:$BT363,,AH363)*(1-AF363)+INDEX(Models!$BJ363:$BT363,,AH363+1)*AF363-ERP_i)*AE363*Ramure*Pc/MaxiM</f>
        <v>1.3859681845292826E-4</v>
      </c>
      <c r="AE363" s="305">
        <f t="shared" si="144"/>
        <v>0.7</v>
      </c>
      <c r="AF363" s="177">
        <f t="shared" si="145"/>
        <v>0.79924580838564796</v>
      </c>
      <c r="AG363" s="810">
        <f t="shared" si="146"/>
        <v>-2</v>
      </c>
      <c r="AH363" s="176">
        <f t="shared" si="147"/>
        <v>4</v>
      </c>
      <c r="AI363" s="225">
        <f t="shared" si="148"/>
        <v>-1.200754191614352</v>
      </c>
      <c r="AJ363" s="265" t="b">
        <f t="shared" si="149"/>
        <v>0</v>
      </c>
      <c r="AK363" s="265" t="b">
        <f t="shared" si="150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1"/>
        <v>43450</v>
      </c>
      <c r="B364" s="616">
        <v>3.145</v>
      </c>
      <c r="C364" s="390"/>
      <c r="D364" s="393">
        <f t="shared" si="128"/>
        <v>3.1550429758123535</v>
      </c>
      <c r="E364" s="385">
        <f t="shared" si="154"/>
        <v>3.2317750063359099</v>
      </c>
      <c r="F364" s="385">
        <f t="shared" si="153"/>
        <v>3.2317750063359099</v>
      </c>
      <c r="G364" s="110">
        <f t="shared" si="155"/>
        <v>0.16978264477316335</v>
      </c>
      <c r="I364" s="380">
        <f t="shared" si="129"/>
        <v>3.2317750063359099</v>
      </c>
      <c r="J364" s="85">
        <v>2018</v>
      </c>
      <c r="K364" s="197">
        <f t="shared" si="130"/>
        <v>43450</v>
      </c>
      <c r="L364" s="436">
        <f t="shared" si="131"/>
        <v>3.183150242119126E-3</v>
      </c>
      <c r="M364" s="855"/>
      <c r="N364" s="855"/>
      <c r="O364" s="324">
        <f t="shared" si="132"/>
        <v>2.3742998931894313E-2</v>
      </c>
      <c r="P364" s="169">
        <f>(INDEX(Models!$BJ364:$BT364,,T364)*(1-R364)+INDEX(Models!$BJ364:$BT364,,T364+1)*R364-ERP_i)*Q364*Ramure*Pc/MaxiM</f>
        <v>1.3729674247455812E-4</v>
      </c>
      <c r="Q364" s="305">
        <f t="shared" si="133"/>
        <v>0.7</v>
      </c>
      <c r="R364" s="177">
        <f t="shared" si="134"/>
        <v>0.79925291997232417</v>
      </c>
      <c r="S364" s="810">
        <f t="shared" si="152"/>
        <v>-2</v>
      </c>
      <c r="T364" s="176">
        <f t="shared" si="135"/>
        <v>4</v>
      </c>
      <c r="U364" s="251">
        <f t="shared" si="136"/>
        <v>-1.2007470800276758</v>
      </c>
      <c r="V364" s="383">
        <f t="shared" si="137"/>
        <v>18.52114040246099</v>
      </c>
      <c r="W364" s="58"/>
      <c r="X364" s="157">
        <f t="shared" si="138"/>
        <v>43450</v>
      </c>
      <c r="Y364" s="385">
        <f t="shared" si="139"/>
        <v>3.145</v>
      </c>
      <c r="Z364" s="385">
        <f t="shared" si="140"/>
        <v>3.1550429758123535</v>
      </c>
      <c r="AA364" s="386">
        <f t="shared" si="141"/>
        <v>3.2317750063359099</v>
      </c>
      <c r="AB364" s="197">
        <f t="shared" si="142"/>
        <v>43450</v>
      </c>
      <c r="AC364" s="425">
        <f t="shared" si="143"/>
        <v>2.3742998931894313E-2</v>
      </c>
      <c r="AD364" s="169">
        <f>(INDEX(Models!$BJ364:$BT364,,AH364)*(1-AF364)+INDEX(Models!$BJ364:$BT364,,AH364+1)*AF364-ERP_i)*AE364*Ramure*Pc/MaxiM</f>
        <v>1.3729674247455812E-4</v>
      </c>
      <c r="AE364" s="305">
        <f t="shared" si="144"/>
        <v>0.7</v>
      </c>
      <c r="AF364" s="177">
        <f t="shared" si="145"/>
        <v>0.79925291997232417</v>
      </c>
      <c r="AG364" s="810">
        <f t="shared" si="146"/>
        <v>-2</v>
      </c>
      <c r="AH364" s="176">
        <f t="shared" si="147"/>
        <v>4</v>
      </c>
      <c r="AI364" s="225">
        <f t="shared" si="148"/>
        <v>-1.2007470800276758</v>
      </c>
      <c r="AJ364" s="265" t="b">
        <f t="shared" si="149"/>
        <v>0</v>
      </c>
      <c r="AK364" s="265" t="b">
        <f t="shared" si="150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1"/>
        <v>43451</v>
      </c>
      <c r="B365" s="616">
        <v>14.499000000000001</v>
      </c>
      <c r="C365" s="390"/>
      <c r="D365" s="393">
        <f t="shared" si="128"/>
        <v>14.545638373072975</v>
      </c>
      <c r="E365" s="385">
        <f t="shared" si="154"/>
        <v>14.901796970344218</v>
      </c>
      <c r="F365" s="385">
        <f t="shared" si="153"/>
        <v>14.903195959899517</v>
      </c>
      <c r="G365" s="110">
        <f t="shared" si="155"/>
        <v>0.78248701442457269</v>
      </c>
      <c r="I365" s="380">
        <f t="shared" si="129"/>
        <v>14.903195959899517</v>
      </c>
      <c r="J365" s="85">
        <v>2018</v>
      </c>
      <c r="K365" s="197">
        <f t="shared" si="130"/>
        <v>43451</v>
      </c>
      <c r="L365" s="436">
        <f t="shared" si="131"/>
        <v>3.206347626468764E-3</v>
      </c>
      <c r="M365" s="855"/>
      <c r="N365" s="855"/>
      <c r="O365" s="324">
        <f t="shared" si="132"/>
        <v>2.3900379127431971E-2</v>
      </c>
      <c r="P365" s="169">
        <f>(INDEX(Models!$BJ365:$BT365,,T365)*(1-R365)+INDEX(Models!$BJ365:$BT365,,T365+1)*R365-ERP_i)*Q365*Ramure*Pc/MaxiM</f>
        <v>1.3618136028560563E-4</v>
      </c>
      <c r="Q365" s="305">
        <f t="shared" si="133"/>
        <v>0.7</v>
      </c>
      <c r="R365" s="177">
        <f t="shared" si="134"/>
        <v>0.79925974546337408</v>
      </c>
      <c r="S365" s="810">
        <f t="shared" si="152"/>
        <v>-2</v>
      </c>
      <c r="T365" s="176">
        <f t="shared" si="135"/>
        <v>4</v>
      </c>
      <c r="U365" s="251">
        <f t="shared" si="136"/>
        <v>-1.2007402545366259</v>
      </c>
      <c r="V365" s="383">
        <f t="shared" si="137"/>
        <v>18.528596933316273</v>
      </c>
      <c r="W365" s="58"/>
      <c r="X365" s="157">
        <f t="shared" si="138"/>
        <v>43451</v>
      </c>
      <c r="Y365" s="385">
        <f t="shared" si="139"/>
        <v>14.499000000000001</v>
      </c>
      <c r="Z365" s="385">
        <f t="shared" si="140"/>
        <v>14.545638373072975</v>
      </c>
      <c r="AA365" s="386">
        <f t="shared" si="141"/>
        <v>14.901796970344218</v>
      </c>
      <c r="AB365" s="197">
        <f t="shared" si="142"/>
        <v>43451</v>
      </c>
      <c r="AC365" s="425">
        <f t="shared" si="143"/>
        <v>2.3900379127431971E-2</v>
      </c>
      <c r="AD365" s="169">
        <f>(INDEX(Models!$BJ365:$BT365,,AH365)*(1-AF365)+INDEX(Models!$BJ365:$BT365,,AH365+1)*AF365-ERP_i)*AE365*Ramure*Pc/MaxiM</f>
        <v>1.3618136028560563E-4</v>
      </c>
      <c r="AE365" s="305">
        <f t="shared" si="144"/>
        <v>0.7</v>
      </c>
      <c r="AF365" s="177">
        <f t="shared" si="145"/>
        <v>0.79925974546337408</v>
      </c>
      <c r="AG365" s="810">
        <f t="shared" si="146"/>
        <v>-2</v>
      </c>
      <c r="AH365" s="176">
        <f t="shared" si="147"/>
        <v>4</v>
      </c>
      <c r="AI365" s="225">
        <f t="shared" si="148"/>
        <v>-1.2007402545366259</v>
      </c>
      <c r="AJ365" s="265" t="b">
        <f t="shared" si="149"/>
        <v>0</v>
      </c>
      <c r="AK365" s="265" t="b">
        <f t="shared" si="150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1"/>
        <v>43452</v>
      </c>
      <c r="B366" s="616">
        <v>10.932</v>
      </c>
      <c r="C366" s="390"/>
      <c r="D366" s="393">
        <f t="shared" si="128"/>
        <v>10.967419769878742</v>
      </c>
      <c r="E366" s="385">
        <f t="shared" si="154"/>
        <v>11.23777568304039</v>
      </c>
      <c r="F366" s="385">
        <f t="shared" si="153"/>
        <v>11.238404715284425</v>
      </c>
      <c r="G366" s="110">
        <f t="shared" si="155"/>
        <v>0.58946540232446198</v>
      </c>
      <c r="I366" s="380">
        <f t="shared" si="129"/>
        <v>11.238404715284425</v>
      </c>
      <c r="J366" s="85">
        <v>2018</v>
      </c>
      <c r="K366" s="197">
        <f t="shared" si="130"/>
        <v>43452</v>
      </c>
      <c r="L366" s="436">
        <f t="shared" si="131"/>
        <v>3.2295444709812271E-3</v>
      </c>
      <c r="M366" s="855"/>
      <c r="N366" s="855"/>
      <c r="O366" s="324">
        <f t="shared" si="132"/>
        <v>2.4057778050300408E-2</v>
      </c>
      <c r="P366" s="169">
        <f>(INDEX(Models!$BJ366:$BT366,,T366)*(1-R366)+INDEX(Models!$BJ366:$BT366,,T366+1)*R366-ERP_i)*Q366*Ramure*Pc/MaxiM</f>
        <v>1.3533166580005448E-4</v>
      </c>
      <c r="Q366" s="305">
        <f t="shared" si="133"/>
        <v>0.7</v>
      </c>
      <c r="R366" s="177">
        <f t="shared" si="134"/>
        <v>0.79926629635910951</v>
      </c>
      <c r="S366" s="810">
        <f t="shared" si="152"/>
        <v>-2</v>
      </c>
      <c r="T366" s="176">
        <f t="shared" si="135"/>
        <v>4</v>
      </c>
      <c r="U366" s="251">
        <f t="shared" si="136"/>
        <v>-1.2007337036408905</v>
      </c>
      <c r="V366" s="383">
        <f t="shared" si="137"/>
        <v>18.544145839304608</v>
      </c>
      <c r="W366" s="58"/>
      <c r="X366" s="157">
        <f t="shared" si="138"/>
        <v>43452</v>
      </c>
      <c r="Y366" s="385">
        <f t="shared" si="139"/>
        <v>10.932</v>
      </c>
      <c r="Z366" s="385">
        <f t="shared" si="140"/>
        <v>10.967419769878742</v>
      </c>
      <c r="AA366" s="386">
        <f t="shared" si="141"/>
        <v>11.23777568304039</v>
      </c>
      <c r="AB366" s="197">
        <f t="shared" si="142"/>
        <v>43452</v>
      </c>
      <c r="AC366" s="425">
        <f t="shared" si="143"/>
        <v>2.4057778050300408E-2</v>
      </c>
      <c r="AD366" s="169">
        <f>(INDEX(Models!$BJ366:$BT366,,AH366)*(1-AF366)+INDEX(Models!$BJ366:$BT366,,AH366+1)*AF366-ERP_i)*AE366*Ramure*Pc/MaxiM</f>
        <v>1.3533166580005448E-4</v>
      </c>
      <c r="AE366" s="305">
        <f t="shared" si="144"/>
        <v>0.7</v>
      </c>
      <c r="AF366" s="177">
        <f t="shared" si="145"/>
        <v>0.79926629635910951</v>
      </c>
      <c r="AG366" s="810">
        <f t="shared" si="146"/>
        <v>-2</v>
      </c>
      <c r="AH366" s="176">
        <f t="shared" si="147"/>
        <v>4</v>
      </c>
      <c r="AI366" s="225">
        <f t="shared" si="148"/>
        <v>-1.2007337036408905</v>
      </c>
      <c r="AJ366" s="265" t="b">
        <f t="shared" si="149"/>
        <v>0</v>
      </c>
      <c r="AK366" s="265" t="b">
        <f t="shared" si="150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1"/>
        <v>43453</v>
      </c>
      <c r="B367" s="616">
        <v>16.690000000000001</v>
      </c>
      <c r="C367" s="390"/>
      <c r="D367" s="393">
        <f t="shared" si="128"/>
        <v>16.744465405390901</v>
      </c>
      <c r="E367" s="385">
        <f t="shared" si="154"/>
        <v>17.159997938664233</v>
      </c>
      <c r="F367" s="385">
        <f t="shared" si="153"/>
        <v>17.161974278687861</v>
      </c>
      <c r="G367" s="110">
        <f t="shared" si="155"/>
        <v>0.89889927608035503</v>
      </c>
      <c r="I367" s="380">
        <f t="shared" si="129"/>
        <v>17.161974278687861</v>
      </c>
      <c r="J367" s="85">
        <v>2018</v>
      </c>
      <c r="K367" s="197">
        <f t="shared" si="130"/>
        <v>43453</v>
      </c>
      <c r="L367" s="436">
        <f t="shared" si="131"/>
        <v>3.2527407756692828E-3</v>
      </c>
      <c r="M367" s="855"/>
      <c r="N367" s="855"/>
      <c r="O367" s="324">
        <f t="shared" si="132"/>
        <v>2.4215185500522162E-2</v>
      </c>
      <c r="P367" s="169">
        <f>(INDEX(Models!$BJ367:$BT367,,T367)*(1-R367)+INDEX(Models!$BJ367:$BT367,,T367+1)*R367-ERP_i)*Q367*Ramure*Pc/MaxiM</f>
        <v>1.3459409300994781E-4</v>
      </c>
      <c r="Q367" s="305">
        <f t="shared" si="133"/>
        <v>0.7</v>
      </c>
      <c r="R367" s="177">
        <f t="shared" si="134"/>
        <v>0.79927258369828258</v>
      </c>
      <c r="S367" s="810">
        <f t="shared" si="152"/>
        <v>-2</v>
      </c>
      <c r="T367" s="176">
        <f t="shared" si="135"/>
        <v>4</v>
      </c>
      <c r="U367" s="251">
        <f t="shared" si="136"/>
        <v>-1.2007274163017174</v>
      </c>
      <c r="V367" s="383">
        <f t="shared" si="137"/>
        <v>18.566791652535571</v>
      </c>
      <c r="W367" s="58"/>
      <c r="X367" s="157">
        <f t="shared" si="138"/>
        <v>43453</v>
      </c>
      <c r="Y367" s="385">
        <f t="shared" si="139"/>
        <v>16.690000000000001</v>
      </c>
      <c r="Z367" s="385">
        <f t="shared" si="140"/>
        <v>16.744465405390901</v>
      </c>
      <c r="AA367" s="386">
        <f t="shared" si="141"/>
        <v>17.159997938664233</v>
      </c>
      <c r="AB367" s="197">
        <f t="shared" si="142"/>
        <v>43453</v>
      </c>
      <c r="AC367" s="425">
        <f t="shared" si="143"/>
        <v>2.4215185500522162E-2</v>
      </c>
      <c r="AD367" s="169">
        <f>(INDEX(Models!$BJ367:$BT367,,AH367)*(1-AF367)+INDEX(Models!$BJ367:$BT367,,AH367+1)*AF367-ERP_i)*AE367*Ramure*Pc/MaxiM</f>
        <v>1.3459409300994781E-4</v>
      </c>
      <c r="AE367" s="305">
        <f t="shared" si="144"/>
        <v>0.7</v>
      </c>
      <c r="AF367" s="177">
        <f t="shared" si="145"/>
        <v>0.79927258369828258</v>
      </c>
      <c r="AG367" s="810">
        <f t="shared" si="146"/>
        <v>-2</v>
      </c>
      <c r="AH367" s="176">
        <f t="shared" si="147"/>
        <v>4</v>
      </c>
      <c r="AI367" s="225">
        <f t="shared" si="148"/>
        <v>-1.2007274163017174</v>
      </c>
      <c r="AJ367" s="265" t="b">
        <f t="shared" si="149"/>
        <v>0</v>
      </c>
      <c r="AK367" s="265" t="b">
        <f t="shared" si="150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1"/>
        <v>43454</v>
      </c>
      <c r="B368" s="616">
        <v>8.8569999999999993</v>
      </c>
      <c r="C368" s="390"/>
      <c r="D368" s="393">
        <f t="shared" si="128"/>
        <v>8.8861103335449787</v>
      </c>
      <c r="E368" s="385">
        <f t="shared" si="154"/>
        <v>9.1080982885727106</v>
      </c>
      <c r="F368" s="385">
        <f t="shared" si="153"/>
        <v>9.1084056250579977</v>
      </c>
      <c r="G368" s="110">
        <f t="shared" si="155"/>
        <v>0.47624934755259879</v>
      </c>
      <c r="I368" s="380">
        <f t="shared" si="129"/>
        <v>9.1084056250579977</v>
      </c>
      <c r="J368" s="85">
        <v>2018</v>
      </c>
      <c r="K368" s="197">
        <f t="shared" si="130"/>
        <v>43454</v>
      </c>
      <c r="L368" s="436">
        <f t="shared" si="131"/>
        <v>3.2759365405454766E-3</v>
      </c>
      <c r="M368" s="855"/>
      <c r="N368" s="855"/>
      <c r="O368" s="324">
        <f t="shared" si="132"/>
        <v>2.4372591071644932E-2</v>
      </c>
      <c r="P368" s="169">
        <f>(INDEX(Models!$BJ368:$BT368,,T368)*(1-R368)+INDEX(Models!$BJ368:$BT368,,T368+1)*R368-ERP_i)*Q368*Ramure*Pc/MaxiM</f>
        <v>1.3397527398816892E-4</v>
      </c>
      <c r="Q368" s="305">
        <f t="shared" si="133"/>
        <v>0.7</v>
      </c>
      <c r="R368" s="177">
        <f t="shared" si="134"/>
        <v>0.7992786180765532</v>
      </c>
      <c r="S368" s="810">
        <f t="shared" si="152"/>
        <v>-2</v>
      </c>
      <c r="T368" s="176">
        <f t="shared" si="135"/>
        <v>4</v>
      </c>
      <c r="U368" s="251">
        <f t="shared" si="136"/>
        <v>-1.2007213819234468</v>
      </c>
      <c r="V368" s="383">
        <f t="shared" si="137"/>
        <v>18.595536666016162</v>
      </c>
      <c r="W368" s="58"/>
      <c r="X368" s="157">
        <f t="shared" si="138"/>
        <v>43454</v>
      </c>
      <c r="Y368" s="385">
        <f t="shared" si="139"/>
        <v>8.8569999999999993</v>
      </c>
      <c r="Z368" s="385">
        <f t="shared" si="140"/>
        <v>8.8861103335449787</v>
      </c>
      <c r="AA368" s="386">
        <f t="shared" si="141"/>
        <v>9.1080982885727106</v>
      </c>
      <c r="AB368" s="197">
        <f t="shared" si="142"/>
        <v>43454</v>
      </c>
      <c r="AC368" s="425">
        <f t="shared" si="143"/>
        <v>2.4372591071644932E-2</v>
      </c>
      <c r="AD368" s="169">
        <f>(INDEX(Models!$BJ368:$BT368,,AH368)*(1-AF368)+INDEX(Models!$BJ368:$BT368,,AH368+1)*AF368-ERP_i)*AE368*Ramure*Pc/MaxiM</f>
        <v>1.3397527398816892E-4</v>
      </c>
      <c r="AE368" s="305">
        <f t="shared" si="144"/>
        <v>0.7</v>
      </c>
      <c r="AF368" s="177">
        <f t="shared" si="145"/>
        <v>0.7992786180765532</v>
      </c>
      <c r="AG368" s="810">
        <f t="shared" si="146"/>
        <v>-2</v>
      </c>
      <c r="AH368" s="176">
        <f t="shared" si="147"/>
        <v>4</v>
      </c>
      <c r="AI368" s="225">
        <f t="shared" si="148"/>
        <v>-1.2007213819234468</v>
      </c>
      <c r="AJ368" s="265" t="b">
        <f t="shared" si="149"/>
        <v>0</v>
      </c>
      <c r="AK368" s="265" t="b">
        <f t="shared" si="150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1"/>
        <v>43455</v>
      </c>
      <c r="B369" s="616">
        <v>7.5890000000000004</v>
      </c>
      <c r="C369" s="390"/>
      <c r="D369" s="393">
        <f t="shared" si="128"/>
        <v>7.6141199851101371</v>
      </c>
      <c r="E369" s="385">
        <f t="shared" si="154"/>
        <v>7.8055910095675021</v>
      </c>
      <c r="F369" s="385">
        <f t="shared" si="153"/>
        <v>7.8057508215865754</v>
      </c>
      <c r="G369" s="110">
        <f t="shared" si="155"/>
        <v>0.40732116546809083</v>
      </c>
      <c r="I369" s="380">
        <f t="shared" si="129"/>
        <v>7.8057508215865754</v>
      </c>
      <c r="J369" s="85">
        <v>2018</v>
      </c>
      <c r="K369" s="197">
        <f t="shared" si="130"/>
        <v>43455</v>
      </c>
      <c r="L369" s="436">
        <f t="shared" si="131"/>
        <v>3.299131765622354E-3</v>
      </c>
      <c r="M369" s="855"/>
      <c r="N369" s="855"/>
      <c r="O369" s="324">
        <f t="shared" si="132"/>
        <v>2.4529984241125981E-2</v>
      </c>
      <c r="P369" s="169">
        <f>(INDEX(Models!$BJ369:$BT369,,T369)*(1-R369)+INDEX(Models!$BJ369:$BT369,,T369+1)*R369-ERP_i)*Q369*Ramure*Pc/MaxiM</f>
        <v>1.3348152477896355E-4</v>
      </c>
      <c r="Q369" s="305">
        <f t="shared" si="133"/>
        <v>0.7</v>
      </c>
      <c r="R369" s="177">
        <f t="shared" si="134"/>
        <v>0.79928440966422265</v>
      </c>
      <c r="S369" s="810">
        <f t="shared" si="152"/>
        <v>-2</v>
      </c>
      <c r="T369" s="176">
        <f t="shared" si="135"/>
        <v>4</v>
      </c>
      <c r="U369" s="251">
        <f t="shared" si="136"/>
        <v>-1.2007155903357773</v>
      </c>
      <c r="V369" s="383">
        <f t="shared" si="137"/>
        <v>18.629383908330041</v>
      </c>
      <c r="W369" s="58"/>
      <c r="X369" s="157">
        <f t="shared" si="138"/>
        <v>43455</v>
      </c>
      <c r="Y369" s="385">
        <f t="shared" si="139"/>
        <v>7.5890000000000004</v>
      </c>
      <c r="Z369" s="385">
        <f t="shared" si="140"/>
        <v>7.6141199851101371</v>
      </c>
      <c r="AA369" s="386">
        <f t="shared" si="141"/>
        <v>7.8055910095675021</v>
      </c>
      <c r="AB369" s="197">
        <f t="shared" si="142"/>
        <v>43455</v>
      </c>
      <c r="AC369" s="425">
        <f t="shared" si="143"/>
        <v>2.4529984241125981E-2</v>
      </c>
      <c r="AD369" s="169">
        <f>(INDEX(Models!$BJ369:$BT369,,AH369)*(1-AF369)+INDEX(Models!$BJ369:$BT369,,AH369+1)*AF369-ERP_i)*AE369*Ramure*Pc/MaxiM</f>
        <v>1.3348152477896355E-4</v>
      </c>
      <c r="AE369" s="305">
        <f t="shared" si="144"/>
        <v>0.7</v>
      </c>
      <c r="AF369" s="177">
        <f t="shared" si="145"/>
        <v>0.79928440966422265</v>
      </c>
      <c r="AG369" s="810">
        <f t="shared" si="146"/>
        <v>-2</v>
      </c>
      <c r="AH369" s="176">
        <f t="shared" si="147"/>
        <v>4</v>
      </c>
      <c r="AI369" s="225">
        <f t="shared" si="148"/>
        <v>-1.2007155903357773</v>
      </c>
      <c r="AJ369" s="265" t="b">
        <f t="shared" si="149"/>
        <v>0</v>
      </c>
      <c r="AK369" s="265" t="b">
        <f t="shared" si="150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1"/>
        <v>43456</v>
      </c>
      <c r="B370" s="616">
        <v>6.0789999999999997</v>
      </c>
      <c r="C370" s="390"/>
      <c r="D370" s="393">
        <f t="shared" si="128"/>
        <v>6.0992637452720082</v>
      </c>
      <c r="E370" s="385">
        <f t="shared" si="154"/>
        <v>6.2536498149126718</v>
      </c>
      <c r="F370" s="385">
        <f>Wh_sa/(1-Pvg*MEDIAN((-Sdif+Wh/Env_an)/Csdif,0,1))</f>
        <v>6.2536803182998053</v>
      </c>
      <c r="G370" s="110">
        <f t="shared" si="155"/>
        <v>0.32560725560954634</v>
      </c>
      <c r="I370" s="380">
        <f t="shared" si="129"/>
        <v>6.2536803182998053</v>
      </c>
      <c r="J370" s="85">
        <v>2018</v>
      </c>
      <c r="K370" s="197">
        <f t="shared" si="130"/>
        <v>43456</v>
      </c>
      <c r="L370" s="436">
        <f t="shared" si="131"/>
        <v>3.3223264509124606E-3</v>
      </c>
      <c r="M370" s="855"/>
      <c r="N370" s="855"/>
      <c r="O370" s="324">
        <f t="shared" si="132"/>
        <v>2.4687354458593058E-2</v>
      </c>
      <c r="P370" s="169">
        <f>(INDEX(Models!$BJ370:$BT370,,T370)*(1-R370)+INDEX(Models!$BJ370:$BT370,,T370+1)*R370-ERP_i)*Q370*Ramure*Pc/MaxiM</f>
        <v>1.331188928571397E-4</v>
      </c>
      <c r="Q370" s="305">
        <f t="shared" si="133"/>
        <v>0.7</v>
      </c>
      <c r="R370" s="177">
        <f t="shared" si="134"/>
        <v>0.79928996822326059</v>
      </c>
      <c r="S370" s="810">
        <f t="shared" si="152"/>
        <v>-2</v>
      </c>
      <c r="T370" s="176">
        <f t="shared" si="135"/>
        <v>4</v>
      </c>
      <c r="U370" s="251">
        <f t="shared" si="136"/>
        <v>-1.2007100317767394</v>
      </c>
      <c r="V370" s="383">
        <f t="shared" si="137"/>
        <v>18.667337146475447</v>
      </c>
      <c r="W370" s="58"/>
      <c r="X370" s="157">
        <f t="shared" si="138"/>
        <v>43456</v>
      </c>
      <c r="Y370" s="385">
        <f t="shared" si="139"/>
        <v>6.0789999999999997</v>
      </c>
      <c r="Z370" s="385">
        <f t="shared" si="140"/>
        <v>6.0992637452720082</v>
      </c>
      <c r="AA370" s="386">
        <f t="shared" si="141"/>
        <v>6.2536498149126718</v>
      </c>
      <c r="AB370" s="197">
        <f t="shared" si="142"/>
        <v>43456</v>
      </c>
      <c r="AC370" s="425">
        <f t="shared" si="143"/>
        <v>2.4687354458593058E-2</v>
      </c>
      <c r="AD370" s="169">
        <f>(INDEX(Models!$BJ370:$BT370,,AH370)*(1-AF370)+INDEX(Models!$BJ370:$BT370,,AH370+1)*AF370-ERP_i)*AE370*Ramure*Pc/MaxiM</f>
        <v>1.331188928571397E-4</v>
      </c>
      <c r="AE370" s="305">
        <f t="shared" si="144"/>
        <v>0.7</v>
      </c>
      <c r="AF370" s="177">
        <f t="shared" si="145"/>
        <v>0.79928996822326059</v>
      </c>
      <c r="AG370" s="810">
        <f t="shared" si="146"/>
        <v>-2</v>
      </c>
      <c r="AH370" s="176">
        <f t="shared" si="147"/>
        <v>4</v>
      </c>
      <c r="AI370" s="225">
        <f t="shared" si="148"/>
        <v>-1.2007100317767394</v>
      </c>
      <c r="AJ370" s="265" t="b">
        <f t="shared" si="149"/>
        <v>0</v>
      </c>
      <c r="AK370" s="265" t="b">
        <f t="shared" si="150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1"/>
        <v>43457</v>
      </c>
      <c r="B371" s="616">
        <v>4.742</v>
      </c>
      <c r="C371" s="390"/>
      <c r="D371" s="393">
        <f t="shared" si="128"/>
        <v>4.7579177117006051</v>
      </c>
      <c r="E371" s="385">
        <f t="shared" si="154"/>
        <v>4.8791383986905847</v>
      </c>
      <c r="F371" s="385">
        <f t="shared" si="153"/>
        <v>4.8791383986905847</v>
      </c>
      <c r="G371" s="110">
        <f t="shared" si="155"/>
        <v>0.25343533378736782</v>
      </c>
      <c r="I371" s="380">
        <f t="shared" si="129"/>
        <v>4.8791383986905847</v>
      </c>
      <c r="J371" s="85">
        <v>2018</v>
      </c>
      <c r="K371" s="197">
        <f t="shared" si="130"/>
        <v>43457</v>
      </c>
      <c r="L371" s="436">
        <f t="shared" si="131"/>
        <v>3.3455205964282309E-3</v>
      </c>
      <c r="M371" s="855"/>
      <c r="N371" s="855"/>
      <c r="O371" s="324">
        <f t="shared" si="132"/>
        <v>2.4844691231245143E-2</v>
      </c>
      <c r="P371" s="169">
        <f>(INDEX(Models!$BJ371:$BT371,,T371)*(1-R371)+INDEX(Models!$BJ371:$BT371,,T371+1)*R371-ERP_i)*Q371*Ramure*Pc/MaxiM</f>
        <v>1.3289153123218246E-4</v>
      </c>
      <c r="Q371" s="305">
        <f t="shared" si="133"/>
        <v>0.7</v>
      </c>
      <c r="R371" s="177">
        <f t="shared" si="134"/>
        <v>0.79928996822326059</v>
      </c>
      <c r="S371" s="810">
        <f t="shared" si="152"/>
        <v>-2</v>
      </c>
      <c r="T371" s="176">
        <f t="shared" si="135"/>
        <v>4</v>
      </c>
      <c r="U371" s="251">
        <f t="shared" si="136"/>
        <v>-1.2007100317767394</v>
      </c>
      <c r="V371" s="383">
        <f t="shared" si="137"/>
        <v>18.708400906469123</v>
      </c>
      <c r="W371" s="58"/>
      <c r="X371" s="157">
        <f t="shared" si="138"/>
        <v>43457</v>
      </c>
      <c r="Y371" s="385">
        <f t="shared" si="139"/>
        <v>4.742</v>
      </c>
      <c r="Z371" s="385">
        <f t="shared" si="140"/>
        <v>4.7579177117006051</v>
      </c>
      <c r="AA371" s="386">
        <f t="shared" si="141"/>
        <v>4.8791383986905847</v>
      </c>
      <c r="AB371" s="197">
        <f t="shared" si="142"/>
        <v>43457</v>
      </c>
      <c r="AC371" s="425">
        <f t="shared" si="143"/>
        <v>2.4844691231245143E-2</v>
      </c>
      <c r="AD371" s="169">
        <f>(INDEX(Models!$BJ371:$BT371,,AH371)*(1-AF371)+INDEX(Models!$BJ371:$BT371,,AH371+1)*AF371-ERP_i)*AE371*Ramure*Pc/MaxiM</f>
        <v>1.3289153123218246E-4</v>
      </c>
      <c r="AE371" s="305">
        <f t="shared" si="144"/>
        <v>0.7</v>
      </c>
      <c r="AF371" s="177">
        <f t="shared" si="145"/>
        <v>0.79928996822326059</v>
      </c>
      <c r="AG371" s="810">
        <f t="shared" si="146"/>
        <v>-2</v>
      </c>
      <c r="AH371" s="176">
        <f t="shared" si="147"/>
        <v>4</v>
      </c>
      <c r="AI371" s="225">
        <f t="shared" si="148"/>
        <v>-1.2007100317767394</v>
      </c>
      <c r="AJ371" s="265" t="b">
        <f t="shared" si="149"/>
        <v>0</v>
      </c>
      <c r="AK371" s="265" t="b">
        <f t="shared" si="150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1"/>
        <v>43458</v>
      </c>
      <c r="B372" s="616">
        <v>5.101</v>
      </c>
      <c r="C372" s="390"/>
      <c r="D372" s="393">
        <f t="shared" si="128"/>
        <v>5.1182418941590591</v>
      </c>
      <c r="E372" s="385">
        <f t="shared" si="154"/>
        <v>5.2494895489498505</v>
      </c>
      <c r="F372" s="385">
        <f t="shared" si="153"/>
        <v>5.2494895489498505</v>
      </c>
      <c r="G372" s="110">
        <f t="shared" si="155"/>
        <v>0.27199427714766061</v>
      </c>
      <c r="I372" s="380">
        <f t="shared" si="129"/>
        <v>5.2494895489498505</v>
      </c>
      <c r="J372" s="85">
        <v>2018</v>
      </c>
      <c r="K372" s="197">
        <f t="shared" si="130"/>
        <v>43458</v>
      </c>
      <c r="L372" s="436">
        <f t="shared" si="131"/>
        <v>3.3687142021824323E-3</v>
      </c>
      <c r="M372" s="855"/>
      <c r="N372" s="855"/>
      <c r="O372" s="324">
        <f t="shared" si="132"/>
        <v>2.5001984205692444E-2</v>
      </c>
      <c r="P372" s="169">
        <f>(INDEX(Models!$BJ372:$BT372,,T372)*(1-R372)+INDEX(Models!$BJ372:$BT372,,T372+1)*R372-ERP_i)*Q372*Ramure*Pc/MaxiM</f>
        <v>1.3280667031051978E-4</v>
      </c>
      <c r="Q372" s="305">
        <f t="shared" si="133"/>
        <v>0.7</v>
      </c>
      <c r="R372" s="177">
        <f t="shared" si="134"/>
        <v>0.79928996822326059</v>
      </c>
      <c r="S372" s="810">
        <f t="shared" si="152"/>
        <v>-2</v>
      </c>
      <c r="T372" s="176">
        <f t="shared" si="135"/>
        <v>4</v>
      </c>
      <c r="U372" s="251">
        <f t="shared" si="136"/>
        <v>-1.2007100317767394</v>
      </c>
      <c r="V372" s="383">
        <f t="shared" si="137"/>
        <v>18.751580388604555</v>
      </c>
      <c r="W372" s="58"/>
      <c r="X372" s="157">
        <f t="shared" si="138"/>
        <v>43458</v>
      </c>
      <c r="Y372" s="385">
        <f t="shared" si="139"/>
        <v>5.101</v>
      </c>
      <c r="Z372" s="385">
        <f t="shared" si="140"/>
        <v>5.1182418941590591</v>
      </c>
      <c r="AA372" s="386">
        <f t="shared" si="141"/>
        <v>5.2494895489498505</v>
      </c>
      <c r="AB372" s="197">
        <f t="shared" si="142"/>
        <v>43458</v>
      </c>
      <c r="AC372" s="425">
        <f t="shared" si="143"/>
        <v>2.5001984205692444E-2</v>
      </c>
      <c r="AD372" s="169">
        <f>(INDEX(Models!$BJ372:$BT372,,AH372)*(1-AF372)+INDEX(Models!$BJ372:$BT372,,AH372+1)*AF372-ERP_i)*AE372*Ramure*Pc/MaxiM</f>
        <v>1.3280667031051978E-4</v>
      </c>
      <c r="AE372" s="305">
        <f t="shared" si="144"/>
        <v>0.7</v>
      </c>
      <c r="AF372" s="177">
        <f t="shared" si="145"/>
        <v>0.79928996822326059</v>
      </c>
      <c r="AG372" s="810">
        <f t="shared" si="146"/>
        <v>-2</v>
      </c>
      <c r="AH372" s="176">
        <f t="shared" si="147"/>
        <v>4</v>
      </c>
      <c r="AI372" s="225">
        <f t="shared" si="148"/>
        <v>-1.2007100317767394</v>
      </c>
      <c r="AJ372" s="265" t="b">
        <f t="shared" si="149"/>
        <v>0</v>
      </c>
      <c r="AK372" s="265" t="b">
        <f t="shared" si="150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1"/>
        <v>43459</v>
      </c>
      <c r="B373" s="616">
        <v>14.936999999999999</v>
      </c>
      <c r="C373" s="390"/>
      <c r="D373" s="393">
        <f t="shared" si="128"/>
        <v>14.987837354456996</v>
      </c>
      <c r="E373" s="385">
        <f t="shared" si="154"/>
        <v>15.374651647581482</v>
      </c>
      <c r="F373" s="385">
        <f t="shared" si="153"/>
        <v>15.376095224212161</v>
      </c>
      <c r="G373" s="110">
        <f t="shared" si="155"/>
        <v>0.79461482498890279</v>
      </c>
      <c r="I373" s="380">
        <f t="shared" si="129"/>
        <v>15.376095224212161</v>
      </c>
      <c r="J373" s="85">
        <v>2018</v>
      </c>
      <c r="K373" s="197">
        <f t="shared" si="130"/>
        <v>43459</v>
      </c>
      <c r="L373" s="436">
        <f t="shared" si="131"/>
        <v>3.3919072681876106E-3</v>
      </c>
      <c r="M373" s="855"/>
      <c r="N373" s="855"/>
      <c r="O373" s="324">
        <f t="shared" si="132"/>
        <v>2.5159223245577338E-2</v>
      </c>
      <c r="P373" s="169">
        <f>(INDEX(Models!$BJ373:$BT373,,T373)*(1-R373)+INDEX(Models!$BJ373:$BT373,,T373+1)*R373-ERP_i)*Q373*Ramure*Pc/MaxiM</f>
        <v>1.3286099382721616E-4</v>
      </c>
      <c r="Q373" s="305">
        <f t="shared" si="133"/>
        <v>0.7</v>
      </c>
      <c r="R373" s="177">
        <f t="shared" si="134"/>
        <v>0.79928996822326059</v>
      </c>
      <c r="S373" s="810">
        <f t="shared" si="152"/>
        <v>-2</v>
      </c>
      <c r="T373" s="176">
        <f t="shared" si="135"/>
        <v>4</v>
      </c>
      <c r="U373" s="251">
        <f t="shared" si="136"/>
        <v>-1.2007100317767394</v>
      </c>
      <c r="V373" s="383">
        <f t="shared" si="137"/>
        <v>18.797053973018741</v>
      </c>
      <c r="W373" s="58"/>
      <c r="X373" s="157">
        <f t="shared" si="138"/>
        <v>43459</v>
      </c>
      <c r="Y373" s="385">
        <f t="shared" si="139"/>
        <v>14.936999999999999</v>
      </c>
      <c r="Z373" s="385">
        <f t="shared" si="140"/>
        <v>14.987837354456996</v>
      </c>
      <c r="AA373" s="386">
        <f t="shared" si="141"/>
        <v>15.374651647581482</v>
      </c>
      <c r="AB373" s="197">
        <f t="shared" si="142"/>
        <v>43459</v>
      </c>
      <c r="AC373" s="425">
        <f t="shared" si="143"/>
        <v>2.5159223245577338E-2</v>
      </c>
      <c r="AD373" s="169">
        <f>(INDEX(Models!$BJ373:$BT373,,AH373)*(1-AF373)+INDEX(Models!$BJ373:$BT373,,AH373+1)*AF373-ERP_i)*AE373*Ramure*Pc/MaxiM</f>
        <v>1.3286099382721616E-4</v>
      </c>
      <c r="AE373" s="305">
        <f t="shared" si="144"/>
        <v>0.7</v>
      </c>
      <c r="AF373" s="177">
        <f t="shared" si="145"/>
        <v>0.79928996822326059</v>
      </c>
      <c r="AG373" s="810">
        <f t="shared" si="146"/>
        <v>-2</v>
      </c>
      <c r="AH373" s="176">
        <f t="shared" si="147"/>
        <v>4</v>
      </c>
      <c r="AI373" s="225">
        <f t="shared" si="148"/>
        <v>-1.2007100317767394</v>
      </c>
      <c r="AJ373" s="265" t="b">
        <f t="shared" si="149"/>
        <v>0</v>
      </c>
      <c r="AK373" s="265" t="b">
        <f t="shared" si="150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1"/>
        <v>43460</v>
      </c>
      <c r="B374" s="616">
        <v>16.948</v>
      </c>
      <c r="C374" s="390"/>
      <c r="D374" s="393">
        <f t="shared" si="128"/>
        <v>17.006077451609499</v>
      </c>
      <c r="E374" s="385">
        <f t="shared" si="154"/>
        <v>17.44779272526387</v>
      </c>
      <c r="F374" s="385">
        <f t="shared" si="153"/>
        <v>17.449780292795875</v>
      </c>
      <c r="G374" s="110">
        <f t="shared" si="155"/>
        <v>0.89927003428248664</v>
      </c>
      <c r="I374" s="380">
        <f t="shared" si="129"/>
        <v>17.449780292795875</v>
      </c>
      <c r="J374" s="85">
        <v>2018</v>
      </c>
      <c r="K374" s="197">
        <f t="shared" si="130"/>
        <v>43460</v>
      </c>
      <c r="L374" s="436">
        <f t="shared" si="131"/>
        <v>3.4150997944562E-3</v>
      </c>
      <c r="M374" s="855"/>
      <c r="N374" s="855"/>
      <c r="O374" s="324">
        <f t="shared" si="132"/>
        <v>2.5316398504366698E-2</v>
      </c>
      <c r="P374" s="169">
        <f>(INDEX(Models!$BJ374:$BT374,,T374)*(1-R374)+INDEX(Models!$BJ374:$BT374,,T374+1)*R374-ERP_i)*Q374*Ramure*Pc/MaxiM</f>
        <v>1.3304388933342586E-4</v>
      </c>
      <c r="Q374" s="305">
        <f t="shared" si="133"/>
        <v>0.7</v>
      </c>
      <c r="R374" s="177">
        <f t="shared" si="134"/>
        <v>0.79928996822326059</v>
      </c>
      <c r="S374" s="810">
        <f t="shared" si="152"/>
        <v>-2</v>
      </c>
      <c r="T374" s="176">
        <f t="shared" si="135"/>
        <v>4</v>
      </c>
      <c r="U374" s="251">
        <f t="shared" si="136"/>
        <v>-1.2007100317767394</v>
      </c>
      <c r="V374" s="383">
        <f t="shared" si="137"/>
        <v>18.846036121293498</v>
      </c>
      <c r="W374" s="58"/>
      <c r="X374" s="157">
        <f t="shared" si="138"/>
        <v>43460</v>
      </c>
      <c r="Y374" s="385">
        <f t="shared" si="139"/>
        <v>16.948</v>
      </c>
      <c r="Z374" s="385">
        <f t="shared" si="140"/>
        <v>17.006077451609499</v>
      </c>
      <c r="AA374" s="386">
        <f t="shared" si="141"/>
        <v>17.44779272526387</v>
      </c>
      <c r="AB374" s="197">
        <f t="shared" si="142"/>
        <v>43460</v>
      </c>
      <c r="AC374" s="425">
        <f t="shared" si="143"/>
        <v>2.5316398504366698E-2</v>
      </c>
      <c r="AD374" s="169">
        <f>(INDEX(Models!$BJ374:$BT374,,AH374)*(1-AF374)+INDEX(Models!$BJ374:$BT374,,AH374+1)*AF374-ERP_i)*AE374*Ramure*Pc/MaxiM</f>
        <v>1.3304388933342586E-4</v>
      </c>
      <c r="AE374" s="305">
        <f t="shared" si="144"/>
        <v>0.7</v>
      </c>
      <c r="AF374" s="177">
        <f t="shared" si="145"/>
        <v>0.79928996822326059</v>
      </c>
      <c r="AG374" s="810">
        <f t="shared" si="146"/>
        <v>-2</v>
      </c>
      <c r="AH374" s="176">
        <f t="shared" si="147"/>
        <v>4</v>
      </c>
      <c r="AI374" s="225">
        <f t="shared" si="148"/>
        <v>-1.2007100317767394</v>
      </c>
      <c r="AJ374" s="265" t="b">
        <f t="shared" si="149"/>
        <v>0</v>
      </c>
      <c r="AK374" s="265" t="b">
        <f t="shared" si="150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1"/>
        <v>43461</v>
      </c>
      <c r="B375" s="616">
        <v>17.518999999999998</v>
      </c>
      <c r="C375" s="390"/>
      <c r="D375" s="393">
        <f t="shared" si="128"/>
        <v>17.579443255259125</v>
      </c>
      <c r="E375" s="385">
        <f t="shared" si="154"/>
        <v>18.03895867803287</v>
      </c>
      <c r="F375" s="385">
        <f t="shared" si="153"/>
        <v>18.041116002865003</v>
      </c>
      <c r="G375" s="110">
        <f t="shared" si="155"/>
        <v>0.92696325723190487</v>
      </c>
      <c r="I375" s="380">
        <f t="shared" si="129"/>
        <v>18.041116002865003</v>
      </c>
      <c r="J375" s="85">
        <v>2018</v>
      </c>
      <c r="K375" s="197">
        <f t="shared" si="130"/>
        <v>43461</v>
      </c>
      <c r="L375" s="436">
        <f t="shared" si="131"/>
        <v>3.4382917810007463E-3</v>
      </c>
      <c r="M375" s="855"/>
      <c r="N375" s="855"/>
      <c r="O375" s="324">
        <f t="shared" si="132"/>
        <v>2.547350049275977E-2</v>
      </c>
      <c r="P375" s="169">
        <f>(INDEX(Models!$BJ375:$BT375,,T375)*(1-R375)+INDEX(Models!$BJ375:$BT375,,T375+1)*R375-ERP_i)*Q375*Ramure*Pc/MaxiM</f>
        <v>1.3350549754856771E-4</v>
      </c>
      <c r="Q375" s="305">
        <f t="shared" si="133"/>
        <v>0.7</v>
      </c>
      <c r="R375" s="177">
        <f t="shared" si="134"/>
        <v>0.79928996822326059</v>
      </c>
      <c r="S375" s="810">
        <f t="shared" si="152"/>
        <v>-2</v>
      </c>
      <c r="T375" s="176">
        <f t="shared" si="135"/>
        <v>4</v>
      </c>
      <c r="U375" s="251">
        <f t="shared" si="136"/>
        <v>-1.2007100317767394</v>
      </c>
      <c r="V375" s="383">
        <f t="shared" si="137"/>
        <v>18.899083477639341</v>
      </c>
      <c r="W375" s="58"/>
      <c r="X375" s="157">
        <f t="shared" si="138"/>
        <v>43461</v>
      </c>
      <c r="Y375" s="385">
        <f t="shared" si="139"/>
        <v>17.518999999999998</v>
      </c>
      <c r="Z375" s="385">
        <f t="shared" si="140"/>
        <v>17.579443255259125</v>
      </c>
      <c r="AA375" s="386">
        <f t="shared" si="141"/>
        <v>18.03895867803287</v>
      </c>
      <c r="AB375" s="197">
        <f t="shared" si="142"/>
        <v>43461</v>
      </c>
      <c r="AC375" s="425">
        <f t="shared" si="143"/>
        <v>2.547350049275977E-2</v>
      </c>
      <c r="AD375" s="169">
        <f>(INDEX(Models!$BJ375:$BT375,,AH375)*(1-AF375)+INDEX(Models!$BJ375:$BT375,,AH375+1)*AF375-ERP_i)*AE375*Ramure*Pc/MaxiM</f>
        <v>1.3350549754856771E-4</v>
      </c>
      <c r="AE375" s="305">
        <f t="shared" si="144"/>
        <v>0.7</v>
      </c>
      <c r="AF375" s="177">
        <f t="shared" si="145"/>
        <v>0.79928996822326059</v>
      </c>
      <c r="AG375" s="810">
        <f t="shared" si="146"/>
        <v>-2</v>
      </c>
      <c r="AH375" s="176">
        <f t="shared" si="147"/>
        <v>4</v>
      </c>
      <c r="AI375" s="225">
        <f t="shared" si="148"/>
        <v>-1.2007100317767394</v>
      </c>
      <c r="AJ375" s="265" t="b">
        <f t="shared" si="149"/>
        <v>0</v>
      </c>
      <c r="AK375" s="265" t="b">
        <f t="shared" si="150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1"/>
        <v>43462</v>
      </c>
      <c r="B376" s="616">
        <v>3.2149999999999999</v>
      </c>
      <c r="C376" s="390"/>
      <c r="D376" s="393">
        <f t="shared" si="128"/>
        <v>3.2261673240824975</v>
      </c>
      <c r="E376" s="385">
        <f t="shared" si="154"/>
        <v>3.3110307647841704</v>
      </c>
      <c r="F376" s="385">
        <f t="shared" si="153"/>
        <v>3.3110307647841704</v>
      </c>
      <c r="G376" s="110">
        <f t="shared" si="155"/>
        <v>0.16957376863325921</v>
      </c>
      <c r="I376" s="380">
        <f t="shared" si="129"/>
        <v>3.3110307647841704</v>
      </c>
      <c r="J376" s="85">
        <v>2018</v>
      </c>
      <c r="K376" s="197">
        <f t="shared" si="130"/>
        <v>43462</v>
      </c>
      <c r="L376" s="436">
        <f t="shared" si="131"/>
        <v>3.4614832278340169E-3</v>
      </c>
      <c r="M376" s="855"/>
      <c r="N376" s="855"/>
      <c r="O376" s="324">
        <f t="shared" si="132"/>
        <v>2.5630520140215253E-2</v>
      </c>
      <c r="P376" s="169">
        <f>(INDEX(Models!$BJ376:$BT376,,T376)*(1-R376)+INDEX(Models!$BJ376:$BT376,,T376+1)*R376-ERP_i)*Q376*Ramure*Pc/MaxiM</f>
        <v>1.3416642854738618E-4</v>
      </c>
      <c r="Q376" s="305">
        <f t="shared" si="133"/>
        <v>0.7</v>
      </c>
      <c r="R376" s="177">
        <f t="shared" si="134"/>
        <v>0.79928996822326059</v>
      </c>
      <c r="S376" s="810">
        <f t="shared" si="152"/>
        <v>-2</v>
      </c>
      <c r="T376" s="176">
        <f t="shared" si="135"/>
        <v>4</v>
      </c>
      <c r="U376" s="251">
        <f t="shared" si="136"/>
        <v>-1.2007100317767394</v>
      </c>
      <c r="V376" s="383">
        <f t="shared" si="137"/>
        <v>18.956756583528172</v>
      </c>
      <c r="W376" s="58"/>
      <c r="X376" s="157">
        <f t="shared" si="138"/>
        <v>43462</v>
      </c>
      <c r="Y376" s="385">
        <f t="shared" si="139"/>
        <v>3.2149999999999999</v>
      </c>
      <c r="Z376" s="385">
        <f t="shared" si="140"/>
        <v>3.2261673240824975</v>
      </c>
      <c r="AA376" s="386">
        <f t="shared" si="141"/>
        <v>3.3110307647841704</v>
      </c>
      <c r="AB376" s="197">
        <f t="shared" si="142"/>
        <v>43462</v>
      </c>
      <c r="AC376" s="425">
        <f t="shared" si="143"/>
        <v>2.5630520140215253E-2</v>
      </c>
      <c r="AD376" s="169">
        <f>(INDEX(Models!$BJ376:$BT376,,AH376)*(1-AF376)+INDEX(Models!$BJ376:$BT376,,AH376+1)*AF376-ERP_i)*AE376*Ramure*Pc/MaxiM</f>
        <v>1.3416642854738618E-4</v>
      </c>
      <c r="AE376" s="305">
        <f t="shared" si="144"/>
        <v>0.7</v>
      </c>
      <c r="AF376" s="177">
        <f t="shared" si="145"/>
        <v>0.79928996822326059</v>
      </c>
      <c r="AG376" s="810">
        <f t="shared" si="146"/>
        <v>-2</v>
      </c>
      <c r="AH376" s="176">
        <f t="shared" si="147"/>
        <v>4</v>
      </c>
      <c r="AI376" s="225">
        <f t="shared" si="148"/>
        <v>-1.2007100317767394</v>
      </c>
      <c r="AJ376" s="265" t="b">
        <f t="shared" si="149"/>
        <v>0</v>
      </c>
      <c r="AK376" s="265" t="b">
        <f t="shared" si="150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1"/>
        <v>43463</v>
      </c>
      <c r="B377" s="616">
        <v>4.4660000000000002</v>
      </c>
      <c r="C377" s="390"/>
      <c r="D377" s="393">
        <f t="shared" si="128"/>
        <v>4.4816169747547629</v>
      </c>
      <c r="E377" s="385">
        <f t="shared" si="154"/>
        <v>4.6002455721446394</v>
      </c>
      <c r="F377" s="385">
        <f t="shared" si="153"/>
        <v>4.6002455721446394</v>
      </c>
      <c r="G377" s="110">
        <f t="shared" si="155"/>
        <v>0.23477852685782161</v>
      </c>
      <c r="I377" s="380">
        <f t="shared" si="129"/>
        <v>4.6002455721446394</v>
      </c>
      <c r="J377" s="85">
        <v>2018</v>
      </c>
      <c r="K377" s="197">
        <f t="shared" si="130"/>
        <v>43463</v>
      </c>
      <c r="L377" s="436">
        <f t="shared" si="131"/>
        <v>3.4846741349683352E-3</v>
      </c>
      <c r="M377" s="855"/>
      <c r="N377" s="855"/>
      <c r="O377" s="324">
        <f t="shared" si="132"/>
        <v>2.5787448850164572E-2</v>
      </c>
      <c r="P377" s="169">
        <f>(INDEX(Models!$BJ377:$BT377,,T377)*(1-R377)+INDEX(Models!$BJ377:$BT377,,T377+1)*R377-ERP_i)*Q377*Ramure*Pc/MaxiM</f>
        <v>1.3501960505253285E-4</v>
      </c>
      <c r="Q377" s="305">
        <f t="shared" si="133"/>
        <v>0.7</v>
      </c>
      <c r="R377" s="177">
        <f t="shared" si="134"/>
        <v>0.79928996822326059</v>
      </c>
      <c r="S377" s="810">
        <f t="shared" si="152"/>
        <v>-2</v>
      </c>
      <c r="T377" s="176">
        <f t="shared" si="135"/>
        <v>4</v>
      </c>
      <c r="U377" s="251">
        <f t="shared" si="136"/>
        <v>-1.2007100317767394</v>
      </c>
      <c r="V377" s="383">
        <f t="shared" si="137"/>
        <v>19.019614196438049</v>
      </c>
      <c r="W377" s="58"/>
      <c r="X377" s="157">
        <f t="shared" si="138"/>
        <v>43463</v>
      </c>
      <c r="Y377" s="385">
        <f t="shared" si="139"/>
        <v>4.4660000000000002</v>
      </c>
      <c r="Z377" s="385">
        <f t="shared" si="140"/>
        <v>4.4816169747547629</v>
      </c>
      <c r="AA377" s="386">
        <f t="shared" si="141"/>
        <v>4.6002455721446394</v>
      </c>
      <c r="AB377" s="197">
        <f t="shared" si="142"/>
        <v>43463</v>
      </c>
      <c r="AC377" s="425">
        <f t="shared" si="143"/>
        <v>2.5787448850164572E-2</v>
      </c>
      <c r="AD377" s="169">
        <f>(INDEX(Models!$BJ377:$BT377,,AH377)*(1-AF377)+INDEX(Models!$BJ377:$BT377,,AH377+1)*AF377-ERP_i)*AE377*Ramure*Pc/MaxiM</f>
        <v>1.3501960505253285E-4</v>
      </c>
      <c r="AE377" s="305">
        <f t="shared" si="144"/>
        <v>0.7</v>
      </c>
      <c r="AF377" s="177">
        <f t="shared" si="145"/>
        <v>0.79928996822326059</v>
      </c>
      <c r="AG377" s="810">
        <f t="shared" si="146"/>
        <v>-2</v>
      </c>
      <c r="AH377" s="176">
        <f t="shared" si="147"/>
        <v>4</v>
      </c>
      <c r="AI377" s="225">
        <f t="shared" si="148"/>
        <v>-1.2007100317767394</v>
      </c>
      <c r="AJ377" s="265" t="b">
        <f t="shared" si="149"/>
        <v>0</v>
      </c>
      <c r="AK377" s="265" t="b">
        <f t="shared" si="150"/>
        <v>0</v>
      </c>
      <c r="AL377" s="265"/>
      <c r="AM377" s="265"/>
      <c r="AN377" s="75"/>
    </row>
    <row r="378" spans="1:40" s="6" customFormat="1" ht="11.25" x14ac:dyDescent="0.2">
      <c r="A378" s="56">
        <f t="shared" si="151"/>
        <v>43464</v>
      </c>
      <c r="B378" s="616">
        <v>3.3079999999999998</v>
      </c>
      <c r="C378" s="390"/>
      <c r="D378" s="393">
        <f t="shared" si="128"/>
        <v>3.3196448643803889</v>
      </c>
      <c r="E378" s="385">
        <f t="shared" si="154"/>
        <v>3.4080646427842316</v>
      </c>
      <c r="F378" s="385">
        <f t="shared" si="153"/>
        <v>3.4080646427842316</v>
      </c>
      <c r="G378" s="110">
        <f t="shared" si="155"/>
        <v>0.17327707077489496</v>
      </c>
      <c r="I378" s="380">
        <f t="shared" si="129"/>
        <v>3.4080646427842316</v>
      </c>
      <c r="J378" s="85">
        <v>2018</v>
      </c>
      <c r="K378" s="197">
        <f t="shared" si="130"/>
        <v>43464</v>
      </c>
      <c r="L378" s="436">
        <f t="shared" si="131"/>
        <v>3.507864502416469E-3</v>
      </c>
      <c r="M378" s="855"/>
      <c r="N378" s="855"/>
      <c r="O378" s="324">
        <f t="shared" si="132"/>
        <v>2.5944278548545301E-2</v>
      </c>
      <c r="P378" s="169">
        <f>(INDEX(Models!$BJ378:$BT378,,T378)*(1-R378)+INDEX(Models!$BJ378:$BT378,,T378+1)*R378-ERP_i)*Q378*Ramure*Pc/MaxiM</f>
        <v>1.3605771717326088E-4</v>
      </c>
      <c r="Q378" s="305">
        <f t="shared" si="133"/>
        <v>0.7</v>
      </c>
      <c r="R378" s="177">
        <f t="shared" si="134"/>
        <v>0.79928996822326059</v>
      </c>
      <c r="S378" s="810">
        <f t="shared" si="152"/>
        <v>-2</v>
      </c>
      <c r="T378" s="176">
        <f t="shared" si="135"/>
        <v>4</v>
      </c>
      <c r="U378" s="251">
        <f t="shared" si="136"/>
        <v>-1.2007100317767394</v>
      </c>
      <c r="V378" s="383">
        <f t="shared" si="137"/>
        <v>19.088214651137797</v>
      </c>
      <c r="W378" s="58"/>
      <c r="X378" s="157">
        <f t="shared" si="138"/>
        <v>43464</v>
      </c>
      <c r="Y378" s="385">
        <f t="shared" si="139"/>
        <v>3.3079999999999998</v>
      </c>
      <c r="Z378" s="385">
        <f t="shared" si="140"/>
        <v>3.3196448643803889</v>
      </c>
      <c r="AA378" s="386">
        <f t="shared" si="141"/>
        <v>3.4080646427842316</v>
      </c>
      <c r="AB378" s="197">
        <f t="shared" si="142"/>
        <v>43464</v>
      </c>
      <c r="AC378" s="425">
        <f t="shared" si="143"/>
        <v>2.5944278548545301E-2</v>
      </c>
      <c r="AD378" s="169">
        <f>(INDEX(Models!$BJ378:$BT378,,AH378)*(1-AF378)+INDEX(Models!$BJ378:$BT378,,AH378+1)*AF378-ERP_i)*AE378*Ramure*Pc/MaxiM</f>
        <v>1.3605771717326088E-4</v>
      </c>
      <c r="AE378" s="305">
        <f t="shared" si="144"/>
        <v>0.7</v>
      </c>
      <c r="AF378" s="177">
        <f t="shared" si="145"/>
        <v>0.79928996822326059</v>
      </c>
      <c r="AG378" s="810">
        <f t="shared" si="146"/>
        <v>-2</v>
      </c>
      <c r="AH378" s="176">
        <f t="shared" si="147"/>
        <v>4</v>
      </c>
      <c r="AI378" s="225">
        <f t="shared" si="148"/>
        <v>-1.2007100317767394</v>
      </c>
      <c r="AJ378" s="265" t="b">
        <f t="shared" si="149"/>
        <v>0</v>
      </c>
      <c r="AK378" s="265" t="b">
        <f t="shared" si="150"/>
        <v>0</v>
      </c>
      <c r="AL378" s="265"/>
      <c r="AM378" s="265"/>
      <c r="AN378" s="75"/>
    </row>
    <row r="379" spans="1:40" s="18" customFormat="1" ht="12.75" x14ac:dyDescent="0.2">
      <c r="A379" s="56">
        <f t="shared" si="151"/>
        <v>43465</v>
      </c>
      <c r="B379" s="616">
        <v>5.6040000000000001</v>
      </c>
      <c r="C379" s="390"/>
      <c r="D379" s="393">
        <f t="shared" si="128"/>
        <v>5.6238581486682335</v>
      </c>
      <c r="E379" s="385">
        <f t="shared" si="154"/>
        <v>5.7745804838401726</v>
      </c>
      <c r="F379" s="385">
        <f t="shared" si="153"/>
        <v>5.7745804838401726</v>
      </c>
      <c r="G379" s="110">
        <f t="shared" si="155"/>
        <v>0.29239664152100064</v>
      </c>
      <c r="I379" s="380">
        <f t="shared" si="129"/>
        <v>5.7745804838401726</v>
      </c>
      <c r="J379" s="85">
        <v>2018</v>
      </c>
      <c r="K379" s="197">
        <f t="shared" si="130"/>
        <v>43465</v>
      </c>
      <c r="L379" s="436">
        <f>IF(t&lt;T0,0,IF(t&lt;Tvie,1-EXP((T0-t)*PertePVj),1-EXP((T0-t)*PertePVj)+Pspv))</f>
        <v>3.5310543301907416E-3</v>
      </c>
      <c r="M379" s="855"/>
      <c r="N379" s="855"/>
      <c r="O379" s="324">
        <f t="shared" si="132"/>
        <v>2.6101001725359299E-2</v>
      </c>
      <c r="P379" s="169">
        <f>(INDEX(Models!$BJ379:$BT379,,T379)*(1-R379)+INDEX(Models!$BJ379:$BT379,,T379+1)*R379-ERP_i)*Q379*Ramure*Pc/MaxiM</f>
        <v>1.3727318130422116E-4</v>
      </c>
      <c r="Q379" s="306">
        <f t="shared" si="133"/>
        <v>0.7</v>
      </c>
      <c r="R379" s="177">
        <f t="shared" si="134"/>
        <v>0.79928996822326059</v>
      </c>
      <c r="S379" s="810">
        <f t="shared" si="152"/>
        <v>-2</v>
      </c>
      <c r="T379" s="176">
        <f t="shared" si="135"/>
        <v>4</v>
      </c>
      <c r="U379" s="307">
        <f t="shared" si="136"/>
        <v>-1.2007100317767394</v>
      </c>
      <c r="V379" s="383">
        <f t="shared" si="137"/>
        <v>19.163115868721547</v>
      </c>
      <c r="W379" s="392"/>
      <c r="X379" s="157">
        <f t="shared" si="138"/>
        <v>43465</v>
      </c>
      <c r="Y379" s="385">
        <f t="shared" si="139"/>
        <v>5.6040000000000001</v>
      </c>
      <c r="Z379" s="385">
        <f t="shared" si="140"/>
        <v>5.6238581486682335</v>
      </c>
      <c r="AA379" s="386">
        <f t="shared" si="141"/>
        <v>5.7745804838401726</v>
      </c>
      <c r="AB379" s="197">
        <f t="shared" si="142"/>
        <v>43465</v>
      </c>
      <c r="AC379" s="425">
        <f t="shared" si="143"/>
        <v>2.6101001725359299E-2</v>
      </c>
      <c r="AD379" s="169">
        <f>(INDEX(Models!$BJ379:$BT379,,AH379)*(1-AF379)+INDEX(Models!$BJ379:$BT379,,AH379+1)*AF379-ERP_i)*AE379*Ramure*Pc/MaxiM</f>
        <v>1.3727318130422116E-4</v>
      </c>
      <c r="AE379" s="306">
        <f t="shared" si="144"/>
        <v>0.7</v>
      </c>
      <c r="AF379" s="177">
        <f t="shared" si="145"/>
        <v>0.79928996822326059</v>
      </c>
      <c r="AG379" s="810">
        <f t="shared" si="146"/>
        <v>-2</v>
      </c>
      <c r="AH379" s="176">
        <f t="shared" si="147"/>
        <v>4</v>
      </c>
      <c r="AI379" s="222">
        <f t="shared" si="148"/>
        <v>-1.2007100317767394</v>
      </c>
      <c r="AJ379" s="265" t="b">
        <f t="shared" si="149"/>
        <v>0</v>
      </c>
      <c r="AK379" s="265" t="b">
        <f t="shared" si="150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0"/>
      <c r="C380" s="854"/>
      <c r="D380" s="394"/>
      <c r="E380" s="395"/>
      <c r="F380" s="395"/>
      <c r="G380" s="97"/>
      <c r="I380" s="381">
        <f t="shared" si="129"/>
        <v>0</v>
      </c>
      <c r="J380" s="151">
        <v>2018</v>
      </c>
      <c r="K380" s="199"/>
      <c r="L380" s="469"/>
      <c r="M380" s="856"/>
      <c r="N380" s="856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9"/>
        <v>1</v>
      </c>
      <c r="AK380" s="265" t="b">
        <f t="shared" si="150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1.8440000000000001</v>
      </c>
      <c r="C381" s="375"/>
      <c r="D381" s="373">
        <f>MIN(D15:D380)</f>
        <v>1.8497593271241572</v>
      </c>
      <c r="E381" s="373">
        <f>MIN(E15:E380)</f>
        <v>1.8938307916552872</v>
      </c>
      <c r="F381" s="374">
        <f>MIN(F15:F380)</f>
        <v>1.8938307916552872</v>
      </c>
      <c r="G381" s="125">
        <f>+MIN(G15:G380)</f>
        <v>9.9353667618296809E-2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56">MIN(L15:L380)</f>
        <v>0</v>
      </c>
      <c r="M381" s="846"/>
      <c r="N381" s="846"/>
      <c r="O381" s="47">
        <f t="shared" si="156"/>
        <v>0</v>
      </c>
      <c r="P381" s="168">
        <f t="shared" si="156"/>
        <v>3.315310925116133E-10</v>
      </c>
      <c r="Q381" s="310">
        <f t="shared" si="156"/>
        <v>0.7</v>
      </c>
      <c r="R381" s="311">
        <f t="shared" si="156"/>
        <v>0.3992909866521972</v>
      </c>
      <c r="S381" s="810">
        <f t="shared" si="156"/>
        <v>-2</v>
      </c>
      <c r="T381" s="176">
        <f t="shared" si="156"/>
        <v>4</v>
      </c>
      <c r="U381" s="252">
        <f>+MIN(U15:U380)</f>
        <v>-1.6007090133478028</v>
      </c>
      <c r="V381" s="373">
        <f>MIN(V15:V380)</f>
        <v>18.52114040246099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7">MIN(AC15:AC380)</f>
        <v>0</v>
      </c>
      <c r="AD381" s="168">
        <f t="shared" si="157"/>
        <v>3.315310925116133E-10</v>
      </c>
      <c r="AE381" s="310">
        <f t="shared" si="157"/>
        <v>0.7</v>
      </c>
      <c r="AF381" s="311">
        <f t="shared" si="157"/>
        <v>0.3992909866521972</v>
      </c>
      <c r="AG381" s="810">
        <f t="shared" si="157"/>
        <v>-2</v>
      </c>
      <c r="AH381" s="176">
        <f t="shared" si="157"/>
        <v>4</v>
      </c>
      <c r="AI381" s="226">
        <f>MIN(AI15:AI380)</f>
        <v>-1.6007090133478028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14.997663043478262</v>
      </c>
      <c r="C382" s="375"/>
      <c r="D382" s="375">
        <f>AVERAGE(D15:D380)</f>
        <v>15.031519030202123</v>
      </c>
      <c r="E382" s="375">
        <f>AVERAGE(E15:E380)</f>
        <v>15.297553361702803</v>
      </c>
      <c r="F382" s="376">
        <f>AVERAGE(F15:F380)</f>
        <v>15.300786292513539</v>
      </c>
      <c r="G382" s="126">
        <f>AVERAGE(G15:G380)</f>
        <v>0.576319604706368</v>
      </c>
      <c r="H382" s="94"/>
      <c r="I382" s="376">
        <f>AVERAGE(I15:I380)</f>
        <v>3.8460992866427475</v>
      </c>
      <c r="J382" s="166">
        <f>AVERAGE(J15:J380)</f>
        <v>2018</v>
      </c>
      <c r="K382" s="200" t="s">
        <v>8</v>
      </c>
      <c r="L382" s="147">
        <f t="shared" ref="L382:V382" si="158">AVERAGE(L15:L380)</f>
        <v>7.4050372941583664E-4</v>
      </c>
      <c r="M382" s="844"/>
      <c r="N382" s="844"/>
      <c r="O382" s="48">
        <f t="shared" si="158"/>
        <v>5.7226265158182472E-3</v>
      </c>
      <c r="P382" s="169">
        <f t="shared" si="158"/>
        <v>1.0273841056949346E-4</v>
      </c>
      <c r="Q382" s="312">
        <f t="shared" si="158"/>
        <v>0.69999999999999529</v>
      </c>
      <c r="R382" s="177">
        <f t="shared" si="158"/>
        <v>0.62319786425151247</v>
      </c>
      <c r="S382" s="810">
        <f t="shared" si="158"/>
        <v>-2</v>
      </c>
      <c r="T382" s="176">
        <f t="shared" si="158"/>
        <v>4</v>
      </c>
      <c r="U382" s="251">
        <f t="shared" si="158"/>
        <v>-1.3768021357484874</v>
      </c>
      <c r="V382" s="375">
        <f t="shared" si="158"/>
        <v>43.593693322694051</v>
      </c>
      <c r="X382" s="112" t="s">
        <v>8</v>
      </c>
      <c r="Y382" s="375">
        <f>AVERAGE(Y15:Y380)</f>
        <v>3.7802328767123288</v>
      </c>
      <c r="Z382" s="375">
        <f>AVERAGE(Z15:Z380)</f>
        <v>3.7887664404893022</v>
      </c>
      <c r="AA382" s="375">
        <f>AVERAGE(AA15:AA380)</f>
        <v>3.8558216692511178</v>
      </c>
      <c r="AB382" s="200" t="s">
        <v>8</v>
      </c>
      <c r="AC382" s="48">
        <f t="shared" ref="AC382:AH382" si="159">AVERAGE(AC15:AC380)</f>
        <v>5.7226265158182472E-3</v>
      </c>
      <c r="AD382" s="169">
        <f t="shared" si="159"/>
        <v>1.0273841056949346E-4</v>
      </c>
      <c r="AE382" s="312">
        <f t="shared" si="159"/>
        <v>0.69999999999999529</v>
      </c>
      <c r="AF382" s="177">
        <f t="shared" si="159"/>
        <v>0.62319786425151247</v>
      </c>
      <c r="AG382" s="810">
        <f t="shared" si="159"/>
        <v>-2</v>
      </c>
      <c r="AH382" s="176">
        <f t="shared" si="159"/>
        <v>4</v>
      </c>
      <c r="AI382" s="225">
        <f>AVERAGE(AI15:AI380)</f>
        <v>-1.3768021357484874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37.603999999999999</v>
      </c>
      <c r="C383" s="377"/>
      <c r="D383" s="377">
        <f>MAX(D15:D380)</f>
        <v>37.65829599330258</v>
      </c>
      <c r="E383" s="377">
        <f>MAX(E15:E380)</f>
        <v>38.101223127871187</v>
      </c>
      <c r="F383" s="378">
        <f>MAX(F15:F380)</f>
        <v>38.111872481927541</v>
      </c>
      <c r="G383" s="127">
        <f>+MAX(G15:G380)</f>
        <v>1.0029672487263548</v>
      </c>
      <c r="H383" s="94"/>
      <c r="I383" s="378">
        <f>MAX(I15:I380)</f>
        <v>38.111872481927541</v>
      </c>
      <c r="J383" s="167">
        <f>MAX(J15:J380)</f>
        <v>2018</v>
      </c>
      <c r="K383" s="200" t="s">
        <v>9</v>
      </c>
      <c r="L383" s="148">
        <f t="shared" ref="L383:T383" si="160">MAX(L15:L380)</f>
        <v>3.5310543301907416E-3</v>
      </c>
      <c r="M383" s="847"/>
      <c r="N383" s="847"/>
      <c r="O383" s="49">
        <f t="shared" si="160"/>
        <v>2.6101001725359299E-2</v>
      </c>
      <c r="P383" s="170">
        <f t="shared" si="160"/>
        <v>6.0305488041740077E-4</v>
      </c>
      <c r="Q383" s="313">
        <f t="shared" si="160"/>
        <v>0.7</v>
      </c>
      <c r="R383" s="314">
        <f t="shared" si="160"/>
        <v>0.79928996822326059</v>
      </c>
      <c r="S383" s="811">
        <f t="shared" si="160"/>
        <v>-2</v>
      </c>
      <c r="T383" s="233">
        <f t="shared" si="160"/>
        <v>4</v>
      </c>
      <c r="U383" s="253">
        <f>+MAX(U15:U380)</f>
        <v>-1.2007100317767394</v>
      </c>
      <c r="V383" s="377">
        <f>MAX(V15:V380)</f>
        <v>64.245725623323281</v>
      </c>
      <c r="X383" s="112" t="s">
        <v>9</v>
      </c>
      <c r="Y383" s="377">
        <f>MAX(Y15:Y380)</f>
        <v>37.603999999999999</v>
      </c>
      <c r="Z383" s="377">
        <f>MAX(Z15:Z380)</f>
        <v>37.65829599330258</v>
      </c>
      <c r="AA383" s="377">
        <f>MAX(AA15:AA380)</f>
        <v>38.101223127871187</v>
      </c>
      <c r="AB383" s="200" t="s">
        <v>9</v>
      </c>
      <c r="AC383" s="49">
        <f t="shared" ref="AC383:AH383" si="161">MAX(AC15:AC380)</f>
        <v>2.6101001725359299E-2</v>
      </c>
      <c r="AD383" s="170">
        <f t="shared" si="161"/>
        <v>6.0305488041740077E-4</v>
      </c>
      <c r="AE383" s="313">
        <f t="shared" si="161"/>
        <v>0.7</v>
      </c>
      <c r="AF383" s="314">
        <f t="shared" si="161"/>
        <v>0.79928996822326059</v>
      </c>
      <c r="AG383" s="811">
        <f t="shared" si="161"/>
        <v>-2</v>
      </c>
      <c r="AH383" s="233">
        <f t="shared" si="161"/>
        <v>4</v>
      </c>
      <c r="AI383" s="227">
        <f>MAX(AI15:AI380)</f>
        <v>-1.2007100317767394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'2018'!An+1</f>
        <v>2019</v>
      </c>
      <c r="K1" s="1274"/>
      <c r="L1" s="113" t="str">
        <f>"Calcul pertes et enveloppes en "&amp;TEXT(An,0)</f>
        <v>Calcul pertes et enveloppes en 2019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0</v>
      </c>
      <c r="AK4" s="833">
        <f>AM12-AK12</f>
        <v>0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334"/>
      <c r="I5" s="158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10874.365999999996</v>
      </c>
      <c r="AK6" s="515">
        <f>SUMIF(AK15:AK380,"FAUX",Wh)</f>
        <v>10874.365999999996</v>
      </c>
      <c r="AL6" s="515">
        <f>SUMIF(AJ15:AJ380,"FAUX",Wh_s)</f>
        <v>10874.365999999996</v>
      </c>
      <c r="AM6" s="515">
        <f>SUMIF(AK15:AK380,"FAUX",Wh_s)</f>
        <v>10874.365999999996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0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10957.381459224558</v>
      </c>
      <c r="AK8" s="515">
        <f>SUMIF(AK15:AK380,"FAUX",Wh_sa)</f>
        <v>11563.108784391099</v>
      </c>
      <c r="AL8" s="515">
        <f>SUMIF(AJ15:AJ380,"FAUX",Wh_pvt_s)</f>
        <v>10957.381459224558</v>
      </c>
      <c r="AM8" s="515">
        <f>SUMIF(AK15:AK380,"FAUX",Wh_sa_s)</f>
        <v>11563.108784391099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10957.381459224558</v>
      </c>
      <c r="E9" s="184">
        <f>SUM(E$15:E$380)</f>
        <v>11563.108784391099</v>
      </c>
      <c r="F9" s="184">
        <f>SUM(F$15:F$380)</f>
        <v>11564.828676756535</v>
      </c>
      <c r="H9" s="1275">
        <f>+SUM(Wh)</f>
        <v>10874.365999999996</v>
      </c>
      <c r="I9" s="1276"/>
      <c r="J9" s="1277"/>
      <c r="K9" s="191"/>
      <c r="L9" s="114"/>
      <c r="M9" s="114"/>
      <c r="N9" s="114"/>
      <c r="O9" s="223">
        <f>Tnet_2019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10874.365999999996</v>
      </c>
      <c r="Y9" s="1270"/>
      <c r="Z9" s="515">
        <f>SUM(Z$15:Z$380)</f>
        <v>10957.381459224558</v>
      </c>
      <c r="AA9" s="515">
        <f>SUM(AA$15:AA$380)</f>
        <v>11563.108784391099</v>
      </c>
      <c r="AB9" s="515">
        <f>F9</f>
        <v>11564.828676756535</v>
      </c>
      <c r="AC9" s="325">
        <f>IF(An_Tnet,Tnet,'2018'!Tnet_s)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0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0.40000000000000013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11563.108784391099</v>
      </c>
      <c r="AK10" s="515">
        <f>SUMIF(AK15:AK380,"FAUX",Wh_hp)</f>
        <v>11564.828676756535</v>
      </c>
      <c r="AL10" s="515">
        <f>SUMIF(AJ15:AJ380,"FAUX",Wh_sa_s)</f>
        <v>11563.108784391099</v>
      </c>
      <c r="AM10" s="515">
        <f>SUMIF(AK15:AK380,"FAUX",Wh_hp)</f>
        <v>11564.828676756535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83.01545922456171</v>
      </c>
      <c r="E11" s="51">
        <f>(E$9-D$9)*Prod_an/D$9</f>
        <v>601.13820574501779</v>
      </c>
      <c r="F11" s="186">
        <f>(F$9-E$9)*Prod_an/E$9</f>
        <v>1.617449027860302</v>
      </c>
      <c r="G11" s="185" t="s">
        <v>6</v>
      </c>
      <c r="H11" s="335"/>
      <c r="K11" s="194"/>
      <c r="L11" s="182">
        <f>Tvie_2019</f>
        <v>43313</v>
      </c>
      <c r="M11" s="843"/>
      <c r="N11" s="843"/>
      <c r="O11" s="202">
        <f>IF(An_Tnet,Salim_2019,'2018'!Salim)</f>
        <v>0.17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-0.80071003177673927</v>
      </c>
      <c r="V11" s="427"/>
      <c r="W11" s="518"/>
      <c r="X11" s="525" t="s">
        <v>43</v>
      </c>
      <c r="Y11" s="50">
        <f>Z$9-Prod_an_s</f>
        <v>83.01545922456171</v>
      </c>
      <c r="Z11" s="51">
        <f>(AA$9-Z$9)*Prod_an_s/Z$9</f>
        <v>601.13820574501779</v>
      </c>
      <c r="AA11" s="186">
        <f>(AB$9-AA$9)*Prod_an_s/AA$9</f>
        <v>1.617449027860302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0</v>
      </c>
      <c r="AK11" s="833">
        <f>IF($AK7=0,0,($AK9-$AK7)*$AK5/$AK7)</f>
        <v>0</v>
      </c>
      <c r="AL11" s="832">
        <f>IF($AL7=0,0,($AL9-$AL7)*$AL5/$AL7)</f>
        <v>0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4.4752757469245896E-2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912.5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-1.2007100317767394</v>
      </c>
      <c r="V12" s="517"/>
      <c r="W12" s="504"/>
      <c r="X12" s="505"/>
      <c r="Y12" s="504"/>
      <c r="Z12" s="427"/>
      <c r="AA12" s="427"/>
      <c r="AB12" s="531"/>
      <c r="AC12" s="318" t="b">
        <f>NOT(An_Tnet)</f>
        <v>1</v>
      </c>
      <c r="AD12" s="427"/>
      <c r="AE12" s="296">
        <f>'2018'!Df_s</f>
        <v>0.7</v>
      </c>
      <c r="AF12" s="203"/>
      <c r="AG12" s="203"/>
      <c r="AH12" s="203"/>
      <c r="AI12" s="297">
        <f>'2018'!Hdf_s</f>
        <v>-1.2007100317767394</v>
      </c>
      <c r="AJ12" s="832">
        <f>IF($AJ8=0,0,($AJ10-$AJ8)*$AJ6/$AJ8)</f>
        <v>601.13820574501779</v>
      </c>
      <c r="AK12" s="833">
        <f>IF($AK8=0,0,($AK10-$AK8)*$AK6/$AK8)</f>
        <v>1.617449027860302</v>
      </c>
      <c r="AL12" s="832">
        <f>IF($AL8=0,0,($AL10-$AL8)*$AL6/$AL8)</f>
        <v>601.13820574501779</v>
      </c>
      <c r="AM12" s="833">
        <f>IF($AM8=0,0,($AM10-$AM8)*$AM6/$AM8)</f>
        <v>1.617449027860302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1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601.13820574501779</v>
      </c>
      <c r="AK13" s="73">
        <f>+AK11+AK12</f>
        <v>1.617449027860302</v>
      </c>
      <c r="AL13" s="73">
        <f>+AL11+AL12</f>
        <v>601.13820574501779</v>
      </c>
      <c r="AM13" s="73">
        <f>+AM11+AM12</f>
        <v>1.617449027860302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5">
        <v>1.643</v>
      </c>
      <c r="C15" s="390"/>
      <c r="D15" s="393">
        <f t="shared" ref="D15:D78" si="0">Wh/(1-Ppv)</f>
        <v>1.6488604517380638</v>
      </c>
      <c r="E15" s="385">
        <f t="shared" ref="E15:E79" si="1">Wh_pvt/(1-Psa)</f>
        <v>1.6933230710286837</v>
      </c>
      <c r="F15" s="385">
        <f t="shared" ref="F15:F78" si="2">Wh_sa/(1-Pvg*MEDIAN((-Sdif+Wh/Env_an)/Csdif,0,1))</f>
        <v>1.6933230710286837</v>
      </c>
      <c r="G15" s="110">
        <f>+Wh_hp/MaxiM</f>
        <v>8.5361539393356348E-2</v>
      </c>
      <c r="H15" s="414" t="b">
        <f>Wh_hp&gt;='2018'!Maxi_hp</f>
        <v>1</v>
      </c>
      <c r="I15" s="396">
        <f>IF(H15,Wh_hp,'2018'!Maxi_hp)</f>
        <v>1.6933230710286837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3.5542436183039205E-3</v>
      </c>
      <c r="M15" s="846"/>
      <c r="N15" s="846"/>
      <c r="O15" s="421">
        <f>IF(t&lt;Tnet,'2018'!Resal+('2018'!Salim-'2018'!Resal)*(1-EXP(('2018'!Tnet-t)/('2018'!Tau_j))),Resal+(Salim-Resal)*(1-EXP((Tnet-t)/(Tau_j))))*Salcycl</f>
        <v>2.6257611469032348E-2</v>
      </c>
      <c r="P15" s="302">
        <f>(INDEX(Models!$BJ15:$BT15,,T15)*(1-R15)+INDEX(Models!$BJ15:$BT15,,T15+1)*R15-ERP_i)*Q15*Ramure*Pc/MaxiM</f>
        <v>1.3865843780398894E-4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0.79929092462184403</v>
      </c>
      <c r="S15" s="809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-1.200709075378156</v>
      </c>
      <c r="V15" s="382">
        <f t="shared" ref="V15:V78" si="8">MaxiM*(1-Ppv)*(1-Pvg)*(1-Psa)</f>
        <v>19.244875336849237</v>
      </c>
      <c r="W15" s="422"/>
      <c r="X15" s="423">
        <f t="shared" ref="X15:X78" si="9">t</f>
        <v>43466</v>
      </c>
      <c r="Y15" s="385">
        <f t="shared" ref="Y15:Y78" si="10">Wh_pvt_s*(1-Ppv)</f>
        <v>1.643</v>
      </c>
      <c r="Z15" s="385">
        <f t="shared" ref="Z15:Z78" si="11">Wh_sa_s*(1-Psa_s)</f>
        <v>1.6488604517380638</v>
      </c>
      <c r="AA15" s="386">
        <f t="shared" ref="AA15:AA78" si="12">Wh_hp*(1-Pvg_s*MEDIAN((-Sdif+Wh/Env_an)/Csdif,0,1))</f>
        <v>1.6933230710286837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2.6257611469032348E-2</v>
      </c>
      <c r="AD15" s="231">
        <f>(INDEX(Models!$BJ15:$BT15,,AH15)*(1-AF15)+INDEX(Models!$BJ15:$BT15,,AH15+1)*AF15-ERP_i)*AE15*Ramure*Pc/MaxiM</f>
        <v>1.3865843780398894E-4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0.79929092462184403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-1.200709075378156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6.4939999999999998</v>
      </c>
      <c r="C16" s="390"/>
      <c r="D16" s="393">
        <f t="shared" si="0"/>
        <v>6.5173152545360109</v>
      </c>
      <c r="E16" s="385">
        <f t="shared" si="1"/>
        <v>6.6941348108402225</v>
      </c>
      <c r="F16" s="385">
        <f t="shared" si="2"/>
        <v>6.6941829400072637</v>
      </c>
      <c r="G16" s="110">
        <f>+Wh_hp/MaxiM</f>
        <v>0.33583942037075842</v>
      </c>
      <c r="H16" s="414" t="b">
        <f>Wh_hp&gt;='2018'!Maxi_hp</f>
        <v>1</v>
      </c>
      <c r="I16" s="390">
        <f>IF(H16,Wh_hp,'2018'!Maxi_hp)</f>
        <v>6.6941829400072637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3.5774323667685515E-3</v>
      </c>
      <c r="M16" s="844"/>
      <c r="N16" s="844"/>
      <c r="O16" s="48">
        <f>IF(t&lt;Tnet,'2018'!Resal+('2018'!Salim-'2018'!Resal)*(1-EXP(('2018'!Tnet-t)/('2018'!Tau_j))),Resal+(Salim-Resal)*(1-EXP((Tnet-t)/(Tau_j))))*Salcycl</f>
        <v>2.641410149342624E-2</v>
      </c>
      <c r="P16" s="169">
        <f>(INDEX(Models!$BJ16:$BT16,,T16)*(1-R16)+INDEX(Models!$BJ16:$BT16,,T16+1)*R16-ERP_i)*Q16*Ramure*Pc/MaxiM</f>
        <v>1.4025119874997309E-4</v>
      </c>
      <c r="Q16" s="305">
        <f t="shared" si="4"/>
        <v>0.7</v>
      </c>
      <c r="R16" s="177">
        <f t="shared" si="5"/>
        <v>0.79931429631303952</v>
      </c>
      <c r="S16" s="810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-1.2006857036869605</v>
      </c>
      <c r="V16" s="383">
        <f t="shared" si="8"/>
        <v>19.334049246649304</v>
      </c>
      <c r="W16" s="58"/>
      <c r="X16" s="157">
        <f t="shared" si="9"/>
        <v>43467</v>
      </c>
      <c r="Y16" s="385">
        <f t="shared" si="10"/>
        <v>6.4939999999999998</v>
      </c>
      <c r="Z16" s="385">
        <f t="shared" si="11"/>
        <v>6.5173152545360109</v>
      </c>
      <c r="AA16" s="386">
        <f t="shared" si="12"/>
        <v>6.6941348108402225</v>
      </c>
      <c r="AB16" s="197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2.641410149342624E-2</v>
      </c>
      <c r="AD16" s="231">
        <f>(INDEX(Models!$BJ16:$BT16,,AH16)*(1-AF16)+INDEX(Models!$BJ16:$BT16,,AH16+1)*AF16-ERP_i)*AE16*Ramure*Pc/MaxiM</f>
        <v>1.4025119874997309E-4</v>
      </c>
      <c r="AE16" s="305">
        <f t="shared" si="14"/>
        <v>0.7</v>
      </c>
      <c r="AF16" s="177">
        <f t="shared" si="15"/>
        <v>0.79931429631303952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-1.2006857036869605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6">
        <v>19.096</v>
      </c>
      <c r="C17" s="390"/>
      <c r="D17" s="393">
        <f t="shared" si="0"/>
        <v>19.165005914627649</v>
      </c>
      <c r="E17" s="385">
        <f>Wh_pvt/(1-Psa)</f>
        <v>19.688128671188576</v>
      </c>
      <c r="F17" s="385">
        <f t="shared" si="2"/>
        <v>19.69085653968548</v>
      </c>
      <c r="G17" s="110">
        <f t="shared" ref="G17:G79" si="23">+Wh_hp/MaxiM</f>
        <v>0.98274623565557651</v>
      </c>
      <c r="H17" s="414" t="b">
        <f>Wh_hp&gt;='2018'!Maxi_hp</f>
        <v>1</v>
      </c>
      <c r="I17" s="390">
        <f>IF(H17,Wh_hp,'2018'!Maxi_hp)</f>
        <v>19.69085653968548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3.6006205755970688E-3</v>
      </c>
      <c r="M17" s="844"/>
      <c r="N17" s="844"/>
      <c r="O17" s="48">
        <f>IF(t&lt;Tnet,'2018'!Resal+('2018'!Salim-'2018'!Resal)*(1-EXP(('2018'!Tnet-t)/('2018'!Tau_j))),Resal+(Salim-Resal)*(1-EXP((Tnet-t)/(Tau_j))))*Salcycl</f>
        <v>2.6570466157429154E-2</v>
      </c>
      <c r="P17" s="169">
        <f>(INDEX(Models!$BJ17:$BT17,,T17)*(1-R17)+INDEX(Models!$BJ17:$BT17,,T17+1)*R17-ERP_i)*Q17*Ramure*Pc/MaxiM</f>
        <v>1.4203499475645413E-4</v>
      </c>
      <c r="Q17" s="305">
        <f t="shared" si="4"/>
        <v>0.7</v>
      </c>
      <c r="R17" s="177">
        <f t="shared" si="5"/>
        <v>0.79933864558943113</v>
      </c>
      <c r="S17" s="810">
        <f t="shared" si="6"/>
        <v>-2</v>
      </c>
      <c r="T17" s="176">
        <f t="shared" si="7"/>
        <v>4</v>
      </c>
      <c r="U17" s="251">
        <f t="shared" si="21"/>
        <v>-1.2006613544105689</v>
      </c>
      <c r="V17" s="383">
        <f t="shared" si="8"/>
        <v>19.431194399759807</v>
      </c>
      <c r="W17" s="58"/>
      <c r="X17" s="157">
        <f t="shared" si="9"/>
        <v>43468</v>
      </c>
      <c r="Y17" s="385">
        <f t="shared" si="10"/>
        <v>19.096</v>
      </c>
      <c r="Z17" s="385">
        <f t="shared" si="11"/>
        <v>19.165005914627649</v>
      </c>
      <c r="AA17" s="386">
        <f t="shared" si="12"/>
        <v>19.688128671188576</v>
      </c>
      <c r="AB17" s="197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2.6570466157429154E-2</v>
      </c>
      <c r="AD17" s="231">
        <f>(INDEX(Models!$BJ17:$BT17,,AH17)*(1-AF17)+INDEX(Models!$BJ17:$BT17,,AH17+1)*AF17-ERP_i)*AE17*Ramure*Pc/MaxiM</f>
        <v>1.4203499475645413E-4</v>
      </c>
      <c r="AE17" s="305">
        <f t="shared" si="14"/>
        <v>0.7</v>
      </c>
      <c r="AF17" s="177">
        <f t="shared" si="15"/>
        <v>0.79933864558943113</v>
      </c>
      <c r="AG17" s="176">
        <f t="shared" si="16"/>
        <v>-2</v>
      </c>
      <c r="AH17" s="176">
        <f t="shared" si="17"/>
        <v>4</v>
      </c>
      <c r="AI17" s="225">
        <f t="shared" si="22"/>
        <v>-1.2006613544105689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6">
        <v>19.411000000000001</v>
      </c>
      <c r="C18" s="390"/>
      <c r="D18" s="393">
        <f t="shared" si="0"/>
        <v>19.481597573910253</v>
      </c>
      <c r="E18" s="385">
        <f>Wh_pvt/(1-Psa)</f>
        <v>20.016574566938868</v>
      </c>
      <c r="F18" s="385">
        <f t="shared" si="2"/>
        <v>20.019430838359703</v>
      </c>
      <c r="G18" s="110">
        <f>+Wh_hp/MaxiM</f>
        <v>0.99355614353869348</v>
      </c>
      <c r="H18" s="414" t="b">
        <f>Wh_hp&gt;='2018'!Maxi_hp</f>
        <v>1</v>
      </c>
      <c r="I18" s="390">
        <f>IF(H18,Wh_hp,'2018'!Maxi_hp)</f>
        <v>20.019430838359703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3.6238082448020181E-3</v>
      </c>
      <c r="M18" s="844"/>
      <c r="N18" s="844"/>
      <c r="O18" s="48">
        <f>IF(t&lt;Tnet,'2018'!Resal+('2018'!Salim-'2018'!Resal)*(1-EXP(('2018'!Tnet-t)/('2018'!Tau_j))),Resal+(Salim-Resal)*(1-EXP((Tnet-t)/(Tau_j))))*Salcycl</f>
        <v>2.6726700477124971E-2</v>
      </c>
      <c r="P18" s="169">
        <f>(INDEX(Models!$BJ18:$BT18,,T18)*(1-R18)+INDEX(Models!$BJ18:$BT18,,T18+1)*R18-ERP_i)*Q18*Ramure*Pc/MaxiM</f>
        <v>1.4400028133921538E-4</v>
      </c>
      <c r="Q18" s="305">
        <f>IF(OR(t&lt;Ttai,Notai),Dd+PousD*Croivg,Dens+PousD*(Croivg-Croi_tai))</f>
        <v>0.7</v>
      </c>
      <c r="R18" s="177">
        <f t="shared" si="5"/>
        <v>0.79936401321446726</v>
      </c>
      <c r="S18" s="810">
        <f t="shared" si="6"/>
        <v>-2</v>
      </c>
      <c r="T18" s="176">
        <f t="shared" si="7"/>
        <v>4</v>
      </c>
      <c r="U18" s="251">
        <f t="shared" si="21"/>
        <v>-1.2006359867855327</v>
      </c>
      <c r="V18" s="383">
        <f t="shared" si="8"/>
        <v>19.536867037337739</v>
      </c>
      <c r="W18" s="58"/>
      <c r="X18" s="157">
        <f t="shared" si="9"/>
        <v>43469</v>
      </c>
      <c r="Y18" s="385">
        <f t="shared" si="10"/>
        <v>19.411000000000001</v>
      </c>
      <c r="Z18" s="385">
        <f>Wh_sa_s*(1-Psa_s)</f>
        <v>19.481597573910253</v>
      </c>
      <c r="AA18" s="386">
        <f t="shared" si="12"/>
        <v>20.016574566938868</v>
      </c>
      <c r="AB18" s="197">
        <f>t</f>
        <v>43469</v>
      </c>
      <c r="AC18" s="425">
        <f>IF(OR(t&lt;Tnet,NoTnet),'2018'!Resal_s+('2018'!Salim-'2018'!Resal_s)*(1-EXP(('2018'!Tnet_s-t)/'2018'!Tau_j)),Resal_s+(Salim-Resal_s)*(1-EXP((Tnet_s-t)/Tau_j)))*Salcycl</f>
        <v>2.6726700477124971E-2</v>
      </c>
      <c r="AD18" s="231">
        <f>(INDEX(Models!$BJ18:$BT18,,AH18)*(1-AF18)+INDEX(Models!$BJ18:$BT18,,AH18+1)*AF18-ERP_i)*AE18*Ramure*Pc/MaxiM</f>
        <v>1.4400028133921538E-4</v>
      </c>
      <c r="AE18" s="305">
        <f t="shared" si="14"/>
        <v>0.7</v>
      </c>
      <c r="AF18" s="177">
        <f t="shared" si="15"/>
        <v>0.79936401321446726</v>
      </c>
      <c r="AG18" s="176">
        <f t="shared" si="16"/>
        <v>-2</v>
      </c>
      <c r="AH18" s="176">
        <f t="shared" si="17"/>
        <v>4</v>
      </c>
      <c r="AI18" s="225">
        <f t="shared" si="22"/>
        <v>-1.2006359867855327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6">
        <v>19.122</v>
      </c>
      <c r="C19" s="390"/>
      <c r="D19" s="393">
        <f t="shared" si="0"/>
        <v>19.191993110097972</v>
      </c>
      <c r="E19" s="385">
        <f>Wh_pvt/(1-Psa)</f>
        <v>19.722180547907293</v>
      </c>
      <c r="F19" s="385">
        <f t="shared" si="2"/>
        <v>19.724952113879578</v>
      </c>
      <c r="G19" s="110">
        <f>+Wh_hp/MaxiM</f>
        <v>0.97304392689398722</v>
      </c>
      <c r="H19" s="414" t="b">
        <f>Wh_hp&gt;='2018'!Maxi_hp</f>
        <v>1</v>
      </c>
      <c r="I19" s="390">
        <f>IF(H19,Wh_hp,'2018'!Maxi_hp)</f>
        <v>19.724952113879578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3.6469953743961669E-3</v>
      </c>
      <c r="M19" s="844"/>
      <c r="N19" s="844"/>
      <c r="O19" s="48">
        <f>IF(t&lt;Tnet,'2018'!Resal+('2018'!Salim-'2018'!Resal)*(1-EXP(('2018'!Tnet-t)/('2018'!Tau_j))),Resal+(Salim-Resal)*(1-EXP((Tnet-t)/(Tau_j))))*Salcycl</f>
        <v>2.6882800130616349E-2</v>
      </c>
      <c r="P19" s="169">
        <f>(INDEX(Models!$BJ19:$BT19,,T19)*(1-R19)+INDEX(Models!$BJ19:$BT19,,T19+1)*R19-ERP_i)*Q19*Ramure*Pc/MaxiM</f>
        <v>1.4613705805569015E-4</v>
      </c>
      <c r="Q19" s="305">
        <f t="shared" si="4"/>
        <v>0.7</v>
      </c>
      <c r="R19" s="177">
        <f t="shared" si="5"/>
        <v>0.79939044164051665</v>
      </c>
      <c r="S19" s="810">
        <f t="shared" si="6"/>
        <v>-2</v>
      </c>
      <c r="T19" s="176">
        <f t="shared" si="7"/>
        <v>4</v>
      </c>
      <c r="U19" s="251">
        <f t="shared" si="21"/>
        <v>-1.2006095583594834</v>
      </c>
      <c r="V19" s="383">
        <f t="shared" si="8"/>
        <v>19.651622982602177</v>
      </c>
      <c r="W19" s="58"/>
      <c r="X19" s="157">
        <f t="shared" si="9"/>
        <v>43470</v>
      </c>
      <c r="Y19" s="385">
        <f t="shared" si="10"/>
        <v>19.122</v>
      </c>
      <c r="Z19" s="385">
        <f t="shared" si="11"/>
        <v>19.191993110097972</v>
      </c>
      <c r="AA19" s="386">
        <f t="shared" si="12"/>
        <v>19.722180547907293</v>
      </c>
      <c r="AB19" s="197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2.6882800130616349E-2</v>
      </c>
      <c r="AD19" s="231">
        <f>(INDEX(Models!$BJ19:$BT19,,AH19)*(1-AF19)+INDEX(Models!$BJ19:$BT19,,AH19+1)*AF19-ERP_i)*AE19*Ramure*Pc/MaxiM</f>
        <v>1.4613705805569015E-4</v>
      </c>
      <c r="AE19" s="305">
        <f t="shared" si="14"/>
        <v>0.7</v>
      </c>
      <c r="AF19" s="177">
        <f t="shared" si="15"/>
        <v>0.79939044164051665</v>
      </c>
      <c r="AG19" s="176">
        <f t="shared" si="16"/>
        <v>-2</v>
      </c>
      <c r="AH19" s="176">
        <f t="shared" si="17"/>
        <v>4</v>
      </c>
      <c r="AI19" s="225">
        <f t="shared" si="22"/>
        <v>-1.2006095583594834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6">
        <v>4.2949999999999999</v>
      </c>
      <c r="C20" s="390"/>
      <c r="D20" s="393">
        <f t="shared" si="0"/>
        <v>4.3108214993185117</v>
      </c>
      <c r="E20" s="385">
        <f t="shared" si="1"/>
        <v>4.4306199759488258</v>
      </c>
      <c r="F20" s="385">
        <f t="shared" si="2"/>
        <v>4.4306199759488258</v>
      </c>
      <c r="G20" s="110">
        <f t="shared" si="23"/>
        <v>0.21715001216569538</v>
      </c>
      <c r="H20" s="414" t="b">
        <f>Wh_hp&gt;='2018'!Maxi_hp</f>
        <v>1</v>
      </c>
      <c r="I20" s="390">
        <f>IF(H20,Wh_hp,'2018'!Maxi_hp)</f>
        <v>4.4306199759488258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3.6701819643918387E-3</v>
      </c>
      <c r="M20" s="844"/>
      <c r="N20" s="844"/>
      <c r="O20" s="48">
        <f>IF(t&lt;Tnet,'2018'!Resal+('2018'!Salim-'2018'!Resal)*(1-EXP(('2018'!Tnet-t)/('2018'!Tau_j))),Resal+(Salim-Resal)*(1-EXP((Tnet-t)/(Tau_j))))*Salcycl</f>
        <v>2.7038761455649079E-2</v>
      </c>
      <c r="P20" s="169">
        <f>(INDEX(Models!$BJ20:$BT20,,T20)*(1-R20)+INDEX(Models!$BJ20:$BT20,,T20+1)*R20-ERP_i)*Q20*Ramure*Pc/MaxiM</f>
        <v>1.4843486756220068E-4</v>
      </c>
      <c r="Q20" s="305">
        <f t="shared" si="4"/>
        <v>0.7</v>
      </c>
      <c r="R20" s="177">
        <f t="shared" si="5"/>
        <v>0.79941797507791712</v>
      </c>
      <c r="S20" s="810">
        <f t="shared" si="6"/>
        <v>-2</v>
      </c>
      <c r="T20" s="176">
        <f t="shared" si="7"/>
        <v>4</v>
      </c>
      <c r="U20" s="251">
        <f t="shared" si="21"/>
        <v>-1.2005820249220829</v>
      </c>
      <c r="V20" s="383">
        <f t="shared" si="8"/>
        <v>19.776017645198316</v>
      </c>
      <c r="W20" s="58"/>
      <c r="X20" s="157">
        <f t="shared" si="9"/>
        <v>43471</v>
      </c>
      <c r="Y20" s="385">
        <f t="shared" si="10"/>
        <v>4.2949999999999999</v>
      </c>
      <c r="Z20" s="385">
        <f t="shared" si="11"/>
        <v>4.3108214993185117</v>
      </c>
      <c r="AA20" s="386">
        <f t="shared" si="12"/>
        <v>4.4306199759488258</v>
      </c>
      <c r="AB20" s="197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2.7038761455649079E-2</v>
      </c>
      <c r="AD20" s="231">
        <f>(INDEX(Models!$BJ20:$BT20,,AH20)*(1-AF20)+INDEX(Models!$BJ20:$BT20,,AH20+1)*AF20-ERP_i)*AE20*Ramure*Pc/MaxiM</f>
        <v>1.4843486756220068E-4</v>
      </c>
      <c r="AE20" s="305">
        <f>IF(OR(t&lt;Ttai,Notai),Dd_s+PousD*Croivg,Dens_s+PousD*(Croivg-Croi_tai))</f>
        <v>0.7</v>
      </c>
      <c r="AF20" s="177">
        <f t="shared" si="15"/>
        <v>0.79941797507791712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-1.2005820249220829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6">
        <v>2.5419999999999998</v>
      </c>
      <c r="C21" s="390"/>
      <c r="D21" s="393">
        <f t="shared" si="0"/>
        <v>2.5514233453760298</v>
      </c>
      <c r="E21" s="385">
        <f t="shared" si="1"/>
        <v>2.6227478760896061</v>
      </c>
      <c r="F21" s="385">
        <f t="shared" si="2"/>
        <v>2.6227478760896061</v>
      </c>
      <c r="G21" s="110">
        <f t="shared" si="23"/>
        <v>0.12765138606662679</v>
      </c>
      <c r="H21" s="414" t="b">
        <f>Wh_hp&gt;='2018'!Maxi_hp</f>
        <v>1</v>
      </c>
      <c r="I21" s="390">
        <f>IF(H21,Wh_hp,'2018'!Maxi_hp)</f>
        <v>2.6227478760896061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3.6933680148016901E-3</v>
      </c>
      <c r="M21" s="844"/>
      <c r="N21" s="844"/>
      <c r="O21" s="48">
        <f>IF(t&lt;Tnet,'2018'!Resal+('2018'!Salim-'2018'!Resal)*(1-EXP(('2018'!Tnet-t)/('2018'!Tau_j))),Resal+(Salim-Resal)*(1-EXP((Tnet-t)/(Tau_j))))*Salcycl</f>
        <v>2.7194581440255713E-2</v>
      </c>
      <c r="P21" s="169">
        <f>(INDEX(Models!$BJ21:$BT21,,T21)*(1-R21)+INDEX(Models!$BJ21:$BT21,,T21+1)*R21-ERP_i)*Q21*Ramure*Pc/MaxiM</f>
        <v>1.5088280419326151E-4</v>
      </c>
      <c r="Q21" s="305">
        <f t="shared" si="4"/>
        <v>0.7</v>
      </c>
      <c r="R21" s="177">
        <f t="shared" si="5"/>
        <v>0.79944665956676775</v>
      </c>
      <c r="S21" s="810">
        <f t="shared" si="6"/>
        <v>-2</v>
      </c>
      <c r="T21" s="176">
        <f t="shared" si="7"/>
        <v>4</v>
      </c>
      <c r="U21" s="251">
        <f t="shared" si="21"/>
        <v>-1.2005533404332323</v>
      </c>
      <c r="V21" s="383">
        <f t="shared" si="8"/>
        <v>19.910606020252384</v>
      </c>
      <c r="W21" s="58"/>
      <c r="X21" s="157">
        <f t="shared" si="9"/>
        <v>43472</v>
      </c>
      <c r="Y21" s="385">
        <f t="shared" si="10"/>
        <v>2.5419999999999998</v>
      </c>
      <c r="Z21" s="385">
        <f t="shared" si="11"/>
        <v>2.5514233453760298</v>
      </c>
      <c r="AA21" s="386">
        <f t="shared" si="12"/>
        <v>2.6227478760896061</v>
      </c>
      <c r="AB21" s="197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2.7194581440255713E-2</v>
      </c>
      <c r="AD21" s="231">
        <f>(INDEX(Models!$BJ21:$BT21,,AH21)*(1-AF21)+INDEX(Models!$BJ21:$BT21,,AH21+1)*AF21-ERP_i)*AE21*Ramure*Pc/MaxiM</f>
        <v>1.5088280419326151E-4</v>
      </c>
      <c r="AE21" s="305">
        <f t="shared" si="14"/>
        <v>0.7</v>
      </c>
      <c r="AF21" s="177">
        <f t="shared" si="15"/>
        <v>0.79944665956676775</v>
      </c>
      <c r="AG21" s="176">
        <f t="shared" si="16"/>
        <v>-2</v>
      </c>
      <c r="AH21" s="176">
        <f t="shared" si="17"/>
        <v>4</v>
      </c>
      <c r="AI21" s="225">
        <f t="shared" si="22"/>
        <v>-1.2005533404332323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6">
        <v>4.13</v>
      </c>
      <c r="C22" s="390"/>
      <c r="D22" s="393">
        <f t="shared" si="0"/>
        <v>4.1454066256096134</v>
      </c>
      <c r="E22" s="385">
        <f t="shared" si="1"/>
        <v>4.2619726766550583</v>
      </c>
      <c r="F22" s="385">
        <f t="shared" si="2"/>
        <v>4.2619726766550583</v>
      </c>
      <c r="G22" s="110">
        <f t="shared" si="23"/>
        <v>0.20589239983840862</v>
      </c>
      <c r="H22" s="414" t="b">
        <f>Wh_hp&gt;='2018'!Maxi_hp</f>
        <v>1</v>
      </c>
      <c r="I22" s="390">
        <f>IF(H22,Wh_hp,'2018'!Maxi_hp)</f>
        <v>4.2619726766550583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3.7165535256382665E-3</v>
      </c>
      <c r="M22" s="844"/>
      <c r="N22" s="844"/>
      <c r="O22" s="48">
        <f>IF(t&lt;Tnet,'2018'!Resal+('2018'!Salim-'2018'!Resal)*(1-EXP(('2018'!Tnet-t)/('2018'!Tau_j))),Resal+(Salim-Resal)*(1-EXP((Tnet-t)/(Tau_j))))*Salcycl</f>
        <v>2.735025770670365E-2</v>
      </c>
      <c r="P22" s="169">
        <f>(INDEX(Models!$BJ22:$BT22,,T22)*(1-R22)+INDEX(Models!$BJ22:$BT22,,T22+1)*R22-ERP_i)*Q22*Ramure*Pc/MaxiM</f>
        <v>1.5346953191801079E-4</v>
      </c>
      <c r="Q22" s="305">
        <f t="shared" si="4"/>
        <v>0.7</v>
      </c>
      <c r="R22" s="177">
        <f t="shared" si="5"/>
        <v>0.79947654305156535</v>
      </c>
      <c r="S22" s="810">
        <f t="shared" si="6"/>
        <v>-2</v>
      </c>
      <c r="T22" s="176">
        <f t="shared" si="7"/>
        <v>4</v>
      </c>
      <c r="U22" s="251">
        <f t="shared" si="21"/>
        <v>-1.2005234569484347</v>
      </c>
      <c r="V22" s="383">
        <f t="shared" si="8"/>
        <v>20.055942686927956</v>
      </c>
      <c r="W22" s="58"/>
      <c r="X22" s="157">
        <f t="shared" si="9"/>
        <v>43473</v>
      </c>
      <c r="Y22" s="385">
        <f t="shared" si="10"/>
        <v>4.13</v>
      </c>
      <c r="Z22" s="385">
        <f t="shared" si="11"/>
        <v>4.1454066256096134</v>
      </c>
      <c r="AA22" s="386">
        <f t="shared" si="12"/>
        <v>4.2619726766550583</v>
      </c>
      <c r="AB22" s="197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2.735025770670365E-2</v>
      </c>
      <c r="AD22" s="231">
        <f>(INDEX(Models!$BJ22:$BT22,,AH22)*(1-AF22)+INDEX(Models!$BJ22:$BT22,,AH22+1)*AF22-ERP_i)*AE22*Ramure*Pc/MaxiM</f>
        <v>1.5346953191801079E-4</v>
      </c>
      <c r="AE22" s="305">
        <f t="shared" si="14"/>
        <v>0.7</v>
      </c>
      <c r="AF22" s="177">
        <f t="shared" si="15"/>
        <v>0.79947654305156535</v>
      </c>
      <c r="AG22" s="176">
        <f t="shared" si="16"/>
        <v>-2</v>
      </c>
      <c r="AH22" s="176">
        <f t="shared" si="17"/>
        <v>4</v>
      </c>
      <c r="AI22" s="225">
        <f t="shared" si="22"/>
        <v>-1.2005234569484347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6">
        <v>10.311</v>
      </c>
      <c r="C23" s="390"/>
      <c r="D23" s="393">
        <f t="shared" si="0"/>
        <v>10.34970519093425</v>
      </c>
      <c r="E23" s="385">
        <f t="shared" si="1"/>
        <v>10.642433721898017</v>
      </c>
      <c r="F23" s="385">
        <f t="shared" si="2"/>
        <v>10.642932742498182</v>
      </c>
      <c r="G23" s="110">
        <f t="shared" si="23"/>
        <v>0.51008474025356676</v>
      </c>
      <c r="H23" s="414" t="b">
        <f>Wh_hp&gt;='2018'!Maxi_hp</f>
        <v>1</v>
      </c>
      <c r="I23" s="390">
        <f>IF(H23,Wh_hp,'2018'!Maxi_hp)</f>
        <v>10.642932742498182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3.7397384969142244E-3</v>
      </c>
      <c r="M23" s="844"/>
      <c r="N23" s="844"/>
      <c r="O23" s="48">
        <f>IF(t&lt;Tnet,'2018'!Resal+('2018'!Salim-'2018'!Resal)*(1-EXP(('2018'!Tnet-t)/('2018'!Tau_j))),Resal+(Salim-Resal)*(1-EXP((Tnet-t)/(Tau_j))))*Salcycl</f>
        <v>2.7505788489097644E-2</v>
      </c>
      <c r="P23" s="169">
        <f>(INDEX(Models!$BJ23:$BT23,,T23)*(1-R23)+INDEX(Models!$BJ23:$BT23,,T23+1)*R23-ERP_i)*Q23*Ramure*Pc/MaxiM</f>
        <v>1.5618719776492923E-4</v>
      </c>
      <c r="Q23" s="305">
        <f t="shared" si="4"/>
        <v>0.7</v>
      </c>
      <c r="R23" s="177">
        <f t="shared" si="5"/>
        <v>0.79950767545879353</v>
      </c>
      <c r="S23" s="810">
        <f t="shared" si="6"/>
        <v>-2</v>
      </c>
      <c r="T23" s="176">
        <f t="shared" si="7"/>
        <v>4</v>
      </c>
      <c r="U23" s="251">
        <f t="shared" si="21"/>
        <v>-1.2004923245412065</v>
      </c>
      <c r="V23" s="383">
        <f t="shared" si="8"/>
        <v>20.212078787017628</v>
      </c>
      <c r="W23" s="58"/>
      <c r="X23" s="157">
        <f t="shared" si="9"/>
        <v>43474</v>
      </c>
      <c r="Y23" s="385">
        <f t="shared" si="10"/>
        <v>10.311</v>
      </c>
      <c r="Z23" s="385">
        <f t="shared" si="11"/>
        <v>10.34970519093425</v>
      </c>
      <c r="AA23" s="386">
        <f t="shared" si="12"/>
        <v>10.642433721898017</v>
      </c>
      <c r="AB23" s="197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2.7505788489097644E-2</v>
      </c>
      <c r="AD23" s="231">
        <f>(INDEX(Models!$BJ23:$BT23,,AH23)*(1-AF23)+INDEX(Models!$BJ23:$BT23,,AH23+1)*AF23-ERP_i)*AE23*Ramure*Pc/MaxiM</f>
        <v>1.5618719776492923E-4</v>
      </c>
      <c r="AE23" s="305">
        <f t="shared" si="14"/>
        <v>0.7</v>
      </c>
      <c r="AF23" s="177">
        <f t="shared" si="15"/>
        <v>0.79950767545879353</v>
      </c>
      <c r="AG23" s="176">
        <f t="shared" si="16"/>
        <v>-2</v>
      </c>
      <c r="AH23" s="176">
        <f t="shared" si="17"/>
        <v>4</v>
      </c>
      <c r="AI23" s="225">
        <f t="shared" si="22"/>
        <v>-1.2004923245412065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6">
        <v>10.057</v>
      </c>
      <c r="C24" s="390"/>
      <c r="D24" s="393">
        <f t="shared" si="0"/>
        <v>10.094986656755038</v>
      </c>
      <c r="E24" s="385">
        <f t="shared" si="1"/>
        <v>10.382169643272455</v>
      </c>
      <c r="F24" s="385">
        <f t="shared" si="2"/>
        <v>10.382626561505731</v>
      </c>
      <c r="G24" s="110">
        <f t="shared" si="23"/>
        <v>0.49345627281828019</v>
      </c>
      <c r="H24" s="414" t="b">
        <f>Wh_hp&gt;='2018'!Maxi_hp</f>
        <v>1</v>
      </c>
      <c r="I24" s="390">
        <f>IF(H24,Wh_hp,'2018'!Maxi_hp)</f>
        <v>10.382626561505731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3.7629229286418875E-3</v>
      </c>
      <c r="M24" s="844"/>
      <c r="N24" s="844"/>
      <c r="O24" s="48">
        <f>IF(t&lt;Tnet,'2018'!Resal+('2018'!Salim-'2018'!Resal)*(1-EXP(('2018'!Tnet-t)/('2018'!Tau_j))),Resal+(Salim-Resal)*(1-EXP((Tnet-t)/(Tau_j))))*Salcycl</f>
        <v>2.7661172605044942E-2</v>
      </c>
      <c r="P24" s="169">
        <f>(INDEX(Models!$BJ24:$BT24,,T24)*(1-R24)+INDEX(Models!$BJ24:$BT24,,T24+1)*R24-ERP_i)*Q24*Ramure*Pc/MaxiM</f>
        <v>1.5919113554223012E-4</v>
      </c>
      <c r="Q24" s="305">
        <f t="shared" si="4"/>
        <v>0.7</v>
      </c>
      <c r="R24" s="177">
        <f t="shared" si="5"/>
        <v>0.79954010877756909</v>
      </c>
      <c r="S24" s="810">
        <f t="shared" si="6"/>
        <v>-2</v>
      </c>
      <c r="T24" s="176">
        <f t="shared" si="7"/>
        <v>4</v>
      </c>
      <c r="U24" s="251">
        <f t="shared" si="21"/>
        <v>-1.2004598912224309</v>
      </c>
      <c r="V24" s="383">
        <f t="shared" si="8"/>
        <v>20.378384277919711</v>
      </c>
      <c r="W24" s="58"/>
      <c r="X24" s="157">
        <f t="shared" si="9"/>
        <v>43475</v>
      </c>
      <c r="Y24" s="385">
        <f t="shared" si="10"/>
        <v>10.057</v>
      </c>
      <c r="Z24" s="385">
        <f t="shared" si="11"/>
        <v>10.094986656755038</v>
      </c>
      <c r="AA24" s="386">
        <f t="shared" si="12"/>
        <v>10.382169643272455</v>
      </c>
      <c r="AB24" s="197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2.7661172605044942E-2</v>
      </c>
      <c r="AD24" s="231">
        <f>(INDEX(Models!$BJ24:$BT24,,AH24)*(1-AF24)+INDEX(Models!$BJ24:$BT24,,AH24+1)*AF24-ERP_i)*AE24*Ramure*Pc/MaxiM</f>
        <v>1.5919113554223012E-4</v>
      </c>
      <c r="AE24" s="305">
        <f t="shared" si="14"/>
        <v>0.7</v>
      </c>
      <c r="AF24" s="177">
        <f t="shared" si="15"/>
        <v>0.79954010877756909</v>
      </c>
      <c r="AG24" s="176">
        <f t="shared" si="16"/>
        <v>-2</v>
      </c>
      <c r="AH24" s="176">
        <f t="shared" si="17"/>
        <v>4</v>
      </c>
      <c r="AI24" s="225">
        <f t="shared" si="22"/>
        <v>-1.2004598912224309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6">
        <v>19.044</v>
      </c>
      <c r="C25" s="390"/>
      <c r="D25" s="393">
        <f t="shared" si="0"/>
        <v>19.116376644001488</v>
      </c>
      <c r="E25" s="385">
        <f t="shared" si="1"/>
        <v>19.663340164621673</v>
      </c>
      <c r="F25" s="385">
        <f t="shared" si="2"/>
        <v>19.666197447917337</v>
      </c>
      <c r="G25" s="110">
        <f t="shared" si="23"/>
        <v>0.92650117285590894</v>
      </c>
      <c r="H25" s="414" t="b">
        <f>Wh_hp&gt;='2018'!Maxi_hp</f>
        <v>1</v>
      </c>
      <c r="I25" s="390">
        <f>IF(H25,Wh_hp,'2018'!Maxi_hp)</f>
        <v>19.666197447917337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3.7861068208341342E-3</v>
      </c>
      <c r="M25" s="844"/>
      <c r="N25" s="844"/>
      <c r="O25" s="48">
        <f>IF(t&lt;Tnet,'2018'!Resal+('2018'!Salim-'2018'!Resal)*(1-EXP(('2018'!Tnet-t)/('2018'!Tau_j))),Resal+(Salim-Resal)*(1-EXP((Tnet-t)/(Tau_j))))*Salcycl</f>
        <v>2.7816409421848001E-2</v>
      </c>
      <c r="P25" s="169">
        <f>(INDEX(Models!$BJ25:$BT25,,T25)*(1-R25)+INDEX(Models!$BJ25:$BT25,,T25+1)*R25-ERP_i)*Q25*Ramure*Pc/MaxiM</f>
        <v>1.623297473007514E-4</v>
      </c>
      <c r="Q25" s="305">
        <f t="shared" si="4"/>
        <v>0.7</v>
      </c>
      <c r="R25" s="177">
        <f t="shared" si="5"/>
        <v>0.79957389714346205</v>
      </c>
      <c r="S25" s="810">
        <f t="shared" si="6"/>
        <v>-2</v>
      </c>
      <c r="T25" s="176">
        <f t="shared" si="7"/>
        <v>4</v>
      </c>
      <c r="U25" s="251">
        <f t="shared" si="21"/>
        <v>-1.2004261028565379</v>
      </c>
      <c r="V25" s="383">
        <f t="shared" si="8"/>
        <v>20.554399700595294</v>
      </c>
      <c r="W25" s="58"/>
      <c r="X25" s="157">
        <f t="shared" si="9"/>
        <v>43476</v>
      </c>
      <c r="Y25" s="385">
        <f t="shared" si="10"/>
        <v>19.044</v>
      </c>
      <c r="Z25" s="385">
        <f t="shared" si="11"/>
        <v>19.116376644001488</v>
      </c>
      <c r="AA25" s="386">
        <f t="shared" si="12"/>
        <v>19.663340164621673</v>
      </c>
      <c r="AB25" s="197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2.7816409421848001E-2</v>
      </c>
      <c r="AD25" s="231">
        <f>(INDEX(Models!$BJ25:$BT25,,AH25)*(1-AF25)+INDEX(Models!$BJ25:$BT25,,AH25+1)*AF25-ERP_i)*AE25*Ramure*Pc/MaxiM</f>
        <v>1.623297473007514E-4</v>
      </c>
      <c r="AE25" s="305">
        <f t="shared" si="14"/>
        <v>0.7</v>
      </c>
      <c r="AF25" s="177">
        <f t="shared" si="15"/>
        <v>0.79957389714346205</v>
      </c>
      <c r="AG25" s="176">
        <f t="shared" si="16"/>
        <v>-2</v>
      </c>
      <c r="AH25" s="176">
        <f t="shared" si="17"/>
        <v>4</v>
      </c>
      <c r="AI25" s="225">
        <f t="shared" si="22"/>
        <v>-1.2004261028565379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6">
        <v>9.016</v>
      </c>
      <c r="C26" s="390"/>
      <c r="D26" s="393">
        <f t="shared" si="0"/>
        <v>9.0504758888689967</v>
      </c>
      <c r="E26" s="385">
        <f t="shared" si="1"/>
        <v>9.3109161694961102</v>
      </c>
      <c r="F26" s="385">
        <f t="shared" si="2"/>
        <v>9.3112129293037622</v>
      </c>
      <c r="G26" s="110">
        <f t="shared" si="23"/>
        <v>0.43466445357594746</v>
      </c>
      <c r="H26" s="414" t="b">
        <f>Wh_hp&gt;='2018'!Maxi_hp</f>
        <v>1</v>
      </c>
      <c r="I26" s="390">
        <f>IF(H26,Wh_hp,'2018'!Maxi_hp)</f>
        <v>9.3112129293037622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3.809290173503177E-3</v>
      </c>
      <c r="M26" s="844"/>
      <c r="N26" s="844"/>
      <c r="O26" s="48">
        <f>IF(t&lt;Tnet,'2018'!Resal+('2018'!Salim-'2018'!Resal)*(1-EXP(('2018'!Tnet-t)/('2018'!Tau_j))),Resal+(Salim-Resal)*(1-EXP((Tnet-t)/(Tau_j))))*Salcycl</f>
        <v>2.7971498817737504E-2</v>
      </c>
      <c r="P26" s="169">
        <f>(INDEX(Models!$BJ26:$BT26,,T26)*(1-R26)+INDEX(Models!$BJ26:$BT26,,T26+1)*R26-ERP_i)*Q26*Ramure*Pc/MaxiM</f>
        <v>1.6559851588032165E-4</v>
      </c>
      <c r="Q26" s="305">
        <f t="shared" si="4"/>
        <v>0.7</v>
      </c>
      <c r="R26" s="177">
        <f t="shared" si="5"/>
        <v>0.79960909692559889</v>
      </c>
      <c r="S26" s="810">
        <f t="shared" si="6"/>
        <v>-2</v>
      </c>
      <c r="T26" s="176">
        <f t="shared" si="7"/>
        <v>4</v>
      </c>
      <c r="U26" s="251">
        <f t="shared" si="21"/>
        <v>-1.2003909030744011</v>
      </c>
      <c r="V26" s="383">
        <f t="shared" si="8"/>
        <v>20.739662979563899</v>
      </c>
      <c r="W26" s="58"/>
      <c r="X26" s="157">
        <f t="shared" si="9"/>
        <v>43477</v>
      </c>
      <c r="Y26" s="385">
        <f t="shared" si="10"/>
        <v>9.016</v>
      </c>
      <c r="Z26" s="385">
        <f t="shared" si="11"/>
        <v>9.0504758888689967</v>
      </c>
      <c r="AA26" s="386">
        <f t="shared" si="12"/>
        <v>9.3109161694961102</v>
      </c>
      <c r="AB26" s="197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2.7971498817737504E-2</v>
      </c>
      <c r="AD26" s="231">
        <f>(INDEX(Models!$BJ26:$BT26,,AH26)*(1-AF26)+INDEX(Models!$BJ26:$BT26,,AH26+1)*AF26-ERP_i)*AE26*Ramure*Pc/MaxiM</f>
        <v>1.6559851588032165E-4</v>
      </c>
      <c r="AE26" s="305">
        <f t="shared" si="14"/>
        <v>0.7</v>
      </c>
      <c r="AF26" s="177">
        <f t="shared" si="15"/>
        <v>0.79960909692559889</v>
      </c>
      <c r="AG26" s="176">
        <f t="shared" si="16"/>
        <v>-2</v>
      </c>
      <c r="AH26" s="176">
        <f t="shared" si="17"/>
        <v>4</v>
      </c>
      <c r="AI26" s="225">
        <f t="shared" si="22"/>
        <v>-1.2003909030744011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6">
        <v>3.7240000000000002</v>
      </c>
      <c r="C27" s="390"/>
      <c r="D27" s="393">
        <f t="shared" si="0"/>
        <v>3.7383270373860897</v>
      </c>
      <c r="E27" s="385">
        <f t="shared" si="1"/>
        <v>3.8465158387127345</v>
      </c>
      <c r="F27" s="385">
        <f t="shared" si="2"/>
        <v>3.8465158387127345</v>
      </c>
      <c r="G27" s="110">
        <f t="shared" si="23"/>
        <v>0.17786480504905922</v>
      </c>
      <c r="H27" s="414" t="b">
        <f>Wh_hp&gt;='2018'!Maxi_hp</f>
        <v>1</v>
      </c>
      <c r="I27" s="390">
        <f>IF(H27,Wh_hp,'2018'!Maxi_hp)</f>
        <v>3.8465158387127345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3.8324729866617835E-3</v>
      </c>
      <c r="M27" s="844"/>
      <c r="N27" s="844"/>
      <c r="O27" s="48">
        <f>IF(t&lt;Tnet,'2018'!Resal+('2018'!Salim-'2018'!Resal)*(1-EXP(('2018'!Tnet-t)/('2018'!Tau_j))),Resal+(Salim-Resal)*(1-EXP((Tnet-t)/(Tau_j))))*Salcycl</f>
        <v>2.8126441138703523E-2</v>
      </c>
      <c r="P27" s="169">
        <f>(INDEX(Models!$BJ27:$BT27,,T27)*(1-R27)+INDEX(Models!$BJ27:$BT27,,T27+1)*R27-ERP_i)*Q27*Ramure*Pc/MaxiM</f>
        <v>1.6899298747682421E-4</v>
      </c>
      <c r="Q27" s="305">
        <f t="shared" si="4"/>
        <v>0.7</v>
      </c>
      <c r="R27" s="177">
        <f t="shared" si="5"/>
        <v>0.79964576681717414</v>
      </c>
      <c r="S27" s="810">
        <f t="shared" si="6"/>
        <v>-2</v>
      </c>
      <c r="T27" s="176">
        <f t="shared" si="7"/>
        <v>4</v>
      </c>
      <c r="U27" s="251">
        <f t="shared" si="21"/>
        <v>-1.2003542331828259</v>
      </c>
      <c r="V27" s="383">
        <f t="shared" si="8"/>
        <v>20.933712372650927</v>
      </c>
      <c r="W27" s="58"/>
      <c r="X27" s="157">
        <f t="shared" si="9"/>
        <v>43478</v>
      </c>
      <c r="Y27" s="385">
        <f t="shared" si="10"/>
        <v>3.7240000000000002</v>
      </c>
      <c r="Z27" s="385">
        <f t="shared" si="11"/>
        <v>3.7383270373860897</v>
      </c>
      <c r="AA27" s="386">
        <f t="shared" si="12"/>
        <v>3.8465158387127345</v>
      </c>
      <c r="AB27" s="197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2.8126441138703523E-2</v>
      </c>
      <c r="AD27" s="231">
        <f>(INDEX(Models!$BJ27:$BT27,,AH27)*(1-AF27)+INDEX(Models!$BJ27:$BT27,,AH27+1)*AF27-ERP_i)*AE27*Ramure*Pc/MaxiM</f>
        <v>1.6899298747682421E-4</v>
      </c>
      <c r="AE27" s="305">
        <f t="shared" si="14"/>
        <v>0.7</v>
      </c>
      <c r="AF27" s="177">
        <f t="shared" si="15"/>
        <v>0.79964576681717414</v>
      </c>
      <c r="AG27" s="176">
        <f t="shared" si="16"/>
        <v>-2</v>
      </c>
      <c r="AH27" s="300">
        <f t="shared" si="17"/>
        <v>4</v>
      </c>
      <c r="AI27" s="225">
        <f t="shared" si="22"/>
        <v>-1.2003542331828259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6">
        <v>5.1539999999999999</v>
      </c>
      <c r="C28" s="390"/>
      <c r="D28" s="393">
        <f t="shared" si="0"/>
        <v>5.1739489635379048</v>
      </c>
      <c r="E28" s="385">
        <f t="shared" si="1"/>
        <v>5.3245333540448208</v>
      </c>
      <c r="F28" s="385">
        <f t="shared" si="2"/>
        <v>5.3245333540448208</v>
      </c>
      <c r="G28" s="110">
        <f t="shared" si="23"/>
        <v>0.24380629296548759</v>
      </c>
      <c r="H28" s="414" t="b">
        <f>Wh_hp&gt;='2018'!Maxi_hp</f>
        <v>1</v>
      </c>
      <c r="I28" s="390">
        <f>IF(H28,Wh_hp,'2018'!Maxi_hp)</f>
        <v>5.3245333540448208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3.8556552603224992E-3</v>
      </c>
      <c r="M28" s="844"/>
      <c r="N28" s="844"/>
      <c r="O28" s="48">
        <f>IF(t&lt;Tnet,'2018'!Resal+('2018'!Salim-'2018'!Resal)*(1-EXP(('2018'!Tnet-t)/('2018'!Tau_j))),Resal+(Salim-Resal)*(1-EXP((Tnet-t)/(Tau_j))))*Salcycl</f>
        <v>2.8281237151519343E-2</v>
      </c>
      <c r="P28" s="169">
        <f>(INDEX(Models!$BJ28:$BT28,,T28)*(1-R28)+INDEX(Models!$BJ28:$BT28,,T28+1)*R28-ERP_i)*Q28*Ramure*Pc/MaxiM</f>
        <v>1.7250880979252086E-4</v>
      </c>
      <c r="Q28" s="305">
        <f t="shared" si="4"/>
        <v>0.7</v>
      </c>
      <c r="R28" s="177">
        <f t="shared" si="5"/>
        <v>0.79968396792948582</v>
      </c>
      <c r="S28" s="810">
        <f t="shared" si="6"/>
        <v>-2</v>
      </c>
      <c r="T28" s="176">
        <f t="shared" si="7"/>
        <v>4</v>
      </c>
      <c r="U28" s="251">
        <f t="shared" si="21"/>
        <v>-1.2003160320705142</v>
      </c>
      <c r="V28" s="383">
        <f t="shared" si="8"/>
        <v>21.136086468136352</v>
      </c>
      <c r="W28" s="58"/>
      <c r="X28" s="157">
        <f t="shared" si="9"/>
        <v>43479</v>
      </c>
      <c r="Y28" s="385">
        <f t="shared" si="10"/>
        <v>5.1539999999999999</v>
      </c>
      <c r="Z28" s="385">
        <f t="shared" si="11"/>
        <v>5.1739489635379048</v>
      </c>
      <c r="AA28" s="386">
        <f t="shared" si="12"/>
        <v>5.3245333540448208</v>
      </c>
      <c r="AB28" s="197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2.8281237151519343E-2</v>
      </c>
      <c r="AD28" s="231">
        <f>(INDEX(Models!$BJ28:$BT28,,AH28)*(1-AF28)+INDEX(Models!$BJ28:$BT28,,AH28+1)*AF28-ERP_i)*AE28*Ramure*Pc/MaxiM</f>
        <v>1.7250880979252086E-4</v>
      </c>
      <c r="AE28" s="305">
        <f t="shared" si="14"/>
        <v>0.7</v>
      </c>
      <c r="AF28" s="177">
        <f t="shared" si="15"/>
        <v>0.79968396792948582</v>
      </c>
      <c r="AG28" s="176">
        <f t="shared" si="16"/>
        <v>-2</v>
      </c>
      <c r="AH28" s="176">
        <f t="shared" si="17"/>
        <v>4</v>
      </c>
      <c r="AI28" s="225">
        <f t="shared" si="22"/>
        <v>-1.2003160320705142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6">
        <v>20.824000000000002</v>
      </c>
      <c r="C29" s="390"/>
      <c r="D29" s="393">
        <f t="shared" si="0"/>
        <v>20.905087426483057</v>
      </c>
      <c r="E29" s="385">
        <f t="shared" si="1"/>
        <v>21.51694074342775</v>
      </c>
      <c r="F29" s="385">
        <f t="shared" si="2"/>
        <v>21.52059891366666</v>
      </c>
      <c r="G29" s="110">
        <f t="shared" si="23"/>
        <v>0.97552494629793474</v>
      </c>
      <c r="H29" s="414" t="b">
        <f>Wh_hp&gt;='2018'!Maxi_hp</f>
        <v>1</v>
      </c>
      <c r="I29" s="390">
        <f>IF(H29,Wh_hp,'2018'!Maxi_hp)</f>
        <v>21.52059891366666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3.8788369944978696E-3</v>
      </c>
      <c r="M29" s="844"/>
      <c r="N29" s="844"/>
      <c r="O29" s="48">
        <f>IF(t&lt;Tnet,'2018'!Resal+('2018'!Salim-'2018'!Resal)*(1-EXP(('2018'!Tnet-t)/('2018'!Tau_j))),Resal+(Salim-Resal)*(1-EXP((Tnet-t)/(Tau_j))))*Salcycl</f>
        <v>2.8435887993583913E-2</v>
      </c>
      <c r="P29" s="169">
        <f>(INDEX(Models!$BJ29:$BT29,,T29)*(1-R29)+INDEX(Models!$BJ29:$BT29,,T29+1)*R29-ERP_i)*Q29*Ramure*Pc/MaxiM</f>
        <v>1.761417654469096E-4</v>
      </c>
      <c r="Q29" s="305">
        <f t="shared" si="4"/>
        <v>0.7</v>
      </c>
      <c r="R29" s="177">
        <f t="shared" si="5"/>
        <v>0.79972376388962352</v>
      </c>
      <c r="S29" s="810">
        <f t="shared" si="6"/>
        <v>-2</v>
      </c>
      <c r="T29" s="176">
        <f t="shared" si="7"/>
        <v>4</v>
      </c>
      <c r="U29" s="251">
        <f t="shared" si="21"/>
        <v>-1.2002762361103765</v>
      </c>
      <c r="V29" s="383">
        <f t="shared" si="8"/>
        <v>21.34632419217937</v>
      </c>
      <c r="W29" s="58"/>
      <c r="X29" s="157">
        <f t="shared" si="9"/>
        <v>43480</v>
      </c>
      <c r="Y29" s="385">
        <f t="shared" si="10"/>
        <v>20.824000000000002</v>
      </c>
      <c r="Z29" s="385">
        <f t="shared" si="11"/>
        <v>20.905087426483057</v>
      </c>
      <c r="AA29" s="386">
        <f t="shared" si="12"/>
        <v>21.51694074342775</v>
      </c>
      <c r="AB29" s="197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2.8435887993583913E-2</v>
      </c>
      <c r="AD29" s="231">
        <f>(INDEX(Models!$BJ29:$BT29,,AH29)*(1-AF29)+INDEX(Models!$BJ29:$BT29,,AH29+1)*AF29-ERP_i)*AE29*Ramure*Pc/MaxiM</f>
        <v>1.761417654469096E-4</v>
      </c>
      <c r="AE29" s="305">
        <f t="shared" si="14"/>
        <v>0.7</v>
      </c>
      <c r="AF29" s="177">
        <f t="shared" si="15"/>
        <v>0.79972376388962352</v>
      </c>
      <c r="AG29" s="176">
        <f t="shared" si="16"/>
        <v>-2</v>
      </c>
      <c r="AH29" s="176">
        <f t="shared" si="17"/>
        <v>4</v>
      </c>
      <c r="AI29" s="225">
        <f t="shared" si="22"/>
        <v>-1.2002762361103765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6">
        <v>20.545000000000002</v>
      </c>
      <c r="C30" s="390"/>
      <c r="D30" s="393">
        <f t="shared" si="0"/>
        <v>20.625481002030931</v>
      </c>
      <c r="E30" s="385">
        <f t="shared" si="1"/>
        <v>21.23252734832057</v>
      </c>
      <c r="F30" s="385">
        <f t="shared" si="2"/>
        <v>21.236104947240008</v>
      </c>
      <c r="G30" s="110">
        <f t="shared" si="23"/>
        <v>0.95273598916760338</v>
      </c>
      <c r="H30" s="414" t="b">
        <f>Wh_hp&gt;='2018'!Maxi_hp</f>
        <v>1</v>
      </c>
      <c r="I30" s="390">
        <f>IF(H30,Wh_hp,'2018'!Maxi_hp)</f>
        <v>21.236104947240008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3.9020181892003292E-3</v>
      </c>
      <c r="M30" s="844"/>
      <c r="N30" s="844"/>
      <c r="O30" s="48">
        <f>IF(t&lt;Tnet,'2018'!Resal+('2018'!Salim-'2018'!Resal)*(1-EXP(('2018'!Tnet-t)/('2018'!Tau_j))),Resal+(Salim-Resal)*(1-EXP((Tnet-t)/(Tau_j))))*Salcycl</f>
        <v>2.8590395120233005E-2</v>
      </c>
      <c r="P30" s="169">
        <f>(INDEX(Models!$BJ30:$BT30,,T30)*(1-R30)+INDEX(Models!$BJ30:$BT30,,T30+1)*R30-ERP_i)*Q30*Ramure*Pc/MaxiM</f>
        <v>1.8066313296720055E-4</v>
      </c>
      <c r="Q30" s="305">
        <f t="shared" si="4"/>
        <v>0.7</v>
      </c>
      <c r="R30" s="177">
        <f t="shared" si="5"/>
        <v>0.79976522094193814</v>
      </c>
      <c r="S30" s="810">
        <f t="shared" si="6"/>
        <v>-2</v>
      </c>
      <c r="T30" s="176">
        <f t="shared" si="7"/>
        <v>4</v>
      </c>
      <c r="U30" s="251">
        <f t="shared" si="21"/>
        <v>-1.2002347790580619</v>
      </c>
      <c r="V30" s="383">
        <f t="shared" si="8"/>
        <v>21.563948079348048</v>
      </c>
      <c r="W30" s="58"/>
      <c r="X30" s="157">
        <f t="shared" si="9"/>
        <v>43481</v>
      </c>
      <c r="Y30" s="385">
        <f t="shared" si="10"/>
        <v>20.545000000000002</v>
      </c>
      <c r="Z30" s="385">
        <f t="shared" si="11"/>
        <v>20.625481002030931</v>
      </c>
      <c r="AA30" s="386">
        <f t="shared" si="12"/>
        <v>21.23252734832057</v>
      </c>
      <c r="AB30" s="197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2.8590395120233005E-2</v>
      </c>
      <c r="AD30" s="231">
        <f>(INDEX(Models!$BJ30:$BT30,,AH30)*(1-AF30)+INDEX(Models!$BJ30:$BT30,,AH30+1)*AF30-ERP_i)*AE30*Ramure*Pc/MaxiM</f>
        <v>1.8066313296720055E-4</v>
      </c>
      <c r="AE30" s="305">
        <f t="shared" si="14"/>
        <v>0.7</v>
      </c>
      <c r="AF30" s="177">
        <f t="shared" si="15"/>
        <v>0.79976522094193814</v>
      </c>
      <c r="AG30" s="176">
        <f t="shared" si="16"/>
        <v>-2</v>
      </c>
      <c r="AH30" s="176">
        <f t="shared" si="17"/>
        <v>4</v>
      </c>
      <c r="AI30" s="225">
        <f t="shared" si="22"/>
        <v>-1.2002347790580619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6">
        <v>10.069000000000001</v>
      </c>
      <c r="C31" s="390"/>
      <c r="D31" s="393">
        <f t="shared" si="0"/>
        <v>10.10867857345537</v>
      </c>
      <c r="E31" s="385">
        <f t="shared" si="1"/>
        <v>10.407849718328695</v>
      </c>
      <c r="F31" s="385">
        <f t="shared" si="2"/>
        <v>10.408297971270743</v>
      </c>
      <c r="G31" s="110">
        <f t="shared" si="23"/>
        <v>0.46205848694828028</v>
      </c>
      <c r="H31" s="414" t="b">
        <f>Wh_hp&gt;='2018'!Maxi_hp</f>
        <v>1</v>
      </c>
      <c r="I31" s="390">
        <f>IF(H31,Wh_hp,'2018'!Maxi_hp)</f>
        <v>10.408297971270743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3.9251988444425345E-3</v>
      </c>
      <c r="M31" s="844"/>
      <c r="N31" s="844"/>
      <c r="O31" s="48">
        <f>IF(t&lt;Tnet,'2018'!Resal+('2018'!Salim-'2018'!Resal)*(1-EXP(('2018'!Tnet-t)/('2018'!Tau_j))),Resal+(Salim-Resal)*(1-EXP((Tnet-t)/(Tau_j))))*Salcycl</f>
        <v>2.8744760250186012E-2</v>
      </c>
      <c r="P31" s="169">
        <f>(INDEX(Models!$BJ31:$BT31,,T31)*(1-R31)+INDEX(Models!$BJ31:$BT31,,T31+1)*R31-ERP_i)*Q31*Ramure*Pc/MaxiM</f>
        <v>1.8594853945417449E-4</v>
      </c>
      <c r="Q31" s="305">
        <f t="shared" si="4"/>
        <v>0.7</v>
      </c>
      <c r="R31" s="177">
        <f t="shared" si="5"/>
        <v>0.79980840805342157</v>
      </c>
      <c r="S31" s="810">
        <f t="shared" si="6"/>
        <v>-2</v>
      </c>
      <c r="T31" s="176">
        <f t="shared" si="7"/>
        <v>4</v>
      </c>
      <c r="U31" s="251">
        <f t="shared" si="21"/>
        <v>-1.2001915919465784</v>
      </c>
      <c r="V31" s="383">
        <f t="shared" si="8"/>
        <v>21.788499826338022</v>
      </c>
      <c r="W31" s="58"/>
      <c r="X31" s="157">
        <f t="shared" si="9"/>
        <v>43482</v>
      </c>
      <c r="Y31" s="385">
        <f t="shared" si="10"/>
        <v>10.069000000000001</v>
      </c>
      <c r="Z31" s="385">
        <f t="shared" si="11"/>
        <v>10.10867857345537</v>
      </c>
      <c r="AA31" s="386">
        <f t="shared" si="12"/>
        <v>10.407849718328695</v>
      </c>
      <c r="AB31" s="197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2.8744760250186012E-2</v>
      </c>
      <c r="AD31" s="231">
        <f>(INDEX(Models!$BJ31:$BT31,,AH31)*(1-AF31)+INDEX(Models!$BJ31:$BT31,,AH31+1)*AF31-ERP_i)*AE31*Ramure*Pc/MaxiM</f>
        <v>1.8594853945417449E-4</v>
      </c>
      <c r="AE31" s="305">
        <f t="shared" si="14"/>
        <v>0.7</v>
      </c>
      <c r="AF31" s="177">
        <f t="shared" si="15"/>
        <v>0.79980840805342157</v>
      </c>
      <c r="AG31" s="176">
        <f t="shared" si="16"/>
        <v>-2</v>
      </c>
      <c r="AH31" s="176">
        <f t="shared" si="17"/>
        <v>4</v>
      </c>
      <c r="AI31" s="225">
        <f t="shared" si="22"/>
        <v>-1.2001915919465784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6">
        <v>12.98</v>
      </c>
      <c r="C32" s="390"/>
      <c r="D32" s="393">
        <f t="shared" si="0"/>
        <v>13.031453115301773</v>
      </c>
      <c r="E32" s="385">
        <f t="shared" si="1"/>
        <v>13.419255997234373</v>
      </c>
      <c r="F32" s="385">
        <f t="shared" si="2"/>
        <v>13.4203214132172</v>
      </c>
      <c r="G32" s="110">
        <f t="shared" si="23"/>
        <v>0.58941061896050562</v>
      </c>
      <c r="H32" s="414" t="b">
        <f>Wh_hp&gt;='2018'!Maxi_hp</f>
        <v>1</v>
      </c>
      <c r="I32" s="390">
        <f>IF(H32,Wh_hp,'2018'!Maxi_hp)</f>
        <v>13.4203214132172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3.9483789602370312E-3</v>
      </c>
      <c r="M32" s="844"/>
      <c r="N32" s="844"/>
      <c r="O32" s="48">
        <f>IF(t&lt;Tnet,'2018'!Resal+('2018'!Salim-'2018'!Resal)*(1-EXP(('2018'!Tnet-t)/('2018'!Tau_j))),Resal+(Salim-Resal)*(1-EXP((Tnet-t)/(Tau_j))))*Salcycl</f>
        <v>2.8898985309805836E-2</v>
      </c>
      <c r="P32" s="169">
        <f>(INDEX(Models!$BJ32:$BT32,,T32)*(1-R32)+INDEX(Models!$BJ32:$BT32,,T32+1)*R32-ERP_i)*Q32*Ramure*Pc/MaxiM</f>
        <v>1.9197305742475247E-4</v>
      </c>
      <c r="Q32" s="305">
        <f t="shared" si="4"/>
        <v>0.7</v>
      </c>
      <c r="R32" s="177">
        <f t="shared" si="5"/>
        <v>0.79985339702313496</v>
      </c>
      <c r="S32" s="810">
        <f t="shared" si="6"/>
        <v>-2</v>
      </c>
      <c r="T32" s="176">
        <f t="shared" si="7"/>
        <v>4</v>
      </c>
      <c r="U32" s="251">
        <f t="shared" si="21"/>
        <v>-1.200146602976865</v>
      </c>
      <c r="V32" s="383">
        <f t="shared" si="8"/>
        <v>22.019519356831275</v>
      </c>
      <c r="W32" s="58"/>
      <c r="X32" s="157">
        <f t="shared" si="9"/>
        <v>43483</v>
      </c>
      <c r="Y32" s="385">
        <f t="shared" si="10"/>
        <v>12.98</v>
      </c>
      <c r="Z32" s="385">
        <f t="shared" si="11"/>
        <v>13.031453115301773</v>
      </c>
      <c r="AA32" s="386">
        <f t="shared" si="12"/>
        <v>13.419255997234373</v>
      </c>
      <c r="AB32" s="197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2.8898985309805836E-2</v>
      </c>
      <c r="AD32" s="231">
        <f>(INDEX(Models!$BJ32:$BT32,,AH32)*(1-AF32)+INDEX(Models!$BJ32:$BT32,,AH32+1)*AF32-ERP_i)*AE32*Ramure*Pc/MaxiM</f>
        <v>1.9197305742475247E-4</v>
      </c>
      <c r="AE32" s="305">
        <f t="shared" si="14"/>
        <v>0.7</v>
      </c>
      <c r="AF32" s="177">
        <f t="shared" si="15"/>
        <v>0.79985339702313496</v>
      </c>
      <c r="AG32" s="176">
        <f t="shared" si="16"/>
        <v>-2</v>
      </c>
      <c r="AH32" s="176">
        <f t="shared" si="17"/>
        <v>4</v>
      </c>
      <c r="AI32" s="225">
        <f t="shared" si="22"/>
        <v>-1.200146602976865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6">
        <v>15.516</v>
      </c>
      <c r="C33" s="390"/>
      <c r="D33" s="393">
        <f t="shared" si="0"/>
        <v>15.577868416290697</v>
      </c>
      <c r="E33" s="385">
        <f t="shared" si="1"/>
        <v>16.043995787107438</v>
      </c>
      <c r="F33" s="385">
        <f t="shared" si="2"/>
        <v>16.045804769151001</v>
      </c>
      <c r="G33" s="110">
        <f t="shared" si="23"/>
        <v>0.69708324187239801</v>
      </c>
      <c r="H33" s="414" t="b">
        <f>Wh_hp&gt;='2018'!Maxi_hp</f>
        <v>1</v>
      </c>
      <c r="I33" s="390">
        <f>IF(H33,Wh_hp,'2018'!Maxi_hp)</f>
        <v>16.045804769151001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3.9715585365964756E-3</v>
      </c>
      <c r="M33" s="844"/>
      <c r="N33" s="844"/>
      <c r="O33" s="48">
        <f>IF(t&lt;Tnet,'2018'!Resal+('2018'!Salim-'2018'!Resal)*(1-EXP(('2018'!Tnet-t)/('2018'!Tau_j))),Resal+(Salim-Resal)*(1-EXP((Tnet-t)/(Tau_j))))*Salcycl</f>
        <v>2.9053072376851952E-2</v>
      </c>
      <c r="P33" s="169">
        <f>(INDEX(Models!$BJ33:$BT33,,T33)*(1-R33)+INDEX(Models!$BJ33:$BT33,,T33+1)*R33-ERP_i)*Q33*Ramure*Pc/MaxiM</f>
        <v>1.9871180970445373E-4</v>
      </c>
      <c r="Q33" s="305">
        <f t="shared" si="4"/>
        <v>0.7</v>
      </c>
      <c r="R33" s="177">
        <f t="shared" si="5"/>
        <v>0.79990026259582359</v>
      </c>
      <c r="S33" s="810">
        <f t="shared" si="6"/>
        <v>-2</v>
      </c>
      <c r="T33" s="176">
        <f t="shared" si="7"/>
        <v>4</v>
      </c>
      <c r="U33" s="251">
        <f t="shared" si="21"/>
        <v>-1.2000997374041764</v>
      </c>
      <c r="V33" s="383">
        <f t="shared" si="8"/>
        <v>22.256546934138861</v>
      </c>
      <c r="W33" s="58"/>
      <c r="X33" s="157">
        <f t="shared" si="9"/>
        <v>43484</v>
      </c>
      <c r="Y33" s="385">
        <f t="shared" si="10"/>
        <v>15.516</v>
      </c>
      <c r="Z33" s="385">
        <f t="shared" si="11"/>
        <v>15.577868416290697</v>
      </c>
      <c r="AA33" s="386">
        <f t="shared" si="12"/>
        <v>16.043995787107438</v>
      </c>
      <c r="AB33" s="197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2.9053072376851952E-2</v>
      </c>
      <c r="AD33" s="231">
        <f>(INDEX(Models!$BJ33:$BT33,,AH33)*(1-AF33)+INDEX(Models!$BJ33:$BT33,,AH33+1)*AF33-ERP_i)*AE33*Ramure*Pc/MaxiM</f>
        <v>1.9871180970445373E-4</v>
      </c>
      <c r="AE33" s="305">
        <f t="shared" si="14"/>
        <v>0.7</v>
      </c>
      <c r="AF33" s="177">
        <f t="shared" si="15"/>
        <v>0.79990026259582359</v>
      </c>
      <c r="AG33" s="176">
        <f t="shared" si="16"/>
        <v>-2</v>
      </c>
      <c r="AH33" s="176">
        <f t="shared" si="17"/>
        <v>4</v>
      </c>
      <c r="AI33" s="225">
        <f t="shared" si="22"/>
        <v>-1.2000997374041764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6">
        <v>7.2679999999999998</v>
      </c>
      <c r="C34" s="390"/>
      <c r="D34" s="393">
        <f t="shared" si="0"/>
        <v>7.2971502000839905</v>
      </c>
      <c r="E34" s="385">
        <f t="shared" si="1"/>
        <v>7.5166903527954023</v>
      </c>
      <c r="F34" s="385">
        <f t="shared" si="2"/>
        <v>7.5167413423562177</v>
      </c>
      <c r="G34" s="110">
        <f t="shared" si="23"/>
        <v>0.32297041157781675</v>
      </c>
      <c r="H34" s="414" t="b">
        <f>Wh_hp&gt;='2018'!Maxi_hp</f>
        <v>1</v>
      </c>
      <c r="I34" s="390">
        <f>IF(H34,Wh_hp,'2018'!Maxi_hp)</f>
        <v>7.5167413423562177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3.9947375735331914E-3</v>
      </c>
      <c r="M34" s="844"/>
      <c r="N34" s="844"/>
      <c r="O34" s="48">
        <f>IF(t&lt;Tnet,'2018'!Resal+('2018'!Salim-'2018'!Resal)*(1-EXP(('2018'!Tnet-t)/('2018'!Tau_j))),Resal+(Salim-Resal)*(1-EXP((Tnet-t)/(Tau_j))))*Salcycl</f>
        <v>2.9207023624402261E-2</v>
      </c>
      <c r="P34" s="169">
        <f>(INDEX(Models!$BJ34:$BT34,,T34)*(1-R34)+INDEX(Models!$BJ34:$BT34,,T34+1)*R34-ERP_i)*Q34*Ramure*Pc/MaxiM</f>
        <v>2.061413148742171E-4</v>
      </c>
      <c r="Q34" s="305">
        <f t="shared" si="4"/>
        <v>0.7</v>
      </c>
      <c r="R34" s="177">
        <f t="shared" si="5"/>
        <v>0.79994908257985764</v>
      </c>
      <c r="S34" s="810">
        <f t="shared" si="6"/>
        <v>-2</v>
      </c>
      <c r="T34" s="176">
        <f t="shared" si="7"/>
        <v>4</v>
      </c>
      <c r="U34" s="251">
        <f t="shared" si="21"/>
        <v>-1.2000509174201424</v>
      </c>
      <c r="V34" s="383">
        <f t="shared" si="8"/>
        <v>22.49912312966217</v>
      </c>
      <c r="W34" s="58"/>
      <c r="X34" s="157">
        <f t="shared" si="9"/>
        <v>43485</v>
      </c>
      <c r="Y34" s="385">
        <f t="shared" si="10"/>
        <v>7.2679999999999998</v>
      </c>
      <c r="Z34" s="385">
        <f t="shared" si="11"/>
        <v>7.2971502000839905</v>
      </c>
      <c r="AA34" s="386">
        <f t="shared" si="12"/>
        <v>7.5166903527954023</v>
      </c>
      <c r="AB34" s="197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2.9207023624402261E-2</v>
      </c>
      <c r="AD34" s="231">
        <f>(INDEX(Models!$BJ34:$BT34,,AH34)*(1-AF34)+INDEX(Models!$BJ34:$BT34,,AH34+1)*AF34-ERP_i)*AE34*Ramure*Pc/MaxiM</f>
        <v>2.061413148742171E-4</v>
      </c>
      <c r="AE34" s="305">
        <f t="shared" si="14"/>
        <v>0.7</v>
      </c>
      <c r="AF34" s="177">
        <f t="shared" si="15"/>
        <v>0.79994908257985764</v>
      </c>
      <c r="AG34" s="176">
        <f t="shared" si="16"/>
        <v>-2</v>
      </c>
      <c r="AH34" s="176">
        <f t="shared" si="17"/>
        <v>4</v>
      </c>
      <c r="AI34" s="225">
        <f t="shared" si="22"/>
        <v>-1.2000509174201424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6">
        <v>6.048</v>
      </c>
      <c r="C35" s="390"/>
      <c r="D35" s="393">
        <f t="shared" si="0"/>
        <v>6.0723983870692839</v>
      </c>
      <c r="E35" s="385">
        <f t="shared" si="1"/>
        <v>6.2560822241985727</v>
      </c>
      <c r="F35" s="385">
        <f t="shared" si="2"/>
        <v>6.2560822241985727</v>
      </c>
      <c r="G35" s="110">
        <f t="shared" si="23"/>
        <v>0.26582672058490781</v>
      </c>
      <c r="H35" s="414" t="b">
        <f>Wh_hp&gt;='2018'!Maxi_hp</f>
        <v>1</v>
      </c>
      <c r="I35" s="390">
        <f>IF(H35,Wh_hp,'2018'!Maxi_hp)</f>
        <v>6.2560822241985727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4.017916071059946E-3</v>
      </c>
      <c r="M35" s="844"/>
      <c r="N35" s="844"/>
      <c r="O35" s="48">
        <f>IF(t&lt;Tnet,'2018'!Resal+('2018'!Salim-'2018'!Resal)*(1-EXP(('2018'!Tnet-t)/('2018'!Tau_j))),Resal+(Salim-Resal)*(1-EXP((Tnet-t)/(Tau_j))))*Salcycl</f>
        <v>2.9360841265608485E-2</v>
      </c>
      <c r="P35" s="169">
        <f>(INDEX(Models!$BJ35:$BT35,,T35)*(1-R35)+INDEX(Models!$BJ35:$BT35,,T35+1)*R35-ERP_i)*Q35*Ramure*Pc/MaxiM</f>
        <v>2.1423922985969036E-4</v>
      </c>
      <c r="Q35" s="305">
        <f t="shared" si="4"/>
        <v>0.7</v>
      </c>
      <c r="R35" s="177">
        <f t="shared" si="5"/>
        <v>0.79999993796964675</v>
      </c>
      <c r="S35" s="810">
        <f t="shared" si="6"/>
        <v>-2</v>
      </c>
      <c r="T35" s="176">
        <f t="shared" si="7"/>
        <v>4</v>
      </c>
      <c r="U35" s="251">
        <f t="shared" si="21"/>
        <v>-1.2000000620303533</v>
      </c>
      <c r="V35" s="383">
        <f t="shared" si="8"/>
        <v>22.746788839861672</v>
      </c>
      <c r="W35" s="58"/>
      <c r="X35" s="157">
        <f t="shared" si="9"/>
        <v>43486</v>
      </c>
      <c r="Y35" s="385">
        <f t="shared" si="10"/>
        <v>6.048</v>
      </c>
      <c r="Z35" s="385">
        <f t="shared" si="11"/>
        <v>6.0723983870692839</v>
      </c>
      <c r="AA35" s="386">
        <f t="shared" si="12"/>
        <v>6.2560822241985727</v>
      </c>
      <c r="AB35" s="197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2.9360841265608485E-2</v>
      </c>
      <c r="AD35" s="231">
        <f>(INDEX(Models!$BJ35:$BT35,,AH35)*(1-AF35)+INDEX(Models!$BJ35:$BT35,,AH35+1)*AF35-ERP_i)*AE35*Ramure*Pc/MaxiM</f>
        <v>2.1423922985969036E-4</v>
      </c>
      <c r="AE35" s="305">
        <f t="shared" si="14"/>
        <v>0.7</v>
      </c>
      <c r="AF35" s="177">
        <f t="shared" si="15"/>
        <v>0.79999993796964675</v>
      </c>
      <c r="AG35" s="176">
        <f t="shared" si="16"/>
        <v>-2</v>
      </c>
      <c r="AH35" s="176">
        <f t="shared" si="17"/>
        <v>4</v>
      </c>
      <c r="AI35" s="225">
        <f t="shared" si="22"/>
        <v>-1.2000000620303533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6">
        <v>9.4250000000000007</v>
      </c>
      <c r="C36" s="390"/>
      <c r="D36" s="393">
        <f t="shared" si="0"/>
        <v>9.4632418501373632</v>
      </c>
      <c r="E36" s="385">
        <f t="shared" si="1"/>
        <v>9.7510391636869116</v>
      </c>
      <c r="F36" s="385">
        <f t="shared" si="2"/>
        <v>9.7513802293931189</v>
      </c>
      <c r="G36" s="110">
        <f t="shared" si="23"/>
        <v>0.40972185837786212</v>
      </c>
      <c r="H36" s="414" t="b">
        <f>Wh_hp&gt;='2018'!Maxi_hp</f>
        <v>1</v>
      </c>
      <c r="I36" s="390">
        <f>IF(H36,Wh_hp,'2018'!Maxi_hp)</f>
        <v>9.7513802293931189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4.0410940291890629E-3</v>
      </c>
      <c r="M36" s="844"/>
      <c r="N36" s="844"/>
      <c r="O36" s="48">
        <f>IF(t&lt;Tnet,'2018'!Resal+('2018'!Salim-'2018'!Resal)*(1-EXP(('2018'!Tnet-t)/('2018'!Tau_j))),Resal+(Salim-Resal)*(1-EXP((Tnet-t)/(Tau_j))))*Salcycl</f>
        <v>2.9514527499931636E-2</v>
      </c>
      <c r="P36" s="169">
        <f>(INDEX(Models!$BJ36:$BT36,,T36)*(1-R36)+INDEX(Models!$BJ36:$BT36,,T36+1)*R36-ERP_i)*Q36*Ramure*Pc/MaxiM</f>
        <v>2.2298312077788637E-4</v>
      </c>
      <c r="Q36" s="305">
        <f t="shared" si="4"/>
        <v>0.7</v>
      </c>
      <c r="R36" s="177">
        <f t="shared" si="5"/>
        <v>0.80005291307267234</v>
      </c>
      <c r="S36" s="810">
        <f t="shared" si="6"/>
        <v>-2</v>
      </c>
      <c r="T36" s="176">
        <f t="shared" si="7"/>
        <v>4</v>
      </c>
      <c r="U36" s="251">
        <f t="shared" si="21"/>
        <v>-1.1999470869273277</v>
      </c>
      <c r="V36" s="383">
        <f t="shared" si="8"/>
        <v>22.999085305331413</v>
      </c>
      <c r="W36" s="58"/>
      <c r="X36" s="157">
        <f t="shared" si="9"/>
        <v>43487</v>
      </c>
      <c r="Y36" s="385">
        <f t="shared" si="10"/>
        <v>9.4250000000000007</v>
      </c>
      <c r="Z36" s="385">
        <f t="shared" si="11"/>
        <v>9.4632418501373632</v>
      </c>
      <c r="AA36" s="386">
        <f t="shared" si="12"/>
        <v>9.7510391636869116</v>
      </c>
      <c r="AB36" s="197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2.9514527499931636E-2</v>
      </c>
      <c r="AD36" s="231">
        <f>(INDEX(Models!$BJ36:$BT36,,AH36)*(1-AF36)+INDEX(Models!$BJ36:$BT36,,AH36+1)*AF36-ERP_i)*AE36*Ramure*Pc/MaxiM</f>
        <v>2.2298312077788637E-4</v>
      </c>
      <c r="AE36" s="305">
        <f t="shared" si="14"/>
        <v>0.7</v>
      </c>
      <c r="AF36" s="177">
        <f t="shared" si="15"/>
        <v>0.80005291307267234</v>
      </c>
      <c r="AG36" s="176">
        <f t="shared" si="16"/>
        <v>-2</v>
      </c>
      <c r="AH36" s="176">
        <f t="shared" si="17"/>
        <v>4</v>
      </c>
      <c r="AI36" s="225">
        <f t="shared" si="22"/>
        <v>-1.1999470869273277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6">
        <v>9.7759999999999998</v>
      </c>
      <c r="C37" s="390"/>
      <c r="D37" s="393">
        <f t="shared" si="0"/>
        <v>9.81589445958803</v>
      </c>
      <c r="E37" s="385">
        <f t="shared" si="1"/>
        <v>10.116017315724735</v>
      </c>
      <c r="F37" s="385">
        <f t="shared" si="2"/>
        <v>10.116421360783319</v>
      </c>
      <c r="G37" s="110">
        <f t="shared" si="23"/>
        <v>0.42025467402980421</v>
      </c>
      <c r="H37" s="414" t="b">
        <f>Wh_hp&gt;='2018'!Maxi_hp</f>
        <v>1</v>
      </c>
      <c r="I37" s="390">
        <f>IF(H37,Wh_hp,'2018'!Maxi_hp)</f>
        <v>10.116421360783319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4.0642714479333097E-3</v>
      </c>
      <c r="M37" s="844"/>
      <c r="N37" s="844"/>
      <c r="O37" s="48">
        <f>IF(t&lt;Tnet,'2018'!Resal+('2018'!Salim-'2018'!Resal)*(1-EXP(('2018'!Tnet-t)/('2018'!Tau_j))),Resal+(Salim-Resal)*(1-EXP((Tnet-t)/(Tau_j))))*Salcycl</f>
        <v>2.9668084461478811E-2</v>
      </c>
      <c r="P37" s="169">
        <f>(INDEX(Models!$BJ37:$BT37,,T37)*(1-R37)+INDEX(Models!$BJ37:$BT37,,T37+1)*R37-ERP_i)*Q37*Ramure*Pc/MaxiM</f>
        <v>2.3233091151271998E-4</v>
      </c>
      <c r="Q37" s="305">
        <f t="shared" si="4"/>
        <v>0.7</v>
      </c>
      <c r="R37" s="177">
        <f t="shared" si="5"/>
        <v>0.80010809564129426</v>
      </c>
      <c r="S37" s="810">
        <f t="shared" si="6"/>
        <v>-2</v>
      </c>
      <c r="T37" s="176">
        <f t="shared" si="7"/>
        <v>4</v>
      </c>
      <c r="U37" s="251">
        <f t="shared" si="21"/>
        <v>-1.1998919043587057</v>
      </c>
      <c r="V37" s="383">
        <f t="shared" si="8"/>
        <v>23.257609517949597</v>
      </c>
      <c r="W37" s="58"/>
      <c r="X37" s="157">
        <f t="shared" si="9"/>
        <v>43488</v>
      </c>
      <c r="Y37" s="385">
        <f t="shared" si="10"/>
        <v>9.7759999999999998</v>
      </c>
      <c r="Z37" s="385">
        <f t="shared" si="11"/>
        <v>9.81589445958803</v>
      </c>
      <c r="AA37" s="386">
        <f t="shared" si="12"/>
        <v>10.116017315724735</v>
      </c>
      <c r="AB37" s="197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2.9668084461478811E-2</v>
      </c>
      <c r="AD37" s="231">
        <f>(INDEX(Models!$BJ37:$BT37,,AH37)*(1-AF37)+INDEX(Models!$BJ37:$BT37,,AH37+1)*AF37-ERP_i)*AE37*Ramure*Pc/MaxiM</f>
        <v>2.3233091151271998E-4</v>
      </c>
      <c r="AE37" s="305">
        <f t="shared" si="14"/>
        <v>0.7</v>
      </c>
      <c r="AF37" s="177">
        <f t="shared" si="15"/>
        <v>0.80010809564129426</v>
      </c>
      <c r="AG37" s="176">
        <f t="shared" si="16"/>
        <v>-2</v>
      </c>
      <c r="AH37" s="176">
        <f t="shared" si="17"/>
        <v>4</v>
      </c>
      <c r="AI37" s="225">
        <f t="shared" si="22"/>
        <v>-1.1998919043587057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6">
        <v>11.539</v>
      </c>
      <c r="C38" s="390"/>
      <c r="D38" s="393">
        <f t="shared" si="0"/>
        <v>11.586358642251831</v>
      </c>
      <c r="E38" s="385">
        <f t="shared" si="1"/>
        <v>11.942502139016145</v>
      </c>
      <c r="F38" s="385">
        <f t="shared" si="2"/>
        <v>11.943291641976165</v>
      </c>
      <c r="G38" s="110">
        <f t="shared" si="23"/>
        <v>0.49043434415033893</v>
      </c>
      <c r="H38" s="414" t="b">
        <f>Wh_hp&gt;='2018'!Maxi_hp</f>
        <v>1</v>
      </c>
      <c r="I38" s="390">
        <f>IF(H38,Wh_hp,'2018'!Maxi_hp)</f>
        <v>11.943291641976165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4.087448327305232E-3</v>
      </c>
      <c r="M38" s="844"/>
      <c r="N38" s="844"/>
      <c r="O38" s="48">
        <f>IF(t&lt;Tnet,'2018'!Resal+('2018'!Salim-'2018'!Resal)*(1-EXP(('2018'!Tnet-t)/('2018'!Tau_j))),Resal+(Salim-Resal)*(1-EXP((Tnet-t)/(Tau_j))))*Salcycl</f>
        <v>2.98215141700327E-2</v>
      </c>
      <c r="P38" s="169">
        <f>(INDEX(Models!$BJ38:$BT38,,T38)*(1-R38)+INDEX(Models!$BJ38:$BT38,,T38+1)*R38-ERP_i)*Q38*Ramure*Pc/MaxiM</f>
        <v>2.4287609727618119E-4</v>
      </c>
      <c r="Q38" s="305">
        <f t="shared" si="4"/>
        <v>0.7</v>
      </c>
      <c r="R38" s="177">
        <f t="shared" si="5"/>
        <v>0.80016557700947777</v>
      </c>
      <c r="S38" s="810">
        <f t="shared" si="6"/>
        <v>-2</v>
      </c>
      <c r="T38" s="176">
        <f t="shared" si="7"/>
        <v>4</v>
      </c>
      <c r="U38" s="251">
        <f t="shared" si="21"/>
        <v>-1.1998344229905222</v>
      </c>
      <c r="V38" s="383">
        <f t="shared" si="8"/>
        <v>23.523964487841074</v>
      </c>
      <c r="W38" s="58"/>
      <c r="X38" s="157">
        <f t="shared" si="9"/>
        <v>43489</v>
      </c>
      <c r="Y38" s="385">
        <f t="shared" si="10"/>
        <v>11.539</v>
      </c>
      <c r="Z38" s="385">
        <f t="shared" si="11"/>
        <v>11.586358642251831</v>
      </c>
      <c r="AA38" s="386">
        <f t="shared" si="12"/>
        <v>11.942502139016145</v>
      </c>
      <c r="AB38" s="197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2.98215141700327E-2</v>
      </c>
      <c r="AD38" s="231">
        <f>(INDEX(Models!$BJ38:$BT38,,AH38)*(1-AF38)+INDEX(Models!$BJ38:$BT38,,AH38+1)*AF38-ERP_i)*AE38*Ramure*Pc/MaxiM</f>
        <v>2.4287609727618119E-4</v>
      </c>
      <c r="AE38" s="305">
        <f t="shared" si="14"/>
        <v>0.7</v>
      </c>
      <c r="AF38" s="177">
        <f t="shared" si="15"/>
        <v>0.80016557700947777</v>
      </c>
      <c r="AG38" s="176">
        <f t="shared" si="16"/>
        <v>-2</v>
      </c>
      <c r="AH38" s="176">
        <f t="shared" si="17"/>
        <v>4</v>
      </c>
      <c r="AI38" s="225">
        <f t="shared" si="22"/>
        <v>-1.1998344229905222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6">
        <v>5.3090000000000002</v>
      </c>
      <c r="C39" s="390"/>
      <c r="D39" s="393">
        <f t="shared" si="0"/>
        <v>5.3309133840558323</v>
      </c>
      <c r="E39" s="385">
        <f t="shared" si="1"/>
        <v>5.4956443251624973</v>
      </c>
      <c r="F39" s="385">
        <f t="shared" si="2"/>
        <v>5.4956443251624973</v>
      </c>
      <c r="G39" s="110">
        <f t="shared" si="23"/>
        <v>0.22303177347374639</v>
      </c>
      <c r="H39" s="414" t="b">
        <f>Wh_hp&gt;='2018'!Maxi_hp</f>
        <v>1</v>
      </c>
      <c r="I39" s="390">
        <f>IF(H39,Wh_hp,'2018'!Maxi_hp)</f>
        <v>5.4956443251624973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4.1106246673172642E-3</v>
      </c>
      <c r="M39" s="844"/>
      <c r="N39" s="844"/>
      <c r="O39" s="48">
        <f>IF(t&lt;Tnet,'2018'!Resal+('2018'!Salim-'2018'!Resal)*(1-EXP(('2018'!Tnet-t)/('2018'!Tau_j))),Resal+(Salim-Resal)*(1-EXP((Tnet-t)/(Tau_j))))*Salcycl</f>
        <v>2.9974818485327348E-2</v>
      </c>
      <c r="P39" s="169">
        <f>(INDEX(Models!$BJ39:$BT39,,T39)*(1-R39)+INDEX(Models!$BJ39:$BT39,,T39+1)*R39-ERP_i)*Q39*Ramure*Pc/MaxiM</f>
        <v>2.5443729668073168E-4</v>
      </c>
      <c r="Q39" s="305">
        <f t="shared" si="4"/>
        <v>0.7</v>
      </c>
      <c r="R39" s="177">
        <f t="shared" si="5"/>
        <v>0.8002254522346044</v>
      </c>
      <c r="S39" s="810">
        <f t="shared" si="6"/>
        <v>-2</v>
      </c>
      <c r="T39" s="176">
        <f t="shared" si="7"/>
        <v>4</v>
      </c>
      <c r="U39" s="251">
        <f t="shared" si="21"/>
        <v>-1.1997745477653956</v>
      </c>
      <c r="V39" s="383">
        <f t="shared" si="8"/>
        <v>23.797726708283111</v>
      </c>
      <c r="W39" s="58"/>
      <c r="X39" s="157">
        <f t="shared" si="9"/>
        <v>43490</v>
      </c>
      <c r="Y39" s="385">
        <f t="shared" si="10"/>
        <v>5.3090000000000002</v>
      </c>
      <c r="Z39" s="385">
        <f t="shared" si="11"/>
        <v>5.3309133840558323</v>
      </c>
      <c r="AA39" s="386">
        <f t="shared" si="12"/>
        <v>5.4956443251624973</v>
      </c>
      <c r="AB39" s="197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2.9974818485327348E-2</v>
      </c>
      <c r="AD39" s="231">
        <f>(INDEX(Models!$BJ39:$BT39,,AH39)*(1-AF39)+INDEX(Models!$BJ39:$BT39,,AH39+1)*AF39-ERP_i)*AE39*Ramure*Pc/MaxiM</f>
        <v>2.5443729668073168E-4</v>
      </c>
      <c r="AE39" s="305">
        <f t="shared" si="14"/>
        <v>0.7</v>
      </c>
      <c r="AF39" s="177">
        <f t="shared" si="15"/>
        <v>0.8002254522346044</v>
      </c>
      <c r="AG39" s="176">
        <f t="shared" si="16"/>
        <v>-2</v>
      </c>
      <c r="AH39" s="176">
        <f t="shared" si="17"/>
        <v>4</v>
      </c>
      <c r="AI39" s="225">
        <f t="shared" si="22"/>
        <v>-1.1997745477653956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6">
        <v>12.180999999999999</v>
      </c>
      <c r="C40" s="390"/>
      <c r="D40" s="393">
        <f t="shared" si="0"/>
        <v>12.231562840192939</v>
      </c>
      <c r="E40" s="385">
        <f t="shared" si="1"/>
        <v>12.611522786926727</v>
      </c>
      <c r="F40" s="385">
        <f t="shared" si="2"/>
        <v>12.61251316956573</v>
      </c>
      <c r="G40" s="110">
        <f t="shared" si="23"/>
        <v>0.50579228784852548</v>
      </c>
      <c r="H40" s="414" t="b">
        <f>Wh_hp&gt;='2018'!Maxi_hp</f>
        <v>1</v>
      </c>
      <c r="I40" s="390">
        <f>IF(H40,Wh_hp,'2018'!Maxi_hp)</f>
        <v>12.61251316956573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4.1338004679819518E-3</v>
      </c>
      <c r="M40" s="844"/>
      <c r="N40" s="844"/>
      <c r="O40" s="48">
        <f>IF(t&lt;Tnet,'2018'!Resal+('2018'!Salim-'2018'!Resal)*(1-EXP(('2018'!Tnet-t)/('2018'!Tau_j))),Resal+(Salim-Resal)*(1-EXP((Tnet-t)/(Tau_j))))*Salcycl</f>
        <v>3.0127999065081949E-2</v>
      </c>
      <c r="P40" s="169">
        <f>(INDEX(Models!$BJ40:$BT40,,T40)*(1-R40)+INDEX(Models!$BJ40:$BT40,,T40+1)*R40-ERP_i)*Q40*Ramure*Pc/MaxiM</f>
        <v>2.6697412486740852E-4</v>
      </c>
      <c r="Q40" s="305">
        <f t="shared" si="4"/>
        <v>0.7</v>
      </c>
      <c r="R40" s="177">
        <f t="shared" si="5"/>
        <v>0.8002878202445185</v>
      </c>
      <c r="S40" s="810">
        <f t="shared" si="6"/>
        <v>-2</v>
      </c>
      <c r="T40" s="176">
        <f t="shared" si="7"/>
        <v>4</v>
      </c>
      <c r="U40" s="251">
        <f t="shared" si="21"/>
        <v>-1.1997121797554815</v>
      </c>
      <c r="V40" s="383">
        <f t="shared" si="8"/>
        <v>24.078469757420986</v>
      </c>
      <c r="W40" s="58"/>
      <c r="X40" s="157">
        <f t="shared" si="9"/>
        <v>43491</v>
      </c>
      <c r="Y40" s="385">
        <f t="shared" si="10"/>
        <v>12.180999999999999</v>
      </c>
      <c r="Z40" s="385">
        <f t="shared" si="11"/>
        <v>12.231562840192939</v>
      </c>
      <c r="AA40" s="386">
        <f t="shared" si="12"/>
        <v>12.611522786926727</v>
      </c>
      <c r="AB40" s="197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3.0127999065081949E-2</v>
      </c>
      <c r="AD40" s="231">
        <f>(INDEX(Models!$BJ40:$BT40,,AH40)*(1-AF40)+INDEX(Models!$BJ40:$BT40,,AH40+1)*AF40-ERP_i)*AE40*Ramure*Pc/MaxiM</f>
        <v>2.6697412486740852E-4</v>
      </c>
      <c r="AE40" s="305">
        <f t="shared" si="14"/>
        <v>0.7</v>
      </c>
      <c r="AF40" s="177">
        <f t="shared" si="15"/>
        <v>0.8002878202445185</v>
      </c>
      <c r="AG40" s="176">
        <f t="shared" si="16"/>
        <v>-2</v>
      </c>
      <c r="AH40" s="176">
        <f t="shared" si="17"/>
        <v>4</v>
      </c>
      <c r="AI40" s="225">
        <f t="shared" si="22"/>
        <v>-1.1997121797554815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6">
        <v>13.507</v>
      </c>
      <c r="C41" s="390"/>
      <c r="D41" s="393">
        <f t="shared" si="0"/>
        <v>13.563382652493788</v>
      </c>
      <c r="E41" s="385">
        <f t="shared" si="1"/>
        <v>13.986921421902254</v>
      </c>
      <c r="F41" s="385">
        <f t="shared" si="2"/>
        <v>13.988346832149588</v>
      </c>
      <c r="G41" s="110">
        <f t="shared" si="23"/>
        <v>0.55424431422755527</v>
      </c>
      <c r="H41" s="414" t="b">
        <f>Wh_hp&gt;='2018'!Maxi_hp</f>
        <v>1</v>
      </c>
      <c r="I41" s="390">
        <f>IF(H41,Wh_hp,'2018'!Maxi_hp)</f>
        <v>13.988346832149588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4.1569757293119514E-3</v>
      </c>
      <c r="M41" s="844"/>
      <c r="N41" s="844"/>
      <c r="O41" s="48">
        <f>IF(t&lt;Tnet,'2018'!Resal+('2018'!Salim-'2018'!Resal)*(1-EXP(('2018'!Tnet-t)/('2018'!Tau_j))),Resal+(Salim-Resal)*(1-EXP((Tnet-t)/(Tau_j))))*Salcycl</f>
        <v>3.0281057327257398E-2</v>
      </c>
      <c r="P41" s="169">
        <f>(INDEX(Models!$BJ41:$BT41,,T41)*(1-R41)+INDEX(Models!$BJ41:$BT41,,T41+1)*R41-ERP_i)*Q41*Ramure*Pc/MaxiM</f>
        <v>2.8044727308228706E-4</v>
      </c>
      <c r="Q41" s="305">
        <f t="shared" si="4"/>
        <v>0.7</v>
      </c>
      <c r="R41" s="177">
        <f t="shared" si="5"/>
        <v>0.80035278398997578</v>
      </c>
      <c r="S41" s="810">
        <f t="shared" si="6"/>
        <v>-2</v>
      </c>
      <c r="T41" s="176">
        <f t="shared" si="7"/>
        <v>4</v>
      </c>
      <c r="U41" s="251">
        <f t="shared" si="21"/>
        <v>-1.1996472160100242</v>
      </c>
      <c r="V41" s="383">
        <f t="shared" si="8"/>
        <v>24.365767527659717</v>
      </c>
      <c r="W41" s="58"/>
      <c r="X41" s="157">
        <f t="shared" si="9"/>
        <v>43492</v>
      </c>
      <c r="Y41" s="385">
        <f t="shared" si="10"/>
        <v>13.507</v>
      </c>
      <c r="Z41" s="385">
        <f t="shared" si="11"/>
        <v>13.563382652493788</v>
      </c>
      <c r="AA41" s="386">
        <f t="shared" si="12"/>
        <v>13.986921421902254</v>
      </c>
      <c r="AB41" s="197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3.0281057327257398E-2</v>
      </c>
      <c r="AD41" s="231">
        <f>(INDEX(Models!$BJ41:$BT41,,AH41)*(1-AF41)+INDEX(Models!$BJ41:$BT41,,AH41+1)*AF41-ERP_i)*AE41*Ramure*Pc/MaxiM</f>
        <v>2.8044727308228706E-4</v>
      </c>
      <c r="AE41" s="305">
        <f t="shared" si="14"/>
        <v>0.7</v>
      </c>
      <c r="AF41" s="177">
        <f t="shared" si="15"/>
        <v>0.80035278398997578</v>
      </c>
      <c r="AG41" s="176">
        <f t="shared" si="16"/>
        <v>-2</v>
      </c>
      <c r="AH41" s="176">
        <f t="shared" si="17"/>
        <v>4</v>
      </c>
      <c r="AI41" s="225">
        <f t="shared" si="22"/>
        <v>-1.1996472160100242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6">
        <v>11.863</v>
      </c>
      <c r="C42" s="390"/>
      <c r="D42" s="393">
        <f t="shared" si="0"/>
        <v>11.912797284947153</v>
      </c>
      <c r="E42" s="385">
        <f t="shared" si="1"/>
        <v>12.286731606048166</v>
      </c>
      <c r="F42" s="385">
        <f t="shared" si="2"/>
        <v>12.28766872047817</v>
      </c>
      <c r="G42" s="110">
        <f t="shared" si="23"/>
        <v>0.48097301902012407</v>
      </c>
      <c r="H42" s="414" t="b">
        <f>Wh_hp&gt;='2018'!Maxi_hp</f>
        <v>1</v>
      </c>
      <c r="I42" s="390">
        <f>IF(H42,Wh_hp,'2018'!Maxi_hp)</f>
        <v>12.28766872047817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4.1801504513198084E-3</v>
      </c>
      <c r="M42" s="844"/>
      <c r="N42" s="844"/>
      <c r="O42" s="48">
        <f>IF(t&lt;Tnet,'2018'!Resal+('2018'!Salim-'2018'!Resal)*(1-EXP(('2018'!Tnet-t)/('2018'!Tau_j))),Resal+(Salim-Resal)*(1-EXP((Tnet-t)/(Tau_j))))*Salcycl</f>
        <v>3.0433994416948402E-2</v>
      </c>
      <c r="P42" s="169">
        <f>(INDEX(Models!$BJ42:$BT42,,T42)*(1-R42)+INDEX(Models!$BJ42:$BT42,,T42+1)*R42-ERP_i)*Q42*Ramure*Pc/MaxiM</f>
        <v>2.9481873449634051E-4</v>
      </c>
      <c r="Q42" s="305">
        <f t="shared" si="4"/>
        <v>0.7</v>
      </c>
      <c r="R42" s="177">
        <f t="shared" si="5"/>
        <v>0.80042045060265266</v>
      </c>
      <c r="S42" s="810">
        <f t="shared" si="6"/>
        <v>-2</v>
      </c>
      <c r="T42" s="176">
        <f t="shared" si="7"/>
        <v>4</v>
      </c>
      <c r="U42" s="251">
        <f t="shared" si="21"/>
        <v>-1.1995795493973473</v>
      </c>
      <c r="V42" s="383">
        <f t="shared" si="8"/>
        <v>24.659194228812584</v>
      </c>
      <c r="W42" s="58"/>
      <c r="X42" s="157">
        <f t="shared" si="9"/>
        <v>43493</v>
      </c>
      <c r="Y42" s="385">
        <f t="shared" si="10"/>
        <v>11.863</v>
      </c>
      <c r="Z42" s="385">
        <f t="shared" si="11"/>
        <v>11.912797284947153</v>
      </c>
      <c r="AA42" s="386">
        <f t="shared" si="12"/>
        <v>12.286731606048166</v>
      </c>
      <c r="AB42" s="197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3.0433994416948402E-2</v>
      </c>
      <c r="AD42" s="231">
        <f>(INDEX(Models!$BJ42:$BT42,,AH42)*(1-AF42)+INDEX(Models!$BJ42:$BT42,,AH42+1)*AF42-ERP_i)*AE42*Ramure*Pc/MaxiM</f>
        <v>2.9481873449634051E-4</v>
      </c>
      <c r="AE42" s="305">
        <f t="shared" si="14"/>
        <v>0.7</v>
      </c>
      <c r="AF42" s="177">
        <f t="shared" si="15"/>
        <v>0.80042045060265266</v>
      </c>
      <c r="AG42" s="176">
        <f t="shared" si="16"/>
        <v>-2</v>
      </c>
      <c r="AH42" s="176">
        <f t="shared" si="17"/>
        <v>4</v>
      </c>
      <c r="AI42" s="225">
        <f t="shared" si="22"/>
        <v>-1.1995795493973473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6">
        <v>5.5919999999999996</v>
      </c>
      <c r="C43" s="390"/>
      <c r="D43" s="393">
        <f t="shared" si="0"/>
        <v>5.6156042075002803</v>
      </c>
      <c r="E43" s="385">
        <f t="shared" si="1"/>
        <v>5.7927870924943177</v>
      </c>
      <c r="F43" s="385">
        <f t="shared" si="2"/>
        <v>5.7927870924943177</v>
      </c>
      <c r="G43" s="110">
        <f t="shared" si="23"/>
        <v>0.22398403451565774</v>
      </c>
      <c r="H43" s="414" t="b">
        <f>Wh_hp&gt;='2018'!Maxi_hp</f>
        <v>1</v>
      </c>
      <c r="I43" s="390">
        <f>IF(H43,Wh_hp,'2018'!Maxi_hp)</f>
        <v>5.7927870924943177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4.2033246340179575E-3</v>
      </c>
      <c r="M43" s="844"/>
      <c r="N43" s="844"/>
      <c r="O43" s="48">
        <f>IF(t&lt;Tnet,'2018'!Resal+('2018'!Salim-'2018'!Resal)*(1-EXP(('2018'!Tnet-t)/('2018'!Tau_j))),Resal+(Salim-Resal)*(1-EXP((Tnet-t)/(Tau_j))))*Salcycl</f>
        <v>3.0586811178269051E-2</v>
      </c>
      <c r="P43" s="169">
        <f>(INDEX(Models!$BJ43:$BT43,,T43)*(1-R43)+INDEX(Models!$BJ43:$BT43,,T43+1)*R43-ERP_i)*Q43*Ramure*Pc/MaxiM</f>
        <v>3.1005199475889401E-4</v>
      </c>
      <c r="Q43" s="305">
        <f t="shared" si="4"/>
        <v>0.7</v>
      </c>
      <c r="R43" s="177">
        <f t="shared" si="5"/>
        <v>0.80049093155888085</v>
      </c>
      <c r="S43" s="810">
        <f t="shared" si="6"/>
        <v>-2</v>
      </c>
      <c r="T43" s="176">
        <f t="shared" si="7"/>
        <v>4</v>
      </c>
      <c r="U43" s="251">
        <f t="shared" si="21"/>
        <v>-1.1995090684411192</v>
      </c>
      <c r="V43" s="383">
        <f t="shared" si="8"/>
        <v>24.958324379385694</v>
      </c>
      <c r="W43" s="58"/>
      <c r="X43" s="157">
        <f t="shared" si="9"/>
        <v>43494</v>
      </c>
      <c r="Y43" s="385">
        <f t="shared" si="10"/>
        <v>5.5919999999999996</v>
      </c>
      <c r="Z43" s="385">
        <f t="shared" si="11"/>
        <v>5.6156042075002803</v>
      </c>
      <c r="AA43" s="386">
        <f t="shared" si="12"/>
        <v>5.7927870924943177</v>
      </c>
      <c r="AB43" s="197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3.0586811178269051E-2</v>
      </c>
      <c r="AD43" s="231">
        <f>(INDEX(Models!$BJ43:$BT43,,AH43)*(1-AF43)+INDEX(Models!$BJ43:$BT43,,AH43+1)*AF43-ERP_i)*AE43*Ramure*Pc/MaxiM</f>
        <v>3.1005199475889401E-4</v>
      </c>
      <c r="AE43" s="305">
        <f t="shared" si="14"/>
        <v>0.7</v>
      </c>
      <c r="AF43" s="177">
        <f t="shared" si="15"/>
        <v>0.80049093155888085</v>
      </c>
      <c r="AG43" s="176">
        <f t="shared" si="16"/>
        <v>-2</v>
      </c>
      <c r="AH43" s="176">
        <f t="shared" si="17"/>
        <v>4</v>
      </c>
      <c r="AI43" s="225">
        <f t="shared" si="22"/>
        <v>-1.1995090684411192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6">
        <v>7.4939999999999998</v>
      </c>
      <c r="C44" s="390"/>
      <c r="D44" s="393">
        <f t="shared" si="0"/>
        <v>7.5258078137610473</v>
      </c>
      <c r="E44" s="385">
        <f t="shared" si="1"/>
        <v>7.7644842401998151</v>
      </c>
      <c r="F44" s="385">
        <f t="shared" si="2"/>
        <v>7.7644842401998151</v>
      </c>
      <c r="G44" s="110">
        <f t="shared" si="23"/>
        <v>0.29654575253415166</v>
      </c>
      <c r="H44" s="414" t="b">
        <f>Wh_hp&gt;='2018'!Maxi_hp</f>
        <v>1</v>
      </c>
      <c r="I44" s="390">
        <f>IF(H44,Wh_hp,'2018'!Maxi_hp)</f>
        <v>7.7644842401998151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4.2264982774190551E-3</v>
      </c>
      <c r="M44" s="844"/>
      <c r="N44" s="844"/>
      <c r="O44" s="48">
        <f>IF(t&lt;Tnet,'2018'!Resal+('2018'!Salim-'2018'!Resal)*(1-EXP(('2018'!Tnet-t)/('2018'!Tau_j))),Resal+(Salim-Resal)*(1-EXP((Tnet-t)/(Tau_j))))*Salcycl</f>
        <v>3.0739508131531201E-2</v>
      </c>
      <c r="P44" s="169">
        <f>(INDEX(Models!$BJ44:$BT44,,T44)*(1-R44)+INDEX(Models!$BJ44:$BT44,,T44+1)*R44-ERP_i)*Q44*Ramure*Pc/MaxiM</f>
        <v>3.2581491121687562E-4</v>
      </c>
      <c r="Q44" s="305">
        <f t="shared" si="4"/>
        <v>0.7</v>
      </c>
      <c r="R44" s="177">
        <f t="shared" si="5"/>
        <v>0.80056434284927569</v>
      </c>
      <c r="S44" s="810">
        <f t="shared" si="6"/>
        <v>-2</v>
      </c>
      <c r="T44" s="176">
        <f t="shared" si="7"/>
        <v>4</v>
      </c>
      <c r="U44" s="251">
        <f t="shared" si="21"/>
        <v>-1.1994356571507243</v>
      </c>
      <c r="V44" s="383">
        <f t="shared" si="8"/>
        <v>25.26274033276729</v>
      </c>
      <c r="W44" s="58"/>
      <c r="X44" s="157">
        <f t="shared" si="9"/>
        <v>43495</v>
      </c>
      <c r="Y44" s="385">
        <f t="shared" si="10"/>
        <v>7.4939999999999998</v>
      </c>
      <c r="Z44" s="385">
        <f t="shared" si="11"/>
        <v>7.5258078137610473</v>
      </c>
      <c r="AA44" s="386">
        <f t="shared" si="12"/>
        <v>7.7644842401998151</v>
      </c>
      <c r="AB44" s="197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3.0739508131531201E-2</v>
      </c>
      <c r="AD44" s="231">
        <f>(INDEX(Models!$BJ44:$BT44,,AH44)*(1-AF44)+INDEX(Models!$BJ44:$BT44,,AH44+1)*AF44-ERP_i)*AE44*Ramure*Pc/MaxiM</f>
        <v>3.2581491121687562E-4</v>
      </c>
      <c r="AE44" s="305">
        <f t="shared" si="14"/>
        <v>0.7</v>
      </c>
      <c r="AF44" s="177">
        <f t="shared" si="15"/>
        <v>0.80056434284927569</v>
      </c>
      <c r="AG44" s="176">
        <f t="shared" si="16"/>
        <v>-2</v>
      </c>
      <c r="AH44" s="176">
        <f t="shared" si="17"/>
        <v>4</v>
      </c>
      <c r="AI44" s="225">
        <f t="shared" si="22"/>
        <v>-1.1994356571507243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6">
        <v>7.5830000000000002</v>
      </c>
      <c r="C45" s="390"/>
      <c r="D45" s="393">
        <f t="shared" si="0"/>
        <v>7.6153627893057232</v>
      </c>
      <c r="E45" s="385">
        <f t="shared" si="1"/>
        <v>7.8581163924232982</v>
      </c>
      <c r="F45" s="385">
        <f t="shared" si="2"/>
        <v>7.8581163924232982</v>
      </c>
      <c r="G45" s="110">
        <f t="shared" si="23"/>
        <v>0.29643363281721613</v>
      </c>
      <c r="H45" s="414" t="b">
        <f>Wh_hp&gt;='2018'!Maxi_hp</f>
        <v>1</v>
      </c>
      <c r="I45" s="390">
        <f>IF(H45,Wh_hp,'2018'!Maxi_hp)</f>
        <v>7.8581163924232982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4.2496713815355358E-3</v>
      </c>
      <c r="M45" s="844"/>
      <c r="N45" s="844"/>
      <c r="O45" s="48">
        <f>IF(t&lt;Tnet,'2018'!Resal+('2018'!Salim-'2018'!Resal)*(1-EXP(('2018'!Tnet-t)/('2018'!Tau_j))),Resal+(Salim-Resal)*(1-EXP((Tnet-t)/(Tau_j))))*Salcycl</f>
        <v>3.0892085455954177E-2</v>
      </c>
      <c r="P45" s="169">
        <f>(INDEX(Models!$BJ45:$BT45,,T45)*(1-R45)+INDEX(Models!$BJ45:$BT45,,T45+1)*R45-ERP_i)*Q45*Ramure*Pc/MaxiM</f>
        <v>3.4143152867015611E-4</v>
      </c>
      <c r="Q45" s="305">
        <f t="shared" si="4"/>
        <v>0.7</v>
      </c>
      <c r="R45" s="177">
        <f t="shared" si="5"/>
        <v>0.8006408051544196</v>
      </c>
      <c r="S45" s="810">
        <f t="shared" si="6"/>
        <v>-2</v>
      </c>
      <c r="T45" s="176">
        <f t="shared" si="7"/>
        <v>4</v>
      </c>
      <c r="U45" s="251">
        <f t="shared" si="21"/>
        <v>-1.1993591948455804</v>
      </c>
      <c r="V45" s="383">
        <f t="shared" si="8"/>
        <v>25.572033958077384</v>
      </c>
      <c r="W45" s="58"/>
      <c r="X45" s="157">
        <f t="shared" si="9"/>
        <v>43496</v>
      </c>
      <c r="Y45" s="385">
        <f t="shared" si="10"/>
        <v>7.5830000000000002</v>
      </c>
      <c r="Z45" s="385">
        <f t="shared" si="11"/>
        <v>7.6153627893057232</v>
      </c>
      <c r="AA45" s="386">
        <f t="shared" si="12"/>
        <v>7.8581163924232982</v>
      </c>
      <c r="AB45" s="197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3.0892085455954177E-2</v>
      </c>
      <c r="AD45" s="231">
        <f>(INDEX(Models!$BJ45:$BT45,,AH45)*(1-AF45)+INDEX(Models!$BJ45:$BT45,,AH45+1)*AF45-ERP_i)*AE45*Ramure*Pc/MaxiM</f>
        <v>3.4143152867015611E-4</v>
      </c>
      <c r="AE45" s="305">
        <f t="shared" si="14"/>
        <v>0.7</v>
      </c>
      <c r="AF45" s="177">
        <f t="shared" si="15"/>
        <v>0.8006408051544196</v>
      </c>
      <c r="AG45" s="176">
        <f t="shared" si="16"/>
        <v>-2</v>
      </c>
      <c r="AH45" s="176">
        <f t="shared" si="17"/>
        <v>4</v>
      </c>
      <c r="AI45" s="225">
        <f t="shared" si="22"/>
        <v>-1.1993591948455804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6">
        <v>20.398</v>
      </c>
      <c r="C46" s="390"/>
      <c r="D46" s="393">
        <f t="shared" si="0"/>
        <v>20.485531479169147</v>
      </c>
      <c r="E46" s="385">
        <f t="shared" si="1"/>
        <v>21.141871208539715</v>
      </c>
      <c r="F46" s="385">
        <f t="shared" si="2"/>
        <v>21.147132908302876</v>
      </c>
      <c r="G46" s="110">
        <f t="shared" si="23"/>
        <v>0.78791498797060955</v>
      </c>
      <c r="H46" s="414" t="b">
        <f>Wh_hp&gt;='2018'!Maxi_hp</f>
        <v>1</v>
      </c>
      <c r="I46" s="390">
        <f>IF(H46,Wh_hp,'2018'!Maxi_hp)</f>
        <v>21.147132908302876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4.2728439463801671E-3</v>
      </c>
      <c r="M46" s="844"/>
      <c r="N46" s="844"/>
      <c r="O46" s="48">
        <f>IF(t&lt;Tnet,'2018'!Resal+('2018'!Salim-'2018'!Resal)*(1-EXP(('2018'!Tnet-t)/('2018'!Tau_j))),Resal+(Salim-Resal)*(1-EXP((Tnet-t)/(Tau_j))))*Salcycl</f>
        <v>3.104454297808127E-2</v>
      </c>
      <c r="P46" s="169">
        <f>(INDEX(Models!$BJ46:$BT46,,T46)*(1-R46)+INDEX(Models!$BJ46:$BT46,,T46+1)*R46-ERP_i)*Q46*Ramure*Pc/MaxiM</f>
        <v>3.5690499149655886E-4</v>
      </c>
      <c r="Q46" s="305">
        <f t="shared" si="4"/>
        <v>0.7</v>
      </c>
      <c r="R46" s="177">
        <f t="shared" si="5"/>
        <v>0.80072044402677212</v>
      </c>
      <c r="S46" s="810">
        <f t="shared" si="6"/>
        <v>-2</v>
      </c>
      <c r="T46" s="176">
        <f t="shared" si="7"/>
        <v>4</v>
      </c>
      <c r="U46" s="251">
        <f t="shared" si="21"/>
        <v>-1.1992795559732279</v>
      </c>
      <c r="V46" s="383">
        <f t="shared" si="8"/>
        <v>25.885780724766416</v>
      </c>
      <c r="W46" s="58"/>
      <c r="X46" s="157">
        <f t="shared" si="9"/>
        <v>43497</v>
      </c>
      <c r="Y46" s="385">
        <f t="shared" si="10"/>
        <v>20.398</v>
      </c>
      <c r="Z46" s="385">
        <f t="shared" si="11"/>
        <v>20.485531479169147</v>
      </c>
      <c r="AA46" s="386">
        <f t="shared" si="12"/>
        <v>21.141871208539715</v>
      </c>
      <c r="AB46" s="197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3.104454297808127E-2</v>
      </c>
      <c r="AD46" s="231">
        <f>(INDEX(Models!$BJ46:$BT46,,AH46)*(1-AF46)+INDEX(Models!$BJ46:$BT46,,AH46+1)*AF46-ERP_i)*AE46*Ramure*Pc/MaxiM</f>
        <v>3.5690499149655886E-4</v>
      </c>
      <c r="AE46" s="305">
        <f t="shared" si="14"/>
        <v>0.7</v>
      </c>
      <c r="AF46" s="177">
        <f t="shared" si="15"/>
        <v>0.80072044402677212</v>
      </c>
      <c r="AG46" s="176">
        <f t="shared" si="16"/>
        <v>-2</v>
      </c>
      <c r="AH46" s="176">
        <f t="shared" si="17"/>
        <v>4</v>
      </c>
      <c r="AI46" s="225">
        <f t="shared" si="22"/>
        <v>-1.1992795559732279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6">
        <v>3.129</v>
      </c>
      <c r="C47" s="390"/>
      <c r="D47" s="393">
        <f t="shared" si="0"/>
        <v>3.1425002311850756</v>
      </c>
      <c r="E47" s="385">
        <f t="shared" si="1"/>
        <v>3.2436933437245528</v>
      </c>
      <c r="F47" s="385">
        <f t="shared" si="2"/>
        <v>3.2436933437245528</v>
      </c>
      <c r="G47" s="110">
        <f t="shared" si="23"/>
        <v>0.11936682230310744</v>
      </c>
      <c r="H47" s="414" t="b">
        <f>Wh_hp&gt;='2018'!Maxi_hp</f>
        <v>1</v>
      </c>
      <c r="I47" s="390">
        <f>IF(H47,Wh_hp,'2018'!Maxi_hp)</f>
        <v>3.2436933437245528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4.2960159719652724E-3</v>
      </c>
      <c r="M47" s="844"/>
      <c r="N47" s="844"/>
      <c r="O47" s="48">
        <f>IF(t&lt;Tnet,'2018'!Resal+('2018'!Salim-'2018'!Resal)*(1-EXP(('2018'!Tnet-t)/('2018'!Tau_j))),Resal+(Salim-Resal)*(1-EXP((Tnet-t)/(Tau_j))))*Salcycl</f>
        <v>3.1196880166015503E-2</v>
      </c>
      <c r="P47" s="169">
        <f>(INDEX(Models!$BJ47:$BT47,,T47)*(1-R47)+INDEX(Models!$BJ47:$BT47,,T47+1)*R47-ERP_i)*Q47*Ramure*Pc/MaxiM</f>
        <v>3.7223952536930883E-4</v>
      </c>
      <c r="Q47" s="305">
        <f t="shared" si="4"/>
        <v>0.7</v>
      </c>
      <c r="R47" s="177">
        <f t="shared" si="5"/>
        <v>0.80080339007896795</v>
      </c>
      <c r="S47" s="810">
        <f t="shared" si="6"/>
        <v>-2</v>
      </c>
      <c r="T47" s="176">
        <f t="shared" si="7"/>
        <v>4</v>
      </c>
      <c r="U47" s="251">
        <f t="shared" si="21"/>
        <v>-1.1991966099210321</v>
      </c>
      <c r="V47" s="383">
        <f t="shared" si="8"/>
        <v>26.203556416896365</v>
      </c>
      <c r="W47" s="58"/>
      <c r="X47" s="157">
        <f t="shared" si="9"/>
        <v>43498</v>
      </c>
      <c r="Y47" s="385">
        <f t="shared" si="10"/>
        <v>3.129</v>
      </c>
      <c r="Z47" s="385">
        <f t="shared" si="11"/>
        <v>3.1425002311850756</v>
      </c>
      <c r="AA47" s="386">
        <f t="shared" si="12"/>
        <v>3.2436933437245528</v>
      </c>
      <c r="AB47" s="197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3.1196880166015503E-2</v>
      </c>
      <c r="AD47" s="231">
        <f>(INDEX(Models!$BJ47:$BT47,,AH47)*(1-AF47)+INDEX(Models!$BJ47:$BT47,,AH47+1)*AF47-ERP_i)*AE47*Ramure*Pc/MaxiM</f>
        <v>3.7223952536930883E-4</v>
      </c>
      <c r="AE47" s="305">
        <f t="shared" si="14"/>
        <v>0.7</v>
      </c>
      <c r="AF47" s="177">
        <f t="shared" si="15"/>
        <v>0.80080339007896795</v>
      </c>
      <c r="AG47" s="176">
        <f t="shared" si="16"/>
        <v>-2</v>
      </c>
      <c r="AH47" s="176">
        <f t="shared" si="17"/>
        <v>4</v>
      </c>
      <c r="AI47" s="225">
        <f t="shared" si="22"/>
        <v>-1.1991966099210321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6">
        <v>11.928000000000001</v>
      </c>
      <c r="C48" s="390"/>
      <c r="D48" s="393">
        <f t="shared" si="0"/>
        <v>11.979742754659629</v>
      </c>
      <c r="E48" s="385">
        <f t="shared" si="1"/>
        <v>12.367451170273711</v>
      </c>
      <c r="F48" s="385">
        <f t="shared" si="2"/>
        <v>12.368475915455074</v>
      </c>
      <c r="G48" s="110">
        <f t="shared" si="23"/>
        <v>0.44955305651487315</v>
      </c>
      <c r="H48" s="414" t="b">
        <f>Wh_hp&gt;='2018'!Maxi_hp</f>
        <v>1</v>
      </c>
      <c r="I48" s="390">
        <f>IF(H48,Wh_hp,'2018'!Maxi_hp)</f>
        <v>12.368475915455074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4.3191874583035084E-3</v>
      </c>
      <c r="M48" s="844"/>
      <c r="N48" s="844"/>
      <c r="O48" s="48">
        <f>IF(t&lt;Tnet,'2018'!Resal+('2018'!Salim-'2018'!Resal)*(1-EXP(('2018'!Tnet-t)/('2018'!Tau_j))),Resal+(Salim-Resal)*(1-EXP((Tnet-t)/(Tau_j))))*Salcycl</f>
        <v>3.134909612952208E-2</v>
      </c>
      <c r="P48" s="169">
        <f>(INDEX(Models!$BJ48:$BT48,,T48)*(1-R48)+INDEX(Models!$BJ48:$BT48,,T48+1)*R48-ERP_i)*Q48*Ramure*Pc/MaxiM</f>
        <v>3.8744033991169782E-4</v>
      </c>
      <c r="Q48" s="305">
        <f t="shared" si="4"/>
        <v>0.7</v>
      </c>
      <c r="R48" s="177">
        <f t="shared" si="5"/>
        <v>0.80088977917867443</v>
      </c>
      <c r="S48" s="810">
        <f t="shared" si="6"/>
        <v>-2</v>
      </c>
      <c r="T48" s="176">
        <f t="shared" si="7"/>
        <v>4</v>
      </c>
      <c r="U48" s="251">
        <f t="shared" si="21"/>
        <v>-1.1991102208213256</v>
      </c>
      <c r="V48" s="383">
        <f t="shared" si="8"/>
        <v>26.524937132406649</v>
      </c>
      <c r="W48" s="58"/>
      <c r="X48" s="157">
        <f t="shared" si="9"/>
        <v>43499</v>
      </c>
      <c r="Y48" s="385">
        <f t="shared" si="10"/>
        <v>11.928000000000001</v>
      </c>
      <c r="Z48" s="385">
        <f t="shared" si="11"/>
        <v>11.979742754659629</v>
      </c>
      <c r="AA48" s="386">
        <f t="shared" si="12"/>
        <v>12.367451170273711</v>
      </c>
      <c r="AB48" s="197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3.134909612952208E-2</v>
      </c>
      <c r="AD48" s="231">
        <f>(INDEX(Models!$BJ48:$BT48,,AH48)*(1-AF48)+INDEX(Models!$BJ48:$BT48,,AH48+1)*AF48-ERP_i)*AE48*Ramure*Pc/MaxiM</f>
        <v>3.8744033991169782E-4</v>
      </c>
      <c r="AE48" s="305">
        <f t="shared" si="14"/>
        <v>0.7</v>
      </c>
      <c r="AF48" s="177">
        <f t="shared" si="15"/>
        <v>0.80088977917867443</v>
      </c>
      <c r="AG48" s="176">
        <f t="shared" si="16"/>
        <v>-2</v>
      </c>
      <c r="AH48" s="176">
        <f t="shared" si="17"/>
        <v>4</v>
      </c>
      <c r="AI48" s="225">
        <f t="shared" si="22"/>
        <v>-1.1991102208213256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6">
        <v>20.93</v>
      </c>
      <c r="C49" s="390"/>
      <c r="D49" s="393">
        <f t="shared" si="0"/>
        <v>21.021281940326013</v>
      </c>
      <c r="E49" s="385">
        <f t="shared" si="1"/>
        <v>21.705015757539172</v>
      </c>
      <c r="F49" s="385">
        <f t="shared" si="2"/>
        <v>21.711002332701614</v>
      </c>
      <c r="G49" s="110">
        <f t="shared" si="23"/>
        <v>0.77943151405288646</v>
      </c>
      <c r="H49" s="414" t="b">
        <f>Wh_hp&gt;='2018'!Maxi_hp</f>
        <v>1</v>
      </c>
      <c r="I49" s="390">
        <f>IF(H49,Wh_hp,'2018'!Maxi_hp)</f>
        <v>21.711002332701614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4.3423584054073094E-3</v>
      </c>
      <c r="M49" s="844"/>
      <c r="N49" s="844"/>
      <c r="O49" s="48">
        <f>IF(t&lt;Tnet,'2018'!Resal+('2018'!Salim-'2018'!Resal)*(1-EXP(('2018'!Tnet-t)/('2018'!Tau_j))),Resal+(Salim-Resal)*(1-EXP((Tnet-t)/(Tau_j))))*Salcycl</f>
        <v>3.1501189625981606E-2</v>
      </c>
      <c r="P49" s="169">
        <f>(INDEX(Models!$BJ49:$BT49,,T49)*(1-R49)+INDEX(Models!$BJ49:$BT49,,T49+1)*R49-ERP_i)*Q49*Ramure*Pc/MaxiM</f>
        <v>4.0251353806133958E-4</v>
      </c>
      <c r="Q49" s="305">
        <f t="shared" si="4"/>
        <v>0.7</v>
      </c>
      <c r="R49" s="177">
        <f t="shared" si="5"/>
        <v>0.80097975265016719</v>
      </c>
      <c r="S49" s="810">
        <f t="shared" si="6"/>
        <v>-2</v>
      </c>
      <c r="T49" s="176">
        <f t="shared" si="7"/>
        <v>4</v>
      </c>
      <c r="U49" s="251">
        <f t="shared" si="21"/>
        <v>-1.1990202473498328</v>
      </c>
      <c r="V49" s="383">
        <f t="shared" si="8"/>
        <v>26.849499288478921</v>
      </c>
      <c r="W49" s="58"/>
      <c r="X49" s="157">
        <f t="shared" si="9"/>
        <v>43500</v>
      </c>
      <c r="Y49" s="385">
        <f t="shared" si="10"/>
        <v>20.93</v>
      </c>
      <c r="Z49" s="385">
        <f t="shared" si="11"/>
        <v>21.021281940326013</v>
      </c>
      <c r="AA49" s="386">
        <f t="shared" si="12"/>
        <v>21.705015757539172</v>
      </c>
      <c r="AB49" s="197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3.1501189625981606E-2</v>
      </c>
      <c r="AD49" s="231">
        <f>(INDEX(Models!$BJ49:$BT49,,AH49)*(1-AF49)+INDEX(Models!$BJ49:$BT49,,AH49+1)*AF49-ERP_i)*AE49*Ramure*Pc/MaxiM</f>
        <v>4.0251353806133958E-4</v>
      </c>
      <c r="AE49" s="305">
        <f t="shared" si="14"/>
        <v>0.7</v>
      </c>
      <c r="AF49" s="177">
        <f t="shared" si="15"/>
        <v>0.80097975265016719</v>
      </c>
      <c r="AG49" s="176">
        <f t="shared" si="16"/>
        <v>-2</v>
      </c>
      <c r="AH49" s="176">
        <f t="shared" si="17"/>
        <v>4</v>
      </c>
      <c r="AI49" s="225">
        <f t="shared" si="22"/>
        <v>-1.1990202473498328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6">
        <v>3.5710000000000002</v>
      </c>
      <c r="C50" s="390"/>
      <c r="D50" s="393">
        <f t="shared" si="0"/>
        <v>3.5866576573465516</v>
      </c>
      <c r="E50" s="385">
        <f t="shared" si="1"/>
        <v>3.7038977210993544</v>
      </c>
      <c r="F50" s="385">
        <f t="shared" si="2"/>
        <v>3.7038977210993544</v>
      </c>
      <c r="G50" s="110">
        <f t="shared" si="23"/>
        <v>0.13134389082606637</v>
      </c>
      <c r="H50" s="414" t="b">
        <f>Wh_hp&gt;='2018'!Maxi_hp</f>
        <v>1</v>
      </c>
      <c r="I50" s="390">
        <f>IF(H50,Wh_hp,'2018'!Maxi_hp)</f>
        <v>3.7038977210993544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4.3655288132894432E-3</v>
      </c>
      <c r="M50" s="844"/>
      <c r="N50" s="844"/>
      <c r="O50" s="48">
        <f>IF(t&lt;Tnet,'2018'!Resal+('2018'!Salim-'2018'!Resal)*(1-EXP(('2018'!Tnet-t)/('2018'!Tau_j))),Resal+(Salim-Resal)*(1-EXP((Tnet-t)/(Tau_j))))*Salcycl</f>
        <v>3.1653159072115182E-2</v>
      </c>
      <c r="P50" s="169">
        <f>(INDEX(Models!$BJ50:$BT50,,T50)*(1-R50)+INDEX(Models!$BJ50:$BT50,,T50+1)*R50-ERP_i)*Q50*Ramure*Pc/MaxiM</f>
        <v>4.1746603278830995E-4</v>
      </c>
      <c r="Q50" s="305">
        <f t="shared" si="4"/>
        <v>0.7</v>
      </c>
      <c r="R50" s="177">
        <f t="shared" si="5"/>
        <v>0.8010734574827918</v>
      </c>
      <c r="S50" s="810">
        <f t="shared" si="6"/>
        <v>-2</v>
      </c>
      <c r="T50" s="176">
        <f t="shared" si="7"/>
        <v>4</v>
      </c>
      <c r="U50" s="251">
        <f t="shared" si="21"/>
        <v>-1.1989265425172082</v>
      </c>
      <c r="V50" s="383">
        <f t="shared" si="8"/>
        <v>27.176819617167236</v>
      </c>
      <c r="W50" s="58"/>
      <c r="X50" s="157">
        <f t="shared" si="9"/>
        <v>43501</v>
      </c>
      <c r="Y50" s="385">
        <f t="shared" si="10"/>
        <v>3.5710000000000002</v>
      </c>
      <c r="Z50" s="385">
        <f t="shared" si="11"/>
        <v>3.5866576573465516</v>
      </c>
      <c r="AA50" s="386">
        <f t="shared" si="12"/>
        <v>3.7038977210993544</v>
      </c>
      <c r="AB50" s="197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3.1653159072115182E-2</v>
      </c>
      <c r="AD50" s="231">
        <f>(INDEX(Models!$BJ50:$BT50,,AH50)*(1-AF50)+INDEX(Models!$BJ50:$BT50,,AH50+1)*AF50-ERP_i)*AE50*Ramure*Pc/MaxiM</f>
        <v>4.1746603278830995E-4</v>
      </c>
      <c r="AE50" s="305">
        <f t="shared" si="14"/>
        <v>0.7</v>
      </c>
      <c r="AF50" s="177">
        <f t="shared" si="15"/>
        <v>0.8010734574827918</v>
      </c>
      <c r="AG50" s="176">
        <f t="shared" si="16"/>
        <v>-2</v>
      </c>
      <c r="AH50" s="176">
        <f t="shared" si="17"/>
        <v>4</v>
      </c>
      <c r="AI50" s="225">
        <f t="shared" si="22"/>
        <v>-1.1989265425172082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6">
        <v>10.936999999999999</v>
      </c>
      <c r="C51" s="390"/>
      <c r="D51" s="393">
        <f t="shared" si="0"/>
        <v>10.985210780071577</v>
      </c>
      <c r="E51" s="385">
        <f t="shared" si="1"/>
        <v>11.3460726497583</v>
      </c>
      <c r="F51" s="385">
        <f t="shared" si="2"/>
        <v>11.346756472885906</v>
      </c>
      <c r="G51" s="110">
        <f t="shared" si="23"/>
        <v>0.39744241597357138</v>
      </c>
      <c r="H51" s="414" t="b">
        <f>Wh_hp&gt;='2018'!Maxi_hp</f>
        <v>1</v>
      </c>
      <c r="I51" s="390">
        <f>IF(H51,Wh_hp,'2018'!Maxi_hp)</f>
        <v>11.346756472885906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4.3886986819623441E-3</v>
      </c>
      <c r="M51" s="844"/>
      <c r="N51" s="844"/>
      <c r="O51" s="48">
        <f>IF(t&lt;Tnet,'2018'!Resal+('2018'!Salim-'2018'!Resal)*(1-EXP(('2018'!Tnet-t)/('2018'!Tau_j))),Resal+(Salim-Resal)*(1-EXP((Tnet-t)/(Tau_j))))*Salcycl</f>
        <v>3.180500256134091E-2</v>
      </c>
      <c r="P51" s="169">
        <f>(INDEX(Models!$BJ51:$BT51,,T51)*(1-R51)+INDEX(Models!$BJ51:$BT51,,T51+1)*R51-ERP_i)*Q51*Ramure*Pc/MaxiM</f>
        <v>4.3227815536078784E-4</v>
      </c>
      <c r="Q51" s="305">
        <f t="shared" si="4"/>
        <v>0.7</v>
      </c>
      <c r="R51" s="177">
        <f t="shared" si="5"/>
        <v>0.8011710465464672</v>
      </c>
      <c r="S51" s="810">
        <f t="shared" si="6"/>
        <v>-2</v>
      </c>
      <c r="T51" s="176">
        <f t="shared" si="7"/>
        <v>4</v>
      </c>
      <c r="U51" s="251">
        <f t="shared" si="21"/>
        <v>-1.1988289534535328</v>
      </c>
      <c r="V51" s="383">
        <f t="shared" si="8"/>
        <v>27.508214065619754</v>
      </c>
      <c r="W51" s="58"/>
      <c r="X51" s="157">
        <f t="shared" si="9"/>
        <v>43502</v>
      </c>
      <c r="Y51" s="385">
        <f t="shared" si="10"/>
        <v>10.936999999999999</v>
      </c>
      <c r="Z51" s="385">
        <f t="shared" si="11"/>
        <v>10.985210780071577</v>
      </c>
      <c r="AA51" s="386">
        <f t="shared" si="12"/>
        <v>11.3460726497583</v>
      </c>
      <c r="AB51" s="197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3.180500256134091E-2</v>
      </c>
      <c r="AD51" s="231">
        <f>(INDEX(Models!$BJ51:$BT51,,AH51)*(1-AF51)+INDEX(Models!$BJ51:$BT51,,AH51+1)*AF51-ERP_i)*AE51*Ramure*Pc/MaxiM</f>
        <v>4.3227815536078784E-4</v>
      </c>
      <c r="AE51" s="305">
        <f t="shared" si="14"/>
        <v>0.7</v>
      </c>
      <c r="AF51" s="177">
        <f t="shared" si="15"/>
        <v>0.8011710465464672</v>
      </c>
      <c r="AG51" s="176">
        <f t="shared" si="16"/>
        <v>-2</v>
      </c>
      <c r="AH51" s="176">
        <f t="shared" si="17"/>
        <v>4</v>
      </c>
      <c r="AI51" s="225">
        <f t="shared" si="22"/>
        <v>-1.1988289534535328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6">
        <v>6.6360000000000001</v>
      </c>
      <c r="C52" s="390"/>
      <c r="D52" s="393">
        <f t="shared" si="0"/>
        <v>6.6654068954653249</v>
      </c>
      <c r="E52" s="385">
        <f t="shared" si="1"/>
        <v>6.8854430567540055</v>
      </c>
      <c r="F52" s="385">
        <f t="shared" si="2"/>
        <v>6.8854430567540055</v>
      </c>
      <c r="G52" s="110">
        <f t="shared" si="23"/>
        <v>0.23821217519539029</v>
      </c>
      <c r="H52" s="414" t="b">
        <f>Wh_hp&gt;='2018'!Maxi_hp</f>
        <v>1</v>
      </c>
      <c r="I52" s="390">
        <f>IF(H52,Wh_hp,'2018'!Maxi_hp)</f>
        <v>6.8854430567540055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4.4118680114384468E-3</v>
      </c>
      <c r="M52" s="844"/>
      <c r="N52" s="844"/>
      <c r="O52" s="48">
        <f>IF(t&lt;Tnet,'2018'!Resal+('2018'!Salim-'2018'!Resal)*(1-EXP(('2018'!Tnet-t)/('2018'!Tau_j))),Resal+(Salim-Resal)*(1-EXP((Tnet-t)/(Tau_j))))*Salcycl</f>
        <v>3.1956717886562881E-2</v>
      </c>
      <c r="P52" s="169">
        <f>(INDEX(Models!$BJ52:$BT52,,T52)*(1-R52)+INDEX(Models!$BJ52:$BT52,,T52+1)*R52-ERP_i)*Q52*Ramure*Pc/MaxiM</f>
        <v>4.4554650063427298E-4</v>
      </c>
      <c r="Q52" s="305">
        <f t="shared" si="4"/>
        <v>0.7</v>
      </c>
      <c r="R52" s="177">
        <f t="shared" si="5"/>
        <v>0.80127267881438824</v>
      </c>
      <c r="S52" s="810">
        <f t="shared" si="6"/>
        <v>-2</v>
      </c>
      <c r="T52" s="176">
        <f t="shared" si="7"/>
        <v>4</v>
      </c>
      <c r="U52" s="251">
        <f t="shared" si="21"/>
        <v>-1.1987273211856118</v>
      </c>
      <c r="V52" s="383">
        <f t="shared" si="8"/>
        <v>27.845106355210969</v>
      </c>
      <c r="W52" s="58"/>
      <c r="X52" s="157">
        <f t="shared" si="9"/>
        <v>43503</v>
      </c>
      <c r="Y52" s="385">
        <f t="shared" si="10"/>
        <v>6.6360000000000001</v>
      </c>
      <c r="Z52" s="385">
        <f t="shared" si="11"/>
        <v>6.6654068954653249</v>
      </c>
      <c r="AA52" s="386">
        <f t="shared" si="12"/>
        <v>6.8854430567540055</v>
      </c>
      <c r="AB52" s="197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3.1956717886562881E-2</v>
      </c>
      <c r="AD52" s="231">
        <f>(INDEX(Models!$BJ52:$BT52,,AH52)*(1-AF52)+INDEX(Models!$BJ52:$BT52,,AH52+1)*AF52-ERP_i)*AE52*Ramure*Pc/MaxiM</f>
        <v>4.4554650063427298E-4</v>
      </c>
      <c r="AE52" s="305">
        <f t="shared" si="14"/>
        <v>0.7</v>
      </c>
      <c r="AF52" s="177">
        <f t="shared" si="15"/>
        <v>0.80127267881438824</v>
      </c>
      <c r="AG52" s="176">
        <f t="shared" si="16"/>
        <v>-2</v>
      </c>
      <c r="AH52" s="176">
        <f t="shared" si="17"/>
        <v>4</v>
      </c>
      <c r="AI52" s="225">
        <f t="shared" si="22"/>
        <v>-1.1987273211856118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6">
        <v>23.454999999999998</v>
      </c>
      <c r="C53" s="390"/>
      <c r="D53" s="393">
        <f t="shared" si="0"/>
        <v>23.559487192729652</v>
      </c>
      <c r="E53" s="385">
        <f t="shared" si="1"/>
        <v>24.34103655940099</v>
      </c>
      <c r="F53" s="385">
        <f t="shared" si="2"/>
        <v>24.349491627953295</v>
      </c>
      <c r="G53" s="110">
        <f t="shared" si="23"/>
        <v>0.83202431044107927</v>
      </c>
      <c r="H53" s="414" t="b">
        <f>Wh_hp&gt;='2018'!Maxi_hp</f>
        <v>1</v>
      </c>
      <c r="I53" s="390">
        <f>IF(H53,Wh_hp,'2018'!Maxi_hp)</f>
        <v>24.349491627953295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4.4350368017305186E-3</v>
      </c>
      <c r="M53" s="844"/>
      <c r="N53" s="844"/>
      <c r="O53" s="48">
        <f>IF(t&lt;Tnet,'2018'!Resal+('2018'!Salim-'2018'!Resal)*(1-EXP(('2018'!Tnet-t)/('2018'!Tau_j))),Resal+(Salim-Resal)*(1-EXP((Tnet-t)/(Tau_j))))*Salcycl</f>
        <v>3.2108302568137306E-2</v>
      </c>
      <c r="P53" s="169">
        <f>(INDEX(Models!$BJ53:$BT53,,T53)*(1-R53)+INDEX(Models!$BJ53:$BT53,,T53+1)*R53-ERP_i)*Q53*Ramure*Pc/MaxiM</f>
        <v>4.5679291731232069E-4</v>
      </c>
      <c r="Q53" s="305">
        <f t="shared" si="4"/>
        <v>0.7</v>
      </c>
      <c r="R53" s="177">
        <f t="shared" si="5"/>
        <v>0.80137851959308137</v>
      </c>
      <c r="S53" s="810">
        <f t="shared" si="6"/>
        <v>-2</v>
      </c>
      <c r="T53" s="176">
        <f t="shared" si="7"/>
        <v>4</v>
      </c>
      <c r="U53" s="251">
        <f t="shared" si="21"/>
        <v>-1.1986214804069186</v>
      </c>
      <c r="V53" s="383">
        <f t="shared" si="8"/>
        <v>28.187192612427108</v>
      </c>
      <c r="W53" s="58"/>
      <c r="X53" s="157">
        <f t="shared" si="9"/>
        <v>43504</v>
      </c>
      <c r="Y53" s="385">
        <f t="shared" si="10"/>
        <v>23.454999999999998</v>
      </c>
      <c r="Z53" s="385">
        <f t="shared" si="11"/>
        <v>23.559487192729652</v>
      </c>
      <c r="AA53" s="386">
        <f t="shared" si="12"/>
        <v>24.34103655940099</v>
      </c>
      <c r="AB53" s="197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3.2108302568137306E-2</v>
      </c>
      <c r="AD53" s="231">
        <f>(INDEX(Models!$BJ53:$BT53,,AH53)*(1-AF53)+INDEX(Models!$BJ53:$BT53,,AH53+1)*AF53-ERP_i)*AE53*Ramure*Pc/MaxiM</f>
        <v>4.5679291731232069E-4</v>
      </c>
      <c r="AE53" s="305">
        <f t="shared" si="14"/>
        <v>0.7</v>
      </c>
      <c r="AF53" s="177">
        <f t="shared" si="15"/>
        <v>0.80137851959308137</v>
      </c>
      <c r="AG53" s="176">
        <f t="shared" si="16"/>
        <v>-2</v>
      </c>
      <c r="AH53" s="176">
        <f t="shared" si="17"/>
        <v>4</v>
      </c>
      <c r="AI53" s="225">
        <f t="shared" si="22"/>
        <v>-1.1986214804069186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6">
        <v>25.204999999999998</v>
      </c>
      <c r="C54" s="390"/>
      <c r="D54" s="393">
        <f t="shared" si="0"/>
        <v>25.317872266064001</v>
      </c>
      <c r="E54" s="385">
        <f t="shared" si="1"/>
        <v>26.16184701188925</v>
      </c>
      <c r="F54" s="385">
        <f t="shared" si="2"/>
        <v>26.172012335297985</v>
      </c>
      <c r="G54" s="110">
        <f t="shared" si="23"/>
        <v>0.88325874267017224</v>
      </c>
      <c r="H54" s="414" t="b">
        <f>Wh_hp&gt;='2018'!Maxi_hp</f>
        <v>1</v>
      </c>
      <c r="I54" s="390">
        <f>IF(H54,Wh_hp,'2018'!Maxi_hp)</f>
        <v>26.172012335297985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4.4582050528509942E-3</v>
      </c>
      <c r="M54" s="844"/>
      <c r="N54" s="844"/>
      <c r="O54" s="48">
        <f>IF(t&lt;Tnet,'2018'!Resal+('2018'!Salim-'2018'!Resal)*(1-EXP(('2018'!Tnet-t)/('2018'!Tau_j))),Resal+(Salim-Resal)*(1-EXP((Tnet-t)/(Tau_j))))*Salcycl</f>
        <v>3.2259753886707848E-2</v>
      </c>
      <c r="P54" s="169">
        <f>(INDEX(Models!$BJ54:$BT54,,T54)*(1-R54)+INDEX(Models!$BJ54:$BT54,,T54+1)*R54-ERP_i)*Q54*Ramure*Pc/MaxiM</f>
        <v>4.6608996645738855E-4</v>
      </c>
      <c r="Q54" s="305">
        <f t="shared" si="4"/>
        <v>0.7</v>
      </c>
      <c r="R54" s="177">
        <f t="shared" si="5"/>
        <v>0.80148874075995424</v>
      </c>
      <c r="S54" s="810">
        <f t="shared" si="6"/>
        <v>-2</v>
      </c>
      <c r="T54" s="176">
        <f t="shared" si="7"/>
        <v>4</v>
      </c>
      <c r="U54" s="251">
        <f t="shared" si="21"/>
        <v>-1.1985112592400458</v>
      </c>
      <c r="V54" s="383">
        <f t="shared" si="8"/>
        <v>28.534154212841202</v>
      </c>
      <c r="W54" s="58"/>
      <c r="X54" s="157">
        <f t="shared" si="9"/>
        <v>43505</v>
      </c>
      <c r="Y54" s="385">
        <f t="shared" si="10"/>
        <v>25.204999999999998</v>
      </c>
      <c r="Z54" s="385">
        <f t="shared" si="11"/>
        <v>25.317872266064001</v>
      </c>
      <c r="AA54" s="386">
        <f t="shared" si="12"/>
        <v>26.16184701188925</v>
      </c>
      <c r="AB54" s="197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3.2259753886707848E-2</v>
      </c>
      <c r="AD54" s="231">
        <f>(INDEX(Models!$BJ54:$BT54,,AH54)*(1-AF54)+INDEX(Models!$BJ54:$BT54,,AH54+1)*AF54-ERP_i)*AE54*Ramure*Pc/MaxiM</f>
        <v>4.6608996645738855E-4</v>
      </c>
      <c r="AE54" s="305">
        <f t="shared" si="14"/>
        <v>0.7</v>
      </c>
      <c r="AF54" s="177">
        <f t="shared" si="15"/>
        <v>0.80148874075995424</v>
      </c>
      <c r="AG54" s="176">
        <f t="shared" si="16"/>
        <v>-2</v>
      </c>
      <c r="AH54" s="176">
        <f t="shared" si="17"/>
        <v>4</v>
      </c>
      <c r="AI54" s="225">
        <f t="shared" si="22"/>
        <v>-1.1985112592400458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6">
        <v>9.0660000000000007</v>
      </c>
      <c r="C55" s="390"/>
      <c r="D55" s="393">
        <f t="shared" si="0"/>
        <v>9.1068110148562695</v>
      </c>
      <c r="E55" s="385">
        <f t="shared" si="1"/>
        <v>9.4118594398312094</v>
      </c>
      <c r="F55" s="385">
        <f t="shared" si="2"/>
        <v>9.4119476687276933</v>
      </c>
      <c r="G55" s="110">
        <f t="shared" si="23"/>
        <v>0.31371234397661774</v>
      </c>
      <c r="H55" s="414" t="b">
        <f>Wh_hp&gt;='2018'!Maxi_hp</f>
        <v>1</v>
      </c>
      <c r="I55" s="390">
        <f>IF(H55,Wh_hp,'2018'!Maxi_hp)</f>
        <v>9.4119476687276933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4.4813727648123081E-3</v>
      </c>
      <c r="M55" s="844"/>
      <c r="N55" s="844"/>
      <c r="O55" s="48">
        <f>IF(t&lt;Tnet,'2018'!Resal+('2018'!Salim-'2018'!Resal)*(1-EXP(('2018'!Tnet-t)/('2018'!Tau_j))),Resal+(Salim-Resal)*(1-EXP((Tnet-t)/(Tau_j))))*Salcycl</f>
        <v>3.2411068920554363E-2</v>
      </c>
      <c r="P55" s="169">
        <f>(INDEX(Models!$BJ55:$BT55,,T55)*(1-R55)+INDEX(Models!$BJ55:$BT55,,T55+1)*R55-ERP_i)*Q55*Ramure*Pc/MaxiM</f>
        <v>4.7350903343544272E-4</v>
      </c>
      <c r="Q55" s="305">
        <f t="shared" si="4"/>
        <v>0.7</v>
      </c>
      <c r="R55" s="177">
        <f t="shared" si="5"/>
        <v>0.8016035210084842</v>
      </c>
      <c r="S55" s="810">
        <f t="shared" si="6"/>
        <v>-2</v>
      </c>
      <c r="T55" s="176">
        <f t="shared" si="7"/>
        <v>4</v>
      </c>
      <c r="U55" s="251">
        <f t="shared" si="21"/>
        <v>-1.1983964789915158</v>
      </c>
      <c r="V55" s="383">
        <f t="shared" si="8"/>
        <v>28.885672775019234</v>
      </c>
      <c r="W55" s="58"/>
      <c r="X55" s="157">
        <f t="shared" si="9"/>
        <v>43506</v>
      </c>
      <c r="Y55" s="385">
        <f t="shared" si="10"/>
        <v>9.0660000000000007</v>
      </c>
      <c r="Z55" s="385">
        <f t="shared" si="11"/>
        <v>9.1068110148562695</v>
      </c>
      <c r="AA55" s="386">
        <f t="shared" si="12"/>
        <v>9.4118594398312094</v>
      </c>
      <c r="AB55" s="197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3.2411068920554363E-2</v>
      </c>
      <c r="AD55" s="231">
        <f>(INDEX(Models!$BJ55:$BT55,,AH55)*(1-AF55)+INDEX(Models!$BJ55:$BT55,,AH55+1)*AF55-ERP_i)*AE55*Ramure*Pc/MaxiM</f>
        <v>4.7350903343544272E-4</v>
      </c>
      <c r="AE55" s="305">
        <f t="shared" si="14"/>
        <v>0.7</v>
      </c>
      <c r="AF55" s="177">
        <f t="shared" si="15"/>
        <v>0.8016035210084842</v>
      </c>
      <c r="AG55" s="176">
        <f t="shared" si="16"/>
        <v>-2</v>
      </c>
      <c r="AH55" s="176">
        <f t="shared" si="17"/>
        <v>4</v>
      </c>
      <c r="AI55" s="225">
        <f t="shared" si="22"/>
        <v>-1.1983964789915158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6">
        <v>18.308</v>
      </c>
      <c r="C56" s="390"/>
      <c r="D56" s="393">
        <f t="shared" si="0"/>
        <v>18.390842283552868</v>
      </c>
      <c r="E56" s="385">
        <f t="shared" si="1"/>
        <v>19.009845523036081</v>
      </c>
      <c r="F56" s="385">
        <f t="shared" si="2"/>
        <v>19.014089469988399</v>
      </c>
      <c r="G56" s="110">
        <f t="shared" si="23"/>
        <v>0.62593770103191049</v>
      </c>
      <c r="H56" s="414" t="b">
        <f>Wh_hp&gt;='2018'!Maxi_hp</f>
        <v>1</v>
      </c>
      <c r="I56" s="390">
        <f>IF(H56,Wh_hp,'2018'!Maxi_hp)</f>
        <v>19.014089469988399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4.5045399376272277E-3</v>
      </c>
      <c r="M56" s="844"/>
      <c r="N56" s="844"/>
      <c r="O56" s="48">
        <f>IF(t&lt;Tnet,'2018'!Resal+('2018'!Salim-'2018'!Resal)*(1-EXP(('2018'!Tnet-t)/('2018'!Tau_j))),Resal+(Salim-Resal)*(1-EXP((Tnet-t)/(Tau_j))))*Salcycl</f>
        <v>3.256224458705393E-2</v>
      </c>
      <c r="P56" s="169">
        <f>(INDEX(Models!$BJ56:$BT56,,T56)*(1-R56)+INDEX(Models!$BJ56:$BT56,,T56+1)*R56-ERP_i)*Q56*Ramure*Pc/MaxiM</f>
        <v>4.7912006757693529E-4</v>
      </c>
      <c r="Q56" s="305">
        <f t="shared" si="4"/>
        <v>0.7</v>
      </c>
      <c r="R56" s="177">
        <f t="shared" si="5"/>
        <v>0.80172304610117306</v>
      </c>
      <c r="S56" s="810">
        <f t="shared" si="6"/>
        <v>-2</v>
      </c>
      <c r="T56" s="176">
        <f t="shared" si="7"/>
        <v>4</v>
      </c>
      <c r="U56" s="251">
        <f t="shared" si="21"/>
        <v>-1.1982769538988269</v>
      </c>
      <c r="V56" s="383">
        <f t="shared" si="8"/>
        <v>29.241430163606456</v>
      </c>
      <c r="W56" s="58"/>
      <c r="X56" s="157">
        <f t="shared" si="9"/>
        <v>43507</v>
      </c>
      <c r="Y56" s="385">
        <f t="shared" si="10"/>
        <v>18.308</v>
      </c>
      <c r="Z56" s="385">
        <f t="shared" si="11"/>
        <v>18.390842283552868</v>
      </c>
      <c r="AA56" s="386">
        <f t="shared" si="12"/>
        <v>19.009845523036081</v>
      </c>
      <c r="AB56" s="197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3.256224458705393E-2</v>
      </c>
      <c r="AD56" s="231">
        <f>(INDEX(Models!$BJ56:$BT56,,AH56)*(1-AF56)+INDEX(Models!$BJ56:$BT56,,AH56+1)*AF56-ERP_i)*AE56*Ramure*Pc/MaxiM</f>
        <v>4.7912006757693529E-4</v>
      </c>
      <c r="AE56" s="305">
        <f t="shared" si="14"/>
        <v>0.7</v>
      </c>
      <c r="AF56" s="177">
        <f t="shared" si="15"/>
        <v>0.80172304610117306</v>
      </c>
      <c r="AG56" s="176">
        <f t="shared" si="16"/>
        <v>-2</v>
      </c>
      <c r="AH56" s="176">
        <f t="shared" si="17"/>
        <v>4</v>
      </c>
      <c r="AI56" s="225">
        <f t="shared" si="22"/>
        <v>-1.1982769538988269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6">
        <v>29.913</v>
      </c>
      <c r="C57" s="390"/>
      <c r="D57" s="393">
        <f t="shared" si="0"/>
        <v>30.049053296070205</v>
      </c>
      <c r="E57" s="385">
        <f t="shared" si="1"/>
        <v>31.065301117998906</v>
      </c>
      <c r="F57" s="385">
        <f t="shared" si="2"/>
        <v>31.080312640486358</v>
      </c>
      <c r="G57" s="110">
        <f t="shared" si="23"/>
        <v>1.0105364809120436</v>
      </c>
      <c r="H57" s="414" t="b">
        <f>Wh_hp&gt;='2018'!Maxi_hp</f>
        <v>1</v>
      </c>
      <c r="I57" s="390">
        <f>IF(H57,Wh_hp,'2018'!Maxi_hp)</f>
        <v>31.080312640486358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4.5277065713080766E-3</v>
      </c>
      <c r="M57" s="844"/>
      <c r="N57" s="844"/>
      <c r="O57" s="48">
        <f>IF(t&lt;Tnet,'2018'!Resal+('2018'!Salim-'2018'!Resal)*(1-EXP(('2018'!Tnet-t)/('2018'!Tau_j))),Resal+(Salim-Resal)*(1-EXP((Tnet-t)/(Tau_j))))*Salcycl</f>
        <v>3.2713277687815366E-2</v>
      </c>
      <c r="P57" s="169">
        <f>(INDEX(Models!$BJ57:$BT57,,T57)*(1-R57)+INDEX(Models!$BJ57:$BT57,,T57+1)*R57-ERP_i)*Q57*Ramure*Pc/MaxiM</f>
        <v>4.8299136051477867E-4</v>
      </c>
      <c r="Q57" s="305">
        <f t="shared" si="4"/>
        <v>0.7</v>
      </c>
      <c r="R57" s="177">
        <f t="shared" si="5"/>
        <v>0.80184750913039138</v>
      </c>
      <c r="S57" s="810">
        <f t="shared" si="6"/>
        <v>-2</v>
      </c>
      <c r="T57" s="176">
        <f t="shared" si="7"/>
        <v>4</v>
      </c>
      <c r="U57" s="251">
        <f t="shared" si="21"/>
        <v>-1.1981524908696086</v>
      </c>
      <c r="V57" s="383">
        <f t="shared" si="8"/>
        <v>29.601108485467542</v>
      </c>
      <c r="W57" s="58"/>
      <c r="X57" s="157">
        <f t="shared" si="9"/>
        <v>43508</v>
      </c>
      <c r="Y57" s="385">
        <f t="shared" si="10"/>
        <v>29.913</v>
      </c>
      <c r="Z57" s="385">
        <f t="shared" si="11"/>
        <v>30.049053296070205</v>
      </c>
      <c r="AA57" s="386">
        <f t="shared" si="12"/>
        <v>31.065301117998906</v>
      </c>
      <c r="AB57" s="197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3.2713277687815366E-2</v>
      </c>
      <c r="AD57" s="231">
        <f>(INDEX(Models!$BJ57:$BT57,,AH57)*(1-AF57)+INDEX(Models!$BJ57:$BT57,,AH57+1)*AF57-ERP_i)*AE57*Ramure*Pc/MaxiM</f>
        <v>4.8299136051477867E-4</v>
      </c>
      <c r="AE57" s="305">
        <f t="shared" si="14"/>
        <v>0.7</v>
      </c>
      <c r="AF57" s="177">
        <f t="shared" si="15"/>
        <v>0.80184750913039138</v>
      </c>
      <c r="AG57" s="176">
        <f t="shared" si="16"/>
        <v>-2</v>
      </c>
      <c r="AH57" s="176">
        <f t="shared" si="17"/>
        <v>4</v>
      </c>
      <c r="AI57" s="225">
        <f t="shared" si="22"/>
        <v>-1.1981524908696086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6">
        <v>30.881</v>
      </c>
      <c r="C58" s="390"/>
      <c r="D58" s="393">
        <f t="shared" si="0"/>
        <v>31.022177981813115</v>
      </c>
      <c r="E58" s="385">
        <f t="shared" si="1"/>
        <v>32.076340114555123</v>
      </c>
      <c r="F58" s="385">
        <f t="shared" si="2"/>
        <v>32.091869543727995</v>
      </c>
      <c r="G58" s="110">
        <f t="shared" si="23"/>
        <v>1.0305886500729449</v>
      </c>
      <c r="H58" s="414" t="b">
        <f>Wh_hp&gt;='2018'!Maxi_hp</f>
        <v>1</v>
      </c>
      <c r="I58" s="390">
        <f>IF(H58,Wh_hp,'2018'!Maxi_hp)</f>
        <v>32.091869543727995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4.5508726658676224E-3</v>
      </c>
      <c r="M58" s="844"/>
      <c r="N58" s="844"/>
      <c r="O58" s="48">
        <f>IF(t&lt;Tnet,'2018'!Resal+('2018'!Salim-'2018'!Resal)*(1-EXP(('2018'!Tnet-t)/('2018'!Tau_j))),Resal+(Salim-Resal)*(1-EXP((Tnet-t)/(Tau_j))))*Salcycl</f>
        <v>3.2864164957013518E-2</v>
      </c>
      <c r="P58" s="169">
        <f>(INDEX(Models!$BJ58:$BT58,,T58)*(1-R58)+INDEX(Models!$BJ58:$BT58,,T58+1)*R58-ERP_i)*Q58*Ramure*Pc/MaxiM</f>
        <v>4.8390540637446123E-4</v>
      </c>
      <c r="Q58" s="305">
        <f t="shared" si="4"/>
        <v>0.7</v>
      </c>
      <c r="R58" s="177">
        <f t="shared" si="5"/>
        <v>0.80197711078722289</v>
      </c>
      <c r="S58" s="810">
        <f t="shared" si="6"/>
        <v>-2</v>
      </c>
      <c r="T58" s="176">
        <f t="shared" si="7"/>
        <v>4</v>
      </c>
      <c r="U58" s="251">
        <f t="shared" si="21"/>
        <v>-1.1980228892127771</v>
      </c>
      <c r="V58" s="383">
        <f t="shared" si="8"/>
        <v>29.96442857954456</v>
      </c>
      <c r="W58" s="58"/>
      <c r="X58" s="157">
        <f t="shared" si="9"/>
        <v>43509</v>
      </c>
      <c r="Y58" s="385">
        <f t="shared" si="10"/>
        <v>30.881</v>
      </c>
      <c r="Z58" s="385">
        <f t="shared" si="11"/>
        <v>31.022177981813115</v>
      </c>
      <c r="AA58" s="386">
        <f t="shared" si="12"/>
        <v>32.076340114555123</v>
      </c>
      <c r="AB58" s="197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3.2864164957013518E-2</v>
      </c>
      <c r="AD58" s="231">
        <f>(INDEX(Models!$BJ58:$BT58,,AH58)*(1-AF58)+INDEX(Models!$BJ58:$BT58,,AH58+1)*AF58-ERP_i)*AE58*Ramure*Pc/MaxiM</f>
        <v>4.8390540637446123E-4</v>
      </c>
      <c r="AE58" s="305">
        <f t="shared" si="14"/>
        <v>0.7</v>
      </c>
      <c r="AF58" s="177">
        <f t="shared" si="15"/>
        <v>0.80197711078722289</v>
      </c>
      <c r="AG58" s="176">
        <f t="shared" si="16"/>
        <v>-2</v>
      </c>
      <c r="AH58" s="176">
        <f t="shared" si="17"/>
        <v>4</v>
      </c>
      <c r="AI58" s="225">
        <f t="shared" si="22"/>
        <v>-1.1980228892127771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6">
        <v>30.997</v>
      </c>
      <c r="C59" s="390"/>
      <c r="D59" s="393">
        <f t="shared" si="0"/>
        <v>31.139432956533362</v>
      </c>
      <c r="E59" s="385">
        <f t="shared" si="1"/>
        <v>32.202598630280271</v>
      </c>
      <c r="F59" s="385">
        <f t="shared" si="2"/>
        <v>32.218134869509122</v>
      </c>
      <c r="G59" s="110">
        <f t="shared" si="23"/>
        <v>1.0219555249339642</v>
      </c>
      <c r="H59" s="414" t="b">
        <f>Wh_hp&gt;='2018'!Maxi_hp</f>
        <v>1</v>
      </c>
      <c r="I59" s="390">
        <f>IF(H59,Wh_hp,'2018'!Maxi_hp)</f>
        <v>32.218134869509122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4.5740382213182995E-3</v>
      </c>
      <c r="M59" s="844"/>
      <c r="N59" s="844"/>
      <c r="O59" s="48">
        <f>IF(t&lt;Tnet,'2018'!Resal+('2018'!Salim-'2018'!Resal)*(1-EXP(('2018'!Tnet-t)/('2018'!Tau_j))),Resal+(Salim-Resal)*(1-EXP((Tnet-t)/(Tau_j))))*Salcycl</f>
        <v>3.3014903112421702E-2</v>
      </c>
      <c r="P59" s="169">
        <f>(INDEX(Models!$BJ59:$BT59,,T59)*(1-R59)+INDEX(Models!$BJ59:$BT59,,T59+1)*R59-ERP_i)*Q59*Ramure*Pc/MaxiM</f>
        <v>4.8222031758735762E-4</v>
      </c>
      <c r="Q59" s="305">
        <f t="shared" si="4"/>
        <v>0.7</v>
      </c>
      <c r="R59" s="177">
        <f t="shared" si="5"/>
        <v>0.80211205963840815</v>
      </c>
      <c r="S59" s="810">
        <f t="shared" si="6"/>
        <v>-2</v>
      </c>
      <c r="T59" s="176">
        <f t="shared" si="7"/>
        <v>4</v>
      </c>
      <c r="U59" s="251">
        <f t="shared" si="21"/>
        <v>-1.1978879403615919</v>
      </c>
      <c r="V59" s="383">
        <f t="shared" si="8"/>
        <v>30.331065534386088</v>
      </c>
      <c r="W59" s="58"/>
      <c r="X59" s="157">
        <f t="shared" si="9"/>
        <v>43510</v>
      </c>
      <c r="Y59" s="385">
        <f t="shared" si="10"/>
        <v>30.997</v>
      </c>
      <c r="Z59" s="385">
        <f t="shared" si="11"/>
        <v>31.139432956533362</v>
      </c>
      <c r="AA59" s="386">
        <f t="shared" si="12"/>
        <v>32.202598630280271</v>
      </c>
      <c r="AB59" s="197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3.3014903112421702E-2</v>
      </c>
      <c r="AD59" s="231">
        <f>(INDEX(Models!$BJ59:$BT59,,AH59)*(1-AF59)+INDEX(Models!$BJ59:$BT59,,AH59+1)*AF59-ERP_i)*AE59*Ramure*Pc/MaxiM</f>
        <v>4.8222031758735762E-4</v>
      </c>
      <c r="AE59" s="305">
        <f t="shared" si="14"/>
        <v>0.7</v>
      </c>
      <c r="AF59" s="177">
        <f t="shared" si="15"/>
        <v>0.80211205963840815</v>
      </c>
      <c r="AG59" s="176">
        <f t="shared" si="16"/>
        <v>-2</v>
      </c>
      <c r="AH59" s="176">
        <f t="shared" si="17"/>
        <v>4</v>
      </c>
      <c r="AI59" s="225">
        <f t="shared" si="22"/>
        <v>-1.1978879403615919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6">
        <v>31.257999999999999</v>
      </c>
      <c r="C60" s="390"/>
      <c r="D60" s="393">
        <f t="shared" si="0"/>
        <v>31.402363045061328</v>
      </c>
      <c r="E60" s="385">
        <f t="shared" si="1"/>
        <v>32.47956365315688</v>
      </c>
      <c r="F60" s="385">
        <f t="shared" si="2"/>
        <v>32.495097407012501</v>
      </c>
      <c r="G60" s="110">
        <f t="shared" si="23"/>
        <v>1.0181526076071767</v>
      </c>
      <c r="H60" s="414" t="b">
        <f>Wh_hp&gt;='2018'!Maxi_hp</f>
        <v>1</v>
      </c>
      <c r="I60" s="390">
        <f>IF(H60,Wh_hp,'2018'!Maxi_hp)</f>
        <v>32.495097407012501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4.5972032376726535E-3</v>
      </c>
      <c r="M60" s="844"/>
      <c r="N60" s="844"/>
      <c r="O60" s="48">
        <f>IF(t&lt;Tnet,'2018'!Resal+('2018'!Salim-'2018'!Resal)*(1-EXP(('2018'!Tnet-t)/('2018'!Tau_j))),Resal+(Salim-Resal)*(1-EXP((Tnet-t)/(Tau_j))))*Salcycl</f>
        <v>3.3165488908618673E-2</v>
      </c>
      <c r="P60" s="169">
        <f>(INDEX(Models!$BJ60:$BT60,,T60)*(1-R60)+INDEX(Models!$BJ60:$BT60,,T60+1)*R60-ERP_i)*Q60*Ramure*Pc/MaxiM</f>
        <v>4.7803376801897431E-4</v>
      </c>
      <c r="Q60" s="305">
        <f t="shared" si="4"/>
        <v>0.7</v>
      </c>
      <c r="R60" s="177">
        <f t="shared" si="5"/>
        <v>0.80225257241147241</v>
      </c>
      <c r="S60" s="810">
        <f t="shared" si="6"/>
        <v>-2</v>
      </c>
      <c r="T60" s="176">
        <f t="shared" si="7"/>
        <v>4</v>
      </c>
      <c r="U60" s="251">
        <f t="shared" si="21"/>
        <v>-1.1977474275885276</v>
      </c>
      <c r="V60" s="383">
        <f t="shared" si="8"/>
        <v>30.700702199703994</v>
      </c>
      <c r="W60" s="58"/>
      <c r="X60" s="157">
        <f t="shared" si="9"/>
        <v>43511</v>
      </c>
      <c r="Y60" s="385">
        <f t="shared" si="10"/>
        <v>31.258000000000003</v>
      </c>
      <c r="Z60" s="385">
        <f t="shared" si="11"/>
        <v>31.402363045061332</v>
      </c>
      <c r="AA60" s="386">
        <f t="shared" si="12"/>
        <v>32.47956365315688</v>
      </c>
      <c r="AB60" s="197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3.3165488908618673E-2</v>
      </c>
      <c r="AD60" s="231">
        <f>(INDEX(Models!$BJ60:$BT60,,AH60)*(1-AF60)+INDEX(Models!$BJ60:$BT60,,AH60+1)*AF60-ERP_i)*AE60*Ramure*Pc/MaxiM</f>
        <v>4.7803376801897431E-4</v>
      </c>
      <c r="AE60" s="305">
        <f t="shared" si="14"/>
        <v>0.7</v>
      </c>
      <c r="AF60" s="177">
        <f t="shared" si="15"/>
        <v>0.80225257241147241</v>
      </c>
      <c r="AG60" s="176">
        <f t="shared" si="16"/>
        <v>-2</v>
      </c>
      <c r="AH60" s="176">
        <f t="shared" si="17"/>
        <v>4</v>
      </c>
      <c r="AI60" s="225">
        <f t="shared" si="22"/>
        <v>-1.1977474275885276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6">
        <v>31.826000000000001</v>
      </c>
      <c r="C61" s="390"/>
      <c r="D61" s="393">
        <f t="shared" si="0"/>
        <v>31.973730391627772</v>
      </c>
      <c r="E61" s="385">
        <f t="shared" si="1"/>
        <v>33.075676972870973</v>
      </c>
      <c r="F61" s="385">
        <f t="shared" si="2"/>
        <v>33.091277518761402</v>
      </c>
      <c r="G61" s="110">
        <f t="shared" si="23"/>
        <v>1.0242325431160839</v>
      </c>
      <c r="H61" s="414" t="b">
        <f>Wh_hp&gt;='2018'!Maxi_hp</f>
        <v>1</v>
      </c>
      <c r="I61" s="390">
        <f>IF(H61,Wh_hp,'2018'!Maxi_hp)</f>
        <v>33.091277518761402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4.6203677149431188E-3</v>
      </c>
      <c r="M61" s="844"/>
      <c r="N61" s="844"/>
      <c r="O61" s="48">
        <f>IF(t&lt;Tnet,'2018'!Resal+('2018'!Salim-'2018'!Resal)*(1-EXP(('2018'!Tnet-t)/('2018'!Tau_j))),Resal+(Salim-Resal)*(1-EXP((Tnet-t)/(Tau_j))))*Salcycl</f>
        <v>3.3315919191828802E-2</v>
      </c>
      <c r="P61" s="169">
        <f>(INDEX(Models!$BJ61:$BT61,,T61)*(1-R61)+INDEX(Models!$BJ61:$BT61,,T61+1)*R61-ERP_i)*Q61*Ramure*Pc/MaxiM</f>
        <v>4.7143981919665749E-4</v>
      </c>
      <c r="Q61" s="305">
        <f t="shared" si="4"/>
        <v>0.7</v>
      </c>
      <c r="R61" s="177">
        <f t="shared" si="5"/>
        <v>0.80239887428810297</v>
      </c>
      <c r="S61" s="810">
        <f t="shared" si="6"/>
        <v>-2</v>
      </c>
      <c r="T61" s="176">
        <f t="shared" si="7"/>
        <v>4</v>
      </c>
      <c r="U61" s="251">
        <f t="shared" si="21"/>
        <v>-1.197601125711897</v>
      </c>
      <c r="V61" s="383">
        <f t="shared" si="8"/>
        <v>31.073021662808966</v>
      </c>
      <c r="W61" s="58"/>
      <c r="X61" s="157">
        <f t="shared" si="9"/>
        <v>43512</v>
      </c>
      <c r="Y61" s="385">
        <f t="shared" si="10"/>
        <v>31.825999999999997</v>
      </c>
      <c r="Z61" s="385">
        <f t="shared" si="11"/>
        <v>31.973730391627768</v>
      </c>
      <c r="AA61" s="386">
        <f t="shared" si="12"/>
        <v>33.075676972870973</v>
      </c>
      <c r="AB61" s="197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3.3315919191828802E-2</v>
      </c>
      <c r="AD61" s="231">
        <f>(INDEX(Models!$BJ61:$BT61,,AH61)*(1-AF61)+INDEX(Models!$BJ61:$BT61,,AH61+1)*AF61-ERP_i)*AE61*Ramure*Pc/MaxiM</f>
        <v>4.7143981919665749E-4</v>
      </c>
      <c r="AE61" s="305">
        <f t="shared" si="14"/>
        <v>0.7</v>
      </c>
      <c r="AF61" s="177">
        <f t="shared" si="15"/>
        <v>0.80239887428810297</v>
      </c>
      <c r="AG61" s="176">
        <f t="shared" si="16"/>
        <v>-2</v>
      </c>
      <c r="AH61" s="176">
        <f t="shared" si="17"/>
        <v>4</v>
      </c>
      <c r="AI61" s="225">
        <f t="shared" si="22"/>
        <v>-1.197601125711897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6">
        <v>32.213000000000001</v>
      </c>
      <c r="C62" s="390"/>
      <c r="D62" s="393">
        <f t="shared" si="0"/>
        <v>32.363279914683346</v>
      </c>
      <c r="E62" s="385">
        <f t="shared" si="1"/>
        <v>33.483857069302879</v>
      </c>
      <c r="F62" s="385">
        <f t="shared" si="2"/>
        <v>33.499351483700778</v>
      </c>
      <c r="G62" s="110">
        <f t="shared" si="23"/>
        <v>1.0243354068411232</v>
      </c>
      <c r="H62" s="414" t="b">
        <f>Wh_hp&gt;='2018'!Maxi_hp</f>
        <v>1</v>
      </c>
      <c r="I62" s="390">
        <f>IF(H62,Wh_hp,'2018'!Maxi_hp)</f>
        <v>33.499351483700778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4.6435316531424631E-3</v>
      </c>
      <c r="M62" s="844"/>
      <c r="N62" s="844"/>
      <c r="O62" s="48">
        <f>IF(t&lt;Tnet,'2018'!Resal+('2018'!Salim-'2018'!Resal)*(1-EXP(('2018'!Tnet-t)/('2018'!Tau_j))),Resal+(Salim-Resal)*(1-EXP((Tnet-t)/(Tau_j))))*Salcycl</f>
        <v>3.3466190955845555E-2</v>
      </c>
      <c r="P62" s="169">
        <f>(INDEX(Models!$BJ62:$BT62,,T62)*(1-R62)+INDEX(Models!$BJ62:$BT62,,T62+1)*R62-ERP_i)*Q62*Ramure*Pc/MaxiM</f>
        <v>4.6252878672699353E-4</v>
      </c>
      <c r="Q62" s="305">
        <f t="shared" si="4"/>
        <v>0.7</v>
      </c>
      <c r="R62" s="177">
        <f t="shared" si="5"/>
        <v>0.80255119920582807</v>
      </c>
      <c r="S62" s="810">
        <f t="shared" si="6"/>
        <v>-2</v>
      </c>
      <c r="T62" s="176">
        <f t="shared" si="7"/>
        <v>4</v>
      </c>
      <c r="U62" s="251">
        <f t="shared" si="21"/>
        <v>-1.1974488007941719</v>
      </c>
      <c r="V62" s="383">
        <f t="shared" si="8"/>
        <v>31.447707249854268</v>
      </c>
      <c r="W62" s="58"/>
      <c r="X62" s="157">
        <f t="shared" si="9"/>
        <v>43513</v>
      </c>
      <c r="Y62" s="385">
        <f t="shared" si="10"/>
        <v>32.213000000000001</v>
      </c>
      <c r="Z62" s="385">
        <f t="shared" si="11"/>
        <v>32.363279914683346</v>
      </c>
      <c r="AA62" s="386">
        <f t="shared" si="12"/>
        <v>33.483857069302879</v>
      </c>
      <c r="AB62" s="197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3.3466190955845555E-2</v>
      </c>
      <c r="AD62" s="231">
        <f>(INDEX(Models!$BJ62:$BT62,,AH62)*(1-AF62)+INDEX(Models!$BJ62:$BT62,,AH62+1)*AF62-ERP_i)*AE62*Ramure*Pc/MaxiM</f>
        <v>4.6252878672699353E-4</v>
      </c>
      <c r="AE62" s="305">
        <f t="shared" si="14"/>
        <v>0.7</v>
      </c>
      <c r="AF62" s="177">
        <f t="shared" si="15"/>
        <v>0.80255119920582807</v>
      </c>
      <c r="AG62" s="176">
        <f t="shared" si="16"/>
        <v>-2</v>
      </c>
      <c r="AH62" s="176">
        <f t="shared" si="17"/>
        <v>4</v>
      </c>
      <c r="AI62" s="225">
        <f t="shared" si="22"/>
        <v>-1.1974488007941719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6">
        <v>32.073</v>
      </c>
      <c r="C63" s="390"/>
      <c r="D63" s="393">
        <f t="shared" si="0"/>
        <v>32.223376672485344</v>
      </c>
      <c r="E63" s="385">
        <f t="shared" si="1"/>
        <v>33.344288318518558</v>
      </c>
      <c r="F63" s="385">
        <f t="shared" si="2"/>
        <v>33.359346298317604</v>
      </c>
      <c r="G63" s="110">
        <f t="shared" si="23"/>
        <v>1.0078102696054674</v>
      </c>
      <c r="H63" s="414" t="b">
        <f>Wh_hp&gt;='2018'!Maxi_hp</f>
        <v>1</v>
      </c>
      <c r="I63" s="390">
        <f>IF(H63,Wh_hp,'2018'!Maxi_hp)</f>
        <v>33.359346298317604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4.6666950522831208E-3</v>
      </c>
      <c r="M63" s="844"/>
      <c r="N63" s="844"/>
      <c r="O63" s="48">
        <f>IF(t&lt;Tnet,'2018'!Resal+('2018'!Salim-'2018'!Resal)*(1-EXP(('2018'!Tnet-t)/('2018'!Tau_j))),Resal+(Salim-Resal)*(1-EXP((Tnet-t)/(Tau_j))))*Salcycl</f>
        <v>3.3616301398482262E-2</v>
      </c>
      <c r="P63" s="169">
        <f>(INDEX(Models!$BJ63:$BT63,,T63)*(1-R63)+INDEX(Models!$BJ63:$BT63,,T63+1)*R63-ERP_i)*Q63*Ramure*Pc/MaxiM</f>
        <v>4.5138713643821547E-4</v>
      </c>
      <c r="Q63" s="305">
        <f t="shared" si="4"/>
        <v>0.7</v>
      </c>
      <c r="R63" s="177">
        <f t="shared" si="5"/>
        <v>0.80270979016802668</v>
      </c>
      <c r="S63" s="810">
        <f t="shared" si="6"/>
        <v>-2</v>
      </c>
      <c r="T63" s="176">
        <f t="shared" si="7"/>
        <v>4</v>
      </c>
      <c r="U63" s="251">
        <f t="shared" si="21"/>
        <v>-1.1972902098319733</v>
      </c>
      <c r="V63" s="383">
        <f t="shared" si="8"/>
        <v>31.824442523845072</v>
      </c>
      <c r="W63" s="58"/>
      <c r="X63" s="157">
        <f t="shared" si="9"/>
        <v>43514</v>
      </c>
      <c r="Y63" s="385">
        <f t="shared" si="10"/>
        <v>32.073</v>
      </c>
      <c r="Z63" s="385">
        <f t="shared" si="11"/>
        <v>32.223376672485344</v>
      </c>
      <c r="AA63" s="386">
        <f t="shared" si="12"/>
        <v>33.344288318518558</v>
      </c>
      <c r="AB63" s="197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3.3616301398482262E-2</v>
      </c>
      <c r="AD63" s="231">
        <f>(INDEX(Models!$BJ63:$BT63,,AH63)*(1-AF63)+INDEX(Models!$BJ63:$BT63,,AH63+1)*AF63-ERP_i)*AE63*Ramure*Pc/MaxiM</f>
        <v>4.5138713643821547E-4</v>
      </c>
      <c r="AE63" s="305">
        <f t="shared" si="14"/>
        <v>0.7</v>
      </c>
      <c r="AF63" s="177">
        <f t="shared" si="15"/>
        <v>0.80270979016802668</v>
      </c>
      <c r="AG63" s="176">
        <f t="shared" si="16"/>
        <v>-2</v>
      </c>
      <c r="AH63" s="176">
        <f t="shared" si="17"/>
        <v>4</v>
      </c>
      <c r="AI63" s="225">
        <f t="shared" si="22"/>
        <v>-1.1972902098319733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6">
        <v>27.338999999999999</v>
      </c>
      <c r="C64" s="390"/>
      <c r="D64" s="393">
        <f t="shared" si="0"/>
        <v>27.467820173777756</v>
      </c>
      <c r="E64" s="385">
        <f t="shared" si="1"/>
        <v>28.427717533461063</v>
      </c>
      <c r="F64" s="385">
        <f t="shared" si="2"/>
        <v>28.437487767642203</v>
      </c>
      <c r="G64" s="110">
        <f t="shared" si="23"/>
        <v>0.84888023187935635</v>
      </c>
      <c r="H64" s="414" t="b">
        <f>Wh_hp&gt;='2018'!Maxi_hp</f>
        <v>1</v>
      </c>
      <c r="I64" s="390">
        <f>IF(H64,Wh_hp,'2018'!Maxi_hp)</f>
        <v>28.437487767642203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4.6898579123776374E-3</v>
      </c>
      <c r="M64" s="844"/>
      <c r="N64" s="844"/>
      <c r="O64" s="48">
        <f>IF(t&lt;Tnet,'2018'!Resal+('2018'!Salim-'2018'!Resal)*(1-EXP(('2018'!Tnet-t)/('2018'!Tau_j))),Resal+(Salim-Resal)*(1-EXP((Tnet-t)/(Tau_j))))*Salcycl</f>
        <v>3.3766247977997224E-2</v>
      </c>
      <c r="P64" s="169">
        <f>(INDEX(Models!$BJ64:$BT64,,T64)*(1-R64)+INDEX(Models!$BJ64:$BT64,,T64+1)*R64-ERP_i)*Q64*Ramure*Pc/MaxiM</f>
        <v>4.3809740592120055E-4</v>
      </c>
      <c r="Q64" s="305">
        <f t="shared" si="4"/>
        <v>0.7</v>
      </c>
      <c r="R64" s="177">
        <f t="shared" si="5"/>
        <v>0.80287489956227387</v>
      </c>
      <c r="S64" s="810">
        <f t="shared" si="6"/>
        <v>-2</v>
      </c>
      <c r="T64" s="176">
        <f t="shared" si="7"/>
        <v>4</v>
      </c>
      <c r="U64" s="251">
        <f t="shared" si="21"/>
        <v>-1.1971251004377261</v>
      </c>
      <c r="V64" s="383">
        <f t="shared" si="8"/>
        <v>32.202911280352708</v>
      </c>
      <c r="W64" s="58"/>
      <c r="X64" s="157">
        <f t="shared" si="9"/>
        <v>43515</v>
      </c>
      <c r="Y64" s="385">
        <f t="shared" si="10"/>
        <v>27.338999999999999</v>
      </c>
      <c r="Z64" s="385">
        <f t="shared" si="11"/>
        <v>27.467820173777756</v>
      </c>
      <c r="AA64" s="386">
        <f t="shared" si="12"/>
        <v>28.427717533461063</v>
      </c>
      <c r="AB64" s="197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3.3766247977997224E-2</v>
      </c>
      <c r="AD64" s="231">
        <f>(INDEX(Models!$BJ64:$BT64,,AH64)*(1-AF64)+INDEX(Models!$BJ64:$BT64,,AH64+1)*AF64-ERP_i)*AE64*Ramure*Pc/MaxiM</f>
        <v>4.3809740592120055E-4</v>
      </c>
      <c r="AE64" s="305">
        <f t="shared" si="14"/>
        <v>0.7</v>
      </c>
      <c r="AF64" s="177">
        <f t="shared" si="15"/>
        <v>0.80287489956227387</v>
      </c>
      <c r="AG64" s="176">
        <f t="shared" si="16"/>
        <v>-2</v>
      </c>
      <c r="AH64" s="176">
        <f t="shared" si="17"/>
        <v>4</v>
      </c>
      <c r="AI64" s="225">
        <f t="shared" si="22"/>
        <v>-1.1971251004377261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6">
        <v>32.372</v>
      </c>
      <c r="C65" s="390"/>
      <c r="D65" s="393">
        <f t="shared" si="0"/>
        <v>32.525292360995877</v>
      </c>
      <c r="E65" s="385">
        <f t="shared" si="1"/>
        <v>33.667148321951458</v>
      </c>
      <c r="F65" s="385">
        <f t="shared" si="2"/>
        <v>33.68125376812602</v>
      </c>
      <c r="G65" s="110">
        <f t="shared" si="23"/>
        <v>0.99348856774797289</v>
      </c>
      <c r="H65" s="414" t="b">
        <f>Wh_hp&gt;='2018'!Maxi_hp</f>
        <v>1</v>
      </c>
      <c r="I65" s="390">
        <f>IF(H65,Wh_hp,'2018'!Maxi_hp)</f>
        <v>33.68125376812602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4.7130202334385585E-3</v>
      </c>
      <c r="M65" s="844"/>
      <c r="N65" s="844"/>
      <c r="O65" s="48">
        <f>IF(t&lt;Tnet,'2018'!Resal+('2018'!Salim-'2018'!Resal)*(1-EXP(('2018'!Tnet-t)/('2018'!Tau_j))),Resal+(Salim-Resal)*(1-EXP((Tnet-t)/(Tau_j))))*Salcycl</f>
        <v>3.391602846894734E-2</v>
      </c>
      <c r="P65" s="169">
        <f>(INDEX(Models!$BJ65:$BT65,,T65)*(1-R65)+INDEX(Models!$BJ65:$BT65,,T65+1)*R65-ERP_i)*Q65*Ramure*Pc/MaxiM</f>
        <v>4.2272201531099455E-4</v>
      </c>
      <c r="Q65" s="305">
        <f t="shared" si="4"/>
        <v>0.7</v>
      </c>
      <c r="R65" s="177">
        <f t="shared" si="5"/>
        <v>0.80304678948700214</v>
      </c>
      <c r="S65" s="810">
        <f t="shared" si="6"/>
        <v>-2</v>
      </c>
      <c r="T65" s="176">
        <f t="shared" si="7"/>
        <v>4</v>
      </c>
      <c r="U65" s="251">
        <f t="shared" si="21"/>
        <v>-1.1969532105129979</v>
      </c>
      <c r="V65" s="383">
        <f t="shared" si="8"/>
        <v>32.584041509322113</v>
      </c>
      <c r="W65" s="58"/>
      <c r="X65" s="157">
        <f t="shared" si="9"/>
        <v>43516</v>
      </c>
      <c r="Y65" s="385">
        <f t="shared" si="10"/>
        <v>32.372</v>
      </c>
      <c r="Z65" s="385">
        <f t="shared" si="11"/>
        <v>32.525292360995877</v>
      </c>
      <c r="AA65" s="386">
        <f t="shared" si="12"/>
        <v>33.667148321951458</v>
      </c>
      <c r="AB65" s="197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3.391602846894734E-2</v>
      </c>
      <c r="AD65" s="231">
        <f>(INDEX(Models!$BJ65:$BT65,,AH65)*(1-AF65)+INDEX(Models!$BJ65:$BT65,,AH65+1)*AF65-ERP_i)*AE65*Ramure*Pc/MaxiM</f>
        <v>4.2272201531099455E-4</v>
      </c>
      <c r="AE65" s="305">
        <f t="shared" si="14"/>
        <v>0.7</v>
      </c>
      <c r="AF65" s="177">
        <f t="shared" si="15"/>
        <v>0.80304678948700214</v>
      </c>
      <c r="AG65" s="176">
        <f t="shared" si="16"/>
        <v>-2</v>
      </c>
      <c r="AH65" s="176">
        <f t="shared" si="17"/>
        <v>4</v>
      </c>
      <c r="AI65" s="225">
        <f t="shared" si="22"/>
        <v>-1.1969532105129979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6">
        <v>32.253</v>
      </c>
      <c r="C66" s="390"/>
      <c r="D66" s="393">
        <f t="shared" si="0"/>
        <v>32.406483001978877</v>
      </c>
      <c r="E66" s="385">
        <f t="shared" si="1"/>
        <v>33.549363577972834</v>
      </c>
      <c r="F66" s="385">
        <f t="shared" si="2"/>
        <v>33.562567282376634</v>
      </c>
      <c r="G66" s="110">
        <f t="shared" si="23"/>
        <v>0.97827599323023295</v>
      </c>
      <c r="H66" s="414" t="b">
        <f>Wh_hp&gt;='2018'!Maxi_hp</f>
        <v>1</v>
      </c>
      <c r="I66" s="390">
        <f>IF(H66,Wh_hp,'2018'!Maxi_hp)</f>
        <v>33.562567282376634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4.7361820154784295E-3</v>
      </c>
      <c r="M66" s="844"/>
      <c r="N66" s="844"/>
      <c r="O66" s="48">
        <f>IF(t&lt;Tnet,'2018'!Resal+('2018'!Salim-'2018'!Resal)*(1-EXP(('2018'!Tnet-t)/('2018'!Tau_j))),Resal+(Salim-Resal)*(1-EXP((Tnet-t)/(Tau_j))))*Salcycl</f>
        <v>3.4065641016938042E-2</v>
      </c>
      <c r="P66" s="169">
        <f>(INDEX(Models!$BJ66:$BT66,,T66)*(1-R66)+INDEX(Models!$BJ66:$BT66,,T66+1)*R66-ERP_i)*Q66*Ramure*Pc/MaxiM</f>
        <v>4.0599840032081249E-4</v>
      </c>
      <c r="Q66" s="305">
        <f t="shared" si="4"/>
        <v>0.7</v>
      </c>
      <c r="R66" s="177">
        <f t="shared" si="5"/>
        <v>0.80322573208643133</v>
      </c>
      <c r="S66" s="810">
        <f t="shared" si="6"/>
        <v>-2</v>
      </c>
      <c r="T66" s="176">
        <f t="shared" si="7"/>
        <v>4</v>
      </c>
      <c r="U66" s="251">
        <f t="shared" si="21"/>
        <v>-1.1967742679135687</v>
      </c>
      <c r="V66" s="383">
        <f t="shared" si="8"/>
        <v>32.968808301690046</v>
      </c>
      <c r="W66" s="58"/>
      <c r="X66" s="157">
        <f t="shared" si="9"/>
        <v>43517</v>
      </c>
      <c r="Y66" s="385">
        <f t="shared" si="10"/>
        <v>32.253</v>
      </c>
      <c r="Z66" s="385">
        <f t="shared" si="11"/>
        <v>32.406483001978877</v>
      </c>
      <c r="AA66" s="386">
        <f t="shared" si="12"/>
        <v>33.549363577972834</v>
      </c>
      <c r="AB66" s="197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3.4065641016938042E-2</v>
      </c>
      <c r="AD66" s="231">
        <f>(INDEX(Models!$BJ66:$BT66,,AH66)*(1-AF66)+INDEX(Models!$BJ66:$BT66,,AH66+1)*AF66-ERP_i)*AE66*Ramure*Pc/MaxiM</f>
        <v>4.0599840032081249E-4</v>
      </c>
      <c r="AE66" s="305">
        <f t="shared" si="14"/>
        <v>0.7</v>
      </c>
      <c r="AF66" s="177">
        <f t="shared" si="15"/>
        <v>0.80322573208643133</v>
      </c>
      <c r="AG66" s="176">
        <f t="shared" si="16"/>
        <v>-2</v>
      </c>
      <c r="AH66" s="176">
        <f t="shared" si="17"/>
        <v>4</v>
      </c>
      <c r="AI66" s="225">
        <f t="shared" si="22"/>
        <v>-1.1967742679135687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6">
        <v>32.776000000000003</v>
      </c>
      <c r="C67" s="390"/>
      <c r="D67" s="393">
        <f t="shared" si="0"/>
        <v>32.93273820556292</v>
      </c>
      <c r="E67" s="385">
        <f t="shared" si="1"/>
        <v>34.099453891348311</v>
      </c>
      <c r="F67" s="385">
        <f t="shared" si="2"/>
        <v>34.11239789666849</v>
      </c>
      <c r="G67" s="110">
        <f t="shared" si="23"/>
        <v>0.98257398957640618</v>
      </c>
      <c r="H67" s="414" t="b">
        <f>Wh_hp&gt;='2018'!Maxi_hp</f>
        <v>1</v>
      </c>
      <c r="I67" s="390">
        <f>IF(H67,Wh_hp,'2018'!Maxi_hp)</f>
        <v>34.11239789666849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4.7593432585097961E-3</v>
      </c>
      <c r="M67" s="844"/>
      <c r="N67" s="844"/>
      <c r="O67" s="48">
        <f>IF(t&lt;Tnet,'2018'!Resal+('2018'!Salim-'2018'!Resal)*(1-EXP(('2018'!Tnet-t)/('2018'!Tau_j))),Resal+(Salim-Resal)*(1-EXP((Tnet-t)/(Tau_j))))*Salcycl</f>
        <v>3.421508419175627E-2</v>
      </c>
      <c r="P67" s="169">
        <f>(INDEX(Models!$BJ67:$BT67,,T67)*(1-R67)+INDEX(Models!$BJ67:$BT67,,T67+1)*R67-ERP_i)*Q67*Ramure*Pc/MaxiM</f>
        <v>3.8913355707316592E-4</v>
      </c>
      <c r="Q67" s="305">
        <f t="shared" si="4"/>
        <v>0.7</v>
      </c>
      <c r="R67" s="177">
        <f t="shared" si="5"/>
        <v>0.80341200989368677</v>
      </c>
      <c r="S67" s="810">
        <f t="shared" si="6"/>
        <v>-2</v>
      </c>
      <c r="T67" s="176">
        <f t="shared" si="7"/>
        <v>4</v>
      </c>
      <c r="U67" s="251">
        <f t="shared" si="21"/>
        <v>-1.1965879901063132</v>
      </c>
      <c r="V67" s="383">
        <f t="shared" si="8"/>
        <v>33.356961300340551</v>
      </c>
      <c r="W67" s="58"/>
      <c r="X67" s="157">
        <f t="shared" si="9"/>
        <v>43518</v>
      </c>
      <c r="Y67" s="385">
        <f t="shared" si="10"/>
        <v>32.776000000000003</v>
      </c>
      <c r="Z67" s="385">
        <f t="shared" si="11"/>
        <v>32.93273820556292</v>
      </c>
      <c r="AA67" s="386">
        <f t="shared" si="12"/>
        <v>34.099453891348311</v>
      </c>
      <c r="AB67" s="197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3.421508419175627E-2</v>
      </c>
      <c r="AD67" s="231">
        <f>(INDEX(Models!$BJ67:$BT67,,AH67)*(1-AF67)+INDEX(Models!$BJ67:$BT67,,AH67+1)*AF67-ERP_i)*AE67*Ramure*Pc/MaxiM</f>
        <v>3.8913355707316592E-4</v>
      </c>
      <c r="AE67" s="305">
        <f t="shared" si="14"/>
        <v>0.7</v>
      </c>
      <c r="AF67" s="177">
        <f t="shared" si="15"/>
        <v>0.80341200989368677</v>
      </c>
      <c r="AG67" s="176">
        <f t="shared" si="16"/>
        <v>-2</v>
      </c>
      <c r="AH67" s="176">
        <f t="shared" si="17"/>
        <v>4</v>
      </c>
      <c r="AI67" s="225">
        <f t="shared" si="22"/>
        <v>-1.1965879901063132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6">
        <v>33.011000000000003</v>
      </c>
      <c r="C68" s="390"/>
      <c r="D68" s="393">
        <f t="shared" si="0"/>
        <v>33.169633905589656</v>
      </c>
      <c r="E68" s="385">
        <f t="shared" si="1"/>
        <v>34.350051333915623</v>
      </c>
      <c r="F68" s="385">
        <f t="shared" si="2"/>
        <v>34.362439758046527</v>
      </c>
      <c r="G68" s="110">
        <f t="shared" si="23"/>
        <v>0.97814193192455079</v>
      </c>
      <c r="H68" s="414" t="b">
        <f>Wh_hp&gt;='2018'!Maxi_hp</f>
        <v>1</v>
      </c>
      <c r="I68" s="390">
        <f>IF(H68,Wh_hp,'2018'!Maxi_hp)</f>
        <v>34.362439758046527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4.7825039625452037E-3</v>
      </c>
      <c r="M68" s="844"/>
      <c r="N68" s="844"/>
      <c r="O68" s="48">
        <f>IF(t&lt;Tnet,'2018'!Resal+('2018'!Salim-'2018'!Resal)*(1-EXP(('2018'!Tnet-t)/('2018'!Tau_j))),Resal+(Salim-Resal)*(1-EXP((Tnet-t)/(Tau_j))))*Salcycl</f>
        <v>3.4364357038397721E-2</v>
      </c>
      <c r="P68" s="169">
        <f>(INDEX(Models!$BJ68:$BT68,,T68)*(1-R68)+INDEX(Models!$BJ68:$BT68,,T68+1)*R68-ERP_i)*Q68*Ramure*Pc/MaxiM</f>
        <v>3.7213647266447008E-4</v>
      </c>
      <c r="Q68" s="305">
        <f t="shared" si="4"/>
        <v>0.7</v>
      </c>
      <c r="R68" s="177">
        <f t="shared" si="5"/>
        <v>0.80360591618198907</v>
      </c>
      <c r="S68" s="810">
        <f t="shared" si="6"/>
        <v>-2</v>
      </c>
      <c r="T68" s="176">
        <f t="shared" si="7"/>
        <v>4</v>
      </c>
      <c r="U68" s="251">
        <f t="shared" si="21"/>
        <v>-1.1963940838180109</v>
      </c>
      <c r="V68" s="383">
        <f t="shared" si="8"/>
        <v>33.74828885998663</v>
      </c>
      <c r="W68" s="58"/>
      <c r="X68" s="157">
        <f t="shared" si="9"/>
        <v>43519</v>
      </c>
      <c r="Y68" s="385">
        <f t="shared" si="10"/>
        <v>33.011000000000003</v>
      </c>
      <c r="Z68" s="385">
        <f t="shared" si="11"/>
        <v>33.169633905589656</v>
      </c>
      <c r="AA68" s="386">
        <f t="shared" si="12"/>
        <v>34.350051333915623</v>
      </c>
      <c r="AB68" s="197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3.4364357038397721E-2</v>
      </c>
      <c r="AD68" s="231">
        <f>(INDEX(Models!$BJ68:$BT68,,AH68)*(1-AF68)+INDEX(Models!$BJ68:$BT68,,AH68+1)*AF68-ERP_i)*AE68*Ramure*Pc/MaxiM</f>
        <v>3.7213647266447008E-4</v>
      </c>
      <c r="AE68" s="305">
        <f t="shared" si="14"/>
        <v>0.7</v>
      </c>
      <c r="AF68" s="177">
        <f t="shared" si="15"/>
        <v>0.80360591618198907</v>
      </c>
      <c r="AG68" s="176">
        <f t="shared" si="16"/>
        <v>-2</v>
      </c>
      <c r="AH68" s="176">
        <f t="shared" si="17"/>
        <v>4</v>
      </c>
      <c r="AI68" s="225">
        <f t="shared" si="22"/>
        <v>-1.1963940838180109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6">
        <v>33.246000000000002</v>
      </c>
      <c r="C69" s="390"/>
      <c r="D69" s="393">
        <f t="shared" si="0"/>
        <v>33.406540613855121</v>
      </c>
      <c r="E69" s="385">
        <f t="shared" si="1"/>
        <v>34.600731547845044</v>
      </c>
      <c r="F69" s="385">
        <f t="shared" si="2"/>
        <v>34.612558632117512</v>
      </c>
      <c r="G69" s="110">
        <f t="shared" si="23"/>
        <v>0.97372716579362961</v>
      </c>
      <c r="H69" s="414" t="b">
        <f>Wh_hp&gt;='2018'!Maxi_hp</f>
        <v>1</v>
      </c>
      <c r="I69" s="390">
        <f>IF(H69,Wh_hp,'2018'!Maxi_hp)</f>
        <v>34.612558632117512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4.8056641275970868E-3</v>
      </c>
      <c r="M69" s="844"/>
      <c r="N69" s="844"/>
      <c r="O69" s="48">
        <f>IF(t&lt;Tnet,'2018'!Resal+('2018'!Salim-'2018'!Resal)*(1-EXP(('2018'!Tnet-t)/('2018'!Tau_j))),Resal+(Salim-Resal)*(1-EXP((Tnet-t)/(Tau_j))))*Salcycl</f>
        <v>3.4513459125528154E-2</v>
      </c>
      <c r="P69" s="169">
        <f>(INDEX(Models!$BJ69:$BT69,,T69)*(1-R69)+INDEX(Models!$BJ69:$BT69,,T69+1)*R69-ERP_i)*Q69*Ramure*Pc/MaxiM</f>
        <v>3.5501737241115297E-4</v>
      </c>
      <c r="Q69" s="305">
        <f t="shared" si="4"/>
        <v>0.7</v>
      </c>
      <c r="R69" s="177">
        <f t="shared" si="5"/>
        <v>0.8038077553237637</v>
      </c>
      <c r="S69" s="810">
        <f t="shared" si="6"/>
        <v>-2</v>
      </c>
      <c r="T69" s="176">
        <f t="shared" si="7"/>
        <v>4</v>
      </c>
      <c r="U69" s="251">
        <f t="shared" si="21"/>
        <v>-1.1961922446762363</v>
      </c>
      <c r="V69" s="383">
        <f t="shared" si="8"/>
        <v>34.142579401332533</v>
      </c>
      <c r="W69" s="58"/>
      <c r="X69" s="157">
        <f t="shared" si="9"/>
        <v>43520</v>
      </c>
      <c r="Y69" s="385">
        <f t="shared" si="10"/>
        <v>33.246000000000002</v>
      </c>
      <c r="Z69" s="385">
        <f t="shared" si="11"/>
        <v>33.406540613855121</v>
      </c>
      <c r="AA69" s="386">
        <f t="shared" si="12"/>
        <v>34.600731547845044</v>
      </c>
      <c r="AB69" s="197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3.4513459125528154E-2</v>
      </c>
      <c r="AD69" s="231">
        <f>(INDEX(Models!$BJ69:$BT69,,AH69)*(1-AF69)+INDEX(Models!$BJ69:$BT69,,AH69+1)*AF69-ERP_i)*AE69*Ramure*Pc/MaxiM</f>
        <v>3.5501737241115297E-4</v>
      </c>
      <c r="AE69" s="305">
        <f t="shared" si="14"/>
        <v>0.7</v>
      </c>
      <c r="AF69" s="177">
        <f t="shared" si="15"/>
        <v>0.8038077553237637</v>
      </c>
      <c r="AG69" s="176">
        <f t="shared" si="16"/>
        <v>-2</v>
      </c>
      <c r="AH69" s="176">
        <f t="shared" si="17"/>
        <v>4</v>
      </c>
      <c r="AI69" s="225">
        <f t="shared" si="22"/>
        <v>-1.1961922446762363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6">
        <v>33.939</v>
      </c>
      <c r="C70" s="390"/>
      <c r="D70" s="393">
        <f t="shared" si="0"/>
        <v>34.10368066327468</v>
      </c>
      <c r="E70" s="385">
        <f t="shared" si="1"/>
        <v>35.328241985880972</v>
      </c>
      <c r="F70" s="385">
        <f t="shared" si="2"/>
        <v>35.339882745455832</v>
      </c>
      <c r="G70" s="110">
        <f t="shared" si="23"/>
        <v>0.98260240445004476</v>
      </c>
      <c r="H70" s="414" t="b">
        <f>Wh_hp&gt;='2018'!Maxi_hp</f>
        <v>1</v>
      </c>
      <c r="I70" s="390">
        <f>IF(H70,Wh_hp,'2018'!Maxi_hp)</f>
        <v>35.339882745455832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4.828823753678213E-3</v>
      </c>
      <c r="M70" s="844"/>
      <c r="N70" s="844"/>
      <c r="O70" s="48">
        <f>IF(t&lt;Tnet,'2018'!Resal+('2018'!Salim-'2018'!Resal)*(1-EXP(('2018'!Tnet-t)/('2018'!Tau_j))),Resal+(Salim-Resal)*(1-EXP((Tnet-t)/(Tau_j))))*Salcycl</f>
        <v>3.4662390590952448E-2</v>
      </c>
      <c r="P70" s="169">
        <f>(INDEX(Models!$BJ70:$BT70,,T70)*(1-R70)+INDEX(Models!$BJ70:$BT70,,T70+1)*R70-ERP_i)*Q70*Ramure*Pc/MaxiM</f>
        <v>3.3778564863420961E-4</v>
      </c>
      <c r="Q70" s="305">
        <f t="shared" si="4"/>
        <v>0.7</v>
      </c>
      <c r="R70" s="177">
        <f t="shared" si="5"/>
        <v>0.80401784315747249</v>
      </c>
      <c r="S70" s="810">
        <f t="shared" si="6"/>
        <v>-2</v>
      </c>
      <c r="T70" s="176">
        <f t="shared" si="7"/>
        <v>4</v>
      </c>
      <c r="U70" s="251">
        <f t="shared" si="21"/>
        <v>-1.1959821568425275</v>
      </c>
      <c r="V70" s="383">
        <f t="shared" si="8"/>
        <v>34.539621480639838</v>
      </c>
      <c r="W70" s="58"/>
      <c r="X70" s="157">
        <f t="shared" si="9"/>
        <v>43521</v>
      </c>
      <c r="Y70" s="385">
        <f t="shared" si="10"/>
        <v>33.939</v>
      </c>
      <c r="Z70" s="385">
        <f t="shared" si="11"/>
        <v>34.10368066327468</v>
      </c>
      <c r="AA70" s="386">
        <f t="shared" si="12"/>
        <v>35.328241985880972</v>
      </c>
      <c r="AB70" s="197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3.4662390590952448E-2</v>
      </c>
      <c r="AD70" s="231">
        <f>(INDEX(Models!$BJ70:$BT70,,AH70)*(1-AF70)+INDEX(Models!$BJ70:$BT70,,AH70+1)*AF70-ERP_i)*AE70*Ramure*Pc/MaxiM</f>
        <v>3.3778564863420961E-4</v>
      </c>
      <c r="AE70" s="305">
        <f t="shared" si="14"/>
        <v>0.7</v>
      </c>
      <c r="AF70" s="177">
        <f t="shared" si="15"/>
        <v>0.80401784315747249</v>
      </c>
      <c r="AG70" s="176">
        <f t="shared" si="16"/>
        <v>-2</v>
      </c>
      <c r="AH70" s="176">
        <f t="shared" si="17"/>
        <v>4</v>
      </c>
      <c r="AI70" s="225">
        <f t="shared" si="22"/>
        <v>-1.1959821568425275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6">
        <v>30.7</v>
      </c>
      <c r="C71" s="390"/>
      <c r="D71" s="393">
        <f t="shared" si="0"/>
        <v>30.849682128330826</v>
      </c>
      <c r="E71" s="385">
        <f t="shared" si="1"/>
        <v>31.9623275777865</v>
      </c>
      <c r="F71" s="385">
        <f t="shared" si="2"/>
        <v>31.970796845433078</v>
      </c>
      <c r="G71" s="110">
        <f t="shared" si="23"/>
        <v>0.87862031866978318</v>
      </c>
      <c r="H71" s="414" t="b">
        <f>Wh_hp&gt;='2018'!Maxi_hp</f>
        <v>1</v>
      </c>
      <c r="I71" s="390">
        <f>IF(H71,Wh_hp,'2018'!Maxi_hp)</f>
        <v>31.970796845433078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4.8519828408010168E-3</v>
      </c>
      <c r="M71" s="844"/>
      <c r="N71" s="844"/>
      <c r="O71" s="48">
        <f>IF(t&lt;Tnet,'2018'!Resal+('2018'!Salim-'2018'!Resal)*(1-EXP(('2018'!Tnet-t)/('2018'!Tau_j))),Resal+(Salim-Resal)*(1-EXP((Tnet-t)/(Tau_j))))*Salcycl</f>
        <v>3.4811152183702378E-2</v>
      </c>
      <c r="P71" s="169">
        <f>(INDEX(Models!$BJ71:$BT71,,T71)*(1-R71)+INDEX(Models!$BJ71:$BT71,,T71+1)*R71-ERP_i)*Q71*Ramure*Pc/MaxiM</f>
        <v>3.2044988312463413E-4</v>
      </c>
      <c r="Q71" s="305">
        <f t="shared" si="4"/>
        <v>0.7</v>
      </c>
      <c r="R71" s="177">
        <f t="shared" si="5"/>
        <v>0.80423650736192487</v>
      </c>
      <c r="S71" s="810">
        <f t="shared" si="6"/>
        <v>-2</v>
      </c>
      <c r="T71" s="176">
        <f t="shared" si="7"/>
        <v>4</v>
      </c>
      <c r="U71" s="251">
        <f t="shared" si="21"/>
        <v>-1.1957634926380751</v>
      </c>
      <c r="V71" s="383">
        <f t="shared" si="8"/>
        <v>34.939203783383228</v>
      </c>
      <c r="W71" s="58"/>
      <c r="X71" s="157">
        <f t="shared" si="9"/>
        <v>43522</v>
      </c>
      <c r="Y71" s="385">
        <f t="shared" si="10"/>
        <v>30.7</v>
      </c>
      <c r="Z71" s="385">
        <f t="shared" si="11"/>
        <v>30.849682128330826</v>
      </c>
      <c r="AA71" s="386">
        <f t="shared" si="12"/>
        <v>31.9623275777865</v>
      </c>
      <c r="AB71" s="197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3.4811152183702378E-2</v>
      </c>
      <c r="AD71" s="231">
        <f>(INDEX(Models!$BJ71:$BT71,,AH71)*(1-AF71)+INDEX(Models!$BJ71:$BT71,,AH71+1)*AF71-ERP_i)*AE71*Ramure*Pc/MaxiM</f>
        <v>3.2044988312463413E-4</v>
      </c>
      <c r="AE71" s="305">
        <f t="shared" si="14"/>
        <v>0.7</v>
      </c>
      <c r="AF71" s="177">
        <f t="shared" si="15"/>
        <v>0.80423650736192487</v>
      </c>
      <c r="AG71" s="176">
        <f t="shared" si="16"/>
        <v>-2</v>
      </c>
      <c r="AH71" s="176">
        <f t="shared" si="17"/>
        <v>4</v>
      </c>
      <c r="AI71" s="225">
        <f t="shared" si="22"/>
        <v>-1.1957634926380751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6">
        <v>34.470999999999997</v>
      </c>
      <c r="C72" s="390"/>
      <c r="D72" s="393">
        <f t="shared" si="0"/>
        <v>34.639874284834988</v>
      </c>
      <c r="E72" s="385">
        <f t="shared" si="1"/>
        <v>35.894745443224416</v>
      </c>
      <c r="F72" s="385">
        <f t="shared" si="2"/>
        <v>35.905271243448688</v>
      </c>
      <c r="G72" s="110">
        <f t="shared" si="23"/>
        <v>0.97536989954693287</v>
      </c>
      <c r="H72" s="414" t="b">
        <f>Wh_hp&gt;='2018'!Maxi_hp</f>
        <v>1</v>
      </c>
      <c r="I72" s="390">
        <f>IF(H72,Wh_hp,'2018'!Maxi_hp)</f>
        <v>35.905271243448688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4.8751413889780437E-3</v>
      </c>
      <c r="M72" s="844"/>
      <c r="N72" s="844"/>
      <c r="O72" s="48">
        <f>IF(t&lt;Tnet,'2018'!Resal+('2018'!Salim-'2018'!Resal)*(1-EXP(('2018'!Tnet-t)/('2018'!Tau_j))),Resal+(Salim-Resal)*(1-EXP((Tnet-t)/(Tau_j))))*Salcycl</f>
        <v>3.4959745302394887E-2</v>
      </c>
      <c r="P72" s="169">
        <f>(INDEX(Models!$BJ72:$BT72,,T72)*(1-R72)+INDEX(Models!$BJ72:$BT72,,T72+1)*R72-ERP_i)*Q72*Ramure*Pc/MaxiM</f>
        <v>3.038411182779739E-4</v>
      </c>
      <c r="Q72" s="305">
        <f t="shared" si="4"/>
        <v>0.7</v>
      </c>
      <c r="R72" s="177">
        <f t="shared" si="5"/>
        <v>0.8044640878377729</v>
      </c>
      <c r="S72" s="810">
        <f t="shared" si="6"/>
        <v>-2</v>
      </c>
      <c r="T72" s="176">
        <f t="shared" si="7"/>
        <v>4</v>
      </c>
      <c r="U72" s="251">
        <f t="shared" si="21"/>
        <v>-1.1955359121622271</v>
      </c>
      <c r="V72" s="383">
        <f t="shared" si="8"/>
        <v>35.341086020413996</v>
      </c>
      <c r="W72" s="58"/>
      <c r="X72" s="157">
        <f t="shared" si="9"/>
        <v>43523</v>
      </c>
      <c r="Y72" s="385">
        <f t="shared" si="10"/>
        <v>34.470999999999997</v>
      </c>
      <c r="Z72" s="385">
        <f t="shared" si="11"/>
        <v>34.639874284834988</v>
      </c>
      <c r="AA72" s="386">
        <f t="shared" si="12"/>
        <v>35.894745443224416</v>
      </c>
      <c r="AB72" s="197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3.4959745302394887E-2</v>
      </c>
      <c r="AD72" s="231">
        <f>(INDEX(Models!$BJ72:$BT72,,AH72)*(1-AF72)+INDEX(Models!$BJ72:$BT72,,AH72+1)*AF72-ERP_i)*AE72*Ramure*Pc/MaxiM</f>
        <v>3.038411182779739E-4</v>
      </c>
      <c r="AE72" s="305">
        <f t="shared" si="14"/>
        <v>0.7</v>
      </c>
      <c r="AF72" s="177">
        <f t="shared" si="15"/>
        <v>0.8044640878377729</v>
      </c>
      <c r="AG72" s="176">
        <f t="shared" si="16"/>
        <v>-2</v>
      </c>
      <c r="AH72" s="176">
        <f t="shared" si="17"/>
        <v>4</v>
      </c>
      <c r="AI72" s="225">
        <f t="shared" si="22"/>
        <v>-1.1955359121622271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6">
        <v>28.754000000000001</v>
      </c>
      <c r="C73" s="390"/>
      <c r="D73" s="393">
        <f t="shared" si="0"/>
        <v>28.895539001301369</v>
      </c>
      <c r="E73" s="385">
        <f t="shared" si="1"/>
        <v>29.946920642990985</v>
      </c>
      <c r="F73" s="385">
        <f t="shared" si="2"/>
        <v>29.953158968418784</v>
      </c>
      <c r="G73" s="110">
        <f t="shared" si="23"/>
        <v>0.8043548121966877</v>
      </c>
      <c r="H73" s="414" t="b">
        <f>Wh_hp&gt;='2018'!Maxi_hp</f>
        <v>1</v>
      </c>
      <c r="I73" s="390">
        <f>IF(H73,Wh_hp,'2018'!Maxi_hp)</f>
        <v>29.953158968418784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4.8982993982217282E-3</v>
      </c>
      <c r="M73" s="844"/>
      <c r="N73" s="844"/>
      <c r="O73" s="48">
        <f>IF(t&lt;Tnet,'2018'!Resal+('2018'!Salim-'2018'!Resal)*(1-EXP(('2018'!Tnet-t)/('2018'!Tau_j))),Resal+(Salim-Resal)*(1-EXP((Tnet-t)/(Tau_j))))*Salcycl</f>
        <v>3.5108172029556899E-2</v>
      </c>
      <c r="P73" s="169">
        <f>(INDEX(Models!$BJ73:$BT73,,T73)*(1-R73)+INDEX(Models!$BJ73:$BT73,,T73+1)*R73-ERP_i)*Q73*Ramure*Pc/MaxiM</f>
        <v>2.8902227973229137E-4</v>
      </c>
      <c r="Q73" s="305">
        <f t="shared" si="4"/>
        <v>0.7</v>
      </c>
      <c r="R73" s="177">
        <f t="shared" si="5"/>
        <v>0.80470093709584312</v>
      </c>
      <c r="S73" s="810">
        <f t="shared" si="6"/>
        <v>-2</v>
      </c>
      <c r="T73" s="176">
        <f t="shared" si="7"/>
        <v>4</v>
      </c>
      <c r="U73" s="251">
        <f t="shared" si="21"/>
        <v>-1.1952990629041569</v>
      </c>
      <c r="V73" s="383">
        <f t="shared" si="8"/>
        <v>35.745018381256223</v>
      </c>
      <c r="W73" s="58"/>
      <c r="X73" s="157">
        <f t="shared" si="9"/>
        <v>43524</v>
      </c>
      <c r="Y73" s="385">
        <f t="shared" si="10"/>
        <v>28.754000000000001</v>
      </c>
      <c r="Z73" s="385">
        <f t="shared" si="11"/>
        <v>28.895539001301369</v>
      </c>
      <c r="AA73" s="386">
        <f t="shared" si="12"/>
        <v>29.946920642990985</v>
      </c>
      <c r="AB73" s="197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3.5108172029556899E-2</v>
      </c>
      <c r="AD73" s="231">
        <f>(INDEX(Models!$BJ73:$BT73,,AH73)*(1-AF73)+INDEX(Models!$BJ73:$BT73,,AH73+1)*AF73-ERP_i)*AE73*Ramure*Pc/MaxiM</f>
        <v>2.8902227973229137E-4</v>
      </c>
      <c r="AE73" s="305">
        <f t="shared" si="14"/>
        <v>0.7</v>
      </c>
      <c r="AF73" s="177">
        <f t="shared" si="15"/>
        <v>0.80470093709584312</v>
      </c>
      <c r="AG73" s="176">
        <f t="shared" si="16"/>
        <v>-2</v>
      </c>
      <c r="AH73" s="176">
        <f t="shared" si="17"/>
        <v>4</v>
      </c>
      <c r="AI73" s="225">
        <f t="shared" si="22"/>
        <v>-1.1952990629041569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6">
        <v>14.547000000000001</v>
      </c>
      <c r="C74" s="390"/>
      <c r="D74" s="393">
        <f t="shared" si="0"/>
        <v>14.618946514735836</v>
      </c>
      <c r="E74" s="385">
        <f t="shared" si="1"/>
        <v>15.153194120745933</v>
      </c>
      <c r="F74" s="385">
        <f t="shared" si="2"/>
        <v>15.153805806372244</v>
      </c>
      <c r="G74" s="110">
        <f t="shared" si="23"/>
        <v>0.40230304888663732</v>
      </c>
      <c r="H74" s="414" t="b">
        <f>Wh_hp&gt;='2018'!Maxi_hp</f>
        <v>1</v>
      </c>
      <c r="I74" s="390">
        <f>IF(H74,Wh_hp,'2018'!Maxi_hp)</f>
        <v>15.153805806372244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4.9214568685447269E-3</v>
      </c>
      <c r="M74" s="844"/>
      <c r="N74" s="844"/>
      <c r="O74" s="48">
        <f>IF(t&lt;Tnet,'2018'!Resal+('2018'!Salim-'2018'!Resal)*(1-EXP(('2018'!Tnet-t)/('2018'!Tau_j))),Resal+(Salim-Resal)*(1-EXP((Tnet-t)/(Tau_j))))*Salcycl</f>
        <v>3.5256435161658148E-2</v>
      </c>
      <c r="P74" s="169">
        <f>(INDEX(Models!$BJ74:$BT74,,T74)*(1-R74)+INDEX(Models!$BJ74:$BT74,,T74+1)*R74-ERP_i)*Q74*Ramure*Pc/MaxiM</f>
        <v>2.7593943532673869E-4</v>
      </c>
      <c r="Q74" s="305">
        <f t="shared" si="4"/>
        <v>0.7</v>
      </c>
      <c r="R74" s="177">
        <f t="shared" si="5"/>
        <v>0.80494742065189007</v>
      </c>
      <c r="S74" s="810">
        <f t="shared" si="6"/>
        <v>-2</v>
      </c>
      <c r="T74" s="176">
        <f t="shared" si="7"/>
        <v>4</v>
      </c>
      <c r="U74" s="251">
        <f t="shared" si="21"/>
        <v>-1.1950525793481099</v>
      </c>
      <c r="V74" s="383">
        <f t="shared" si="8"/>
        <v>36.150789815712329</v>
      </c>
      <c r="W74" s="58"/>
      <c r="X74" s="157">
        <f t="shared" si="9"/>
        <v>43525</v>
      </c>
      <c r="Y74" s="385">
        <f t="shared" si="10"/>
        <v>14.547000000000001</v>
      </c>
      <c r="Z74" s="385">
        <f t="shared" si="11"/>
        <v>14.618946514735836</v>
      </c>
      <c r="AA74" s="386">
        <f t="shared" si="12"/>
        <v>15.153194120745933</v>
      </c>
      <c r="AB74" s="197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3.5256435161658148E-2</v>
      </c>
      <c r="AD74" s="231">
        <f>(INDEX(Models!$BJ74:$BT74,,AH74)*(1-AF74)+INDEX(Models!$BJ74:$BT74,,AH74+1)*AF74-ERP_i)*AE74*Ramure*Pc/MaxiM</f>
        <v>2.7593943532673869E-4</v>
      </c>
      <c r="AE74" s="305">
        <f t="shared" si="14"/>
        <v>0.7</v>
      </c>
      <c r="AF74" s="177">
        <f t="shared" si="15"/>
        <v>0.80494742065189007</v>
      </c>
      <c r="AG74" s="176">
        <f t="shared" si="16"/>
        <v>-2</v>
      </c>
      <c r="AH74" s="176">
        <f t="shared" si="17"/>
        <v>4</v>
      </c>
      <c r="AI74" s="225">
        <f t="shared" si="22"/>
        <v>-1.1950525793481099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6">
        <v>20.169</v>
      </c>
      <c r="C75" s="390"/>
      <c r="D75" s="393">
        <f t="shared" si="0"/>
        <v>20.269223482144277</v>
      </c>
      <c r="E75" s="385">
        <f t="shared" si="1"/>
        <v>21.013185615707215</v>
      </c>
      <c r="F75" s="385">
        <f t="shared" si="2"/>
        <v>21.015184571225852</v>
      </c>
      <c r="G75" s="110">
        <f t="shared" si="23"/>
        <v>0.55160233498433087</v>
      </c>
      <c r="H75" s="414" t="b">
        <f>Wh_hp&gt;='2018'!Maxi_hp</f>
        <v>1</v>
      </c>
      <c r="I75" s="390">
        <f>IF(H75,Wh_hp,'2018'!Maxi_hp)</f>
        <v>21.015184571225852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4.9446137999595852E-3</v>
      </c>
      <c r="M75" s="844"/>
      <c r="N75" s="844"/>
      <c r="O75" s="48">
        <f>IF(t&lt;Tnet,'2018'!Resal+('2018'!Salim-'2018'!Resal)*(1-EXP(('2018'!Tnet-t)/('2018'!Tau_j))),Resal+(Salim-Resal)*(1-EXP((Tnet-t)/(Tau_j))))*Salcycl</f>
        <v>3.5404538234642187E-2</v>
      </c>
      <c r="P75" s="169">
        <f>(INDEX(Models!$BJ75:$BT75,,T75)*(1-R75)+INDEX(Models!$BJ75:$BT75,,T75+1)*R75-ERP_i)*Q75*Ramure*Pc/MaxiM</f>
        <v>2.6454037882779841E-4</v>
      </c>
      <c r="Q75" s="305">
        <f t="shared" si="4"/>
        <v>0.7</v>
      </c>
      <c r="R75" s="177">
        <f t="shared" si="5"/>
        <v>0.80520391742729935</v>
      </c>
      <c r="S75" s="810">
        <f t="shared" si="6"/>
        <v>-2</v>
      </c>
      <c r="T75" s="176">
        <f t="shared" si="7"/>
        <v>4</v>
      </c>
      <c r="U75" s="251">
        <f t="shared" si="21"/>
        <v>-1.1947960825727006</v>
      </c>
      <c r="V75" s="383">
        <f t="shared" si="8"/>
        <v>36.55818938368207</v>
      </c>
      <c r="W75" s="58"/>
      <c r="X75" s="157">
        <f t="shared" si="9"/>
        <v>43526</v>
      </c>
      <c r="Y75" s="385">
        <f t="shared" si="10"/>
        <v>20.169</v>
      </c>
      <c r="Z75" s="385">
        <f t="shared" si="11"/>
        <v>20.269223482144277</v>
      </c>
      <c r="AA75" s="386">
        <f t="shared" si="12"/>
        <v>21.013185615707215</v>
      </c>
      <c r="AB75" s="197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3.5404538234642187E-2</v>
      </c>
      <c r="AD75" s="231">
        <f>(INDEX(Models!$BJ75:$BT75,,AH75)*(1-AF75)+INDEX(Models!$BJ75:$BT75,,AH75+1)*AF75-ERP_i)*AE75*Ramure*Pc/MaxiM</f>
        <v>2.6454037882779841E-4</v>
      </c>
      <c r="AE75" s="305">
        <f t="shared" si="14"/>
        <v>0.7</v>
      </c>
      <c r="AF75" s="177">
        <f t="shared" si="15"/>
        <v>0.80520391742729935</v>
      </c>
      <c r="AG75" s="176">
        <f t="shared" si="16"/>
        <v>-2</v>
      </c>
      <c r="AH75" s="176">
        <f t="shared" si="17"/>
        <v>4</v>
      </c>
      <c r="AI75" s="225">
        <f t="shared" si="22"/>
        <v>-1.1947960825727006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6">
        <v>32.534999999999997</v>
      </c>
      <c r="C76" s="390"/>
      <c r="D76" s="393">
        <f t="shared" si="0"/>
        <v>32.697433334690636</v>
      </c>
      <c r="E76" s="385">
        <f t="shared" si="1"/>
        <v>33.902760746042951</v>
      </c>
      <c r="F76" s="385">
        <f t="shared" si="2"/>
        <v>33.909920443692066</v>
      </c>
      <c r="G76" s="110">
        <f t="shared" si="23"/>
        <v>0.88007072526575458</v>
      </c>
      <c r="H76" s="414" t="b">
        <f>Wh_hp&gt;='2018'!Maxi_hp</f>
        <v>1</v>
      </c>
      <c r="I76" s="390">
        <f>IF(H76,Wh_hp,'2018'!Maxi_hp)</f>
        <v>33.909920443692066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4.9677701924788487E-3</v>
      </c>
      <c r="M76" s="844"/>
      <c r="N76" s="844"/>
      <c r="O76" s="48">
        <f>IF(t&lt;Tnet,'2018'!Resal+('2018'!Salim-'2018'!Resal)*(1-EXP(('2018'!Tnet-t)/('2018'!Tau_j))),Resal+(Salim-Resal)*(1-EXP((Tnet-t)/(Tau_j))))*Salcycl</f>
        <v>3.5552485544794406E-2</v>
      </c>
      <c r="P76" s="169">
        <f>(INDEX(Models!$BJ76:$BT76,,T76)*(1-R76)+INDEX(Models!$BJ76:$BT76,,T76+1)*R76-ERP_i)*Q76*Ramure*Pc/MaxiM</f>
        <v>2.547746685857602E-4</v>
      </c>
      <c r="Q76" s="305">
        <f t="shared" si="4"/>
        <v>0.7</v>
      </c>
      <c r="R76" s="177">
        <f t="shared" si="5"/>
        <v>0.80547082015518567</v>
      </c>
      <c r="S76" s="810">
        <f t="shared" si="6"/>
        <v>-2</v>
      </c>
      <c r="T76" s="176">
        <f t="shared" si="7"/>
        <v>4</v>
      </c>
      <c r="U76" s="251">
        <f t="shared" si="21"/>
        <v>-1.1945291798448143</v>
      </c>
      <c r="V76" s="383">
        <f t="shared" si="8"/>
        <v>36.967006254191325</v>
      </c>
      <c r="W76" s="58"/>
      <c r="X76" s="157">
        <f t="shared" si="9"/>
        <v>43527</v>
      </c>
      <c r="Y76" s="385">
        <f t="shared" si="10"/>
        <v>32.534999999999997</v>
      </c>
      <c r="Z76" s="385">
        <f t="shared" si="11"/>
        <v>32.697433334690636</v>
      </c>
      <c r="AA76" s="386">
        <f t="shared" si="12"/>
        <v>33.902760746042951</v>
      </c>
      <c r="AB76" s="197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3.5552485544794406E-2</v>
      </c>
      <c r="AD76" s="231">
        <f>(INDEX(Models!$BJ76:$BT76,,AH76)*(1-AF76)+INDEX(Models!$BJ76:$BT76,,AH76+1)*AF76-ERP_i)*AE76*Ramure*Pc/MaxiM</f>
        <v>2.547746685857602E-4</v>
      </c>
      <c r="AE76" s="305">
        <f t="shared" si="14"/>
        <v>0.7</v>
      </c>
      <c r="AF76" s="177">
        <f t="shared" si="15"/>
        <v>0.80547082015518567</v>
      </c>
      <c r="AG76" s="176">
        <f t="shared" si="16"/>
        <v>-2</v>
      </c>
      <c r="AH76" s="176">
        <f t="shared" si="17"/>
        <v>4</v>
      </c>
      <c r="AI76" s="225">
        <f t="shared" si="22"/>
        <v>-1.1945291798448143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6">
        <v>13.057</v>
      </c>
      <c r="C77" s="390"/>
      <c r="D77" s="393">
        <f t="shared" si="0"/>
        <v>13.122493394070437</v>
      </c>
      <c r="E77" s="385">
        <f t="shared" si="1"/>
        <v>13.608314045274433</v>
      </c>
      <c r="F77" s="385">
        <f t="shared" si="2"/>
        <v>13.608550542591447</v>
      </c>
      <c r="G77" s="110">
        <f t="shared" si="23"/>
        <v>0.34925212603028671</v>
      </c>
      <c r="H77" s="414" t="b">
        <f>Wh_hp&gt;='2018'!Maxi_hp</f>
        <v>1</v>
      </c>
      <c r="I77" s="390">
        <f>IF(H77,Wh_hp,'2018'!Maxi_hp)</f>
        <v>13.608550542591447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4.9909260461149518E-3</v>
      </c>
      <c r="M77" s="844"/>
      <c r="N77" s="844"/>
      <c r="O77" s="48">
        <f>IF(t&lt;Tnet,'2018'!Resal+('2018'!Salim-'2018'!Resal)*(1-EXP(('2018'!Tnet-t)/('2018'!Tau_j))),Resal+(Salim-Resal)*(1-EXP((Tnet-t)/(Tau_j))))*Salcycl</f>
        <v>3.5700282164835756E-2</v>
      </c>
      <c r="P77" s="169">
        <f>(INDEX(Models!$BJ77:$BT77,,T77)*(1-R77)+INDEX(Models!$BJ77:$BT77,,T77+1)*R77-ERP_i)*Q77*Ramure*Pc/MaxiM</f>
        <v>2.4659366042272939E-4</v>
      </c>
      <c r="Q77" s="305">
        <f t="shared" si="4"/>
        <v>0.7</v>
      </c>
      <c r="R77" s="177">
        <f t="shared" si="5"/>
        <v>0.80574853579126415</v>
      </c>
      <c r="S77" s="810">
        <f t="shared" si="6"/>
        <v>-2</v>
      </c>
      <c r="T77" s="176">
        <f t="shared" si="7"/>
        <v>4</v>
      </c>
      <c r="U77" s="251">
        <f t="shared" si="21"/>
        <v>-1.1942514642087358</v>
      </c>
      <c r="V77" s="383">
        <f t="shared" si="8"/>
        <v>37.377029697971551</v>
      </c>
      <c r="W77" s="58"/>
      <c r="X77" s="157">
        <f t="shared" si="9"/>
        <v>43528</v>
      </c>
      <c r="Y77" s="385">
        <f t="shared" si="10"/>
        <v>13.057</v>
      </c>
      <c r="Z77" s="385">
        <f t="shared" si="11"/>
        <v>13.122493394070437</v>
      </c>
      <c r="AA77" s="386">
        <f t="shared" si="12"/>
        <v>13.608314045274433</v>
      </c>
      <c r="AB77" s="197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3.5700282164835756E-2</v>
      </c>
      <c r="AD77" s="231">
        <f>(INDEX(Models!$BJ77:$BT77,,AH77)*(1-AF77)+INDEX(Models!$BJ77:$BT77,,AH77+1)*AF77-ERP_i)*AE77*Ramure*Pc/MaxiM</f>
        <v>2.4659366042272939E-4</v>
      </c>
      <c r="AE77" s="305">
        <f t="shared" si="14"/>
        <v>0.7</v>
      </c>
      <c r="AF77" s="177">
        <f t="shared" si="15"/>
        <v>0.80574853579126415</v>
      </c>
      <c r="AG77" s="176">
        <f t="shared" si="16"/>
        <v>-2</v>
      </c>
      <c r="AH77" s="176">
        <f t="shared" si="17"/>
        <v>4</v>
      </c>
      <c r="AI77" s="225">
        <f t="shared" si="22"/>
        <v>-1.1942514642087358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6">
        <v>36.994</v>
      </c>
      <c r="C78" s="390"/>
      <c r="D78" s="393">
        <f t="shared" si="0"/>
        <v>37.180425679388627</v>
      </c>
      <c r="E78" s="385">
        <f t="shared" si="1"/>
        <v>38.562823219278613</v>
      </c>
      <c r="F78" s="385">
        <f t="shared" si="2"/>
        <v>38.571800708819332</v>
      </c>
      <c r="G78" s="110">
        <f t="shared" si="23"/>
        <v>0.97897971342181045</v>
      </c>
      <c r="H78" s="414" t="b">
        <f>Wh_hp&gt;='2018'!Maxi_hp</f>
        <v>1</v>
      </c>
      <c r="I78" s="390">
        <f>IF(H78,Wh_hp,'2018'!Maxi_hp)</f>
        <v>38.571800708819332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5.0140813608805512E-3</v>
      </c>
      <c r="M78" s="844"/>
      <c r="N78" s="844"/>
      <c r="O78" s="48">
        <f>IF(t&lt;Tnet,'2018'!Resal+('2018'!Salim-'2018'!Resal)*(1-EXP(('2018'!Tnet-t)/('2018'!Tau_j))),Resal+(Salim-Resal)*(1-EXP((Tnet-t)/(Tau_j))))*Salcycl</f>
        <v>3.5847933955180065E-2</v>
      </c>
      <c r="P78" s="169">
        <f>(INDEX(Models!$BJ78:$BT78,,T78)*(1-R78)+INDEX(Models!$BJ78:$BT78,,T78+1)*R78-ERP_i)*Q78*Ramure*Pc/MaxiM</f>
        <v>2.3995053552699816E-4</v>
      </c>
      <c r="Q78" s="305">
        <f t="shared" si="4"/>
        <v>0.7</v>
      </c>
      <c r="R78" s="177">
        <f t="shared" si="5"/>
        <v>0.80603748592878066</v>
      </c>
      <c r="S78" s="810">
        <f t="shared" si="6"/>
        <v>-2</v>
      </c>
      <c r="T78" s="176">
        <f t="shared" si="7"/>
        <v>4</v>
      </c>
      <c r="U78" s="251">
        <f t="shared" si="21"/>
        <v>-1.1939625140712193</v>
      </c>
      <c r="V78" s="383">
        <f t="shared" si="8"/>
        <v>37.788049089339346</v>
      </c>
      <c r="W78" s="58"/>
      <c r="X78" s="157">
        <f t="shared" si="9"/>
        <v>43529</v>
      </c>
      <c r="Y78" s="385">
        <f t="shared" si="10"/>
        <v>36.994</v>
      </c>
      <c r="Z78" s="385">
        <f t="shared" si="11"/>
        <v>37.180425679388627</v>
      </c>
      <c r="AA78" s="386">
        <f t="shared" si="12"/>
        <v>38.562823219278613</v>
      </c>
      <c r="AB78" s="197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3.5847933955180065E-2</v>
      </c>
      <c r="AD78" s="231">
        <f>(INDEX(Models!$BJ78:$BT78,,AH78)*(1-AF78)+INDEX(Models!$BJ78:$BT78,,AH78+1)*AF78-ERP_i)*AE78*Ramure*Pc/MaxiM</f>
        <v>2.3995053552699816E-4</v>
      </c>
      <c r="AE78" s="305">
        <f t="shared" si="14"/>
        <v>0.7</v>
      </c>
      <c r="AF78" s="177">
        <f t="shared" si="15"/>
        <v>0.80603748592878066</v>
      </c>
      <c r="AG78" s="176">
        <f t="shared" si="16"/>
        <v>-2</v>
      </c>
      <c r="AH78" s="176">
        <f t="shared" si="17"/>
        <v>4</v>
      </c>
      <c r="AI78" s="225">
        <f t="shared" si="22"/>
        <v>-1.1939625140712193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6">
        <v>22.010999999999999</v>
      </c>
      <c r="C79" s="390"/>
      <c r="D79" s="393">
        <f t="shared" ref="D79:D142" si="24">Wh/(1-Ppv)</f>
        <v>22.12243593371911</v>
      </c>
      <c r="E79" s="385">
        <f t="shared" si="1"/>
        <v>22.948476620740202</v>
      </c>
      <c r="F79" s="385">
        <f t="shared" ref="F79:F142" si="25">Wh_sa/(1-Pvg*MEDIAN((-Sdif+Wh/Env_an)/Csdif,0,1))</f>
        <v>22.950602771895554</v>
      </c>
      <c r="G79" s="110">
        <f t="shared" si="23"/>
        <v>0.57610971406626499</v>
      </c>
      <c r="H79" s="414" t="b">
        <f>Wh_hp&gt;='2018'!Maxi_hp</f>
        <v>1</v>
      </c>
      <c r="I79" s="390">
        <f>IF(H79,Wh_hp,'2018'!Maxi_hp)</f>
        <v>22.950602771895554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5.0372361367881924E-3</v>
      </c>
      <c r="M79" s="844"/>
      <c r="N79" s="844"/>
      <c r="O79" s="48">
        <f>IF(t&lt;Tnet,'2018'!Resal+('2018'!Salim-'2018'!Resal)*(1-EXP(('2018'!Tnet-t)/('2018'!Tau_j))),Resal+(Salim-Resal)*(1-EXP((Tnet-t)/(Tau_j))))*Salcycl</f>
        <v>3.5995447570342773E-2</v>
      </c>
      <c r="P79" s="169">
        <f>(INDEX(Models!$BJ79:$BT79,,T79)*(1-R79)+INDEX(Models!$BJ79:$BT79,,T79+1)*R79-ERP_i)*Q79*Ramure*Pc/MaxiM</f>
        <v>2.347943099919539E-4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0.8063381072166993</v>
      </c>
      <c r="S79" s="810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-1.1936618927833007</v>
      </c>
      <c r="V79" s="383">
        <f t="shared" ref="V79:V142" si="32">MaxiM*(1-Ppv)*(1-Pvg)*(1-Psa)</f>
        <v>38.200832621392962</v>
      </c>
      <c r="W79" s="58"/>
      <c r="X79" s="157">
        <f t="shared" ref="X79:X142" si="33">t</f>
        <v>43530</v>
      </c>
      <c r="Y79" s="385">
        <f t="shared" ref="Y79:Y142" si="34">Wh_pvt_s*(1-Ppv)</f>
        <v>22.010999999999999</v>
      </c>
      <c r="Z79" s="385">
        <f t="shared" ref="Z79:Z142" si="35">Wh_sa_s*(1-Psa_s)</f>
        <v>22.12243593371911</v>
      </c>
      <c r="AA79" s="386">
        <f t="shared" ref="AA79:AA142" si="36">Wh_hp*(1-Pvg_s*MEDIAN((-Sdif+Wh/Env_an)/Csdif,0,1))</f>
        <v>22.948476620740202</v>
      </c>
      <c r="AB79" s="197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3.5995447570342773E-2</v>
      </c>
      <c r="AD79" s="231">
        <f>(INDEX(Models!$BJ79:$BT79,,AH79)*(1-AF79)+INDEX(Models!$BJ79:$BT79,,AH79+1)*AF79-ERP_i)*AE79*Ramure*Pc/MaxiM</f>
        <v>2.347943099919539E-4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0.8063381072166993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-1.1936618927833007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6">
        <v>35.003999999999998</v>
      </c>
      <c r="C80" s="390"/>
      <c r="D80" s="393">
        <f t="shared" si="24"/>
        <v>35.182034830388162</v>
      </c>
      <c r="E80" s="385">
        <f t="shared" ref="E80:E143" si="46">Wh_pvt/(1-Psa)</f>
        <v>36.501294945181854</v>
      </c>
      <c r="F80" s="385">
        <f t="shared" si="25"/>
        <v>36.508597128354168</v>
      </c>
      <c r="G80" s="110">
        <f t="shared" ref="G80:G143" si="47">+Wh_hp/MaxiM</f>
        <v>0.90643200665781964</v>
      </c>
      <c r="H80" s="414" t="b">
        <f>Wh_hp&gt;='2018'!Maxi_hp</f>
        <v>1</v>
      </c>
      <c r="I80" s="390">
        <f>IF(H80,Wh_hp,'2018'!Maxi_hp)</f>
        <v>36.508597128354168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5.0603903738503098E-3</v>
      </c>
      <c r="M80" s="844"/>
      <c r="N80" s="844"/>
      <c r="O80" s="48">
        <f>IF(t&lt;Tnet,'2018'!Resal+('2018'!Salim-'2018'!Resal)*(1-EXP(('2018'!Tnet-t)/('2018'!Tau_j))),Resal+(Salim-Resal)*(1-EXP((Tnet-t)/(Tau_j))))*Salcycl</f>
        <v>3.6142830460534986E-2</v>
      </c>
      <c r="P80" s="169">
        <f>(INDEX(Models!$BJ80:$BT80,,T80)*(1-R80)+INDEX(Models!$BJ80:$BT80,,T80+1)*R80-ERP_i)*Q80*Ramure*Pc/MaxiM</f>
        <v>2.3086254184274092E-4</v>
      </c>
      <c r="Q80" s="305">
        <f t="shared" si="27"/>
        <v>0.7</v>
      </c>
      <c r="R80" s="177">
        <f t="shared" si="28"/>
        <v>0.80665085178024776</v>
      </c>
      <c r="S80" s="810">
        <f t="shared" si="29"/>
        <v>-2</v>
      </c>
      <c r="T80" s="176">
        <f t="shared" si="30"/>
        <v>4</v>
      </c>
      <c r="U80" s="251">
        <f t="shared" si="31"/>
        <v>-1.1933491482197522</v>
      </c>
      <c r="V80" s="383">
        <f t="shared" si="32"/>
        <v>38.616156158531588</v>
      </c>
      <c r="W80" s="58"/>
      <c r="X80" s="157">
        <f t="shared" si="33"/>
        <v>43531</v>
      </c>
      <c r="Y80" s="385">
        <f t="shared" si="34"/>
        <v>35.003999999999998</v>
      </c>
      <c r="Z80" s="385">
        <f t="shared" si="35"/>
        <v>35.182034830388162</v>
      </c>
      <c r="AA80" s="386">
        <f t="shared" si="36"/>
        <v>36.501294945181854</v>
      </c>
      <c r="AB80" s="197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3.6142830460534986E-2</v>
      </c>
      <c r="AD80" s="231">
        <f>(INDEX(Models!$BJ80:$BT80,,AH80)*(1-AF80)+INDEX(Models!$BJ80:$BT80,,AH80+1)*AF80-ERP_i)*AE80*Ramure*Pc/MaxiM</f>
        <v>2.3086254184274092E-4</v>
      </c>
      <c r="AE80" s="305">
        <f t="shared" si="38"/>
        <v>0.7</v>
      </c>
      <c r="AF80" s="177">
        <f t="shared" si="39"/>
        <v>0.80665085178024776</v>
      </c>
      <c r="AG80" s="176">
        <f t="shared" si="40"/>
        <v>-2</v>
      </c>
      <c r="AH80" s="176">
        <f t="shared" si="41"/>
        <v>4</v>
      </c>
      <c r="AI80" s="225">
        <f t="shared" si="42"/>
        <v>-1.1933491482197522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6">
        <v>20.952000000000002</v>
      </c>
      <c r="C81" s="390"/>
      <c r="D81" s="393">
        <f t="shared" si="24"/>
        <v>21.059054632339834</v>
      </c>
      <c r="E81" s="385">
        <f t="shared" si="46"/>
        <v>21.852068171965655</v>
      </c>
      <c r="F81" s="385">
        <f t="shared" si="25"/>
        <v>21.853750119407692</v>
      </c>
      <c r="G81" s="110">
        <f t="shared" si="47"/>
        <v>0.53668431543783968</v>
      </c>
      <c r="H81" s="414" t="b">
        <f>Wh_hp&gt;='2018'!Maxi_hp</f>
        <v>1</v>
      </c>
      <c r="I81" s="390">
        <f>IF(H81,Wh_hp,'2018'!Maxi_hp)</f>
        <v>21.853750119407692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5.0835440720795599E-3</v>
      </c>
      <c r="M81" s="844"/>
      <c r="N81" s="844"/>
      <c r="O81" s="48">
        <f>IF(t&lt;Tnet,'2018'!Resal+('2018'!Salim-'2018'!Resal)*(1-EXP(('2018'!Tnet-t)/('2018'!Tau_j))),Resal+(Salim-Resal)*(1-EXP((Tnet-t)/(Tau_j))))*Salcycl</f>
        <v>3.6290090868524305E-2</v>
      </c>
      <c r="P81" s="169">
        <f>(INDEX(Models!$BJ81:$BT81,,T81)*(1-R81)+INDEX(Models!$BJ81:$BT81,,T81+1)*R81-ERP_i)*Q81*Ramure*Pc/MaxiM</f>
        <v>2.2754469409418704E-4</v>
      </c>
      <c r="Q81" s="305">
        <f t="shared" si="27"/>
        <v>0.7</v>
      </c>
      <c r="R81" s="177">
        <f t="shared" si="28"/>
        <v>0.80697618764281565</v>
      </c>
      <c r="S81" s="810">
        <f t="shared" si="29"/>
        <v>-2</v>
      </c>
      <c r="T81" s="176">
        <f t="shared" si="30"/>
        <v>4</v>
      </c>
      <c r="U81" s="251">
        <f t="shared" si="31"/>
        <v>-1.1930238123571844</v>
      </c>
      <c r="V81" s="383">
        <f t="shared" si="32"/>
        <v>39.033830845189655</v>
      </c>
      <c r="W81" s="58"/>
      <c r="X81" s="157">
        <f t="shared" si="33"/>
        <v>43532</v>
      </c>
      <c r="Y81" s="385">
        <f t="shared" si="34"/>
        <v>20.952000000000002</v>
      </c>
      <c r="Z81" s="385">
        <f t="shared" si="35"/>
        <v>21.059054632339834</v>
      </c>
      <c r="AA81" s="386">
        <f t="shared" si="36"/>
        <v>21.852068171965655</v>
      </c>
      <c r="AB81" s="197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3.6290090868524305E-2</v>
      </c>
      <c r="AD81" s="231">
        <f>(INDEX(Models!$BJ81:$BT81,,AH81)*(1-AF81)+INDEX(Models!$BJ81:$BT81,,AH81+1)*AF81-ERP_i)*AE81*Ramure*Pc/MaxiM</f>
        <v>2.2754469409418704E-4</v>
      </c>
      <c r="AE81" s="305">
        <f t="shared" si="38"/>
        <v>0.7</v>
      </c>
      <c r="AF81" s="177">
        <f t="shared" si="39"/>
        <v>0.80697618764281565</v>
      </c>
      <c r="AG81" s="176">
        <f t="shared" si="40"/>
        <v>-2</v>
      </c>
      <c r="AH81" s="176">
        <f t="shared" si="41"/>
        <v>4</v>
      </c>
      <c r="AI81" s="225">
        <f t="shared" si="42"/>
        <v>-1.1930238123571844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6">
        <v>18.452000000000002</v>
      </c>
      <c r="C82" s="390"/>
      <c r="D82" s="393">
        <f t="shared" si="24"/>
        <v>18.546712445096588</v>
      </c>
      <c r="E82" s="385">
        <f t="shared" si="46"/>
        <v>19.24805853141536</v>
      </c>
      <c r="F82" s="385">
        <f t="shared" si="25"/>
        <v>19.24909524481523</v>
      </c>
      <c r="G82" s="110">
        <f t="shared" si="47"/>
        <v>0.46760812409772912</v>
      </c>
      <c r="H82" s="414" t="b">
        <f>Wh_hp&gt;='2018'!Maxi_hp</f>
        <v>1</v>
      </c>
      <c r="I82" s="390">
        <f>IF(H82,Wh_hp,'2018'!Maxi_hp)</f>
        <v>19.24909524481523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5.1066972314883774E-3</v>
      </c>
      <c r="M82" s="844"/>
      <c r="N82" s="844"/>
      <c r="O82" s="48">
        <f>IF(t&lt;Tnet,'2018'!Resal+('2018'!Salim-'2018'!Resal)*(1-EXP(('2018'!Tnet-t)/('2018'!Tau_j))),Resal+(Salim-Resal)*(1-EXP((Tnet-t)/(Tau_j))))*Salcycl</f>
        <v>3.6437237821886466E-2</v>
      </c>
      <c r="P82" s="169">
        <f>(INDEX(Models!$BJ82:$BT82,,T82)*(1-R82)+INDEX(Models!$BJ82:$BT82,,T82+1)*R82-ERP_i)*Q82*Ramure*Pc/MaxiM</f>
        <v>2.2482480148750705E-4</v>
      </c>
      <c r="Q82" s="305">
        <f t="shared" si="27"/>
        <v>0.7</v>
      </c>
      <c r="R82" s="177">
        <f t="shared" si="28"/>
        <v>0.80731459914808523</v>
      </c>
      <c r="S82" s="810">
        <f t="shared" si="29"/>
        <v>-2</v>
      </c>
      <c r="T82" s="176">
        <f t="shared" si="30"/>
        <v>4</v>
      </c>
      <c r="U82" s="251">
        <f t="shared" si="31"/>
        <v>-1.1926854008519148</v>
      </c>
      <c r="V82" s="383">
        <f t="shared" si="32"/>
        <v>39.453645468783613</v>
      </c>
      <c r="W82" s="58"/>
      <c r="X82" s="157">
        <f t="shared" si="33"/>
        <v>43533</v>
      </c>
      <c r="Y82" s="385">
        <f t="shared" si="34"/>
        <v>18.452000000000002</v>
      </c>
      <c r="Z82" s="385">
        <f t="shared" si="35"/>
        <v>18.546712445096588</v>
      </c>
      <c r="AA82" s="386">
        <f t="shared" si="36"/>
        <v>19.24805853141536</v>
      </c>
      <c r="AB82" s="197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3.6437237821886466E-2</v>
      </c>
      <c r="AD82" s="231">
        <f>(INDEX(Models!$BJ82:$BT82,,AH82)*(1-AF82)+INDEX(Models!$BJ82:$BT82,,AH82+1)*AF82-ERP_i)*AE82*Ramure*Pc/MaxiM</f>
        <v>2.2482480148750705E-4</v>
      </c>
      <c r="AE82" s="305">
        <f t="shared" si="38"/>
        <v>0.7</v>
      </c>
      <c r="AF82" s="177">
        <f t="shared" si="39"/>
        <v>0.80731459914808523</v>
      </c>
      <c r="AG82" s="176">
        <f t="shared" si="40"/>
        <v>-2</v>
      </c>
      <c r="AH82" s="176">
        <f t="shared" si="41"/>
        <v>4</v>
      </c>
      <c r="AI82" s="225">
        <f t="shared" si="42"/>
        <v>-1.1926854008519148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6">
        <v>13.340999999999999</v>
      </c>
      <c r="C83" s="390"/>
      <c r="D83" s="393">
        <f t="shared" si="24"/>
        <v>13.409790210326996</v>
      </c>
      <c r="E83" s="385">
        <f t="shared" si="46"/>
        <v>13.919007078198383</v>
      </c>
      <c r="F83" s="385">
        <f t="shared" si="25"/>
        <v>13.91916014318417</v>
      </c>
      <c r="G83" s="110">
        <f t="shared" si="47"/>
        <v>0.33449644418880875</v>
      </c>
      <c r="H83" s="414" t="b">
        <f>Wh_hp&gt;='2018'!Maxi_hp</f>
        <v>1</v>
      </c>
      <c r="I83" s="390">
        <f>IF(H83,Wh_hp,'2018'!Maxi_hp)</f>
        <v>13.91916014318417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5.1298498520894187E-3</v>
      </c>
      <c r="M83" s="844"/>
      <c r="N83" s="844"/>
      <c r="O83" s="48">
        <f>IF(t&lt;Tnet,'2018'!Resal+('2018'!Salim-'2018'!Resal)*(1-EXP(('2018'!Tnet-t)/('2018'!Tau_j))),Resal+(Salim-Resal)*(1-EXP((Tnet-t)/(Tau_j))))*Salcycl</f>
        <v>3.6584281120812509E-2</v>
      </c>
      <c r="P83" s="169">
        <f>(INDEX(Models!$BJ83:$BT83,,T83)*(1-R83)+INDEX(Models!$BJ83:$BT83,,T83+1)*R83-ERP_i)*Q83*Ramure*Pc/MaxiM</f>
        <v>2.2268747197672919E-4</v>
      </c>
      <c r="Q83" s="305">
        <f t="shared" si="27"/>
        <v>0.7</v>
      </c>
      <c r="R83" s="177">
        <f t="shared" si="28"/>
        <v>0.8076665873811546</v>
      </c>
      <c r="S83" s="810">
        <f t="shared" si="29"/>
        <v>-2</v>
      </c>
      <c r="T83" s="176">
        <f t="shared" si="30"/>
        <v>4</v>
      </c>
      <c r="U83" s="251">
        <f t="shared" si="31"/>
        <v>-1.1923334126188454</v>
      </c>
      <c r="V83" s="383">
        <f t="shared" si="32"/>
        <v>39.875388914377375</v>
      </c>
      <c r="W83" s="58"/>
      <c r="X83" s="157">
        <f t="shared" si="33"/>
        <v>43534</v>
      </c>
      <c r="Y83" s="385">
        <f t="shared" si="34"/>
        <v>13.340999999999999</v>
      </c>
      <c r="Z83" s="385">
        <f t="shared" si="35"/>
        <v>13.409790210326996</v>
      </c>
      <c r="AA83" s="386">
        <f t="shared" si="36"/>
        <v>13.919007078198383</v>
      </c>
      <c r="AB83" s="197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3.6584281120812509E-2</v>
      </c>
      <c r="AD83" s="231">
        <f>(INDEX(Models!$BJ83:$BT83,,AH83)*(1-AF83)+INDEX(Models!$BJ83:$BT83,,AH83+1)*AF83-ERP_i)*AE83*Ramure*Pc/MaxiM</f>
        <v>2.2268747197672919E-4</v>
      </c>
      <c r="AE83" s="305">
        <f t="shared" si="38"/>
        <v>0.7</v>
      </c>
      <c r="AF83" s="177">
        <f t="shared" si="39"/>
        <v>0.8076665873811546</v>
      </c>
      <c r="AG83" s="176">
        <f t="shared" si="40"/>
        <v>-2</v>
      </c>
      <c r="AH83" s="176">
        <f t="shared" si="41"/>
        <v>4</v>
      </c>
      <c r="AI83" s="225">
        <f t="shared" si="42"/>
        <v>-1.1923334126188454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6">
        <v>27.411999999999999</v>
      </c>
      <c r="C84" s="390"/>
      <c r="D84" s="393">
        <f t="shared" si="24"/>
        <v>27.553985741814085</v>
      </c>
      <c r="E84" s="385">
        <f t="shared" si="46"/>
        <v>28.604670511242816</v>
      </c>
      <c r="F84" s="385">
        <f t="shared" si="25"/>
        <v>28.608106467091233</v>
      </c>
      <c r="G84" s="110">
        <f t="shared" si="47"/>
        <v>0.68014919964741338</v>
      </c>
      <c r="H84" s="414" t="b">
        <f>Wh_hp&gt;='2018'!Maxi_hp</f>
        <v>1</v>
      </c>
      <c r="I84" s="390">
        <f>IF(H84,Wh_hp,'2018'!Maxi_hp)</f>
        <v>28.608106467091233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5.1530019338951183E-3</v>
      </c>
      <c r="M84" s="844"/>
      <c r="N84" s="844"/>
      <c r="O84" s="48">
        <f>IF(t&lt;Tnet,'2018'!Resal+('2018'!Salim-'2018'!Resal)*(1-EXP(('2018'!Tnet-t)/('2018'!Tau_j))),Resal+(Salim-Resal)*(1-EXP((Tnet-t)/(Tau_j))))*Salcycl</f>
        <v>3.6731231321674135E-2</v>
      </c>
      <c r="P84" s="169">
        <f>(INDEX(Models!$BJ84:$BT84,,T84)*(1-R84)+INDEX(Models!$BJ84:$BT84,,T84+1)*R84-ERP_i)*Q84*Ramure*Pc/MaxiM</f>
        <v>2.2111790983362758E-4</v>
      </c>
      <c r="Q84" s="305">
        <f t="shared" si="27"/>
        <v>0.7</v>
      </c>
      <c r="R84" s="177">
        <f t="shared" si="28"/>
        <v>0.80803267058728667</v>
      </c>
      <c r="S84" s="810">
        <f t="shared" si="29"/>
        <v>-2</v>
      </c>
      <c r="T84" s="176">
        <f t="shared" si="30"/>
        <v>4</v>
      </c>
      <c r="U84" s="251">
        <f t="shared" si="31"/>
        <v>-1.1919673294127133</v>
      </c>
      <c r="V84" s="383">
        <f t="shared" si="32"/>
        <v>40.298850157888083</v>
      </c>
      <c r="W84" s="58"/>
      <c r="X84" s="157">
        <f t="shared" si="33"/>
        <v>43535</v>
      </c>
      <c r="Y84" s="385">
        <f t="shared" si="34"/>
        <v>27.411999999999999</v>
      </c>
      <c r="Z84" s="385">
        <f t="shared" si="35"/>
        <v>27.553985741814085</v>
      </c>
      <c r="AA84" s="386">
        <f t="shared" si="36"/>
        <v>28.604670511242816</v>
      </c>
      <c r="AB84" s="197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3.6731231321674135E-2</v>
      </c>
      <c r="AD84" s="231">
        <f>(INDEX(Models!$BJ84:$BT84,,AH84)*(1-AF84)+INDEX(Models!$BJ84:$BT84,,AH84+1)*AF84-ERP_i)*AE84*Ramure*Pc/MaxiM</f>
        <v>2.2111790983362758E-4</v>
      </c>
      <c r="AE84" s="305">
        <f t="shared" si="38"/>
        <v>0.7</v>
      </c>
      <c r="AF84" s="177">
        <f t="shared" si="39"/>
        <v>0.80803267058728667</v>
      </c>
      <c r="AG84" s="176">
        <f t="shared" si="40"/>
        <v>-2</v>
      </c>
      <c r="AH84" s="176">
        <f t="shared" si="41"/>
        <v>4</v>
      </c>
      <c r="AI84" s="225">
        <f t="shared" si="42"/>
        <v>-1.1919673294127133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6">
        <v>34.097000000000001</v>
      </c>
      <c r="C85" s="390"/>
      <c r="D85" s="393">
        <f t="shared" si="24"/>
        <v>34.274409604443356</v>
      </c>
      <c r="E85" s="385">
        <f t="shared" si="46"/>
        <v>35.586782518762647</v>
      </c>
      <c r="F85" s="385">
        <f t="shared" si="25"/>
        <v>35.592795417103687</v>
      </c>
      <c r="G85" s="110">
        <f t="shared" si="47"/>
        <v>0.83723129472568569</v>
      </c>
      <c r="H85" s="414" t="b">
        <f>Wh_hp&gt;='2018'!Maxi_hp</f>
        <v>1</v>
      </c>
      <c r="I85" s="390">
        <f>IF(H85,Wh_hp,'2018'!Maxi_hp)</f>
        <v>35.592795417103687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5.1761534769180217E-3</v>
      </c>
      <c r="M85" s="844"/>
      <c r="N85" s="844"/>
      <c r="O85" s="48">
        <f>IF(t&lt;Tnet,'2018'!Resal+('2018'!Salim-'2018'!Resal)*(1-EXP(('2018'!Tnet-t)/('2018'!Tau_j))),Resal+(Salim-Resal)*(1-EXP((Tnet-t)/(Tau_j))))*Salcycl</f>
        <v>3.6878099716583311E-2</v>
      </c>
      <c r="P85" s="169">
        <f>(INDEX(Models!$BJ85:$BT85,,T85)*(1-R85)+INDEX(Models!$BJ85:$BT85,,T85+1)*R85-ERP_i)*Q85*Ramure*Pc/MaxiM</f>
        <v>2.2010193658424248E-4</v>
      </c>
      <c r="Q85" s="305">
        <f t="shared" si="27"/>
        <v>0.7</v>
      </c>
      <c r="R85" s="177">
        <f t="shared" si="28"/>
        <v>0.8084133845867707</v>
      </c>
      <c r="S85" s="810">
        <f t="shared" si="29"/>
        <v>-2</v>
      </c>
      <c r="T85" s="176">
        <f t="shared" si="30"/>
        <v>4</v>
      </c>
      <c r="U85" s="251">
        <f t="shared" si="31"/>
        <v>-1.1915866154132293</v>
      </c>
      <c r="V85" s="383">
        <f t="shared" si="32"/>
        <v>40.723818267647381</v>
      </c>
      <c r="W85" s="58"/>
      <c r="X85" s="157">
        <f t="shared" si="33"/>
        <v>43536</v>
      </c>
      <c r="Y85" s="385">
        <f t="shared" si="34"/>
        <v>34.097000000000001</v>
      </c>
      <c r="Z85" s="385">
        <f t="shared" si="35"/>
        <v>34.274409604443356</v>
      </c>
      <c r="AA85" s="386">
        <f t="shared" si="36"/>
        <v>35.586782518762647</v>
      </c>
      <c r="AB85" s="197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3.6878099716583311E-2</v>
      </c>
      <c r="AD85" s="231">
        <f>(INDEX(Models!$BJ85:$BT85,,AH85)*(1-AF85)+INDEX(Models!$BJ85:$BT85,,AH85+1)*AF85-ERP_i)*AE85*Ramure*Pc/MaxiM</f>
        <v>2.2010193658424248E-4</v>
      </c>
      <c r="AE85" s="305">
        <f t="shared" si="38"/>
        <v>0.7</v>
      </c>
      <c r="AF85" s="177">
        <f t="shared" si="39"/>
        <v>0.8084133845867707</v>
      </c>
      <c r="AG85" s="176">
        <f t="shared" si="40"/>
        <v>-2</v>
      </c>
      <c r="AH85" s="176">
        <f t="shared" si="41"/>
        <v>4</v>
      </c>
      <c r="AI85" s="225">
        <f t="shared" si="42"/>
        <v>-1.1915866154132293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6">
        <v>25.83</v>
      </c>
      <c r="C86" s="390"/>
      <c r="D86" s="393">
        <f t="shared" si="24"/>
        <v>25.964999940544466</v>
      </c>
      <c r="E86" s="385">
        <f t="shared" si="46"/>
        <v>26.963313895608728</v>
      </c>
      <c r="F86" s="385">
        <f t="shared" si="25"/>
        <v>26.966083694629873</v>
      </c>
      <c r="G86" s="110">
        <f t="shared" si="47"/>
        <v>0.62762887339707329</v>
      </c>
      <c r="H86" s="414" t="b">
        <f>Wh_hp&gt;='2018'!Maxi_hp</f>
        <v>1</v>
      </c>
      <c r="I86" s="390">
        <f>IF(H86,Wh_hp,'2018'!Maxi_hp)</f>
        <v>26.966083694629873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5.1993044811706746E-3</v>
      </c>
      <c r="M86" s="844"/>
      <c r="N86" s="844"/>
      <c r="O86" s="48">
        <f>IF(t&lt;Tnet,'2018'!Resal+('2018'!Salim-'2018'!Resal)*(1-EXP(('2018'!Tnet-t)/('2018'!Tau_j))),Resal+(Salim-Resal)*(1-EXP((Tnet-t)/(Tau_j))))*Salcycl</f>
        <v>3.7024898309211539E-2</v>
      </c>
      <c r="P86" s="169">
        <f>(INDEX(Models!$BJ86:$BT86,,T86)*(1-R86)+INDEX(Models!$BJ86:$BT86,,T86+1)*R86-ERP_i)*Q86*Ramure*Pc/MaxiM</f>
        <v>2.1940633182381537E-4</v>
      </c>
      <c r="Q86" s="305">
        <f t="shared" si="27"/>
        <v>0.7</v>
      </c>
      <c r="R86" s="177">
        <f t="shared" si="28"/>
        <v>0.8088092831842475</v>
      </c>
      <c r="S86" s="810">
        <f t="shared" si="29"/>
        <v>-2</v>
      </c>
      <c r="T86" s="176">
        <f t="shared" si="30"/>
        <v>4</v>
      </c>
      <c r="U86" s="251">
        <f t="shared" si="31"/>
        <v>-1.1911907168157525</v>
      </c>
      <c r="V86" s="383">
        <f t="shared" si="32"/>
        <v>41.150091442022124</v>
      </c>
      <c r="W86" s="58"/>
      <c r="X86" s="157">
        <f t="shared" si="33"/>
        <v>43537</v>
      </c>
      <c r="Y86" s="385">
        <f t="shared" si="34"/>
        <v>25.83</v>
      </c>
      <c r="Z86" s="385">
        <f t="shared" si="35"/>
        <v>25.964999940544466</v>
      </c>
      <c r="AA86" s="386">
        <f t="shared" si="36"/>
        <v>26.963313895608728</v>
      </c>
      <c r="AB86" s="197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3.7024898309211539E-2</v>
      </c>
      <c r="AD86" s="231">
        <f>(INDEX(Models!$BJ86:$BT86,,AH86)*(1-AF86)+INDEX(Models!$BJ86:$BT86,,AH86+1)*AF86-ERP_i)*AE86*Ramure*Pc/MaxiM</f>
        <v>2.1940633182381537E-4</v>
      </c>
      <c r="AE86" s="305">
        <f t="shared" si="38"/>
        <v>0.7</v>
      </c>
      <c r="AF86" s="177">
        <f t="shared" si="39"/>
        <v>0.8088092831842475</v>
      </c>
      <c r="AG86" s="176">
        <f t="shared" si="40"/>
        <v>-2</v>
      </c>
      <c r="AH86" s="176">
        <f t="shared" si="41"/>
        <v>4</v>
      </c>
      <c r="AI86" s="225">
        <f t="shared" si="42"/>
        <v>-1.1911907168157525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6">
        <v>22.544</v>
      </c>
      <c r="C87" s="390"/>
      <c r="D87" s="393">
        <f t="shared" si="24"/>
        <v>22.662353118144942</v>
      </c>
      <c r="E87" s="385">
        <f t="shared" si="46"/>
        <v>23.537272118921877</v>
      </c>
      <c r="F87" s="385">
        <f t="shared" si="25"/>
        <v>23.539050322140174</v>
      </c>
      <c r="G87" s="110">
        <f t="shared" si="47"/>
        <v>0.54213907422728291</v>
      </c>
      <c r="H87" s="414" t="b">
        <f>Wh_hp&gt;='2018'!Maxi_hp</f>
        <v>1</v>
      </c>
      <c r="I87" s="390">
        <f>IF(H87,Wh_hp,'2018'!Maxi_hp)</f>
        <v>23.539050322140174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5.2224549466657333E-3</v>
      </c>
      <c r="M87" s="844"/>
      <c r="N87" s="844"/>
      <c r="O87" s="48">
        <f>IF(t&lt;Tnet,'2018'!Resal+('2018'!Salim-'2018'!Resal)*(1-EXP(('2018'!Tnet-t)/('2018'!Tau_j))),Resal+(Salim-Resal)*(1-EXP((Tnet-t)/(Tau_j))))*Salcycl</f>
        <v>3.717163978716026E-2</v>
      </c>
      <c r="P87" s="169">
        <f>(INDEX(Models!$BJ87:$BT87,,T87)*(1-R87)+INDEX(Models!$BJ87:$BT87,,T87+1)*R87-ERP_i)*Q87*Ramure*Pc/MaxiM</f>
        <v>2.1831661059225569E-4</v>
      </c>
      <c r="Q87" s="305">
        <f t="shared" si="27"/>
        <v>0.7</v>
      </c>
      <c r="R87" s="177">
        <f t="shared" si="28"/>
        <v>0.80922093857067745</v>
      </c>
      <c r="S87" s="810">
        <f t="shared" si="29"/>
        <v>-2</v>
      </c>
      <c r="T87" s="176">
        <f t="shared" si="30"/>
        <v>4</v>
      </c>
      <c r="U87" s="251">
        <f t="shared" si="31"/>
        <v>-1.1907790614293225</v>
      </c>
      <c r="V87" s="383">
        <f t="shared" si="32"/>
        <v>41.577488384746843</v>
      </c>
      <c r="W87" s="58"/>
      <c r="X87" s="157">
        <f t="shared" si="33"/>
        <v>43538</v>
      </c>
      <c r="Y87" s="385">
        <f t="shared" si="34"/>
        <v>22.544</v>
      </c>
      <c r="Z87" s="385">
        <f t="shared" si="35"/>
        <v>22.662353118144942</v>
      </c>
      <c r="AA87" s="386">
        <f t="shared" si="36"/>
        <v>23.537272118921877</v>
      </c>
      <c r="AB87" s="197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3.717163978716026E-2</v>
      </c>
      <c r="AD87" s="231">
        <f>(INDEX(Models!$BJ87:$BT87,,AH87)*(1-AF87)+INDEX(Models!$BJ87:$BT87,,AH87+1)*AF87-ERP_i)*AE87*Ramure*Pc/MaxiM</f>
        <v>2.1831661059225569E-4</v>
      </c>
      <c r="AE87" s="305">
        <f t="shared" si="38"/>
        <v>0.7</v>
      </c>
      <c r="AF87" s="177">
        <f t="shared" si="39"/>
        <v>0.80922093857067745</v>
      </c>
      <c r="AG87" s="176">
        <f t="shared" si="40"/>
        <v>-2</v>
      </c>
      <c r="AH87" s="176">
        <f t="shared" si="41"/>
        <v>4</v>
      </c>
      <c r="AI87" s="225">
        <f t="shared" si="42"/>
        <v>-1.1907790614293225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6">
        <v>12.568</v>
      </c>
      <c r="C88" s="390"/>
      <c r="D88" s="393">
        <f t="shared" si="24"/>
        <v>12.634274411424638</v>
      </c>
      <c r="E88" s="385">
        <f t="shared" si="46"/>
        <v>13.124041833827974</v>
      </c>
      <c r="F88" s="385">
        <f t="shared" si="25"/>
        <v>13.124041833827974</v>
      </c>
      <c r="G88" s="110">
        <f t="shared" si="47"/>
        <v>0.29913190833739645</v>
      </c>
      <c r="H88" s="414" t="b">
        <f>Wh_hp&gt;='2018'!Maxi_hp</f>
        <v>1</v>
      </c>
      <c r="I88" s="390">
        <f>IF(H88,Wh_hp,'2018'!Maxi_hp)</f>
        <v>13.124041833827974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5.2456048734155214E-3</v>
      </c>
      <c r="M88" s="844"/>
      <c r="N88" s="844"/>
      <c r="O88" s="48">
        <f>IF(t&lt;Tnet,'2018'!Resal+('2018'!Salim-'2018'!Resal)*(1-EXP(('2018'!Tnet-t)/('2018'!Tau_j))),Resal+(Salim-Resal)*(1-EXP((Tnet-t)/(Tau_j))))*Salcycl</f>
        <v>3.7318337491193565E-2</v>
      </c>
      <c r="P88" s="169">
        <f>(INDEX(Models!$BJ88:$BT88,,T88)*(1-R88)+INDEX(Models!$BJ88:$BT88,,T88+1)*R88-ERP_i)*Q88*Ramure*Pc/MaxiM</f>
        <v>2.1684567707224987E-4</v>
      </c>
      <c r="Q88" s="305">
        <f t="shared" si="27"/>
        <v>0.7</v>
      </c>
      <c r="R88" s="177">
        <f t="shared" si="28"/>
        <v>0.80964894171598267</v>
      </c>
      <c r="S88" s="810">
        <f t="shared" si="29"/>
        <v>-2</v>
      </c>
      <c r="T88" s="176">
        <f t="shared" si="30"/>
        <v>4</v>
      </c>
      <c r="U88" s="251">
        <f t="shared" si="31"/>
        <v>-1.1903510582840173</v>
      </c>
      <c r="V88" s="383">
        <f t="shared" si="32"/>
        <v>42.00579855679571</v>
      </c>
      <c r="W88" s="58"/>
      <c r="X88" s="157">
        <f t="shared" si="33"/>
        <v>43539</v>
      </c>
      <c r="Y88" s="385">
        <f t="shared" si="34"/>
        <v>12.568</v>
      </c>
      <c r="Z88" s="385">
        <f t="shared" si="35"/>
        <v>12.634274411424638</v>
      </c>
      <c r="AA88" s="386">
        <f t="shared" si="36"/>
        <v>13.124041833827974</v>
      </c>
      <c r="AB88" s="197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3.7318337491193565E-2</v>
      </c>
      <c r="AD88" s="231">
        <f>(INDEX(Models!$BJ88:$BT88,,AH88)*(1-AF88)+INDEX(Models!$BJ88:$BT88,,AH88+1)*AF88-ERP_i)*AE88*Ramure*Pc/MaxiM</f>
        <v>2.1684567707224987E-4</v>
      </c>
      <c r="AE88" s="305">
        <f t="shared" si="38"/>
        <v>0.7</v>
      </c>
      <c r="AF88" s="177">
        <f t="shared" si="39"/>
        <v>0.80964894171598267</v>
      </c>
      <c r="AG88" s="176">
        <f t="shared" si="40"/>
        <v>-2</v>
      </c>
      <c r="AH88" s="176">
        <f t="shared" si="41"/>
        <v>4</v>
      </c>
      <c r="AI88" s="225">
        <f t="shared" si="42"/>
        <v>-1.1903510582840173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6">
        <v>41.045000000000002</v>
      </c>
      <c r="C89" s="390"/>
      <c r="D89" s="393">
        <f t="shared" si="24"/>
        <v>41.262401453495052</v>
      </c>
      <c r="E89" s="385">
        <f t="shared" si="46"/>
        <v>42.868468870429261</v>
      </c>
      <c r="F89" s="385">
        <f t="shared" si="25"/>
        <v>42.877256397560032</v>
      </c>
      <c r="G89" s="110">
        <f t="shared" si="47"/>
        <v>0.96723858421144437</v>
      </c>
      <c r="H89" s="414" t="b">
        <f>Wh_hp&gt;='2018'!Maxi_hp</f>
        <v>1</v>
      </c>
      <c r="I89" s="390">
        <f>IF(H89,Wh_hp,'2018'!Maxi_hp)</f>
        <v>42.877256397560032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5.2687542614328065E-3</v>
      </c>
      <c r="M89" s="844"/>
      <c r="N89" s="844"/>
      <c r="O89" s="48">
        <f>IF(t&lt;Tnet,'2018'!Resal+('2018'!Salim-'2018'!Resal)*(1-EXP(('2018'!Tnet-t)/('2018'!Tau_j))),Resal+(Salim-Resal)*(1-EXP((Tnet-t)/(Tau_j))))*Salcycl</f>
        <v>3.7465005381661177E-2</v>
      </c>
      <c r="P89" s="169">
        <f>(INDEX(Models!$BJ89:$BT89,,T89)*(1-R89)+INDEX(Models!$BJ89:$BT89,,T89+1)*R89-ERP_i)*Q89*Ramure*Pc/MaxiM</f>
        <v>2.150058338548289E-4</v>
      </c>
      <c r="Q89" s="305">
        <f t="shared" si="27"/>
        <v>0.7</v>
      </c>
      <c r="R89" s="177">
        <f t="shared" si="28"/>
        <v>0.81009390275020032</v>
      </c>
      <c r="S89" s="810">
        <f t="shared" si="29"/>
        <v>-2</v>
      </c>
      <c r="T89" s="176">
        <f t="shared" si="30"/>
        <v>4</v>
      </c>
      <c r="U89" s="251">
        <f t="shared" si="31"/>
        <v>-1.1899060972497997</v>
      </c>
      <c r="V89" s="383">
        <f t="shared" si="32"/>
        <v>42.434811518268553</v>
      </c>
      <c r="W89" s="58"/>
      <c r="X89" s="157">
        <f t="shared" si="33"/>
        <v>43540</v>
      </c>
      <c r="Y89" s="385">
        <f t="shared" si="34"/>
        <v>41.045000000000002</v>
      </c>
      <c r="Z89" s="385">
        <f t="shared" si="35"/>
        <v>41.262401453495052</v>
      </c>
      <c r="AA89" s="386">
        <f t="shared" si="36"/>
        <v>42.868468870429261</v>
      </c>
      <c r="AB89" s="197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3.7465005381661177E-2</v>
      </c>
      <c r="AD89" s="231">
        <f>(INDEX(Models!$BJ89:$BT89,,AH89)*(1-AF89)+INDEX(Models!$BJ89:$BT89,,AH89+1)*AF89-ERP_i)*AE89*Ramure*Pc/MaxiM</f>
        <v>2.150058338548289E-4</v>
      </c>
      <c r="AE89" s="305">
        <f t="shared" si="38"/>
        <v>0.7</v>
      </c>
      <c r="AF89" s="177">
        <f t="shared" si="39"/>
        <v>0.81009390275020032</v>
      </c>
      <c r="AG89" s="176">
        <f t="shared" si="40"/>
        <v>-2</v>
      </c>
      <c r="AH89" s="176">
        <f t="shared" si="41"/>
        <v>4</v>
      </c>
      <c r="AI89" s="225">
        <f t="shared" si="42"/>
        <v>-1.1899060972497997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6">
        <v>15.138</v>
      </c>
      <c r="C90" s="390"/>
      <c r="D90" s="393">
        <f t="shared" si="24"/>
        <v>15.218535012774856</v>
      </c>
      <c r="E90" s="385">
        <f t="shared" si="46"/>
        <v>15.813299422545995</v>
      </c>
      <c r="F90" s="385">
        <f t="shared" si="25"/>
        <v>15.813554994495229</v>
      </c>
      <c r="G90" s="110">
        <f t="shared" si="47"/>
        <v>0.3530914333847765</v>
      </c>
      <c r="H90" s="414" t="b">
        <f>Wh_hp&gt;='2018'!Maxi_hp</f>
        <v>1</v>
      </c>
      <c r="I90" s="390">
        <f>IF(H90,Wh_hp,'2018'!Maxi_hp)</f>
        <v>15.813554994495229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5.2919031107299119E-3</v>
      </c>
      <c r="M90" s="844"/>
      <c r="N90" s="844"/>
      <c r="O90" s="48">
        <f>IF(t&lt;Tnet,'2018'!Resal+('2018'!Salim-'2018'!Resal)*(1-EXP(('2018'!Tnet-t)/('2018'!Tau_j))),Resal+(Salim-Resal)*(1-EXP((Tnet-t)/(Tau_j))))*Salcycl</f>
        <v>3.7611658002449942E-2</v>
      </c>
      <c r="P90" s="169">
        <f>(INDEX(Models!$BJ90:$BT90,,T90)*(1-R90)+INDEX(Models!$BJ90:$BT90,,T90+1)*R90-ERP_i)*Q90*Ramure*Pc/MaxiM</f>
        <v>2.1280877381206861E-4</v>
      </c>
      <c r="Q90" s="305">
        <f t="shared" si="27"/>
        <v>0.7</v>
      </c>
      <c r="R90" s="177">
        <f t="shared" si="28"/>
        <v>0.81055645133081167</v>
      </c>
      <c r="S90" s="810">
        <f t="shared" si="29"/>
        <v>-2</v>
      </c>
      <c r="T90" s="176">
        <f t="shared" si="30"/>
        <v>4</v>
      </c>
      <c r="U90" s="251">
        <f t="shared" si="31"/>
        <v>-1.1894435486691883</v>
      </c>
      <c r="V90" s="383">
        <f t="shared" si="32"/>
        <v>42.864316932023499</v>
      </c>
      <c r="W90" s="58"/>
      <c r="X90" s="157">
        <f t="shared" si="33"/>
        <v>43541</v>
      </c>
      <c r="Y90" s="385">
        <f t="shared" si="34"/>
        <v>15.138</v>
      </c>
      <c r="Z90" s="385">
        <f t="shared" si="35"/>
        <v>15.218535012774856</v>
      </c>
      <c r="AA90" s="386">
        <f t="shared" si="36"/>
        <v>15.813299422545995</v>
      </c>
      <c r="AB90" s="197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3.7611658002449942E-2</v>
      </c>
      <c r="AD90" s="231">
        <f>(INDEX(Models!$BJ90:$BT90,,AH90)*(1-AF90)+INDEX(Models!$BJ90:$BT90,,AH90+1)*AF90-ERP_i)*AE90*Ramure*Pc/MaxiM</f>
        <v>2.1280877381206861E-4</v>
      </c>
      <c r="AE90" s="305">
        <f t="shared" si="38"/>
        <v>0.7</v>
      </c>
      <c r="AF90" s="177">
        <f t="shared" si="39"/>
        <v>0.81055645133081167</v>
      </c>
      <c r="AG90" s="176">
        <f t="shared" si="40"/>
        <v>-2</v>
      </c>
      <c r="AH90" s="176">
        <f t="shared" si="41"/>
        <v>4</v>
      </c>
      <c r="AI90" s="225">
        <f t="shared" si="42"/>
        <v>-1.1894435486691883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6">
        <v>30.997</v>
      </c>
      <c r="C91" s="390"/>
      <c r="D91" s="393">
        <f t="shared" si="24"/>
        <v>31.162630986114809</v>
      </c>
      <c r="E91" s="385">
        <f t="shared" si="46"/>
        <v>32.385450894832225</v>
      </c>
      <c r="F91" s="385">
        <f t="shared" si="25"/>
        <v>32.389497861269035</v>
      </c>
      <c r="G91" s="110">
        <f t="shared" si="47"/>
        <v>0.71590243890347482</v>
      </c>
      <c r="H91" s="414" t="b">
        <f>Wh_hp&gt;='2018'!Maxi_hp</f>
        <v>1</v>
      </c>
      <c r="I91" s="390">
        <f>IF(H91,Wh_hp,'2018'!Maxi_hp)</f>
        <v>32.389497861269035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5.3150514213196054E-3</v>
      </c>
      <c r="M91" s="844"/>
      <c r="N91" s="844"/>
      <c r="O91" s="48">
        <f>IF(t&lt;Tnet,'2018'!Resal+('2018'!Salim-'2018'!Resal)*(1-EXP(('2018'!Tnet-t)/('2018'!Tau_j))),Resal+(Salim-Resal)*(1-EXP((Tnet-t)/(Tau_j))))*Salcycl</f>
        <v>3.7758310442808751E-2</v>
      </c>
      <c r="P91" s="169">
        <f>(INDEX(Models!$BJ91:$BT91,,T91)*(1-R91)+INDEX(Models!$BJ91:$BT91,,T91+1)*R91-ERP_i)*Q91*Ramure*Pc/MaxiM</f>
        <v>2.102655728436981E-4</v>
      </c>
      <c r="Q91" s="305">
        <f t="shared" si="27"/>
        <v>0.7</v>
      </c>
      <c r="R91" s="177">
        <f t="shared" si="28"/>
        <v>0.811037236993712</v>
      </c>
      <c r="S91" s="810">
        <f t="shared" si="29"/>
        <v>-2</v>
      </c>
      <c r="T91" s="176">
        <f t="shared" si="30"/>
        <v>4</v>
      </c>
      <c r="U91" s="251">
        <f t="shared" si="31"/>
        <v>-1.188962763006288</v>
      </c>
      <c r="V91" s="383">
        <f t="shared" si="32"/>
        <v>43.294104561534873</v>
      </c>
      <c r="W91" s="58"/>
      <c r="X91" s="157">
        <f t="shared" si="33"/>
        <v>43542</v>
      </c>
      <c r="Y91" s="385">
        <f t="shared" si="34"/>
        <v>30.997000000000003</v>
      </c>
      <c r="Z91" s="385">
        <f t="shared" si="35"/>
        <v>31.162630986114813</v>
      </c>
      <c r="AA91" s="386">
        <f t="shared" si="36"/>
        <v>32.385450894832225</v>
      </c>
      <c r="AB91" s="197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3.7758310442808751E-2</v>
      </c>
      <c r="AD91" s="231">
        <f>(INDEX(Models!$BJ91:$BT91,,AH91)*(1-AF91)+INDEX(Models!$BJ91:$BT91,,AH91+1)*AF91-ERP_i)*AE91*Ramure*Pc/MaxiM</f>
        <v>2.102655728436981E-4</v>
      </c>
      <c r="AE91" s="305">
        <f t="shared" si="38"/>
        <v>0.7</v>
      </c>
      <c r="AF91" s="177">
        <f t="shared" si="39"/>
        <v>0.811037236993712</v>
      </c>
      <c r="AG91" s="176">
        <f t="shared" si="40"/>
        <v>-2</v>
      </c>
      <c r="AH91" s="176">
        <f t="shared" si="41"/>
        <v>4</v>
      </c>
      <c r="AI91" s="225">
        <f t="shared" si="42"/>
        <v>-1.188962763006288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6">
        <v>11.967000000000001</v>
      </c>
      <c r="C92" s="390"/>
      <c r="D92" s="393">
        <f t="shared" si="24"/>
        <v>12.031225075994051</v>
      </c>
      <c r="E92" s="385">
        <f t="shared" si="46"/>
        <v>12.50523576632019</v>
      </c>
      <c r="F92" s="385">
        <f t="shared" si="25"/>
        <v>12.50523576632019</v>
      </c>
      <c r="G92" s="110">
        <f t="shared" si="47"/>
        <v>0.27363754412190722</v>
      </c>
      <c r="H92" s="414" t="b">
        <f>Wh_hp&gt;='2018'!Maxi_hp</f>
        <v>1</v>
      </c>
      <c r="I92" s="390">
        <f>IF(H92,Wh_hp,'2018'!Maxi_hp)</f>
        <v>12.50523576632019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5.3381991932142103E-3</v>
      </c>
      <c r="M92" s="844"/>
      <c r="N92" s="844"/>
      <c r="O92" s="48">
        <f>IF(t&lt;Tnet,'2018'!Resal+('2018'!Salim-'2018'!Resal)*(1-EXP(('2018'!Tnet-t)/('2018'!Tau_j))),Resal+(Salim-Resal)*(1-EXP((Tnet-t)/(Tau_j))))*Salcycl</f>
        <v>3.7904978297392179E-2</v>
      </c>
      <c r="P92" s="169">
        <f>(INDEX(Models!$BJ92:$BT92,,T92)*(1-R92)+INDEX(Models!$BJ92:$BT92,,T92+1)*R92-ERP_i)*Q92*Ramure*Pc/MaxiM</f>
        <v>2.0738668335637165E-4</v>
      </c>
      <c r="Q92" s="305">
        <f t="shared" si="27"/>
        <v>0.7</v>
      </c>
      <c r="R92" s="177">
        <f t="shared" si="28"/>
        <v>0.81153692948507739</v>
      </c>
      <c r="S92" s="810">
        <f t="shared" si="29"/>
        <v>-2</v>
      </c>
      <c r="T92" s="176">
        <f t="shared" si="30"/>
        <v>4</v>
      </c>
      <c r="U92" s="251">
        <f t="shared" si="31"/>
        <v>-1.1884630705149226</v>
      </c>
      <c r="V92" s="383">
        <f t="shared" si="32"/>
        <v>43.723964275275065</v>
      </c>
      <c r="W92" s="58"/>
      <c r="X92" s="157">
        <f t="shared" si="33"/>
        <v>43543</v>
      </c>
      <c r="Y92" s="385">
        <f t="shared" si="34"/>
        <v>11.967000000000001</v>
      </c>
      <c r="Z92" s="385">
        <f t="shared" si="35"/>
        <v>12.031225075994051</v>
      </c>
      <c r="AA92" s="386">
        <f t="shared" si="36"/>
        <v>12.50523576632019</v>
      </c>
      <c r="AB92" s="197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3.7904978297392179E-2</v>
      </c>
      <c r="AD92" s="231">
        <f>(INDEX(Models!$BJ92:$BT92,,AH92)*(1-AF92)+INDEX(Models!$BJ92:$BT92,,AH92+1)*AF92-ERP_i)*AE92*Ramure*Pc/MaxiM</f>
        <v>2.0738668335637165E-4</v>
      </c>
      <c r="AE92" s="305">
        <f t="shared" si="38"/>
        <v>0.7</v>
      </c>
      <c r="AF92" s="177">
        <f t="shared" si="39"/>
        <v>0.81153692948507739</v>
      </c>
      <c r="AG92" s="176">
        <f t="shared" si="40"/>
        <v>-2</v>
      </c>
      <c r="AH92" s="176">
        <f t="shared" si="41"/>
        <v>4</v>
      </c>
      <c r="AI92" s="225">
        <f t="shared" si="42"/>
        <v>-1.1884630705149226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6">
        <v>43.445999999999998</v>
      </c>
      <c r="C93" s="390"/>
      <c r="D93" s="393">
        <f t="shared" si="24"/>
        <v>43.68018460161953</v>
      </c>
      <c r="E93" s="385">
        <f t="shared" si="46"/>
        <v>45.408036570789299</v>
      </c>
      <c r="F93" s="385">
        <f t="shared" si="25"/>
        <v>45.417095514762579</v>
      </c>
      <c r="G93" s="110">
        <f t="shared" si="47"/>
        <v>0.98387512210878714</v>
      </c>
      <c r="H93" s="414" t="b">
        <f>Wh_hp&gt;='2018'!Maxi_hp</f>
        <v>1</v>
      </c>
      <c r="I93" s="390">
        <f>IF(H93,Wh_hp,'2018'!Maxi_hp)</f>
        <v>45.417095514762579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5.3613464264262722E-3</v>
      </c>
      <c r="M93" s="844"/>
      <c r="N93" s="844"/>
      <c r="O93" s="48">
        <f>IF(t&lt;Tnet,'2018'!Resal+('2018'!Salim-'2018'!Resal)*(1-EXP(('2018'!Tnet-t)/('2018'!Tau_j))),Resal+(Salim-Resal)*(1-EXP((Tnet-t)/(Tau_j))))*Salcycl</f>
        <v>3.8051677624865228E-2</v>
      </c>
      <c r="P93" s="169">
        <f>(INDEX(Models!$BJ93:$BT93,,T93)*(1-R93)+INDEX(Models!$BJ93:$BT93,,T93+1)*R93-ERP_i)*Q93*Ramure*Pc/MaxiM</f>
        <v>2.0416275292875564E-4</v>
      </c>
      <c r="Q93" s="305">
        <f t="shared" si="27"/>
        <v>0.7</v>
      </c>
      <c r="R93" s="177">
        <f t="shared" si="28"/>
        <v>0.81205621907117442</v>
      </c>
      <c r="S93" s="810">
        <f t="shared" si="29"/>
        <v>-2</v>
      </c>
      <c r="T93" s="176">
        <f t="shared" si="30"/>
        <v>4</v>
      </c>
      <c r="U93" s="251">
        <f t="shared" si="31"/>
        <v>-1.1879437809288256</v>
      </c>
      <c r="V93" s="383">
        <f t="shared" si="32"/>
        <v>44.157835395057702</v>
      </c>
      <c r="W93" s="58"/>
      <c r="X93" s="157">
        <f t="shared" si="33"/>
        <v>43544</v>
      </c>
      <c r="Y93" s="385">
        <f t="shared" si="34"/>
        <v>43.445999999999998</v>
      </c>
      <c r="Z93" s="385">
        <f t="shared" si="35"/>
        <v>43.68018460161953</v>
      </c>
      <c r="AA93" s="386">
        <f t="shared" si="36"/>
        <v>45.408036570789299</v>
      </c>
      <c r="AB93" s="197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3.8051677624865228E-2</v>
      </c>
      <c r="AD93" s="231">
        <f>(INDEX(Models!$BJ93:$BT93,,AH93)*(1-AF93)+INDEX(Models!$BJ93:$BT93,,AH93+1)*AF93-ERP_i)*AE93*Ramure*Pc/MaxiM</f>
        <v>2.0416275292875564E-4</v>
      </c>
      <c r="AE93" s="305">
        <f t="shared" si="38"/>
        <v>0.7</v>
      </c>
      <c r="AF93" s="177">
        <f t="shared" si="39"/>
        <v>0.81205621907117442</v>
      </c>
      <c r="AG93" s="176">
        <f t="shared" si="40"/>
        <v>-2</v>
      </c>
      <c r="AH93" s="176">
        <f t="shared" si="41"/>
        <v>4</v>
      </c>
      <c r="AI93" s="225">
        <f t="shared" si="42"/>
        <v>-1.1879437809288256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6">
        <v>44.396999999999998</v>
      </c>
      <c r="C94" s="390"/>
      <c r="D94" s="393">
        <f t="shared" si="24"/>
        <v>44.637349501328167</v>
      </c>
      <c r="E94" s="385">
        <f t="shared" si="46"/>
        <v>46.410143897859463</v>
      </c>
      <c r="F94" s="385">
        <f t="shared" si="25"/>
        <v>46.419387876914584</v>
      </c>
      <c r="G94" s="110">
        <f t="shared" si="47"/>
        <v>0.99547648783555454</v>
      </c>
      <c r="H94" s="414" t="b">
        <f>Wh_hp&gt;='2018'!Maxi_hp</f>
        <v>1</v>
      </c>
      <c r="I94" s="390">
        <f>IF(H94,Wh_hp,'2018'!Maxi_hp)</f>
        <v>46.419387876914584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5.3844931209685587E-3</v>
      </c>
      <c r="M94" s="844"/>
      <c r="N94" s="844"/>
      <c r="O94" s="48">
        <f>IF(t&lt;Tnet,'2018'!Resal+('2018'!Salim-'2018'!Resal)*(1-EXP(('2018'!Tnet-t)/('2018'!Tau_j))),Resal+(Salim-Resal)*(1-EXP((Tnet-t)/(Tau_j))))*Salcycl</f>
        <v>3.8198424905402255E-2</v>
      </c>
      <c r="P94" s="169">
        <f>(INDEX(Models!$BJ94:$BT94,,T94)*(1-R94)+INDEX(Models!$BJ94:$BT94,,T94+1)*R94-ERP_i)*Q94*Ramure*Pc/MaxiM</f>
        <v>2.0043535344665958E-4</v>
      </c>
      <c r="Q94" s="305">
        <f t="shared" si="27"/>
        <v>0.7</v>
      </c>
      <c r="R94" s="177">
        <f t="shared" si="28"/>
        <v>0.81259581682293458</v>
      </c>
      <c r="S94" s="810">
        <f t="shared" si="29"/>
        <v>-2</v>
      </c>
      <c r="T94" s="176">
        <f t="shared" si="30"/>
        <v>4</v>
      </c>
      <c r="U94" s="251">
        <f t="shared" si="31"/>
        <v>-1.1874041831770654</v>
      </c>
      <c r="V94" s="383">
        <f t="shared" si="32"/>
        <v>44.598685194928102</v>
      </c>
      <c r="W94" s="58"/>
      <c r="X94" s="157">
        <f t="shared" si="33"/>
        <v>43545</v>
      </c>
      <c r="Y94" s="385">
        <f t="shared" si="34"/>
        <v>44.396999999999998</v>
      </c>
      <c r="Z94" s="385">
        <f t="shared" si="35"/>
        <v>44.637349501328167</v>
      </c>
      <c r="AA94" s="386">
        <f t="shared" si="36"/>
        <v>46.410143897859463</v>
      </c>
      <c r="AB94" s="197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3.8198424905402255E-2</v>
      </c>
      <c r="AD94" s="231">
        <f>(INDEX(Models!$BJ94:$BT94,,AH94)*(1-AF94)+INDEX(Models!$BJ94:$BT94,,AH94+1)*AF94-ERP_i)*AE94*Ramure*Pc/MaxiM</f>
        <v>2.0043535344665958E-4</v>
      </c>
      <c r="AE94" s="305">
        <f t="shared" si="38"/>
        <v>0.7</v>
      </c>
      <c r="AF94" s="177">
        <f t="shared" si="39"/>
        <v>0.81259581682293458</v>
      </c>
      <c r="AG94" s="176">
        <f t="shared" si="40"/>
        <v>-2</v>
      </c>
      <c r="AH94" s="176">
        <f t="shared" si="41"/>
        <v>4</v>
      </c>
      <c r="AI94" s="225">
        <f t="shared" si="42"/>
        <v>-1.1874041831770654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6">
        <v>43.552</v>
      </c>
      <c r="C95" s="390"/>
      <c r="D95" s="393">
        <f t="shared" si="24"/>
        <v>43.788794002333056</v>
      </c>
      <c r="E95" s="385">
        <f t="shared" si="46"/>
        <v>45.534838163344808</v>
      </c>
      <c r="F95" s="385">
        <f t="shared" si="25"/>
        <v>45.543359976043583</v>
      </c>
      <c r="G95" s="110">
        <f t="shared" si="47"/>
        <v>0.96685007382565069</v>
      </c>
      <c r="H95" s="414" t="b">
        <f>Wh_hp&gt;='2018'!Maxi_hp</f>
        <v>1</v>
      </c>
      <c r="I95" s="390">
        <f>IF(H95,Wh_hp,'2018'!Maxi_hp)</f>
        <v>45.543359976043583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5.4076392768533932E-3</v>
      </c>
      <c r="M95" s="844"/>
      <c r="N95" s="844"/>
      <c r="O95" s="48">
        <f>IF(t&lt;Tnet,'2018'!Resal+('2018'!Salim-'2018'!Resal)*(1-EXP(('2018'!Tnet-t)/('2018'!Tau_j))),Resal+(Salim-Resal)*(1-EXP((Tnet-t)/(Tau_j))))*Salcycl</f>
        <v>3.8345236997400854E-2</v>
      </c>
      <c r="P95" s="169">
        <f>(INDEX(Models!$BJ95:$BT95,,T95)*(1-R95)+INDEX(Models!$BJ95:$BT95,,T95+1)*R95-ERP_i)*Q95*Ramure*Pc/MaxiM</f>
        <v>1.9641330202034736E-4</v>
      </c>
      <c r="Q95" s="305">
        <f t="shared" si="27"/>
        <v>0.7</v>
      </c>
      <c r="R95" s="177">
        <f t="shared" si="28"/>
        <v>0.81315645487187438</v>
      </c>
      <c r="S95" s="810">
        <f t="shared" si="29"/>
        <v>-2</v>
      </c>
      <c r="T95" s="176">
        <f t="shared" si="30"/>
        <v>4</v>
      </c>
      <c r="U95" s="251">
        <f t="shared" si="31"/>
        <v>-1.1868435451281256</v>
      </c>
      <c r="V95" s="383">
        <f t="shared" si="32"/>
        <v>45.044827643830104</v>
      </c>
      <c r="W95" s="58"/>
      <c r="X95" s="157">
        <f t="shared" si="33"/>
        <v>43546</v>
      </c>
      <c r="Y95" s="385">
        <f t="shared" si="34"/>
        <v>43.552</v>
      </c>
      <c r="Z95" s="385">
        <f t="shared" si="35"/>
        <v>43.788794002333056</v>
      </c>
      <c r="AA95" s="386">
        <f t="shared" si="36"/>
        <v>45.534838163344808</v>
      </c>
      <c r="AB95" s="197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3.8345236997400854E-2</v>
      </c>
      <c r="AD95" s="231">
        <f>(INDEX(Models!$BJ95:$BT95,,AH95)*(1-AF95)+INDEX(Models!$BJ95:$BT95,,AH95+1)*AF95-ERP_i)*AE95*Ramure*Pc/MaxiM</f>
        <v>1.9641330202034736E-4</v>
      </c>
      <c r="AE95" s="305">
        <f t="shared" si="38"/>
        <v>0.7</v>
      </c>
      <c r="AF95" s="177">
        <f t="shared" si="39"/>
        <v>0.81315645487187438</v>
      </c>
      <c r="AG95" s="176">
        <f t="shared" si="40"/>
        <v>-2</v>
      </c>
      <c r="AH95" s="176">
        <f t="shared" si="41"/>
        <v>4</v>
      </c>
      <c r="AI95" s="225">
        <f t="shared" si="42"/>
        <v>-1.1868435451281256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6">
        <v>41.122999999999998</v>
      </c>
      <c r="C96" s="390"/>
      <c r="D96" s="393">
        <f t="shared" si="24"/>
        <v>41.347549648036328</v>
      </c>
      <c r="E96" s="385">
        <f t="shared" si="46"/>
        <v>43.00281982618521</v>
      </c>
      <c r="F96" s="385">
        <f t="shared" si="25"/>
        <v>43.0099483238413</v>
      </c>
      <c r="G96" s="110">
        <f t="shared" si="47"/>
        <v>0.90388590689029857</v>
      </c>
      <c r="H96" s="414" t="b">
        <f>Wh_hp&gt;='2018'!Maxi_hp</f>
        <v>1</v>
      </c>
      <c r="I96" s="390">
        <f>IF(H96,Wh_hp,'2018'!Maxi_hp)</f>
        <v>43.0099483238413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5.4307848940933212E-3</v>
      </c>
      <c r="M96" s="844"/>
      <c r="N96" s="844"/>
      <c r="O96" s="48">
        <f>IF(t&lt;Tnet,'2018'!Resal+('2018'!Salim-'2018'!Resal)*(1-EXP(('2018'!Tnet-t)/('2018'!Tau_j))),Resal+(Salim-Resal)*(1-EXP((Tnet-t)/(Tau_j))))*Salcycl</f>
        <v>3.8492131093713952E-2</v>
      </c>
      <c r="P96" s="169">
        <f>(INDEX(Models!$BJ96:$BT96,,T96)*(1-R96)+INDEX(Models!$BJ96:$BT96,,T96+1)*R96-ERP_i)*Q96*Ramure*Pc/MaxiM</f>
        <v>1.9211226409178561E-4</v>
      </c>
      <c r="Q96" s="305">
        <f t="shared" si="27"/>
        <v>0.7</v>
      </c>
      <c r="R96" s="177">
        <f t="shared" si="28"/>
        <v>0.81373888663371008</v>
      </c>
      <c r="S96" s="810">
        <f t="shared" si="29"/>
        <v>-2</v>
      </c>
      <c r="T96" s="176">
        <f t="shared" si="30"/>
        <v>4</v>
      </c>
      <c r="U96" s="251">
        <f t="shared" si="31"/>
        <v>-1.1862611133662899</v>
      </c>
      <c r="V96" s="383">
        <f t="shared" si="32"/>
        <v>45.494586238923347</v>
      </c>
      <c r="W96" s="58"/>
      <c r="X96" s="157">
        <f t="shared" si="33"/>
        <v>43547</v>
      </c>
      <c r="Y96" s="385">
        <f t="shared" si="34"/>
        <v>41.122999999999998</v>
      </c>
      <c r="Z96" s="385">
        <f t="shared" si="35"/>
        <v>41.347549648036328</v>
      </c>
      <c r="AA96" s="386">
        <f t="shared" si="36"/>
        <v>43.00281982618521</v>
      </c>
      <c r="AB96" s="197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3.8492131093713952E-2</v>
      </c>
      <c r="AD96" s="231">
        <f>(INDEX(Models!$BJ96:$BT96,,AH96)*(1-AF96)+INDEX(Models!$BJ96:$BT96,,AH96+1)*AF96-ERP_i)*AE96*Ramure*Pc/MaxiM</f>
        <v>1.9211226409178561E-4</v>
      </c>
      <c r="AE96" s="305">
        <f t="shared" si="38"/>
        <v>0.7</v>
      </c>
      <c r="AF96" s="177">
        <f t="shared" si="39"/>
        <v>0.81373888663371008</v>
      </c>
      <c r="AG96" s="176">
        <f t="shared" si="40"/>
        <v>-2</v>
      </c>
      <c r="AH96" s="176">
        <f t="shared" si="41"/>
        <v>4</v>
      </c>
      <c r="AI96" s="225">
        <f t="shared" si="42"/>
        <v>-1.1862611133662899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6">
        <v>45.186999999999998</v>
      </c>
      <c r="C97" s="390"/>
      <c r="D97" s="393">
        <f t="shared" si="24"/>
        <v>45.434798207748855</v>
      </c>
      <c r="E97" s="385">
        <f t="shared" si="46"/>
        <v>47.260918739298418</v>
      </c>
      <c r="F97" s="385">
        <f t="shared" si="25"/>
        <v>47.269574696306101</v>
      </c>
      <c r="G97" s="110">
        <f t="shared" si="47"/>
        <v>0.98347013875421097</v>
      </c>
      <c r="H97" s="414" t="b">
        <f>Wh_hp&gt;='2018'!Maxi_hp</f>
        <v>1</v>
      </c>
      <c r="I97" s="390">
        <f>IF(H97,Wh_hp,'2018'!Maxi_hp)</f>
        <v>47.269574696306101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5.4539299727008883E-3</v>
      </c>
      <c r="M97" s="844"/>
      <c r="N97" s="844"/>
      <c r="O97" s="48">
        <f>IF(t&lt;Tnet,'2018'!Resal+('2018'!Salim-'2018'!Resal)*(1-EXP(('2018'!Tnet-t)/('2018'!Tau_j))),Resal+(Salim-Resal)*(1-EXP((Tnet-t)/(Tau_j))))*Salcycl</f>
        <v>3.8639124677682296E-2</v>
      </c>
      <c r="P97" s="169">
        <f>(INDEX(Models!$BJ97:$BT97,,T97)*(1-R97)+INDEX(Models!$BJ97:$BT97,,T97+1)*R97-ERP_i)*Q97*Ramure*Pc/MaxiM</f>
        <v>1.8754656912924668E-4</v>
      </c>
      <c r="Q97" s="305">
        <f t="shared" si="27"/>
        <v>0.7</v>
      </c>
      <c r="R97" s="177">
        <f t="shared" si="28"/>
        <v>0.81434388699575799</v>
      </c>
      <c r="S97" s="810">
        <f t="shared" si="29"/>
        <v>-2</v>
      </c>
      <c r="T97" s="176">
        <f t="shared" si="30"/>
        <v>4</v>
      </c>
      <c r="U97" s="251">
        <f t="shared" si="31"/>
        <v>-1.185656113004242</v>
      </c>
      <c r="V97" s="383">
        <f t="shared" si="32"/>
        <v>45.94628562062853</v>
      </c>
      <c r="W97" s="58"/>
      <c r="X97" s="157">
        <f t="shared" si="33"/>
        <v>43548</v>
      </c>
      <c r="Y97" s="385">
        <f t="shared" si="34"/>
        <v>45.186999999999998</v>
      </c>
      <c r="Z97" s="385">
        <f t="shared" si="35"/>
        <v>45.434798207748855</v>
      </c>
      <c r="AA97" s="386">
        <f t="shared" si="36"/>
        <v>47.260918739298418</v>
      </c>
      <c r="AB97" s="197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3.8639124677682296E-2</v>
      </c>
      <c r="AD97" s="231">
        <f>(INDEX(Models!$BJ97:$BT97,,AH97)*(1-AF97)+INDEX(Models!$BJ97:$BT97,,AH97+1)*AF97-ERP_i)*AE97*Ramure*Pc/MaxiM</f>
        <v>1.8754656912924668E-4</v>
      </c>
      <c r="AE97" s="305">
        <f t="shared" si="38"/>
        <v>0.7</v>
      </c>
      <c r="AF97" s="177">
        <f t="shared" si="39"/>
        <v>0.81434388699575799</v>
      </c>
      <c r="AG97" s="176">
        <f t="shared" si="40"/>
        <v>-2</v>
      </c>
      <c r="AH97" s="176">
        <f t="shared" si="41"/>
        <v>4</v>
      </c>
      <c r="AI97" s="225">
        <f t="shared" si="42"/>
        <v>-1.185656113004242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6">
        <v>39.798000000000002</v>
      </c>
      <c r="C98" s="390"/>
      <c r="D98" s="393">
        <f t="shared" si="24"/>
        <v>40.017177060548086</v>
      </c>
      <c r="E98" s="385">
        <f t="shared" si="46"/>
        <v>41.631922614528044</v>
      </c>
      <c r="F98" s="385">
        <f t="shared" si="25"/>
        <v>41.637984914064219</v>
      </c>
      <c r="G98" s="110">
        <f t="shared" si="47"/>
        <v>0.85771598254648496</v>
      </c>
      <c r="H98" s="414" t="b">
        <f>Wh_hp&gt;='2018'!Maxi_hp</f>
        <v>1</v>
      </c>
      <c r="I98" s="390">
        <f>IF(H98,Wh_hp,'2018'!Maxi_hp)</f>
        <v>41.637984914064219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5.477074512688751E-3</v>
      </c>
      <c r="M98" s="844"/>
      <c r="N98" s="844"/>
      <c r="O98" s="48">
        <f>IF(t&lt;Tnet,'2018'!Resal+('2018'!Salim-'2018'!Resal)*(1-EXP(('2018'!Tnet-t)/('2018'!Tau_j))),Resal+(Salim-Resal)*(1-EXP((Tnet-t)/(Tau_j))))*Salcycl</f>
        <v>3.8786235479224968E-2</v>
      </c>
      <c r="P98" s="169">
        <f>(INDEX(Models!$BJ98:$BT98,,T98)*(1-R98)+INDEX(Models!$BJ98:$BT98,,T98+1)*R98-ERP_i)*Q98*Ramure*Pc/MaxiM</f>
        <v>1.8272914892810159E-4</v>
      </c>
      <c r="Q98" s="305">
        <f t="shared" si="27"/>
        <v>0.7</v>
      </c>
      <c r="R98" s="177">
        <f t="shared" si="28"/>
        <v>0.81497225246395577</v>
      </c>
      <c r="S98" s="810">
        <f t="shared" si="29"/>
        <v>-2</v>
      </c>
      <c r="T98" s="176">
        <f t="shared" si="30"/>
        <v>4</v>
      </c>
      <c r="U98" s="251">
        <f t="shared" si="31"/>
        <v>-1.1850277475360442</v>
      </c>
      <c r="V98" s="383">
        <f t="shared" si="32"/>
        <v>46.398251572921822</v>
      </c>
      <c r="W98" s="58"/>
      <c r="X98" s="157">
        <f t="shared" si="33"/>
        <v>43549</v>
      </c>
      <c r="Y98" s="385">
        <f t="shared" si="34"/>
        <v>39.798000000000002</v>
      </c>
      <c r="Z98" s="385">
        <f t="shared" si="35"/>
        <v>40.017177060548086</v>
      </c>
      <c r="AA98" s="386">
        <f t="shared" si="36"/>
        <v>41.631922614528044</v>
      </c>
      <c r="AB98" s="197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3.8786235479224968E-2</v>
      </c>
      <c r="AD98" s="231">
        <f>(INDEX(Models!$BJ98:$BT98,,AH98)*(1-AF98)+INDEX(Models!$BJ98:$BT98,,AH98+1)*AF98-ERP_i)*AE98*Ramure*Pc/MaxiM</f>
        <v>1.8272914892810159E-4</v>
      </c>
      <c r="AE98" s="305">
        <f t="shared" si="38"/>
        <v>0.7</v>
      </c>
      <c r="AF98" s="177">
        <f t="shared" si="39"/>
        <v>0.81497225246395577</v>
      </c>
      <c r="AG98" s="176">
        <f t="shared" si="40"/>
        <v>-2</v>
      </c>
      <c r="AH98" s="176">
        <f t="shared" si="41"/>
        <v>4</v>
      </c>
      <c r="AI98" s="225">
        <f t="shared" si="42"/>
        <v>-1.1850277475360442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6">
        <v>48.417999999999999</v>
      </c>
      <c r="C99" s="390"/>
      <c r="D99" s="393">
        <f t="shared" si="24"/>
        <v>48.685782441959212</v>
      </c>
      <c r="E99" s="385">
        <f t="shared" si="46"/>
        <v>50.658077772246138</v>
      </c>
      <c r="F99" s="385">
        <f t="shared" si="25"/>
        <v>50.66707986781163</v>
      </c>
      <c r="G99" s="110">
        <f t="shared" si="47"/>
        <v>1.033494744873567</v>
      </c>
      <c r="H99" s="414" t="b">
        <f>Wh_hp&gt;='2018'!Maxi_hp</f>
        <v>1</v>
      </c>
      <c r="I99" s="390">
        <f>IF(H99,Wh_hp,'2018'!Maxi_hp)</f>
        <v>50.66707986781163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5.5002185140693438E-3</v>
      </c>
      <c r="M99" s="844"/>
      <c r="N99" s="844"/>
      <c r="O99" s="48">
        <f>IF(t&lt;Tnet,'2018'!Resal+('2018'!Salim-'2018'!Resal)*(1-EXP(('2018'!Tnet-t)/('2018'!Tau_j))),Resal+(Salim-Resal)*(1-EXP((Tnet-t)/(Tau_j))))*Salcycl</f>
        <v>3.8933481431217665E-2</v>
      </c>
      <c r="P99" s="169">
        <f>(INDEX(Models!$BJ99:$BT99,,T99)*(1-R99)+INDEX(Models!$BJ99:$BT99,,T99+1)*R99-ERP_i)*Q99*Ramure*Pc/MaxiM</f>
        <v>1.7767148983086184E-4</v>
      </c>
      <c r="Q99" s="305">
        <f t="shared" si="27"/>
        <v>0.7</v>
      </c>
      <c r="R99" s="177">
        <f t="shared" si="28"/>
        <v>0.81562480126507864</v>
      </c>
      <c r="S99" s="810">
        <f t="shared" si="29"/>
        <v>-2</v>
      </c>
      <c r="T99" s="176">
        <f t="shared" si="30"/>
        <v>4</v>
      </c>
      <c r="U99" s="251">
        <f t="shared" si="31"/>
        <v>-1.1843751987349214</v>
      </c>
      <c r="V99" s="383">
        <f t="shared" si="32"/>
        <v>46.848811027020012</v>
      </c>
      <c r="W99" s="58"/>
      <c r="X99" s="157">
        <f t="shared" si="33"/>
        <v>43550</v>
      </c>
      <c r="Y99" s="385">
        <f t="shared" si="34"/>
        <v>48.417999999999999</v>
      </c>
      <c r="Z99" s="385">
        <f t="shared" si="35"/>
        <v>48.685782441959212</v>
      </c>
      <c r="AA99" s="386">
        <f t="shared" si="36"/>
        <v>50.658077772246138</v>
      </c>
      <c r="AB99" s="197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3.8933481431217665E-2</v>
      </c>
      <c r="AD99" s="231">
        <f>(INDEX(Models!$BJ99:$BT99,,AH99)*(1-AF99)+INDEX(Models!$BJ99:$BT99,,AH99+1)*AF99-ERP_i)*AE99*Ramure*Pc/MaxiM</f>
        <v>1.7767148983086184E-4</v>
      </c>
      <c r="AE99" s="305">
        <f t="shared" si="38"/>
        <v>0.7</v>
      </c>
      <c r="AF99" s="177">
        <f t="shared" si="39"/>
        <v>0.81562480126507864</v>
      </c>
      <c r="AG99" s="176">
        <f t="shared" si="40"/>
        <v>-2</v>
      </c>
      <c r="AH99" s="176">
        <f t="shared" si="41"/>
        <v>4</v>
      </c>
      <c r="AI99" s="225">
        <f t="shared" si="42"/>
        <v>-1.1843751987349214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6">
        <v>47.591000000000001</v>
      </c>
      <c r="C100" s="390"/>
      <c r="D100" s="393">
        <f t="shared" si="24"/>
        <v>47.855322267401924</v>
      </c>
      <c r="E100" s="385">
        <f t="shared" si="46"/>
        <v>49.801613166564508</v>
      </c>
      <c r="F100" s="385">
        <f t="shared" si="25"/>
        <v>49.81019451356466</v>
      </c>
      <c r="G100" s="110">
        <f t="shared" si="47"/>
        <v>1.0062309968196643</v>
      </c>
      <c r="H100" s="414" t="b">
        <f>Wh_hp&gt;='2018'!Maxi_hp</f>
        <v>1</v>
      </c>
      <c r="I100" s="390">
        <f>IF(H100,Wh_hp,'2018'!Maxi_hp)</f>
        <v>49.81019451356466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5.5233619768552122E-3</v>
      </c>
      <c r="M100" s="844"/>
      <c r="N100" s="844"/>
      <c r="O100" s="48">
        <f>IF(t&lt;Tnet,'2018'!Resal+('2018'!Salim-'2018'!Resal)*(1-EXP(('2018'!Tnet-t)/('2018'!Tau_j))),Resal+(Salim-Resal)*(1-EXP((Tnet-t)/(Tau_j))))*Salcycl</f>
        <v>3.9080880626358352E-2</v>
      </c>
      <c r="P100" s="169">
        <f>(INDEX(Models!$BJ100:$BT100,,T100)*(1-R100)+INDEX(Models!$BJ100:$BT100,,T100+1)*R100-ERP_i)*Q100*Ramure*Pc/MaxiM</f>
        <v>1.722809373453475E-4</v>
      </c>
      <c r="Q100" s="305">
        <f t="shared" si="27"/>
        <v>0.7</v>
      </c>
      <c r="R100" s="177">
        <f t="shared" si="28"/>
        <v>0.81630237339945033</v>
      </c>
      <c r="S100" s="810">
        <f t="shared" si="29"/>
        <v>-2</v>
      </c>
      <c r="T100" s="176">
        <f t="shared" si="30"/>
        <v>4</v>
      </c>
      <c r="U100" s="251">
        <f t="shared" si="31"/>
        <v>-1.1836976266005497</v>
      </c>
      <c r="V100" s="383">
        <f t="shared" si="32"/>
        <v>47.296296924282899</v>
      </c>
      <c r="W100" s="58"/>
      <c r="X100" s="157">
        <f t="shared" si="33"/>
        <v>43551</v>
      </c>
      <c r="Y100" s="385">
        <f t="shared" si="34"/>
        <v>47.591000000000001</v>
      </c>
      <c r="Z100" s="385">
        <f t="shared" si="35"/>
        <v>47.855322267401924</v>
      </c>
      <c r="AA100" s="386">
        <f t="shared" si="36"/>
        <v>49.801613166564508</v>
      </c>
      <c r="AB100" s="197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3.9080880626358352E-2</v>
      </c>
      <c r="AD100" s="231">
        <f>(INDEX(Models!$BJ100:$BT100,,AH100)*(1-AF100)+INDEX(Models!$BJ100:$BT100,,AH100+1)*AF100-ERP_i)*AE100*Ramure*Pc/MaxiM</f>
        <v>1.722809373453475E-4</v>
      </c>
      <c r="AE100" s="305">
        <f t="shared" si="38"/>
        <v>0.7</v>
      </c>
      <c r="AF100" s="177">
        <f t="shared" si="39"/>
        <v>0.81630237339945033</v>
      </c>
      <c r="AG100" s="176">
        <f t="shared" si="40"/>
        <v>-2</v>
      </c>
      <c r="AH100" s="176">
        <f t="shared" si="41"/>
        <v>4</v>
      </c>
      <c r="AI100" s="225">
        <f t="shared" si="42"/>
        <v>-1.1836976266005497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6">
        <v>46.692999999999998</v>
      </c>
      <c r="C101" s="390"/>
      <c r="D101" s="393">
        <f t="shared" si="24"/>
        <v>46.953427415280359</v>
      </c>
      <c r="E101" s="385">
        <f t="shared" si="46"/>
        <v>48.870543135436286</v>
      </c>
      <c r="F101" s="385">
        <f t="shared" si="25"/>
        <v>48.878439061474175</v>
      </c>
      <c r="G101" s="110">
        <f t="shared" si="47"/>
        <v>0.97808348696361269</v>
      </c>
      <c r="H101" s="414" t="b">
        <f>Wh_hp&gt;='2018'!Maxi_hp</f>
        <v>1</v>
      </c>
      <c r="I101" s="390">
        <f>IF(H101,Wh_hp,'2018'!Maxi_hp)</f>
        <v>48.878439061474175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5.5465049010587908E-3</v>
      </c>
      <c r="M101" s="844"/>
      <c r="N101" s="844"/>
      <c r="O101" s="48">
        <f>IF(t&lt;Tnet,'2018'!Resal+('2018'!Salim-'2018'!Resal)*(1-EXP(('2018'!Tnet-t)/('2018'!Tau_j))),Resal+(Salim-Resal)*(1-EXP((Tnet-t)/(Tau_j))))*Salcycl</f>
        <v>3.9228451274686604E-2</v>
      </c>
      <c r="P101" s="169">
        <f>(INDEX(Models!$BJ101:$BT101,,T101)*(1-R101)+INDEX(Models!$BJ101:$BT101,,T101+1)*R101-ERP_i)*Q101*Ramure*Pc/MaxiM</f>
        <v>1.6676209579789722E-4</v>
      </c>
      <c r="Q101" s="305">
        <f t="shared" si="27"/>
        <v>0.7</v>
      </c>
      <c r="R101" s="177">
        <f t="shared" si="28"/>
        <v>0.81700583063918186</v>
      </c>
      <c r="S101" s="810">
        <f t="shared" si="29"/>
        <v>-2</v>
      </c>
      <c r="T101" s="176">
        <f t="shared" si="30"/>
        <v>4</v>
      </c>
      <c r="U101" s="251">
        <f t="shared" si="31"/>
        <v>-1.1829941693608181</v>
      </c>
      <c r="V101" s="383">
        <f t="shared" si="32"/>
        <v>47.739029281275265</v>
      </c>
      <c r="W101" s="58"/>
      <c r="X101" s="157">
        <f t="shared" si="33"/>
        <v>43552</v>
      </c>
      <c r="Y101" s="385">
        <f t="shared" si="34"/>
        <v>46.692999999999998</v>
      </c>
      <c r="Z101" s="385">
        <f t="shared" si="35"/>
        <v>46.953427415280359</v>
      </c>
      <c r="AA101" s="386">
        <f t="shared" si="36"/>
        <v>48.870543135436286</v>
      </c>
      <c r="AB101" s="197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3.9228451274686604E-2</v>
      </c>
      <c r="AD101" s="231">
        <f>(INDEX(Models!$BJ101:$BT101,,AH101)*(1-AF101)+INDEX(Models!$BJ101:$BT101,,AH101+1)*AF101-ERP_i)*AE101*Ramure*Pc/MaxiM</f>
        <v>1.6676209579789722E-4</v>
      </c>
      <c r="AE101" s="305">
        <f t="shared" si="38"/>
        <v>0.7</v>
      </c>
      <c r="AF101" s="177">
        <f t="shared" si="39"/>
        <v>0.81700583063918186</v>
      </c>
      <c r="AG101" s="176">
        <f t="shared" si="40"/>
        <v>-2</v>
      </c>
      <c r="AH101" s="176">
        <f t="shared" si="41"/>
        <v>4</v>
      </c>
      <c r="AI101" s="225">
        <f t="shared" si="42"/>
        <v>-1.1829941693608181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6">
        <v>47.454000000000001</v>
      </c>
      <c r="C102" s="390"/>
      <c r="D102" s="393">
        <f t="shared" si="24"/>
        <v>47.719782356322469</v>
      </c>
      <c r="E102" s="385">
        <f t="shared" si="46"/>
        <v>49.675828285366769</v>
      </c>
      <c r="F102" s="385">
        <f t="shared" si="25"/>
        <v>49.683662086047121</v>
      </c>
      <c r="G102" s="110">
        <f t="shared" si="47"/>
        <v>0.98502341510219926</v>
      </c>
      <c r="H102" s="414" t="b">
        <f>Wh_hp&gt;='2018'!Maxi_hp</f>
        <v>1</v>
      </c>
      <c r="I102" s="390">
        <f>IF(H102,Wh_hp,'2018'!Maxi_hp)</f>
        <v>49.683662086047121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5.569647286692847E-3</v>
      </c>
      <c r="M102" s="844"/>
      <c r="N102" s="844"/>
      <c r="O102" s="48">
        <f>IF(t&lt;Tnet,'2018'!Resal+('2018'!Salim-'2018'!Resal)*(1-EXP(('2018'!Tnet-t)/('2018'!Tau_j))),Resal+(Salim-Resal)*(1-EXP((Tnet-t)/(Tau_j))))*Salcycl</f>
        <v>3.9376211661889982E-2</v>
      </c>
      <c r="P102" s="169">
        <f>(INDEX(Models!$BJ102:$BT102,,T102)*(1-R102)+INDEX(Models!$BJ102:$BT102,,T102+1)*R102-ERP_i)*Q102*Ramure*Pc/MaxiM</f>
        <v>1.6111997613279261E-4</v>
      </c>
      <c r="Q102" s="305">
        <f t="shared" si="27"/>
        <v>0.7</v>
      </c>
      <c r="R102" s="177">
        <f t="shared" si="28"/>
        <v>0.8177360564666909</v>
      </c>
      <c r="S102" s="810">
        <f t="shared" si="29"/>
        <v>-2</v>
      </c>
      <c r="T102" s="176">
        <f t="shared" si="30"/>
        <v>4</v>
      </c>
      <c r="U102" s="251">
        <f t="shared" si="31"/>
        <v>-1.1822639435333091</v>
      </c>
      <c r="V102" s="383">
        <f t="shared" si="32"/>
        <v>48.175338475404416</v>
      </c>
      <c r="W102" s="58"/>
      <c r="X102" s="157">
        <f t="shared" si="33"/>
        <v>43553</v>
      </c>
      <c r="Y102" s="385">
        <f t="shared" si="34"/>
        <v>47.454000000000001</v>
      </c>
      <c r="Z102" s="385">
        <f t="shared" si="35"/>
        <v>47.719782356322469</v>
      </c>
      <c r="AA102" s="386">
        <f t="shared" si="36"/>
        <v>49.675828285366769</v>
      </c>
      <c r="AB102" s="197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3.9376211661889982E-2</v>
      </c>
      <c r="AD102" s="231">
        <f>(INDEX(Models!$BJ102:$BT102,,AH102)*(1-AF102)+INDEX(Models!$BJ102:$BT102,,AH102+1)*AF102-ERP_i)*AE102*Ramure*Pc/MaxiM</f>
        <v>1.6111997613279261E-4</v>
      </c>
      <c r="AE102" s="305">
        <f t="shared" si="38"/>
        <v>0.7</v>
      </c>
      <c r="AF102" s="177">
        <f t="shared" si="39"/>
        <v>0.8177360564666909</v>
      </c>
      <c r="AG102" s="176">
        <f t="shared" si="40"/>
        <v>-2</v>
      </c>
      <c r="AH102" s="176">
        <f t="shared" si="41"/>
        <v>4</v>
      </c>
      <c r="AI102" s="225">
        <f t="shared" si="42"/>
        <v>-1.1822639435333091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6">
        <v>48.362000000000002</v>
      </c>
      <c r="C103" s="390"/>
      <c r="D103" s="393">
        <f t="shared" si="24"/>
        <v>48.633999705082346</v>
      </c>
      <c r="E103" s="385">
        <f t="shared" si="46"/>
        <v>50.635319180212143</v>
      </c>
      <c r="F103" s="385">
        <f t="shared" si="25"/>
        <v>50.64313114829168</v>
      </c>
      <c r="G103" s="110">
        <f t="shared" si="47"/>
        <v>0.99502897677648183</v>
      </c>
      <c r="H103" s="414" t="b">
        <f>Wh_hp&gt;='2018'!Maxi_hp</f>
        <v>1</v>
      </c>
      <c r="I103" s="390">
        <f>IF(H103,Wh_hp,'2018'!Maxi_hp)</f>
        <v>50.64313114829168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5.5927891337697044E-3</v>
      </c>
      <c r="M103" s="844"/>
      <c r="N103" s="844"/>
      <c r="O103" s="48">
        <f>IF(t&lt;Tnet,'2018'!Resal+('2018'!Salim-'2018'!Resal)*(1-EXP(('2018'!Tnet-t)/('2018'!Tau_j))),Resal+(Salim-Resal)*(1-EXP((Tnet-t)/(Tau_j))))*Salcycl</f>
        <v>3.9524180108494247E-2</v>
      </c>
      <c r="P103" s="169">
        <f>(INDEX(Models!$BJ103:$BT103,,T103)*(1-R103)+INDEX(Models!$BJ103:$BT103,,T103+1)*R103-ERP_i)*Q103*Ramure*Pc/MaxiM</f>
        <v>1.5535826179285717E-4</v>
      </c>
      <c r="Q103" s="305">
        <f t="shared" si="27"/>
        <v>0.7</v>
      </c>
      <c r="R103" s="177">
        <f t="shared" si="28"/>
        <v>0.81849395594798557</v>
      </c>
      <c r="S103" s="810">
        <f t="shared" si="29"/>
        <v>-2</v>
      </c>
      <c r="T103" s="176">
        <f t="shared" si="30"/>
        <v>4</v>
      </c>
      <c r="U103" s="251">
        <f t="shared" si="31"/>
        <v>-1.1815060440520144</v>
      </c>
      <c r="V103" s="383">
        <f t="shared" si="32"/>
        <v>48.603556053057488</v>
      </c>
      <c r="W103" s="58"/>
      <c r="X103" s="157">
        <f t="shared" si="33"/>
        <v>43554</v>
      </c>
      <c r="Y103" s="385">
        <f t="shared" si="34"/>
        <v>48.362000000000002</v>
      </c>
      <c r="Z103" s="385">
        <f t="shared" si="35"/>
        <v>48.633999705082346</v>
      </c>
      <c r="AA103" s="386">
        <f t="shared" si="36"/>
        <v>50.635319180212143</v>
      </c>
      <c r="AB103" s="197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3.9524180108494247E-2</v>
      </c>
      <c r="AD103" s="231">
        <f>(INDEX(Models!$BJ103:$BT103,,AH103)*(1-AF103)+INDEX(Models!$BJ103:$BT103,,AH103+1)*AF103-ERP_i)*AE103*Ramure*Pc/MaxiM</f>
        <v>1.5535826179285717E-4</v>
      </c>
      <c r="AE103" s="305">
        <f t="shared" si="38"/>
        <v>0.7</v>
      </c>
      <c r="AF103" s="177">
        <f t="shared" si="39"/>
        <v>0.81849395594798557</v>
      </c>
      <c r="AG103" s="176">
        <f t="shared" si="40"/>
        <v>-2</v>
      </c>
      <c r="AH103" s="176">
        <f t="shared" si="41"/>
        <v>4</v>
      </c>
      <c r="AI103" s="225">
        <f t="shared" si="42"/>
        <v>-1.1815060440520144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6">
        <v>40.569000000000003</v>
      </c>
      <c r="C104" s="390"/>
      <c r="D104" s="393">
        <f t="shared" si="24"/>
        <v>40.798119400731245</v>
      </c>
      <c r="E104" s="385">
        <f t="shared" si="46"/>
        <v>42.48354242413609</v>
      </c>
      <c r="F104" s="385">
        <f t="shared" si="25"/>
        <v>42.48832905912257</v>
      </c>
      <c r="G104" s="110">
        <f t="shared" si="47"/>
        <v>0.82753649014655506</v>
      </c>
      <c r="H104" s="414" t="b">
        <f>Wh_hp&gt;='2018'!Maxi_hp</f>
        <v>1</v>
      </c>
      <c r="I104" s="390">
        <f>IF(H104,Wh_hp,'2018'!Maxi_hp)</f>
        <v>42.48832905912257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5.6159304423020195E-3</v>
      </c>
      <c r="M104" s="844"/>
      <c r="N104" s="844"/>
      <c r="O104" s="48">
        <f>IF(t&lt;Tnet,'2018'!Resal+('2018'!Salim-'2018'!Resal)*(1-EXP(('2018'!Tnet-t)/('2018'!Tau_j))),Resal+(Salim-Resal)*(1-EXP((Tnet-t)/(Tau_j))))*Salcycl</f>
        <v>3.9672374929998956E-2</v>
      </c>
      <c r="P104" s="169">
        <f>(INDEX(Models!$BJ104:$BT104,,T104)*(1-R104)+INDEX(Models!$BJ104:$BT104,,T104+1)*R104-ERP_i)*Q104*Ramure*Pc/MaxiM</f>
        <v>1.4947931703498929E-4</v>
      </c>
      <c r="Q104" s="305">
        <f t="shared" si="27"/>
        <v>0.7</v>
      </c>
      <c r="R104" s="177">
        <f t="shared" si="28"/>
        <v>0.81928045553491691</v>
      </c>
      <c r="S104" s="810">
        <f t="shared" si="29"/>
        <v>-2</v>
      </c>
      <c r="T104" s="176">
        <f t="shared" si="30"/>
        <v>4</v>
      </c>
      <c r="U104" s="251">
        <f t="shared" si="31"/>
        <v>-1.1807195444650831</v>
      </c>
      <c r="V104" s="383">
        <f t="shared" si="32"/>
        <v>49.022014734351117</v>
      </c>
      <c r="W104" s="58"/>
      <c r="X104" s="157">
        <f t="shared" si="33"/>
        <v>43555</v>
      </c>
      <c r="Y104" s="385">
        <f t="shared" si="34"/>
        <v>40.569000000000003</v>
      </c>
      <c r="Z104" s="385">
        <f t="shared" si="35"/>
        <v>40.798119400731245</v>
      </c>
      <c r="AA104" s="386">
        <f t="shared" si="36"/>
        <v>42.48354242413609</v>
      </c>
      <c r="AB104" s="197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3.9672374929998956E-2</v>
      </c>
      <c r="AD104" s="231">
        <f>(INDEX(Models!$BJ104:$BT104,,AH104)*(1-AF104)+INDEX(Models!$BJ104:$BT104,,AH104+1)*AF104-ERP_i)*AE104*Ramure*Pc/MaxiM</f>
        <v>1.4947931703498929E-4</v>
      </c>
      <c r="AE104" s="305">
        <f t="shared" si="38"/>
        <v>0.7</v>
      </c>
      <c r="AF104" s="177">
        <f t="shared" si="39"/>
        <v>0.81928045553491691</v>
      </c>
      <c r="AG104" s="176">
        <f t="shared" si="40"/>
        <v>-2</v>
      </c>
      <c r="AH104" s="176">
        <f t="shared" si="41"/>
        <v>4</v>
      </c>
      <c r="AI104" s="225">
        <f t="shared" si="42"/>
        <v>-1.1807195444650831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6">
        <v>36.999000000000002</v>
      </c>
      <c r="C105" s="390"/>
      <c r="D105" s="393">
        <f t="shared" si="24"/>
        <v>37.208823203772035</v>
      </c>
      <c r="E105" s="385">
        <f t="shared" si="46"/>
        <v>38.75195771968621</v>
      </c>
      <c r="F105" s="385">
        <f t="shared" si="25"/>
        <v>38.755520824799333</v>
      </c>
      <c r="G105" s="110">
        <f t="shared" si="47"/>
        <v>0.74848887133290176</v>
      </c>
      <c r="H105" s="414" t="b">
        <f>Wh_hp&gt;='2018'!Maxi_hp</f>
        <v>1</v>
      </c>
      <c r="I105" s="390">
        <f>IF(H105,Wh_hp,'2018'!Maxi_hp)</f>
        <v>38.755520824799333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5.6390712123022269E-3</v>
      </c>
      <c r="M105" s="844"/>
      <c r="N105" s="844"/>
      <c r="O105" s="48">
        <f>IF(t&lt;Tnet,'2018'!Resal+('2018'!Salim-'2018'!Resal)*(1-EXP(('2018'!Tnet-t)/('2018'!Tau_j))),Resal+(Salim-Resal)*(1-EXP((Tnet-t)/(Tau_j))))*Salcycl</f>
        <v>3.9820814397984815E-2</v>
      </c>
      <c r="P105" s="169">
        <f>(INDEX(Models!$BJ105:$BT105,,T105)*(1-R105)+INDEX(Models!$BJ105:$BT105,,T105+1)*R105-ERP_i)*Q105*Ramure*Pc/MaxiM</f>
        <v>1.4348419361429827E-4</v>
      </c>
      <c r="Q105" s="305">
        <f t="shared" si="27"/>
        <v>0.7</v>
      </c>
      <c r="R105" s="177">
        <f t="shared" si="28"/>
        <v>0.82009650279034507</v>
      </c>
      <c r="S105" s="810">
        <f t="shared" si="29"/>
        <v>-2</v>
      </c>
      <c r="T105" s="176">
        <f t="shared" si="30"/>
        <v>4</v>
      </c>
      <c r="U105" s="251">
        <f t="shared" si="31"/>
        <v>-1.1799034972096549</v>
      </c>
      <c r="V105" s="383">
        <f t="shared" si="32"/>
        <v>49.429048425502657</v>
      </c>
      <c r="W105" s="58"/>
      <c r="X105" s="157">
        <f t="shared" si="33"/>
        <v>43556</v>
      </c>
      <c r="Y105" s="385">
        <f t="shared" si="34"/>
        <v>36.999000000000002</v>
      </c>
      <c r="Z105" s="385">
        <f t="shared" si="35"/>
        <v>37.208823203772035</v>
      </c>
      <c r="AA105" s="386">
        <f t="shared" si="36"/>
        <v>38.75195771968621</v>
      </c>
      <c r="AB105" s="197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3.9820814397984815E-2</v>
      </c>
      <c r="AD105" s="231">
        <f>(INDEX(Models!$BJ105:$BT105,,AH105)*(1-AF105)+INDEX(Models!$BJ105:$BT105,,AH105+1)*AF105-ERP_i)*AE105*Ramure*Pc/MaxiM</f>
        <v>1.4348419361429827E-4</v>
      </c>
      <c r="AE105" s="305">
        <f t="shared" si="38"/>
        <v>0.7</v>
      </c>
      <c r="AF105" s="177">
        <f t="shared" si="39"/>
        <v>0.82009650279034507</v>
      </c>
      <c r="AG105" s="176">
        <f t="shared" si="40"/>
        <v>-2</v>
      </c>
      <c r="AH105" s="176">
        <f t="shared" si="41"/>
        <v>4</v>
      </c>
      <c r="AI105" s="225">
        <f t="shared" si="42"/>
        <v>-1.1799034972096549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6">
        <v>16.962</v>
      </c>
      <c r="C106" s="390"/>
      <c r="D106" s="393">
        <f t="shared" si="24"/>
        <v>17.058589339774464</v>
      </c>
      <c r="E106" s="385">
        <f t="shared" si="46"/>
        <v>17.768799675168864</v>
      </c>
      <c r="F106" s="385">
        <f t="shared" si="25"/>
        <v>17.768940711507447</v>
      </c>
      <c r="G106" s="110">
        <f t="shared" si="47"/>
        <v>0.34040116305569823</v>
      </c>
      <c r="H106" s="414" t="b">
        <f>Wh_hp&gt;='2018'!Maxi_hp</f>
        <v>1</v>
      </c>
      <c r="I106" s="390">
        <f>IF(H106,Wh_hp,'2018'!Maxi_hp)</f>
        <v>17.768940711507447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5.6622114437829829E-3</v>
      </c>
      <c r="M106" s="844"/>
      <c r="N106" s="844"/>
      <c r="O106" s="48">
        <f>IF(t&lt;Tnet,'2018'!Resal+('2018'!Salim-'2018'!Resal)*(1-EXP(('2018'!Tnet-t)/('2018'!Tau_j))),Resal+(Salim-Resal)*(1-EXP((Tnet-t)/(Tau_j))))*Salcycl</f>
        <v>3.9969516702182621E-2</v>
      </c>
      <c r="P106" s="169">
        <f>(INDEX(Models!$BJ106:$BT106,,T106)*(1-R106)+INDEX(Models!$BJ106:$BT106,,T106+1)*R106-ERP_i)*Q106*Ramure*Pc/MaxiM</f>
        <v>1.3737263448384917E-4</v>
      </c>
      <c r="Q106" s="305">
        <f t="shared" si="27"/>
        <v>0.7</v>
      </c>
      <c r="R106" s="177">
        <f t="shared" si="28"/>
        <v>0.82094306602989664</v>
      </c>
      <c r="S106" s="810">
        <f t="shared" si="29"/>
        <v>-2</v>
      </c>
      <c r="T106" s="176">
        <f t="shared" si="30"/>
        <v>4</v>
      </c>
      <c r="U106" s="251">
        <f t="shared" si="31"/>
        <v>-1.1790569339701034</v>
      </c>
      <c r="V106" s="383">
        <f t="shared" si="32"/>
        <v>49.822992222354692</v>
      </c>
      <c r="W106" s="58"/>
      <c r="X106" s="157">
        <f t="shared" si="33"/>
        <v>43557</v>
      </c>
      <c r="Y106" s="385">
        <f t="shared" si="34"/>
        <v>16.962</v>
      </c>
      <c r="Z106" s="385">
        <f t="shared" si="35"/>
        <v>17.058589339774464</v>
      </c>
      <c r="AA106" s="386">
        <f t="shared" si="36"/>
        <v>17.768799675168864</v>
      </c>
      <c r="AB106" s="197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3.9969516702182621E-2</v>
      </c>
      <c r="AD106" s="231">
        <f>(INDEX(Models!$BJ106:$BT106,,AH106)*(1-AF106)+INDEX(Models!$BJ106:$BT106,,AH106+1)*AF106-ERP_i)*AE106*Ramure*Pc/MaxiM</f>
        <v>1.3737263448384917E-4</v>
      </c>
      <c r="AE106" s="305">
        <f t="shared" si="38"/>
        <v>0.7</v>
      </c>
      <c r="AF106" s="177">
        <f t="shared" si="39"/>
        <v>0.82094306602989664</v>
      </c>
      <c r="AG106" s="176">
        <f t="shared" si="40"/>
        <v>-2</v>
      </c>
      <c r="AH106" s="176">
        <f t="shared" si="41"/>
        <v>4</v>
      </c>
      <c r="AI106" s="225">
        <f t="shared" si="42"/>
        <v>-1.1790569339701034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6">
        <v>15.32</v>
      </c>
      <c r="C107" s="390"/>
      <c r="D107" s="393">
        <f t="shared" si="24"/>
        <v>15.407597602544316</v>
      </c>
      <c r="E107" s="385">
        <f t="shared" si="46"/>
        <v>16.051562199245673</v>
      </c>
      <c r="F107" s="385">
        <f t="shared" si="25"/>
        <v>16.051577652807488</v>
      </c>
      <c r="G107" s="110">
        <f t="shared" si="47"/>
        <v>0.30509955241303349</v>
      </c>
      <c r="H107" s="414" t="b">
        <f>Wh_hp&gt;='2018'!Maxi_hp</f>
        <v>1</v>
      </c>
      <c r="I107" s="390">
        <f>IF(H107,Wh_hp,'2018'!Maxi_hp)</f>
        <v>16.051577652807488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5.6853511367567222E-3</v>
      </c>
      <c r="M107" s="844"/>
      <c r="N107" s="844"/>
      <c r="O107" s="48">
        <f>IF(t&lt;Tnet,'2018'!Resal+('2018'!Salim-'2018'!Resal)*(1-EXP(('2018'!Tnet-t)/('2018'!Tau_j))),Resal+(Salim-Resal)*(1-EXP((Tnet-t)/(Tau_j))))*Salcycl</f>
        <v>4.0118499913461364E-2</v>
      </c>
      <c r="P107" s="169">
        <f>(INDEX(Models!$BJ107:$BT107,,T107)*(1-R107)+INDEX(Models!$BJ107:$BT107,,T107+1)*R107-ERP_i)*Q107*Ramure*Pc/MaxiM</f>
        <v>1.3113158165585021E-4</v>
      </c>
      <c r="Q107" s="305">
        <f t="shared" si="27"/>
        <v>0.7</v>
      </c>
      <c r="R107" s="177">
        <f t="shared" si="28"/>
        <v>0.82182113387374756</v>
      </c>
      <c r="S107" s="810">
        <f t="shared" si="29"/>
        <v>-2</v>
      </c>
      <c r="T107" s="176">
        <f t="shared" si="30"/>
        <v>4</v>
      </c>
      <c r="U107" s="251">
        <f t="shared" si="31"/>
        <v>-1.1781788661262524</v>
      </c>
      <c r="V107" s="383">
        <f t="shared" si="32"/>
        <v>50.20658237725592</v>
      </c>
      <c r="W107" s="58"/>
      <c r="X107" s="157">
        <f t="shared" si="33"/>
        <v>43558</v>
      </c>
      <c r="Y107" s="385">
        <f t="shared" si="34"/>
        <v>15.32</v>
      </c>
      <c r="Z107" s="385">
        <f t="shared" si="35"/>
        <v>15.407597602544316</v>
      </c>
      <c r="AA107" s="386">
        <f t="shared" si="36"/>
        <v>16.051562199245673</v>
      </c>
      <c r="AB107" s="197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4.0118499913461364E-2</v>
      </c>
      <c r="AD107" s="231">
        <f>(INDEX(Models!$BJ107:$BT107,,AH107)*(1-AF107)+INDEX(Models!$BJ107:$BT107,,AH107+1)*AF107-ERP_i)*AE107*Ramure*Pc/MaxiM</f>
        <v>1.3113158165585021E-4</v>
      </c>
      <c r="AE107" s="305">
        <f t="shared" si="38"/>
        <v>0.7</v>
      </c>
      <c r="AF107" s="177">
        <f t="shared" si="39"/>
        <v>0.82182113387374756</v>
      </c>
      <c r="AG107" s="176">
        <f t="shared" si="40"/>
        <v>-2</v>
      </c>
      <c r="AH107" s="176">
        <f t="shared" si="41"/>
        <v>4</v>
      </c>
      <c r="AI107" s="225">
        <f t="shared" si="42"/>
        <v>-1.1781788661262524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6">
        <v>40.21</v>
      </c>
      <c r="C108" s="390"/>
      <c r="D108" s="393">
        <f t="shared" si="24"/>
        <v>40.440856235187844</v>
      </c>
      <c r="E108" s="385">
        <f t="shared" si="46"/>
        <v>42.137645766709412</v>
      </c>
      <c r="F108" s="385">
        <f t="shared" si="25"/>
        <v>42.141365313310331</v>
      </c>
      <c r="G108" s="110">
        <f t="shared" si="47"/>
        <v>0.79489272566606162</v>
      </c>
      <c r="H108" s="414" t="b">
        <f>Wh_hp&gt;='2018'!Maxi_hp</f>
        <v>1</v>
      </c>
      <c r="I108" s="390">
        <f>IF(H108,Wh_hp,'2018'!Maxi_hp)</f>
        <v>42.141365313310331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5.7084902912359903E-3</v>
      </c>
      <c r="M108" s="844"/>
      <c r="N108" s="844"/>
      <c r="O108" s="48">
        <f>IF(t&lt;Tnet,'2018'!Resal+('2018'!Salim-'2018'!Resal)*(1-EXP(('2018'!Tnet-t)/('2018'!Tau_j))),Resal+(Salim-Resal)*(1-EXP((Tnet-t)/(Tau_j))))*Salcycl</f>
        <v>4.0267781947659412E-2</v>
      </c>
      <c r="P108" s="169">
        <f>(INDEX(Models!$BJ108:$BT108,,T108)*(1-R108)+INDEX(Models!$BJ108:$BT108,,T108+1)*R108-ERP_i)*Q108*Ramure*Pc/MaxiM</f>
        <v>1.2483686606427352E-4</v>
      </c>
      <c r="Q108" s="305">
        <f t="shared" si="27"/>
        <v>0.7</v>
      </c>
      <c r="R108" s="177">
        <f t="shared" si="28"/>
        <v>0.82273171470162954</v>
      </c>
      <c r="S108" s="810">
        <f t="shared" si="29"/>
        <v>-2</v>
      </c>
      <c r="T108" s="176">
        <f t="shared" si="30"/>
        <v>4</v>
      </c>
      <c r="U108" s="251">
        <f t="shared" si="31"/>
        <v>-1.1772682852983705</v>
      </c>
      <c r="V108" s="383">
        <f t="shared" si="32"/>
        <v>50.583591922480338</v>
      </c>
      <c r="W108" s="58"/>
      <c r="X108" s="157">
        <f t="shared" si="33"/>
        <v>43559</v>
      </c>
      <c r="Y108" s="385">
        <f t="shared" si="34"/>
        <v>40.21</v>
      </c>
      <c r="Z108" s="385">
        <f t="shared" si="35"/>
        <v>40.440856235187844</v>
      </c>
      <c r="AA108" s="386">
        <f t="shared" si="36"/>
        <v>42.137645766709412</v>
      </c>
      <c r="AB108" s="197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4.0267781947659412E-2</v>
      </c>
      <c r="AD108" s="231">
        <f>(INDEX(Models!$BJ108:$BT108,,AH108)*(1-AF108)+INDEX(Models!$BJ108:$BT108,,AH108+1)*AF108-ERP_i)*AE108*Ramure*Pc/MaxiM</f>
        <v>1.2483686606427352E-4</v>
      </c>
      <c r="AE108" s="305">
        <f t="shared" si="38"/>
        <v>0.7</v>
      </c>
      <c r="AF108" s="177">
        <f t="shared" si="39"/>
        <v>0.82273171470162954</v>
      </c>
      <c r="AG108" s="176">
        <f t="shared" si="40"/>
        <v>-2</v>
      </c>
      <c r="AH108" s="176">
        <f t="shared" si="41"/>
        <v>4</v>
      </c>
      <c r="AI108" s="225">
        <f t="shared" si="42"/>
        <v>-1.1772682852983705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6">
        <v>48.128999999999998</v>
      </c>
      <c r="C109" s="390"/>
      <c r="D109" s="393">
        <f t="shared" si="24"/>
        <v>48.406447795481057</v>
      </c>
      <c r="E109" s="385">
        <f t="shared" si="46"/>
        <v>50.445315299921589</v>
      </c>
      <c r="F109" s="385">
        <f t="shared" si="25"/>
        <v>50.450826049464411</v>
      </c>
      <c r="G109" s="110">
        <f t="shared" si="47"/>
        <v>0.94455059841745026</v>
      </c>
      <c r="H109" s="414" t="b">
        <f>Wh_hp&gt;='2018'!Maxi_hp</f>
        <v>1</v>
      </c>
      <c r="I109" s="390">
        <f>IF(H109,Wh_hp,'2018'!Maxi_hp)</f>
        <v>50.450826049464411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5.7316289072333326E-3</v>
      </c>
      <c r="M109" s="844"/>
      <c r="N109" s="844"/>
      <c r="O109" s="48">
        <f>IF(t&lt;Tnet,'2018'!Resal+('2018'!Salim-'2018'!Resal)*(1-EXP(('2018'!Tnet-t)/('2018'!Tau_j))),Resal+(Salim-Resal)*(1-EXP((Tnet-t)/(Tau_j))))*Salcycl</f>
        <v>4.0417380530154014E-2</v>
      </c>
      <c r="P109" s="169">
        <f>(INDEX(Models!$BJ109:$BT109,,T109)*(1-R109)+INDEX(Models!$BJ109:$BT109,,T109+1)*R109-ERP_i)*Q109*Ramure*Pc/MaxiM</f>
        <v>1.1862533059788674E-4</v>
      </c>
      <c r="Q109" s="305">
        <f t="shared" si="27"/>
        <v>0.7</v>
      </c>
      <c r="R109" s="177">
        <f t="shared" si="28"/>
        <v>0.82367583600404459</v>
      </c>
      <c r="S109" s="810">
        <f t="shared" si="29"/>
        <v>-2</v>
      </c>
      <c r="T109" s="176">
        <f t="shared" si="30"/>
        <v>4</v>
      </c>
      <c r="U109" s="251">
        <f t="shared" si="31"/>
        <v>-1.1763241639959554</v>
      </c>
      <c r="V109" s="383">
        <f t="shared" si="32"/>
        <v>50.953911679183008</v>
      </c>
      <c r="W109" s="58"/>
      <c r="X109" s="157">
        <f t="shared" si="33"/>
        <v>43560</v>
      </c>
      <c r="Y109" s="385">
        <f t="shared" si="34"/>
        <v>48.128999999999998</v>
      </c>
      <c r="Z109" s="385">
        <f t="shared" si="35"/>
        <v>48.406447795481057</v>
      </c>
      <c r="AA109" s="386">
        <f t="shared" si="36"/>
        <v>50.445315299921589</v>
      </c>
      <c r="AB109" s="197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4.0417380530154014E-2</v>
      </c>
      <c r="AD109" s="231">
        <f>(INDEX(Models!$BJ109:$BT109,,AH109)*(1-AF109)+INDEX(Models!$BJ109:$BT109,,AH109+1)*AF109-ERP_i)*AE109*Ramure*Pc/MaxiM</f>
        <v>1.1862533059788674E-4</v>
      </c>
      <c r="AE109" s="305">
        <f t="shared" si="38"/>
        <v>0.7</v>
      </c>
      <c r="AF109" s="177">
        <f t="shared" si="39"/>
        <v>0.82367583600404459</v>
      </c>
      <c r="AG109" s="176">
        <f t="shared" si="40"/>
        <v>-2</v>
      </c>
      <c r="AH109" s="176">
        <f t="shared" si="41"/>
        <v>4</v>
      </c>
      <c r="AI109" s="225">
        <f t="shared" si="42"/>
        <v>-1.1763241639959554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6">
        <v>21.202000000000002</v>
      </c>
      <c r="C110" s="390"/>
      <c r="D110" s="393">
        <f t="shared" si="24"/>
        <v>21.324718787638421</v>
      </c>
      <c r="E110" s="385">
        <f t="shared" si="46"/>
        <v>22.226383445301224</v>
      </c>
      <c r="F110" s="385">
        <f t="shared" si="25"/>
        <v>22.226787615823582</v>
      </c>
      <c r="G110" s="110">
        <f t="shared" si="47"/>
        <v>0.41311492934763538</v>
      </c>
      <c r="H110" s="414" t="b">
        <f>Wh_hp&gt;='2018'!Maxi_hp</f>
        <v>1</v>
      </c>
      <c r="I110" s="390">
        <f>IF(H110,Wh_hp,'2018'!Maxi_hp)</f>
        <v>22.226787615823582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5.7547669847611838E-3</v>
      </c>
      <c r="M110" s="844"/>
      <c r="N110" s="844"/>
      <c r="O110" s="48">
        <f>IF(t&lt;Tnet,'2018'!Resal+('2018'!Salim-'2018'!Resal)*(1-EXP(('2018'!Tnet-t)/('2018'!Tau_j))),Resal+(Salim-Resal)*(1-EXP((Tnet-t)/(Tau_j))))*Salcycl</f>
        <v>4.0567313161036088E-2</v>
      </c>
      <c r="P110" s="169">
        <f>(INDEX(Models!$BJ110:$BT110,,T110)*(1-R110)+INDEX(Models!$BJ110:$BT110,,T110+1)*R110-ERP_i)*Q110*Ramure*Pc/MaxiM</f>
        <v>1.1249066257305738E-4</v>
      </c>
      <c r="Q110" s="305">
        <f t="shared" si="27"/>
        <v>0.7</v>
      </c>
      <c r="R110" s="177">
        <f t="shared" si="28"/>
        <v>0.82465454362247681</v>
      </c>
      <c r="S110" s="810">
        <f t="shared" si="29"/>
        <v>-2</v>
      </c>
      <c r="T110" s="176">
        <f t="shared" si="30"/>
        <v>4</v>
      </c>
      <c r="U110" s="251">
        <f t="shared" si="31"/>
        <v>-1.1753454563775232</v>
      </c>
      <c r="V110" s="383">
        <f t="shared" si="32"/>
        <v>51.317439691513144</v>
      </c>
      <c r="W110" s="58"/>
      <c r="X110" s="157">
        <f t="shared" si="33"/>
        <v>43561</v>
      </c>
      <c r="Y110" s="385">
        <f t="shared" si="34"/>
        <v>21.202000000000002</v>
      </c>
      <c r="Z110" s="385">
        <f t="shared" si="35"/>
        <v>21.324718787638421</v>
      </c>
      <c r="AA110" s="386">
        <f t="shared" si="36"/>
        <v>22.226383445301224</v>
      </c>
      <c r="AB110" s="197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4.0567313161036088E-2</v>
      </c>
      <c r="AD110" s="231">
        <f>(INDEX(Models!$BJ110:$BT110,,AH110)*(1-AF110)+INDEX(Models!$BJ110:$BT110,,AH110+1)*AF110-ERP_i)*AE110*Ramure*Pc/MaxiM</f>
        <v>1.1249066257305738E-4</v>
      </c>
      <c r="AE110" s="305">
        <f t="shared" si="38"/>
        <v>0.7</v>
      </c>
      <c r="AF110" s="177">
        <f t="shared" si="39"/>
        <v>0.82465454362247681</v>
      </c>
      <c r="AG110" s="176">
        <f t="shared" si="40"/>
        <v>-2</v>
      </c>
      <c r="AH110" s="176">
        <f t="shared" si="41"/>
        <v>4</v>
      </c>
      <c r="AI110" s="225">
        <f t="shared" si="42"/>
        <v>-1.1753454563775232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6">
        <v>33.456000000000003</v>
      </c>
      <c r="C111" s="390"/>
      <c r="D111" s="393">
        <f t="shared" si="24"/>
        <v>33.650428965750109</v>
      </c>
      <c r="E111" s="385">
        <f t="shared" si="46"/>
        <v>35.078751432681258</v>
      </c>
      <c r="F111" s="385">
        <f t="shared" si="25"/>
        <v>35.080604547772175</v>
      </c>
      <c r="G111" s="110">
        <f t="shared" si="47"/>
        <v>0.64740795435596832</v>
      </c>
      <c r="H111" s="414" t="b">
        <f>Wh_hp&gt;='2018'!Maxi_hp</f>
        <v>1</v>
      </c>
      <c r="I111" s="390">
        <f>IF(H111,Wh_hp,'2018'!Maxi_hp)</f>
        <v>35.080604547772175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5.7779045238323112E-3</v>
      </c>
      <c r="M111" s="844"/>
      <c r="N111" s="844"/>
      <c r="O111" s="48">
        <f>IF(t&lt;Tnet,'2018'!Resal+('2018'!Salim-'2018'!Resal)*(1-EXP(('2018'!Tnet-t)/('2018'!Tau_j))),Resal+(Salim-Resal)*(1-EXP((Tnet-t)/(Tau_j))))*Salcycl</f>
        <v>4.0717597080734337E-2</v>
      </c>
      <c r="P111" s="169">
        <f>(INDEX(Models!$BJ111:$BT111,,T111)*(1-R111)+INDEX(Models!$BJ111:$BT111,,T111+1)*R111-ERP_i)*Q111*Ramure*Pc/MaxiM</f>
        <v>1.0642660829786328E-4</v>
      </c>
      <c r="Q111" s="305">
        <f t="shared" si="27"/>
        <v>0.7</v>
      </c>
      <c r="R111" s="177">
        <f t="shared" si="28"/>
        <v>0.8256689008712359</v>
      </c>
      <c r="S111" s="810">
        <f t="shared" si="29"/>
        <v>-2</v>
      </c>
      <c r="T111" s="176">
        <f t="shared" si="30"/>
        <v>4</v>
      </c>
      <c r="U111" s="251">
        <f t="shared" si="31"/>
        <v>-1.1743310991287641</v>
      </c>
      <c r="V111" s="383">
        <f t="shared" si="32"/>
        <v>51.674074079177444</v>
      </c>
      <c r="W111" s="58"/>
      <c r="X111" s="157">
        <f t="shared" si="33"/>
        <v>43562</v>
      </c>
      <c r="Y111" s="385">
        <f t="shared" si="34"/>
        <v>33.456000000000003</v>
      </c>
      <c r="Z111" s="385">
        <f t="shared" si="35"/>
        <v>33.650428965750109</v>
      </c>
      <c r="AA111" s="386">
        <f t="shared" si="36"/>
        <v>35.078751432681258</v>
      </c>
      <c r="AB111" s="197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4.0717597080734337E-2</v>
      </c>
      <c r="AD111" s="231">
        <f>(INDEX(Models!$BJ111:$BT111,,AH111)*(1-AF111)+INDEX(Models!$BJ111:$BT111,,AH111+1)*AF111-ERP_i)*AE111*Ramure*Pc/MaxiM</f>
        <v>1.0642660829786328E-4</v>
      </c>
      <c r="AE111" s="305">
        <f t="shared" si="38"/>
        <v>0.7</v>
      </c>
      <c r="AF111" s="177">
        <f t="shared" si="39"/>
        <v>0.8256689008712359</v>
      </c>
      <c r="AG111" s="176">
        <f t="shared" si="40"/>
        <v>-2</v>
      </c>
      <c r="AH111" s="176">
        <f t="shared" si="41"/>
        <v>4</v>
      </c>
      <c r="AI111" s="225">
        <f t="shared" si="42"/>
        <v>-1.1743310991287641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6">
        <v>32.527999999999999</v>
      </c>
      <c r="C112" s="390"/>
      <c r="D112" s="393">
        <f t="shared" si="24"/>
        <v>32.717797300730368</v>
      </c>
      <c r="E112" s="385">
        <f t="shared" si="46"/>
        <v>34.11189054544996</v>
      </c>
      <c r="F112" s="385">
        <f t="shared" si="25"/>
        <v>34.113482387966627</v>
      </c>
      <c r="G112" s="110">
        <f t="shared" si="47"/>
        <v>0.62521971579367386</v>
      </c>
      <c r="H112" s="414" t="b">
        <f>Wh_hp&gt;='2018'!Maxi_hp</f>
        <v>1</v>
      </c>
      <c r="I112" s="390">
        <f>IF(H112,Wh_hp,'2018'!Maxi_hp)</f>
        <v>34.113482387966627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5.8010415244590385E-3</v>
      </c>
      <c r="M112" s="844"/>
      <c r="N112" s="844"/>
      <c r="O112" s="48">
        <f>IF(t&lt;Tnet,'2018'!Resal+('2018'!Salim-'2018'!Resal)*(1-EXP(('2018'!Tnet-t)/('2018'!Tau_j))),Resal+(Salim-Resal)*(1-EXP((Tnet-t)/(Tau_j))))*Salcycl</f>
        <v>4.0868249235911681E-2</v>
      </c>
      <c r="P112" s="169">
        <f>(INDEX(Models!$BJ112:$BT112,,T112)*(1-R112)+INDEX(Models!$BJ112:$BT112,,T112+1)*R112-ERP_i)*Q112*Ramure*Pc/MaxiM</f>
        <v>1.0042696278137266E-4</v>
      </c>
      <c r="Q112" s="305">
        <f t="shared" si="27"/>
        <v>0.7</v>
      </c>
      <c r="R112" s="177">
        <f t="shared" si="28"/>
        <v>0.82671998753343079</v>
      </c>
      <c r="S112" s="810">
        <f t="shared" si="29"/>
        <v>-2</v>
      </c>
      <c r="T112" s="176">
        <f t="shared" si="30"/>
        <v>4</v>
      </c>
      <c r="U112" s="251">
        <f t="shared" si="31"/>
        <v>-1.1732800124665692</v>
      </c>
      <c r="V112" s="383">
        <f t="shared" si="32"/>
        <v>52.02371305225175</v>
      </c>
      <c r="W112" s="58"/>
      <c r="X112" s="157">
        <f t="shared" si="33"/>
        <v>43563</v>
      </c>
      <c r="Y112" s="385">
        <f t="shared" si="34"/>
        <v>32.527999999999999</v>
      </c>
      <c r="Z112" s="385">
        <f t="shared" si="35"/>
        <v>32.717797300730368</v>
      </c>
      <c r="AA112" s="386">
        <f t="shared" si="36"/>
        <v>34.11189054544996</v>
      </c>
      <c r="AB112" s="197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4.0868249235911681E-2</v>
      </c>
      <c r="AD112" s="231">
        <f>(INDEX(Models!$BJ112:$BT112,,AH112)*(1-AF112)+INDEX(Models!$BJ112:$BT112,,AH112+1)*AF112-ERP_i)*AE112*Ramure*Pc/MaxiM</f>
        <v>1.0042696278137266E-4</v>
      </c>
      <c r="AE112" s="305">
        <f t="shared" si="38"/>
        <v>0.7</v>
      </c>
      <c r="AF112" s="177">
        <f t="shared" si="39"/>
        <v>0.82671998753343079</v>
      </c>
      <c r="AG112" s="176">
        <f t="shared" si="40"/>
        <v>-2</v>
      </c>
      <c r="AH112" s="176">
        <f t="shared" si="41"/>
        <v>4</v>
      </c>
      <c r="AI112" s="225">
        <f t="shared" si="42"/>
        <v>-1.1732800124665692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6">
        <v>40.341000000000001</v>
      </c>
      <c r="C113" s="390"/>
      <c r="D113" s="393">
        <f t="shared" si="24"/>
        <v>40.577329589753845</v>
      </c>
      <c r="E113" s="385">
        <f t="shared" si="46"/>
        <v>42.312977735378311</v>
      </c>
      <c r="F113" s="385">
        <f t="shared" si="25"/>
        <v>42.315664324618936</v>
      </c>
      <c r="G113" s="110">
        <f t="shared" si="47"/>
        <v>0.7703386383013836</v>
      </c>
      <c r="H113" s="414" t="b">
        <f>Wh_hp&gt;='2018'!Maxi_hp</f>
        <v>1</v>
      </c>
      <c r="I113" s="390">
        <f>IF(H113,Wh_hp,'2018'!Maxi_hp)</f>
        <v>42.315664324618936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5.8241779866539112E-3</v>
      </c>
      <c r="M113" s="844"/>
      <c r="N113" s="844"/>
      <c r="O113" s="48">
        <f>IF(t&lt;Tnet,'2018'!Resal+('2018'!Salim-'2018'!Resal)*(1-EXP(('2018'!Tnet-t)/('2018'!Tau_j))),Resal+(Salim-Resal)*(1-EXP((Tnet-t)/(Tau_j))))*Salcycl</f>
        <v>4.101928624544126E-2</v>
      </c>
      <c r="P113" s="169">
        <f>(INDEX(Models!$BJ113:$BT113,,T113)*(1-R113)+INDEX(Models!$BJ113:$BT113,,T113+1)*R113-ERP_i)*Q113*Ramure*Pc/MaxiM</f>
        <v>9.4485559903325676E-5</v>
      </c>
      <c r="Q113" s="305">
        <f t="shared" si="27"/>
        <v>0.7</v>
      </c>
      <c r="R113" s="177">
        <f t="shared" si="28"/>
        <v>0.82780889872348373</v>
      </c>
      <c r="S113" s="810">
        <f t="shared" si="29"/>
        <v>-2</v>
      </c>
      <c r="T113" s="176">
        <f t="shared" si="30"/>
        <v>4</v>
      </c>
      <c r="U113" s="251">
        <f t="shared" si="31"/>
        <v>-1.1721911012765163</v>
      </c>
      <c r="V113" s="383">
        <f t="shared" si="32"/>
        <v>52.36625490692515</v>
      </c>
      <c r="W113" s="58"/>
      <c r="X113" s="157">
        <f t="shared" si="33"/>
        <v>43564</v>
      </c>
      <c r="Y113" s="385">
        <f t="shared" si="34"/>
        <v>40.341000000000001</v>
      </c>
      <c r="Z113" s="385">
        <f t="shared" si="35"/>
        <v>40.577329589753845</v>
      </c>
      <c r="AA113" s="386">
        <f t="shared" si="36"/>
        <v>42.312977735378311</v>
      </c>
      <c r="AB113" s="197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4.101928624544126E-2</v>
      </c>
      <c r="AD113" s="231">
        <f>(INDEX(Models!$BJ113:$BT113,,AH113)*(1-AF113)+INDEX(Models!$BJ113:$BT113,,AH113+1)*AF113-ERP_i)*AE113*Ramure*Pc/MaxiM</f>
        <v>9.4485559903325676E-5</v>
      </c>
      <c r="AE113" s="305">
        <f t="shared" si="38"/>
        <v>0.7</v>
      </c>
      <c r="AF113" s="177">
        <f t="shared" si="39"/>
        <v>0.82780889872348373</v>
      </c>
      <c r="AG113" s="176">
        <f t="shared" si="40"/>
        <v>-2</v>
      </c>
      <c r="AH113" s="176">
        <f t="shared" si="41"/>
        <v>4</v>
      </c>
      <c r="AI113" s="225">
        <f t="shared" si="42"/>
        <v>-1.1721911012765163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6">
        <v>32.177</v>
      </c>
      <c r="C114" s="390"/>
      <c r="D114" s="393">
        <f t="shared" si="24"/>
        <v>32.366255656931294</v>
      </c>
      <c r="E114" s="385">
        <f t="shared" si="46"/>
        <v>33.756015256770986</v>
      </c>
      <c r="F114" s="385">
        <f t="shared" si="25"/>
        <v>33.7573441643477</v>
      </c>
      <c r="G114" s="110">
        <f t="shared" si="47"/>
        <v>0.61052068759962264</v>
      </c>
      <c r="H114" s="414" t="b">
        <f>Wh_hp&gt;='2018'!Maxi_hp</f>
        <v>1</v>
      </c>
      <c r="I114" s="390">
        <f>IF(H114,Wh_hp,'2018'!Maxi_hp)</f>
        <v>33.7573441643477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5.8473139104295857E-3</v>
      </c>
      <c r="M114" s="844"/>
      <c r="N114" s="844"/>
      <c r="O114" s="48">
        <f>IF(t&lt;Tnet,'2018'!Resal+('2018'!Salim-'2018'!Resal)*(1-EXP(('2018'!Tnet-t)/('2018'!Tau_j))),Resal+(Salim-Resal)*(1-EXP((Tnet-t)/(Tau_j))))*Salcycl</f>
        <v>4.1170724366257204E-2</v>
      </c>
      <c r="P114" s="169">
        <f>(INDEX(Models!$BJ114:$BT114,,T114)*(1-R114)+INDEX(Models!$BJ114:$BT114,,T114+1)*R114-ERP_i)*Q114*Ramure*Pc/MaxiM</f>
        <v>8.8734366115458298E-5</v>
      </c>
      <c r="Q114" s="305">
        <f t="shared" si="27"/>
        <v>0.7</v>
      </c>
      <c r="R114" s="177">
        <f t="shared" si="28"/>
        <v>0.82893674360855774</v>
      </c>
      <c r="S114" s="810">
        <f t="shared" si="29"/>
        <v>-2</v>
      </c>
      <c r="T114" s="176">
        <f t="shared" si="30"/>
        <v>4</v>
      </c>
      <c r="U114" s="251">
        <f t="shared" si="31"/>
        <v>-1.1710632563914423</v>
      </c>
      <c r="V114" s="383">
        <f t="shared" si="32"/>
        <v>52.701590757341179</v>
      </c>
      <c r="W114" s="58"/>
      <c r="X114" s="157">
        <f t="shared" si="33"/>
        <v>43565</v>
      </c>
      <c r="Y114" s="385">
        <f t="shared" si="34"/>
        <v>32.177</v>
      </c>
      <c r="Z114" s="385">
        <f t="shared" si="35"/>
        <v>32.366255656931294</v>
      </c>
      <c r="AA114" s="386">
        <f t="shared" si="36"/>
        <v>33.756015256770986</v>
      </c>
      <c r="AB114" s="197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4.1170724366257204E-2</v>
      </c>
      <c r="AD114" s="231">
        <f>(INDEX(Models!$BJ114:$BT114,,AH114)*(1-AF114)+INDEX(Models!$BJ114:$BT114,,AH114+1)*AF114-ERP_i)*AE114*Ramure*Pc/MaxiM</f>
        <v>8.8734366115458298E-5</v>
      </c>
      <c r="AE114" s="305">
        <f t="shared" si="38"/>
        <v>0.7</v>
      </c>
      <c r="AF114" s="177">
        <f t="shared" si="39"/>
        <v>0.82893674360855774</v>
      </c>
      <c r="AG114" s="176">
        <f t="shared" si="40"/>
        <v>-2</v>
      </c>
      <c r="AH114" s="176">
        <f t="shared" si="41"/>
        <v>4</v>
      </c>
      <c r="AI114" s="225">
        <f t="shared" si="42"/>
        <v>-1.1710632563914423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6">
        <v>9.9819999999999993</v>
      </c>
      <c r="C115" s="390"/>
      <c r="D115" s="393">
        <f t="shared" si="24"/>
        <v>10.040944857668853</v>
      </c>
      <c r="E115" s="385">
        <f t="shared" si="46"/>
        <v>10.4737471046321</v>
      </c>
      <c r="F115" s="385">
        <f t="shared" si="25"/>
        <v>10.4737471046321</v>
      </c>
      <c r="G115" s="110">
        <f t="shared" si="47"/>
        <v>0.1882187732123449</v>
      </c>
      <c r="H115" s="414" t="b">
        <f>Wh_hp&gt;='2018'!Maxi_hp</f>
        <v>1</v>
      </c>
      <c r="I115" s="390">
        <f>IF(H115,Wh_hp,'2018'!Maxi_hp)</f>
        <v>10.4737471046321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5.8704492957984966E-3</v>
      </c>
      <c r="M115" s="844"/>
      <c r="N115" s="844"/>
      <c r="O115" s="48">
        <f>IF(t&lt;Tnet,'2018'!Resal+('2018'!Salim-'2018'!Resal)*(1-EXP(('2018'!Tnet-t)/('2018'!Tau_j))),Resal+(Salim-Resal)*(1-EXP((Tnet-t)/(Tau_j))))*Salcycl</f>
        <v>4.132257945886781E-2</v>
      </c>
      <c r="P115" s="169">
        <f>(INDEX(Models!$BJ115:$BT115,,T115)*(1-R115)+INDEX(Models!$BJ115:$BT115,,T115+1)*R115-ERP_i)*Q115*Ramure*Pc/MaxiM</f>
        <v>8.3262781462625408E-5</v>
      </c>
      <c r="Q115" s="305">
        <f t="shared" si="27"/>
        <v>0.7</v>
      </c>
      <c r="R115" s="177">
        <f t="shared" si="28"/>
        <v>0.83010464398127537</v>
      </c>
      <c r="S115" s="810">
        <f t="shared" si="29"/>
        <v>-2</v>
      </c>
      <c r="T115" s="176">
        <f t="shared" si="30"/>
        <v>4</v>
      </c>
      <c r="U115" s="251">
        <f t="shared" si="31"/>
        <v>-1.1698953560187246</v>
      </c>
      <c r="V115" s="383">
        <f t="shared" si="32"/>
        <v>53.029613893269143</v>
      </c>
      <c r="W115" s="58"/>
      <c r="X115" s="157">
        <f t="shared" si="33"/>
        <v>43566</v>
      </c>
      <c r="Y115" s="385">
        <f t="shared" si="34"/>
        <v>9.9819999999999993</v>
      </c>
      <c r="Z115" s="385">
        <f t="shared" si="35"/>
        <v>10.040944857668853</v>
      </c>
      <c r="AA115" s="386">
        <f t="shared" si="36"/>
        <v>10.4737471046321</v>
      </c>
      <c r="AB115" s="197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4.132257945886781E-2</v>
      </c>
      <c r="AD115" s="231">
        <f>(INDEX(Models!$BJ115:$BT115,,AH115)*(1-AF115)+INDEX(Models!$BJ115:$BT115,,AH115+1)*AF115-ERP_i)*AE115*Ramure*Pc/MaxiM</f>
        <v>8.3262781462625408E-5</v>
      </c>
      <c r="AE115" s="305">
        <f t="shared" si="38"/>
        <v>0.7</v>
      </c>
      <c r="AF115" s="177">
        <f t="shared" si="39"/>
        <v>0.83010464398127537</v>
      </c>
      <c r="AG115" s="176">
        <f t="shared" si="40"/>
        <v>-2</v>
      </c>
      <c r="AH115" s="176">
        <f t="shared" si="41"/>
        <v>4</v>
      </c>
      <c r="AI115" s="225">
        <f t="shared" si="42"/>
        <v>-1.1698953560187246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6">
        <v>54.468000000000004</v>
      </c>
      <c r="C116" s="390"/>
      <c r="D116" s="393">
        <f t="shared" si="24"/>
        <v>54.790914867028356</v>
      </c>
      <c r="E116" s="385">
        <f t="shared" si="46"/>
        <v>57.161688283350109</v>
      </c>
      <c r="F116" s="385">
        <f t="shared" si="25"/>
        <v>57.166150894542305</v>
      </c>
      <c r="G116" s="110">
        <f t="shared" si="47"/>
        <v>1.0209516889539598</v>
      </c>
      <c r="H116" s="414" t="b">
        <f>Wh_hp&gt;='2018'!Maxi_hp</f>
        <v>1</v>
      </c>
      <c r="I116" s="390">
        <f>IF(H116,Wh_hp,'2018'!Maxi_hp)</f>
        <v>57.166150894542305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5.8935841427731894E-3</v>
      </c>
      <c r="M116" s="844"/>
      <c r="N116" s="844"/>
      <c r="O116" s="48">
        <f>IF(t&lt;Tnet,'2018'!Resal+('2018'!Salim-'2018'!Resal)*(1-EXP(('2018'!Tnet-t)/('2018'!Tau_j))),Resal+(Salim-Resal)*(1-EXP((Tnet-t)/(Tau_j))))*Salcycl</f>
        <v>4.1474866952316808E-2</v>
      </c>
      <c r="P116" s="169">
        <f>(INDEX(Models!$BJ116:$BT116,,T116)*(1-R116)+INDEX(Models!$BJ116:$BT116,,T116+1)*R116-ERP_i)*Q116*Ramure*Pc/MaxiM</f>
        <v>7.806387385475043E-5</v>
      </c>
      <c r="Q116" s="305">
        <f t="shared" si="27"/>
        <v>0.7</v>
      </c>
      <c r="R116" s="177">
        <f t="shared" si="28"/>
        <v>0.83131373267617792</v>
      </c>
      <c r="S116" s="810">
        <f t="shared" si="29"/>
        <v>-2</v>
      </c>
      <c r="T116" s="176">
        <f t="shared" si="30"/>
        <v>4</v>
      </c>
      <c r="U116" s="251">
        <f t="shared" si="31"/>
        <v>-1.1686862673238221</v>
      </c>
      <c r="V116" s="383">
        <f t="shared" si="32"/>
        <v>53.350222727783013</v>
      </c>
      <c r="W116" s="58"/>
      <c r="X116" s="157">
        <f t="shared" si="33"/>
        <v>43567</v>
      </c>
      <c r="Y116" s="385">
        <f t="shared" si="34"/>
        <v>54.468000000000004</v>
      </c>
      <c r="Z116" s="385">
        <f t="shared" si="35"/>
        <v>54.790914867028356</v>
      </c>
      <c r="AA116" s="386">
        <f t="shared" si="36"/>
        <v>57.161688283350109</v>
      </c>
      <c r="AB116" s="197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4.1474866952316808E-2</v>
      </c>
      <c r="AD116" s="231">
        <f>(INDEX(Models!$BJ116:$BT116,,AH116)*(1-AF116)+INDEX(Models!$BJ116:$BT116,,AH116+1)*AF116-ERP_i)*AE116*Ramure*Pc/MaxiM</f>
        <v>7.806387385475043E-5</v>
      </c>
      <c r="AE116" s="305">
        <f t="shared" si="38"/>
        <v>0.7</v>
      </c>
      <c r="AF116" s="177">
        <f t="shared" si="39"/>
        <v>0.83131373267617792</v>
      </c>
      <c r="AG116" s="176">
        <f t="shared" si="40"/>
        <v>-2</v>
      </c>
      <c r="AH116" s="176">
        <f t="shared" si="41"/>
        <v>4</v>
      </c>
      <c r="AI116" s="225">
        <f t="shared" si="42"/>
        <v>-1.1686862673238221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6">
        <v>54.064999999999998</v>
      </c>
      <c r="C117" s="390"/>
      <c r="D117" s="393">
        <f t="shared" si="24"/>
        <v>54.386791331783364</v>
      </c>
      <c r="E117" s="385">
        <f t="shared" si="46"/>
        <v>56.749121149990707</v>
      </c>
      <c r="F117" s="385">
        <f t="shared" si="25"/>
        <v>56.753271585996224</v>
      </c>
      <c r="G117" s="110">
        <f t="shared" si="47"/>
        <v>1.0074852666766612</v>
      </c>
      <c r="H117" s="414" t="b">
        <f>Wh_hp&gt;='2018'!Maxi_hp</f>
        <v>1</v>
      </c>
      <c r="I117" s="390">
        <f>IF(H117,Wh_hp,'2018'!Maxi_hp)</f>
        <v>56.753271585996224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5.9167184513662097E-3</v>
      </c>
      <c r="M117" s="844"/>
      <c r="N117" s="844"/>
      <c r="O117" s="48">
        <f>IF(t&lt;Tnet,'2018'!Resal+('2018'!Salim-'2018'!Resal)*(1-EXP(('2018'!Tnet-t)/('2018'!Tau_j))),Resal+(Salim-Resal)*(1-EXP((Tnet-t)/(Tau_j))))*Salcycl</f>
        <v>4.162760180838021E-2</v>
      </c>
      <c r="P117" s="169">
        <f>(INDEX(Models!$BJ117:$BT117,,T117)*(1-R117)+INDEX(Models!$BJ117:$BT117,,T117+1)*R117-ERP_i)*Q117*Ramure*Pc/MaxiM</f>
        <v>7.3131220272076134E-5</v>
      </c>
      <c r="Q117" s="305">
        <f t="shared" si="27"/>
        <v>0.7</v>
      </c>
      <c r="R117" s="177">
        <f t="shared" si="28"/>
        <v>0.83256515182251523</v>
      </c>
      <c r="S117" s="810">
        <f t="shared" si="29"/>
        <v>-2</v>
      </c>
      <c r="T117" s="176">
        <f t="shared" si="30"/>
        <v>4</v>
      </c>
      <c r="U117" s="251">
        <f t="shared" si="31"/>
        <v>-1.1674348481774848</v>
      </c>
      <c r="V117" s="383">
        <f t="shared" si="32"/>
        <v>53.663315770702411</v>
      </c>
      <c r="W117" s="58"/>
      <c r="X117" s="157">
        <f t="shared" si="33"/>
        <v>43568</v>
      </c>
      <c r="Y117" s="385">
        <f t="shared" si="34"/>
        <v>54.064999999999998</v>
      </c>
      <c r="Z117" s="385">
        <f t="shared" si="35"/>
        <v>54.386791331783364</v>
      </c>
      <c r="AA117" s="386">
        <f t="shared" si="36"/>
        <v>56.749121149990707</v>
      </c>
      <c r="AB117" s="197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4.162760180838021E-2</v>
      </c>
      <c r="AD117" s="231">
        <f>(INDEX(Models!$BJ117:$BT117,,AH117)*(1-AF117)+INDEX(Models!$BJ117:$BT117,,AH117+1)*AF117-ERP_i)*AE117*Ramure*Pc/MaxiM</f>
        <v>7.3131220272076134E-5</v>
      </c>
      <c r="AE117" s="305">
        <f t="shared" si="38"/>
        <v>0.7</v>
      </c>
      <c r="AF117" s="177">
        <f t="shared" si="39"/>
        <v>0.83256515182251523</v>
      </c>
      <c r="AG117" s="176">
        <f t="shared" si="40"/>
        <v>-2</v>
      </c>
      <c r="AH117" s="176">
        <f t="shared" si="41"/>
        <v>4</v>
      </c>
      <c r="AI117" s="225">
        <f t="shared" si="42"/>
        <v>-1.1674348481774848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6">
        <v>28.143000000000001</v>
      </c>
      <c r="C118" s="390"/>
      <c r="D118" s="393">
        <f t="shared" si="24"/>
        <v>28.311164131160272</v>
      </c>
      <c r="E118" s="385">
        <f t="shared" si="46"/>
        <v>29.54560301692203</v>
      </c>
      <c r="F118" s="385">
        <f t="shared" si="25"/>
        <v>29.546242965684154</v>
      </c>
      <c r="G118" s="110">
        <f t="shared" si="47"/>
        <v>0.52144363514217995</v>
      </c>
      <c r="H118" s="414" t="b">
        <f>Wh_hp&gt;='2018'!Maxi_hp</f>
        <v>1</v>
      </c>
      <c r="I118" s="390">
        <f>IF(H118,Wh_hp,'2018'!Maxi_hp)</f>
        <v>29.546242965684154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5.9398522215899918E-3</v>
      </c>
      <c r="M118" s="844"/>
      <c r="N118" s="844"/>
      <c r="O118" s="48">
        <f>IF(t&lt;Tnet,'2018'!Resal+('2018'!Salim-'2018'!Resal)*(1-EXP(('2018'!Tnet-t)/('2018'!Tau_j))),Resal+(Salim-Resal)*(1-EXP((Tnet-t)/(Tau_j))))*Salcycl</f>
        <v>4.1780798484794518E-2</v>
      </c>
      <c r="P118" s="169">
        <f>(INDEX(Models!$BJ118:$BT118,,T118)*(1-R118)+INDEX(Models!$BJ118:$BT118,,T118+1)*R118-ERP_i)*Q118*Ramure*Pc/MaxiM</f>
        <v>6.8458899903523336E-5</v>
      </c>
      <c r="Q118" s="305">
        <f t="shared" si="27"/>
        <v>0.7</v>
      </c>
      <c r="R118" s="177">
        <f t="shared" si="28"/>
        <v>0.83386005092616622</v>
      </c>
      <c r="S118" s="810">
        <f t="shared" si="29"/>
        <v>-2</v>
      </c>
      <c r="T118" s="176">
        <f t="shared" si="30"/>
        <v>4</v>
      </c>
      <c r="U118" s="251">
        <f t="shared" si="31"/>
        <v>-1.1661399490738338</v>
      </c>
      <c r="V118" s="383">
        <f t="shared" si="32"/>
        <v>53.968791623248642</v>
      </c>
      <c r="W118" s="58"/>
      <c r="X118" s="157">
        <f t="shared" si="33"/>
        <v>43569</v>
      </c>
      <c r="Y118" s="385">
        <f t="shared" si="34"/>
        <v>28.143000000000001</v>
      </c>
      <c r="Z118" s="385">
        <f t="shared" si="35"/>
        <v>28.311164131160272</v>
      </c>
      <c r="AA118" s="386">
        <f t="shared" si="36"/>
        <v>29.54560301692203</v>
      </c>
      <c r="AB118" s="197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4.1780798484794518E-2</v>
      </c>
      <c r="AD118" s="231">
        <f>(INDEX(Models!$BJ118:$BT118,,AH118)*(1-AF118)+INDEX(Models!$BJ118:$BT118,,AH118+1)*AF118-ERP_i)*AE118*Ramure*Pc/MaxiM</f>
        <v>6.8458899903523336E-5</v>
      </c>
      <c r="AE118" s="305">
        <f t="shared" si="38"/>
        <v>0.7</v>
      </c>
      <c r="AF118" s="177">
        <f t="shared" si="39"/>
        <v>0.83386005092616622</v>
      </c>
      <c r="AG118" s="176">
        <f t="shared" si="40"/>
        <v>-2</v>
      </c>
      <c r="AH118" s="176">
        <f t="shared" si="41"/>
        <v>4</v>
      </c>
      <c r="AI118" s="225">
        <f t="shared" si="42"/>
        <v>-1.1661399490738338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6">
        <v>37.11</v>
      </c>
      <c r="C119" s="390"/>
      <c r="D119" s="393">
        <f t="shared" si="24"/>
        <v>37.332613833227065</v>
      </c>
      <c r="E119" s="385">
        <f t="shared" si="46"/>
        <v>38.966660107469643</v>
      </c>
      <c r="F119" s="385">
        <f t="shared" si="25"/>
        <v>38.968028559611575</v>
      </c>
      <c r="G119" s="110">
        <f t="shared" si="47"/>
        <v>0.68382691136121132</v>
      </c>
      <c r="H119" s="414" t="b">
        <f>Wh_hp&gt;='2018'!Maxi_hp</f>
        <v>1</v>
      </c>
      <c r="I119" s="390">
        <f>IF(H119,Wh_hp,'2018'!Maxi_hp)</f>
        <v>38.968028559611575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5.9629854534571924E-3</v>
      </c>
      <c r="M119" s="844"/>
      <c r="N119" s="844"/>
      <c r="O119" s="48">
        <f>IF(t&lt;Tnet,'2018'!Resal+('2018'!Salim-'2018'!Resal)*(1-EXP(('2018'!Tnet-t)/('2018'!Tau_j))),Resal+(Salim-Resal)*(1-EXP((Tnet-t)/(Tau_j))))*Salcycl</f>
        <v>4.1934470897323377E-2</v>
      </c>
      <c r="P119" s="169">
        <f>(INDEX(Models!$BJ119:$BT119,,T119)*(1-R119)+INDEX(Models!$BJ119:$BT119,,T119+1)*R119-ERP_i)*Q119*Ramure*Pc/MaxiM</f>
        <v>6.404148840464006E-5</v>
      </c>
      <c r="Q119" s="305">
        <f t="shared" si="27"/>
        <v>0.7</v>
      </c>
      <c r="R119" s="177">
        <f t="shared" si="28"/>
        <v>0.83519958477379141</v>
      </c>
      <c r="S119" s="810">
        <f t="shared" si="29"/>
        <v>-2</v>
      </c>
      <c r="T119" s="176">
        <f t="shared" si="30"/>
        <v>4</v>
      </c>
      <c r="U119" s="251">
        <f t="shared" si="31"/>
        <v>-1.1648004152262086</v>
      </c>
      <c r="V119" s="383">
        <f t="shared" si="32"/>
        <v>54.266548989696915</v>
      </c>
      <c r="W119" s="58"/>
      <c r="X119" s="157">
        <f t="shared" si="33"/>
        <v>43570</v>
      </c>
      <c r="Y119" s="385">
        <f t="shared" si="34"/>
        <v>37.11</v>
      </c>
      <c r="Z119" s="385">
        <f t="shared" si="35"/>
        <v>37.332613833227065</v>
      </c>
      <c r="AA119" s="386">
        <f t="shared" si="36"/>
        <v>38.966660107469643</v>
      </c>
      <c r="AB119" s="197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4.1934470897323377E-2</v>
      </c>
      <c r="AD119" s="231">
        <f>(INDEX(Models!$BJ119:$BT119,,AH119)*(1-AF119)+INDEX(Models!$BJ119:$BT119,,AH119+1)*AF119-ERP_i)*AE119*Ramure*Pc/MaxiM</f>
        <v>6.404148840464006E-5</v>
      </c>
      <c r="AE119" s="305">
        <f t="shared" si="38"/>
        <v>0.7</v>
      </c>
      <c r="AF119" s="177">
        <f t="shared" si="39"/>
        <v>0.83519958477379141</v>
      </c>
      <c r="AG119" s="176">
        <f t="shared" si="40"/>
        <v>-2</v>
      </c>
      <c r="AH119" s="176">
        <f t="shared" si="41"/>
        <v>4</v>
      </c>
      <c r="AI119" s="225">
        <f t="shared" si="42"/>
        <v>-1.1648004152262086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6">
        <v>35.137</v>
      </c>
      <c r="C120" s="390"/>
      <c r="D120" s="393">
        <f t="shared" si="24"/>
        <v>35.348600901325796</v>
      </c>
      <c r="E120" s="385">
        <f t="shared" si="46"/>
        <v>36.901744875593209</v>
      </c>
      <c r="F120" s="385">
        <f t="shared" si="25"/>
        <v>36.902830849596896</v>
      </c>
      <c r="G120" s="110">
        <f t="shared" si="47"/>
        <v>0.6440284616320463</v>
      </c>
      <c r="H120" s="414" t="b">
        <f>Wh_hp&gt;='2018'!Maxi_hp</f>
        <v>1</v>
      </c>
      <c r="I120" s="390">
        <f>IF(H120,Wh_hp,'2018'!Maxi_hp)</f>
        <v>36.902830849596896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5.986118146980357E-3</v>
      </c>
      <c r="M120" s="844"/>
      <c r="N120" s="844"/>
      <c r="O120" s="48">
        <f>IF(t&lt;Tnet,'2018'!Resal+('2018'!Salim-'2018'!Resal)*(1-EXP(('2018'!Tnet-t)/('2018'!Tau_j))),Resal+(Salim-Resal)*(1-EXP((Tnet-t)/(Tau_j))))*Salcycl</f>
        <v>4.2088632380488364E-2</v>
      </c>
      <c r="P120" s="169">
        <f>(INDEX(Models!$BJ120:$BT120,,T120)*(1-R120)+INDEX(Models!$BJ120:$BT120,,T120+1)*R120-ERP_i)*Q120*Ramure*Pc/MaxiM</f>
        <v>5.987405327199706E-5</v>
      </c>
      <c r="Q120" s="305">
        <f t="shared" si="27"/>
        <v>0.7</v>
      </c>
      <c r="R120" s="177">
        <f t="shared" si="28"/>
        <v>0.83658491115270528</v>
      </c>
      <c r="S120" s="810">
        <f t="shared" si="29"/>
        <v>-2</v>
      </c>
      <c r="T120" s="176">
        <f t="shared" si="30"/>
        <v>4</v>
      </c>
      <c r="U120" s="251">
        <f t="shared" si="31"/>
        <v>-1.1634150888472947</v>
      </c>
      <c r="V120" s="383">
        <f t="shared" si="32"/>
        <v>54.556486671601704</v>
      </c>
      <c r="W120" s="58"/>
      <c r="X120" s="157">
        <f t="shared" si="33"/>
        <v>43571</v>
      </c>
      <c r="Y120" s="385">
        <f t="shared" si="34"/>
        <v>35.137</v>
      </c>
      <c r="Z120" s="385">
        <f t="shared" si="35"/>
        <v>35.348600901325796</v>
      </c>
      <c r="AA120" s="386">
        <f t="shared" si="36"/>
        <v>36.901744875593209</v>
      </c>
      <c r="AB120" s="197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4.2088632380488364E-2</v>
      </c>
      <c r="AD120" s="231">
        <f>(INDEX(Models!$BJ120:$BT120,,AH120)*(1-AF120)+INDEX(Models!$BJ120:$BT120,,AH120+1)*AF120-ERP_i)*AE120*Ramure*Pc/MaxiM</f>
        <v>5.987405327199706E-5</v>
      </c>
      <c r="AE120" s="305">
        <f t="shared" si="38"/>
        <v>0.7</v>
      </c>
      <c r="AF120" s="177">
        <f t="shared" si="39"/>
        <v>0.83658491115270528</v>
      </c>
      <c r="AG120" s="176">
        <f t="shared" si="40"/>
        <v>-2</v>
      </c>
      <c r="AH120" s="176">
        <f t="shared" si="41"/>
        <v>4</v>
      </c>
      <c r="AI120" s="225">
        <f t="shared" si="42"/>
        <v>-1.1634150888472947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6">
        <v>36.055</v>
      </c>
      <c r="C121" s="390"/>
      <c r="D121" s="393">
        <f t="shared" si="24"/>
        <v>36.272973376221735</v>
      </c>
      <c r="E121" s="385">
        <f t="shared" si="46"/>
        <v>37.872847260012975</v>
      </c>
      <c r="F121" s="385">
        <f t="shared" si="25"/>
        <v>37.873929454250309</v>
      </c>
      <c r="G121" s="110">
        <f t="shared" si="47"/>
        <v>0.65745758311444735</v>
      </c>
      <c r="H121" s="414" t="b">
        <f>Wh_hp&gt;='2018'!Maxi_hp</f>
        <v>1</v>
      </c>
      <c r="I121" s="390">
        <f>IF(H121,Wh_hp,'2018'!Maxi_hp)</f>
        <v>37.873929454250309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6.0092503021719201E-3</v>
      </c>
      <c r="M121" s="844"/>
      <c r="N121" s="844"/>
      <c r="O121" s="48">
        <f>IF(t&lt;Tnet,'2018'!Resal+('2018'!Salim-'2018'!Resal)*(1-EXP(('2018'!Tnet-t)/('2018'!Tau_j))),Resal+(Salim-Resal)*(1-EXP((Tnet-t)/(Tau_j))))*Salcycl</f>
        <v>4.2243295646810938E-2</v>
      </c>
      <c r="P121" s="169">
        <f>(INDEX(Models!$BJ121:$BT121,,T121)*(1-R121)+INDEX(Models!$BJ121:$BT121,,T121+1)*R121-ERP_i)*Q121*Ramure*Pc/MaxiM</f>
        <v>5.5952114842723868E-5</v>
      </c>
      <c r="Q121" s="305">
        <f t="shared" si="27"/>
        <v>0.7</v>
      </c>
      <c r="R121" s="177">
        <f t="shared" si="28"/>
        <v>0.83801718838044659</v>
      </c>
      <c r="S121" s="810">
        <f t="shared" si="29"/>
        <v>-2</v>
      </c>
      <c r="T121" s="176">
        <f t="shared" si="30"/>
        <v>4</v>
      </c>
      <c r="U121" s="251">
        <f t="shared" si="31"/>
        <v>-1.1619828116195534</v>
      </c>
      <c r="V121" s="383">
        <f t="shared" si="32"/>
        <v>54.838538280125512</v>
      </c>
      <c r="W121" s="58"/>
      <c r="X121" s="157">
        <f t="shared" si="33"/>
        <v>43572</v>
      </c>
      <c r="Y121" s="385">
        <f t="shared" si="34"/>
        <v>36.055</v>
      </c>
      <c r="Z121" s="385">
        <f t="shared" si="35"/>
        <v>36.272973376221735</v>
      </c>
      <c r="AA121" s="386">
        <f t="shared" si="36"/>
        <v>37.872847260012975</v>
      </c>
      <c r="AB121" s="197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4.2243295646810938E-2</v>
      </c>
      <c r="AD121" s="231">
        <f>(INDEX(Models!$BJ121:$BT121,,AH121)*(1-AF121)+INDEX(Models!$BJ121:$BT121,,AH121+1)*AF121-ERP_i)*AE121*Ramure*Pc/MaxiM</f>
        <v>5.5952114842723868E-5</v>
      </c>
      <c r="AE121" s="305">
        <f t="shared" si="38"/>
        <v>0.7</v>
      </c>
      <c r="AF121" s="177">
        <f t="shared" si="39"/>
        <v>0.83801718838044659</v>
      </c>
      <c r="AG121" s="176">
        <f t="shared" si="40"/>
        <v>-2</v>
      </c>
      <c r="AH121" s="176">
        <f t="shared" si="41"/>
        <v>4</v>
      </c>
      <c r="AI121" s="225">
        <f t="shared" si="42"/>
        <v>-1.1619828116195534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6">
        <v>27.689</v>
      </c>
      <c r="C122" s="390"/>
      <c r="D122" s="393">
        <f t="shared" si="24"/>
        <v>27.857044330537555</v>
      </c>
      <c r="E122" s="385">
        <f t="shared" si="46"/>
        <v>29.090434317053045</v>
      </c>
      <c r="F122" s="385">
        <f t="shared" si="25"/>
        <v>29.090874733798966</v>
      </c>
      <c r="G122" s="110">
        <f t="shared" si="47"/>
        <v>0.50238753538970315</v>
      </c>
      <c r="H122" s="414" t="b">
        <f>Wh_hp&gt;='2018'!Maxi_hp</f>
        <v>1</v>
      </c>
      <c r="I122" s="390">
        <f>IF(H122,Wh_hp,'2018'!Maxi_hp)</f>
        <v>29.090874733798966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6.0323819190444272E-3</v>
      </c>
      <c r="M122" s="844"/>
      <c r="N122" s="844"/>
      <c r="O122" s="48">
        <f>IF(t&lt;Tnet,'2018'!Resal+('2018'!Salim-'2018'!Resal)*(1-EXP(('2018'!Tnet-t)/('2018'!Tau_j))),Resal+(Salim-Resal)*(1-EXP((Tnet-t)/(Tau_j))))*Salcycl</f>
        <v>4.2398472744439822E-2</v>
      </c>
      <c r="P122" s="169">
        <f>(INDEX(Models!$BJ122:$BT122,,T122)*(1-R122)+INDEX(Models!$BJ122:$BT122,,T122+1)*R122-ERP_i)*Q122*Ramure*Pc/MaxiM</f>
        <v>5.2357776891997139E-5</v>
      </c>
      <c r="Q122" s="305">
        <f t="shared" si="27"/>
        <v>0.7</v>
      </c>
      <c r="R122" s="177">
        <f t="shared" si="28"/>
        <v>0.8394975726386249</v>
      </c>
      <c r="S122" s="810">
        <f t="shared" si="29"/>
        <v>-2</v>
      </c>
      <c r="T122" s="176">
        <f t="shared" si="30"/>
        <v>4</v>
      </c>
      <c r="U122" s="251">
        <f t="shared" si="31"/>
        <v>-1.1605024273613751</v>
      </c>
      <c r="V122" s="383">
        <f t="shared" si="32"/>
        <v>55.112771501623385</v>
      </c>
      <c r="W122" s="58"/>
      <c r="X122" s="157">
        <f t="shared" si="33"/>
        <v>43573</v>
      </c>
      <c r="Y122" s="385">
        <f t="shared" si="34"/>
        <v>27.689</v>
      </c>
      <c r="Z122" s="385">
        <f t="shared" si="35"/>
        <v>27.857044330537555</v>
      </c>
      <c r="AA122" s="386">
        <f t="shared" si="36"/>
        <v>29.090434317053045</v>
      </c>
      <c r="AB122" s="197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4.2398472744439822E-2</v>
      </c>
      <c r="AD122" s="231">
        <f>(INDEX(Models!$BJ122:$BT122,,AH122)*(1-AF122)+INDEX(Models!$BJ122:$BT122,,AH122+1)*AF122-ERP_i)*AE122*Ramure*Pc/MaxiM</f>
        <v>5.2357776891997139E-5</v>
      </c>
      <c r="AE122" s="305">
        <f t="shared" si="38"/>
        <v>0.7</v>
      </c>
      <c r="AF122" s="177">
        <f t="shared" si="39"/>
        <v>0.8394975726386249</v>
      </c>
      <c r="AG122" s="176">
        <f t="shared" si="40"/>
        <v>-2</v>
      </c>
      <c r="AH122" s="176">
        <f t="shared" si="41"/>
        <v>4</v>
      </c>
      <c r="AI122" s="225">
        <f t="shared" si="42"/>
        <v>-1.1605024273613751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6">
        <v>48.122999999999998</v>
      </c>
      <c r="C123" s="390"/>
      <c r="D123" s="393">
        <f t="shared" si="24"/>
        <v>48.416184836572569</v>
      </c>
      <c r="E123" s="385">
        <f t="shared" si="46"/>
        <v>50.568067219086196</v>
      </c>
      <c r="F123" s="385">
        <f t="shared" si="25"/>
        <v>50.570081295451367</v>
      </c>
      <c r="G123" s="110">
        <f t="shared" si="47"/>
        <v>0.86896295393842005</v>
      </c>
      <c r="H123" s="414" t="b">
        <f>Wh_hp&gt;='2018'!Maxi_hp</f>
        <v>1</v>
      </c>
      <c r="I123" s="390">
        <f>IF(H123,Wh_hp,'2018'!Maxi_hp)</f>
        <v>50.570081295451367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6.0555129976103128E-3</v>
      </c>
      <c r="M123" s="844"/>
      <c r="N123" s="844"/>
      <c r="O123" s="48">
        <f>IF(t&lt;Tnet,'2018'!Resal+('2018'!Salim-'2018'!Resal)*(1-EXP(('2018'!Tnet-t)/('2018'!Tau_j))),Resal+(Salim-Resal)*(1-EXP((Tnet-t)/(Tau_j))))*Salcycl</f>
        <v>4.2554175013068886E-2</v>
      </c>
      <c r="P123" s="169">
        <f>(INDEX(Models!$BJ123:$BT123,,T123)*(1-R123)+INDEX(Models!$BJ123:$BT123,,T123+1)*R123-ERP_i)*Q123*Ramure*Pc/MaxiM</f>
        <v>4.8999341967372445E-5</v>
      </c>
      <c r="Q123" s="305">
        <f t="shared" si="27"/>
        <v>0.7</v>
      </c>
      <c r="R123" s="177">
        <f t="shared" si="28"/>
        <v>0.84102721510633449</v>
      </c>
      <c r="S123" s="810">
        <f t="shared" si="29"/>
        <v>-2</v>
      </c>
      <c r="T123" s="176">
        <f t="shared" si="30"/>
        <v>4</v>
      </c>
      <c r="U123" s="251">
        <f t="shared" si="31"/>
        <v>-1.1589727848936655</v>
      </c>
      <c r="V123" s="383">
        <f t="shared" si="32"/>
        <v>55.379298259363516</v>
      </c>
      <c r="W123" s="58"/>
      <c r="X123" s="157">
        <f t="shared" si="33"/>
        <v>43574</v>
      </c>
      <c r="Y123" s="385">
        <f t="shared" si="34"/>
        <v>48.122999999999998</v>
      </c>
      <c r="Z123" s="385">
        <f t="shared" si="35"/>
        <v>48.416184836572569</v>
      </c>
      <c r="AA123" s="386">
        <f t="shared" si="36"/>
        <v>50.568067219086196</v>
      </c>
      <c r="AB123" s="197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4.2554175013068886E-2</v>
      </c>
      <c r="AD123" s="231">
        <f>(INDEX(Models!$BJ123:$BT123,,AH123)*(1-AF123)+INDEX(Models!$BJ123:$BT123,,AH123+1)*AF123-ERP_i)*AE123*Ramure*Pc/MaxiM</f>
        <v>4.8999341967372445E-5</v>
      </c>
      <c r="AE123" s="305">
        <f t="shared" si="38"/>
        <v>0.7</v>
      </c>
      <c r="AF123" s="177">
        <f t="shared" si="39"/>
        <v>0.84102721510633449</v>
      </c>
      <c r="AG123" s="176">
        <f t="shared" si="40"/>
        <v>-2</v>
      </c>
      <c r="AH123" s="176">
        <f t="shared" si="41"/>
        <v>4</v>
      </c>
      <c r="AI123" s="225">
        <f t="shared" si="42"/>
        <v>-1.1589727848936655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6">
        <v>47.396999999999998</v>
      </c>
      <c r="C124" s="390"/>
      <c r="D124" s="393">
        <f t="shared" si="24"/>
        <v>47.686871493244233</v>
      </c>
      <c r="E124" s="385">
        <f t="shared" si="46"/>
        <v>49.814467996653825</v>
      </c>
      <c r="F124" s="385">
        <f t="shared" si="25"/>
        <v>49.816269691728465</v>
      </c>
      <c r="G124" s="110">
        <f t="shared" si="47"/>
        <v>0.8518700833028473</v>
      </c>
      <c r="H124" s="414" t="b">
        <f>Wh_hp&gt;='2018'!Maxi_hp</f>
        <v>1</v>
      </c>
      <c r="I124" s="390">
        <f>IF(H124,Wh_hp,'2018'!Maxi_hp)</f>
        <v>49.816269691728465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6.0786435378823445E-3</v>
      </c>
      <c r="M124" s="844"/>
      <c r="N124" s="844"/>
      <c r="O124" s="48">
        <f>IF(t&lt;Tnet,'2018'!Resal+('2018'!Salim-'2018'!Resal)*(1-EXP(('2018'!Tnet-t)/('2018'!Tau_j))),Resal+(Salim-Resal)*(1-EXP((Tnet-t)/(Tau_j))))*Salcycl</f>
        <v>4.2710413038085759E-2</v>
      </c>
      <c r="P124" s="169">
        <f>(INDEX(Models!$BJ124:$BT124,,T124)*(1-R124)+INDEX(Models!$BJ124:$BT124,,T124+1)*R124-ERP_i)*Q124*Ramure*Pc/MaxiM</f>
        <v>4.587380541390999E-5</v>
      </c>
      <c r="Q124" s="305">
        <f t="shared" si="27"/>
        <v>0.7</v>
      </c>
      <c r="R124" s="177">
        <f t="shared" si="28"/>
        <v>0.84260725888926991</v>
      </c>
      <c r="S124" s="810">
        <f t="shared" si="29"/>
        <v>-2</v>
      </c>
      <c r="T124" s="176">
        <f t="shared" si="30"/>
        <v>4</v>
      </c>
      <c r="U124" s="251">
        <f t="shared" si="31"/>
        <v>-1.1573927411107301</v>
      </c>
      <c r="V124" s="383">
        <f t="shared" si="32"/>
        <v>55.638225627869076</v>
      </c>
      <c r="W124" s="58"/>
      <c r="X124" s="157">
        <f t="shared" si="33"/>
        <v>43575</v>
      </c>
      <c r="Y124" s="385">
        <f t="shared" si="34"/>
        <v>47.396999999999998</v>
      </c>
      <c r="Z124" s="385">
        <f t="shared" si="35"/>
        <v>47.686871493244233</v>
      </c>
      <c r="AA124" s="386">
        <f t="shared" si="36"/>
        <v>49.814467996653825</v>
      </c>
      <c r="AB124" s="197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4.2710413038085759E-2</v>
      </c>
      <c r="AD124" s="231">
        <f>(INDEX(Models!$BJ124:$BT124,,AH124)*(1-AF124)+INDEX(Models!$BJ124:$BT124,,AH124+1)*AF124-ERP_i)*AE124*Ramure*Pc/MaxiM</f>
        <v>4.587380541390999E-5</v>
      </c>
      <c r="AE124" s="305">
        <f t="shared" si="38"/>
        <v>0.7</v>
      </c>
      <c r="AF124" s="177">
        <f t="shared" si="39"/>
        <v>0.84260725888926991</v>
      </c>
      <c r="AG124" s="176">
        <f t="shared" si="40"/>
        <v>-2</v>
      </c>
      <c r="AH124" s="176">
        <f t="shared" si="41"/>
        <v>4</v>
      </c>
      <c r="AI124" s="225">
        <f t="shared" si="42"/>
        <v>-1.1573927411107301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6">
        <v>18.942</v>
      </c>
      <c r="C125" s="390"/>
      <c r="D125" s="393">
        <f t="shared" si="24"/>
        <v>19.05828936576728</v>
      </c>
      <c r="E125" s="385">
        <f t="shared" si="46"/>
        <v>19.911854758425701</v>
      </c>
      <c r="F125" s="385">
        <f t="shared" si="25"/>
        <v>19.911902337622525</v>
      </c>
      <c r="G125" s="110">
        <f t="shared" si="47"/>
        <v>0.33890402869921227</v>
      </c>
      <c r="H125" s="414" t="b">
        <f>Wh_hp&gt;='2018'!Maxi_hp</f>
        <v>1</v>
      </c>
      <c r="I125" s="390">
        <f>IF(H125,Wh_hp,'2018'!Maxi_hp)</f>
        <v>19.911902337622525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6.1017735398728457E-3</v>
      </c>
      <c r="M125" s="844"/>
      <c r="N125" s="844"/>
      <c r="O125" s="48">
        <f>IF(t&lt;Tnet,'2018'!Resal+('2018'!Salim-'2018'!Resal)*(1-EXP(('2018'!Tnet-t)/('2018'!Tau_j))),Resal+(Salim-Resal)*(1-EXP((Tnet-t)/(Tau_j))))*Salcycl</f>
        <v>4.2867196602930063E-2</v>
      </c>
      <c r="P125" s="169">
        <f>(INDEX(Models!$BJ125:$BT125,,T125)*(1-R125)+INDEX(Models!$BJ125:$BT125,,T125+1)*R125-ERP_i)*Q125*Ramure*Pc/MaxiM</f>
        <v>4.2978799116923743E-5</v>
      </c>
      <c r="Q125" s="305">
        <f t="shared" si="27"/>
        <v>0.7</v>
      </c>
      <c r="R125" s="177">
        <f t="shared" si="28"/>
        <v>0.84423883574164837</v>
      </c>
      <c r="S125" s="810">
        <f t="shared" si="29"/>
        <v>-2</v>
      </c>
      <c r="T125" s="176">
        <f t="shared" si="30"/>
        <v>4</v>
      </c>
      <c r="U125" s="251">
        <f t="shared" si="31"/>
        <v>-1.1557611642583516</v>
      </c>
      <c r="V125" s="383">
        <f t="shared" si="32"/>
        <v>55.889660645463756</v>
      </c>
      <c r="W125" s="58"/>
      <c r="X125" s="157">
        <f t="shared" si="33"/>
        <v>43576</v>
      </c>
      <c r="Y125" s="385">
        <f t="shared" si="34"/>
        <v>18.942</v>
      </c>
      <c r="Z125" s="385">
        <f t="shared" si="35"/>
        <v>19.05828936576728</v>
      </c>
      <c r="AA125" s="386">
        <f t="shared" si="36"/>
        <v>19.911854758425701</v>
      </c>
      <c r="AB125" s="197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4.2867196602930063E-2</v>
      </c>
      <c r="AD125" s="231">
        <f>(INDEX(Models!$BJ125:$BT125,,AH125)*(1-AF125)+INDEX(Models!$BJ125:$BT125,,AH125+1)*AF125-ERP_i)*AE125*Ramure*Pc/MaxiM</f>
        <v>4.2978799116923743E-5</v>
      </c>
      <c r="AE125" s="305">
        <f t="shared" si="38"/>
        <v>0.7</v>
      </c>
      <c r="AF125" s="177">
        <f t="shared" si="39"/>
        <v>0.84423883574164837</v>
      </c>
      <c r="AG125" s="176">
        <f t="shared" si="40"/>
        <v>-2</v>
      </c>
      <c r="AH125" s="176">
        <f t="shared" si="41"/>
        <v>4</v>
      </c>
      <c r="AI125" s="225">
        <f t="shared" si="42"/>
        <v>-1.1557611642583516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6">
        <v>32.731999999999999</v>
      </c>
      <c r="C126" s="390"/>
      <c r="D126" s="393">
        <f t="shared" si="24"/>
        <v>32.933715814914294</v>
      </c>
      <c r="E126" s="385">
        <f t="shared" si="46"/>
        <v>34.414378431858928</v>
      </c>
      <c r="F126" s="385">
        <f t="shared" si="25"/>
        <v>34.414939531127118</v>
      </c>
      <c r="G126" s="110">
        <f t="shared" si="47"/>
        <v>0.5830937231237916</v>
      </c>
      <c r="H126" s="414" t="b">
        <f>Wh_hp&gt;='2018'!Maxi_hp</f>
        <v>1</v>
      </c>
      <c r="I126" s="390">
        <f>IF(H126,Wh_hp,'2018'!Maxi_hp)</f>
        <v>34.414939531127118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6.1249030035944729E-3</v>
      </c>
      <c r="M126" s="844"/>
      <c r="N126" s="844"/>
      <c r="O126" s="48">
        <f>IF(t&lt;Tnet,'2018'!Resal+('2018'!Salim-'2018'!Resal)*(1-EXP(('2018'!Tnet-t)/('2018'!Tau_j))),Resal+(Salim-Resal)*(1-EXP((Tnet-t)/(Tau_j))))*Salcycl</f>
        <v>4.3024534639681866E-2</v>
      </c>
      <c r="P126" s="169">
        <f>(INDEX(Models!$BJ126:$BT126,,T126)*(1-R126)+INDEX(Models!$BJ126:$BT126,,T126+1)*R126-ERP_i)*Q126*Ramure*Pc/MaxiM</f>
        <v>4.0312433433672277E-5</v>
      </c>
      <c r="Q126" s="305">
        <f t="shared" si="27"/>
        <v>0.7</v>
      </c>
      <c r="R126" s="177">
        <f t="shared" si="28"/>
        <v>0.84592306257915428</v>
      </c>
      <c r="S126" s="810">
        <f t="shared" si="29"/>
        <v>-2</v>
      </c>
      <c r="T126" s="176">
        <f t="shared" si="30"/>
        <v>4</v>
      </c>
      <c r="U126" s="251">
        <f t="shared" si="31"/>
        <v>-1.1540769374208457</v>
      </c>
      <c r="V126" s="383">
        <f t="shared" si="32"/>
        <v>56.133710316724923</v>
      </c>
      <c r="W126" s="58"/>
      <c r="X126" s="157">
        <f t="shared" si="33"/>
        <v>43577</v>
      </c>
      <c r="Y126" s="385">
        <f t="shared" si="34"/>
        <v>32.731999999999999</v>
      </c>
      <c r="Z126" s="385">
        <f t="shared" si="35"/>
        <v>32.933715814914294</v>
      </c>
      <c r="AA126" s="386">
        <f t="shared" si="36"/>
        <v>34.414378431858928</v>
      </c>
      <c r="AB126" s="197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4.3024534639681866E-2</v>
      </c>
      <c r="AD126" s="231">
        <f>(INDEX(Models!$BJ126:$BT126,,AH126)*(1-AF126)+INDEX(Models!$BJ126:$BT126,,AH126+1)*AF126-ERP_i)*AE126*Ramure*Pc/MaxiM</f>
        <v>4.0312433433672277E-5</v>
      </c>
      <c r="AE126" s="305">
        <f t="shared" si="38"/>
        <v>0.7</v>
      </c>
      <c r="AF126" s="177">
        <f t="shared" si="39"/>
        <v>0.84592306257915428</v>
      </c>
      <c r="AG126" s="176">
        <f t="shared" si="40"/>
        <v>-2</v>
      </c>
      <c r="AH126" s="176">
        <f t="shared" si="41"/>
        <v>4</v>
      </c>
      <c r="AI126" s="225">
        <f t="shared" si="42"/>
        <v>-1.1540769374208457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6">
        <v>35.305999999999997</v>
      </c>
      <c r="C127" s="390"/>
      <c r="D127" s="393">
        <f t="shared" si="24"/>
        <v>35.524405177290831</v>
      </c>
      <c r="E127" s="385">
        <f t="shared" si="46"/>
        <v>37.127668307278107</v>
      </c>
      <c r="F127" s="385">
        <f t="shared" si="25"/>
        <v>37.128323824017272</v>
      </c>
      <c r="G127" s="110">
        <f t="shared" si="47"/>
        <v>0.62630804553295671</v>
      </c>
      <c r="H127" s="414" t="b">
        <f>Wh_hp&gt;='2018'!Maxi_hp</f>
        <v>1</v>
      </c>
      <c r="I127" s="390">
        <f>IF(H127,Wh_hp,'2018'!Maxi_hp)</f>
        <v>37.128323824017272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6.1480319290596608E-3</v>
      </c>
      <c r="M127" s="844"/>
      <c r="N127" s="844"/>
      <c r="O127" s="48">
        <f>IF(t&lt;Tnet,'2018'!Resal+('2018'!Salim-'2018'!Resal)*(1-EXP(('2018'!Tnet-t)/('2018'!Tau_j))),Resal+(Salim-Resal)*(1-EXP((Tnet-t)/(Tau_j))))*Salcycl</f>
        <v>4.3182435177944983E-2</v>
      </c>
      <c r="P127" s="169">
        <f>(INDEX(Models!$BJ127:$BT127,,T127)*(1-R127)+INDEX(Models!$BJ127:$BT127,,T127+1)*R127-ERP_i)*Q127*Ramure*Pc/MaxiM</f>
        <v>3.7873186607018705E-5</v>
      </c>
      <c r="Q127" s="305">
        <f t="shared" si="27"/>
        <v>0.7</v>
      </c>
      <c r="R127" s="177">
        <f t="shared" si="28"/>
        <v>0.847661037782381</v>
      </c>
      <c r="S127" s="810">
        <f t="shared" si="29"/>
        <v>-2</v>
      </c>
      <c r="T127" s="176">
        <f t="shared" si="30"/>
        <v>4</v>
      </c>
      <c r="U127" s="251">
        <f t="shared" si="31"/>
        <v>-1.152338962217619</v>
      </c>
      <c r="V127" s="383">
        <f t="shared" si="32"/>
        <v>56.370481636469506</v>
      </c>
      <c r="W127" s="58"/>
      <c r="X127" s="157">
        <f t="shared" si="33"/>
        <v>43578</v>
      </c>
      <c r="Y127" s="385">
        <f t="shared" si="34"/>
        <v>35.305999999999997</v>
      </c>
      <c r="Z127" s="385">
        <f t="shared" si="35"/>
        <v>35.524405177290831</v>
      </c>
      <c r="AA127" s="386">
        <f t="shared" si="36"/>
        <v>37.127668307278107</v>
      </c>
      <c r="AB127" s="197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4.3182435177944983E-2</v>
      </c>
      <c r="AD127" s="231">
        <f>(INDEX(Models!$BJ127:$BT127,,AH127)*(1-AF127)+INDEX(Models!$BJ127:$BT127,,AH127+1)*AF127-ERP_i)*AE127*Ramure*Pc/MaxiM</f>
        <v>3.7873186607018705E-5</v>
      </c>
      <c r="AE127" s="305">
        <f t="shared" si="38"/>
        <v>0.7</v>
      </c>
      <c r="AF127" s="177">
        <f t="shared" si="39"/>
        <v>0.847661037782381</v>
      </c>
      <c r="AG127" s="176">
        <f t="shared" si="40"/>
        <v>-2</v>
      </c>
      <c r="AH127" s="176">
        <f t="shared" si="41"/>
        <v>4</v>
      </c>
      <c r="AI127" s="225">
        <f t="shared" si="42"/>
        <v>-1.152338962217619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6">
        <v>49.259</v>
      </c>
      <c r="C128" s="390"/>
      <c r="D128" s="393">
        <f t="shared" si="24"/>
        <v>49.564872775956495</v>
      </c>
      <c r="E128" s="385">
        <f t="shared" si="46"/>
        <v>51.81038161884846</v>
      </c>
      <c r="F128" s="385">
        <f t="shared" si="25"/>
        <v>51.811889935644885</v>
      </c>
      <c r="G128" s="110">
        <f t="shared" si="47"/>
        <v>0.87029339954134299</v>
      </c>
      <c r="H128" s="414" t="b">
        <f>Wh_hp&gt;='2018'!Maxi_hp</f>
        <v>1</v>
      </c>
      <c r="I128" s="390">
        <f>IF(H128,Wh_hp,'2018'!Maxi_hp)</f>
        <v>51.811889935644885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6.1711603162809547E-3</v>
      </c>
      <c r="M128" s="844"/>
      <c r="N128" s="844"/>
      <c r="O128" s="48">
        <f>IF(t&lt;Tnet,'2018'!Resal+('2018'!Salim-'2018'!Resal)*(1-EXP(('2018'!Tnet-t)/('2018'!Tau_j))),Resal+(Salim-Resal)*(1-EXP((Tnet-t)/(Tau_j))))*Salcycl</f>
        <v>4.3340905292136613E-2</v>
      </c>
      <c r="P128" s="169">
        <f>(INDEX(Models!$BJ128:$BT128,,T128)*(1-R128)+INDEX(Models!$BJ128:$BT128,,T128+1)*R128-ERP_i)*Q128*Ramure*Pc/MaxiM</f>
        <v>3.573209170041199E-5</v>
      </c>
      <c r="Q128" s="305">
        <f t="shared" si="27"/>
        <v>0.7</v>
      </c>
      <c r="R128" s="177">
        <f t="shared" si="28"/>
        <v>0.84945383729164625</v>
      </c>
      <c r="S128" s="810">
        <f t="shared" si="29"/>
        <v>-2</v>
      </c>
      <c r="T128" s="176">
        <f t="shared" si="30"/>
        <v>4</v>
      </c>
      <c r="U128" s="251">
        <f t="shared" si="31"/>
        <v>-1.1505461627083537</v>
      </c>
      <c r="V128" s="383">
        <f t="shared" si="32"/>
        <v>56.600077500242882</v>
      </c>
      <c r="W128" s="58"/>
      <c r="X128" s="157">
        <f t="shared" si="33"/>
        <v>43579</v>
      </c>
      <c r="Y128" s="385">
        <f t="shared" si="34"/>
        <v>49.259</v>
      </c>
      <c r="Z128" s="385">
        <f t="shared" si="35"/>
        <v>49.564872775956495</v>
      </c>
      <c r="AA128" s="386">
        <f t="shared" si="36"/>
        <v>51.81038161884846</v>
      </c>
      <c r="AB128" s="197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4.3340905292136613E-2</v>
      </c>
      <c r="AD128" s="231">
        <f>(INDEX(Models!$BJ128:$BT128,,AH128)*(1-AF128)+INDEX(Models!$BJ128:$BT128,,AH128+1)*AF128-ERP_i)*AE128*Ramure*Pc/MaxiM</f>
        <v>3.573209170041199E-5</v>
      </c>
      <c r="AE128" s="305">
        <f t="shared" si="38"/>
        <v>0.7</v>
      </c>
      <c r="AF128" s="177">
        <f t="shared" si="39"/>
        <v>0.84945383729164625</v>
      </c>
      <c r="AG128" s="176">
        <f t="shared" si="40"/>
        <v>-2</v>
      </c>
      <c r="AH128" s="176">
        <f t="shared" si="41"/>
        <v>4</v>
      </c>
      <c r="AI128" s="225">
        <f t="shared" si="42"/>
        <v>-1.1505461627083537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6">
        <v>32.680999999999997</v>
      </c>
      <c r="C129" s="390"/>
      <c r="D129" s="393">
        <f t="shared" si="24"/>
        <v>32.884697291249701</v>
      </c>
      <c r="E129" s="385">
        <f t="shared" si="46"/>
        <v>34.380235868526682</v>
      </c>
      <c r="F129" s="385">
        <f t="shared" si="25"/>
        <v>34.38069194785983</v>
      </c>
      <c r="G129" s="110">
        <f t="shared" si="47"/>
        <v>0.57512896701143701</v>
      </c>
      <c r="H129" s="414" t="b">
        <f>Wh_hp&gt;='2018'!Maxi_hp</f>
        <v>1</v>
      </c>
      <c r="I129" s="390">
        <f>IF(H129,Wh_hp,'2018'!Maxi_hp)</f>
        <v>34.38069194785983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6.1942881652709003E-3</v>
      </c>
      <c r="M129" s="844"/>
      <c r="N129" s="844"/>
      <c r="O129" s="48">
        <f>IF(t&lt;Tnet,'2018'!Resal+('2018'!Salim-'2018'!Resal)*(1-EXP(('2018'!Tnet-t)/('2018'!Tau_j))),Resal+(Salim-Resal)*(1-EXP((Tnet-t)/(Tau_j))))*Salcycl</f>
        <v>4.3499951047341931E-2</v>
      </c>
      <c r="P129" s="169">
        <f>(INDEX(Models!$BJ129:$BT129,,T129)*(1-R129)+INDEX(Models!$BJ129:$BT129,,T129+1)*R129-ERP_i)*Q129*Ramure*Pc/MaxiM</f>
        <v>3.3749621430228407E-5</v>
      </c>
      <c r="Q129" s="305">
        <f t="shared" si="27"/>
        <v>0.7</v>
      </c>
      <c r="R129" s="177">
        <f t="shared" si="28"/>
        <v>0.85130251049561889</v>
      </c>
      <c r="S129" s="810">
        <f t="shared" si="29"/>
        <v>-2</v>
      </c>
      <c r="T129" s="176">
        <f t="shared" si="30"/>
        <v>4</v>
      </c>
      <c r="U129" s="251">
        <f t="shared" si="31"/>
        <v>-1.1486974895043811</v>
      </c>
      <c r="V129" s="383">
        <f t="shared" si="32"/>
        <v>56.822612711575047</v>
      </c>
      <c r="W129" s="58"/>
      <c r="X129" s="157">
        <f t="shared" si="33"/>
        <v>43580</v>
      </c>
      <c r="Y129" s="385">
        <f t="shared" si="34"/>
        <v>32.680999999999997</v>
      </c>
      <c r="Z129" s="385">
        <f t="shared" si="35"/>
        <v>32.884697291249701</v>
      </c>
      <c r="AA129" s="386">
        <f t="shared" si="36"/>
        <v>34.380235868526682</v>
      </c>
      <c r="AB129" s="197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4.3499951047341931E-2</v>
      </c>
      <c r="AD129" s="231">
        <f>(INDEX(Models!$BJ129:$BT129,,AH129)*(1-AF129)+INDEX(Models!$BJ129:$BT129,,AH129+1)*AF129-ERP_i)*AE129*Ramure*Pc/MaxiM</f>
        <v>3.3749621430228407E-5</v>
      </c>
      <c r="AE129" s="305">
        <f t="shared" si="38"/>
        <v>0.7</v>
      </c>
      <c r="AF129" s="177">
        <f t="shared" si="39"/>
        <v>0.85130251049561889</v>
      </c>
      <c r="AG129" s="176">
        <f t="shared" si="40"/>
        <v>-2</v>
      </c>
      <c r="AH129" s="176">
        <f t="shared" si="41"/>
        <v>4</v>
      </c>
      <c r="AI129" s="225">
        <f t="shared" si="42"/>
        <v>-1.1486974895043811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6">
        <v>29.015000000000001</v>
      </c>
      <c r="C130" s="390"/>
      <c r="D130" s="393">
        <f t="shared" si="24"/>
        <v>29.196526938433692</v>
      </c>
      <c r="E130" s="385">
        <f t="shared" si="46"/>
        <v>30.529428903986602</v>
      </c>
      <c r="F130" s="385">
        <f t="shared" si="25"/>
        <v>30.529719485050919</v>
      </c>
      <c r="G130" s="110">
        <f t="shared" si="47"/>
        <v>0.50868282578724278</v>
      </c>
      <c r="H130" s="414" t="b">
        <f>Wh_hp&gt;='2018'!Maxi_hp</f>
        <v>1</v>
      </c>
      <c r="I130" s="390">
        <f>IF(H130,Wh_hp,'2018'!Maxi_hp)</f>
        <v>30.529719485050919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6.217415476041932E-3</v>
      </c>
      <c r="M130" s="844"/>
      <c r="N130" s="844"/>
      <c r="O130" s="48">
        <f>IF(t&lt;Tnet,'2018'!Resal+('2018'!Salim-'2018'!Resal)*(1-EXP(('2018'!Tnet-t)/('2018'!Tau_j))),Resal+(Salim-Resal)*(1-EXP((Tnet-t)/(Tau_j))))*Salcycl</f>
        <v>4.3659577443941534E-2</v>
      </c>
      <c r="P130" s="169">
        <f>(INDEX(Models!$BJ130:$BT130,,T130)*(1-R130)+INDEX(Models!$BJ130:$BT130,,T130+1)*R130-ERP_i)*Q130*Ramure*Pc/MaxiM</f>
        <v>3.1925088243409775E-5</v>
      </c>
      <c r="Q130" s="305">
        <f t="shared" si="27"/>
        <v>0.7</v>
      </c>
      <c r="R130" s="177">
        <f t="shared" si="28"/>
        <v>0.85320807591790593</v>
      </c>
      <c r="S130" s="810">
        <f t="shared" si="29"/>
        <v>-2</v>
      </c>
      <c r="T130" s="176">
        <f t="shared" si="30"/>
        <v>4</v>
      </c>
      <c r="U130" s="251">
        <f t="shared" si="31"/>
        <v>-1.1467919240820941</v>
      </c>
      <c r="V130" s="383">
        <f t="shared" si="32"/>
        <v>57.038194294210435</v>
      </c>
      <c r="W130" s="58"/>
      <c r="X130" s="157">
        <f t="shared" si="33"/>
        <v>43581</v>
      </c>
      <c r="Y130" s="385">
        <f t="shared" si="34"/>
        <v>29.015000000000001</v>
      </c>
      <c r="Z130" s="385">
        <f t="shared" si="35"/>
        <v>29.196526938433692</v>
      </c>
      <c r="AA130" s="386">
        <f t="shared" si="36"/>
        <v>30.529428903986602</v>
      </c>
      <c r="AB130" s="197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4.3659577443941534E-2</v>
      </c>
      <c r="AD130" s="231">
        <f>(INDEX(Models!$BJ130:$BT130,,AH130)*(1-AF130)+INDEX(Models!$BJ130:$BT130,,AH130+1)*AF130-ERP_i)*AE130*Ramure*Pc/MaxiM</f>
        <v>3.1925088243409775E-5</v>
      </c>
      <c r="AE130" s="305">
        <f t="shared" si="38"/>
        <v>0.7</v>
      </c>
      <c r="AF130" s="177">
        <f t="shared" si="39"/>
        <v>0.85320807591790593</v>
      </c>
      <c r="AG130" s="176">
        <f t="shared" si="40"/>
        <v>-2</v>
      </c>
      <c r="AH130" s="176">
        <f t="shared" si="41"/>
        <v>4</v>
      </c>
      <c r="AI130" s="225">
        <f t="shared" si="42"/>
        <v>-1.1467919240820941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6">
        <v>30.263999999999999</v>
      </c>
      <c r="C131" s="390"/>
      <c r="D131" s="393">
        <f t="shared" si="24"/>
        <v>30.454049784320222</v>
      </c>
      <c r="E131" s="385">
        <f t="shared" si="46"/>
        <v>31.849696755517556</v>
      </c>
      <c r="F131" s="385">
        <f t="shared" si="25"/>
        <v>31.850011558443278</v>
      </c>
      <c r="G131" s="110">
        <f t="shared" si="47"/>
        <v>0.52864640559529708</v>
      </c>
      <c r="H131" s="414" t="b">
        <f>Wh_hp&gt;='2018'!Maxi_hp</f>
        <v>1</v>
      </c>
      <c r="I131" s="390">
        <f>IF(H131,Wh_hp,'2018'!Maxi_hp)</f>
        <v>31.850011558443278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6.2405422486067064E-3</v>
      </c>
      <c r="M131" s="844"/>
      <c r="N131" s="844"/>
      <c r="O131" s="48">
        <f>IF(t&lt;Tnet,'2018'!Resal+('2018'!Salim-'2018'!Resal)*(1-EXP(('2018'!Tnet-t)/('2018'!Tau_j))),Resal+(Salim-Resal)*(1-EXP((Tnet-t)/(Tau_j))))*Salcycl</f>
        <v>4.3819788361267632E-2</v>
      </c>
      <c r="P131" s="169">
        <f>(INDEX(Models!$BJ131:$BT131,,T131)*(1-R131)+INDEX(Models!$BJ131:$BT131,,T131+1)*R131-ERP_i)*Q131*Ramure*Pc/MaxiM</f>
        <v>3.0258149819658857E-5</v>
      </c>
      <c r="Q131" s="305">
        <f t="shared" si="27"/>
        <v>0.7</v>
      </c>
      <c r="R131" s="177">
        <f t="shared" si="28"/>
        <v>0.85517151670761393</v>
      </c>
      <c r="S131" s="810">
        <f t="shared" si="29"/>
        <v>-2</v>
      </c>
      <c r="T131" s="176">
        <f t="shared" si="30"/>
        <v>4</v>
      </c>
      <c r="U131" s="251">
        <f t="shared" si="31"/>
        <v>-1.1448284832923861</v>
      </c>
      <c r="V131" s="383">
        <f t="shared" si="32"/>
        <v>57.246929266636677</v>
      </c>
      <c r="W131" s="58"/>
      <c r="X131" s="157">
        <f t="shared" si="33"/>
        <v>43582</v>
      </c>
      <c r="Y131" s="385">
        <f t="shared" si="34"/>
        <v>30.263999999999999</v>
      </c>
      <c r="Z131" s="385">
        <f t="shared" si="35"/>
        <v>30.454049784320222</v>
      </c>
      <c r="AA131" s="386">
        <f t="shared" si="36"/>
        <v>31.849696755517556</v>
      </c>
      <c r="AB131" s="197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4.3819788361267632E-2</v>
      </c>
      <c r="AD131" s="231">
        <f>(INDEX(Models!$BJ131:$BT131,,AH131)*(1-AF131)+INDEX(Models!$BJ131:$BT131,,AH131+1)*AF131-ERP_i)*AE131*Ramure*Pc/MaxiM</f>
        <v>3.0258149819658857E-5</v>
      </c>
      <c r="AE131" s="305">
        <f t="shared" si="38"/>
        <v>0.7</v>
      </c>
      <c r="AF131" s="177">
        <f t="shared" si="39"/>
        <v>0.85517151670761393</v>
      </c>
      <c r="AG131" s="176">
        <f t="shared" si="40"/>
        <v>-2</v>
      </c>
      <c r="AH131" s="176">
        <f t="shared" si="41"/>
        <v>4</v>
      </c>
      <c r="AI131" s="225">
        <f t="shared" si="42"/>
        <v>-1.1448284832923861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6">
        <v>44.125999999999998</v>
      </c>
      <c r="C132" s="390"/>
      <c r="D132" s="393">
        <f t="shared" si="24"/>
        <v>44.404132766926153</v>
      </c>
      <c r="E132" s="385">
        <f t="shared" si="46"/>
        <v>46.446894424862791</v>
      </c>
      <c r="F132" s="385">
        <f t="shared" si="25"/>
        <v>46.447787354157064</v>
      </c>
      <c r="G132" s="110">
        <f t="shared" si="47"/>
        <v>0.76808364972450816</v>
      </c>
      <c r="H132" s="414" t="b">
        <f>Wh_hp&gt;='2018'!Maxi_hp</f>
        <v>1</v>
      </c>
      <c r="I132" s="390">
        <f>IF(H132,Wh_hp,'2018'!Maxi_hp)</f>
        <v>46.447787354157064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6.2636684829777689E-3</v>
      </c>
      <c r="M132" s="844"/>
      <c r="N132" s="844"/>
      <c r="O132" s="48">
        <f>IF(t&lt;Tnet,'2018'!Resal+('2018'!Salim-'2018'!Resal)*(1-EXP(('2018'!Tnet-t)/('2018'!Tau_j))),Resal+(Salim-Resal)*(1-EXP((Tnet-t)/(Tau_j))))*Salcycl</f>
        <v>4.3980586500594145E-2</v>
      </c>
      <c r="P132" s="169">
        <f>(INDEX(Models!$BJ132:$BT132,,T132)*(1-R132)+INDEX(Models!$BJ132:$BT132,,T132+1)*R132-ERP_i)*Q132*Ramure*Pc/MaxiM</f>
        <v>2.8748806638598334E-5</v>
      </c>
      <c r="Q132" s="305">
        <f t="shared" si="27"/>
        <v>0.7</v>
      </c>
      <c r="R132" s="177">
        <f t="shared" si="28"/>
        <v>0.85719377594191593</v>
      </c>
      <c r="S132" s="810">
        <f t="shared" si="29"/>
        <v>-2</v>
      </c>
      <c r="T132" s="176">
        <f t="shared" si="30"/>
        <v>4</v>
      </c>
      <c r="U132" s="251">
        <f t="shared" si="31"/>
        <v>-1.1428062240580841</v>
      </c>
      <c r="V132" s="383">
        <f t="shared" si="32"/>
        <v>57.44892464812677</v>
      </c>
      <c r="W132" s="58"/>
      <c r="X132" s="157">
        <f t="shared" si="33"/>
        <v>43583</v>
      </c>
      <c r="Y132" s="385">
        <f t="shared" si="34"/>
        <v>44.125999999999998</v>
      </c>
      <c r="Z132" s="385">
        <f t="shared" si="35"/>
        <v>44.404132766926153</v>
      </c>
      <c r="AA132" s="386">
        <f t="shared" si="36"/>
        <v>46.446894424862791</v>
      </c>
      <c r="AB132" s="197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4.3980586500594145E-2</v>
      </c>
      <c r="AD132" s="231">
        <f>(INDEX(Models!$BJ132:$BT132,,AH132)*(1-AF132)+INDEX(Models!$BJ132:$BT132,,AH132+1)*AF132-ERP_i)*AE132*Ramure*Pc/MaxiM</f>
        <v>2.8748806638598334E-5</v>
      </c>
      <c r="AE132" s="305">
        <f t="shared" si="38"/>
        <v>0.7</v>
      </c>
      <c r="AF132" s="177">
        <f t="shared" si="39"/>
        <v>0.85719377594191593</v>
      </c>
      <c r="AG132" s="176">
        <f t="shared" si="40"/>
        <v>-2</v>
      </c>
      <c r="AH132" s="176">
        <f t="shared" si="41"/>
        <v>4</v>
      </c>
      <c r="AI132" s="225">
        <f t="shared" si="42"/>
        <v>-1.1428062240580841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6">
        <v>50.819000000000003</v>
      </c>
      <c r="C133" s="390"/>
      <c r="D133" s="393">
        <f t="shared" si="24"/>
        <v>51.140509859705652</v>
      </c>
      <c r="E133" s="385">
        <f t="shared" si="46"/>
        <v>53.502202662618089</v>
      </c>
      <c r="F133" s="385">
        <f t="shared" si="25"/>
        <v>53.503420570987252</v>
      </c>
      <c r="G133" s="110">
        <f t="shared" si="47"/>
        <v>0.88159237844567173</v>
      </c>
      <c r="H133" s="414" t="b">
        <f>Wh_hp&gt;='2018'!Maxi_hp</f>
        <v>1</v>
      </c>
      <c r="I133" s="390">
        <f>IF(H133,Wh_hp,'2018'!Maxi_hp)</f>
        <v>53.503420570987252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6.2867941791674431E-3</v>
      </c>
      <c r="M133" s="844"/>
      <c r="N133" s="844"/>
      <c r="O133" s="48">
        <f>IF(t&lt;Tnet,'2018'!Resal+('2018'!Salim-'2018'!Resal)*(1-EXP(('2018'!Tnet-t)/('2018'!Tau_j))),Resal+(Salim-Resal)*(1-EXP((Tnet-t)/(Tau_j))))*Salcycl</f>
        <v>4.4141973327811189E-2</v>
      </c>
      <c r="P133" s="169">
        <f>(INDEX(Models!$BJ133:$BT133,,T133)*(1-R133)+INDEX(Models!$BJ133:$BT133,,T133+1)*R133-ERP_i)*Q133*Ramure*Pc/MaxiM</f>
        <v>2.7397399925194624E-5</v>
      </c>
      <c r="Q133" s="305">
        <f t="shared" si="27"/>
        <v>0.7</v>
      </c>
      <c r="R133" s="177">
        <f t="shared" si="28"/>
        <v>0.8592757517508216</v>
      </c>
      <c r="S133" s="810">
        <f t="shared" si="29"/>
        <v>-2</v>
      </c>
      <c r="T133" s="176">
        <f t="shared" si="30"/>
        <v>4</v>
      </c>
      <c r="U133" s="251">
        <f t="shared" si="31"/>
        <v>-1.1407242482491784</v>
      </c>
      <c r="V133" s="383">
        <f t="shared" si="32"/>
        <v>57.644287463296813</v>
      </c>
      <c r="W133" s="58"/>
      <c r="X133" s="157">
        <f t="shared" si="33"/>
        <v>43584</v>
      </c>
      <c r="Y133" s="385">
        <f t="shared" si="34"/>
        <v>50.819000000000003</v>
      </c>
      <c r="Z133" s="385">
        <f t="shared" si="35"/>
        <v>51.140509859705652</v>
      </c>
      <c r="AA133" s="386">
        <f t="shared" si="36"/>
        <v>53.502202662618089</v>
      </c>
      <c r="AB133" s="197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4.4141973327811189E-2</v>
      </c>
      <c r="AD133" s="231">
        <f>(INDEX(Models!$BJ133:$BT133,,AH133)*(1-AF133)+INDEX(Models!$BJ133:$BT133,,AH133+1)*AF133-ERP_i)*AE133*Ramure*Pc/MaxiM</f>
        <v>2.7397399925194624E-5</v>
      </c>
      <c r="AE133" s="305">
        <f t="shared" si="38"/>
        <v>0.7</v>
      </c>
      <c r="AF133" s="177">
        <f t="shared" si="39"/>
        <v>0.8592757517508216</v>
      </c>
      <c r="AG133" s="176">
        <f t="shared" si="40"/>
        <v>-2</v>
      </c>
      <c r="AH133" s="176">
        <f t="shared" si="41"/>
        <v>4</v>
      </c>
      <c r="AI133" s="225">
        <f t="shared" si="42"/>
        <v>-1.1407242482491784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6">
        <v>57.951000000000001</v>
      </c>
      <c r="C134" s="390"/>
      <c r="D134" s="393">
        <f t="shared" si="24"/>
        <v>58.318988110805641</v>
      </c>
      <c r="E134" s="385">
        <f t="shared" si="46"/>
        <v>61.022527037514244</v>
      </c>
      <c r="F134" s="385">
        <f t="shared" si="25"/>
        <v>61.024126150933135</v>
      </c>
      <c r="G134" s="110">
        <f t="shared" si="47"/>
        <v>1.0020381962263802</v>
      </c>
      <c r="H134" s="414" t="b">
        <f>Wh_hp&gt;='2018'!Maxi_hp</f>
        <v>1</v>
      </c>
      <c r="I134" s="390">
        <f>IF(H134,Wh_hp,'2018'!Maxi_hp)</f>
        <v>61.024126150933135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6.3099193371884965E-3</v>
      </c>
      <c r="M134" s="844"/>
      <c r="N134" s="844"/>
      <c r="O134" s="48">
        <f>IF(t&lt;Tnet,'2018'!Resal+('2018'!Salim-'2018'!Resal)*(1-EXP(('2018'!Tnet-t)/('2018'!Tau_j))),Resal+(Salim-Resal)*(1-EXP((Tnet-t)/(Tau_j))))*Salcycl</f>
        <v>4.4303949016181704E-2</v>
      </c>
      <c r="P134" s="169">
        <f>(INDEX(Models!$BJ134:$BT134,,T134)*(1-R134)+INDEX(Models!$BJ134:$BT134,,T134+1)*R134-ERP_i)*Q134*Ramure*Pc/MaxiM</f>
        <v>2.6204609877371178E-5</v>
      </c>
      <c r="Q134" s="305">
        <f t="shared" si="27"/>
        <v>0.7</v>
      </c>
      <c r="R134" s="177">
        <f t="shared" si="28"/>
        <v>0.8614182922766449</v>
      </c>
      <c r="S134" s="810">
        <f t="shared" si="29"/>
        <v>-2</v>
      </c>
      <c r="T134" s="176">
        <f t="shared" si="30"/>
        <v>4</v>
      </c>
      <c r="U134" s="251">
        <f t="shared" si="31"/>
        <v>-1.1385817077233551</v>
      </c>
      <c r="V134" s="383">
        <f t="shared" si="32"/>
        <v>57.833124743388247</v>
      </c>
      <c r="W134" s="58"/>
      <c r="X134" s="157">
        <f t="shared" si="33"/>
        <v>43585</v>
      </c>
      <c r="Y134" s="385">
        <f t="shared" si="34"/>
        <v>57.951000000000001</v>
      </c>
      <c r="Z134" s="385">
        <f t="shared" si="35"/>
        <v>58.318988110805641</v>
      </c>
      <c r="AA134" s="386">
        <f t="shared" si="36"/>
        <v>61.022527037514244</v>
      </c>
      <c r="AB134" s="197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4.4303949016181704E-2</v>
      </c>
      <c r="AD134" s="231">
        <f>(INDEX(Models!$BJ134:$BT134,,AH134)*(1-AF134)+INDEX(Models!$BJ134:$BT134,,AH134+1)*AF134-ERP_i)*AE134*Ramure*Pc/MaxiM</f>
        <v>2.6204609877371178E-5</v>
      </c>
      <c r="AE134" s="305">
        <f t="shared" si="38"/>
        <v>0.7</v>
      </c>
      <c r="AF134" s="177">
        <f t="shared" si="39"/>
        <v>0.8614182922766449</v>
      </c>
      <c r="AG134" s="176">
        <f t="shared" si="40"/>
        <v>-2</v>
      </c>
      <c r="AH134" s="176">
        <f t="shared" si="41"/>
        <v>4</v>
      </c>
      <c r="AI134" s="225">
        <f t="shared" si="42"/>
        <v>-1.1385817077233551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6">
        <v>52.639000000000003</v>
      </c>
      <c r="C135" s="390"/>
      <c r="D135" s="393">
        <f t="shared" si="24"/>
        <v>52.974489772330642</v>
      </c>
      <c r="E135" s="385">
        <f t="shared" si="46"/>
        <v>55.439699873638538</v>
      </c>
      <c r="F135" s="385">
        <f t="shared" si="25"/>
        <v>55.440910682526471</v>
      </c>
      <c r="G135" s="110">
        <f t="shared" si="47"/>
        <v>0.9073338799346512</v>
      </c>
      <c r="H135" s="414" t="b">
        <f>Wh_hp&gt;='2018'!Maxi_hp</f>
        <v>1</v>
      </c>
      <c r="I135" s="390">
        <f>IF(H135,Wh_hp,'2018'!Maxi_hp)</f>
        <v>55.440910682526471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6.3330439570532526E-3</v>
      </c>
      <c r="M135" s="844"/>
      <c r="N135" s="844"/>
      <c r="O135" s="48">
        <f>IF(t&lt;Tnet,'2018'!Resal+('2018'!Salim-'2018'!Resal)*(1-EXP(('2018'!Tnet-t)/('2018'!Tau_j))),Resal+(Salim-Resal)*(1-EXP((Tnet-t)/(Tau_j))))*Salcycl</f>
        <v>4.4466512389618906E-2</v>
      </c>
      <c r="P135" s="169">
        <f>(INDEX(Models!$BJ135:$BT135,,T135)*(1-R135)+INDEX(Models!$BJ135:$BT135,,T135+1)*R135-ERP_i)*Q135*Ramure*Pc/MaxiM</f>
        <v>2.517176183614101E-5</v>
      </c>
      <c r="Q135" s="305">
        <f t="shared" si="27"/>
        <v>0.7</v>
      </c>
      <c r="R135" s="177">
        <f t="shared" si="28"/>
        <v>0.86362219048309274</v>
      </c>
      <c r="S135" s="810">
        <f t="shared" si="29"/>
        <v>-2</v>
      </c>
      <c r="T135" s="176">
        <f t="shared" si="30"/>
        <v>4</v>
      </c>
      <c r="U135" s="251">
        <f t="shared" si="31"/>
        <v>-1.1363778095169073</v>
      </c>
      <c r="V135" s="383">
        <f t="shared" si="32"/>
        <v>58.014834186274349</v>
      </c>
      <c r="W135" s="58"/>
      <c r="X135" s="157">
        <f t="shared" si="33"/>
        <v>43586</v>
      </c>
      <c r="Y135" s="385">
        <f t="shared" si="34"/>
        <v>52.639000000000003</v>
      </c>
      <c r="Z135" s="385">
        <f t="shared" si="35"/>
        <v>52.974489772330642</v>
      </c>
      <c r="AA135" s="386">
        <f t="shared" si="36"/>
        <v>55.439699873638538</v>
      </c>
      <c r="AB135" s="197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4.4466512389618906E-2</v>
      </c>
      <c r="AD135" s="231">
        <f>(INDEX(Models!$BJ135:$BT135,,AH135)*(1-AF135)+INDEX(Models!$BJ135:$BT135,,AH135+1)*AF135-ERP_i)*AE135*Ramure*Pc/MaxiM</f>
        <v>2.517176183614101E-5</v>
      </c>
      <c r="AE135" s="305">
        <f t="shared" si="38"/>
        <v>0.7</v>
      </c>
      <c r="AF135" s="177">
        <f t="shared" si="39"/>
        <v>0.86362219048309274</v>
      </c>
      <c r="AG135" s="176">
        <f t="shared" si="40"/>
        <v>-2</v>
      </c>
      <c r="AH135" s="176">
        <f t="shared" si="41"/>
        <v>4</v>
      </c>
      <c r="AI135" s="225">
        <f t="shared" si="42"/>
        <v>-1.1363778095169073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6">
        <v>31.635000000000002</v>
      </c>
      <c r="C136" s="390"/>
      <c r="D136" s="393">
        <f t="shared" si="24"/>
        <v>31.837363633163957</v>
      </c>
      <c r="E136" s="385">
        <f t="shared" si="46"/>
        <v>33.324630595141961</v>
      </c>
      <c r="F136" s="385">
        <f t="shared" si="25"/>
        <v>33.324912920597868</v>
      </c>
      <c r="G136" s="110">
        <f t="shared" si="47"/>
        <v>0.54365193989656468</v>
      </c>
      <c r="H136" s="414" t="b">
        <f>Wh_hp&gt;='2018'!Maxi_hp</f>
        <v>1</v>
      </c>
      <c r="I136" s="390">
        <f>IF(H136,Wh_hp,'2018'!Maxi_hp)</f>
        <v>33.324912920597868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6.356168038774368E-3</v>
      </c>
      <c r="M136" s="844"/>
      <c r="N136" s="844"/>
      <c r="O136" s="48">
        <f>IF(t&lt;Tnet,'2018'!Resal+('2018'!Salim-'2018'!Resal)*(1-EXP(('2018'!Tnet-t)/('2018'!Tau_j))),Resal+(Salim-Resal)*(1-EXP((Tnet-t)/(Tau_j))))*Salcycl</f>
        <v>4.4629660866963058E-2</v>
      </c>
      <c r="P136" s="169">
        <f>(INDEX(Models!$BJ136:$BT136,,T136)*(1-R136)+INDEX(Models!$BJ136:$BT136,,T136+1)*R136-ERP_i)*Q136*Ramure*Pc/MaxiM</f>
        <v>2.4338499850654211E-5</v>
      </c>
      <c r="Q136" s="305">
        <f t="shared" si="27"/>
        <v>0.7</v>
      </c>
      <c r="R136" s="177">
        <f t="shared" si="28"/>
        <v>0.86588817883144098</v>
      </c>
      <c r="S136" s="810">
        <f t="shared" si="29"/>
        <v>-2</v>
      </c>
      <c r="T136" s="176">
        <f t="shared" si="30"/>
        <v>4</v>
      </c>
      <c r="U136" s="251">
        <f t="shared" si="31"/>
        <v>-1.134111821168559</v>
      </c>
      <c r="V136" s="383">
        <f t="shared" si="32"/>
        <v>58.188881036642357</v>
      </c>
      <c r="W136" s="58"/>
      <c r="X136" s="157">
        <f t="shared" si="33"/>
        <v>43587</v>
      </c>
      <c r="Y136" s="385">
        <f t="shared" si="34"/>
        <v>31.634999999999998</v>
      </c>
      <c r="Z136" s="385">
        <f t="shared" si="35"/>
        <v>31.837363633163953</v>
      </c>
      <c r="AA136" s="386">
        <f t="shared" si="36"/>
        <v>33.324630595141961</v>
      </c>
      <c r="AB136" s="197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4.4629660866963058E-2</v>
      </c>
      <c r="AD136" s="231">
        <f>(INDEX(Models!$BJ136:$BT136,,AH136)*(1-AF136)+INDEX(Models!$BJ136:$BT136,,AH136+1)*AF136-ERP_i)*AE136*Ramure*Pc/MaxiM</f>
        <v>2.4338499850654211E-5</v>
      </c>
      <c r="AE136" s="305">
        <f t="shared" si="38"/>
        <v>0.7</v>
      </c>
      <c r="AF136" s="177">
        <f t="shared" si="39"/>
        <v>0.86588817883144098</v>
      </c>
      <c r="AG136" s="176">
        <f t="shared" si="40"/>
        <v>-2</v>
      </c>
      <c r="AH136" s="176">
        <f t="shared" si="41"/>
        <v>4</v>
      </c>
      <c r="AI136" s="225">
        <f t="shared" si="42"/>
        <v>-1.134111821168559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6">
        <v>20.138000000000002</v>
      </c>
      <c r="C137" s="390"/>
      <c r="D137" s="393">
        <f t="shared" si="24"/>
        <v>20.267290958609589</v>
      </c>
      <c r="E137" s="385">
        <f t="shared" si="46"/>
        <v>21.217703850752844</v>
      </c>
      <c r="F137" s="385">
        <f t="shared" si="25"/>
        <v>21.217736128847058</v>
      </c>
      <c r="G137" s="110">
        <f t="shared" si="47"/>
        <v>0.34508420291436609</v>
      </c>
      <c r="H137" s="414" t="b">
        <f>Wh_hp&gt;='2018'!Maxi_hp</f>
        <v>1</v>
      </c>
      <c r="I137" s="390">
        <f>IF(H137,Wh_hp,'2018'!Maxi_hp)</f>
        <v>21.217736128847058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6.3792915823643881E-3</v>
      </c>
      <c r="M137" s="844"/>
      <c r="N137" s="844"/>
      <c r="O137" s="48">
        <f>IF(t&lt;Tnet,'2018'!Resal+('2018'!Salim-'2018'!Resal)*(1-EXP(('2018'!Tnet-t)/('2018'!Tau_j))),Resal+(Salim-Resal)*(1-EXP((Tnet-t)/(Tau_j))))*Salcycl</f>
        <v>4.4793390407771833E-2</v>
      </c>
      <c r="P137" s="169">
        <f>(INDEX(Models!$BJ137:$BT137,,T137)*(1-R137)+INDEX(Models!$BJ137:$BT137,,T137+1)*R137-ERP_i)*Q137*Ramure*Pc/MaxiM</f>
        <v>2.3616146927414051E-5</v>
      </c>
      <c r="Q137" s="305">
        <f t="shared" si="27"/>
        <v>0.7</v>
      </c>
      <c r="R137" s="177">
        <f t="shared" si="28"/>
        <v>0.86821692384389193</v>
      </c>
      <c r="S137" s="810">
        <f t="shared" si="29"/>
        <v>-2</v>
      </c>
      <c r="T137" s="176">
        <f t="shared" si="30"/>
        <v>4</v>
      </c>
      <c r="U137" s="251">
        <f t="shared" si="31"/>
        <v>-1.1317830761561081</v>
      </c>
      <c r="V137" s="383">
        <f t="shared" si="32"/>
        <v>58.355482177397505</v>
      </c>
      <c r="W137" s="58"/>
      <c r="X137" s="157">
        <f t="shared" si="33"/>
        <v>43588</v>
      </c>
      <c r="Y137" s="385">
        <f t="shared" si="34"/>
        <v>20.138000000000002</v>
      </c>
      <c r="Z137" s="385">
        <f t="shared" si="35"/>
        <v>20.267290958609589</v>
      </c>
      <c r="AA137" s="386">
        <f t="shared" si="36"/>
        <v>21.217703850752844</v>
      </c>
      <c r="AB137" s="197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4.4793390407771833E-2</v>
      </c>
      <c r="AD137" s="231">
        <f>(INDEX(Models!$BJ137:$BT137,,AH137)*(1-AF137)+INDEX(Models!$BJ137:$BT137,,AH137+1)*AF137-ERP_i)*AE137*Ramure*Pc/MaxiM</f>
        <v>2.3616146927414051E-5</v>
      </c>
      <c r="AE137" s="305">
        <f t="shared" si="38"/>
        <v>0.7</v>
      </c>
      <c r="AF137" s="177">
        <f t="shared" si="39"/>
        <v>0.86821692384389193</v>
      </c>
      <c r="AG137" s="176">
        <f t="shared" si="40"/>
        <v>-2</v>
      </c>
      <c r="AH137" s="176">
        <f t="shared" si="41"/>
        <v>4</v>
      </c>
      <c r="AI137" s="225">
        <f t="shared" si="42"/>
        <v>-1.1317830761561081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6">
        <v>33.838999999999999</v>
      </c>
      <c r="C138" s="390"/>
      <c r="D138" s="393">
        <f t="shared" si="24"/>
        <v>34.057047336687013</v>
      </c>
      <c r="E138" s="385">
        <f t="shared" si="46"/>
        <v>35.660249996042616</v>
      </c>
      <c r="F138" s="385">
        <f t="shared" si="25"/>
        <v>35.660576159757561</v>
      </c>
      <c r="G138" s="110">
        <f t="shared" si="47"/>
        <v>0.57828963812126244</v>
      </c>
      <c r="H138" s="414" t="b">
        <f>Wh_hp&gt;='2018'!Maxi_hp</f>
        <v>1</v>
      </c>
      <c r="I138" s="390">
        <f>IF(H138,Wh_hp,'2018'!Maxi_hp)</f>
        <v>35.660576159757561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6.4024145878356364E-3</v>
      </c>
      <c r="M138" s="844"/>
      <c r="N138" s="844"/>
      <c r="O138" s="48">
        <f>IF(t&lt;Tnet,'2018'!Resal+('2018'!Salim-'2018'!Resal)*(1-EXP(('2018'!Tnet-t)/('2018'!Tau_j))),Resal+(Salim-Resal)*(1-EXP((Tnet-t)/(Tau_j))))*Salcycl</f>
        <v>4.4957695460169665E-2</v>
      </c>
      <c r="P138" s="169">
        <f>(INDEX(Models!$BJ138:$BT138,,T138)*(1-R138)+INDEX(Models!$BJ138:$BT138,,T138+1)*R138-ERP_i)*Q138*Ramure*Pc/MaxiM</f>
        <v>2.3005717656671686E-5</v>
      </c>
      <c r="Q138" s="305">
        <f t="shared" si="27"/>
        <v>0.7</v>
      </c>
      <c r="R138" s="177">
        <f t="shared" si="28"/>
        <v>0.87060902057692413</v>
      </c>
      <c r="S138" s="810">
        <f t="shared" si="29"/>
        <v>-2</v>
      </c>
      <c r="T138" s="176">
        <f t="shared" si="30"/>
        <v>4</v>
      </c>
      <c r="U138" s="251">
        <f t="shared" si="31"/>
        <v>-1.1293909794230759</v>
      </c>
      <c r="V138" s="383">
        <f t="shared" si="32"/>
        <v>58.51484926848552</v>
      </c>
      <c r="W138" s="58"/>
      <c r="X138" s="157">
        <f t="shared" si="33"/>
        <v>43589</v>
      </c>
      <c r="Y138" s="385">
        <f t="shared" si="34"/>
        <v>33.838999999999999</v>
      </c>
      <c r="Z138" s="385">
        <f t="shared" si="35"/>
        <v>34.057047336687013</v>
      </c>
      <c r="AA138" s="386">
        <f t="shared" si="36"/>
        <v>35.660249996042616</v>
      </c>
      <c r="AB138" s="197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4.4957695460169665E-2</v>
      </c>
      <c r="AD138" s="231">
        <f>(INDEX(Models!$BJ138:$BT138,,AH138)*(1-AF138)+INDEX(Models!$BJ138:$BT138,,AH138+1)*AF138-ERP_i)*AE138*Ramure*Pc/MaxiM</f>
        <v>2.3005717656671686E-5</v>
      </c>
      <c r="AE138" s="305">
        <f t="shared" si="38"/>
        <v>0.7</v>
      </c>
      <c r="AF138" s="177">
        <f t="shared" si="39"/>
        <v>0.87060902057692413</v>
      </c>
      <c r="AG138" s="176">
        <f t="shared" si="40"/>
        <v>-2</v>
      </c>
      <c r="AH138" s="176">
        <f t="shared" si="41"/>
        <v>4</v>
      </c>
      <c r="AI138" s="225">
        <f t="shared" si="42"/>
        <v>-1.1293909794230759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6">
        <v>46.912999999999997</v>
      </c>
      <c r="C139" s="390"/>
      <c r="D139" s="393">
        <f t="shared" si="24"/>
        <v>47.216390667849105</v>
      </c>
      <c r="E139" s="385">
        <f t="shared" si="46"/>
        <v>49.447593094766958</v>
      </c>
      <c r="F139" s="385">
        <f t="shared" si="25"/>
        <v>49.448387537704676</v>
      </c>
      <c r="G139" s="110">
        <f t="shared" si="47"/>
        <v>0.79964107070024881</v>
      </c>
      <c r="H139" s="414" t="b">
        <f>Wh_hp&gt;='2018'!Maxi_hp</f>
        <v>1</v>
      </c>
      <c r="I139" s="390">
        <f>IF(H139,Wh_hp,'2018'!Maxi_hp)</f>
        <v>49.448387537704676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6.4255370552008806E-3</v>
      </c>
      <c r="M139" s="844"/>
      <c r="N139" s="844"/>
      <c r="O139" s="48">
        <f>IF(t&lt;Tnet,'2018'!Resal+('2018'!Salim-'2018'!Resal)*(1-EXP(('2018'!Tnet-t)/('2018'!Tau_j))),Resal+(Salim-Resal)*(1-EXP((Tnet-t)/(Tau_j))))*Salcycl</f>
        <v>4.5122568911326488E-2</v>
      </c>
      <c r="P139" s="169">
        <f>(INDEX(Models!$BJ139:$BT139,,T139)*(1-R139)+INDEX(Models!$BJ139:$BT139,,T139+1)*R139-ERP_i)*Q139*Ramure*Pc/MaxiM</f>
        <v>2.250847161188582E-5</v>
      </c>
      <c r="Q139" s="305">
        <f t="shared" si="27"/>
        <v>0.7</v>
      </c>
      <c r="R139" s="177">
        <f t="shared" si="28"/>
        <v>0.87306498703018542</v>
      </c>
      <c r="S139" s="810">
        <f t="shared" si="29"/>
        <v>-2</v>
      </c>
      <c r="T139" s="176">
        <f t="shared" si="30"/>
        <v>4</v>
      </c>
      <c r="U139" s="251">
        <f t="shared" si="31"/>
        <v>-1.1269350129698146</v>
      </c>
      <c r="V139" s="383">
        <f t="shared" si="32"/>
        <v>58.667193923983532</v>
      </c>
      <c r="W139" s="58"/>
      <c r="X139" s="157">
        <f t="shared" si="33"/>
        <v>43590</v>
      </c>
      <c r="Y139" s="385">
        <f t="shared" si="34"/>
        <v>46.912999999999997</v>
      </c>
      <c r="Z139" s="385">
        <f t="shared" si="35"/>
        <v>47.216390667849105</v>
      </c>
      <c r="AA139" s="386">
        <f t="shared" si="36"/>
        <v>49.447593094766958</v>
      </c>
      <c r="AB139" s="197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4.5122568911326488E-2</v>
      </c>
      <c r="AD139" s="231">
        <f>(INDEX(Models!$BJ139:$BT139,,AH139)*(1-AF139)+INDEX(Models!$BJ139:$BT139,,AH139+1)*AF139-ERP_i)*AE139*Ramure*Pc/MaxiM</f>
        <v>2.250847161188582E-5</v>
      </c>
      <c r="AE139" s="305">
        <f t="shared" si="38"/>
        <v>0.7</v>
      </c>
      <c r="AF139" s="177">
        <f t="shared" si="39"/>
        <v>0.87306498703018542</v>
      </c>
      <c r="AG139" s="176">
        <f t="shared" si="40"/>
        <v>-2</v>
      </c>
      <c r="AH139" s="176">
        <f t="shared" si="41"/>
        <v>4</v>
      </c>
      <c r="AI139" s="225">
        <f t="shared" si="42"/>
        <v>-1.1269350129698146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6">
        <v>60.201999999999998</v>
      </c>
      <c r="C140" s="390"/>
      <c r="D140" s="393">
        <f t="shared" si="24"/>
        <v>60.592741929638379</v>
      </c>
      <c r="E140" s="385">
        <f t="shared" si="46"/>
        <v>63.467037241790855</v>
      </c>
      <c r="F140" s="385">
        <f t="shared" si="25"/>
        <v>63.468441538808548</v>
      </c>
      <c r="G140" s="110">
        <f t="shared" si="47"/>
        <v>1.0236219664877682</v>
      </c>
      <c r="H140" s="414" t="b">
        <f>Wh_hp&gt;='2018'!Maxi_hp</f>
        <v>1</v>
      </c>
      <c r="I140" s="390">
        <f>IF(H140,Wh_hp,'2018'!Maxi_hp)</f>
        <v>63.468441538808548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6.448658984472444E-3</v>
      </c>
      <c r="M140" s="844"/>
      <c r="N140" s="844"/>
      <c r="O140" s="48">
        <f>IF(t&lt;Tnet,'2018'!Resal+('2018'!Salim-'2018'!Resal)*(1-EXP(('2018'!Tnet-t)/('2018'!Tau_j))),Resal+(Salim-Resal)*(1-EXP((Tnet-t)/(Tau_j))))*Salcycl</f>
        <v>4.5288002041157988E-2</v>
      </c>
      <c r="P140" s="169">
        <f>(INDEX(Models!$BJ140:$BT140,,T140)*(1-R140)+INDEX(Models!$BJ140:$BT140,,T140+1)*R140-ERP_i)*Q140*Ramure*Pc/MaxiM</f>
        <v>2.2125909879705294E-5</v>
      </c>
      <c r="Q140" s="305">
        <f t="shared" si="27"/>
        <v>0.7</v>
      </c>
      <c r="R140" s="177">
        <f t="shared" si="28"/>
        <v>0.8755852585192585</v>
      </c>
      <c r="S140" s="810">
        <f t="shared" si="29"/>
        <v>-2</v>
      </c>
      <c r="T140" s="176">
        <f t="shared" si="30"/>
        <v>4</v>
      </c>
      <c r="U140" s="251">
        <f t="shared" si="31"/>
        <v>-1.1244147414807415</v>
      </c>
      <c r="V140" s="383">
        <f t="shared" si="32"/>
        <v>58.812727716819062</v>
      </c>
      <c r="W140" s="58"/>
      <c r="X140" s="157">
        <f t="shared" si="33"/>
        <v>43591</v>
      </c>
      <c r="Y140" s="385">
        <f t="shared" si="34"/>
        <v>60.201999999999998</v>
      </c>
      <c r="Z140" s="385">
        <f t="shared" si="35"/>
        <v>60.592741929638379</v>
      </c>
      <c r="AA140" s="386">
        <f t="shared" si="36"/>
        <v>63.467037241790855</v>
      </c>
      <c r="AB140" s="197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4.5288002041157988E-2</v>
      </c>
      <c r="AD140" s="231">
        <f>(INDEX(Models!$BJ140:$BT140,,AH140)*(1-AF140)+INDEX(Models!$BJ140:$BT140,,AH140+1)*AF140-ERP_i)*AE140*Ramure*Pc/MaxiM</f>
        <v>2.2125909879705294E-5</v>
      </c>
      <c r="AE140" s="305">
        <f t="shared" si="38"/>
        <v>0.7</v>
      </c>
      <c r="AF140" s="177">
        <f t="shared" si="39"/>
        <v>0.8755852585192585</v>
      </c>
      <c r="AG140" s="176">
        <f t="shared" si="40"/>
        <v>-2</v>
      </c>
      <c r="AH140" s="176">
        <f t="shared" si="41"/>
        <v>4</v>
      </c>
      <c r="AI140" s="225">
        <f t="shared" si="42"/>
        <v>-1.1244147414807415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6">
        <v>43.439</v>
      </c>
      <c r="C141" s="390"/>
      <c r="D141" s="393">
        <f t="shared" si="24"/>
        <v>43.721958915696149</v>
      </c>
      <c r="E141" s="385">
        <f t="shared" si="46"/>
        <v>45.803930040891096</v>
      </c>
      <c r="F141" s="385">
        <f t="shared" si="25"/>
        <v>45.804554920670356</v>
      </c>
      <c r="G141" s="110">
        <f t="shared" si="47"/>
        <v>0.73685187887665959</v>
      </c>
      <c r="H141" s="414" t="b">
        <f>Wh_hp&gt;='2018'!Maxi_hp</f>
        <v>1</v>
      </c>
      <c r="I141" s="390">
        <f>IF(H141,Wh_hp,'2018'!Maxi_hp)</f>
        <v>45.804554920670356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6.4717803756629833E-3</v>
      </c>
      <c r="M141" s="844"/>
      <c r="N141" s="844"/>
      <c r="O141" s="48">
        <f>IF(t&lt;Tnet,'2018'!Resal+('2018'!Salim-'2018'!Resal)*(1-EXP(('2018'!Tnet-t)/('2018'!Tau_j))),Resal+(Salim-Resal)*(1-EXP((Tnet-t)/(Tau_j))))*Salcycl</f>
        <v>4.545398447985332E-2</v>
      </c>
      <c r="P141" s="169">
        <f>(INDEX(Models!$BJ141:$BT141,,T141)*(1-R141)+INDEX(Models!$BJ141:$BT141,,T141+1)*R141-ERP_i)*Q141*Ramure*Pc/MaxiM</f>
        <v>2.1859771415245079E-5</v>
      </c>
      <c r="Q141" s="305">
        <f t="shared" si="27"/>
        <v>0.7</v>
      </c>
      <c r="R141" s="177">
        <f t="shared" si="28"/>
        <v>0.87817018204338027</v>
      </c>
      <c r="S141" s="810">
        <f t="shared" si="29"/>
        <v>-2</v>
      </c>
      <c r="T141" s="176">
        <f t="shared" si="30"/>
        <v>4</v>
      </c>
      <c r="U141" s="251">
        <f t="shared" si="31"/>
        <v>-1.1218298179566197</v>
      </c>
      <c r="V141" s="383">
        <f t="shared" si="32"/>
        <v>58.951662175166554</v>
      </c>
      <c r="W141" s="58"/>
      <c r="X141" s="157">
        <f t="shared" si="33"/>
        <v>43592</v>
      </c>
      <c r="Y141" s="385">
        <f t="shared" si="34"/>
        <v>43.439</v>
      </c>
      <c r="Z141" s="385">
        <f t="shared" si="35"/>
        <v>43.721958915696149</v>
      </c>
      <c r="AA141" s="386">
        <f t="shared" si="36"/>
        <v>45.803930040891096</v>
      </c>
      <c r="AB141" s="197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4.545398447985332E-2</v>
      </c>
      <c r="AD141" s="231">
        <f>(INDEX(Models!$BJ141:$BT141,,AH141)*(1-AF141)+INDEX(Models!$BJ141:$BT141,,AH141+1)*AF141-ERP_i)*AE141*Ramure*Pc/MaxiM</f>
        <v>2.1859771415245079E-5</v>
      </c>
      <c r="AE141" s="305">
        <f t="shared" si="38"/>
        <v>0.7</v>
      </c>
      <c r="AF141" s="177">
        <f t="shared" si="39"/>
        <v>0.87817018204338027</v>
      </c>
      <c r="AG141" s="176">
        <f t="shared" si="40"/>
        <v>-2</v>
      </c>
      <c r="AH141" s="176">
        <f t="shared" si="41"/>
        <v>4</v>
      </c>
      <c r="AI141" s="225">
        <f t="shared" si="42"/>
        <v>-1.1218298179566197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6">
        <v>29.178999999999998</v>
      </c>
      <c r="C142" s="390"/>
      <c r="D142" s="393">
        <f t="shared" si="24"/>
        <v>29.369753649064418</v>
      </c>
      <c r="E142" s="385">
        <f t="shared" si="46"/>
        <v>30.773663702317361</v>
      </c>
      <c r="F142" s="385">
        <f t="shared" si="25"/>
        <v>30.773848725971924</v>
      </c>
      <c r="G142" s="110">
        <f t="shared" si="47"/>
        <v>0.49384670617622861</v>
      </c>
      <c r="H142" s="414" t="b">
        <f>Wh_hp&gt;='2018'!Maxi_hp</f>
        <v>1</v>
      </c>
      <c r="I142" s="390">
        <f>IF(H142,Wh_hp,'2018'!Maxi_hp)</f>
        <v>30.773848725971924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6.4949012287849328E-3</v>
      </c>
      <c r="M142" s="844"/>
      <c r="N142" s="844"/>
      <c r="O142" s="48">
        <f>IF(t&lt;Tnet,'2018'!Resal+('2018'!Salim-'2018'!Resal)*(1-EXP(('2018'!Tnet-t)/('2018'!Tau_j))),Resal+(Salim-Resal)*(1-EXP((Tnet-t)/(Tau_j))))*Salcycl</f>
        <v>4.562050416984384E-2</v>
      </c>
      <c r="P142" s="169">
        <f>(INDEX(Models!$BJ142:$BT142,,T142)*(1-R142)+INDEX(Models!$BJ142:$BT142,,T142+1)*R142-ERP_i)*Q142*Ramure*Pc/MaxiM</f>
        <v>2.1710393033428015E-5</v>
      </c>
      <c r="Q142" s="305">
        <f t="shared" si="27"/>
        <v>0.7</v>
      </c>
      <c r="R142" s="177">
        <f t="shared" si="28"/>
        <v>0.88082001068188664</v>
      </c>
      <c r="S142" s="810">
        <f t="shared" si="29"/>
        <v>-2</v>
      </c>
      <c r="T142" s="176">
        <f t="shared" si="30"/>
        <v>4</v>
      </c>
      <c r="U142" s="251">
        <f t="shared" si="31"/>
        <v>-1.1191799893181134</v>
      </c>
      <c r="V142" s="383">
        <f t="shared" si="32"/>
        <v>59.084208884274695</v>
      </c>
      <c r="W142" s="58"/>
      <c r="X142" s="157">
        <f t="shared" si="33"/>
        <v>43593</v>
      </c>
      <c r="Y142" s="385">
        <f t="shared" si="34"/>
        <v>29.178999999999998</v>
      </c>
      <c r="Z142" s="385">
        <f t="shared" si="35"/>
        <v>29.369753649064418</v>
      </c>
      <c r="AA142" s="386">
        <f t="shared" si="36"/>
        <v>30.773663702317361</v>
      </c>
      <c r="AB142" s="197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4.562050416984384E-2</v>
      </c>
      <c r="AD142" s="231">
        <f>(INDEX(Models!$BJ142:$BT142,,AH142)*(1-AF142)+INDEX(Models!$BJ142:$BT142,,AH142+1)*AF142-ERP_i)*AE142*Ramure*Pc/MaxiM</f>
        <v>2.1710393033428015E-5</v>
      </c>
      <c r="AE142" s="305">
        <f t="shared" si="38"/>
        <v>0.7</v>
      </c>
      <c r="AF142" s="177">
        <f t="shared" si="39"/>
        <v>0.88082001068188664</v>
      </c>
      <c r="AG142" s="176">
        <f t="shared" si="40"/>
        <v>-2</v>
      </c>
      <c r="AH142" s="176">
        <f t="shared" si="41"/>
        <v>4</v>
      </c>
      <c r="AI142" s="225">
        <f t="shared" si="42"/>
        <v>-1.1191799893181134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6">
        <v>44.087000000000003</v>
      </c>
      <c r="C143" s="390"/>
      <c r="D143" s="393">
        <f t="shared" ref="D143:D206" si="48">Wh/(1-Ppv)</f>
        <v>44.37624532305086</v>
      </c>
      <c r="E143" s="385">
        <f t="shared" si="46"/>
        <v>46.505623772790216</v>
      </c>
      <c r="F143" s="385">
        <f t="shared" ref="F143:F206" si="49">Wh_sa/(1-Pvg*MEDIAN((-Sdif+Wh/Env_an)/Csdif,0,1))</f>
        <v>46.506261815927139</v>
      </c>
      <c r="G143" s="110">
        <f t="shared" si="47"/>
        <v>0.74457385090258577</v>
      </c>
      <c r="H143" s="414" t="b">
        <f>Wh_hp&gt;='2018'!Maxi_hp</f>
        <v>1</v>
      </c>
      <c r="I143" s="390">
        <f>IF(H143,Wh_hp,'2018'!Maxi_hp)</f>
        <v>46.506261815927139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6.5180215438508382E-3</v>
      </c>
      <c r="M143" s="844"/>
      <c r="N143" s="844"/>
      <c r="O143" s="48">
        <f>IF(t&lt;Tnet,'2018'!Resal+('2018'!Salim-'2018'!Resal)*(1-EXP(('2018'!Tnet-t)/('2018'!Tau_j))),Resal+(Salim-Resal)*(1-EXP((Tnet-t)/(Tau_j))))*Salcycl</f>
        <v>4.5787547332828735E-2</v>
      </c>
      <c r="P143" s="169">
        <f>(INDEX(Models!$BJ143:$BT143,,T143)*(1-R143)+INDEX(Models!$BJ143:$BT143,,T143+1)*R143-ERP_i)*Q143*Ramure*Pc/MaxiM</f>
        <v>2.1601653797046512E-5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0.88353489805576291</v>
      </c>
      <c r="S143" s="810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-1.1164651019442371</v>
      </c>
      <c r="V143" s="383">
        <f t="shared" ref="V143:V206" si="56">MaxiM*(1-Ppv)*(1-Pvg)*(1-Psa)</f>
        <v>59.210583935667898</v>
      </c>
      <c r="W143" s="58"/>
      <c r="X143" s="157">
        <f t="shared" ref="X143:X206" si="57">t</f>
        <v>43594</v>
      </c>
      <c r="Y143" s="385">
        <f t="shared" ref="Y143:Y206" si="58">Wh_pvt_s*(1-Ppv)</f>
        <v>44.087000000000003</v>
      </c>
      <c r="Z143" s="385">
        <f t="shared" ref="Z143:Z206" si="59">Wh_sa_s*(1-Psa_s)</f>
        <v>44.37624532305086</v>
      </c>
      <c r="AA143" s="386">
        <f t="shared" ref="AA143:AA206" si="60">Wh_hp*(1-Pvg_s*MEDIAN((-Sdif+Wh/Env_an)/Csdif,0,1))</f>
        <v>46.505623772790216</v>
      </c>
      <c r="AB143" s="197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4.5787547332828735E-2</v>
      </c>
      <c r="AD143" s="231">
        <f>(INDEX(Models!$BJ143:$BT143,,AH143)*(1-AF143)+INDEX(Models!$BJ143:$BT143,,AH143+1)*AF143-ERP_i)*AE143*Ramure*Pc/MaxiM</f>
        <v>2.1601653797046512E-5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0.88353489805576291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-1.1164651019442371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38.094000000000001</v>
      </c>
      <c r="C144" s="390"/>
      <c r="D144" s="393">
        <f t="shared" si="48"/>
        <v>38.34481887921222</v>
      </c>
      <c r="E144" s="385">
        <f t="shared" ref="E144:E169" si="70">Wh_pvt/(1-Psa)</f>
        <v>40.191838787264722</v>
      </c>
      <c r="F144" s="385">
        <f t="shared" si="49"/>
        <v>40.192261720297083</v>
      </c>
      <c r="G144" s="110">
        <f t="shared" ref="G144:G169" si="71">+Wh_hp/MaxiM</f>
        <v>0.6420518994839014</v>
      </c>
      <c r="H144" s="414" t="b">
        <f>Wh_hp&gt;='2018'!Maxi_hp</f>
        <v>1</v>
      </c>
      <c r="I144" s="390">
        <f>IF(H144,Wh_hp,'2018'!Maxi_hp)</f>
        <v>40.192261720297083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6.541141320873356E-3</v>
      </c>
      <c r="M144" s="844"/>
      <c r="N144" s="844"/>
      <c r="O144" s="48">
        <f>IF(t&lt;Tnet,'2018'!Resal+('2018'!Salim-'2018'!Resal)*(1-EXP(('2018'!Tnet-t)/('2018'!Tau_j))),Resal+(Salim-Resal)*(1-EXP((Tnet-t)/(Tau_j))))*Salcycl</f>
        <v>4.5955098442466688E-2</v>
      </c>
      <c r="P144" s="169">
        <f>(INDEX(Models!$BJ144:$BT144,,T144)*(1-R144)+INDEX(Models!$BJ144:$BT144,,T144+1)*R144-ERP_i)*Q144*Ramure*Pc/MaxiM</f>
        <v>2.1534074810802885E-5</v>
      </c>
      <c r="Q144" s="305">
        <f t="shared" si="51"/>
        <v>0.7</v>
      </c>
      <c r="R144" s="177">
        <f t="shared" si="52"/>
        <v>0.88631489289313747</v>
      </c>
      <c r="S144" s="810">
        <f t="shared" si="53"/>
        <v>-2</v>
      </c>
      <c r="T144" s="176">
        <f t="shared" si="54"/>
        <v>4</v>
      </c>
      <c r="U144" s="251">
        <f t="shared" si="55"/>
        <v>-1.1136851071068625</v>
      </c>
      <c r="V144" s="383">
        <f t="shared" si="56"/>
        <v>59.330998881421195</v>
      </c>
      <c r="W144" s="58"/>
      <c r="X144" s="157">
        <f t="shared" si="57"/>
        <v>43595</v>
      </c>
      <c r="Y144" s="385">
        <f t="shared" si="58"/>
        <v>38.094000000000001</v>
      </c>
      <c r="Z144" s="385">
        <f t="shared" si="59"/>
        <v>38.34481887921222</v>
      </c>
      <c r="AA144" s="386">
        <f t="shared" si="60"/>
        <v>40.191838787264722</v>
      </c>
      <c r="AB144" s="197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4.5955098442466688E-2</v>
      </c>
      <c r="AD144" s="231">
        <f>(INDEX(Models!$BJ144:$BT144,,AH144)*(1-AF144)+INDEX(Models!$BJ144:$BT144,,AH144+1)*AF144-ERP_i)*AE144*Ramure*Pc/MaxiM</f>
        <v>2.1534074810802885E-5</v>
      </c>
      <c r="AE144" s="305">
        <f t="shared" si="62"/>
        <v>0.7</v>
      </c>
      <c r="AF144" s="177">
        <f t="shared" si="63"/>
        <v>0.88631489289313747</v>
      </c>
      <c r="AG144" s="176">
        <f t="shared" si="64"/>
        <v>-2</v>
      </c>
      <c r="AH144" s="176">
        <f t="shared" si="65"/>
        <v>4</v>
      </c>
      <c r="AI144" s="225">
        <f t="shared" si="66"/>
        <v>-1.1136851071068625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6">
        <v>35.802999999999997</v>
      </c>
      <c r="C145" s="390"/>
      <c r="D145" s="393">
        <f t="shared" si="48"/>
        <v>36.039573148613805</v>
      </c>
      <c r="E145" s="385">
        <f t="shared" si="70"/>
        <v>37.782207187934169</v>
      </c>
      <c r="F145" s="385">
        <f t="shared" si="49"/>
        <v>37.782558108883215</v>
      </c>
      <c r="G145" s="110">
        <f t="shared" si="71"/>
        <v>0.602273728816902</v>
      </c>
      <c r="H145" s="414" t="b">
        <f>Wh_hp&gt;='2018'!Maxi_hp</f>
        <v>1</v>
      </c>
      <c r="I145" s="390">
        <f>IF(H145,Wh_hp,'2018'!Maxi_hp)</f>
        <v>37.782558108883215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6.5642605598648096E-3</v>
      </c>
      <c r="M145" s="844"/>
      <c r="N145" s="844"/>
      <c r="O145" s="48">
        <f>IF(t&lt;Tnet,'2018'!Resal+('2018'!Salim-'2018'!Resal)*(1-EXP(('2018'!Tnet-t)/('2018'!Tau_j))),Resal+(Salim-Resal)*(1-EXP((Tnet-t)/(Tau_j))))*Salcycl</f>
        <v>4.6123140203330304E-2</v>
      </c>
      <c r="P145" s="169">
        <f>(INDEX(Models!$BJ145:$BT145,,T145)*(1-R145)+INDEX(Models!$BJ145:$BT145,,T145+1)*R145-ERP_i)*Q145*Ramure*Pc/MaxiM</f>
        <v>2.150824615415108E-5</v>
      </c>
      <c r="Q145" s="305">
        <f t="shared" si="51"/>
        <v>0.7</v>
      </c>
      <c r="R145" s="177">
        <f t="shared" si="52"/>
        <v>0.88915993373982904</v>
      </c>
      <c r="S145" s="810">
        <f t="shared" si="53"/>
        <v>-2</v>
      </c>
      <c r="T145" s="176">
        <f t="shared" si="54"/>
        <v>4</v>
      </c>
      <c r="U145" s="251">
        <f t="shared" si="55"/>
        <v>-1.110840066260171</v>
      </c>
      <c r="V145" s="383">
        <f t="shared" si="56"/>
        <v>59.445665248463328</v>
      </c>
      <c r="W145" s="58"/>
      <c r="X145" s="157">
        <f t="shared" si="57"/>
        <v>43596</v>
      </c>
      <c r="Y145" s="385">
        <f t="shared" si="58"/>
        <v>35.802999999999997</v>
      </c>
      <c r="Z145" s="385">
        <f t="shared" si="59"/>
        <v>36.039573148613805</v>
      </c>
      <c r="AA145" s="386">
        <f t="shared" si="60"/>
        <v>37.782207187934169</v>
      </c>
      <c r="AB145" s="197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4.6123140203330304E-2</v>
      </c>
      <c r="AD145" s="231">
        <f>(INDEX(Models!$BJ145:$BT145,,AH145)*(1-AF145)+INDEX(Models!$BJ145:$BT145,,AH145+1)*AF145-ERP_i)*AE145*Ramure*Pc/MaxiM</f>
        <v>2.150824615415108E-5</v>
      </c>
      <c r="AE145" s="305">
        <f t="shared" si="62"/>
        <v>0.7</v>
      </c>
      <c r="AF145" s="177">
        <f t="shared" si="63"/>
        <v>0.88915993373982904</v>
      </c>
      <c r="AG145" s="176">
        <f t="shared" si="64"/>
        <v>-2</v>
      </c>
      <c r="AH145" s="176">
        <f t="shared" si="65"/>
        <v>4</v>
      </c>
      <c r="AI145" s="225">
        <f t="shared" si="66"/>
        <v>-1.110840066260171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6">
        <v>55.999000000000002</v>
      </c>
      <c r="C146" s="390"/>
      <c r="D146" s="393">
        <f t="shared" si="48"/>
        <v>56.370332760956046</v>
      </c>
      <c r="E146" s="385">
        <f t="shared" si="70"/>
        <v>59.106468943045193</v>
      </c>
      <c r="F146" s="385">
        <f t="shared" si="49"/>
        <v>59.107632705662361</v>
      </c>
      <c r="G146" s="110">
        <f t="shared" si="71"/>
        <v>0.9402920055123497</v>
      </c>
      <c r="H146" s="414" t="b">
        <f>Wh_hp&gt;='2018'!Maxi_hp</f>
        <v>1</v>
      </c>
      <c r="I146" s="390">
        <f>IF(H146,Wh_hp,'2018'!Maxi_hp)</f>
        <v>59.107632705662361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6.5873792608377446E-3</v>
      </c>
      <c r="M146" s="844"/>
      <c r="N146" s="844"/>
      <c r="O146" s="48">
        <f>IF(t&lt;Tnet,'2018'!Resal+('2018'!Salim-'2018'!Resal)*(1-EXP(('2018'!Tnet-t)/('2018'!Tau_j))),Resal+(Salim-Resal)*(1-EXP((Tnet-t)/(Tau_j))))*Salcycl</f>
        <v>4.6291653536699708E-2</v>
      </c>
      <c r="P146" s="169">
        <f>(INDEX(Models!$BJ146:$BT146,,T146)*(1-R146)+INDEX(Models!$BJ146:$BT146,,T146+1)*R146-ERP_i)*Q146*Ramure*Pc/MaxiM</f>
        <v>2.1524824849276189E-5</v>
      </c>
      <c r="Q146" s="305">
        <f t="shared" si="51"/>
        <v>0.7</v>
      </c>
      <c r="R146" s="177">
        <f t="shared" si="52"/>
        <v>0.89206984385809207</v>
      </c>
      <c r="S146" s="810">
        <f t="shared" si="53"/>
        <v>-2</v>
      </c>
      <c r="T146" s="176">
        <f t="shared" si="54"/>
        <v>4</v>
      </c>
      <c r="U146" s="251">
        <f t="shared" si="55"/>
        <v>-1.1079301561419079</v>
      </c>
      <c r="V146" s="383">
        <f t="shared" si="56"/>
        <v>59.554794529962727</v>
      </c>
      <c r="W146" s="58"/>
      <c r="X146" s="157">
        <f t="shared" si="57"/>
        <v>43597</v>
      </c>
      <c r="Y146" s="385">
        <f t="shared" si="58"/>
        <v>55.999000000000002</v>
      </c>
      <c r="Z146" s="385">
        <f t="shared" si="59"/>
        <v>56.370332760956046</v>
      </c>
      <c r="AA146" s="386">
        <f t="shared" si="60"/>
        <v>59.106468943045193</v>
      </c>
      <c r="AB146" s="197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4.6291653536699708E-2</v>
      </c>
      <c r="AD146" s="231">
        <f>(INDEX(Models!$BJ146:$BT146,,AH146)*(1-AF146)+INDEX(Models!$BJ146:$BT146,,AH146+1)*AF146-ERP_i)*AE146*Ramure*Pc/MaxiM</f>
        <v>2.1524824849276189E-5</v>
      </c>
      <c r="AE146" s="305">
        <f t="shared" si="62"/>
        <v>0.7</v>
      </c>
      <c r="AF146" s="177">
        <f t="shared" si="63"/>
        <v>0.89206984385809207</v>
      </c>
      <c r="AG146" s="176">
        <f t="shared" si="64"/>
        <v>-2</v>
      </c>
      <c r="AH146" s="176">
        <f t="shared" si="65"/>
        <v>4</v>
      </c>
      <c r="AI146" s="225">
        <f t="shared" si="66"/>
        <v>-1.1079301561419079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6">
        <v>61.991</v>
      </c>
      <c r="C147" s="390"/>
      <c r="D147" s="393">
        <f t="shared" si="48"/>
        <v>62.403518296938266</v>
      </c>
      <c r="E147" s="385">
        <f t="shared" si="70"/>
        <v>65.444091190186754</v>
      </c>
      <c r="F147" s="385">
        <f t="shared" si="49"/>
        <v>65.445503800800012</v>
      </c>
      <c r="G147" s="110">
        <f t="shared" si="71"/>
        <v>1.0390958198529552</v>
      </c>
      <c r="H147" s="414" t="b">
        <f>Wh_hp&gt;='2018'!Maxi_hp</f>
        <v>1</v>
      </c>
      <c r="I147" s="390">
        <f>IF(H147,Wh_hp,'2018'!Maxi_hp)</f>
        <v>65.445503800800012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6.6104974238048175E-3</v>
      </c>
      <c r="M147" s="844"/>
      <c r="N147" s="844"/>
      <c r="O147" s="48">
        <f>IF(t&lt;Tnet,'2018'!Resal+('2018'!Salim-'2018'!Resal)*(1-EXP(('2018'!Tnet-t)/('2018'!Tau_j))),Resal+(Salim-Resal)*(1-EXP((Tnet-t)/(Tau_j))))*Salcycl</f>
        <v>4.6460617573743986E-2</v>
      </c>
      <c r="P147" s="169">
        <f>(INDEX(Models!$BJ147:$BT147,,T147)*(1-R147)+INDEX(Models!$BJ147:$BT147,,T147+1)*R147-ERP_i)*Q147*Ramure*Pc/MaxiM</f>
        <v>2.1584532645022149E-5</v>
      </c>
      <c r="Q147" s="305">
        <f t="shared" si="51"/>
        <v>0.7</v>
      </c>
      <c r="R147" s="177">
        <f t="shared" si="52"/>
        <v>0.89504432635845355</v>
      </c>
      <c r="S147" s="810">
        <f t="shared" si="53"/>
        <v>-2</v>
      </c>
      <c r="T147" s="176">
        <f t="shared" si="54"/>
        <v>4</v>
      </c>
      <c r="U147" s="251">
        <f t="shared" si="55"/>
        <v>-1.1049556736415465</v>
      </c>
      <c r="V147" s="383">
        <f t="shared" si="56"/>
        <v>59.658598192390464</v>
      </c>
      <c r="W147" s="58"/>
      <c r="X147" s="157">
        <f t="shared" si="57"/>
        <v>43598</v>
      </c>
      <c r="Y147" s="385">
        <f t="shared" si="58"/>
        <v>61.990999999999993</v>
      </c>
      <c r="Z147" s="385">
        <f t="shared" si="59"/>
        <v>62.403518296938259</v>
      </c>
      <c r="AA147" s="386">
        <f t="shared" si="60"/>
        <v>65.444091190186754</v>
      </c>
      <c r="AB147" s="197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4.6460617573743986E-2</v>
      </c>
      <c r="AD147" s="231">
        <f>(INDEX(Models!$BJ147:$BT147,,AH147)*(1-AF147)+INDEX(Models!$BJ147:$BT147,,AH147+1)*AF147-ERP_i)*AE147*Ramure*Pc/MaxiM</f>
        <v>2.1584532645022149E-5</v>
      </c>
      <c r="AE147" s="305">
        <f t="shared" si="62"/>
        <v>0.7</v>
      </c>
      <c r="AF147" s="177">
        <f t="shared" si="63"/>
        <v>0.89504432635845355</v>
      </c>
      <c r="AG147" s="176">
        <f t="shared" si="64"/>
        <v>-2</v>
      </c>
      <c r="AH147" s="176">
        <f t="shared" si="65"/>
        <v>4</v>
      </c>
      <c r="AI147" s="225">
        <f t="shared" si="66"/>
        <v>-1.1049556736415465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6">
        <v>59.902999999999999</v>
      </c>
      <c r="C148" s="390"/>
      <c r="D148" s="393">
        <f t="shared" si="48"/>
        <v>60.303027067844141</v>
      </c>
      <c r="E148" s="385">
        <f t="shared" si="70"/>
        <v>63.252491350313555</v>
      </c>
      <c r="F148" s="385">
        <f t="shared" si="49"/>
        <v>63.25386320981476</v>
      </c>
      <c r="G148" s="110">
        <f t="shared" si="71"/>
        <v>1.0024384027148734</v>
      </c>
      <c r="H148" s="414" t="b">
        <f>Wh_hp&gt;='2018'!Maxi_hp</f>
        <v>1</v>
      </c>
      <c r="I148" s="390">
        <f>IF(H148,Wh_hp,'2018'!Maxi_hp)</f>
        <v>63.25386320981476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6.6336150487783518E-3</v>
      </c>
      <c r="M148" s="844"/>
      <c r="N148" s="844"/>
      <c r="O148" s="48">
        <f>IF(t&lt;Tnet,'2018'!Resal+('2018'!Salim-'2018'!Resal)*(1-EXP(('2018'!Tnet-t)/('2018'!Tau_j))),Resal+(Salim-Resal)*(1-EXP((Tnet-t)/(Tau_j))))*Salcycl</f>
        <v>4.6630009656604514E-2</v>
      </c>
      <c r="P148" s="169">
        <f>(INDEX(Models!$BJ148:$BT148,,T148)*(1-R148)+INDEX(Models!$BJ148:$BT148,,T148+1)*R148-ERP_i)*Q148*Ramure*Pc/MaxiM</f>
        <v>2.1688153601846045E-5</v>
      </c>
      <c r="Q148" s="305">
        <f t="shared" si="51"/>
        <v>0.7</v>
      </c>
      <c r="R148" s="177">
        <f t="shared" si="52"/>
        <v>0.89808295961093565</v>
      </c>
      <c r="S148" s="810">
        <f t="shared" si="53"/>
        <v>-2</v>
      </c>
      <c r="T148" s="176">
        <f t="shared" si="54"/>
        <v>4</v>
      </c>
      <c r="U148" s="251">
        <f t="shared" si="55"/>
        <v>-1.1019170403890644</v>
      </c>
      <c r="V148" s="383">
        <f t="shared" si="56"/>
        <v>59.757287667518064</v>
      </c>
      <c r="W148" s="58"/>
      <c r="X148" s="157">
        <f t="shared" si="57"/>
        <v>43599</v>
      </c>
      <c r="Y148" s="385">
        <f t="shared" si="58"/>
        <v>59.902999999999999</v>
      </c>
      <c r="Z148" s="385">
        <f t="shared" si="59"/>
        <v>60.303027067844141</v>
      </c>
      <c r="AA148" s="386">
        <f t="shared" si="60"/>
        <v>63.252491350313555</v>
      </c>
      <c r="AB148" s="197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4.6630009656604514E-2</v>
      </c>
      <c r="AD148" s="231">
        <f>(INDEX(Models!$BJ148:$BT148,,AH148)*(1-AF148)+INDEX(Models!$BJ148:$BT148,,AH148+1)*AF148-ERP_i)*AE148*Ramure*Pc/MaxiM</f>
        <v>2.1688153601846045E-5</v>
      </c>
      <c r="AE148" s="305">
        <f t="shared" si="62"/>
        <v>0.7</v>
      </c>
      <c r="AF148" s="177">
        <f t="shared" si="63"/>
        <v>0.89808295961093565</v>
      </c>
      <c r="AG148" s="176">
        <f t="shared" si="64"/>
        <v>-2</v>
      </c>
      <c r="AH148" s="176">
        <f t="shared" si="65"/>
        <v>4</v>
      </c>
      <c r="AI148" s="225">
        <f t="shared" si="66"/>
        <v>-1.1019170403890644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6">
        <v>60.787999999999997</v>
      </c>
      <c r="C149" s="390"/>
      <c r="D149" s="393">
        <f t="shared" si="48"/>
        <v>61.195361126974042</v>
      </c>
      <c r="E149" s="385">
        <f t="shared" si="70"/>
        <v>64.199904144276971</v>
      </c>
      <c r="F149" s="385">
        <f t="shared" si="49"/>
        <v>64.201306106001624</v>
      </c>
      <c r="G149" s="110">
        <f t="shared" si="71"/>
        <v>1.0156744851158352</v>
      </c>
      <c r="H149" s="414" t="b">
        <f>Wh_hp&gt;='2018'!Maxi_hp</f>
        <v>1</v>
      </c>
      <c r="I149" s="390">
        <f>IF(H149,Wh_hp,'2018'!Maxi_hp)</f>
        <v>64.201306106001624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6.6567321357711151E-3</v>
      </c>
      <c r="M149" s="844"/>
      <c r="N149" s="844"/>
      <c r="O149" s="48">
        <f>IF(t&lt;Tnet,'2018'!Resal+('2018'!Salim-'2018'!Resal)*(1-EXP(('2018'!Tnet-t)/('2018'!Tau_j))),Resal+(Salim-Resal)*(1-EXP((Tnet-t)/(Tau_j))))*Salcycl</f>
        <v>4.6799805347852094E-2</v>
      </c>
      <c r="P149" s="169">
        <f>(INDEX(Models!$BJ149:$BT149,,T149)*(1-R149)+INDEX(Models!$BJ149:$BT149,,T149+1)*R149-ERP_i)*Q149*Ramure*Pc/MaxiM</f>
        <v>2.1836965782794198E-5</v>
      </c>
      <c r="Q149" s="305">
        <f t="shared" si="51"/>
        <v>0.7</v>
      </c>
      <c r="R149" s="177">
        <f t="shared" si="52"/>
        <v>0.90118519298296729</v>
      </c>
      <c r="S149" s="810">
        <f t="shared" si="53"/>
        <v>-2</v>
      </c>
      <c r="T149" s="176">
        <f t="shared" si="54"/>
        <v>4</v>
      </c>
      <c r="U149" s="251">
        <f t="shared" si="55"/>
        <v>-1.0988148070170327</v>
      </c>
      <c r="V149" s="383">
        <f t="shared" si="56"/>
        <v>59.849883885846822</v>
      </c>
      <c r="W149" s="58"/>
      <c r="X149" s="157">
        <f t="shared" si="57"/>
        <v>43600</v>
      </c>
      <c r="Y149" s="385">
        <f t="shared" si="58"/>
        <v>60.787999999999997</v>
      </c>
      <c r="Z149" s="385">
        <f t="shared" si="59"/>
        <v>61.195361126974042</v>
      </c>
      <c r="AA149" s="386">
        <f t="shared" si="60"/>
        <v>64.199904144276971</v>
      </c>
      <c r="AB149" s="197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4.6799805347852094E-2</v>
      </c>
      <c r="AD149" s="231">
        <f>(INDEX(Models!$BJ149:$BT149,,AH149)*(1-AF149)+INDEX(Models!$BJ149:$BT149,,AH149+1)*AF149-ERP_i)*AE149*Ramure*Pc/MaxiM</f>
        <v>2.1836965782794198E-5</v>
      </c>
      <c r="AE149" s="305">
        <f t="shared" si="62"/>
        <v>0.7</v>
      </c>
      <c r="AF149" s="177">
        <f t="shared" si="63"/>
        <v>0.90118519298296729</v>
      </c>
      <c r="AG149" s="176">
        <f t="shared" si="64"/>
        <v>-2</v>
      </c>
      <c r="AH149" s="176">
        <f t="shared" si="65"/>
        <v>4</v>
      </c>
      <c r="AI149" s="225">
        <f t="shared" si="66"/>
        <v>-1.0988148070170327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6">
        <v>51.371000000000002</v>
      </c>
      <c r="C150" s="390"/>
      <c r="D150" s="393">
        <f t="shared" si="48"/>
        <v>51.716458114719892</v>
      </c>
      <c r="E150" s="385">
        <f t="shared" si="70"/>
        <v>54.26529799191465</v>
      </c>
      <c r="F150" s="385">
        <f t="shared" si="49"/>
        <v>54.266250019129309</v>
      </c>
      <c r="G150" s="110">
        <f t="shared" si="71"/>
        <v>0.85710119249123262</v>
      </c>
      <c r="H150" s="414" t="b">
        <f>Wh_hp&gt;='2018'!Maxi_hp</f>
        <v>1</v>
      </c>
      <c r="I150" s="390">
        <f>IF(H150,Wh_hp,'2018'!Maxi_hp)</f>
        <v>54.266250019129309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6.6798486847954308E-3</v>
      </c>
      <c r="M150" s="844"/>
      <c r="N150" s="844"/>
      <c r="O150" s="48">
        <f>IF(t&lt;Tnet,'2018'!Resal+('2018'!Salim-'2018'!Resal)*(1-EXP(('2018'!Tnet-t)/('2018'!Tau_j))),Resal+(Salim-Resal)*(1-EXP((Tnet-t)/(Tau_j))))*Salcycl</f>
        <v>4.6969978448741352E-2</v>
      </c>
      <c r="P150" s="169">
        <f>(INDEX(Models!$BJ150:$BT150,,T150)*(1-R150)+INDEX(Models!$BJ150:$BT150,,T150+1)*R150-ERP_i)*Q150*Ramure*Pc/MaxiM</f>
        <v>2.2043497235220977E-5</v>
      </c>
      <c r="Q150" s="305">
        <f t="shared" si="51"/>
        <v>0.7</v>
      </c>
      <c r="R150" s="177">
        <f t="shared" si="52"/>
        <v>0.90435034295186822</v>
      </c>
      <c r="S150" s="810">
        <f t="shared" si="53"/>
        <v>-2</v>
      </c>
      <c r="T150" s="176">
        <f t="shared" si="54"/>
        <v>4</v>
      </c>
      <c r="U150" s="251">
        <f t="shared" si="55"/>
        <v>-1.0956496570481318</v>
      </c>
      <c r="V150" s="383">
        <f t="shared" si="56"/>
        <v>59.935477028264955</v>
      </c>
      <c r="W150" s="58"/>
      <c r="X150" s="157">
        <f t="shared" si="57"/>
        <v>43601</v>
      </c>
      <c r="Y150" s="385">
        <f t="shared" si="58"/>
        <v>51.371000000000002</v>
      </c>
      <c r="Z150" s="385">
        <f t="shared" si="59"/>
        <v>51.716458114719892</v>
      </c>
      <c r="AA150" s="386">
        <f t="shared" si="60"/>
        <v>54.26529799191465</v>
      </c>
      <c r="AB150" s="197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4.6969978448741352E-2</v>
      </c>
      <c r="AD150" s="231">
        <f>(INDEX(Models!$BJ150:$BT150,,AH150)*(1-AF150)+INDEX(Models!$BJ150:$BT150,,AH150+1)*AF150-ERP_i)*AE150*Ramure*Pc/MaxiM</f>
        <v>2.2043497235220977E-5</v>
      </c>
      <c r="AE150" s="305">
        <f t="shared" si="62"/>
        <v>0.7</v>
      </c>
      <c r="AF150" s="177">
        <f t="shared" si="63"/>
        <v>0.90435034295186822</v>
      </c>
      <c r="AG150" s="176">
        <f t="shared" si="64"/>
        <v>-2</v>
      </c>
      <c r="AH150" s="176">
        <f t="shared" si="65"/>
        <v>4</v>
      </c>
      <c r="AI150" s="225">
        <f t="shared" si="66"/>
        <v>-1.0956496570481318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6">
        <v>6.6619999999999999</v>
      </c>
      <c r="C151" s="390"/>
      <c r="D151" s="393">
        <f t="shared" si="48"/>
        <v>6.7069564925865022</v>
      </c>
      <c r="E151" s="385">
        <f t="shared" si="70"/>
        <v>7.0387675200936837</v>
      </c>
      <c r="F151" s="385">
        <f t="shared" si="49"/>
        <v>7.0387675200936837</v>
      </c>
      <c r="G151" s="110">
        <f t="shared" si="71"/>
        <v>0.11100424620150161</v>
      </c>
      <c r="H151" s="414" t="b">
        <f>Wh_hp&gt;='2018'!Maxi_hp</f>
        <v>1</v>
      </c>
      <c r="I151" s="390">
        <f>IF(H151,Wh_hp,'2018'!Maxi_hp)</f>
        <v>7.0387675200936837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6.7029646958638445E-3</v>
      </c>
      <c r="M151" s="844"/>
      <c r="N151" s="844"/>
      <c r="O151" s="48">
        <f>IF(t&lt;Tnet,'2018'!Resal+('2018'!Salim-'2018'!Resal)*(1-EXP(('2018'!Tnet-t)/('2018'!Tau_j))),Resal+(Salim-Resal)*(1-EXP((Tnet-t)/(Tau_j))))*Salcycl</f>
        <v>4.7140501026629353E-2</v>
      </c>
      <c r="P151" s="169">
        <f>(INDEX(Models!$BJ151:$BT151,,T151)*(1-R151)+INDEX(Models!$BJ151:$BT151,,T151+1)*R151-ERP_i)*Q151*Ramure*Pc/MaxiM</f>
        <v>2.2266215455497525E-5</v>
      </c>
      <c r="Q151" s="305">
        <f t="shared" si="51"/>
        <v>0.7</v>
      </c>
      <c r="R151" s="177">
        <f t="shared" si="52"/>
        <v>0.90757758963984725</v>
      </c>
      <c r="S151" s="810">
        <f t="shared" si="53"/>
        <v>-2</v>
      </c>
      <c r="T151" s="176">
        <f t="shared" si="54"/>
        <v>4</v>
      </c>
      <c r="U151" s="251">
        <f t="shared" si="55"/>
        <v>-1.0924224103601528</v>
      </c>
      <c r="V151" s="383">
        <f t="shared" si="56"/>
        <v>60.014385849525425</v>
      </c>
      <c r="W151" s="58"/>
      <c r="X151" s="157">
        <f t="shared" si="57"/>
        <v>43602</v>
      </c>
      <c r="Y151" s="385">
        <f t="shared" si="58"/>
        <v>6.6619999999999999</v>
      </c>
      <c r="Z151" s="385">
        <f t="shared" si="59"/>
        <v>6.7069564925865022</v>
      </c>
      <c r="AA151" s="386">
        <f t="shared" si="60"/>
        <v>7.0387675200936837</v>
      </c>
      <c r="AB151" s="197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4.7140501026629353E-2</v>
      </c>
      <c r="AD151" s="231">
        <f>(INDEX(Models!$BJ151:$BT151,,AH151)*(1-AF151)+INDEX(Models!$BJ151:$BT151,,AH151+1)*AF151-ERP_i)*AE151*Ramure*Pc/MaxiM</f>
        <v>2.2266215455497525E-5</v>
      </c>
      <c r="AE151" s="305">
        <f t="shared" si="62"/>
        <v>0.7</v>
      </c>
      <c r="AF151" s="177">
        <f t="shared" si="63"/>
        <v>0.90757758963984725</v>
      </c>
      <c r="AG151" s="176">
        <f t="shared" si="64"/>
        <v>-2</v>
      </c>
      <c r="AH151" s="176">
        <f t="shared" si="65"/>
        <v>4</v>
      </c>
      <c r="AI151" s="225">
        <f t="shared" si="66"/>
        <v>-1.0924224103601528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6">
        <v>37.018999999999998</v>
      </c>
      <c r="C152" s="390"/>
      <c r="D152" s="393">
        <f t="shared" si="48"/>
        <v>37.269678847802794</v>
      </c>
      <c r="E152" s="385">
        <f t="shared" si="70"/>
        <v>39.120523364728186</v>
      </c>
      <c r="F152" s="385">
        <f t="shared" si="49"/>
        <v>39.120920927734069</v>
      </c>
      <c r="G152" s="110">
        <f t="shared" si="71"/>
        <v>0.61608315213192433</v>
      </c>
      <c r="H152" s="414" t="b">
        <f>Wh_hp&gt;='2018'!Maxi_hp</f>
        <v>1</v>
      </c>
      <c r="I152" s="390">
        <f>IF(H152,Wh_hp,'2018'!Maxi_hp)</f>
        <v>39.120920927734069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6.7260801689890126E-3</v>
      </c>
      <c r="M152" s="844"/>
      <c r="N152" s="844"/>
      <c r="O152" s="48">
        <f>IF(t&lt;Tnet,'2018'!Resal+('2018'!Salim-'2018'!Resal)*(1-EXP(('2018'!Tnet-t)/('2018'!Tau_j))),Resal+(Salim-Resal)*(1-EXP((Tnet-t)/(Tau_j))))*Salcycl</f>
        <v>4.7311343451865738E-2</v>
      </c>
      <c r="P152" s="169">
        <f>(INDEX(Models!$BJ152:$BT152,,T152)*(1-R152)+INDEX(Models!$BJ152:$BT152,,T152+1)*R152-ERP_i)*Q152*Ramure*Pc/MaxiM</f>
        <v>2.2505213635494663E-5</v>
      </c>
      <c r="Q152" s="305">
        <f t="shared" si="51"/>
        <v>0.7</v>
      </c>
      <c r="R152" s="177">
        <f t="shared" si="52"/>
        <v>0.9108659738190128</v>
      </c>
      <c r="S152" s="810">
        <f t="shared" si="53"/>
        <v>-2</v>
      </c>
      <c r="T152" s="176">
        <f t="shared" si="54"/>
        <v>4</v>
      </c>
      <c r="U152" s="251">
        <f t="shared" si="55"/>
        <v>-1.0891340261809872</v>
      </c>
      <c r="V152" s="383">
        <f t="shared" si="56"/>
        <v>60.08692649550116</v>
      </c>
      <c r="W152" s="58"/>
      <c r="X152" s="157">
        <f t="shared" si="57"/>
        <v>43603</v>
      </c>
      <c r="Y152" s="385">
        <f t="shared" si="58"/>
        <v>37.018999999999998</v>
      </c>
      <c r="Z152" s="385">
        <f t="shared" si="59"/>
        <v>37.269678847802794</v>
      </c>
      <c r="AA152" s="386">
        <f t="shared" si="60"/>
        <v>39.120523364728186</v>
      </c>
      <c r="AB152" s="197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4.7311343451865738E-2</v>
      </c>
      <c r="AD152" s="231">
        <f>(INDEX(Models!$BJ152:$BT152,,AH152)*(1-AF152)+INDEX(Models!$BJ152:$BT152,,AH152+1)*AF152-ERP_i)*AE152*Ramure*Pc/MaxiM</f>
        <v>2.2505213635494663E-5</v>
      </c>
      <c r="AE152" s="305">
        <f t="shared" si="62"/>
        <v>0.7</v>
      </c>
      <c r="AF152" s="177">
        <f t="shared" si="63"/>
        <v>0.9108659738190128</v>
      </c>
      <c r="AG152" s="176">
        <f t="shared" si="64"/>
        <v>-2</v>
      </c>
      <c r="AH152" s="176">
        <f t="shared" si="65"/>
        <v>4</v>
      </c>
      <c r="AI152" s="225">
        <f t="shared" si="66"/>
        <v>-1.0891340261809872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6">
        <v>26.363</v>
      </c>
      <c r="C153" s="390"/>
      <c r="D153" s="393">
        <f t="shared" si="48"/>
        <v>26.54213806830516</v>
      </c>
      <c r="E153" s="385">
        <f t="shared" si="70"/>
        <v>27.865249043919704</v>
      </c>
      <c r="F153" s="385">
        <f t="shared" si="49"/>
        <v>27.865374316332669</v>
      </c>
      <c r="G153" s="110">
        <f t="shared" si="71"/>
        <v>0.43825472722068765</v>
      </c>
      <c r="H153" s="414" t="b">
        <f>Wh_hp&gt;='2018'!Maxi_hp</f>
        <v>1</v>
      </c>
      <c r="I153" s="390">
        <f>IF(H153,Wh_hp,'2018'!Maxi_hp)</f>
        <v>27.865374316332669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6.7491951041832587E-3</v>
      </c>
      <c r="M153" s="844"/>
      <c r="N153" s="844"/>
      <c r="O153" s="48">
        <f>IF(t&lt;Tnet,'2018'!Resal+('2018'!Salim-'2018'!Resal)*(1-EXP(('2018'!Tnet-t)/('2018'!Tau_j))),Resal+(Salim-Resal)*(1-EXP((Tnet-t)/(Tau_j))))*Salcycl</f>
        <v>4.7482474444392214E-2</v>
      </c>
      <c r="P153" s="169">
        <f>(INDEX(Models!$BJ153:$BT153,,T153)*(1-R153)+INDEX(Models!$BJ153:$BT153,,T153+1)*R153-ERP_i)*Q153*Ramure*Pc/MaxiM</f>
        <v>2.2760587453978917E-5</v>
      </c>
      <c r="Q153" s="305">
        <f t="shared" si="51"/>
        <v>0.7</v>
      </c>
      <c r="R153" s="177">
        <f t="shared" si="52"/>
        <v>0.91421439443285002</v>
      </c>
      <c r="S153" s="810">
        <f t="shared" si="53"/>
        <v>-2</v>
      </c>
      <c r="T153" s="176">
        <f t="shared" si="54"/>
        <v>4</v>
      </c>
      <c r="U153" s="251">
        <f t="shared" si="55"/>
        <v>-1.08578560556715</v>
      </c>
      <c r="V153" s="383">
        <f t="shared" si="56"/>
        <v>60.15341499211484</v>
      </c>
      <c r="W153" s="58"/>
      <c r="X153" s="157">
        <f t="shared" si="57"/>
        <v>43604</v>
      </c>
      <c r="Y153" s="385">
        <f t="shared" si="58"/>
        <v>26.363</v>
      </c>
      <c r="Z153" s="385">
        <f t="shared" si="59"/>
        <v>26.54213806830516</v>
      </c>
      <c r="AA153" s="386">
        <f t="shared" si="60"/>
        <v>27.865249043919704</v>
      </c>
      <c r="AB153" s="197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4.7482474444392214E-2</v>
      </c>
      <c r="AD153" s="231">
        <f>(INDEX(Models!$BJ153:$BT153,,AH153)*(1-AF153)+INDEX(Models!$BJ153:$BT153,,AH153+1)*AF153-ERP_i)*AE153*Ramure*Pc/MaxiM</f>
        <v>2.2760587453978917E-5</v>
      </c>
      <c r="AE153" s="305">
        <f t="shared" si="62"/>
        <v>0.7</v>
      </c>
      <c r="AF153" s="177">
        <f t="shared" si="63"/>
        <v>0.91421439443285002</v>
      </c>
      <c r="AG153" s="176">
        <f t="shared" si="64"/>
        <v>-2</v>
      </c>
      <c r="AH153" s="176">
        <f t="shared" si="65"/>
        <v>4</v>
      </c>
      <c r="AI153" s="225">
        <f t="shared" si="66"/>
        <v>-1.08578560556715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6">
        <v>53.271000000000001</v>
      </c>
      <c r="C154" s="390"/>
      <c r="D154" s="393">
        <f t="shared" si="48"/>
        <v>53.634227589105123</v>
      </c>
      <c r="E154" s="385">
        <f t="shared" si="70"/>
        <v>56.31799762716188</v>
      </c>
      <c r="F154" s="385">
        <f t="shared" si="49"/>
        <v>56.319081116383551</v>
      </c>
      <c r="G154" s="110">
        <f t="shared" si="71"/>
        <v>0.8846887756585774</v>
      </c>
      <c r="H154" s="414" t="b">
        <f>Wh_hp&gt;='2018'!Maxi_hp</f>
        <v>1</v>
      </c>
      <c r="I154" s="390">
        <f>IF(H154,Wh_hp,'2018'!Maxi_hp)</f>
        <v>56.319081116383551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6.7723095014592394E-3</v>
      </c>
      <c r="M154" s="844"/>
      <c r="N154" s="844"/>
      <c r="O154" s="48">
        <f>IF(t&lt;Tnet,'2018'!Resal+('2018'!Salim-'2018'!Resal)*(1-EXP(('2018'!Tnet-t)/('2018'!Tau_j))),Resal+(Salim-Resal)*(1-EXP((Tnet-t)/(Tau_j))))*Salcycl</f>
        <v>4.7653861130218668E-2</v>
      </c>
      <c r="P154" s="169">
        <f>(INDEX(Models!$BJ154:$BT154,,T154)*(1-R154)+INDEX(Models!$BJ154:$BT154,,T154+1)*R154-ERP_i)*Q154*Ramure*Pc/MaxiM</f>
        <v>2.3032433456338309E-5</v>
      </c>
      <c r="Q154" s="305">
        <f t="shared" si="51"/>
        <v>0.7</v>
      </c>
      <c r="R154" s="177">
        <f t="shared" si="52"/>
        <v>0.91762160667897863</v>
      </c>
      <c r="S154" s="810">
        <f t="shared" si="53"/>
        <v>-2</v>
      </c>
      <c r="T154" s="176">
        <f t="shared" si="54"/>
        <v>4</v>
      </c>
      <c r="U154" s="251">
        <f t="shared" si="55"/>
        <v>-1.0823783933210214</v>
      </c>
      <c r="V154" s="383">
        <f t="shared" si="56"/>
        <v>60.214167230390991</v>
      </c>
      <c r="W154" s="58"/>
      <c r="X154" s="157">
        <f t="shared" si="57"/>
        <v>43605</v>
      </c>
      <c r="Y154" s="385">
        <f t="shared" si="58"/>
        <v>53.271000000000001</v>
      </c>
      <c r="Z154" s="385">
        <f t="shared" si="59"/>
        <v>53.634227589105123</v>
      </c>
      <c r="AA154" s="386">
        <f t="shared" si="60"/>
        <v>56.31799762716188</v>
      </c>
      <c r="AB154" s="197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4.7653861130218668E-2</v>
      </c>
      <c r="AD154" s="231">
        <f>(INDEX(Models!$BJ154:$BT154,,AH154)*(1-AF154)+INDEX(Models!$BJ154:$BT154,,AH154+1)*AF154-ERP_i)*AE154*Ramure*Pc/MaxiM</f>
        <v>2.3032433456338309E-5</v>
      </c>
      <c r="AE154" s="305">
        <f t="shared" si="62"/>
        <v>0.7</v>
      </c>
      <c r="AF154" s="177">
        <f t="shared" si="63"/>
        <v>0.91762160667897863</v>
      </c>
      <c r="AG154" s="176">
        <f t="shared" si="64"/>
        <v>-2</v>
      </c>
      <c r="AH154" s="176">
        <f t="shared" si="65"/>
        <v>4</v>
      </c>
      <c r="AI154" s="225">
        <f t="shared" si="66"/>
        <v>-1.0823783933210214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6">
        <v>49.439</v>
      </c>
      <c r="C155" s="390"/>
      <c r="D155" s="393">
        <f t="shared" si="48"/>
        <v>49.777257538716619</v>
      </c>
      <c r="E155" s="385">
        <f t="shared" si="70"/>
        <v>52.277451164418423</v>
      </c>
      <c r="F155" s="385">
        <f t="shared" si="49"/>
        <v>52.278357358197738</v>
      </c>
      <c r="G155" s="110">
        <f t="shared" si="71"/>
        <v>0.8202939273621298</v>
      </c>
      <c r="H155" s="414" t="b">
        <f>Wh_hp&gt;='2018'!Maxi_hp</f>
        <v>1</v>
      </c>
      <c r="I155" s="390">
        <f>IF(H155,Wh_hp,'2018'!Maxi_hp)</f>
        <v>52.278357358197738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6.795423360829389E-3</v>
      </c>
      <c r="M155" s="844"/>
      <c r="N155" s="844"/>
      <c r="O155" s="48">
        <f>IF(t&lt;Tnet,'2018'!Resal+('2018'!Salim-'2018'!Resal)*(1-EXP(('2018'!Tnet-t)/('2018'!Tau_j))),Resal+(Salim-Resal)*(1-EXP((Tnet-t)/(Tau_j))))*Salcycl</f>
        <v>4.7825469107864796E-2</v>
      </c>
      <c r="P155" s="169">
        <f>(INDEX(Models!$BJ155:$BT155,,T155)*(1-R155)+INDEX(Models!$BJ155:$BT155,,T155+1)*R155-ERP_i)*Q155*Ramure*Pc/MaxiM</f>
        <v>2.3320847398786849E-5</v>
      </c>
      <c r="Q155" s="305">
        <f t="shared" si="51"/>
        <v>0.7</v>
      </c>
      <c r="R155" s="177">
        <f t="shared" si="52"/>
        <v>0.92108622069573287</v>
      </c>
      <c r="S155" s="810">
        <f t="shared" si="53"/>
        <v>-2</v>
      </c>
      <c r="T155" s="176">
        <f t="shared" si="54"/>
        <v>4</v>
      </c>
      <c r="U155" s="251">
        <f t="shared" si="55"/>
        <v>-1.0789137793042671</v>
      </c>
      <c r="V155" s="383">
        <f t="shared" si="56"/>
        <v>60.26949897190751</v>
      </c>
      <c r="W155" s="58"/>
      <c r="X155" s="157">
        <f t="shared" si="57"/>
        <v>43606</v>
      </c>
      <c r="Y155" s="385">
        <f t="shared" si="58"/>
        <v>49.439</v>
      </c>
      <c r="Z155" s="385">
        <f t="shared" si="59"/>
        <v>49.777257538716619</v>
      </c>
      <c r="AA155" s="386">
        <f t="shared" si="60"/>
        <v>52.277451164418423</v>
      </c>
      <c r="AB155" s="197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4.7825469107864796E-2</v>
      </c>
      <c r="AD155" s="231">
        <f>(INDEX(Models!$BJ155:$BT155,,AH155)*(1-AF155)+INDEX(Models!$BJ155:$BT155,,AH155+1)*AF155-ERP_i)*AE155*Ramure*Pc/MaxiM</f>
        <v>2.3320847398786849E-5</v>
      </c>
      <c r="AE155" s="305">
        <f t="shared" si="62"/>
        <v>0.7</v>
      </c>
      <c r="AF155" s="177">
        <f t="shared" si="63"/>
        <v>0.92108622069573287</v>
      </c>
      <c r="AG155" s="176">
        <f t="shared" si="64"/>
        <v>-2</v>
      </c>
      <c r="AH155" s="176">
        <f t="shared" si="65"/>
        <v>4</v>
      </c>
      <c r="AI155" s="225">
        <f t="shared" si="66"/>
        <v>-1.0789137793042671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6">
        <v>58.683</v>
      </c>
      <c r="C156" s="390"/>
      <c r="D156" s="393">
        <f t="shared" si="48"/>
        <v>59.085879234969958</v>
      </c>
      <c r="E156" s="385">
        <f t="shared" si="70"/>
        <v>62.064820729055647</v>
      </c>
      <c r="F156" s="385">
        <f t="shared" si="49"/>
        <v>62.066231268120049</v>
      </c>
      <c r="G156" s="110">
        <f t="shared" si="71"/>
        <v>0.97286495257999805</v>
      </c>
      <c r="H156" s="414" t="b">
        <f>Wh_hp&gt;='2018'!Maxi_hp</f>
        <v>1</v>
      </c>
      <c r="I156" s="390">
        <f>IF(H156,Wh_hp,'2018'!Maxi_hp)</f>
        <v>62.066231268120049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6.8185366823062532E-3</v>
      </c>
      <c r="M156" s="844"/>
      <c r="N156" s="844"/>
      <c r="O156" s="48">
        <f>IF(t&lt;Tnet,'2018'!Resal+('2018'!Salim-'2018'!Resal)*(1-EXP(('2018'!Tnet-t)/('2018'!Tau_j))),Resal+(Salim-Resal)*(1-EXP((Tnet-t)/(Tau_j))))*Salcycl</f>
        <v>4.7997262524776735E-2</v>
      </c>
      <c r="P156" s="169">
        <f>(INDEX(Models!$BJ156:$BT156,,T156)*(1-R156)+INDEX(Models!$BJ156:$BT156,,T156+1)*R156-ERP_i)*Q156*Ramure*Pc/MaxiM</f>
        <v>2.3642821296270276E-5</v>
      </c>
      <c r="Q156" s="305">
        <f t="shared" si="51"/>
        <v>0.7</v>
      </c>
      <c r="R156" s="177">
        <f t="shared" si="52"/>
        <v>0.92460670089217745</v>
      </c>
      <c r="S156" s="810">
        <f t="shared" si="53"/>
        <v>-2</v>
      </c>
      <c r="T156" s="176">
        <f t="shared" si="54"/>
        <v>4</v>
      </c>
      <c r="U156" s="251">
        <f t="shared" si="55"/>
        <v>-1.0753932991078226</v>
      </c>
      <c r="V156" s="383">
        <f t="shared" si="56"/>
        <v>60.319724810754117</v>
      </c>
      <c r="W156" s="58"/>
      <c r="X156" s="157">
        <f t="shared" si="57"/>
        <v>43607</v>
      </c>
      <c r="Y156" s="385">
        <f t="shared" si="58"/>
        <v>58.683</v>
      </c>
      <c r="Z156" s="385">
        <f t="shared" si="59"/>
        <v>59.085879234969958</v>
      </c>
      <c r="AA156" s="386">
        <f t="shared" si="60"/>
        <v>62.064820729055647</v>
      </c>
      <c r="AB156" s="197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4.7997262524776735E-2</v>
      </c>
      <c r="AD156" s="231">
        <f>(INDEX(Models!$BJ156:$BT156,,AH156)*(1-AF156)+INDEX(Models!$BJ156:$BT156,,AH156+1)*AF156-ERP_i)*AE156*Ramure*Pc/MaxiM</f>
        <v>2.3642821296270276E-5</v>
      </c>
      <c r="AE156" s="305">
        <f t="shared" si="62"/>
        <v>0.7</v>
      </c>
      <c r="AF156" s="177">
        <f t="shared" si="63"/>
        <v>0.92460670089217745</v>
      </c>
      <c r="AG156" s="176">
        <f t="shared" si="64"/>
        <v>-2</v>
      </c>
      <c r="AH156" s="176">
        <f t="shared" si="65"/>
        <v>4</v>
      </c>
      <c r="AI156" s="225">
        <f t="shared" si="66"/>
        <v>-1.0753932991078226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6">
        <v>48.332000000000001</v>
      </c>
      <c r="C157" s="390"/>
      <c r="D157" s="393">
        <f t="shared" si="48"/>
        <v>48.664948519043485</v>
      </c>
      <c r="E157" s="385">
        <f t="shared" si="70"/>
        <v>51.127730613383299</v>
      </c>
      <c r="F157" s="385">
        <f t="shared" si="49"/>
        <v>51.12860828805556</v>
      </c>
      <c r="G157" s="110">
        <f t="shared" si="71"/>
        <v>0.80065504013741473</v>
      </c>
      <c r="H157" s="414" t="b">
        <f>Wh_hp&gt;='2018'!Maxi_hp</f>
        <v>1</v>
      </c>
      <c r="I157" s="390">
        <f>IF(H157,Wh_hp,'2018'!Maxi_hp)</f>
        <v>51.12860828805556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6.8416494659023774E-3</v>
      </c>
      <c r="M157" s="844"/>
      <c r="N157" s="844"/>
      <c r="O157" s="48">
        <f>IF(t&lt;Tnet,'2018'!Resal+('2018'!Salim-'2018'!Resal)*(1-EXP(('2018'!Tnet-t)/('2018'!Tau_j))),Resal+(Salim-Resal)*(1-EXP((Tnet-t)/(Tau_j))))*Salcycl</f>
        <v>4.8169204163643217E-2</v>
      </c>
      <c r="P157" s="169">
        <f>(INDEX(Models!$BJ157:$BT157,,T157)*(1-R157)+INDEX(Models!$BJ157:$BT157,,T157+1)*R157-ERP_i)*Q157*Ramure*Pc/MaxiM</f>
        <v>2.4000721346508656E-5</v>
      </c>
      <c r="Q157" s="305">
        <f t="shared" si="51"/>
        <v>0.7</v>
      </c>
      <c r="R157" s="177">
        <f t="shared" si="52"/>
        <v>0.92818136595759526</v>
      </c>
      <c r="S157" s="810">
        <f t="shared" si="53"/>
        <v>-2</v>
      </c>
      <c r="T157" s="176">
        <f t="shared" si="54"/>
        <v>4</v>
      </c>
      <c r="U157" s="251">
        <f t="shared" si="55"/>
        <v>-1.0718186340424047</v>
      </c>
      <c r="V157" s="383">
        <f t="shared" si="56"/>
        <v>60.365160070947461</v>
      </c>
      <c r="W157" s="58"/>
      <c r="X157" s="157">
        <f t="shared" si="57"/>
        <v>43608</v>
      </c>
      <c r="Y157" s="385">
        <f t="shared" si="58"/>
        <v>48.332000000000001</v>
      </c>
      <c r="Z157" s="385">
        <f t="shared" si="59"/>
        <v>48.664948519043485</v>
      </c>
      <c r="AA157" s="386">
        <f t="shared" si="60"/>
        <v>51.127730613383299</v>
      </c>
      <c r="AB157" s="197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4.8169204163643217E-2</v>
      </c>
      <c r="AD157" s="231">
        <f>(INDEX(Models!$BJ157:$BT157,,AH157)*(1-AF157)+INDEX(Models!$BJ157:$BT157,,AH157+1)*AF157-ERP_i)*AE157*Ramure*Pc/MaxiM</f>
        <v>2.4000721346508656E-5</v>
      </c>
      <c r="AE157" s="305">
        <f t="shared" si="62"/>
        <v>0.7</v>
      </c>
      <c r="AF157" s="177">
        <f t="shared" si="63"/>
        <v>0.92818136595759526</v>
      </c>
      <c r="AG157" s="176">
        <f t="shared" si="64"/>
        <v>-2</v>
      </c>
      <c r="AH157" s="176">
        <f t="shared" si="65"/>
        <v>4</v>
      </c>
      <c r="AI157" s="225">
        <f t="shared" si="66"/>
        <v>-1.0718186340424047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6">
        <v>12.319000000000001</v>
      </c>
      <c r="C158" s="390"/>
      <c r="D158" s="393">
        <f t="shared" si="48"/>
        <v>12.404151544588553</v>
      </c>
      <c r="E158" s="385">
        <f t="shared" si="70"/>
        <v>13.034243227184177</v>
      </c>
      <c r="F158" s="385">
        <f t="shared" si="49"/>
        <v>13.034243227184177</v>
      </c>
      <c r="G158" s="110">
        <f t="shared" si="71"/>
        <v>0.203931314747369</v>
      </c>
      <c r="H158" s="414" t="b">
        <f>Wh_hp&gt;='2018'!Maxi_hp</f>
        <v>1</v>
      </c>
      <c r="I158" s="390">
        <f>IF(H158,Wh_hp,'2018'!Maxi_hp)</f>
        <v>13.034243227184177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6.8647617116303072E-3</v>
      </c>
      <c r="M158" s="844"/>
      <c r="N158" s="844"/>
      <c r="O158" s="48">
        <f>IF(t&lt;Tnet,'2018'!Resal+('2018'!Salim-'2018'!Resal)*(1-EXP(('2018'!Tnet-t)/('2018'!Tau_j))),Resal+(Salim-Resal)*(1-EXP((Tnet-t)/(Tau_j))))*Salcycl</f>
        <v>4.8341255538450291E-2</v>
      </c>
      <c r="P158" s="169">
        <f>(INDEX(Models!$BJ158:$BT158,,T158)*(1-R158)+INDEX(Models!$BJ158:$BT158,,T158+1)*R158-ERP_i)*Q158*Ramure*Pc/MaxiM</f>
        <v>2.4395127596908316E-5</v>
      </c>
      <c r="Q158" s="305">
        <f t="shared" si="51"/>
        <v>0.7</v>
      </c>
      <c r="R158" s="177">
        <f t="shared" si="52"/>
        <v>0.93180838958225887</v>
      </c>
      <c r="S158" s="810">
        <f t="shared" si="53"/>
        <v>-2</v>
      </c>
      <c r="T158" s="176">
        <f t="shared" si="54"/>
        <v>4</v>
      </c>
      <c r="U158" s="251">
        <f t="shared" si="55"/>
        <v>-1.0681916104177411</v>
      </c>
      <c r="V158" s="383">
        <f t="shared" si="56"/>
        <v>60.406120029597183</v>
      </c>
      <c r="W158" s="58"/>
      <c r="X158" s="157">
        <f t="shared" si="57"/>
        <v>43609</v>
      </c>
      <c r="Y158" s="385">
        <f t="shared" si="58"/>
        <v>12.319000000000001</v>
      </c>
      <c r="Z158" s="385">
        <f t="shared" si="59"/>
        <v>12.404151544588553</v>
      </c>
      <c r="AA158" s="386">
        <f t="shared" si="60"/>
        <v>13.034243227184177</v>
      </c>
      <c r="AB158" s="197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4.8341255538450291E-2</v>
      </c>
      <c r="AD158" s="231">
        <f>(INDEX(Models!$BJ158:$BT158,,AH158)*(1-AF158)+INDEX(Models!$BJ158:$BT158,,AH158+1)*AF158-ERP_i)*AE158*Ramure*Pc/MaxiM</f>
        <v>2.4395127596908316E-5</v>
      </c>
      <c r="AE158" s="305">
        <f t="shared" si="62"/>
        <v>0.7</v>
      </c>
      <c r="AF158" s="177">
        <f t="shared" si="63"/>
        <v>0.93180838958225887</v>
      </c>
      <c r="AG158" s="176">
        <f t="shared" si="64"/>
        <v>-2</v>
      </c>
      <c r="AH158" s="176">
        <f t="shared" si="65"/>
        <v>4</v>
      </c>
      <c r="AI158" s="225">
        <f t="shared" si="66"/>
        <v>-1.0681916104177411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6">
        <v>25.25</v>
      </c>
      <c r="C159" s="390"/>
      <c r="D159" s="393">
        <f t="shared" si="48"/>
        <v>25.425125042971008</v>
      </c>
      <c r="E159" s="385">
        <f t="shared" si="70"/>
        <v>26.721473984371194</v>
      </c>
      <c r="F159" s="385">
        <f t="shared" si="49"/>
        <v>26.721585579076173</v>
      </c>
      <c r="G159" s="110">
        <f t="shared" si="71"/>
        <v>0.41774088117081887</v>
      </c>
      <c r="H159" s="414" t="b">
        <f>Wh_hp&gt;='2018'!Maxi_hp</f>
        <v>1</v>
      </c>
      <c r="I159" s="390">
        <f>IF(H159,Wh_hp,'2018'!Maxi_hp)</f>
        <v>26.721585579076173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6.8878734195024771E-3</v>
      </c>
      <c r="M159" s="844"/>
      <c r="N159" s="844"/>
      <c r="O159" s="48">
        <f>IF(t&lt;Tnet,'2018'!Resal+('2018'!Salim-'2018'!Resal)*(1-EXP(('2018'!Tnet-t)/('2018'!Tau_j))),Resal+(Salim-Resal)*(1-EXP((Tnet-t)/(Tau_j))))*Salcycl</f>
        <v>4.8513377000025955E-2</v>
      </c>
      <c r="P159" s="169">
        <f>(INDEX(Models!$BJ159:$BT159,,T159)*(1-R159)+INDEX(Models!$BJ159:$BT159,,T159+1)*R159-ERP_i)*Q159*Ramure*Pc/MaxiM</f>
        <v>2.4826774697502968E-5</v>
      </c>
      <c r="Q159" s="305">
        <f t="shared" si="51"/>
        <v>0.7</v>
      </c>
      <c r="R159" s="177">
        <f t="shared" si="52"/>
        <v>0.93548580191643249</v>
      </c>
      <c r="S159" s="810">
        <f t="shared" si="53"/>
        <v>-2</v>
      </c>
      <c r="T159" s="176">
        <f t="shared" si="54"/>
        <v>4</v>
      </c>
      <c r="U159" s="251">
        <f t="shared" si="55"/>
        <v>-1.0645141980835675</v>
      </c>
      <c r="V159" s="383">
        <f t="shared" si="56"/>
        <v>60.442919783339867</v>
      </c>
      <c r="W159" s="58"/>
      <c r="X159" s="157">
        <f t="shared" si="57"/>
        <v>43610</v>
      </c>
      <c r="Y159" s="385">
        <f t="shared" si="58"/>
        <v>25.25</v>
      </c>
      <c r="Z159" s="385">
        <f t="shared" si="59"/>
        <v>25.425125042971008</v>
      </c>
      <c r="AA159" s="386">
        <f t="shared" si="60"/>
        <v>26.721473984371194</v>
      </c>
      <c r="AB159" s="197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4.8513377000025955E-2</v>
      </c>
      <c r="AD159" s="231">
        <f>(INDEX(Models!$BJ159:$BT159,,AH159)*(1-AF159)+INDEX(Models!$BJ159:$BT159,,AH159+1)*AF159-ERP_i)*AE159*Ramure*Pc/MaxiM</f>
        <v>2.4826774697502968E-5</v>
      </c>
      <c r="AE159" s="305">
        <f t="shared" si="62"/>
        <v>0.7</v>
      </c>
      <c r="AF159" s="177">
        <f t="shared" si="63"/>
        <v>0.93548580191643249</v>
      </c>
      <c r="AG159" s="176">
        <f t="shared" si="64"/>
        <v>-2</v>
      </c>
      <c r="AH159" s="176">
        <f t="shared" si="65"/>
        <v>4</v>
      </c>
      <c r="AI159" s="225">
        <f t="shared" si="66"/>
        <v>-1.0645141980835675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6">
        <v>27.71</v>
      </c>
      <c r="C160" s="390"/>
      <c r="D160" s="393">
        <f t="shared" si="48"/>
        <v>27.902836070084579</v>
      </c>
      <c r="E160" s="385">
        <f t="shared" si="70"/>
        <v>29.330822653254664</v>
      </c>
      <c r="F160" s="385">
        <f t="shared" si="49"/>
        <v>29.330990337379742</v>
      </c>
      <c r="G160" s="110">
        <f t="shared" si="71"/>
        <v>0.45819027493757636</v>
      </c>
      <c r="H160" s="414" t="b">
        <f>Wh_hp&gt;='2018'!Maxi_hp</f>
        <v>1</v>
      </c>
      <c r="I160" s="390">
        <f>IF(H160,Wh_hp,'2018'!Maxi_hp)</f>
        <v>29.330990337379742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6.9109845895314326E-3</v>
      </c>
      <c r="M160" s="844"/>
      <c r="N160" s="844"/>
      <c r="O160" s="48">
        <f>IF(t&lt;Tnet,'2018'!Resal+('2018'!Salim-'2018'!Resal)*(1-EXP(('2018'!Tnet-t)/('2018'!Tau_j))),Resal+(Salim-Resal)*(1-EXP((Tnet-t)/(Tau_j))))*Salcycl</f>
        <v>4.8685527850737979E-2</v>
      </c>
      <c r="P160" s="169">
        <f>(INDEX(Models!$BJ160:$BT160,,T160)*(1-R160)+INDEX(Models!$BJ160:$BT160,,T160+1)*R160-ERP_i)*Q160*Ramure*Pc/MaxiM</f>
        <v>2.5296407713704811E-5</v>
      </c>
      <c r="Q160" s="305">
        <f t="shared" si="51"/>
        <v>0.7</v>
      </c>
      <c r="R160" s="177">
        <f t="shared" si="52"/>
        <v>0.93921149178909835</v>
      </c>
      <c r="S160" s="810">
        <f t="shared" si="53"/>
        <v>-2</v>
      </c>
      <c r="T160" s="176">
        <f t="shared" si="54"/>
        <v>4</v>
      </c>
      <c r="U160" s="251">
        <f t="shared" si="55"/>
        <v>-1.0607885082109016</v>
      </c>
      <c r="V160" s="383">
        <f t="shared" si="56"/>
        <v>60.475874251591947</v>
      </c>
      <c r="W160" s="58"/>
      <c r="X160" s="157">
        <f t="shared" si="57"/>
        <v>43611</v>
      </c>
      <c r="Y160" s="385">
        <f t="shared" si="58"/>
        <v>27.71</v>
      </c>
      <c r="Z160" s="385">
        <f t="shared" si="59"/>
        <v>27.902836070084579</v>
      </c>
      <c r="AA160" s="386">
        <f t="shared" si="60"/>
        <v>29.330822653254664</v>
      </c>
      <c r="AB160" s="197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4.8685527850737979E-2</v>
      </c>
      <c r="AD160" s="231">
        <f>(INDEX(Models!$BJ160:$BT160,,AH160)*(1-AF160)+INDEX(Models!$BJ160:$BT160,,AH160+1)*AF160-ERP_i)*AE160*Ramure*Pc/MaxiM</f>
        <v>2.5296407713704811E-5</v>
      </c>
      <c r="AE160" s="305">
        <f t="shared" si="62"/>
        <v>0.7</v>
      </c>
      <c r="AF160" s="177">
        <f t="shared" si="63"/>
        <v>0.93921149178909835</v>
      </c>
      <c r="AG160" s="176">
        <f t="shared" si="64"/>
        <v>-2</v>
      </c>
      <c r="AH160" s="176">
        <f t="shared" si="65"/>
        <v>4</v>
      </c>
      <c r="AI160" s="225">
        <f t="shared" si="66"/>
        <v>-1.0607885082109016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6">
        <v>31.785</v>
      </c>
      <c r="C161" s="390"/>
      <c r="D161" s="393">
        <f t="shared" si="48"/>
        <v>32.006939163918723</v>
      </c>
      <c r="E161" s="385">
        <f t="shared" si="70"/>
        <v>33.651050989456564</v>
      </c>
      <c r="F161" s="385">
        <f t="shared" si="49"/>
        <v>33.651330511097868</v>
      </c>
      <c r="G161" s="110">
        <f t="shared" si="71"/>
        <v>0.52531670398911046</v>
      </c>
      <c r="H161" s="414" t="b">
        <f>Wh_hp&gt;='2018'!Maxi_hp</f>
        <v>1</v>
      </c>
      <c r="I161" s="390">
        <f>IF(H161,Wh_hp,'2018'!Maxi_hp)</f>
        <v>33.651330511097868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6.9340952217297191E-3</v>
      </c>
      <c r="M161" s="844"/>
      <c r="N161" s="844"/>
      <c r="O161" s="48">
        <f>IF(t&lt;Tnet,'2018'!Resal+('2018'!Salim-'2018'!Resal)*(1-EXP(('2018'!Tnet-t)/('2018'!Tau_j))),Resal+(Salim-Resal)*(1-EXP((Tnet-t)/(Tau_j))))*Salcycl</f>
        <v>4.8857666467920065E-2</v>
      </c>
      <c r="P161" s="169">
        <f>(INDEX(Models!$BJ161:$BT161,,T161)*(1-R161)+INDEX(Models!$BJ161:$BT161,,T161+1)*R161-ERP_i)*Q161*Ramure*Pc/MaxiM</f>
        <v>2.5804778178843601E-5</v>
      </c>
      <c r="Q161" s="305">
        <f t="shared" si="51"/>
        <v>0.7</v>
      </c>
      <c r="R161" s="177">
        <f t="shared" si="52"/>
        <v>0.9429832097018791</v>
      </c>
      <c r="S161" s="810">
        <f t="shared" si="53"/>
        <v>-2</v>
      </c>
      <c r="T161" s="176">
        <f t="shared" si="54"/>
        <v>4</v>
      </c>
      <c r="U161" s="251">
        <f t="shared" si="55"/>
        <v>-1.0570167902981209</v>
      </c>
      <c r="V161" s="383">
        <f t="shared" si="56"/>
        <v>60.505298172101014</v>
      </c>
      <c r="W161" s="58"/>
      <c r="X161" s="157">
        <f t="shared" si="57"/>
        <v>43612</v>
      </c>
      <c r="Y161" s="385">
        <f t="shared" si="58"/>
        <v>31.785</v>
      </c>
      <c r="Z161" s="385">
        <f t="shared" si="59"/>
        <v>32.006939163918723</v>
      </c>
      <c r="AA161" s="386">
        <f t="shared" si="60"/>
        <v>33.651050989456564</v>
      </c>
      <c r="AB161" s="197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4.8857666467920065E-2</v>
      </c>
      <c r="AD161" s="231">
        <f>(INDEX(Models!$BJ161:$BT161,,AH161)*(1-AF161)+INDEX(Models!$BJ161:$BT161,,AH161+1)*AF161-ERP_i)*AE161*Ramure*Pc/MaxiM</f>
        <v>2.5804778178843601E-5</v>
      </c>
      <c r="AE161" s="305">
        <f t="shared" si="62"/>
        <v>0.7</v>
      </c>
      <c r="AF161" s="177">
        <f t="shared" si="63"/>
        <v>0.9429832097018791</v>
      </c>
      <c r="AG161" s="176">
        <f t="shared" si="64"/>
        <v>-2</v>
      </c>
      <c r="AH161" s="176">
        <f t="shared" si="65"/>
        <v>4</v>
      </c>
      <c r="AI161" s="225">
        <f t="shared" si="66"/>
        <v>-1.0570167902981209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6">
        <v>27.984999999999999</v>
      </c>
      <c r="C162" s="390"/>
      <c r="D162" s="393">
        <f t="shared" si="48"/>
        <v>28.181061430397175</v>
      </c>
      <c r="E162" s="385">
        <f t="shared" si="70"/>
        <v>29.634009521647233</v>
      </c>
      <c r="F162" s="385">
        <f t="shared" si="49"/>
        <v>29.634190611647181</v>
      </c>
      <c r="G162" s="110">
        <f t="shared" si="71"/>
        <v>0.46231186602171026</v>
      </c>
      <c r="H162" s="414" t="b">
        <f>Wh_hp&gt;='2018'!Maxi_hp</f>
        <v>1</v>
      </c>
      <c r="I162" s="390">
        <f>IF(H162,Wh_hp,'2018'!Maxi_hp)</f>
        <v>29.634190611647181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6.9572053161097713E-3</v>
      </c>
      <c r="M162" s="844"/>
      <c r="N162" s="844"/>
      <c r="O162" s="48">
        <f>IF(t&lt;Tnet,'2018'!Resal+('2018'!Salim-'2018'!Resal)*(1-EXP(('2018'!Tnet-t)/('2018'!Tau_j))),Resal+(Salim-Resal)*(1-EXP((Tnet-t)/(Tau_j))))*Salcycl</f>
        <v>4.9029750435515641E-2</v>
      </c>
      <c r="P162" s="169">
        <f>(INDEX(Models!$BJ162:$BT162,,T162)*(1-R162)+INDEX(Models!$BJ162:$BT162,,T162+1)*R162-ERP_i)*Q162*Ramure*Pc/MaxiM</f>
        <v>2.6352639984035352E-5</v>
      </c>
      <c r="Q162" s="305">
        <f t="shared" si="51"/>
        <v>0.7</v>
      </c>
      <c r="R162" s="177">
        <f t="shared" si="52"/>
        <v>0.946798571607113</v>
      </c>
      <c r="S162" s="810">
        <f t="shared" si="53"/>
        <v>-2</v>
      </c>
      <c r="T162" s="176">
        <f t="shared" si="54"/>
        <v>4</v>
      </c>
      <c r="U162" s="251">
        <f t="shared" si="55"/>
        <v>-1.053201428392887</v>
      </c>
      <c r="V162" s="383">
        <f t="shared" si="56"/>
        <v>60.531506082180023</v>
      </c>
      <c r="W162" s="58"/>
      <c r="X162" s="157">
        <f t="shared" si="57"/>
        <v>43613</v>
      </c>
      <c r="Y162" s="385">
        <f t="shared" si="58"/>
        <v>27.984999999999999</v>
      </c>
      <c r="Z162" s="385">
        <f t="shared" si="59"/>
        <v>28.181061430397175</v>
      </c>
      <c r="AA162" s="386">
        <f t="shared" si="60"/>
        <v>29.634009521647233</v>
      </c>
      <c r="AB162" s="197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4.9029750435515641E-2</v>
      </c>
      <c r="AD162" s="231">
        <f>(INDEX(Models!$BJ162:$BT162,,AH162)*(1-AF162)+INDEX(Models!$BJ162:$BT162,,AH162+1)*AF162-ERP_i)*AE162*Ramure*Pc/MaxiM</f>
        <v>2.6352639984035352E-5</v>
      </c>
      <c r="AE162" s="305">
        <f t="shared" si="62"/>
        <v>0.7</v>
      </c>
      <c r="AF162" s="177">
        <f t="shared" si="63"/>
        <v>0.946798571607113</v>
      </c>
      <c r="AG162" s="176">
        <f t="shared" si="64"/>
        <v>-2</v>
      </c>
      <c r="AH162" s="176">
        <f t="shared" si="65"/>
        <v>4</v>
      </c>
      <c r="AI162" s="225">
        <f t="shared" si="66"/>
        <v>-1.053201428392887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6">
        <v>39.606000000000002</v>
      </c>
      <c r="C163" s="390"/>
      <c r="D163" s="393">
        <f t="shared" si="48"/>
        <v>39.884405710368256</v>
      </c>
      <c r="E163" s="385">
        <f t="shared" si="70"/>
        <v>41.948336728382344</v>
      </c>
      <c r="F163" s="385">
        <f t="shared" si="49"/>
        <v>41.948908376619485</v>
      </c>
      <c r="G163" s="110">
        <f t="shared" si="71"/>
        <v>0.65405896521402318</v>
      </c>
      <c r="H163" s="414" t="b">
        <f>Wh_hp&gt;='2018'!Maxi_hp</f>
        <v>1</v>
      </c>
      <c r="I163" s="390">
        <f>IF(H163,Wh_hp,'2018'!Maxi_hp)</f>
        <v>41.948908376619485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6.9803148726842457E-3</v>
      </c>
      <c r="M163" s="844"/>
      <c r="N163" s="844"/>
      <c r="O163" s="48">
        <f>IF(t&lt;Tnet,'2018'!Resal+('2018'!Salim-'2018'!Resal)*(1-EXP(('2018'!Tnet-t)/('2018'!Tau_j))),Resal+(Salim-Resal)*(1-EXP((Tnet-t)/(Tau_j))))*Salcycl</f>
        <v>4.9201736683343315E-2</v>
      </c>
      <c r="P163" s="169">
        <f>(INDEX(Models!$BJ163:$BT163,,T163)*(1-R163)+INDEX(Models!$BJ163:$BT163,,T163+1)*R163-ERP_i)*Q163*Ramure*Pc/MaxiM</f>
        <v>2.6941388044367755E-5</v>
      </c>
      <c r="Q163" s="305">
        <f t="shared" si="51"/>
        <v>0.7</v>
      </c>
      <c r="R163" s="177">
        <f t="shared" si="52"/>
        <v>0.9506550634720905</v>
      </c>
      <c r="S163" s="810">
        <f t="shared" si="53"/>
        <v>-2</v>
      </c>
      <c r="T163" s="176">
        <f t="shared" si="54"/>
        <v>4</v>
      </c>
      <c r="U163" s="251">
        <f t="shared" si="55"/>
        <v>-1.0493449365279095</v>
      </c>
      <c r="V163" s="383">
        <f t="shared" si="56"/>
        <v>60.553367172453044</v>
      </c>
      <c r="W163" s="58"/>
      <c r="X163" s="157">
        <f t="shared" si="57"/>
        <v>43614</v>
      </c>
      <c r="Y163" s="385">
        <f t="shared" si="58"/>
        <v>39.606000000000002</v>
      </c>
      <c r="Z163" s="385">
        <f t="shared" si="59"/>
        <v>39.884405710368256</v>
      </c>
      <c r="AA163" s="386">
        <f t="shared" si="60"/>
        <v>41.948336728382344</v>
      </c>
      <c r="AB163" s="197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4.9201736683343315E-2</v>
      </c>
      <c r="AD163" s="231">
        <f>(INDEX(Models!$BJ163:$BT163,,AH163)*(1-AF163)+INDEX(Models!$BJ163:$BT163,,AH163+1)*AF163-ERP_i)*AE163*Ramure*Pc/MaxiM</f>
        <v>2.6941388044367755E-5</v>
      </c>
      <c r="AE163" s="305">
        <f t="shared" si="62"/>
        <v>0.7</v>
      </c>
      <c r="AF163" s="177">
        <f t="shared" si="63"/>
        <v>0.9506550634720905</v>
      </c>
      <c r="AG163" s="176">
        <f t="shared" si="64"/>
        <v>-2</v>
      </c>
      <c r="AH163" s="176">
        <f t="shared" si="65"/>
        <v>4</v>
      </c>
      <c r="AI163" s="225">
        <f t="shared" si="66"/>
        <v>-1.0493449365279095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6">
        <v>54.645000000000003</v>
      </c>
      <c r="C164" s="390"/>
      <c r="D164" s="393">
        <f t="shared" si="48"/>
        <v>55.030401226708065</v>
      </c>
      <c r="E164" s="385">
        <f t="shared" si="70"/>
        <v>57.888567121096713</v>
      </c>
      <c r="F164" s="385">
        <f t="shared" si="49"/>
        <v>57.889939720719816</v>
      </c>
      <c r="G164" s="110">
        <f t="shared" si="71"/>
        <v>0.90217951239004512</v>
      </c>
      <c r="H164" s="414" t="b">
        <f>Wh_hp&gt;='2018'!Maxi_hp</f>
        <v>1</v>
      </c>
      <c r="I164" s="390">
        <f>IF(H164,Wh_hp,'2018'!Maxi_hp)</f>
        <v>57.889939720719816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7.0034238914655766E-3</v>
      </c>
      <c r="M164" s="844"/>
      <c r="N164" s="844"/>
      <c r="O164" s="48">
        <f>IF(t&lt;Tnet,'2018'!Resal+('2018'!Salim-'2018'!Resal)*(1-EXP(('2018'!Tnet-t)/('2018'!Tau_j))),Resal+(Salim-Resal)*(1-EXP((Tnet-t)/(Tau_j))))*Salcycl</f>
        <v>4.9373581633307212E-2</v>
      </c>
      <c r="P164" s="169">
        <f>(INDEX(Models!$BJ164:$BT164,,T164)*(1-R164)+INDEX(Models!$BJ164:$BT164,,T164+1)*R164-ERP_i)*Q164*Ramure*Pc/MaxiM</f>
        <v>2.7561975113787211E-5</v>
      </c>
      <c r="Q164" s="305">
        <f t="shared" si="51"/>
        <v>0.7</v>
      </c>
      <c r="R164" s="177">
        <f t="shared" si="52"/>
        <v>0.95455004662416054</v>
      </c>
      <c r="S164" s="810">
        <f t="shared" si="53"/>
        <v>-2</v>
      </c>
      <c r="T164" s="176">
        <f t="shared" si="54"/>
        <v>4</v>
      </c>
      <c r="U164" s="251">
        <f t="shared" si="55"/>
        <v>-1.0454499533758395</v>
      </c>
      <c r="V164" s="383">
        <f t="shared" si="56"/>
        <v>60.569752228781361</v>
      </c>
      <c r="W164" s="58"/>
      <c r="X164" s="157">
        <f t="shared" si="57"/>
        <v>43615</v>
      </c>
      <c r="Y164" s="385">
        <f t="shared" si="58"/>
        <v>54.645000000000003</v>
      </c>
      <c r="Z164" s="385">
        <f t="shared" si="59"/>
        <v>55.030401226708065</v>
      </c>
      <c r="AA164" s="386">
        <f t="shared" si="60"/>
        <v>57.888567121096713</v>
      </c>
      <c r="AB164" s="197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4.9373581633307212E-2</v>
      </c>
      <c r="AD164" s="231">
        <f>(INDEX(Models!$BJ164:$BT164,,AH164)*(1-AF164)+INDEX(Models!$BJ164:$BT164,,AH164+1)*AF164-ERP_i)*AE164*Ramure*Pc/MaxiM</f>
        <v>2.7561975113787211E-5</v>
      </c>
      <c r="AE164" s="305">
        <f t="shared" si="62"/>
        <v>0.7</v>
      </c>
      <c r="AF164" s="177">
        <f t="shared" si="63"/>
        <v>0.95455004662416054</v>
      </c>
      <c r="AG164" s="176">
        <f t="shared" si="64"/>
        <v>-2</v>
      </c>
      <c r="AH164" s="176">
        <f t="shared" si="65"/>
        <v>4</v>
      </c>
      <c r="AI164" s="225">
        <f t="shared" si="66"/>
        <v>-1.0454499533758395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6">
        <v>60.344000000000001</v>
      </c>
      <c r="C165" s="390"/>
      <c r="D165" s="393">
        <f t="shared" si="48"/>
        <v>60.771009465315487</v>
      </c>
      <c r="E165" s="385">
        <f t="shared" si="70"/>
        <v>63.938876535005143</v>
      </c>
      <c r="F165" s="385">
        <f t="shared" si="49"/>
        <v>63.940669699990565</v>
      </c>
      <c r="G165" s="110">
        <f t="shared" si="71"/>
        <v>0.99608809163580392</v>
      </c>
      <c r="H165" s="414" t="b">
        <f>Wh_hp&gt;='2018'!Maxi_hp</f>
        <v>1</v>
      </c>
      <c r="I165" s="390">
        <f>IF(H165,Wh_hp,'2018'!Maxi_hp)</f>
        <v>63.940669699990565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7.0265323724661988E-3</v>
      </c>
      <c r="M165" s="844"/>
      <c r="N165" s="844"/>
      <c r="O165" s="48">
        <f>IF(t&lt;Tnet,'2018'!Resal+('2018'!Salim-'2018'!Resal)*(1-EXP(('2018'!Tnet-t)/('2018'!Tau_j))),Resal+(Salim-Resal)*(1-EXP((Tnet-t)/(Tau_j))))*Salcycl</f>
        <v>4.9545241351798122E-2</v>
      </c>
      <c r="P165" s="169">
        <f>(INDEX(Models!$BJ165:$BT165,,T165)*(1-R165)+INDEX(Models!$BJ165:$BT165,,T165+1)*R165-ERP_i)*Q165*Ramure*Pc/MaxiM</f>
        <v>2.8201798628826956E-5</v>
      </c>
      <c r="Q165" s="305">
        <f t="shared" si="51"/>
        <v>0.7</v>
      </c>
      <c r="R165" s="177">
        <f t="shared" si="52"/>
        <v>0.95848076386386194</v>
      </c>
      <c r="S165" s="810">
        <f t="shared" si="53"/>
        <v>-2</v>
      </c>
      <c r="T165" s="176">
        <f t="shared" si="54"/>
        <v>4</v>
      </c>
      <c r="U165" s="251">
        <f t="shared" si="55"/>
        <v>-1.0415192361361381</v>
      </c>
      <c r="V165" s="383">
        <f t="shared" si="56"/>
        <v>60.580977723120938</v>
      </c>
      <c r="W165" s="58"/>
      <c r="X165" s="157">
        <f t="shared" si="57"/>
        <v>43616</v>
      </c>
      <c r="Y165" s="385">
        <f t="shared" si="58"/>
        <v>60.344000000000001</v>
      </c>
      <c r="Z165" s="385">
        <f t="shared" si="59"/>
        <v>60.771009465315487</v>
      </c>
      <c r="AA165" s="386">
        <f t="shared" si="60"/>
        <v>63.938876535005143</v>
      </c>
      <c r="AB165" s="197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4.9545241351798122E-2</v>
      </c>
      <c r="AD165" s="231">
        <f>(INDEX(Models!$BJ165:$BT165,,AH165)*(1-AF165)+INDEX(Models!$BJ165:$BT165,,AH165+1)*AF165-ERP_i)*AE165*Ramure*Pc/MaxiM</f>
        <v>2.8201798628826956E-5</v>
      </c>
      <c r="AE165" s="305">
        <f t="shared" si="62"/>
        <v>0.7</v>
      </c>
      <c r="AF165" s="177">
        <f t="shared" si="63"/>
        <v>0.95848076386386194</v>
      </c>
      <c r="AG165" s="176">
        <f t="shared" si="64"/>
        <v>-2</v>
      </c>
      <c r="AH165" s="176">
        <f t="shared" si="65"/>
        <v>4</v>
      </c>
      <c r="AI165" s="225">
        <f t="shared" si="66"/>
        <v>-1.0415192361361381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6">
        <v>61.505000000000003</v>
      </c>
      <c r="C166" s="390"/>
      <c r="D166" s="393">
        <f t="shared" si="48"/>
        <v>61.941666469162577</v>
      </c>
      <c r="E166" s="385">
        <f t="shared" si="70"/>
        <v>65.1823141846113</v>
      </c>
      <c r="F166" s="385">
        <f t="shared" si="49"/>
        <v>65.184195459638048</v>
      </c>
      <c r="G166" s="110">
        <f t="shared" si="71"/>
        <v>1.0151457480590789</v>
      </c>
      <c r="H166" s="414" t="b">
        <f>Wh_hp&gt;='2018'!Maxi_hp</f>
        <v>1</v>
      </c>
      <c r="I166" s="390">
        <f>IF(H166,Wh_hp,'2018'!Maxi_hp)</f>
        <v>65.184195459638048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7.0496403156987686E-3</v>
      </c>
      <c r="M166" s="844"/>
      <c r="N166" s="844"/>
      <c r="O166" s="48">
        <f>IF(t&lt;Tnet,'2018'!Resal+('2018'!Salim-'2018'!Resal)*(1-EXP(('2018'!Tnet-t)/('2018'!Tau_j))),Resal+(Salim-Resal)*(1-EXP((Tnet-t)/(Tau_j))))*Salcycl</f>
        <v>4.9716671707458283E-2</v>
      </c>
      <c r="P166" s="169">
        <f>(INDEX(Models!$BJ166:$BT166,,T166)*(1-R166)+INDEX(Models!$BJ166:$BT166,,T166+1)*R166-ERP_i)*Q166*Ramure*Pc/MaxiM</f>
        <v>2.886090736375446E-5</v>
      </c>
      <c r="Q166" s="305">
        <f t="shared" si="51"/>
        <v>0.7</v>
      </c>
      <c r="R166" s="177">
        <f t="shared" si="52"/>
        <v>0.96244434632552789</v>
      </c>
      <c r="S166" s="810">
        <f t="shared" si="53"/>
        <v>-2</v>
      </c>
      <c r="T166" s="176">
        <f t="shared" si="54"/>
        <v>4</v>
      </c>
      <c r="U166" s="251">
        <f t="shared" si="55"/>
        <v>-1.0375556536744721</v>
      </c>
      <c r="V166" s="383">
        <f t="shared" si="56"/>
        <v>60.587359123155757</v>
      </c>
      <c r="W166" s="58"/>
      <c r="X166" s="157">
        <f t="shared" si="57"/>
        <v>43617</v>
      </c>
      <c r="Y166" s="385">
        <f t="shared" si="58"/>
        <v>61.505000000000003</v>
      </c>
      <c r="Z166" s="385">
        <f t="shared" si="59"/>
        <v>61.941666469162577</v>
      </c>
      <c r="AA166" s="386">
        <f t="shared" si="60"/>
        <v>65.1823141846113</v>
      </c>
      <c r="AB166" s="197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4.9716671707458283E-2</v>
      </c>
      <c r="AD166" s="231">
        <f>(INDEX(Models!$BJ166:$BT166,,AH166)*(1-AF166)+INDEX(Models!$BJ166:$BT166,,AH166+1)*AF166-ERP_i)*AE166*Ramure*Pc/MaxiM</f>
        <v>2.886090736375446E-5</v>
      </c>
      <c r="AE166" s="305">
        <f t="shared" si="62"/>
        <v>0.7</v>
      </c>
      <c r="AF166" s="177">
        <f t="shared" si="63"/>
        <v>0.96244434632552789</v>
      </c>
      <c r="AG166" s="176">
        <f t="shared" si="64"/>
        <v>-2</v>
      </c>
      <c r="AH166" s="176">
        <f t="shared" si="65"/>
        <v>4</v>
      </c>
      <c r="AI166" s="225">
        <f t="shared" si="66"/>
        <v>-1.0375556536744721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6">
        <v>59.93</v>
      </c>
      <c r="C167" s="390"/>
      <c r="D167" s="393">
        <f t="shared" si="48"/>
        <v>60.356889049481985</v>
      </c>
      <c r="E167" s="385">
        <f t="shared" si="70"/>
        <v>63.526066565714771</v>
      </c>
      <c r="F167" s="385">
        <f t="shared" si="49"/>
        <v>63.527913970143331</v>
      </c>
      <c r="G167" s="110">
        <f t="shared" si="71"/>
        <v>0.98911952907508205</v>
      </c>
      <c r="H167" s="414" t="b">
        <f>Wh_hp&gt;='2018'!Maxi_hp</f>
        <v>1</v>
      </c>
      <c r="I167" s="390">
        <f>IF(H167,Wh_hp,'2018'!Maxi_hp)</f>
        <v>63.527913970143331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7.0727477211758316E-3</v>
      </c>
      <c r="M167" s="844"/>
      <c r="N167" s="844"/>
      <c r="O167" s="48">
        <f>IF(t&lt;Tnet,'2018'!Resal+('2018'!Salim-'2018'!Resal)*(1-EXP(('2018'!Tnet-t)/('2018'!Tau_j))),Resal+(Salim-Resal)*(1-EXP((Tnet-t)/(Tau_j))))*Salcycl</f>
        <v>4.9887828533416501E-2</v>
      </c>
      <c r="P167" s="169">
        <f>(INDEX(Models!$BJ167:$BT167,,T167)*(1-R167)+INDEX(Models!$BJ167:$BT167,,T167+1)*R167-ERP_i)*Q167*Ramure*Pc/MaxiM</f>
        <v>2.9539325991625424E-5</v>
      </c>
      <c r="Q167" s="305">
        <f t="shared" si="51"/>
        <v>0.7</v>
      </c>
      <c r="R167" s="177">
        <f t="shared" si="52"/>
        <v>0.96643782105705789</v>
      </c>
      <c r="S167" s="810">
        <f t="shared" si="53"/>
        <v>-2</v>
      </c>
      <c r="T167" s="176">
        <f t="shared" si="54"/>
        <v>4</v>
      </c>
      <c r="U167" s="251">
        <f t="shared" si="55"/>
        <v>-1.0335621789429421</v>
      </c>
      <c r="V167" s="383">
        <f t="shared" si="56"/>
        <v>60.58921163937061</v>
      </c>
      <c r="W167" s="58"/>
      <c r="X167" s="157">
        <f t="shared" si="57"/>
        <v>43618</v>
      </c>
      <c r="Y167" s="385">
        <f t="shared" si="58"/>
        <v>59.93</v>
      </c>
      <c r="Z167" s="385">
        <f t="shared" si="59"/>
        <v>60.356889049481985</v>
      </c>
      <c r="AA167" s="386">
        <f t="shared" si="60"/>
        <v>63.526066565714771</v>
      </c>
      <c r="AB167" s="197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4.9887828533416501E-2</v>
      </c>
      <c r="AD167" s="231">
        <f>(INDEX(Models!$BJ167:$BT167,,AH167)*(1-AF167)+INDEX(Models!$BJ167:$BT167,,AH167+1)*AF167-ERP_i)*AE167*Ramure*Pc/MaxiM</f>
        <v>2.9539325991625424E-5</v>
      </c>
      <c r="AE167" s="305">
        <f t="shared" si="62"/>
        <v>0.7</v>
      </c>
      <c r="AF167" s="177">
        <f t="shared" si="63"/>
        <v>0.96643782105705789</v>
      </c>
      <c r="AG167" s="176">
        <f t="shared" si="64"/>
        <v>-2</v>
      </c>
      <c r="AH167" s="176">
        <f t="shared" si="65"/>
        <v>4</v>
      </c>
      <c r="AI167" s="225">
        <f t="shared" si="66"/>
        <v>-1.0335621789429421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6">
        <v>48.241999999999997</v>
      </c>
      <c r="C168" s="390"/>
      <c r="D168" s="393">
        <f t="shared" si="48"/>
        <v>48.586764616665441</v>
      </c>
      <c r="E168" s="385">
        <f t="shared" si="70"/>
        <v>51.14712137410185</v>
      </c>
      <c r="F168" s="385">
        <f t="shared" si="49"/>
        <v>51.148217772574448</v>
      </c>
      <c r="G168" s="110">
        <f t="shared" si="71"/>
        <v>0.79623837883139781</v>
      </c>
      <c r="H168" s="414" t="b">
        <f>Wh_hp&gt;='2018'!Maxi_hp</f>
        <v>1</v>
      </c>
      <c r="I168" s="390">
        <f>IF(H168,Wh_hp,'2018'!Maxi_hp)</f>
        <v>51.148217772574448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7.0958545889097113E-3</v>
      </c>
      <c r="M168" s="844"/>
      <c r="N168" s="844"/>
      <c r="O168" s="48">
        <f>IF(t&lt;Tnet,'2018'!Resal+('2018'!Salim-'2018'!Resal)*(1-EXP(('2018'!Tnet-t)/('2018'!Tau_j))),Resal+(Salim-Resal)*(1-EXP((Tnet-t)/(Tau_j))))*Salcycl</f>
        <v>5.005866779303908E-2</v>
      </c>
      <c r="P168" s="169">
        <f>(INDEX(Models!$BJ168:$BT168,,T168)*(1-R168)+INDEX(Models!$BJ168:$BT168,,T168+1)*R168-ERP_i)*Q168*Ramure*Pc/MaxiM</f>
        <v>3.0237053865081251E-5</v>
      </c>
      <c r="Q168" s="305">
        <f t="shared" si="51"/>
        <v>0.7</v>
      </c>
      <c r="R168" s="177">
        <f t="shared" si="52"/>
        <v>0.9704581192828754</v>
      </c>
      <c r="S168" s="810">
        <f t="shared" si="53"/>
        <v>-2</v>
      </c>
      <c r="T168" s="176">
        <f t="shared" si="54"/>
        <v>4</v>
      </c>
      <c r="U168" s="251">
        <f t="shared" si="55"/>
        <v>-1.0295418807171246</v>
      </c>
      <c r="V168" s="383">
        <f t="shared" si="56"/>
        <v>60.586850218615062</v>
      </c>
      <c r="W168" s="58"/>
      <c r="X168" s="157">
        <f t="shared" si="57"/>
        <v>43619</v>
      </c>
      <c r="Y168" s="385">
        <f t="shared" si="58"/>
        <v>48.241999999999997</v>
      </c>
      <c r="Z168" s="385">
        <f t="shared" si="59"/>
        <v>48.586764616665441</v>
      </c>
      <c r="AA168" s="386">
        <f t="shared" si="60"/>
        <v>51.14712137410185</v>
      </c>
      <c r="AB168" s="197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5.005866779303908E-2</v>
      </c>
      <c r="AD168" s="231">
        <f>(INDEX(Models!$BJ168:$BT168,,AH168)*(1-AF168)+INDEX(Models!$BJ168:$BT168,,AH168+1)*AF168-ERP_i)*AE168*Ramure*Pc/MaxiM</f>
        <v>3.0237053865081251E-5</v>
      </c>
      <c r="AE168" s="305">
        <f t="shared" si="62"/>
        <v>0.7</v>
      </c>
      <c r="AF168" s="177">
        <f t="shared" si="63"/>
        <v>0.9704581192828754</v>
      </c>
      <c r="AG168" s="176">
        <f t="shared" si="64"/>
        <v>-2</v>
      </c>
      <c r="AH168" s="176">
        <f t="shared" si="65"/>
        <v>4</v>
      </c>
      <c r="AI168" s="225">
        <f t="shared" si="66"/>
        <v>-1.0295418807171246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6">
        <v>52.762999999999998</v>
      </c>
      <c r="C169" s="390"/>
      <c r="D169" s="393">
        <f t="shared" si="48"/>
        <v>53.141310915587873</v>
      </c>
      <c r="E169" s="385">
        <f t="shared" si="70"/>
        <v>55.951717909316535</v>
      </c>
      <c r="F169" s="385">
        <f t="shared" si="49"/>
        <v>55.953130597510338</v>
      </c>
      <c r="G169" s="110">
        <f t="shared" si="71"/>
        <v>0.87095056869866394</v>
      </c>
      <c r="H169" s="414" t="b">
        <f>Wh_hp&gt;='2018'!Maxi_hp</f>
        <v>1</v>
      </c>
      <c r="I169" s="390">
        <f>IF(H169,Wh_hp,'2018'!Maxi_hp)</f>
        <v>55.953130597510338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7.1189609189129532E-3</v>
      </c>
      <c r="M169" s="844"/>
      <c r="N169" s="844"/>
      <c r="O169" s="48">
        <f>IF(t&lt;Tnet,'2018'!Resal+('2018'!Salim-'2018'!Resal)*(1-EXP(('2018'!Tnet-t)/('2018'!Tau_j))),Resal+(Salim-Resal)*(1-EXP((Tnet-t)/(Tau_j))))*Salcycl</f>
        <v>5.0229145748189812E-2</v>
      </c>
      <c r="P169" s="169">
        <f>(INDEX(Models!$BJ169:$BT169,,T169)*(1-R169)+INDEX(Models!$BJ169:$BT169,,T169+1)*R169-ERP_i)*Q169*Ramure*Pc/MaxiM</f>
        <v>3.0954063902444773E-5</v>
      </c>
      <c r="Q169" s="305">
        <f t="shared" si="51"/>
        <v>0.7</v>
      </c>
      <c r="R169" s="177">
        <f t="shared" si="52"/>
        <v>0.97450208530660332</v>
      </c>
      <c r="S169" s="810">
        <f t="shared" si="53"/>
        <v>-2</v>
      </c>
      <c r="T169" s="176">
        <f t="shared" si="54"/>
        <v>4</v>
      </c>
      <c r="U169" s="251">
        <f t="shared" si="55"/>
        <v>-1.0254979146933967</v>
      </c>
      <c r="V169" s="383">
        <f t="shared" si="56"/>
        <v>60.58058953526416</v>
      </c>
      <c r="W169" s="58"/>
      <c r="X169" s="157">
        <f t="shared" si="57"/>
        <v>43620</v>
      </c>
      <c r="Y169" s="385">
        <f t="shared" si="58"/>
        <v>52.762999999999998</v>
      </c>
      <c r="Z169" s="385">
        <f t="shared" si="59"/>
        <v>53.141310915587873</v>
      </c>
      <c r="AA169" s="386">
        <f t="shared" si="60"/>
        <v>55.951717909316535</v>
      </c>
      <c r="AB169" s="197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5.0229145748189812E-2</v>
      </c>
      <c r="AD169" s="231">
        <f>(INDEX(Models!$BJ169:$BT169,,AH169)*(1-AF169)+INDEX(Models!$BJ169:$BT169,,AH169+1)*AF169-ERP_i)*AE169*Ramure*Pc/MaxiM</f>
        <v>3.0954063902444773E-5</v>
      </c>
      <c r="AE169" s="305">
        <f t="shared" si="62"/>
        <v>0.7</v>
      </c>
      <c r="AF169" s="177">
        <f t="shared" si="63"/>
        <v>0.97450208530660332</v>
      </c>
      <c r="AG169" s="176">
        <f t="shared" si="64"/>
        <v>-2</v>
      </c>
      <c r="AH169" s="176">
        <f t="shared" si="65"/>
        <v>4</v>
      </c>
      <c r="AI169" s="225">
        <f t="shared" si="66"/>
        <v>-1.0254979146933967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6">
        <v>10.250999999999999</v>
      </c>
      <c r="C170" s="390"/>
      <c r="D170" s="393">
        <f t="shared" si="48"/>
        <v>10.324739981725257</v>
      </c>
      <c r="E170" s="385">
        <f t="shared" ref="E170:E232" si="73">Wh_pvt/(1-Psa)</f>
        <v>10.872716397994672</v>
      </c>
      <c r="F170" s="385">
        <f t="shared" si="49"/>
        <v>10.872716397994672</v>
      </c>
      <c r="G170" s="110">
        <f t="shared" ref="G170:G232" si="74">+Wh_hp/MaxiM</f>
        <v>0.16923475708754032</v>
      </c>
      <c r="H170" s="414" t="b">
        <f>Wh_hp&gt;='2018'!Maxi_hp</f>
        <v>1</v>
      </c>
      <c r="I170" s="390">
        <f>IF(H170,Wh_hp,'2018'!Maxi_hp)</f>
        <v>10.872716397994672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7.1420667111982139E-3</v>
      </c>
      <c r="M170" s="844"/>
      <c r="N170" s="844"/>
      <c r="O170" s="48">
        <f>IF(t&lt;Tnet,'2018'!Resal+('2018'!Salim-'2018'!Resal)*(1-EXP(('2018'!Tnet-t)/('2018'!Tau_j))),Resal+(Salim-Resal)*(1-EXP((Tnet-t)/(Tau_j))))*Salcycl</f>
        <v>5.0399219128945877E-2</v>
      </c>
      <c r="P170" s="169">
        <f>(INDEX(Models!$BJ170:$BT170,,T170)*(1-R170)+INDEX(Models!$BJ170:$BT170,,T170+1)*R170-ERP_i)*Q170*Ramure*Pc/MaxiM</f>
        <v>3.1688126537426959E-5</v>
      </c>
      <c r="Q170" s="305">
        <f t="shared" si="51"/>
        <v>0.7</v>
      </c>
      <c r="R170" s="177">
        <f t="shared" si="52"/>
        <v>0.9785664860028207</v>
      </c>
      <c r="S170" s="810">
        <f t="shared" si="53"/>
        <v>-2</v>
      </c>
      <c r="T170" s="176">
        <f t="shared" si="54"/>
        <v>4</v>
      </c>
      <c r="U170" s="251">
        <f t="shared" si="55"/>
        <v>-1.0214335139971793</v>
      </c>
      <c r="V170" s="383">
        <f t="shared" si="56"/>
        <v>60.570744103780534</v>
      </c>
      <c r="W170" s="58"/>
      <c r="X170" s="157">
        <f t="shared" si="57"/>
        <v>43621</v>
      </c>
      <c r="Y170" s="385">
        <f t="shared" si="58"/>
        <v>10.250999999999999</v>
      </c>
      <c r="Z170" s="385">
        <f t="shared" si="59"/>
        <v>10.324739981725257</v>
      </c>
      <c r="AA170" s="386">
        <f t="shared" si="60"/>
        <v>10.872716397994672</v>
      </c>
      <c r="AB170" s="197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5.0399219128945877E-2</v>
      </c>
      <c r="AD170" s="231">
        <f>(INDEX(Models!$BJ170:$BT170,,AH170)*(1-AF170)+INDEX(Models!$BJ170:$BT170,,AH170+1)*AF170-ERP_i)*AE170*Ramure*Pc/MaxiM</f>
        <v>3.1688126537426959E-5</v>
      </c>
      <c r="AE170" s="305">
        <f t="shared" si="62"/>
        <v>0.7</v>
      </c>
      <c r="AF170" s="177">
        <f t="shared" si="63"/>
        <v>0.9785664860028207</v>
      </c>
      <c r="AG170" s="176">
        <f t="shared" si="64"/>
        <v>-2</v>
      </c>
      <c r="AH170" s="176">
        <f t="shared" si="65"/>
        <v>4</v>
      </c>
      <c r="AI170" s="225">
        <f t="shared" si="66"/>
        <v>-1.0214335139971793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6">
        <v>59.783000000000001</v>
      </c>
      <c r="C171" s="390"/>
      <c r="D171" s="393">
        <f t="shared" si="48"/>
        <v>60.214446866623554</v>
      </c>
      <c r="E171" s="385">
        <f t="shared" si="73"/>
        <v>63.421604156104891</v>
      </c>
      <c r="F171" s="385">
        <f t="shared" si="49"/>
        <v>63.423622728283476</v>
      </c>
      <c r="G171" s="110">
        <f t="shared" si="74"/>
        <v>0.98720781105596511</v>
      </c>
      <c r="H171" s="414" t="b">
        <f>Wh_hp&gt;='2018'!Maxi_hp</f>
        <v>1</v>
      </c>
      <c r="I171" s="390">
        <f>IF(H171,Wh_hp,'2018'!Maxi_hp)</f>
        <v>63.423622728283476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7.1651719657779278E-3</v>
      </c>
      <c r="M171" s="844"/>
      <c r="N171" s="844"/>
      <c r="O171" s="48">
        <f>IF(t&lt;Tnet,'2018'!Resal+('2018'!Salim-'2018'!Resal)*(1-EXP(('2018'!Tnet-t)/('2018'!Tau_j))),Resal+(Salim-Resal)*(1-EXP((Tnet-t)/(Tau_j))))*Salcycl</f>
        <v>5.0568845303680658E-2</v>
      </c>
      <c r="P171" s="169">
        <f>(INDEX(Models!$BJ171:$BT171,,T171)*(1-R171)+INDEX(Models!$BJ171:$BT171,,T171+1)*R171-ERP_i)*Q171*Ramure*Pc/MaxiM</f>
        <v>3.2419239385915512E-5</v>
      </c>
      <c r="Q171" s="305">
        <f t="shared" si="51"/>
        <v>0.7</v>
      </c>
      <c r="R171" s="177">
        <f t="shared" si="52"/>
        <v>0.98264802084053282</v>
      </c>
      <c r="S171" s="810">
        <f t="shared" si="53"/>
        <v>-2</v>
      </c>
      <c r="T171" s="176">
        <f t="shared" si="54"/>
        <v>4</v>
      </c>
      <c r="U171" s="251">
        <f t="shared" si="55"/>
        <v>-1.0173519791594672</v>
      </c>
      <c r="V171" s="383">
        <f t="shared" si="56"/>
        <v>60.557629217170351</v>
      </c>
      <c r="W171" s="58"/>
      <c r="X171" s="157">
        <f t="shared" si="57"/>
        <v>43622</v>
      </c>
      <c r="Y171" s="385">
        <f t="shared" si="58"/>
        <v>59.783000000000001</v>
      </c>
      <c r="Z171" s="385">
        <f t="shared" si="59"/>
        <v>60.214446866623554</v>
      </c>
      <c r="AA171" s="386">
        <f t="shared" si="60"/>
        <v>63.421604156104891</v>
      </c>
      <c r="AB171" s="197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5.0568845303680658E-2</v>
      </c>
      <c r="AD171" s="231">
        <f>(INDEX(Models!$BJ171:$BT171,,AH171)*(1-AF171)+INDEX(Models!$BJ171:$BT171,,AH171+1)*AF171-ERP_i)*AE171*Ramure*Pc/MaxiM</f>
        <v>3.2419239385915512E-5</v>
      </c>
      <c r="AE171" s="305">
        <f t="shared" si="62"/>
        <v>0.7</v>
      </c>
      <c r="AF171" s="177">
        <f t="shared" si="63"/>
        <v>0.98264802084053282</v>
      </c>
      <c r="AG171" s="176">
        <f t="shared" si="64"/>
        <v>-2</v>
      </c>
      <c r="AH171" s="176">
        <f t="shared" si="65"/>
        <v>4</v>
      </c>
      <c r="AI171" s="225">
        <f t="shared" si="66"/>
        <v>-1.0173519791594672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6">
        <v>21.245000000000001</v>
      </c>
      <c r="C172" s="390"/>
      <c r="D172" s="393">
        <f t="shared" si="48"/>
        <v>21.398820643467964</v>
      </c>
      <c r="E172" s="385">
        <f t="shared" si="73"/>
        <v>22.542585975009459</v>
      </c>
      <c r="F172" s="385">
        <f t="shared" si="49"/>
        <v>22.542640325006811</v>
      </c>
      <c r="G172" s="110">
        <f t="shared" si="74"/>
        <v>0.35090518777069701</v>
      </c>
      <c r="H172" s="414" t="b">
        <f>Wh_hp&gt;='2018'!Maxi_hp</f>
        <v>1</v>
      </c>
      <c r="I172" s="390">
        <f>IF(H172,Wh_hp,'2018'!Maxi_hp)</f>
        <v>22.542640325006811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7.1882766826646405E-3</v>
      </c>
      <c r="M172" s="844"/>
      <c r="N172" s="844"/>
      <c r="O172" s="48">
        <f>IF(t&lt;Tnet,'2018'!Resal+('2018'!Salim-'2018'!Resal)*(1-EXP(('2018'!Tnet-t)/('2018'!Tau_j))),Resal+(Salim-Resal)*(1-EXP((Tnet-t)/(Tau_j))))*Salcycl</f>
        <v>5.07379824483963E-2</v>
      </c>
      <c r="P172" s="169">
        <f>(INDEX(Models!$BJ172:$BT172,,T172)*(1-R172)+INDEX(Models!$BJ172:$BT172,,T172+1)*R172-ERP_i)*Q172*Ramure*Pc/MaxiM</f>
        <v>3.3146580697204742E-5</v>
      </c>
      <c r="Q172" s="305">
        <f t="shared" si="51"/>
        <v>0.7</v>
      </c>
      <c r="R172" s="177">
        <f t="shared" si="52"/>
        <v>0.98674333237479361</v>
      </c>
      <c r="S172" s="810">
        <f t="shared" si="53"/>
        <v>-2</v>
      </c>
      <c r="T172" s="176">
        <f t="shared" si="54"/>
        <v>4</v>
      </c>
      <c r="U172" s="251">
        <f t="shared" si="55"/>
        <v>-1.0132566676252064</v>
      </c>
      <c r="V172" s="383">
        <f t="shared" si="56"/>
        <v>60.541558691931932</v>
      </c>
      <c r="W172" s="58"/>
      <c r="X172" s="157">
        <f t="shared" si="57"/>
        <v>43623</v>
      </c>
      <c r="Y172" s="385">
        <f t="shared" si="58"/>
        <v>21.245000000000001</v>
      </c>
      <c r="Z172" s="385">
        <f t="shared" si="59"/>
        <v>21.398820643467964</v>
      </c>
      <c r="AA172" s="386">
        <f t="shared" si="60"/>
        <v>22.542585975009459</v>
      </c>
      <c r="AB172" s="197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5.07379824483963E-2</v>
      </c>
      <c r="AD172" s="231">
        <f>(INDEX(Models!$BJ172:$BT172,,AH172)*(1-AF172)+INDEX(Models!$BJ172:$BT172,,AH172+1)*AF172-ERP_i)*AE172*Ramure*Pc/MaxiM</f>
        <v>3.3146580697204742E-5</v>
      </c>
      <c r="AE172" s="305">
        <f t="shared" si="62"/>
        <v>0.7</v>
      </c>
      <c r="AF172" s="177">
        <f t="shared" si="63"/>
        <v>0.98674333237479361</v>
      </c>
      <c r="AG172" s="176">
        <f t="shared" si="64"/>
        <v>-2</v>
      </c>
      <c r="AH172" s="176">
        <f t="shared" si="65"/>
        <v>4</v>
      </c>
      <c r="AI172" s="225">
        <f t="shared" si="66"/>
        <v>-1.0132566676252064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6">
        <v>60.573999999999998</v>
      </c>
      <c r="C173" s="390"/>
      <c r="D173" s="393">
        <f t="shared" si="48"/>
        <v>61.013995156981331</v>
      </c>
      <c r="E173" s="385">
        <f t="shared" si="73"/>
        <v>64.286607088132968</v>
      </c>
      <c r="F173" s="385">
        <f t="shared" si="49"/>
        <v>64.288784503922017</v>
      </c>
      <c r="G173" s="110">
        <f t="shared" si="74"/>
        <v>1.0008452010901119</v>
      </c>
      <c r="H173" s="414" t="b">
        <f>Wh_hp&gt;='2018'!Maxi_hp</f>
        <v>1</v>
      </c>
      <c r="I173" s="390">
        <f>IF(H173,Wh_hp,'2018'!Maxi_hp)</f>
        <v>64.288784503922017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7.2113808618707864E-3</v>
      </c>
      <c r="M173" s="844"/>
      <c r="N173" s="844"/>
      <c r="O173" s="48">
        <f>IF(t&lt;Tnet,'2018'!Resal+('2018'!Salim-'2018'!Resal)*(1-EXP(('2018'!Tnet-t)/('2018'!Tau_j))),Resal+(Salim-Resal)*(1-EXP((Tnet-t)/(Tau_j))))*Salcycl</f>
        <v>5.0906589714170017E-2</v>
      </c>
      <c r="P173" s="169">
        <f>(INDEX(Models!$BJ173:$BT173,,T173)*(1-R173)+INDEX(Models!$BJ173:$BT173,,T173+1)*R173-ERP_i)*Q173*Ramure*Pc/MaxiM</f>
        <v>3.386929471204391E-5</v>
      </c>
      <c r="Q173" s="305">
        <f t="shared" si="51"/>
        <v>0.7</v>
      </c>
      <c r="R173" s="177">
        <f t="shared" si="52"/>
        <v>0.9908490171374067</v>
      </c>
      <c r="S173" s="810">
        <f t="shared" si="53"/>
        <v>-2</v>
      </c>
      <c r="T173" s="176">
        <f t="shared" si="54"/>
        <v>4</v>
      </c>
      <c r="U173" s="251">
        <f t="shared" si="55"/>
        <v>-1.0091509828625933</v>
      </c>
      <c r="V173" s="383">
        <f t="shared" si="56"/>
        <v>60.522846024563371</v>
      </c>
      <c r="W173" s="58"/>
      <c r="X173" s="157">
        <f t="shared" si="57"/>
        <v>43624</v>
      </c>
      <c r="Y173" s="385">
        <f t="shared" si="58"/>
        <v>60.573999999999991</v>
      </c>
      <c r="Z173" s="385">
        <f t="shared" si="59"/>
        <v>61.013995156981323</v>
      </c>
      <c r="AA173" s="386">
        <f t="shared" si="60"/>
        <v>64.286607088132968</v>
      </c>
      <c r="AB173" s="197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5.0906589714170017E-2</v>
      </c>
      <c r="AD173" s="231">
        <f>(INDEX(Models!$BJ173:$BT173,,AH173)*(1-AF173)+INDEX(Models!$BJ173:$BT173,,AH173+1)*AF173-ERP_i)*AE173*Ramure*Pc/MaxiM</f>
        <v>3.386929471204391E-5</v>
      </c>
      <c r="AE173" s="305">
        <f t="shared" si="62"/>
        <v>0.7</v>
      </c>
      <c r="AF173" s="177">
        <f t="shared" si="63"/>
        <v>0.9908490171374067</v>
      </c>
      <c r="AG173" s="176">
        <f t="shared" si="64"/>
        <v>-2</v>
      </c>
      <c r="AH173" s="176">
        <f t="shared" si="65"/>
        <v>4</v>
      </c>
      <c r="AI173" s="225">
        <f t="shared" si="66"/>
        <v>-1.0091509828625933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6">
        <v>48.863</v>
      </c>
      <c r="C174" s="390"/>
      <c r="D174" s="393">
        <f t="shared" si="48"/>
        <v>49.219074632702416</v>
      </c>
      <c r="E174" s="385">
        <f t="shared" si="73"/>
        <v>51.86822489255168</v>
      </c>
      <c r="F174" s="385">
        <f t="shared" si="49"/>
        <v>51.869525861832258</v>
      </c>
      <c r="G174" s="110">
        <f t="shared" si="74"/>
        <v>0.80762112880527037</v>
      </c>
      <c r="H174" s="414" t="b">
        <f>Wh_hp&gt;='2018'!Maxi_hp</f>
        <v>1</v>
      </c>
      <c r="I174" s="390">
        <f>IF(H174,Wh_hp,'2018'!Maxi_hp)</f>
        <v>51.869525861832258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7.2344845034090222E-3</v>
      </c>
      <c r="M174" s="844"/>
      <c r="N174" s="844"/>
      <c r="O174" s="48">
        <f>IF(t&lt;Tnet,'2018'!Resal+('2018'!Salim-'2018'!Resal)*(1-EXP(('2018'!Tnet-t)/('2018'!Tau_j))),Resal+(Salim-Resal)*(1-EXP((Tnet-t)/(Tau_j))))*Salcycl</f>
        <v>5.1074627391570676E-2</v>
      </c>
      <c r="P174" s="169">
        <f>(INDEX(Models!$BJ174:$BT174,,T174)*(1-R174)+INDEX(Models!$BJ174:$BT174,,T174+1)*R174-ERP_i)*Q174*Ramure*Pc/MaxiM</f>
        <v>3.4586494418625558E-5</v>
      </c>
      <c r="Q174" s="305">
        <f t="shared" si="51"/>
        <v>0.7</v>
      </c>
      <c r="R174" s="177">
        <f t="shared" si="52"/>
        <v>0.99496163685285133</v>
      </c>
      <c r="S174" s="810">
        <f t="shared" si="53"/>
        <v>-2</v>
      </c>
      <c r="T174" s="176">
        <f t="shared" si="54"/>
        <v>4</v>
      </c>
      <c r="U174" s="251">
        <f t="shared" si="55"/>
        <v>-1.0050383631471487</v>
      </c>
      <c r="V174" s="383">
        <f t="shared" si="56"/>
        <v>60.501804381518788</v>
      </c>
      <c r="W174" s="58"/>
      <c r="X174" s="157">
        <f t="shared" si="57"/>
        <v>43625</v>
      </c>
      <c r="Y174" s="385">
        <f t="shared" si="58"/>
        <v>48.863</v>
      </c>
      <c r="Z174" s="385">
        <f t="shared" si="59"/>
        <v>49.219074632702416</v>
      </c>
      <c r="AA174" s="386">
        <f t="shared" si="60"/>
        <v>51.86822489255168</v>
      </c>
      <c r="AB174" s="197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5.1074627391570676E-2</v>
      </c>
      <c r="AD174" s="231">
        <f>(INDEX(Models!$BJ174:$BT174,,AH174)*(1-AF174)+INDEX(Models!$BJ174:$BT174,,AH174+1)*AF174-ERP_i)*AE174*Ramure*Pc/MaxiM</f>
        <v>3.4586494418625558E-5</v>
      </c>
      <c r="AE174" s="305">
        <f t="shared" si="62"/>
        <v>0.7</v>
      </c>
      <c r="AF174" s="177">
        <f t="shared" si="63"/>
        <v>0.99496163685285133</v>
      </c>
      <c r="AG174" s="176">
        <f t="shared" si="64"/>
        <v>-2</v>
      </c>
      <c r="AH174" s="176">
        <f t="shared" si="65"/>
        <v>4</v>
      </c>
      <c r="AI174" s="225">
        <f t="shared" si="66"/>
        <v>-1.0050383631471487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6">
        <v>20.381</v>
      </c>
      <c r="C175" s="390"/>
      <c r="D175" s="393">
        <f t="shared" si="48"/>
        <v>20.529998260956436</v>
      </c>
      <c r="E175" s="385">
        <f t="shared" si="73"/>
        <v>21.638815689462628</v>
      </c>
      <c r="F175" s="385">
        <f t="shared" si="49"/>
        <v>21.638856055257165</v>
      </c>
      <c r="G175" s="110">
        <f t="shared" si="74"/>
        <v>0.3369831515050617</v>
      </c>
      <c r="H175" s="414" t="b">
        <f>Wh_hp&gt;='2018'!Maxi_hp</f>
        <v>1</v>
      </c>
      <c r="I175" s="390">
        <f>IF(H175,Wh_hp,'2018'!Maxi_hp)</f>
        <v>21.638856055257165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7.2575876072916712E-3</v>
      </c>
      <c r="M175" s="844"/>
      <c r="N175" s="844"/>
      <c r="O175" s="48">
        <f>IF(t&lt;Tnet,'2018'!Resal+('2018'!Salim-'2018'!Resal)*(1-EXP(('2018'!Tnet-t)/('2018'!Tau_j))),Resal+(Salim-Resal)*(1-EXP((Tnet-t)/(Tau_j))))*Salcycl</f>
        <v>5.124205707090293E-2</v>
      </c>
      <c r="P175" s="169">
        <f>(INDEX(Models!$BJ175:$BT175,,T175)*(1-R175)+INDEX(Models!$BJ175:$BT175,,T175+1)*R175-ERP_i)*Q175*Ramure*Pc/MaxiM</f>
        <v>3.5297264520646487E-5</v>
      </c>
      <c r="Q175" s="305">
        <f t="shared" si="51"/>
        <v>0.7</v>
      </c>
      <c r="R175" s="177">
        <f t="shared" si="52"/>
        <v>0.99907772990166066</v>
      </c>
      <c r="S175" s="810">
        <f t="shared" si="53"/>
        <v>-2</v>
      </c>
      <c r="T175" s="176">
        <f t="shared" si="54"/>
        <v>4</v>
      </c>
      <c r="U175" s="251">
        <f t="shared" si="55"/>
        <v>-1.0009222700983393</v>
      </c>
      <c r="V175" s="383">
        <f t="shared" si="56"/>
        <v>60.478746588686292</v>
      </c>
      <c r="W175" s="58"/>
      <c r="X175" s="157">
        <f t="shared" si="57"/>
        <v>43626</v>
      </c>
      <c r="Y175" s="385">
        <f t="shared" si="58"/>
        <v>20.381</v>
      </c>
      <c r="Z175" s="385">
        <f t="shared" si="59"/>
        <v>20.529998260956436</v>
      </c>
      <c r="AA175" s="386">
        <f t="shared" si="60"/>
        <v>21.638815689462628</v>
      </c>
      <c r="AB175" s="197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5.124205707090293E-2</v>
      </c>
      <c r="AD175" s="231">
        <f>(INDEX(Models!$BJ175:$BT175,,AH175)*(1-AF175)+INDEX(Models!$BJ175:$BT175,,AH175+1)*AF175-ERP_i)*AE175*Ramure*Pc/MaxiM</f>
        <v>3.5297264520646487E-5</v>
      </c>
      <c r="AE175" s="305">
        <f t="shared" si="62"/>
        <v>0.7</v>
      </c>
      <c r="AF175" s="177">
        <f t="shared" si="63"/>
        <v>0.99907772990166066</v>
      </c>
      <c r="AG175" s="176">
        <f t="shared" si="64"/>
        <v>-2</v>
      </c>
      <c r="AH175" s="176">
        <f t="shared" si="65"/>
        <v>4</v>
      </c>
      <c r="AI175" s="225">
        <f t="shared" si="66"/>
        <v>-1.0009222700983393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6">
        <v>33.116</v>
      </c>
      <c r="C176" s="390"/>
      <c r="D176" s="393">
        <f t="shared" si="48"/>
        <v>33.358875638058066</v>
      </c>
      <c r="E176" s="385">
        <f t="shared" si="73"/>
        <v>35.166757933162621</v>
      </c>
      <c r="F176" s="385">
        <f t="shared" si="49"/>
        <v>35.167206722999872</v>
      </c>
      <c r="G176" s="110">
        <f t="shared" si="74"/>
        <v>0.54777580565738215</v>
      </c>
      <c r="H176" s="414" t="b">
        <f>Wh_hp&gt;='2018'!Maxi_hp</f>
        <v>1</v>
      </c>
      <c r="I176" s="390">
        <f>IF(H176,Wh_hp,'2018'!Maxi_hp)</f>
        <v>35.167206722999872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7.28069017353139E-3</v>
      </c>
      <c r="M176" s="844"/>
      <c r="N176" s="844"/>
      <c r="O176" s="48">
        <f>IF(t&lt;Tnet,'2018'!Resal+('2018'!Salim-'2018'!Resal)*(1-EXP(('2018'!Tnet-t)/('2018'!Tau_j))),Resal+(Salim-Resal)*(1-EXP((Tnet-t)/(Tau_j))))*Salcycl</f>
        <v>5.1408841797148018E-2</v>
      </c>
      <c r="P176" s="169">
        <f>(INDEX(Models!$BJ176:$BT176,,T176)*(1-R176)+INDEX(Models!$BJ176:$BT176,,T176+1)*R176-ERP_i)*Q176*Ramure*Pc/MaxiM</f>
        <v>3.6051382292326319E-5</v>
      </c>
      <c r="Q176" s="305">
        <f t="shared" si="51"/>
        <v>0.7</v>
      </c>
      <c r="R176" s="177">
        <f t="shared" si="52"/>
        <v>3.1938229504698823E-3</v>
      </c>
      <c r="S176" s="810">
        <f t="shared" si="53"/>
        <v>-1</v>
      </c>
      <c r="T176" s="176">
        <f t="shared" si="54"/>
        <v>5</v>
      </c>
      <c r="U176" s="251">
        <f t="shared" si="55"/>
        <v>-0.99680617704953012</v>
      </c>
      <c r="V176" s="383">
        <f t="shared" si="56"/>
        <v>60.453982055663772</v>
      </c>
      <c r="W176" s="58"/>
      <c r="X176" s="157">
        <f t="shared" si="57"/>
        <v>43627</v>
      </c>
      <c r="Y176" s="385">
        <f t="shared" si="58"/>
        <v>33.116</v>
      </c>
      <c r="Z176" s="385">
        <f t="shared" si="59"/>
        <v>33.358875638058066</v>
      </c>
      <c r="AA176" s="386">
        <f t="shared" si="60"/>
        <v>35.166757933162621</v>
      </c>
      <c r="AB176" s="197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5.1408841797148018E-2</v>
      </c>
      <c r="AD176" s="231">
        <f>(INDEX(Models!$BJ176:$BT176,,AH176)*(1-AF176)+INDEX(Models!$BJ176:$BT176,,AH176+1)*AF176-ERP_i)*AE176*Ramure*Pc/MaxiM</f>
        <v>3.6051382292326319E-5</v>
      </c>
      <c r="AE176" s="305">
        <f t="shared" si="62"/>
        <v>0.7</v>
      </c>
      <c r="AF176" s="177">
        <f t="shared" si="63"/>
        <v>3.1938229504698823E-3</v>
      </c>
      <c r="AG176" s="176">
        <f t="shared" si="64"/>
        <v>-1</v>
      </c>
      <c r="AH176" s="176">
        <f t="shared" si="65"/>
        <v>5</v>
      </c>
      <c r="AI176" s="225">
        <f t="shared" si="66"/>
        <v>-0.99680617704953012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6">
        <v>52.289000000000001</v>
      </c>
      <c r="C177" s="390"/>
      <c r="D177" s="393">
        <f t="shared" si="48"/>
        <v>52.673717889982612</v>
      </c>
      <c r="E177" s="385">
        <f t="shared" si="73"/>
        <v>55.538091997849413</v>
      </c>
      <c r="F177" s="385">
        <f t="shared" si="49"/>
        <v>55.539743241792053</v>
      </c>
      <c r="G177" s="110">
        <f t="shared" si="74"/>
        <v>0.86532140849958605</v>
      </c>
      <c r="H177" s="414" t="b">
        <f>Wh_hp&gt;='2018'!Maxi_hp</f>
        <v>1</v>
      </c>
      <c r="I177" s="390">
        <f>IF(H177,Wh_hp,'2018'!Maxi_hp)</f>
        <v>55.539743241792053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7.3037922021406132E-3</v>
      </c>
      <c r="M177" s="844"/>
      <c r="N177" s="844"/>
      <c r="O177" s="48">
        <f>IF(t&lt;Tnet,'2018'!Resal+('2018'!Salim-'2018'!Resal)*(1-EXP(('2018'!Tnet-t)/('2018'!Tau_j))),Resal+(Salim-Resal)*(1-EXP((Tnet-t)/(Tau_j))))*Salcycl</f>
        <v>5.1574946218492963E-2</v>
      </c>
      <c r="P177" s="169">
        <f>(INDEX(Models!$BJ177:$BT177,,T177)*(1-R177)+INDEX(Models!$BJ177:$BT177,,T177+1)*R177-ERP_i)*Q177*Ramure*Pc/MaxiM</f>
        <v>3.6813344005131518E-5</v>
      </c>
      <c r="Q177" s="305">
        <f t="shared" si="51"/>
        <v>0.7</v>
      </c>
      <c r="R177" s="177">
        <f t="shared" si="52"/>
        <v>7.3064426659146253E-3</v>
      </c>
      <c r="S177" s="810">
        <f t="shared" si="53"/>
        <v>-1</v>
      </c>
      <c r="T177" s="176">
        <f t="shared" si="54"/>
        <v>5</v>
      </c>
      <c r="U177" s="251">
        <f t="shared" si="55"/>
        <v>-0.99269355733408537</v>
      </c>
      <c r="V177" s="383">
        <f t="shared" si="56"/>
        <v>60.426830006763581</v>
      </c>
      <c r="W177" s="58"/>
      <c r="X177" s="157">
        <f t="shared" si="57"/>
        <v>43628</v>
      </c>
      <c r="Y177" s="385">
        <f t="shared" si="58"/>
        <v>52.289000000000001</v>
      </c>
      <c r="Z177" s="385">
        <f t="shared" si="59"/>
        <v>52.673717889982612</v>
      </c>
      <c r="AA177" s="386">
        <f t="shared" si="60"/>
        <v>55.538091997849413</v>
      </c>
      <c r="AB177" s="197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5.1574946218492963E-2</v>
      </c>
      <c r="AD177" s="231">
        <f>(INDEX(Models!$BJ177:$BT177,,AH177)*(1-AF177)+INDEX(Models!$BJ177:$BT177,,AH177+1)*AF177-ERP_i)*AE177*Ramure*Pc/MaxiM</f>
        <v>3.6813344005131518E-5</v>
      </c>
      <c r="AE177" s="305">
        <f t="shared" si="62"/>
        <v>0.7</v>
      </c>
      <c r="AF177" s="177">
        <f t="shared" si="63"/>
        <v>7.3064426659146253E-3</v>
      </c>
      <c r="AG177" s="176">
        <f t="shared" si="64"/>
        <v>-1</v>
      </c>
      <c r="AH177" s="176">
        <f t="shared" si="65"/>
        <v>5</v>
      </c>
      <c r="AI177" s="225">
        <f t="shared" si="66"/>
        <v>-0.99269355733408537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6">
        <v>62.027000000000001</v>
      </c>
      <c r="C178" s="390"/>
      <c r="D178" s="393">
        <f t="shared" si="48"/>
        <v>62.484819630869907</v>
      </c>
      <c r="E178" s="385">
        <f t="shared" si="73"/>
        <v>65.894208148876274</v>
      </c>
      <c r="F178" s="385">
        <f t="shared" si="49"/>
        <v>65.896682461422955</v>
      </c>
      <c r="G178" s="110">
        <f t="shared" si="74"/>
        <v>1.0269970595064855</v>
      </c>
      <c r="H178" s="414" t="b">
        <f>Wh_hp&gt;='2018'!Maxi_hp</f>
        <v>1</v>
      </c>
      <c r="I178" s="390">
        <f>IF(H178,Wh_hp,'2018'!Maxi_hp)</f>
        <v>65.896682461422955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7.3268936931318862E-3</v>
      </c>
      <c r="M178" s="844"/>
      <c r="N178" s="844"/>
      <c r="O178" s="48">
        <f>IF(t&lt;Tnet,'2018'!Resal+('2018'!Salim-'2018'!Resal)*(1-EXP(('2018'!Tnet-t)/('2018'!Tau_j))),Resal+(Salim-Resal)*(1-EXP((Tnet-t)/(Tau_j))))*Salcycl</f>
        <v>5.1740336727371529E-2</v>
      </c>
      <c r="P178" s="169">
        <f>(INDEX(Models!$BJ178:$BT178,,T178)*(1-R178)+INDEX(Models!$BJ178:$BT178,,T178+1)*R178-ERP_i)*Q178*Ramure*Pc/MaxiM</f>
        <v>3.7548362895554244E-5</v>
      </c>
      <c r="Q178" s="305">
        <f t="shared" si="51"/>
        <v>0.7</v>
      </c>
      <c r="R178" s="177">
        <f t="shared" si="52"/>
        <v>1.1412127428527818E-2</v>
      </c>
      <c r="S178" s="810">
        <f t="shared" si="53"/>
        <v>-1</v>
      </c>
      <c r="T178" s="176">
        <f t="shared" si="54"/>
        <v>5</v>
      </c>
      <c r="U178" s="251">
        <f t="shared" si="55"/>
        <v>-0.98858787257147218</v>
      </c>
      <c r="V178" s="383">
        <f t="shared" si="56"/>
        <v>60.39647282905225</v>
      </c>
      <c r="W178" s="58"/>
      <c r="X178" s="157">
        <f t="shared" si="57"/>
        <v>43629</v>
      </c>
      <c r="Y178" s="385">
        <f t="shared" si="58"/>
        <v>62.027000000000001</v>
      </c>
      <c r="Z178" s="385">
        <f t="shared" si="59"/>
        <v>62.484819630869907</v>
      </c>
      <c r="AA178" s="386">
        <f t="shared" si="60"/>
        <v>65.894208148876274</v>
      </c>
      <c r="AB178" s="197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5.1740336727371529E-2</v>
      </c>
      <c r="AD178" s="231">
        <f>(INDEX(Models!$BJ178:$BT178,,AH178)*(1-AF178)+INDEX(Models!$BJ178:$BT178,,AH178+1)*AF178-ERP_i)*AE178*Ramure*Pc/MaxiM</f>
        <v>3.7548362895554244E-5</v>
      </c>
      <c r="AE178" s="305">
        <f t="shared" si="62"/>
        <v>0.7</v>
      </c>
      <c r="AF178" s="177">
        <f t="shared" si="63"/>
        <v>1.1412127428527818E-2</v>
      </c>
      <c r="AG178" s="176">
        <f t="shared" si="64"/>
        <v>-1</v>
      </c>
      <c r="AH178" s="176">
        <f t="shared" si="65"/>
        <v>5</v>
      </c>
      <c r="AI178" s="225">
        <f t="shared" si="66"/>
        <v>-0.98858787257147218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6">
        <v>24.65</v>
      </c>
      <c r="C179" s="390"/>
      <c r="D179" s="393">
        <f t="shared" si="48"/>
        <v>24.832518880833678</v>
      </c>
      <c r="E179" s="385">
        <f t="shared" si="73"/>
        <v>26.192014933858754</v>
      </c>
      <c r="F179" s="385">
        <f t="shared" si="49"/>
        <v>26.192170094228441</v>
      </c>
      <c r="G179" s="110">
        <f t="shared" si="74"/>
        <v>0.40834941809296832</v>
      </c>
      <c r="H179" s="414" t="b">
        <f>Wh_hp&gt;='2018'!Maxi_hp</f>
        <v>1</v>
      </c>
      <c r="I179" s="390">
        <f>IF(H179,Wh_hp,'2018'!Maxi_hp)</f>
        <v>26.192170094228441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7.3499946465177546E-3</v>
      </c>
      <c r="M179" s="844"/>
      <c r="N179" s="844"/>
      <c r="O179" s="48">
        <f>IF(t&lt;Tnet,'2018'!Resal+('2018'!Salim-'2018'!Resal)*(1-EXP(('2018'!Tnet-t)/('2018'!Tau_j))),Resal+(Salim-Resal)*(1-EXP((Tnet-t)/(Tau_j))))*Salcycl</f>
        <v>5.1904981592983117E-2</v>
      </c>
      <c r="P179" s="169">
        <f>(INDEX(Models!$BJ179:$BT179,,T179)*(1-R179)+INDEX(Models!$BJ179:$BT179,,T179+1)*R179-ERP_i)*Q179*Ramure*Pc/MaxiM</f>
        <v>3.8267301872834873E-5</v>
      </c>
      <c r="Q179" s="305">
        <f t="shared" si="51"/>
        <v>0.7</v>
      </c>
      <c r="R179" s="177">
        <f t="shared" si="52"/>
        <v>1.5507438962788611E-2</v>
      </c>
      <c r="S179" s="810">
        <f t="shared" si="53"/>
        <v>-1</v>
      </c>
      <c r="T179" s="176">
        <f t="shared" si="54"/>
        <v>5</v>
      </c>
      <c r="U179" s="251">
        <f t="shared" si="55"/>
        <v>-0.98449256103721139</v>
      </c>
      <c r="V179" s="383">
        <f t="shared" si="56"/>
        <v>60.363016668603493</v>
      </c>
      <c r="W179" s="58"/>
      <c r="X179" s="157">
        <f t="shared" si="57"/>
        <v>43630</v>
      </c>
      <c r="Y179" s="385">
        <f t="shared" si="58"/>
        <v>24.65</v>
      </c>
      <c r="Z179" s="385">
        <f t="shared" si="59"/>
        <v>24.832518880833678</v>
      </c>
      <c r="AA179" s="386">
        <f t="shared" si="60"/>
        <v>26.192014933858754</v>
      </c>
      <c r="AB179" s="197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5.1904981592983117E-2</v>
      </c>
      <c r="AD179" s="231">
        <f>(INDEX(Models!$BJ179:$BT179,,AH179)*(1-AF179)+INDEX(Models!$BJ179:$BT179,,AH179+1)*AF179-ERP_i)*AE179*Ramure*Pc/MaxiM</f>
        <v>3.8267301872834873E-5</v>
      </c>
      <c r="AE179" s="305">
        <f t="shared" si="62"/>
        <v>0.7</v>
      </c>
      <c r="AF179" s="177">
        <f t="shared" si="63"/>
        <v>1.5507438962788611E-2</v>
      </c>
      <c r="AG179" s="176">
        <f t="shared" si="64"/>
        <v>-1</v>
      </c>
      <c r="AH179" s="176">
        <f t="shared" si="65"/>
        <v>5</v>
      </c>
      <c r="AI179" s="225">
        <f t="shared" si="66"/>
        <v>-0.98449256103721139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6">
        <v>25.303000000000001</v>
      </c>
      <c r="C180" s="390"/>
      <c r="D180" s="393">
        <f t="shared" si="48"/>
        <v>25.49094717676261</v>
      </c>
      <c r="E180" s="385">
        <f t="shared" si="73"/>
        <v>26.891137827806247</v>
      </c>
      <c r="F180" s="385">
        <f t="shared" si="49"/>
        <v>26.891316625481021</v>
      </c>
      <c r="G180" s="110">
        <f t="shared" si="74"/>
        <v>0.41942021510961808</v>
      </c>
      <c r="H180" s="414" t="b">
        <f>Wh_hp&gt;='2018'!Maxi_hp</f>
        <v>1</v>
      </c>
      <c r="I180" s="390">
        <f>IF(H180,Wh_hp,'2018'!Maxi_hp)</f>
        <v>26.891316625481021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7.3730950623106528E-3</v>
      </c>
      <c r="M180" s="844"/>
      <c r="N180" s="844"/>
      <c r="O180" s="48">
        <f>IF(t&lt;Tnet,'2018'!Resal+('2018'!Salim-'2018'!Resal)*(1-EXP(('2018'!Tnet-t)/('2018'!Tau_j))),Resal+(Salim-Resal)*(1-EXP((Tnet-t)/(Tau_j))))*Salcycl</f>
        <v>5.206885108430772E-2</v>
      </c>
      <c r="P180" s="169">
        <f>(INDEX(Models!$BJ180:$BT180,,T180)*(1-R180)+INDEX(Models!$BJ180:$BT180,,T180+1)*R180-ERP_i)*Q180*Ramure*Pc/MaxiM</f>
        <v>3.8969128554216201E-5</v>
      </c>
      <c r="Q180" s="305">
        <f t="shared" si="51"/>
        <v>0.7</v>
      </c>
      <c r="R180" s="177">
        <f t="shared" si="52"/>
        <v>1.958897380050062E-2</v>
      </c>
      <c r="S180" s="810">
        <f t="shared" si="53"/>
        <v>-1</v>
      </c>
      <c r="T180" s="176">
        <f t="shared" si="54"/>
        <v>5</v>
      </c>
      <c r="U180" s="251">
        <f t="shared" si="55"/>
        <v>-0.98041102619949938</v>
      </c>
      <c r="V180" s="383">
        <f t="shared" si="56"/>
        <v>60.326568163163515</v>
      </c>
      <c r="W180" s="58"/>
      <c r="X180" s="157">
        <f t="shared" si="57"/>
        <v>43631</v>
      </c>
      <c r="Y180" s="385">
        <f t="shared" si="58"/>
        <v>25.303000000000001</v>
      </c>
      <c r="Z180" s="385">
        <f t="shared" si="59"/>
        <v>25.49094717676261</v>
      </c>
      <c r="AA180" s="386">
        <f t="shared" si="60"/>
        <v>26.891137827806247</v>
      </c>
      <c r="AB180" s="197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5.206885108430772E-2</v>
      </c>
      <c r="AD180" s="231">
        <f>(INDEX(Models!$BJ180:$BT180,,AH180)*(1-AF180)+INDEX(Models!$BJ180:$BT180,,AH180+1)*AF180-ERP_i)*AE180*Ramure*Pc/MaxiM</f>
        <v>3.8969128554216201E-5</v>
      </c>
      <c r="AE180" s="305">
        <f t="shared" si="62"/>
        <v>0.7</v>
      </c>
      <c r="AF180" s="177">
        <f t="shared" si="63"/>
        <v>1.958897380050062E-2</v>
      </c>
      <c r="AG180" s="176">
        <f t="shared" si="64"/>
        <v>-1</v>
      </c>
      <c r="AH180" s="176">
        <f t="shared" si="65"/>
        <v>5</v>
      </c>
      <c r="AI180" s="225">
        <f t="shared" si="66"/>
        <v>-0.98041102619949938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6">
        <v>61.679000000000002</v>
      </c>
      <c r="C181" s="390"/>
      <c r="D181" s="393">
        <f t="shared" si="48"/>
        <v>62.138589118449119</v>
      </c>
      <c r="E181" s="385">
        <f t="shared" si="73"/>
        <v>65.563074206891727</v>
      </c>
      <c r="F181" s="385">
        <f t="shared" si="49"/>
        <v>65.565674070131692</v>
      </c>
      <c r="G181" s="110">
        <f t="shared" si="74"/>
        <v>1.0230855887490531</v>
      </c>
      <c r="H181" s="414" t="b">
        <f>Wh_hp&gt;='2018'!Maxi_hp</f>
        <v>1</v>
      </c>
      <c r="I181" s="390">
        <f>IF(H181,Wh_hp,'2018'!Maxi_hp)</f>
        <v>65.565674070131692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7.3961949405231264E-3</v>
      </c>
      <c r="M181" s="844"/>
      <c r="N181" s="844"/>
      <c r="O181" s="48">
        <f>IF(t&lt;Tnet,'2018'!Resal+('2018'!Salim-'2018'!Resal)*(1-EXP(('2018'!Tnet-t)/('2018'!Tau_j))),Resal+(Salim-Resal)*(1-EXP((Tnet-t)/(Tau_j))))*Salcycl</f>
        <v>5.223191758269688E-2</v>
      </c>
      <c r="P181" s="169">
        <f>(INDEX(Models!$BJ181:$BT181,,T181)*(1-R181)+INDEX(Models!$BJ181:$BT181,,T181+1)*R181-ERP_i)*Q181*Ramure*Pc/MaxiM</f>
        <v>3.9652810359089997E-5</v>
      </c>
      <c r="Q181" s="305">
        <f t="shared" si="51"/>
        <v>0.7</v>
      </c>
      <c r="R181" s="177">
        <f t="shared" si="52"/>
        <v>2.3653374496718116E-2</v>
      </c>
      <c r="S181" s="810">
        <f t="shared" si="53"/>
        <v>-1</v>
      </c>
      <c r="T181" s="176">
        <f t="shared" si="54"/>
        <v>5</v>
      </c>
      <c r="U181" s="251">
        <f t="shared" si="55"/>
        <v>-0.97634662550328188</v>
      </c>
      <c r="V181" s="383">
        <f t="shared" si="56"/>
        <v>60.287233715623074</v>
      </c>
      <c r="W181" s="58"/>
      <c r="X181" s="157">
        <f t="shared" si="57"/>
        <v>43632</v>
      </c>
      <c r="Y181" s="385">
        <f t="shared" si="58"/>
        <v>61.679000000000002</v>
      </c>
      <c r="Z181" s="385">
        <f t="shared" si="59"/>
        <v>62.138589118449119</v>
      </c>
      <c r="AA181" s="386">
        <f t="shared" si="60"/>
        <v>65.563074206891727</v>
      </c>
      <c r="AB181" s="197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5.223191758269688E-2</v>
      </c>
      <c r="AD181" s="231">
        <f>(INDEX(Models!$BJ181:$BT181,,AH181)*(1-AF181)+INDEX(Models!$BJ181:$BT181,,AH181+1)*AF181-ERP_i)*AE181*Ramure*Pc/MaxiM</f>
        <v>3.9652810359089997E-5</v>
      </c>
      <c r="AE181" s="305">
        <f t="shared" si="62"/>
        <v>0.7</v>
      </c>
      <c r="AF181" s="177">
        <f t="shared" si="63"/>
        <v>2.3653374496718116E-2</v>
      </c>
      <c r="AG181" s="176">
        <f t="shared" si="64"/>
        <v>-1</v>
      </c>
      <c r="AH181" s="176">
        <f t="shared" si="65"/>
        <v>5</v>
      </c>
      <c r="AI181" s="225">
        <f t="shared" si="66"/>
        <v>-0.97634662550328188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6">
        <v>59.722999999999999</v>
      </c>
      <c r="C182" s="390"/>
      <c r="D182" s="393">
        <f t="shared" si="48"/>
        <v>60.169414593595462</v>
      </c>
      <c r="E182" s="385">
        <f t="shared" si="73"/>
        <v>63.4962468355981</v>
      </c>
      <c r="F182" s="385">
        <f t="shared" si="49"/>
        <v>63.498775239752014</v>
      </c>
      <c r="G182" s="110">
        <f t="shared" si="74"/>
        <v>0.99133291946780255</v>
      </c>
      <c r="H182" s="414" t="b">
        <f>Wh_hp&gt;='2018'!Maxi_hp</f>
        <v>1</v>
      </c>
      <c r="I182" s="390">
        <f>IF(H182,Wh_hp,'2018'!Maxi_hp)</f>
        <v>63.498775239752014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7.4192942811676099E-3</v>
      </c>
      <c r="M182" s="844"/>
      <c r="N182" s="844"/>
      <c r="O182" s="48">
        <f>IF(t&lt;Tnet,'2018'!Resal+('2018'!Salim-'2018'!Resal)*(1-EXP(('2018'!Tnet-t)/('2018'!Tau_j))),Resal+(Salim-Resal)*(1-EXP((Tnet-t)/(Tau_j))))*Salcycl</f>
        <v>5.2394155683190863E-2</v>
      </c>
      <c r="P182" s="169">
        <f>(INDEX(Models!$BJ182:$BT182,,T182)*(1-R182)+INDEX(Models!$BJ182:$BT182,,T182+1)*R182-ERP_i)*Q182*Ramure*Pc/MaxiM</f>
        <v>4.0317318380067075E-5</v>
      </c>
      <c r="Q182" s="305">
        <f t="shared" si="51"/>
        <v>0.7</v>
      </c>
      <c r="R182" s="177">
        <f t="shared" si="52"/>
        <v>2.7697340520445923E-2</v>
      </c>
      <c r="S182" s="810">
        <f t="shared" si="53"/>
        <v>-1</v>
      </c>
      <c r="T182" s="176">
        <f t="shared" si="54"/>
        <v>5</v>
      </c>
      <c r="U182" s="251">
        <f t="shared" si="55"/>
        <v>-0.97230265947955408</v>
      </c>
      <c r="V182" s="383">
        <f t="shared" si="56"/>
        <v>60.245119489641347</v>
      </c>
      <c r="W182" s="58"/>
      <c r="X182" s="157">
        <f t="shared" si="57"/>
        <v>43633</v>
      </c>
      <c r="Y182" s="385">
        <f t="shared" si="58"/>
        <v>59.722999999999999</v>
      </c>
      <c r="Z182" s="385">
        <f t="shared" si="59"/>
        <v>60.169414593595462</v>
      </c>
      <c r="AA182" s="386">
        <f t="shared" si="60"/>
        <v>63.4962468355981</v>
      </c>
      <c r="AB182" s="197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5.2394155683190863E-2</v>
      </c>
      <c r="AD182" s="231">
        <f>(INDEX(Models!$BJ182:$BT182,,AH182)*(1-AF182)+INDEX(Models!$BJ182:$BT182,,AH182+1)*AF182-ERP_i)*AE182*Ramure*Pc/MaxiM</f>
        <v>4.0317318380067075E-5</v>
      </c>
      <c r="AE182" s="305">
        <f t="shared" si="62"/>
        <v>0.7</v>
      </c>
      <c r="AF182" s="177">
        <f t="shared" si="63"/>
        <v>2.7697340520445923E-2</v>
      </c>
      <c r="AG182" s="176">
        <f t="shared" si="64"/>
        <v>-1</v>
      </c>
      <c r="AH182" s="176">
        <f t="shared" si="65"/>
        <v>5</v>
      </c>
      <c r="AI182" s="225">
        <f t="shared" si="66"/>
        <v>-0.97230265947955408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6">
        <v>57.204999999999998</v>
      </c>
      <c r="C183" s="390"/>
      <c r="D183" s="393">
        <f t="shared" si="48"/>
        <v>57.633934394758057</v>
      </c>
      <c r="E183" s="385">
        <f t="shared" si="73"/>
        <v>60.830937291757699</v>
      </c>
      <c r="F183" s="385">
        <f t="shared" si="49"/>
        <v>60.833252001548445</v>
      </c>
      <c r="G183" s="110">
        <f t="shared" si="74"/>
        <v>0.95024117155872989</v>
      </c>
      <c r="H183" s="414" t="b">
        <f>Wh_hp&gt;='2018'!Maxi_hp</f>
        <v>1</v>
      </c>
      <c r="I183" s="390">
        <f>IF(H183,Wh_hp,'2018'!Maxi_hp)</f>
        <v>60.833252001548445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7.4423930842568708E-3</v>
      </c>
      <c r="M183" s="844"/>
      <c r="N183" s="844"/>
      <c r="O183" s="48">
        <f>IF(t&lt;Tnet,'2018'!Resal+('2018'!Salim-'2018'!Resal)*(1-EXP(('2018'!Tnet-t)/('2018'!Tau_j))),Resal+(Salim-Resal)*(1-EXP((Tnet-t)/(Tau_j))))*Salcycl</f>
        <v>5.2555542283791612E-2</v>
      </c>
      <c r="P183" s="169">
        <f>(INDEX(Models!$BJ183:$BT183,,T183)*(1-R183)+INDEX(Models!$BJ183:$BT183,,T183+1)*R183-ERP_i)*Q183*Ramure*Pc/MaxiM</f>
        <v>4.0961631180627536E-5</v>
      </c>
      <c r="Q183" s="305">
        <f t="shared" si="51"/>
        <v>0.7</v>
      </c>
      <c r="R183" s="177">
        <f t="shared" si="52"/>
        <v>3.1717638746263543E-2</v>
      </c>
      <c r="S183" s="810">
        <f t="shared" si="53"/>
        <v>-1</v>
      </c>
      <c r="T183" s="176">
        <f t="shared" si="54"/>
        <v>5</v>
      </c>
      <c r="U183" s="251">
        <f t="shared" si="55"/>
        <v>-0.96828236125373646</v>
      </c>
      <c r="V183" s="383">
        <f t="shared" si="56"/>
        <v>60.200331400338236</v>
      </c>
      <c r="W183" s="58"/>
      <c r="X183" s="157">
        <f t="shared" si="57"/>
        <v>43634</v>
      </c>
      <c r="Y183" s="385">
        <f t="shared" si="58"/>
        <v>57.204999999999998</v>
      </c>
      <c r="Z183" s="385">
        <f t="shared" si="59"/>
        <v>57.633934394758057</v>
      </c>
      <c r="AA183" s="386">
        <f t="shared" si="60"/>
        <v>60.830937291757699</v>
      </c>
      <c r="AB183" s="197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5.2555542283791612E-2</v>
      </c>
      <c r="AD183" s="231">
        <f>(INDEX(Models!$BJ183:$BT183,,AH183)*(1-AF183)+INDEX(Models!$BJ183:$BT183,,AH183+1)*AF183-ERP_i)*AE183*Ramure*Pc/MaxiM</f>
        <v>4.0961631180627536E-5</v>
      </c>
      <c r="AE183" s="305">
        <f t="shared" si="62"/>
        <v>0.7</v>
      </c>
      <c r="AF183" s="177">
        <f t="shared" si="63"/>
        <v>3.1717638746263543E-2</v>
      </c>
      <c r="AG183" s="176">
        <f t="shared" si="64"/>
        <v>-1</v>
      </c>
      <c r="AH183" s="176">
        <f t="shared" si="65"/>
        <v>5</v>
      </c>
      <c r="AI183" s="225">
        <f t="shared" si="66"/>
        <v>-0.96828236125373646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6">
        <v>48.7</v>
      </c>
      <c r="C184" s="390"/>
      <c r="D184" s="393">
        <f t="shared" si="48"/>
        <v>49.066304068590881</v>
      </c>
      <c r="E184" s="385">
        <f t="shared" si="73"/>
        <v>51.796828621092708</v>
      </c>
      <c r="F184" s="385">
        <f t="shared" si="49"/>
        <v>51.798395929733495</v>
      </c>
      <c r="G184" s="110">
        <f t="shared" si="74"/>
        <v>0.80959334547980688</v>
      </c>
      <c r="H184" s="414" t="b">
        <f>Wh_hp&gt;='2018'!Maxi_hp</f>
        <v>1</v>
      </c>
      <c r="I184" s="390">
        <f>IF(H184,Wh_hp,'2018'!Maxi_hp)</f>
        <v>51.798395929733495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7.4654913498031217E-3</v>
      </c>
      <c r="M184" s="844"/>
      <c r="N184" s="844"/>
      <c r="O184" s="48">
        <f>IF(t&lt;Tnet,'2018'!Resal+('2018'!Salim-'2018'!Resal)*(1-EXP(('2018'!Tnet-t)/('2018'!Tau_j))),Resal+(Salim-Resal)*(1-EXP((Tnet-t)/(Tau_j))))*Salcycl</f>
        <v>5.2716056662007724E-2</v>
      </c>
      <c r="P184" s="169">
        <f>(INDEX(Models!$BJ184:$BT184,,T184)*(1-R184)+INDEX(Models!$BJ184:$BT184,,T184+1)*R184-ERP_i)*Q184*Ramure*Pc/MaxiM</f>
        <v>4.1562791505009842E-5</v>
      </c>
      <c r="Q184" s="305">
        <f t="shared" si="51"/>
        <v>0.7</v>
      </c>
      <c r="R184" s="177">
        <f t="shared" si="52"/>
        <v>3.5711113477793544E-2</v>
      </c>
      <c r="S184" s="810">
        <f t="shared" si="53"/>
        <v>-1</v>
      </c>
      <c r="T184" s="176">
        <f t="shared" si="54"/>
        <v>5</v>
      </c>
      <c r="U184" s="251">
        <f t="shared" si="55"/>
        <v>-0.96428888652220646</v>
      </c>
      <c r="V184" s="383">
        <f t="shared" si="56"/>
        <v>60.152976435770654</v>
      </c>
      <c r="W184" s="58"/>
      <c r="X184" s="157">
        <f t="shared" si="57"/>
        <v>43635</v>
      </c>
      <c r="Y184" s="385">
        <f t="shared" si="58"/>
        <v>48.7</v>
      </c>
      <c r="Z184" s="385">
        <f t="shared" si="59"/>
        <v>49.066304068590881</v>
      </c>
      <c r="AA184" s="386">
        <f t="shared" si="60"/>
        <v>51.796828621092708</v>
      </c>
      <c r="AB184" s="197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5.2716056662007724E-2</v>
      </c>
      <c r="AD184" s="231">
        <f>(INDEX(Models!$BJ184:$BT184,,AH184)*(1-AF184)+INDEX(Models!$BJ184:$BT184,,AH184+1)*AF184-ERP_i)*AE184*Ramure*Pc/MaxiM</f>
        <v>4.1562791505009842E-5</v>
      </c>
      <c r="AE184" s="305">
        <f t="shared" si="62"/>
        <v>0.7</v>
      </c>
      <c r="AF184" s="177">
        <f t="shared" si="63"/>
        <v>3.5711113477793544E-2</v>
      </c>
      <c r="AG184" s="176">
        <f t="shared" si="64"/>
        <v>-1</v>
      </c>
      <c r="AH184" s="176">
        <f t="shared" si="65"/>
        <v>5</v>
      </c>
      <c r="AI184" s="225">
        <f t="shared" si="66"/>
        <v>-0.96428888652220646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6">
        <v>25.757999999999999</v>
      </c>
      <c r="C185" s="390"/>
      <c r="D185" s="393">
        <f t="shared" si="48"/>
        <v>25.952346458230881</v>
      </c>
      <c r="E185" s="385">
        <f t="shared" si="73"/>
        <v>27.401203754302234</v>
      </c>
      <c r="F185" s="385">
        <f t="shared" si="49"/>
        <v>27.401415730391584</v>
      </c>
      <c r="G185" s="110">
        <f t="shared" si="74"/>
        <v>0.42854842128394394</v>
      </c>
      <c r="H185" s="414" t="b">
        <f>Wh_hp&gt;='2018'!Maxi_hp</f>
        <v>1</v>
      </c>
      <c r="I185" s="390">
        <f>IF(H185,Wh_hp,'2018'!Maxi_hp)</f>
        <v>27.401415730391584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7.4885890778190189E-3</v>
      </c>
      <c r="M185" s="844"/>
      <c r="N185" s="844"/>
      <c r="O185" s="48">
        <f>IF(t&lt;Tnet,'2018'!Resal+('2018'!Salim-'2018'!Resal)*(1-EXP(('2018'!Tnet-t)/('2018'!Tau_j))),Resal+(Salim-Resal)*(1-EXP((Tnet-t)/(Tau_j))))*Salcycl</f>
        <v>5.2875680538081109E-2</v>
      </c>
      <c r="P185" s="169">
        <f>(INDEX(Models!$BJ185:$BT185,,T185)*(1-R185)+INDEX(Models!$BJ185:$BT185,,T185+1)*R185-ERP_i)*Q185*Ramure*Pc/MaxiM</f>
        <v>4.212068099719092E-5</v>
      </c>
      <c r="Q185" s="305">
        <f t="shared" si="51"/>
        <v>0.7</v>
      </c>
      <c r="R185" s="177">
        <f t="shared" si="52"/>
        <v>3.9674695939459381E-2</v>
      </c>
      <c r="S185" s="810">
        <f t="shared" si="53"/>
        <v>-1</v>
      </c>
      <c r="T185" s="176">
        <f t="shared" si="54"/>
        <v>5</v>
      </c>
      <c r="U185" s="251">
        <f t="shared" si="55"/>
        <v>-0.96032530406054062</v>
      </c>
      <c r="V185" s="383">
        <f t="shared" si="56"/>
        <v>60.10315995139856</v>
      </c>
      <c r="W185" s="58"/>
      <c r="X185" s="157">
        <f t="shared" si="57"/>
        <v>43636</v>
      </c>
      <c r="Y185" s="385">
        <f t="shared" si="58"/>
        <v>25.757999999999999</v>
      </c>
      <c r="Z185" s="385">
        <f t="shared" si="59"/>
        <v>25.952346458230881</v>
      </c>
      <c r="AA185" s="386">
        <f t="shared" si="60"/>
        <v>27.401203754302234</v>
      </c>
      <c r="AB185" s="197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5.2875680538081109E-2</v>
      </c>
      <c r="AD185" s="231">
        <f>(INDEX(Models!$BJ185:$BT185,,AH185)*(1-AF185)+INDEX(Models!$BJ185:$BT185,,AH185+1)*AF185-ERP_i)*AE185*Ramure*Pc/MaxiM</f>
        <v>4.212068099719092E-5</v>
      </c>
      <c r="AE185" s="305">
        <f t="shared" si="62"/>
        <v>0.7</v>
      </c>
      <c r="AF185" s="177">
        <f t="shared" si="63"/>
        <v>3.9674695939459381E-2</v>
      </c>
      <c r="AG185" s="176">
        <f t="shared" si="64"/>
        <v>-1</v>
      </c>
      <c r="AH185" s="176">
        <f t="shared" si="65"/>
        <v>5</v>
      </c>
      <c r="AI185" s="225">
        <f t="shared" si="66"/>
        <v>-0.96032530406054062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6">
        <v>11.257999999999999</v>
      </c>
      <c r="C186" s="390"/>
      <c r="D186" s="393">
        <f t="shared" si="48"/>
        <v>11.343206609325955</v>
      </c>
      <c r="E186" s="385">
        <f t="shared" si="73"/>
        <v>11.978477979410435</v>
      </c>
      <c r="F186" s="385">
        <f t="shared" si="49"/>
        <v>11.978477979410435</v>
      </c>
      <c r="G186" s="110">
        <f t="shared" si="74"/>
        <v>0.18746602789277228</v>
      </c>
      <c r="H186" s="414" t="b">
        <f>Wh_hp&gt;='2018'!Maxi_hp</f>
        <v>1</v>
      </c>
      <c r="I186" s="390">
        <f>IF(H186,Wh_hp,'2018'!Maxi_hp)</f>
        <v>11.978477979410435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7.5116862683169972E-3</v>
      </c>
      <c r="M186" s="844"/>
      <c r="N186" s="844"/>
      <c r="O186" s="48">
        <f>IF(t&lt;Tnet,'2018'!Resal+('2018'!Salim-'2018'!Resal)*(1-EXP(('2018'!Tnet-t)/('2018'!Tau_j))),Resal+(Salim-Resal)*(1-EXP((Tnet-t)/(Tau_j))))*Salcycl</f>
        <v>5.3034398124405704E-2</v>
      </c>
      <c r="P186" s="169">
        <f>(INDEX(Models!$BJ186:$BT186,,T186)*(1-R186)+INDEX(Models!$BJ186:$BT186,,T186+1)*R186-ERP_i)*Q186*Ramure*Pc/MaxiM</f>
        <v>4.2633345893995802E-5</v>
      </c>
      <c r="Q186" s="305">
        <f t="shared" si="51"/>
        <v>0.7</v>
      </c>
      <c r="R186" s="177">
        <f t="shared" si="52"/>
        <v>4.3605413179160779E-2</v>
      </c>
      <c r="S186" s="810">
        <f t="shared" si="53"/>
        <v>-1</v>
      </c>
      <c r="T186" s="176">
        <f t="shared" si="54"/>
        <v>5</v>
      </c>
      <c r="U186" s="251">
        <f t="shared" si="55"/>
        <v>-0.95639458682083922</v>
      </c>
      <c r="V186" s="383">
        <f t="shared" si="56"/>
        <v>60.050987159289754</v>
      </c>
      <c r="W186" s="58"/>
      <c r="X186" s="157">
        <f t="shared" si="57"/>
        <v>43637</v>
      </c>
      <c r="Y186" s="385">
        <f t="shared" si="58"/>
        <v>11.257999999999999</v>
      </c>
      <c r="Z186" s="385">
        <f t="shared" si="59"/>
        <v>11.343206609325955</v>
      </c>
      <c r="AA186" s="386">
        <f t="shared" si="60"/>
        <v>11.978477979410435</v>
      </c>
      <c r="AB186" s="197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5.3034398124405704E-2</v>
      </c>
      <c r="AD186" s="231">
        <f>(INDEX(Models!$BJ186:$BT186,,AH186)*(1-AF186)+INDEX(Models!$BJ186:$BT186,,AH186+1)*AF186-ERP_i)*AE186*Ramure*Pc/MaxiM</f>
        <v>4.2633345893995802E-5</v>
      </c>
      <c r="AE186" s="305">
        <f t="shared" si="62"/>
        <v>0.7</v>
      </c>
      <c r="AF186" s="177">
        <f t="shared" si="63"/>
        <v>4.3605413179160779E-2</v>
      </c>
      <c r="AG186" s="176">
        <f t="shared" si="64"/>
        <v>-1</v>
      </c>
      <c r="AH186" s="176">
        <f t="shared" si="65"/>
        <v>5</v>
      </c>
      <c r="AI186" s="225">
        <f t="shared" si="66"/>
        <v>-0.95639458682083922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6">
        <v>56.084000000000003</v>
      </c>
      <c r="C187" s="390"/>
      <c r="D187" s="393">
        <f t="shared" si="48"/>
        <v>56.509788992991204</v>
      </c>
      <c r="E187" s="385">
        <f t="shared" si="73"/>
        <v>59.684540794707743</v>
      </c>
      <c r="F187" s="385">
        <f t="shared" si="49"/>
        <v>59.68687357898208</v>
      </c>
      <c r="G187" s="110">
        <f t="shared" si="74"/>
        <v>0.934783127411419</v>
      </c>
      <c r="H187" s="414" t="b">
        <f>Wh_hp&gt;='2018'!Maxi_hp</f>
        <v>1</v>
      </c>
      <c r="I187" s="390">
        <f>IF(H187,Wh_hp,'2018'!Maxi_hp)</f>
        <v>59.68687357898208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7.5347829213096018E-3</v>
      </c>
      <c r="M187" s="844"/>
      <c r="N187" s="844"/>
      <c r="O187" s="48">
        <f>IF(t&lt;Tnet,'2018'!Resal+('2018'!Salim-'2018'!Resal)*(1-EXP(('2018'!Tnet-t)/('2018'!Tau_j))),Resal+(Salim-Resal)*(1-EXP((Tnet-t)/(Tau_j))))*Salcycl</f>
        <v>5.3192196160752714E-2</v>
      </c>
      <c r="P187" s="169">
        <f>(INDEX(Models!$BJ187:$BT187,,T187)*(1-R187)+INDEX(Models!$BJ187:$BT187,,T187+1)*R187-ERP_i)*Q187*Ramure*Pc/MaxiM</f>
        <v>4.3098866206790621E-5</v>
      </c>
      <c r="Q187" s="305">
        <f t="shared" si="51"/>
        <v>0.7</v>
      </c>
      <c r="R187" s="177">
        <f t="shared" si="52"/>
        <v>4.7500396331230821E-2</v>
      </c>
      <c r="S187" s="810">
        <f t="shared" si="53"/>
        <v>-1</v>
      </c>
      <c r="T187" s="176">
        <f t="shared" si="54"/>
        <v>5</v>
      </c>
      <c r="U187" s="251">
        <f t="shared" si="55"/>
        <v>-0.95249960366876918</v>
      </c>
      <c r="V187" s="383">
        <f t="shared" si="56"/>
        <v>59.996563010621998</v>
      </c>
      <c r="W187" s="58"/>
      <c r="X187" s="157">
        <f t="shared" si="57"/>
        <v>43638</v>
      </c>
      <c r="Y187" s="385">
        <f t="shared" si="58"/>
        <v>56.084000000000003</v>
      </c>
      <c r="Z187" s="385">
        <f t="shared" si="59"/>
        <v>56.509788992991204</v>
      </c>
      <c r="AA187" s="386">
        <f t="shared" si="60"/>
        <v>59.684540794707743</v>
      </c>
      <c r="AB187" s="197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5.3192196160752714E-2</v>
      </c>
      <c r="AD187" s="231">
        <f>(INDEX(Models!$BJ187:$BT187,,AH187)*(1-AF187)+INDEX(Models!$BJ187:$BT187,,AH187+1)*AF187-ERP_i)*AE187*Ramure*Pc/MaxiM</f>
        <v>4.3098866206790621E-5</v>
      </c>
      <c r="AE187" s="305">
        <f t="shared" si="62"/>
        <v>0.7</v>
      </c>
      <c r="AF187" s="177">
        <f t="shared" si="63"/>
        <v>4.7500396331230821E-2</v>
      </c>
      <c r="AG187" s="176">
        <f t="shared" si="64"/>
        <v>-1</v>
      </c>
      <c r="AH187" s="176">
        <f t="shared" si="65"/>
        <v>5</v>
      </c>
      <c r="AI187" s="225">
        <f t="shared" si="66"/>
        <v>-0.95249960366876918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6">
        <v>53.423999999999999</v>
      </c>
      <c r="C188" s="390"/>
      <c r="D188" s="393">
        <f t="shared" si="48"/>
        <v>53.830847030304028</v>
      </c>
      <c r="E188" s="385">
        <f t="shared" si="73"/>
        <v>56.864515714807695</v>
      </c>
      <c r="F188" s="385">
        <f t="shared" si="49"/>
        <v>56.866605968442144</v>
      </c>
      <c r="G188" s="110">
        <f t="shared" si="74"/>
        <v>0.89128538352703268</v>
      </c>
      <c r="H188" s="414" t="b">
        <f>Wh_hp&gt;='2018'!Maxi_hp</f>
        <v>1</v>
      </c>
      <c r="I188" s="390">
        <f>IF(H188,Wh_hp,'2018'!Maxi_hp)</f>
        <v>56.866605968442144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7.5578790368093784E-3</v>
      </c>
      <c r="M188" s="844"/>
      <c r="N188" s="844"/>
      <c r="O188" s="48">
        <f>IF(t&lt;Tnet,'2018'!Resal+('2018'!Salim-'2018'!Resal)*(1-EXP(('2018'!Tnet-t)/('2018'!Tau_j))),Resal+(Salim-Resal)*(1-EXP((Tnet-t)/(Tau_j))))*Salcycl</f>
        <v>5.3349063935027856E-2</v>
      </c>
      <c r="P188" s="169">
        <f>(INDEX(Models!$BJ188:$BT188,,T188)*(1-R188)+INDEX(Models!$BJ188:$BT188,,T188+1)*R188-ERP_i)*Q188*Ramure*Pc/MaxiM</f>
        <v>4.3514916164983698E-5</v>
      </c>
      <c r="Q188" s="305">
        <f t="shared" si="51"/>
        <v>0.7</v>
      </c>
      <c r="R188" s="177">
        <f t="shared" si="52"/>
        <v>5.1356888196208317E-2</v>
      </c>
      <c r="S188" s="810">
        <f t="shared" si="53"/>
        <v>-1</v>
      </c>
      <c r="T188" s="176">
        <f t="shared" si="54"/>
        <v>5</v>
      </c>
      <c r="U188" s="251">
        <f t="shared" si="55"/>
        <v>-0.94864311180379168</v>
      </c>
      <c r="V188" s="383">
        <f t="shared" si="56"/>
        <v>59.939992225309922</v>
      </c>
      <c r="W188" s="58"/>
      <c r="X188" s="157">
        <f t="shared" si="57"/>
        <v>43639</v>
      </c>
      <c r="Y188" s="385">
        <f t="shared" si="58"/>
        <v>53.423999999999999</v>
      </c>
      <c r="Z188" s="385">
        <f t="shared" si="59"/>
        <v>53.830847030304028</v>
      </c>
      <c r="AA188" s="386">
        <f t="shared" si="60"/>
        <v>56.864515714807695</v>
      </c>
      <c r="AB188" s="197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5.3349063935027856E-2</v>
      </c>
      <c r="AD188" s="231">
        <f>(INDEX(Models!$BJ188:$BT188,,AH188)*(1-AF188)+INDEX(Models!$BJ188:$BT188,,AH188+1)*AF188-ERP_i)*AE188*Ramure*Pc/MaxiM</f>
        <v>4.3514916164983698E-5</v>
      </c>
      <c r="AE188" s="305">
        <f t="shared" si="62"/>
        <v>0.7</v>
      </c>
      <c r="AF188" s="177">
        <f t="shared" si="63"/>
        <v>5.1356888196208317E-2</v>
      </c>
      <c r="AG188" s="176">
        <f t="shared" si="64"/>
        <v>-1</v>
      </c>
      <c r="AH188" s="176">
        <f t="shared" si="65"/>
        <v>5</v>
      </c>
      <c r="AI188" s="225">
        <f t="shared" si="66"/>
        <v>-0.94864311180379168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6">
        <v>37.863</v>
      </c>
      <c r="C189" s="390"/>
      <c r="D189" s="393">
        <f t="shared" si="48"/>
        <v>38.152231095433564</v>
      </c>
      <c r="E189" s="385">
        <f t="shared" si="73"/>
        <v>40.308961827517471</v>
      </c>
      <c r="F189" s="385">
        <f t="shared" si="49"/>
        <v>40.309801483726631</v>
      </c>
      <c r="G189" s="110">
        <f t="shared" si="74"/>
        <v>0.63228549069458317</v>
      </c>
      <c r="H189" s="414" t="b">
        <f>Wh_hp&gt;='2018'!Maxi_hp</f>
        <v>1</v>
      </c>
      <c r="I189" s="390">
        <f>IF(H189,Wh_hp,'2018'!Maxi_hp)</f>
        <v>40.309801483726631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7.5809746148288726E-3</v>
      </c>
      <c r="M189" s="844"/>
      <c r="N189" s="844"/>
      <c r="O189" s="48">
        <f>IF(t&lt;Tnet,'2018'!Resal+('2018'!Salim-'2018'!Resal)*(1-EXP(('2018'!Tnet-t)/('2018'!Tau_j))),Resal+(Salim-Resal)*(1-EXP((Tnet-t)/(Tau_j))))*Salcycl</f>
        <v>5.3504993289397583E-2</v>
      </c>
      <c r="P189" s="169">
        <f>(INDEX(Models!$BJ189:$BT189,,T189)*(1-R189)+INDEX(Models!$BJ189:$BT189,,T189+1)*R189-ERP_i)*Q189*Ramure*Pc/MaxiM</f>
        <v>4.387917548972558E-5</v>
      </c>
      <c r="Q189" s="305">
        <f t="shared" si="51"/>
        <v>0.7</v>
      </c>
      <c r="R189" s="177">
        <f t="shared" si="52"/>
        <v>5.5172250101442222E-2</v>
      </c>
      <c r="S189" s="810">
        <f t="shared" si="53"/>
        <v>-1</v>
      </c>
      <c r="T189" s="176">
        <f t="shared" si="54"/>
        <v>5</v>
      </c>
      <c r="U189" s="251">
        <f t="shared" si="55"/>
        <v>-0.94482774989855778</v>
      </c>
      <c r="V189" s="383">
        <f t="shared" si="56"/>
        <v>59.881379267704446</v>
      </c>
      <c r="W189" s="58"/>
      <c r="X189" s="157">
        <f t="shared" si="57"/>
        <v>43640</v>
      </c>
      <c r="Y189" s="385">
        <f t="shared" si="58"/>
        <v>37.863</v>
      </c>
      <c r="Z189" s="385">
        <f t="shared" si="59"/>
        <v>38.152231095433564</v>
      </c>
      <c r="AA189" s="386">
        <f t="shared" si="60"/>
        <v>40.308961827517471</v>
      </c>
      <c r="AB189" s="197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5.3504993289397583E-2</v>
      </c>
      <c r="AD189" s="231">
        <f>(INDEX(Models!$BJ189:$BT189,,AH189)*(1-AF189)+INDEX(Models!$BJ189:$BT189,,AH189+1)*AF189-ERP_i)*AE189*Ramure*Pc/MaxiM</f>
        <v>4.387917548972558E-5</v>
      </c>
      <c r="AE189" s="305">
        <f t="shared" si="62"/>
        <v>0.7</v>
      </c>
      <c r="AF189" s="177">
        <f t="shared" si="63"/>
        <v>5.5172250101442222E-2</v>
      </c>
      <c r="AG189" s="176">
        <f t="shared" si="64"/>
        <v>-1</v>
      </c>
      <c r="AH189" s="176">
        <f t="shared" si="65"/>
        <v>5</v>
      </c>
      <c r="AI189" s="225">
        <f t="shared" si="66"/>
        <v>-0.94482774989855778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6">
        <v>56.561</v>
      </c>
      <c r="C190" s="390"/>
      <c r="D190" s="393">
        <f t="shared" si="48"/>
        <v>56.994389306250596</v>
      </c>
      <c r="E190" s="385">
        <f t="shared" si="73"/>
        <v>60.226121709024746</v>
      </c>
      <c r="F190" s="385">
        <f t="shared" si="49"/>
        <v>60.228576007833119</v>
      </c>
      <c r="G190" s="110">
        <f t="shared" si="74"/>
        <v>0.94550354800918912</v>
      </c>
      <c r="H190" s="414" t="b">
        <f>Wh_hp&gt;='2018'!Maxi_hp</f>
        <v>1</v>
      </c>
      <c r="I190" s="390">
        <f>IF(H190,Wh_hp,'2018'!Maxi_hp)</f>
        <v>60.228576007833119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7.6040696553804077E-3</v>
      </c>
      <c r="M190" s="844"/>
      <c r="N190" s="844"/>
      <c r="O190" s="48">
        <f>IF(t&lt;Tnet,'2018'!Resal+('2018'!Salim-'2018'!Resal)*(1-EXP(('2018'!Tnet-t)/('2018'!Tau_j))),Resal+(Salim-Resal)*(1-EXP((Tnet-t)/(Tau_j))))*Salcycl</f>
        <v>5.365997861173722E-2</v>
      </c>
      <c r="P190" s="169">
        <f>(INDEX(Models!$BJ190:$BT190,,T190)*(1-R190)+INDEX(Models!$BJ190:$BT190,,T190+1)*R190-ERP_i)*Q190*Ramure*Pc/MaxiM</f>
        <v>4.418980236099208E-5</v>
      </c>
      <c r="Q190" s="305">
        <f t="shared" si="51"/>
        <v>0.7</v>
      </c>
      <c r="R190" s="177">
        <f t="shared" si="52"/>
        <v>5.8943968014222969E-2</v>
      </c>
      <c r="S190" s="810">
        <f t="shared" si="53"/>
        <v>-1</v>
      </c>
      <c r="T190" s="176">
        <f t="shared" si="54"/>
        <v>5</v>
      </c>
      <c r="U190" s="251">
        <f t="shared" si="55"/>
        <v>-0.94105603198577703</v>
      </c>
      <c r="V190" s="383">
        <f t="shared" si="56"/>
        <v>59.820828317134691</v>
      </c>
      <c r="W190" s="58"/>
      <c r="X190" s="157">
        <f t="shared" si="57"/>
        <v>43641</v>
      </c>
      <c r="Y190" s="385">
        <f t="shared" si="58"/>
        <v>56.561</v>
      </c>
      <c r="Z190" s="385">
        <f t="shared" si="59"/>
        <v>56.994389306250596</v>
      </c>
      <c r="AA190" s="386">
        <f t="shared" si="60"/>
        <v>60.226121709024746</v>
      </c>
      <c r="AB190" s="197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5.365997861173722E-2</v>
      </c>
      <c r="AD190" s="231">
        <f>(INDEX(Models!$BJ190:$BT190,,AH190)*(1-AF190)+INDEX(Models!$BJ190:$BT190,,AH190+1)*AF190-ERP_i)*AE190*Ramure*Pc/MaxiM</f>
        <v>4.418980236099208E-5</v>
      </c>
      <c r="AE190" s="305">
        <f t="shared" si="62"/>
        <v>0.7</v>
      </c>
      <c r="AF190" s="177">
        <f t="shared" si="63"/>
        <v>5.8943968014222969E-2</v>
      </c>
      <c r="AG190" s="176">
        <f t="shared" si="64"/>
        <v>-1</v>
      </c>
      <c r="AH190" s="176">
        <f t="shared" si="65"/>
        <v>5</v>
      </c>
      <c r="AI190" s="225">
        <f t="shared" si="66"/>
        <v>-0.94105603198577703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6">
        <v>57.642000000000003</v>
      </c>
      <c r="C191" s="390"/>
      <c r="D191" s="393">
        <f t="shared" si="48"/>
        <v>58.085024013298494</v>
      </c>
      <c r="E191" s="385">
        <f t="shared" si="73"/>
        <v>61.388590663349866</v>
      </c>
      <c r="F191" s="385">
        <f t="shared" si="49"/>
        <v>61.391181124623479</v>
      </c>
      <c r="G191" s="110">
        <f t="shared" si="74"/>
        <v>0.96457815233357835</v>
      </c>
      <c r="H191" s="414" t="b">
        <f>Wh_hp&gt;='2018'!Maxi_hp</f>
        <v>1</v>
      </c>
      <c r="I191" s="390">
        <f>IF(H191,Wh_hp,'2018'!Maxi_hp)</f>
        <v>61.391181124623479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7.6271641584767513E-3</v>
      </c>
      <c r="M191" s="844"/>
      <c r="N191" s="844"/>
      <c r="O191" s="48">
        <f>IF(t&lt;Tnet,'2018'!Resal+('2018'!Salim-'2018'!Resal)*(1-EXP(('2018'!Tnet-t)/('2018'!Tau_j))),Resal+(Salim-Resal)*(1-EXP((Tnet-t)/(Tau_j))))*Salcycl</f>
        <v>5.3814016812470465E-2</v>
      </c>
      <c r="P191" s="169">
        <f>(INDEX(Models!$BJ191:$BT191,,T191)*(1-R191)+INDEX(Models!$BJ191:$BT191,,T191+1)*R191-ERP_i)*Q191*Ramure*Pc/MaxiM</f>
        <v>4.4444873819745521E-5</v>
      </c>
      <c r="Q191" s="305">
        <f t="shared" si="51"/>
        <v>0.7</v>
      </c>
      <c r="R191" s="177">
        <f t="shared" si="52"/>
        <v>6.266965788688883E-2</v>
      </c>
      <c r="S191" s="810">
        <f t="shared" si="53"/>
        <v>-1</v>
      </c>
      <c r="T191" s="176">
        <f t="shared" si="54"/>
        <v>5</v>
      </c>
      <c r="U191" s="251">
        <f t="shared" si="55"/>
        <v>-0.93733034211311117</v>
      </c>
      <c r="V191" s="383">
        <f t="shared" si="56"/>
        <v>59.758631505959343</v>
      </c>
      <c r="W191" s="58"/>
      <c r="X191" s="157">
        <f t="shared" si="57"/>
        <v>43642</v>
      </c>
      <c r="Y191" s="385">
        <f t="shared" si="58"/>
        <v>57.642000000000003</v>
      </c>
      <c r="Z191" s="385">
        <f t="shared" si="59"/>
        <v>58.085024013298494</v>
      </c>
      <c r="AA191" s="386">
        <f t="shared" si="60"/>
        <v>61.388590663349866</v>
      </c>
      <c r="AB191" s="197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5.3814016812470465E-2</v>
      </c>
      <c r="AD191" s="231">
        <f>(INDEX(Models!$BJ191:$BT191,,AH191)*(1-AF191)+INDEX(Models!$BJ191:$BT191,,AH191+1)*AF191-ERP_i)*AE191*Ramure*Pc/MaxiM</f>
        <v>4.4444873819745521E-5</v>
      </c>
      <c r="AE191" s="305">
        <f t="shared" si="62"/>
        <v>0.7</v>
      </c>
      <c r="AF191" s="177">
        <f t="shared" si="63"/>
        <v>6.266965788688883E-2</v>
      </c>
      <c r="AG191" s="176">
        <f t="shared" si="64"/>
        <v>-1</v>
      </c>
      <c r="AH191" s="176">
        <f t="shared" si="65"/>
        <v>5</v>
      </c>
      <c r="AI191" s="225">
        <f t="shared" si="66"/>
        <v>-0.93733034211311117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6">
        <v>57.545999999999999</v>
      </c>
      <c r="C192" s="390"/>
      <c r="D192" s="393">
        <f t="shared" si="48"/>
        <v>57.989635681487648</v>
      </c>
      <c r="E192" s="385">
        <f t="shared" si="73"/>
        <v>61.297694961943741</v>
      </c>
      <c r="F192" s="385">
        <f t="shared" si="49"/>
        <v>61.300290769717577</v>
      </c>
      <c r="G192" s="110">
        <f t="shared" si="74"/>
        <v>0.96400013451538757</v>
      </c>
      <c r="H192" s="414" t="b">
        <f>Wh_hp&gt;='2018'!Maxi_hp</f>
        <v>1</v>
      </c>
      <c r="I192" s="390">
        <f>IF(H192,Wh_hp,'2018'!Maxi_hp)</f>
        <v>61.300290769717577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7.650258124130116E-3</v>
      </c>
      <c r="M192" s="844"/>
      <c r="N192" s="844"/>
      <c r="O192" s="48">
        <f>IF(t&lt;Tnet,'2018'!Resal+('2018'!Salim-'2018'!Resal)*(1-EXP(('2018'!Tnet-t)/('2018'!Tau_j))),Resal+(Salim-Resal)*(1-EXP((Tnet-t)/(Tau_j))))*Salcycl</f>
        <v>5.3967107286984957E-2</v>
      </c>
      <c r="P192" s="169">
        <f>(INDEX(Models!$BJ192:$BT192,,T192)*(1-R192)+INDEX(Models!$BJ192:$BT192,,T192+1)*R192-ERP_i)*Q192*Ramure*Pc/MaxiM</f>
        <v>4.4641463035748688E-5</v>
      </c>
      <c r="Q192" s="305">
        <f t="shared" si="51"/>
        <v>0.7</v>
      </c>
      <c r="R192" s="177">
        <f t="shared" si="52"/>
        <v>6.6347070221062454E-2</v>
      </c>
      <c r="S192" s="810">
        <f t="shared" si="53"/>
        <v>-1</v>
      </c>
      <c r="T192" s="176">
        <f t="shared" si="54"/>
        <v>5</v>
      </c>
      <c r="U192" s="251">
        <f t="shared" si="55"/>
        <v>-0.93365292977893755</v>
      </c>
      <c r="V192" s="383">
        <f t="shared" si="56"/>
        <v>59.694875369657133</v>
      </c>
      <c r="W192" s="58"/>
      <c r="X192" s="157">
        <f t="shared" si="57"/>
        <v>43643</v>
      </c>
      <c r="Y192" s="385">
        <f t="shared" si="58"/>
        <v>57.545999999999999</v>
      </c>
      <c r="Z192" s="385">
        <f t="shared" si="59"/>
        <v>57.989635681487648</v>
      </c>
      <c r="AA192" s="386">
        <f t="shared" si="60"/>
        <v>61.297694961943741</v>
      </c>
      <c r="AB192" s="197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5.3967107286984957E-2</v>
      </c>
      <c r="AD192" s="231">
        <f>(INDEX(Models!$BJ192:$BT192,,AH192)*(1-AF192)+INDEX(Models!$BJ192:$BT192,,AH192+1)*AF192-ERP_i)*AE192*Ramure*Pc/MaxiM</f>
        <v>4.4641463035748688E-5</v>
      </c>
      <c r="AE192" s="305">
        <f t="shared" si="62"/>
        <v>0.7</v>
      </c>
      <c r="AF192" s="177">
        <f t="shared" si="63"/>
        <v>6.6347070221062454E-2</v>
      </c>
      <c r="AG192" s="176">
        <f t="shared" si="64"/>
        <v>-1</v>
      </c>
      <c r="AH192" s="176">
        <f t="shared" si="65"/>
        <v>5</v>
      </c>
      <c r="AI192" s="225">
        <f t="shared" si="66"/>
        <v>-0.93365292977893755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6">
        <v>58.600999999999999</v>
      </c>
      <c r="C193" s="390"/>
      <c r="D193" s="393">
        <f t="shared" si="48"/>
        <v>59.054143201407413</v>
      </c>
      <c r="E193" s="385">
        <f t="shared" si="73"/>
        <v>62.432968762476463</v>
      </c>
      <c r="F193" s="385">
        <f t="shared" si="49"/>
        <v>62.435697126202129</v>
      </c>
      <c r="G193" s="110">
        <f t="shared" si="74"/>
        <v>0.982753148420621</v>
      </c>
      <c r="H193" s="414" t="b">
        <f>Wh_hp&gt;='2018'!Maxi_hp</f>
        <v>1</v>
      </c>
      <c r="I193" s="390">
        <f>IF(H193,Wh_hp,'2018'!Maxi_hp)</f>
        <v>62.435697126202129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7.6733515523532692E-3</v>
      </c>
      <c r="M193" s="844"/>
      <c r="N193" s="844"/>
      <c r="O193" s="48">
        <f>IF(t&lt;Tnet,'2018'!Resal+('2018'!Salim-'2018'!Resal)*(1-EXP(('2018'!Tnet-t)/('2018'!Tau_j))),Resal+(Salim-Resal)*(1-EXP((Tnet-t)/(Tau_j))))*Salcycl</f>
        <v>5.4119251863925417E-2</v>
      </c>
      <c r="P193" s="169">
        <f>(INDEX(Models!$BJ193:$BT193,,T193)*(1-R193)+INDEX(Models!$BJ193:$BT193,,T193+1)*R193-ERP_i)*Q193*Ramure*Pc/MaxiM</f>
        <v>4.4802571347153273E-5</v>
      </c>
      <c r="Q193" s="305">
        <f t="shared" si="51"/>
        <v>0.7</v>
      </c>
      <c r="R193" s="177">
        <f t="shared" si="52"/>
        <v>6.997409384572606E-2</v>
      </c>
      <c r="S193" s="810">
        <f t="shared" si="53"/>
        <v>-1</v>
      </c>
      <c r="T193" s="176">
        <f t="shared" si="54"/>
        <v>5</v>
      </c>
      <c r="U193" s="251">
        <f t="shared" si="55"/>
        <v>-0.93002590615427394</v>
      </c>
      <c r="V193" s="383">
        <f t="shared" si="56"/>
        <v>59.629353930853163</v>
      </c>
      <c r="W193" s="58"/>
      <c r="X193" s="157">
        <f t="shared" si="57"/>
        <v>43644</v>
      </c>
      <c r="Y193" s="385">
        <f t="shared" si="58"/>
        <v>58.600999999999999</v>
      </c>
      <c r="Z193" s="385">
        <f t="shared" si="59"/>
        <v>59.054143201407413</v>
      </c>
      <c r="AA193" s="386">
        <f t="shared" si="60"/>
        <v>62.432968762476463</v>
      </c>
      <c r="AB193" s="197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5.4119251863925417E-2</v>
      </c>
      <c r="AD193" s="231">
        <f>(INDEX(Models!$BJ193:$BT193,,AH193)*(1-AF193)+INDEX(Models!$BJ193:$BT193,,AH193+1)*AF193-ERP_i)*AE193*Ramure*Pc/MaxiM</f>
        <v>4.4802571347153273E-5</v>
      </c>
      <c r="AE193" s="305">
        <f t="shared" si="62"/>
        <v>0.7</v>
      </c>
      <c r="AF193" s="177">
        <f t="shared" si="63"/>
        <v>6.997409384572606E-2</v>
      </c>
      <c r="AG193" s="176">
        <f t="shared" si="64"/>
        <v>-1</v>
      </c>
      <c r="AH193" s="176">
        <f t="shared" si="65"/>
        <v>5</v>
      </c>
      <c r="AI193" s="225">
        <f t="shared" si="66"/>
        <v>-0.93002590615427394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6">
        <v>54.823999999999998</v>
      </c>
      <c r="C194" s="390"/>
      <c r="D194" s="393">
        <f t="shared" si="48"/>
        <v>55.249222572053512</v>
      </c>
      <c r="E194" s="385">
        <f t="shared" si="73"/>
        <v>58.419685468165653</v>
      </c>
      <c r="F194" s="385">
        <f t="shared" si="49"/>
        <v>58.422011969355658</v>
      </c>
      <c r="G194" s="110">
        <f t="shared" si="74"/>
        <v>0.9204500613416764</v>
      </c>
      <c r="H194" s="414" t="b">
        <f>Wh_hp&gt;='2018'!Maxi_hp</f>
        <v>1</v>
      </c>
      <c r="I194" s="390">
        <f>IF(H194,Wh_hp,'2018'!Maxi_hp)</f>
        <v>58.422011969355658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7.6964444431585344E-3</v>
      </c>
      <c r="M194" s="844"/>
      <c r="N194" s="844"/>
      <c r="O194" s="48">
        <f>IF(t&lt;Tnet,'2018'!Resal+('2018'!Salim-'2018'!Resal)*(1-EXP(('2018'!Tnet-t)/('2018'!Tau_j))),Resal+(Salim-Resal)*(1-EXP((Tnet-t)/(Tau_j))))*Salcycl</f>
        <v>5.4270454739777887E-2</v>
      </c>
      <c r="P194" s="169">
        <f>(INDEX(Models!$BJ194:$BT194,,T194)*(1-R194)+INDEX(Models!$BJ194:$BT194,,T194+1)*R194-ERP_i)*Q194*Ramure*Pc/MaxiM</f>
        <v>4.492775195052676E-5</v>
      </c>
      <c r="Q194" s="305">
        <f t="shared" si="51"/>
        <v>0.7</v>
      </c>
      <c r="R194" s="177">
        <f t="shared" si="52"/>
        <v>7.3548758911143985E-2</v>
      </c>
      <c r="S194" s="810">
        <f t="shared" si="53"/>
        <v>-1</v>
      </c>
      <c r="T194" s="176">
        <f t="shared" si="54"/>
        <v>5</v>
      </c>
      <c r="U194" s="251">
        <f t="shared" si="55"/>
        <v>-0.92645124108885601</v>
      </c>
      <c r="V194" s="383">
        <f t="shared" si="56"/>
        <v>59.561862606433834</v>
      </c>
      <c r="W194" s="58"/>
      <c r="X194" s="157">
        <f t="shared" si="57"/>
        <v>43645</v>
      </c>
      <c r="Y194" s="385">
        <f t="shared" si="58"/>
        <v>54.823999999999998</v>
      </c>
      <c r="Z194" s="385">
        <f t="shared" si="59"/>
        <v>55.249222572053512</v>
      </c>
      <c r="AA194" s="386">
        <f t="shared" si="60"/>
        <v>58.419685468165653</v>
      </c>
      <c r="AB194" s="197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5.4270454739777887E-2</v>
      </c>
      <c r="AD194" s="231">
        <f>(INDEX(Models!$BJ194:$BT194,,AH194)*(1-AF194)+INDEX(Models!$BJ194:$BT194,,AH194+1)*AF194-ERP_i)*AE194*Ramure*Pc/MaxiM</f>
        <v>4.492775195052676E-5</v>
      </c>
      <c r="AE194" s="305">
        <f t="shared" si="62"/>
        <v>0.7</v>
      </c>
      <c r="AF194" s="177">
        <f t="shared" si="63"/>
        <v>7.3548758911143985E-2</v>
      </c>
      <c r="AG194" s="176">
        <f t="shared" si="64"/>
        <v>-1</v>
      </c>
      <c r="AH194" s="176">
        <f t="shared" si="65"/>
        <v>5</v>
      </c>
      <c r="AI194" s="225">
        <f t="shared" si="66"/>
        <v>-0.92645124108885601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6">
        <v>53.298000000000002</v>
      </c>
      <c r="C195" s="390"/>
      <c r="D195" s="393">
        <f t="shared" si="48"/>
        <v>53.712636675254814</v>
      </c>
      <c r="E195" s="385">
        <f t="shared" si="73"/>
        <v>56.803948592866334</v>
      </c>
      <c r="F195" s="385">
        <f t="shared" si="49"/>
        <v>56.806125451843101</v>
      </c>
      <c r="G195" s="110">
        <f t="shared" si="74"/>
        <v>0.89587619854982781</v>
      </c>
      <c r="H195" s="414" t="b">
        <f>Wh_hp&gt;='2018'!Maxi_hp</f>
        <v>1</v>
      </c>
      <c r="I195" s="390">
        <f>IF(H195,Wh_hp,'2018'!Maxi_hp)</f>
        <v>56.806125451843101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7.7195367965585682E-3</v>
      </c>
      <c r="M195" s="844"/>
      <c r="N195" s="844"/>
      <c r="O195" s="48">
        <f>IF(t&lt;Tnet,'2018'!Resal+('2018'!Salim-'2018'!Resal)*(1-EXP(('2018'!Tnet-t)/('2018'!Tau_j))),Resal+(Salim-Resal)*(1-EXP((Tnet-t)/(Tau_j))))*Salcycl</f>
        <v>5.4420722400268878E-2</v>
      </c>
      <c r="P195" s="169">
        <f>(INDEX(Models!$BJ195:$BT195,,T195)*(1-R195)+INDEX(Models!$BJ195:$BT195,,T195+1)*R195-ERP_i)*Q195*Ramure*Pc/MaxiM</f>
        <v>4.5016606767131789E-5</v>
      </c>
      <c r="Q195" s="305">
        <f t="shared" si="51"/>
        <v>0.7</v>
      </c>
      <c r="R195" s="177">
        <f t="shared" si="52"/>
        <v>7.706923910758845E-2</v>
      </c>
      <c r="S195" s="810">
        <f t="shared" si="53"/>
        <v>-1</v>
      </c>
      <c r="T195" s="176">
        <f t="shared" si="54"/>
        <v>5</v>
      </c>
      <c r="U195" s="251">
        <f t="shared" si="55"/>
        <v>-0.92293076089241155</v>
      </c>
      <c r="V195" s="383">
        <f t="shared" si="56"/>
        <v>59.492196803665621</v>
      </c>
      <c r="W195" s="58"/>
      <c r="X195" s="157">
        <f t="shared" si="57"/>
        <v>43646</v>
      </c>
      <c r="Y195" s="385">
        <f t="shared" si="58"/>
        <v>53.298000000000002</v>
      </c>
      <c r="Z195" s="385">
        <f t="shared" si="59"/>
        <v>53.712636675254814</v>
      </c>
      <c r="AA195" s="386">
        <f t="shared" si="60"/>
        <v>56.803948592866334</v>
      </c>
      <c r="AB195" s="197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5.4420722400268878E-2</v>
      </c>
      <c r="AD195" s="231">
        <f>(INDEX(Models!$BJ195:$BT195,,AH195)*(1-AF195)+INDEX(Models!$BJ195:$BT195,,AH195+1)*AF195-ERP_i)*AE195*Ramure*Pc/MaxiM</f>
        <v>4.5016606767131789E-5</v>
      </c>
      <c r="AE195" s="305">
        <f t="shared" si="62"/>
        <v>0.7</v>
      </c>
      <c r="AF195" s="177">
        <f t="shared" si="63"/>
        <v>7.706923910758845E-2</v>
      </c>
      <c r="AG195" s="176">
        <f t="shared" si="64"/>
        <v>-1</v>
      </c>
      <c r="AH195" s="176">
        <f t="shared" si="65"/>
        <v>5</v>
      </c>
      <c r="AI195" s="225">
        <f t="shared" si="66"/>
        <v>-0.92293076089241155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6">
        <v>18.254000000000001</v>
      </c>
      <c r="C196" s="390"/>
      <c r="D196" s="393">
        <f t="shared" si="48"/>
        <v>18.39643677776478</v>
      </c>
      <c r="E196" s="385">
        <f t="shared" si="73"/>
        <v>19.45827614306048</v>
      </c>
      <c r="F196" s="385">
        <f t="shared" si="49"/>
        <v>19.458285165960241</v>
      </c>
      <c r="G196" s="110">
        <f t="shared" si="74"/>
        <v>0.30718847371666014</v>
      </c>
      <c r="H196" s="414" t="b">
        <f>Wh_hp&gt;='2018'!Maxi_hp</f>
        <v>1</v>
      </c>
      <c r="I196" s="390">
        <f>IF(H196,Wh_hp,'2018'!Maxi_hp)</f>
        <v>19.458285165960241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7.742628612565805E-3</v>
      </c>
      <c r="M196" s="844"/>
      <c r="N196" s="844"/>
      <c r="O196" s="48">
        <f>IF(t&lt;Tnet,'2018'!Resal+('2018'!Salim-'2018'!Resal)*(1-EXP(('2018'!Tnet-t)/('2018'!Tau_j))),Resal+(Salim-Resal)*(1-EXP((Tnet-t)/(Tau_j))))*Salcycl</f>
        <v>5.4570063529208852E-2</v>
      </c>
      <c r="P196" s="169">
        <f>(INDEX(Models!$BJ196:$BT196,,T196)*(1-R196)+INDEX(Models!$BJ196:$BT196,,T196+1)*R196-ERP_i)*Q196*Ramure*Pc/MaxiM</f>
        <v>4.5068784831760646E-5</v>
      </c>
      <c r="Q196" s="305">
        <f t="shared" si="51"/>
        <v>0.7</v>
      </c>
      <c r="R196" s="177">
        <f t="shared" si="52"/>
        <v>8.0533853124342691E-2</v>
      </c>
      <c r="S196" s="810">
        <f t="shared" si="53"/>
        <v>-1</v>
      </c>
      <c r="T196" s="176">
        <f t="shared" si="54"/>
        <v>5</v>
      </c>
      <c r="U196" s="251">
        <f t="shared" si="55"/>
        <v>-0.91946614687565731</v>
      </c>
      <c r="V196" s="383">
        <f t="shared" si="56"/>
        <v>59.420151927077839</v>
      </c>
      <c r="W196" s="58"/>
      <c r="X196" s="157">
        <f t="shared" si="57"/>
        <v>43647</v>
      </c>
      <c r="Y196" s="385">
        <f t="shared" si="58"/>
        <v>18.254000000000001</v>
      </c>
      <c r="Z196" s="385">
        <f t="shared" si="59"/>
        <v>18.39643677776478</v>
      </c>
      <c r="AA196" s="386">
        <f t="shared" si="60"/>
        <v>19.45827614306048</v>
      </c>
      <c r="AB196" s="197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5.4570063529208852E-2</v>
      </c>
      <c r="AD196" s="231">
        <f>(INDEX(Models!$BJ196:$BT196,,AH196)*(1-AF196)+INDEX(Models!$BJ196:$BT196,,AH196+1)*AF196-ERP_i)*AE196*Ramure*Pc/MaxiM</f>
        <v>4.5068784831760646E-5</v>
      </c>
      <c r="AE196" s="305">
        <f t="shared" si="62"/>
        <v>0.7</v>
      </c>
      <c r="AF196" s="177">
        <f t="shared" si="63"/>
        <v>8.0533853124342691E-2</v>
      </c>
      <c r="AG196" s="176">
        <f t="shared" si="64"/>
        <v>-1</v>
      </c>
      <c r="AH196" s="176">
        <f t="shared" si="65"/>
        <v>5</v>
      </c>
      <c r="AI196" s="225">
        <f t="shared" si="66"/>
        <v>-0.91946614687565731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6">
        <v>31.843</v>
      </c>
      <c r="C197" s="390"/>
      <c r="D197" s="393">
        <f t="shared" si="48"/>
        <v>32.092219184876512</v>
      </c>
      <c r="E197" s="385">
        <f t="shared" si="73"/>
        <v>33.949906782497678</v>
      </c>
      <c r="F197" s="385">
        <f t="shared" si="49"/>
        <v>33.950424065531628</v>
      </c>
      <c r="G197" s="110">
        <f t="shared" si="74"/>
        <v>0.53655352138493195</v>
      </c>
      <c r="H197" s="414" t="b">
        <f>Wh_hp&gt;='2018'!Maxi_hp</f>
        <v>1</v>
      </c>
      <c r="I197" s="390">
        <f>IF(H197,Wh_hp,'2018'!Maxi_hp)</f>
        <v>33.950424065531628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7.7657198911926795E-3</v>
      </c>
      <c r="M197" s="844"/>
      <c r="N197" s="844"/>
      <c r="O197" s="48">
        <f>IF(t&lt;Tnet,'2018'!Resal+('2018'!Salim-'2018'!Resal)*(1-EXP(('2018'!Tnet-t)/('2018'!Tau_j))),Resal+(Salim-Resal)*(1-EXP((Tnet-t)/(Tau_j))))*Salcycl</f>
        <v>5.4718488905509108E-2</v>
      </c>
      <c r="P197" s="169">
        <f>(INDEX(Models!$BJ197:$BT197,,T197)*(1-R197)+INDEX(Models!$BJ197:$BT197,,T197+1)*R197-ERP_i)*Q197*Ramure*Pc/MaxiM</f>
        <v>4.5083980310424628E-5</v>
      </c>
      <c r="Q197" s="305">
        <f t="shared" si="51"/>
        <v>0.7</v>
      </c>
      <c r="R197" s="177">
        <f t="shared" si="52"/>
        <v>8.3941065370471302E-2</v>
      </c>
      <c r="S197" s="810">
        <f t="shared" si="53"/>
        <v>-1</v>
      </c>
      <c r="T197" s="176">
        <f t="shared" si="54"/>
        <v>5</v>
      </c>
      <c r="U197" s="251">
        <f t="shared" si="55"/>
        <v>-0.9160589346295287</v>
      </c>
      <c r="V197" s="383">
        <f t="shared" si="56"/>
        <v>59.345523383338744</v>
      </c>
      <c r="W197" s="58"/>
      <c r="X197" s="157">
        <f t="shared" si="57"/>
        <v>43648</v>
      </c>
      <c r="Y197" s="385">
        <f t="shared" si="58"/>
        <v>31.843</v>
      </c>
      <c r="Z197" s="385">
        <f t="shared" si="59"/>
        <v>32.092219184876512</v>
      </c>
      <c r="AA197" s="386">
        <f t="shared" si="60"/>
        <v>33.949906782497678</v>
      </c>
      <c r="AB197" s="197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5.4718488905509108E-2</v>
      </c>
      <c r="AD197" s="231">
        <f>(INDEX(Models!$BJ197:$BT197,,AH197)*(1-AF197)+INDEX(Models!$BJ197:$BT197,,AH197+1)*AF197-ERP_i)*AE197*Ramure*Pc/MaxiM</f>
        <v>4.5083980310424628E-5</v>
      </c>
      <c r="AE197" s="305">
        <f t="shared" si="62"/>
        <v>0.7</v>
      </c>
      <c r="AF197" s="177">
        <f t="shared" si="63"/>
        <v>8.3941065370471302E-2</v>
      </c>
      <c r="AG197" s="176">
        <f t="shared" si="64"/>
        <v>-1</v>
      </c>
      <c r="AH197" s="176">
        <f t="shared" si="65"/>
        <v>5</v>
      </c>
      <c r="AI197" s="225">
        <f t="shared" si="66"/>
        <v>-0.9160589346295287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6">
        <v>47.518999999999998</v>
      </c>
      <c r="C198" s="390"/>
      <c r="D198" s="393">
        <f t="shared" si="48"/>
        <v>47.892021889301006</v>
      </c>
      <c r="E198" s="385">
        <f t="shared" si="73"/>
        <v>50.672203583142092</v>
      </c>
      <c r="F198" s="385">
        <f t="shared" si="49"/>
        <v>50.673839895815256</v>
      </c>
      <c r="G198" s="110">
        <f t="shared" si="74"/>
        <v>0.8017531832442959</v>
      </c>
      <c r="H198" s="414" t="b">
        <f>Wh_hp&gt;='2018'!Maxi_hp</f>
        <v>1</v>
      </c>
      <c r="I198" s="390">
        <f>IF(H198,Wh_hp,'2018'!Maxi_hp)</f>
        <v>50.673839895815256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7.788810632451848E-3</v>
      </c>
      <c r="M198" s="844"/>
      <c r="N198" s="844"/>
      <c r="O198" s="48">
        <f>IF(t&lt;Tnet,'2018'!Resal+('2018'!Salim-'2018'!Resal)*(1-EXP(('2018'!Tnet-t)/('2018'!Tau_j))),Resal+(Salim-Resal)*(1-EXP((Tnet-t)/(Tau_j))))*Salcycl</f>
        <v>5.4866011289195417E-2</v>
      </c>
      <c r="P198" s="169">
        <f>(INDEX(Models!$BJ198:$BT198,,T198)*(1-R198)+INDEX(Models!$BJ198:$BT198,,T198+1)*R198-ERP_i)*Q198*Ramure*Pc/MaxiM</f>
        <v>4.504862389534765E-5</v>
      </c>
      <c r="Q198" s="305">
        <f t="shared" si="51"/>
        <v>0.7</v>
      </c>
      <c r="R198" s="177">
        <f t="shared" si="52"/>
        <v>8.7289485984308524E-2</v>
      </c>
      <c r="S198" s="810">
        <f t="shared" si="53"/>
        <v>-1</v>
      </c>
      <c r="T198" s="176">
        <f t="shared" si="54"/>
        <v>5</v>
      </c>
      <c r="U198" s="251">
        <f t="shared" si="55"/>
        <v>-0.91271051401569148</v>
      </c>
      <c r="V198" s="383">
        <f t="shared" si="56"/>
        <v>59.268107376996859</v>
      </c>
      <c r="W198" s="58"/>
      <c r="X198" s="157">
        <f t="shared" si="57"/>
        <v>43649</v>
      </c>
      <c r="Y198" s="385">
        <f t="shared" si="58"/>
        <v>47.518999999999998</v>
      </c>
      <c r="Z198" s="385">
        <f t="shared" si="59"/>
        <v>47.892021889301006</v>
      </c>
      <c r="AA198" s="386">
        <f t="shared" si="60"/>
        <v>50.672203583142092</v>
      </c>
      <c r="AB198" s="197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5.4866011289195417E-2</v>
      </c>
      <c r="AD198" s="231">
        <f>(INDEX(Models!$BJ198:$BT198,,AH198)*(1-AF198)+INDEX(Models!$BJ198:$BT198,,AH198+1)*AF198-ERP_i)*AE198*Ramure*Pc/MaxiM</f>
        <v>4.504862389534765E-5</v>
      </c>
      <c r="AE198" s="305">
        <f t="shared" si="62"/>
        <v>0.7</v>
      </c>
      <c r="AF198" s="177">
        <f t="shared" si="63"/>
        <v>8.7289485984308524E-2</v>
      </c>
      <c r="AG198" s="176">
        <f t="shared" si="64"/>
        <v>-1</v>
      </c>
      <c r="AH198" s="176">
        <f t="shared" si="65"/>
        <v>5</v>
      </c>
      <c r="AI198" s="225">
        <f t="shared" si="66"/>
        <v>-0.91271051401569148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6">
        <v>55.552</v>
      </c>
      <c r="C199" s="390"/>
      <c r="D199" s="393">
        <f t="shared" si="48"/>
        <v>55.989383511883517</v>
      </c>
      <c r="E199" s="385">
        <f t="shared" si="73"/>
        <v>59.248817704549921</v>
      </c>
      <c r="F199" s="385">
        <f t="shared" si="49"/>
        <v>59.251249385209874</v>
      </c>
      <c r="G199" s="110">
        <f t="shared" si="74"/>
        <v>0.93856971503606201</v>
      </c>
      <c r="H199" s="414" t="b">
        <f>Wh_hp&gt;='2018'!Maxi_hp</f>
        <v>1</v>
      </c>
      <c r="I199" s="390">
        <f>IF(H199,Wh_hp,'2018'!Maxi_hp)</f>
        <v>59.251249385209874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7.8119008363556341E-3</v>
      </c>
      <c r="M199" s="844"/>
      <c r="N199" s="844"/>
      <c r="O199" s="48">
        <f>IF(t&lt;Tnet,'2018'!Resal+('2018'!Salim-'2018'!Resal)*(1-EXP(('2018'!Tnet-t)/('2018'!Tau_j))),Resal+(Salim-Resal)*(1-EXP((Tnet-t)/(Tau_j))))*Salcycl</f>
        <v>5.501264529732721E-2</v>
      </c>
      <c r="P199" s="169">
        <f>(INDEX(Models!$BJ199:$BT199,,T199)*(1-R199)+INDEX(Models!$BJ199:$BT199,,T199+1)*R199-ERP_i)*Q199*Ramure*Pc/MaxiM</f>
        <v>4.4987952764657359E-5</v>
      </c>
      <c r="Q199" s="305">
        <f t="shared" si="51"/>
        <v>0.7</v>
      </c>
      <c r="R199" s="177">
        <f t="shared" si="52"/>
        <v>9.0577870163474072E-2</v>
      </c>
      <c r="S199" s="810">
        <f t="shared" si="53"/>
        <v>-1</v>
      </c>
      <c r="T199" s="176">
        <f t="shared" si="54"/>
        <v>5</v>
      </c>
      <c r="U199" s="251">
        <f t="shared" si="55"/>
        <v>-0.90942212983652593</v>
      </c>
      <c r="V199" s="383">
        <f t="shared" si="56"/>
        <v>59.187697826998424</v>
      </c>
      <c r="W199" s="58"/>
      <c r="X199" s="157">
        <f t="shared" si="57"/>
        <v>43650</v>
      </c>
      <c r="Y199" s="385">
        <f t="shared" si="58"/>
        <v>55.552</v>
      </c>
      <c r="Z199" s="385">
        <f t="shared" si="59"/>
        <v>55.989383511883517</v>
      </c>
      <c r="AA199" s="386">
        <f t="shared" si="60"/>
        <v>59.248817704549921</v>
      </c>
      <c r="AB199" s="197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5.501264529732721E-2</v>
      </c>
      <c r="AD199" s="231">
        <f>(INDEX(Models!$BJ199:$BT199,,AH199)*(1-AF199)+INDEX(Models!$BJ199:$BT199,,AH199+1)*AF199-ERP_i)*AE199*Ramure*Pc/MaxiM</f>
        <v>4.4987952764657359E-5</v>
      </c>
      <c r="AE199" s="305">
        <f t="shared" si="62"/>
        <v>0.7</v>
      </c>
      <c r="AF199" s="177">
        <f t="shared" si="63"/>
        <v>9.0577870163474072E-2</v>
      </c>
      <c r="AG199" s="176">
        <f t="shared" si="64"/>
        <v>-1</v>
      </c>
      <c r="AH199" s="176">
        <f t="shared" si="65"/>
        <v>5</v>
      </c>
      <c r="AI199" s="225">
        <f t="shared" si="66"/>
        <v>-0.90942212983652593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6">
        <v>54.395000000000003</v>
      </c>
      <c r="C200" s="390"/>
      <c r="D200" s="393">
        <f t="shared" si="48"/>
        <v>54.824549827222981</v>
      </c>
      <c r="E200" s="385">
        <f t="shared" si="73"/>
        <v>58.025123204897668</v>
      </c>
      <c r="F200" s="385">
        <f t="shared" si="49"/>
        <v>58.027432201828049</v>
      </c>
      <c r="G200" s="110">
        <f t="shared" si="74"/>
        <v>0.92032077373030008</v>
      </c>
      <c r="H200" s="414" t="b">
        <f>Wh_hp&gt;='2018'!Maxi_hp</f>
        <v>1</v>
      </c>
      <c r="I200" s="390">
        <f>IF(H200,Wh_hp,'2018'!Maxi_hp)</f>
        <v>58.027432201828049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7.8349905029166944E-3</v>
      </c>
      <c r="M200" s="844"/>
      <c r="N200" s="844"/>
      <c r="O200" s="48">
        <f>IF(t&lt;Tnet,'2018'!Resal+('2018'!Salim-'2018'!Resal)*(1-EXP(('2018'!Tnet-t)/('2018'!Tau_j))),Resal+(Salim-Resal)*(1-EXP((Tnet-t)/(Tau_j))))*Salcycl</f>
        <v>5.5158407270810207E-2</v>
      </c>
      <c r="P200" s="169">
        <f>(INDEX(Models!$BJ200:$BT200,,T200)*(1-R200)+INDEX(Models!$BJ200:$BT200,,T200+1)*R200-ERP_i)*Q200*Ramure*Pc/MaxiM</f>
        <v>4.4902283153803157E-5</v>
      </c>
      <c r="Q200" s="305">
        <f t="shared" si="51"/>
        <v>0.7</v>
      </c>
      <c r="R200" s="177">
        <f t="shared" si="52"/>
        <v>9.3805116851453207E-2</v>
      </c>
      <c r="S200" s="810">
        <f t="shared" si="53"/>
        <v>-1</v>
      </c>
      <c r="T200" s="176">
        <f t="shared" si="54"/>
        <v>5</v>
      </c>
      <c r="U200" s="251">
        <f t="shared" si="55"/>
        <v>-0.90619488314854679</v>
      </c>
      <c r="V200" s="383">
        <f t="shared" si="56"/>
        <v>59.104090159647548</v>
      </c>
      <c r="W200" s="58"/>
      <c r="X200" s="157">
        <f t="shared" si="57"/>
        <v>43651</v>
      </c>
      <c r="Y200" s="385">
        <f t="shared" si="58"/>
        <v>54.395000000000003</v>
      </c>
      <c r="Z200" s="385">
        <f t="shared" si="59"/>
        <v>54.824549827222981</v>
      </c>
      <c r="AA200" s="386">
        <f t="shared" si="60"/>
        <v>58.025123204897668</v>
      </c>
      <c r="AB200" s="197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5.5158407270810207E-2</v>
      </c>
      <c r="AD200" s="231">
        <f>(INDEX(Models!$BJ200:$BT200,,AH200)*(1-AF200)+INDEX(Models!$BJ200:$BT200,,AH200+1)*AF200-ERP_i)*AE200*Ramure*Pc/MaxiM</f>
        <v>4.4902283153803157E-5</v>
      </c>
      <c r="AE200" s="305">
        <f t="shared" si="62"/>
        <v>0.7</v>
      </c>
      <c r="AF200" s="177">
        <f t="shared" si="63"/>
        <v>9.3805116851453207E-2</v>
      </c>
      <c r="AG200" s="176">
        <f t="shared" si="64"/>
        <v>-1</v>
      </c>
      <c r="AH200" s="176">
        <f t="shared" si="65"/>
        <v>5</v>
      </c>
      <c r="AI200" s="225">
        <f t="shared" si="66"/>
        <v>-0.90619488314854679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6">
        <v>53.033000000000001</v>
      </c>
      <c r="C201" s="390"/>
      <c r="D201" s="393">
        <f t="shared" si="48"/>
        <v>53.453038230999418</v>
      </c>
      <c r="E201" s="385">
        <f t="shared" si="73"/>
        <v>56.582222725311901</v>
      </c>
      <c r="F201" s="385">
        <f t="shared" si="49"/>
        <v>56.584390121901762</v>
      </c>
      <c r="G201" s="110">
        <f t="shared" si="74"/>
        <v>0.89859844049648518</v>
      </c>
      <c r="H201" s="414" t="b">
        <f>Wh_hp&gt;='2018'!Maxi_hp</f>
        <v>1</v>
      </c>
      <c r="I201" s="390">
        <f>IF(H201,Wh_hp,'2018'!Maxi_hp)</f>
        <v>56.584390121901762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7.8580796321474633E-3</v>
      </c>
      <c r="M201" s="844"/>
      <c r="N201" s="844"/>
      <c r="O201" s="48">
        <f>IF(t&lt;Tnet,'2018'!Resal+('2018'!Salim-'2018'!Resal)*(1-EXP(('2018'!Tnet-t)/('2018'!Tau_j))),Resal+(Salim-Resal)*(1-EXP((Tnet-t)/(Tau_j))))*Salcycl</f>
        <v>5.5303315133158483E-2</v>
      </c>
      <c r="P201" s="169">
        <f>(INDEX(Models!$BJ201:$BT201,,T201)*(1-R201)+INDEX(Models!$BJ201:$BT201,,T201+1)*R201-ERP_i)*Q201*Ramure*Pc/MaxiM</f>
        <v>4.4791950569591097E-5</v>
      </c>
      <c r="Q201" s="305">
        <f t="shared" si="51"/>
        <v>0.7</v>
      </c>
      <c r="R201" s="177">
        <f t="shared" si="52"/>
        <v>9.6970266820354034E-2</v>
      </c>
      <c r="S201" s="810">
        <f t="shared" si="53"/>
        <v>-1</v>
      </c>
      <c r="T201" s="176">
        <f t="shared" si="54"/>
        <v>5</v>
      </c>
      <c r="U201" s="251">
        <f t="shared" si="55"/>
        <v>-0.90302973317964597</v>
      </c>
      <c r="V201" s="383">
        <f t="shared" si="56"/>
        <v>59.017079832558856</v>
      </c>
      <c r="W201" s="58"/>
      <c r="X201" s="157">
        <f t="shared" si="57"/>
        <v>43652</v>
      </c>
      <c r="Y201" s="385">
        <f t="shared" si="58"/>
        <v>53.033000000000001</v>
      </c>
      <c r="Z201" s="385">
        <f t="shared" si="59"/>
        <v>53.453038230999418</v>
      </c>
      <c r="AA201" s="386">
        <f t="shared" si="60"/>
        <v>56.582222725311901</v>
      </c>
      <c r="AB201" s="197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5.5303315133158483E-2</v>
      </c>
      <c r="AD201" s="231">
        <f>(INDEX(Models!$BJ201:$BT201,,AH201)*(1-AF201)+INDEX(Models!$BJ201:$BT201,,AH201+1)*AF201-ERP_i)*AE201*Ramure*Pc/MaxiM</f>
        <v>4.4791950569591097E-5</v>
      </c>
      <c r="AE201" s="305">
        <f t="shared" si="62"/>
        <v>0.7</v>
      </c>
      <c r="AF201" s="177">
        <f t="shared" si="63"/>
        <v>9.6970266820354034E-2</v>
      </c>
      <c r="AG201" s="176">
        <f t="shared" si="64"/>
        <v>-1</v>
      </c>
      <c r="AH201" s="176">
        <f t="shared" si="65"/>
        <v>5</v>
      </c>
      <c r="AI201" s="225">
        <f t="shared" si="66"/>
        <v>-0.90302973317964597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6">
        <v>50.731999999999999</v>
      </c>
      <c r="C202" s="390"/>
      <c r="D202" s="393">
        <f t="shared" si="48"/>
        <v>51.13500356523555</v>
      </c>
      <c r="E202" s="385">
        <f t="shared" si="73"/>
        <v>54.136744664842517</v>
      </c>
      <c r="F202" s="385">
        <f t="shared" si="49"/>
        <v>54.138682052927066</v>
      </c>
      <c r="G202" s="110">
        <f t="shared" si="74"/>
        <v>0.86092984182176335</v>
      </c>
      <c r="H202" s="414" t="b">
        <f>Wh_hp&gt;='2018'!Maxi_hp</f>
        <v>1</v>
      </c>
      <c r="I202" s="390">
        <f>IF(H202,Wh_hp,'2018'!Maxi_hp)</f>
        <v>54.138682052927066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7.8811682240604863E-3</v>
      </c>
      <c r="M202" s="844"/>
      <c r="N202" s="844"/>
      <c r="O202" s="48">
        <f>IF(t&lt;Tnet,'2018'!Resal+('2018'!Salim-'2018'!Resal)*(1-EXP(('2018'!Tnet-t)/('2018'!Tau_j))),Resal+(Salim-Resal)*(1-EXP((Tnet-t)/(Tau_j))))*Salcycl</f>
        <v>5.5447388242321878E-2</v>
      </c>
      <c r="P202" s="169">
        <f>(INDEX(Models!$BJ202:$BT202,,T202)*(1-R202)+INDEX(Models!$BJ202:$BT202,,T202+1)*R202-ERP_i)*Q202*Ramure*Pc/MaxiM</f>
        <v>4.4657306604466008E-5</v>
      </c>
      <c r="Q202" s="305">
        <f t="shared" si="51"/>
        <v>0.7</v>
      </c>
      <c r="R202" s="177">
        <f t="shared" si="52"/>
        <v>0.10007250019238578</v>
      </c>
      <c r="S202" s="810">
        <f t="shared" si="53"/>
        <v>-1</v>
      </c>
      <c r="T202" s="176">
        <f t="shared" si="54"/>
        <v>5</v>
      </c>
      <c r="U202" s="251">
        <f t="shared" si="55"/>
        <v>-0.89992749980761422</v>
      </c>
      <c r="V202" s="383">
        <f t="shared" si="56"/>
        <v>58.926462346580358</v>
      </c>
      <c r="W202" s="58"/>
      <c r="X202" s="157">
        <f t="shared" si="57"/>
        <v>43653</v>
      </c>
      <c r="Y202" s="385">
        <f t="shared" si="58"/>
        <v>50.731999999999999</v>
      </c>
      <c r="Z202" s="385">
        <f t="shared" si="59"/>
        <v>51.13500356523555</v>
      </c>
      <c r="AA202" s="386">
        <f t="shared" si="60"/>
        <v>54.136744664842517</v>
      </c>
      <c r="AB202" s="197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5.5447388242321878E-2</v>
      </c>
      <c r="AD202" s="231">
        <f>(INDEX(Models!$BJ202:$BT202,,AH202)*(1-AF202)+INDEX(Models!$BJ202:$BT202,,AH202+1)*AF202-ERP_i)*AE202*Ramure*Pc/MaxiM</f>
        <v>4.4657306604466008E-5</v>
      </c>
      <c r="AE202" s="305">
        <f t="shared" si="62"/>
        <v>0.7</v>
      </c>
      <c r="AF202" s="177">
        <f t="shared" si="63"/>
        <v>0.10007250019238578</v>
      </c>
      <c r="AG202" s="176">
        <f t="shared" si="64"/>
        <v>-1</v>
      </c>
      <c r="AH202" s="176">
        <f t="shared" si="65"/>
        <v>5</v>
      </c>
      <c r="AI202" s="225">
        <f t="shared" si="66"/>
        <v>-0.89992749980761422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6">
        <v>33.895000000000003</v>
      </c>
      <c r="C203" s="390"/>
      <c r="D203" s="393">
        <f t="shared" si="48"/>
        <v>34.165049305483883</v>
      </c>
      <c r="E203" s="385">
        <f t="shared" si="73"/>
        <v>36.176102243714595</v>
      </c>
      <c r="F203" s="385">
        <f t="shared" si="49"/>
        <v>36.17673727499367</v>
      </c>
      <c r="G203" s="110">
        <f t="shared" si="74"/>
        <v>0.57611618715089197</v>
      </c>
      <c r="H203" s="414" t="b">
        <f>Wh_hp&gt;='2018'!Maxi_hp</f>
        <v>1</v>
      </c>
      <c r="I203" s="390">
        <f>IF(H203,Wh_hp,'2018'!Maxi_hp)</f>
        <v>36.17673727499367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7.904256278668309E-3</v>
      </c>
      <c r="M203" s="844"/>
      <c r="N203" s="844"/>
      <c r="O203" s="48">
        <f>IF(t&lt;Tnet,'2018'!Resal+('2018'!Salim-'2018'!Resal)*(1-EXP(('2018'!Tnet-t)/('2018'!Tau_j))),Resal+(Salim-Resal)*(1-EXP((Tnet-t)/(Tau_j))))*Salcycl</f>
        <v>5.5590647236743722E-2</v>
      </c>
      <c r="P203" s="169">
        <f>(INDEX(Models!$BJ203:$BT203,,T203)*(1-R203)+INDEX(Models!$BJ203:$BT203,,T203+1)*R203-ERP_i)*Q203*Ramure*Pc/MaxiM</f>
        <v>4.4498715721199531E-5</v>
      </c>
      <c r="Q203" s="305">
        <f t="shared" si="51"/>
        <v>0.7</v>
      </c>
      <c r="R203" s="177">
        <f t="shared" si="52"/>
        <v>0.10311113344486778</v>
      </c>
      <c r="S203" s="810">
        <f t="shared" si="53"/>
        <v>-1</v>
      </c>
      <c r="T203" s="176">
        <f t="shared" si="54"/>
        <v>5</v>
      </c>
      <c r="U203" s="251">
        <f t="shared" si="55"/>
        <v>-0.89688886655513222</v>
      </c>
      <c r="V203" s="383">
        <f t="shared" si="56"/>
        <v>58.832033250509681</v>
      </c>
      <c r="W203" s="58"/>
      <c r="X203" s="157">
        <f t="shared" si="57"/>
        <v>43654</v>
      </c>
      <c r="Y203" s="385">
        <f t="shared" si="58"/>
        <v>33.895000000000003</v>
      </c>
      <c r="Z203" s="385">
        <f t="shared" si="59"/>
        <v>34.165049305483883</v>
      </c>
      <c r="AA203" s="386">
        <f t="shared" si="60"/>
        <v>36.176102243714595</v>
      </c>
      <c r="AB203" s="197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5.5590647236743722E-2</v>
      </c>
      <c r="AD203" s="231">
        <f>(INDEX(Models!$BJ203:$BT203,,AH203)*(1-AF203)+INDEX(Models!$BJ203:$BT203,,AH203+1)*AF203-ERP_i)*AE203*Ramure*Pc/MaxiM</f>
        <v>4.4498715721199531E-5</v>
      </c>
      <c r="AE203" s="305">
        <f t="shared" si="62"/>
        <v>0.7</v>
      </c>
      <c r="AF203" s="177">
        <f t="shared" si="63"/>
        <v>0.10311113344486778</v>
      </c>
      <c r="AG203" s="176">
        <f t="shared" si="64"/>
        <v>-1</v>
      </c>
      <c r="AH203" s="176">
        <f t="shared" si="65"/>
        <v>5</v>
      </c>
      <c r="AI203" s="225">
        <f t="shared" si="66"/>
        <v>-0.89688886655513222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6">
        <v>20.18</v>
      </c>
      <c r="C204" s="390"/>
      <c r="D204" s="393">
        <f t="shared" si="48"/>
        <v>20.34125209862658</v>
      </c>
      <c r="E204" s="385">
        <f t="shared" si="73"/>
        <v>21.541846269904813</v>
      </c>
      <c r="F204" s="385">
        <f t="shared" si="49"/>
        <v>21.541905711780725</v>
      </c>
      <c r="G204" s="110">
        <f t="shared" si="74"/>
        <v>0.34357106398170234</v>
      </c>
      <c r="H204" s="414" t="b">
        <f>Wh_hp&gt;='2018'!Maxi_hp</f>
        <v>1</v>
      </c>
      <c r="I204" s="390">
        <f>IF(H204,Wh_hp,'2018'!Maxi_hp)</f>
        <v>21.541905711780725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7.9273437959832549E-3</v>
      </c>
      <c r="M204" s="844"/>
      <c r="N204" s="844"/>
      <c r="O204" s="48">
        <f>IF(t&lt;Tnet,'2018'!Resal+('2018'!Salim-'2018'!Resal)*(1-EXP(('2018'!Tnet-t)/('2018'!Tau_j))),Resal+(Salim-Resal)*(1-EXP((Tnet-t)/(Tau_j))))*Salcycl</f>
        <v>5.573311387685146E-2</v>
      </c>
      <c r="P204" s="169">
        <f>(INDEX(Models!$BJ204:$BT204,,T204)*(1-R204)+INDEX(Models!$BJ204:$BT204,,T204+1)*R204-ERP_i)*Q204*Ramure*Pc/MaxiM</f>
        <v>4.4316552016484166E-5</v>
      </c>
      <c r="Q204" s="305">
        <f t="shared" si="51"/>
        <v>0.7</v>
      </c>
      <c r="R204" s="177">
        <f t="shared" si="52"/>
        <v>0.10608561594522936</v>
      </c>
      <c r="S204" s="810">
        <f t="shared" si="53"/>
        <v>-1</v>
      </c>
      <c r="T204" s="176">
        <f t="shared" si="54"/>
        <v>5</v>
      </c>
      <c r="U204" s="251">
        <f t="shared" si="55"/>
        <v>-0.89391438405477064</v>
      </c>
      <c r="V204" s="383">
        <f t="shared" si="56"/>
        <v>58.733588154060911</v>
      </c>
      <c r="W204" s="58"/>
      <c r="X204" s="157">
        <f t="shared" si="57"/>
        <v>43655</v>
      </c>
      <c r="Y204" s="385">
        <f t="shared" si="58"/>
        <v>20.18</v>
      </c>
      <c r="Z204" s="385">
        <f t="shared" si="59"/>
        <v>20.34125209862658</v>
      </c>
      <c r="AA204" s="386">
        <f t="shared" si="60"/>
        <v>21.541846269904813</v>
      </c>
      <c r="AB204" s="197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5.573311387685146E-2</v>
      </c>
      <c r="AD204" s="231">
        <f>(INDEX(Models!$BJ204:$BT204,,AH204)*(1-AF204)+INDEX(Models!$BJ204:$BT204,,AH204+1)*AF204-ERP_i)*AE204*Ramure*Pc/MaxiM</f>
        <v>4.4316552016484166E-5</v>
      </c>
      <c r="AE204" s="305">
        <f t="shared" si="62"/>
        <v>0.7</v>
      </c>
      <c r="AF204" s="177">
        <f t="shared" si="63"/>
        <v>0.10608561594522936</v>
      </c>
      <c r="AG204" s="176">
        <f t="shared" si="64"/>
        <v>-1</v>
      </c>
      <c r="AH204" s="176">
        <f t="shared" si="65"/>
        <v>5</v>
      </c>
      <c r="AI204" s="225">
        <f t="shared" si="66"/>
        <v>-0.89391438405477064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6">
        <v>59.506999999999998</v>
      </c>
      <c r="C205" s="390"/>
      <c r="D205" s="393">
        <f t="shared" si="48"/>
        <v>59.983897827352095</v>
      </c>
      <c r="E205" s="385">
        <f t="shared" si="73"/>
        <v>63.533839070076965</v>
      </c>
      <c r="F205" s="385">
        <f t="shared" si="49"/>
        <v>63.53664171225423</v>
      </c>
      <c r="G205" s="110">
        <f t="shared" si="74"/>
        <v>1.0149295354826926</v>
      </c>
      <c r="H205" s="414" t="b">
        <f>Wh_hp&gt;='2018'!Maxi_hp</f>
        <v>1</v>
      </c>
      <c r="I205" s="390">
        <f>IF(H205,Wh_hp,'2018'!Maxi_hp)</f>
        <v>63.53664171225423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7.9504307760179804E-3</v>
      </c>
      <c r="M205" s="844"/>
      <c r="N205" s="844"/>
      <c r="O205" s="48">
        <f>IF(t&lt;Tnet,'2018'!Resal+('2018'!Salim-'2018'!Resal)*(1-EXP(('2018'!Tnet-t)/('2018'!Tau_j))),Resal+(Salim-Resal)*(1-EXP((Tnet-t)/(Tau_j))))*Salcycl</f>
        <v>5.5874810883210307E-2</v>
      </c>
      <c r="P205" s="169">
        <f>(INDEX(Models!$BJ205:$BT205,,T205)*(1-R205)+INDEX(Models!$BJ205:$BT205,,T205+1)*R205-ERP_i)*Q205*Ramure*Pc/MaxiM</f>
        <v>4.411064390150103E-5</v>
      </c>
      <c r="Q205" s="305">
        <f t="shared" si="51"/>
        <v>0.7</v>
      </c>
      <c r="R205" s="177">
        <f t="shared" si="52"/>
        <v>0.10899552606349228</v>
      </c>
      <c r="S205" s="810">
        <f t="shared" si="53"/>
        <v>-1</v>
      </c>
      <c r="T205" s="176">
        <f t="shared" si="54"/>
        <v>5</v>
      </c>
      <c r="U205" s="251">
        <f t="shared" si="55"/>
        <v>-0.89100447393650772</v>
      </c>
      <c r="V205" s="383">
        <f t="shared" si="56"/>
        <v>58.631656602346226</v>
      </c>
      <c r="W205" s="58"/>
      <c r="X205" s="157">
        <f t="shared" si="57"/>
        <v>43656</v>
      </c>
      <c r="Y205" s="385">
        <f t="shared" si="58"/>
        <v>59.506999999999998</v>
      </c>
      <c r="Z205" s="385">
        <f t="shared" si="59"/>
        <v>59.983897827352095</v>
      </c>
      <c r="AA205" s="386">
        <f t="shared" si="60"/>
        <v>63.533839070076965</v>
      </c>
      <c r="AB205" s="197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5.5874810883210307E-2</v>
      </c>
      <c r="AD205" s="231">
        <f>(INDEX(Models!$BJ205:$BT205,,AH205)*(1-AF205)+INDEX(Models!$BJ205:$BT205,,AH205+1)*AF205-ERP_i)*AE205*Ramure*Pc/MaxiM</f>
        <v>4.411064390150103E-5</v>
      </c>
      <c r="AE205" s="305">
        <f t="shared" si="62"/>
        <v>0.7</v>
      </c>
      <c r="AF205" s="177">
        <f t="shared" si="63"/>
        <v>0.10899552606349228</v>
      </c>
      <c r="AG205" s="176">
        <f t="shared" si="64"/>
        <v>-1</v>
      </c>
      <c r="AH205" s="176">
        <f t="shared" si="65"/>
        <v>5</v>
      </c>
      <c r="AI205" s="225">
        <f t="shared" si="66"/>
        <v>-0.89100447393650772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6">
        <v>58.753</v>
      </c>
      <c r="C206" s="390"/>
      <c r="D206" s="393">
        <f t="shared" si="48"/>
        <v>59.22523341844856</v>
      </c>
      <c r="E206" s="385">
        <f t="shared" si="73"/>
        <v>62.739642273752288</v>
      </c>
      <c r="F206" s="385">
        <f t="shared" si="49"/>
        <v>62.742397262991474</v>
      </c>
      <c r="G206" s="110">
        <f t="shared" si="74"/>
        <v>1.0038643079642677</v>
      </c>
      <c r="H206" s="414" t="b">
        <f>Wh_hp&gt;='2018'!Maxi_hp</f>
        <v>1</v>
      </c>
      <c r="I206" s="390">
        <f>IF(H206,Wh_hp,'2018'!Maxi_hp)</f>
        <v>62.742397262991474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7.9735172187850312E-3</v>
      </c>
      <c r="M206" s="844"/>
      <c r="N206" s="844"/>
      <c r="O206" s="48">
        <f>IF(t&lt;Tnet,'2018'!Resal+('2018'!Salim-'2018'!Resal)*(1-EXP(('2018'!Tnet-t)/('2018'!Tau_j))),Resal+(Salim-Resal)*(1-EXP((Tnet-t)/(Tau_j))))*Salcycl</f>
        <v>5.6015761772585236E-2</v>
      </c>
      <c r="P206" s="169">
        <f>(INDEX(Models!$BJ206:$BT206,,T206)*(1-R206)+INDEX(Models!$BJ206:$BT206,,T206+1)*R206-ERP_i)*Q206*Ramure*Pc/MaxiM</f>
        <v>4.3909531024729034E-5</v>
      </c>
      <c r="Q206" s="305">
        <f t="shared" si="51"/>
        <v>0.7</v>
      </c>
      <c r="R206" s="177">
        <f t="shared" si="52"/>
        <v>0.11184056691018385</v>
      </c>
      <c r="S206" s="810">
        <f t="shared" si="53"/>
        <v>-1</v>
      </c>
      <c r="T206" s="176">
        <f t="shared" si="54"/>
        <v>5</v>
      </c>
      <c r="U206" s="251">
        <f t="shared" si="55"/>
        <v>-0.88815943308981615</v>
      </c>
      <c r="V206" s="383">
        <f t="shared" si="56"/>
        <v>58.526834288136968</v>
      </c>
      <c r="W206" s="58"/>
      <c r="X206" s="157">
        <f t="shared" si="57"/>
        <v>43657</v>
      </c>
      <c r="Y206" s="385">
        <f t="shared" si="58"/>
        <v>58.753</v>
      </c>
      <c r="Z206" s="385">
        <f t="shared" si="59"/>
        <v>59.22523341844856</v>
      </c>
      <c r="AA206" s="386">
        <f t="shared" si="60"/>
        <v>62.739642273752288</v>
      </c>
      <c r="AB206" s="197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5.6015761772585236E-2</v>
      </c>
      <c r="AD206" s="231">
        <f>(INDEX(Models!$BJ206:$BT206,,AH206)*(1-AF206)+INDEX(Models!$BJ206:$BT206,,AH206+1)*AF206-ERP_i)*AE206*Ramure*Pc/MaxiM</f>
        <v>4.3909531024729034E-5</v>
      </c>
      <c r="AE206" s="305">
        <f t="shared" si="62"/>
        <v>0.7</v>
      </c>
      <c r="AF206" s="177">
        <f t="shared" si="63"/>
        <v>0.11184056691018385</v>
      </c>
      <c r="AG206" s="176">
        <f t="shared" si="64"/>
        <v>-1</v>
      </c>
      <c r="AH206" s="176">
        <f t="shared" si="65"/>
        <v>5</v>
      </c>
      <c r="AI206" s="225">
        <f t="shared" si="66"/>
        <v>-0.88815943308981615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6">
        <v>59.258000000000003</v>
      </c>
      <c r="C207" s="390"/>
      <c r="D207" s="393">
        <f t="shared" ref="D207:D270" si="75">Wh/(1-Ppv)</f>
        <v>59.73568254567676</v>
      </c>
      <c r="E207" s="385">
        <f t="shared" si="73"/>
        <v>63.289783011439269</v>
      </c>
      <c r="F207" s="385">
        <f t="shared" ref="F207:F270" si="76">Wh_sa/(1-Pvg*MEDIAN((-Sdif+Wh/Env_an)/Csdif,0,1))</f>
        <v>63.292549815565977</v>
      </c>
      <c r="G207" s="110">
        <f t="shared" si="74"/>
        <v>1.0143614431374857</v>
      </c>
      <c r="H207" s="414" t="b">
        <f>Wh_hp&gt;='2018'!Maxi_hp</f>
        <v>1</v>
      </c>
      <c r="I207" s="390">
        <f>IF(H207,Wh_hp,'2018'!Maxi_hp)</f>
        <v>63.292549815565977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7.9966031242967306E-3</v>
      </c>
      <c r="M207" s="844"/>
      <c r="N207" s="844"/>
      <c r="O207" s="48">
        <f>IF(t&lt;Tnet,'2018'!Resal+('2018'!Salim-'2018'!Resal)*(1-EXP(('2018'!Tnet-t)/('2018'!Tau_j))),Resal+(Salim-Resal)*(1-EXP((Tnet-t)/(Tau_j))))*Salcycl</f>
        <v>5.6155990693160185E-2</v>
      </c>
      <c r="P207" s="169">
        <f>(INDEX(Models!$BJ207:$BT207,,T207)*(1-R207)+INDEX(Models!$BJ207:$BT207,,T207+1)*R207-ERP_i)*Q207*Ramure*Pc/MaxiM</f>
        <v>4.3714530932417885E-5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0.11462056174755841</v>
      </c>
      <c r="S207" s="810">
        <f t="shared" ref="S207:S270" si="80">INDEX(Echel_vg,T207)</f>
        <v>-1</v>
      </c>
      <c r="T207" s="176">
        <f t="shared" ref="T207:T270" si="81">MIN(MATCH(Hp_vg,Echel_vg),10)</f>
        <v>5</v>
      </c>
      <c r="U207" s="251">
        <f t="shared" ref="U207:U270" si="82">IF(OR(t&lt;Ttai,Notai),Hdd+PousH*Croivg,Hdtf+PousH*(Croivg-Croi_tai))</f>
        <v>-0.88537943825244159</v>
      </c>
      <c r="V207" s="383">
        <f t="shared" ref="V207:V270" si="83">MaxiM*(1-Ppv)*(1-Pvg)*(1-Psa)</f>
        <v>58.419018586423363</v>
      </c>
      <c r="W207" s="58"/>
      <c r="X207" s="157">
        <f t="shared" ref="X207:X270" si="84">t</f>
        <v>43658</v>
      </c>
      <c r="Y207" s="385">
        <f t="shared" ref="Y207:Y270" si="85">Wh_pvt_s*(1-Ppv)</f>
        <v>59.258000000000003</v>
      </c>
      <c r="Z207" s="385">
        <f t="shared" ref="Z207:Z270" si="86">Wh_sa_s*(1-Psa_s)</f>
        <v>59.73568254567676</v>
      </c>
      <c r="AA207" s="386">
        <f t="shared" ref="AA207:AA270" si="87">Wh_hp*(1-Pvg_s*MEDIAN((-Sdif+Wh/Env_an)/Csdif,0,1))</f>
        <v>63.289783011439269</v>
      </c>
      <c r="AB207" s="197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5.6155990693160185E-2</v>
      </c>
      <c r="AD207" s="231">
        <f>(INDEX(Models!$BJ207:$BT207,,AH207)*(1-AF207)+INDEX(Models!$BJ207:$BT207,,AH207+1)*AF207-ERP_i)*AE207*Ramure*Pc/MaxiM</f>
        <v>4.3714530932417885E-5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0.11462056174755841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5">
        <f t="shared" ref="AI207:AI270" si="93">IF(OR(t&lt;Ttai,Notai),Hdd_s+PousH*Croivg,Hdtai_s+PousH*(Croivg-Croi_tai))</f>
        <v>-0.88537943825244159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50.692</v>
      </c>
      <c r="C208" s="390"/>
      <c r="D208" s="393">
        <f t="shared" si="75"/>
        <v>51.101820683282881</v>
      </c>
      <c r="E208" s="385">
        <f t="shared" si="73"/>
        <v>54.150236529205458</v>
      </c>
      <c r="F208" s="385">
        <f t="shared" si="76"/>
        <v>54.152153759681497</v>
      </c>
      <c r="G208" s="110">
        <f t="shared" si="74"/>
        <v>0.86937461921706982</v>
      </c>
      <c r="H208" s="414" t="b">
        <f>Wh_hp&gt;='2018'!Maxi_hp</f>
        <v>1</v>
      </c>
      <c r="I208" s="390">
        <f>IF(H208,Wh_hp,'2018'!Maxi_hp)</f>
        <v>54.152153759681497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8.0196884925657352E-3</v>
      </c>
      <c r="M208" s="844"/>
      <c r="N208" s="844"/>
      <c r="O208" s="48">
        <f>IF(t&lt;Tnet,'2018'!Resal+('2018'!Salim-'2018'!Resal)*(1-EXP(('2018'!Tnet-t)/('2018'!Tau_j))),Resal+(Salim-Resal)*(1-EXP((Tnet-t)/(Tau_j))))*Salcycl</f>
        <v>5.6295522260155599E-2</v>
      </c>
      <c r="P208" s="169">
        <f>(INDEX(Models!$BJ208:$BT208,,T208)*(1-R208)+INDEX(Models!$BJ208:$BT208,,T208+1)*R208-ERP_i)*Q208*Ramure*Pc/MaxiM</f>
        <v>4.3526439179134652E-5</v>
      </c>
      <c r="Q208" s="305">
        <f t="shared" si="78"/>
        <v>0.7</v>
      </c>
      <c r="R208" s="177">
        <f t="shared" si="79"/>
        <v>0.11733544912143468</v>
      </c>
      <c r="S208" s="810">
        <f t="shared" si="80"/>
        <v>-1</v>
      </c>
      <c r="T208" s="176">
        <f t="shared" si="81"/>
        <v>5</v>
      </c>
      <c r="U208" s="251">
        <f t="shared" si="82"/>
        <v>-0.88266455087856532</v>
      </c>
      <c r="V208" s="383">
        <f t="shared" si="83"/>
        <v>58.308106940419293</v>
      </c>
      <c r="W208" s="58"/>
      <c r="X208" s="157">
        <f t="shared" si="84"/>
        <v>43659</v>
      </c>
      <c r="Y208" s="385">
        <f t="shared" si="85"/>
        <v>50.692</v>
      </c>
      <c r="Z208" s="385">
        <f t="shared" si="86"/>
        <v>51.101820683282881</v>
      </c>
      <c r="AA208" s="386">
        <f t="shared" si="87"/>
        <v>54.150236529205458</v>
      </c>
      <c r="AB208" s="197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5.6295522260155599E-2</v>
      </c>
      <c r="AD208" s="231">
        <f>(INDEX(Models!$BJ208:$BT208,,AH208)*(1-AF208)+INDEX(Models!$BJ208:$BT208,,AH208+1)*AF208-ERP_i)*AE208*Ramure*Pc/MaxiM</f>
        <v>4.3526439179134652E-5</v>
      </c>
      <c r="AE208" s="305">
        <f t="shared" si="89"/>
        <v>0.7</v>
      </c>
      <c r="AF208" s="177">
        <f t="shared" si="90"/>
        <v>0.11733544912143468</v>
      </c>
      <c r="AG208" s="176">
        <f t="shared" si="91"/>
        <v>-1</v>
      </c>
      <c r="AH208" s="176">
        <f t="shared" si="92"/>
        <v>5</v>
      </c>
      <c r="AI208" s="225">
        <f t="shared" si="93"/>
        <v>-0.88266455087856532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6">
        <v>58.798999999999999</v>
      </c>
      <c r="C209" s="390"/>
      <c r="D209" s="393">
        <f t="shared" si="75"/>
        <v>59.275741351276928</v>
      </c>
      <c r="E209" s="385">
        <f t="shared" si="73"/>
        <v>62.8210059611866</v>
      </c>
      <c r="F209" s="385">
        <f t="shared" si="76"/>
        <v>62.823729121097152</v>
      </c>
      <c r="G209" s="110">
        <f t="shared" si="74"/>
        <v>1.0103963156024949</v>
      </c>
      <c r="H209" s="414" t="b">
        <f>Wh_hp&gt;='2018'!Maxi_hp</f>
        <v>1</v>
      </c>
      <c r="I209" s="390">
        <f>IF(H209,Wh_hp,'2018'!Maxi_hp)</f>
        <v>62.823729121097152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8.0427733236044796E-3</v>
      </c>
      <c r="M209" s="844"/>
      <c r="N209" s="844"/>
      <c r="O209" s="48">
        <f>IF(t&lt;Tnet,'2018'!Resal+('2018'!Salim-'2018'!Resal)*(1-EXP(('2018'!Tnet-t)/('2018'!Tau_j))),Resal+(Salim-Resal)*(1-EXP((Tnet-t)/(Tau_j))))*Salcycl</f>
        <v>5.6434381393065926E-2</v>
      </c>
      <c r="P209" s="169">
        <f>(INDEX(Models!$BJ209:$BT209,,T209)*(1-R209)+INDEX(Models!$BJ209:$BT209,,T209+1)*R209-ERP_i)*Q209*Ramure*Pc/MaxiM</f>
        <v>4.3346040558991558E-5</v>
      </c>
      <c r="Q209" s="305">
        <f t="shared" si="78"/>
        <v>0.7</v>
      </c>
      <c r="R209" s="177">
        <f t="shared" si="79"/>
        <v>0.11998527775994106</v>
      </c>
      <c r="S209" s="810">
        <f t="shared" si="80"/>
        <v>-1</v>
      </c>
      <c r="T209" s="176">
        <f t="shared" si="81"/>
        <v>5</v>
      </c>
      <c r="U209" s="251">
        <f t="shared" si="82"/>
        <v>-0.88001472224005894</v>
      </c>
      <c r="V209" s="383">
        <f t="shared" si="83"/>
        <v>58.193996842653185</v>
      </c>
      <c r="W209" s="58"/>
      <c r="X209" s="157">
        <f t="shared" si="84"/>
        <v>43660</v>
      </c>
      <c r="Y209" s="385">
        <f t="shared" si="85"/>
        <v>58.798999999999999</v>
      </c>
      <c r="Z209" s="385">
        <f t="shared" si="86"/>
        <v>59.275741351276928</v>
      </c>
      <c r="AA209" s="386">
        <f t="shared" si="87"/>
        <v>62.8210059611866</v>
      </c>
      <c r="AB209" s="197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5.6434381393065926E-2</v>
      </c>
      <c r="AD209" s="231">
        <f>(INDEX(Models!$BJ209:$BT209,,AH209)*(1-AF209)+INDEX(Models!$BJ209:$BT209,,AH209+1)*AF209-ERP_i)*AE209*Ramure*Pc/MaxiM</f>
        <v>4.3346040558991558E-5</v>
      </c>
      <c r="AE209" s="305">
        <f t="shared" si="89"/>
        <v>0.7</v>
      </c>
      <c r="AF209" s="177">
        <f t="shared" si="90"/>
        <v>0.11998527775994106</v>
      </c>
      <c r="AG209" s="176">
        <f t="shared" si="91"/>
        <v>-1</v>
      </c>
      <c r="AH209" s="176">
        <f t="shared" si="92"/>
        <v>5</v>
      </c>
      <c r="AI209" s="225">
        <f t="shared" si="93"/>
        <v>-0.88001472224005894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6">
        <v>60.313000000000002</v>
      </c>
      <c r="C210" s="390"/>
      <c r="D210" s="393">
        <f t="shared" si="75"/>
        <v>60.803431823741136</v>
      </c>
      <c r="E210" s="385">
        <f t="shared" si="73"/>
        <v>64.449507596058595</v>
      </c>
      <c r="F210" s="385">
        <f t="shared" si="76"/>
        <v>64.452290266215414</v>
      </c>
      <c r="G210" s="110">
        <f t="shared" si="74"/>
        <v>1.0385080170044052</v>
      </c>
      <c r="H210" s="414" t="b">
        <f>Wh_hp&gt;='2018'!Maxi_hp</f>
        <v>1</v>
      </c>
      <c r="I210" s="390">
        <f>IF(H210,Wh_hp,'2018'!Maxi_hp)</f>
        <v>64.452290266215414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8.0658576174255092E-3</v>
      </c>
      <c r="M210" s="844"/>
      <c r="N210" s="844"/>
      <c r="O210" s="48">
        <f>IF(t&lt;Tnet,'2018'!Resal+('2018'!Salim-'2018'!Resal)*(1-EXP(('2018'!Tnet-t)/('2018'!Tau_j))),Resal+(Salim-Resal)*(1-EXP((Tnet-t)/(Tau_j))))*Salcycl</f>
        <v>5.6572593155706861E-2</v>
      </c>
      <c r="P210" s="169">
        <f>(INDEX(Models!$BJ210:$BT210,,T210)*(1-R210)+INDEX(Models!$BJ210:$BT210,,T210+1)*R210-ERP_i)*Q210*Ramure*Pc/MaxiM</f>
        <v>4.3174108248504734E-5</v>
      </c>
      <c r="Q210" s="305">
        <f t="shared" si="78"/>
        <v>0.7</v>
      </c>
      <c r="R210" s="177">
        <f t="shared" si="79"/>
        <v>0.12257020128406293</v>
      </c>
      <c r="S210" s="810">
        <f t="shared" si="80"/>
        <v>-1</v>
      </c>
      <c r="T210" s="176">
        <f t="shared" si="81"/>
        <v>5</v>
      </c>
      <c r="U210" s="251">
        <f t="shared" si="82"/>
        <v>-0.87742979871593707</v>
      </c>
      <c r="V210" s="383">
        <f t="shared" si="83"/>
        <v>58.076585844733223</v>
      </c>
      <c r="W210" s="58"/>
      <c r="X210" s="157">
        <f t="shared" si="84"/>
        <v>43661</v>
      </c>
      <c r="Y210" s="385">
        <f t="shared" si="85"/>
        <v>60.313000000000002</v>
      </c>
      <c r="Z210" s="385">
        <f t="shared" si="86"/>
        <v>60.803431823741136</v>
      </c>
      <c r="AA210" s="386">
        <f t="shared" si="87"/>
        <v>64.449507596058595</v>
      </c>
      <c r="AB210" s="197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5.6572593155706861E-2</v>
      </c>
      <c r="AD210" s="231">
        <f>(INDEX(Models!$BJ210:$BT210,,AH210)*(1-AF210)+INDEX(Models!$BJ210:$BT210,,AH210+1)*AF210-ERP_i)*AE210*Ramure*Pc/MaxiM</f>
        <v>4.3174108248504734E-5</v>
      </c>
      <c r="AE210" s="305">
        <f t="shared" si="89"/>
        <v>0.7</v>
      </c>
      <c r="AF210" s="177">
        <f t="shared" si="90"/>
        <v>0.12257020128406293</v>
      </c>
      <c r="AG210" s="176">
        <f t="shared" si="91"/>
        <v>-1</v>
      </c>
      <c r="AH210" s="176">
        <f t="shared" si="92"/>
        <v>5</v>
      </c>
      <c r="AI210" s="225">
        <f t="shared" si="93"/>
        <v>-0.87742979871593707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6">
        <v>58.093000000000004</v>
      </c>
      <c r="C211" s="390"/>
      <c r="D211" s="393">
        <f t="shared" si="75"/>
        <v>58.566742950192655</v>
      </c>
      <c r="E211" s="385">
        <f t="shared" si="73"/>
        <v>62.08775062539582</v>
      </c>
      <c r="F211" s="385">
        <f t="shared" si="76"/>
        <v>62.090421221534129</v>
      </c>
      <c r="G211" s="110">
        <f t="shared" si="74"/>
        <v>1.0023678130900089</v>
      </c>
      <c r="H211" s="414" t="b">
        <f>Wh_hp&gt;='2018'!Maxi_hp</f>
        <v>1</v>
      </c>
      <c r="I211" s="390">
        <f>IF(H211,Wh_hp,'2018'!Maxi_hp)</f>
        <v>62.090421221534129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8.0889413740412586E-3</v>
      </c>
      <c r="M211" s="844"/>
      <c r="N211" s="844"/>
      <c r="O211" s="48">
        <f>IF(t&lt;Tnet,'2018'!Resal+('2018'!Salim-'2018'!Resal)*(1-EXP(('2018'!Tnet-t)/('2018'!Tau_j))),Resal+(Salim-Resal)*(1-EXP((Tnet-t)/(Tau_j))))*Salcycl</f>
        <v>5.6710182600220795E-2</v>
      </c>
      <c r="P211" s="169">
        <f>(INDEX(Models!$BJ211:$BT211,,T211)*(1-R211)+INDEX(Models!$BJ211:$BT211,,T211+1)*R211-ERP_i)*Q211*Ramure*Pc/MaxiM</f>
        <v>4.3011403140186292E-5</v>
      </c>
      <c r="Q211" s="305">
        <f t="shared" si="78"/>
        <v>0.7</v>
      </c>
      <c r="R211" s="177">
        <f t="shared" si="79"/>
        <v>0.12509047277313612</v>
      </c>
      <c r="S211" s="810">
        <f t="shared" si="80"/>
        <v>-1</v>
      </c>
      <c r="T211" s="176">
        <f t="shared" si="81"/>
        <v>5</v>
      </c>
      <c r="U211" s="251">
        <f t="shared" si="82"/>
        <v>-0.87490952722686388</v>
      </c>
      <c r="V211" s="383">
        <f t="shared" si="83"/>
        <v>57.955771565445772</v>
      </c>
      <c r="W211" s="58"/>
      <c r="X211" s="157">
        <f t="shared" si="84"/>
        <v>43662</v>
      </c>
      <c r="Y211" s="385">
        <f t="shared" si="85"/>
        <v>58.093000000000004</v>
      </c>
      <c r="Z211" s="385">
        <f t="shared" si="86"/>
        <v>58.566742950192655</v>
      </c>
      <c r="AA211" s="386">
        <f t="shared" si="87"/>
        <v>62.08775062539582</v>
      </c>
      <c r="AB211" s="197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5.6710182600220795E-2</v>
      </c>
      <c r="AD211" s="231">
        <f>(INDEX(Models!$BJ211:$BT211,,AH211)*(1-AF211)+INDEX(Models!$BJ211:$BT211,,AH211+1)*AF211-ERP_i)*AE211*Ramure*Pc/MaxiM</f>
        <v>4.3011403140186292E-5</v>
      </c>
      <c r="AE211" s="305">
        <f t="shared" si="89"/>
        <v>0.7</v>
      </c>
      <c r="AF211" s="177">
        <f t="shared" si="90"/>
        <v>0.12509047277313612</v>
      </c>
      <c r="AG211" s="176">
        <f t="shared" si="91"/>
        <v>-1</v>
      </c>
      <c r="AH211" s="176">
        <f t="shared" si="92"/>
        <v>5</v>
      </c>
      <c r="AI211" s="225">
        <f t="shared" si="93"/>
        <v>-0.87490952722686388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6">
        <v>50.226999999999997</v>
      </c>
      <c r="C212" s="390"/>
      <c r="D212" s="393">
        <f t="shared" si="75"/>
        <v>50.637774875145482</v>
      </c>
      <c r="E212" s="385">
        <f t="shared" si="73"/>
        <v>53.689893633659871</v>
      </c>
      <c r="F212" s="385">
        <f t="shared" si="76"/>
        <v>53.69176391675272</v>
      </c>
      <c r="G212" s="110">
        <f t="shared" si="74"/>
        <v>0.86849967334870015</v>
      </c>
      <c r="H212" s="414" t="b">
        <f>Wh_hp&gt;='2018'!Maxi_hp</f>
        <v>1</v>
      </c>
      <c r="I212" s="390">
        <f>IF(H212,Wh_hp,'2018'!Maxi_hp)</f>
        <v>53.69176391675272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8.1120245934642732E-3</v>
      </c>
      <c r="M212" s="844"/>
      <c r="N212" s="844"/>
      <c r="O212" s="48">
        <f>IF(t&lt;Tnet,'2018'!Resal+('2018'!Salim-'2018'!Resal)*(1-EXP(('2018'!Tnet-t)/('2018'!Tau_j))),Resal+(Salim-Resal)*(1-EXP((Tnet-t)/(Tau_j))))*Salcycl</f>
        <v>5.684717461613522E-2</v>
      </c>
      <c r="P212" s="169">
        <f>(INDEX(Models!$BJ212:$BT212,,T212)*(1-R212)+INDEX(Models!$BJ212:$BT212,,T212+1)*R212-ERP_i)*Q212*Ramure*Pc/MaxiM</f>
        <v>4.2890602875181984E-5</v>
      </c>
      <c r="Q212" s="305">
        <f t="shared" si="78"/>
        <v>0.7</v>
      </c>
      <c r="R212" s="177">
        <f t="shared" si="79"/>
        <v>0.12754643922639719</v>
      </c>
      <c r="S212" s="810">
        <f t="shared" si="80"/>
        <v>-1</v>
      </c>
      <c r="T212" s="176">
        <f t="shared" si="81"/>
        <v>5</v>
      </c>
      <c r="U212" s="251">
        <f t="shared" si="82"/>
        <v>-0.87245356077360281</v>
      </c>
      <c r="V212" s="383">
        <f t="shared" si="83"/>
        <v>57.83144985934112</v>
      </c>
      <c r="W212" s="58"/>
      <c r="X212" s="157">
        <f t="shared" si="84"/>
        <v>43663</v>
      </c>
      <c r="Y212" s="385">
        <f t="shared" si="85"/>
        <v>50.226999999999997</v>
      </c>
      <c r="Z212" s="385">
        <f t="shared" si="86"/>
        <v>50.637774875145482</v>
      </c>
      <c r="AA212" s="386">
        <f t="shared" si="87"/>
        <v>53.689893633659871</v>
      </c>
      <c r="AB212" s="197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5.684717461613522E-2</v>
      </c>
      <c r="AD212" s="231">
        <f>(INDEX(Models!$BJ212:$BT212,,AH212)*(1-AF212)+INDEX(Models!$BJ212:$BT212,,AH212+1)*AF212-ERP_i)*AE212*Ramure*Pc/MaxiM</f>
        <v>4.2890602875181984E-5</v>
      </c>
      <c r="AE212" s="305">
        <f t="shared" si="89"/>
        <v>0.7</v>
      </c>
      <c r="AF212" s="177">
        <f t="shared" si="90"/>
        <v>0.12754643922639719</v>
      </c>
      <c r="AG212" s="176">
        <f t="shared" si="91"/>
        <v>-1</v>
      </c>
      <c r="AH212" s="176">
        <f t="shared" si="92"/>
        <v>5</v>
      </c>
      <c r="AI212" s="225">
        <f t="shared" si="93"/>
        <v>-0.87245356077360281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6">
        <v>42.981999999999999</v>
      </c>
      <c r="C213" s="390"/>
      <c r="D213" s="393">
        <f t="shared" si="75"/>
        <v>43.334531058906663</v>
      </c>
      <c r="E213" s="385">
        <f t="shared" si="73"/>
        <v>45.953104074681391</v>
      </c>
      <c r="F213" s="385">
        <f t="shared" si="76"/>
        <v>45.9543548863994</v>
      </c>
      <c r="G213" s="110">
        <f t="shared" si="74"/>
        <v>0.74486497229701876</v>
      </c>
      <c r="H213" s="414" t="b">
        <f>Wh_hp&gt;='2018'!Maxi_hp</f>
        <v>1</v>
      </c>
      <c r="I213" s="390">
        <f>IF(H213,Wh_hp,'2018'!Maxi_hp)</f>
        <v>45.9543548863994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8.1351072757069876E-3</v>
      </c>
      <c r="M213" s="844"/>
      <c r="N213" s="844"/>
      <c r="O213" s="48">
        <f>IF(t&lt;Tnet,'2018'!Resal+('2018'!Salim-'2018'!Resal)*(1-EXP(('2018'!Tnet-t)/('2018'!Tau_j))),Resal+(Salim-Resal)*(1-EXP((Tnet-t)/(Tau_j))))*Salcycl</f>
        <v>5.6983593785506097E-2</v>
      </c>
      <c r="P213" s="169">
        <f>(INDEX(Models!$BJ213:$BT213,,T213)*(1-R213)+INDEX(Models!$BJ213:$BT213,,T213+1)*R213-ERP_i)*Q213*Ramure*Pc/MaxiM</f>
        <v>4.2827600712250533E-5</v>
      </c>
      <c r="Q213" s="305">
        <f t="shared" si="78"/>
        <v>0.7</v>
      </c>
      <c r="R213" s="177">
        <f t="shared" si="79"/>
        <v>0.12993853595942939</v>
      </c>
      <c r="S213" s="810">
        <f t="shared" si="80"/>
        <v>-1</v>
      </c>
      <c r="T213" s="176">
        <f t="shared" si="81"/>
        <v>5</v>
      </c>
      <c r="U213" s="251">
        <f t="shared" si="82"/>
        <v>-0.87006146404057061</v>
      </c>
      <c r="V213" s="383">
        <f t="shared" si="83"/>
        <v>57.70351764794885</v>
      </c>
      <c r="W213" s="58"/>
      <c r="X213" s="157">
        <f t="shared" si="84"/>
        <v>43664</v>
      </c>
      <c r="Y213" s="385">
        <f t="shared" si="85"/>
        <v>42.981999999999999</v>
      </c>
      <c r="Z213" s="385">
        <f t="shared" si="86"/>
        <v>43.334531058906663</v>
      </c>
      <c r="AA213" s="386">
        <f t="shared" si="87"/>
        <v>45.953104074681391</v>
      </c>
      <c r="AB213" s="197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5.6983593785506097E-2</v>
      </c>
      <c r="AD213" s="231">
        <f>(INDEX(Models!$BJ213:$BT213,,AH213)*(1-AF213)+INDEX(Models!$BJ213:$BT213,,AH213+1)*AF213-ERP_i)*AE213*Ramure*Pc/MaxiM</f>
        <v>4.2827600712250533E-5</v>
      </c>
      <c r="AE213" s="305">
        <f t="shared" si="89"/>
        <v>0.7</v>
      </c>
      <c r="AF213" s="177">
        <f t="shared" si="90"/>
        <v>0.12993853595942939</v>
      </c>
      <c r="AG213" s="176">
        <f t="shared" si="91"/>
        <v>-1</v>
      </c>
      <c r="AH213" s="176">
        <f t="shared" si="92"/>
        <v>5</v>
      </c>
      <c r="AI213" s="225">
        <f t="shared" si="93"/>
        <v>-0.87006146404057061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6">
        <v>56.146999999999998</v>
      </c>
      <c r="C214" s="390"/>
      <c r="D214" s="393">
        <f t="shared" si="75"/>
        <v>56.608825521492335</v>
      </c>
      <c r="E214" s="385">
        <f t="shared" si="73"/>
        <v>60.038173845820069</v>
      </c>
      <c r="F214" s="385">
        <f t="shared" si="76"/>
        <v>60.040654138236931</v>
      </c>
      <c r="G214" s="110">
        <f t="shared" si="74"/>
        <v>0.97524906327801542</v>
      </c>
      <c r="H214" s="414" t="b">
        <f>Wh_hp&gt;='2018'!Maxi_hp</f>
        <v>1</v>
      </c>
      <c r="I214" s="390">
        <f>IF(H214,Wh_hp,'2018'!Maxi_hp)</f>
        <v>60.040654138236931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8.1581894207820582E-3</v>
      </c>
      <c r="M214" s="844"/>
      <c r="N214" s="844"/>
      <c r="O214" s="48">
        <f>IF(t&lt;Tnet,'2018'!Resal+('2018'!Salim-'2018'!Resal)*(1-EXP(('2018'!Tnet-t)/('2018'!Tau_j))),Resal+(Salim-Resal)*(1-EXP((Tnet-t)/(Tau_j))))*Salcycl</f>
        <v>5.7119464245105236E-2</v>
      </c>
      <c r="P214" s="169">
        <f>(INDEX(Models!$BJ214:$BT214,,T214)*(1-R214)+INDEX(Models!$BJ214:$BT214,,T214+1)*R214-ERP_i)*Q214*Ramure*Pc/MaxiM</f>
        <v>4.2824329321814964E-5</v>
      </c>
      <c r="Q214" s="305">
        <f t="shared" si="78"/>
        <v>0.7</v>
      </c>
      <c r="R214" s="177">
        <f t="shared" si="79"/>
        <v>0.13226728097188045</v>
      </c>
      <c r="S214" s="810">
        <f t="shared" si="80"/>
        <v>-1</v>
      </c>
      <c r="T214" s="176">
        <f t="shared" si="81"/>
        <v>5</v>
      </c>
      <c r="U214" s="251">
        <f t="shared" si="82"/>
        <v>-0.86773271902811955</v>
      </c>
      <c r="V214" s="383">
        <f t="shared" si="83"/>
        <v>57.571872763322382</v>
      </c>
      <c r="W214" s="58"/>
      <c r="X214" s="157">
        <f t="shared" si="84"/>
        <v>43665</v>
      </c>
      <c r="Y214" s="385">
        <f t="shared" si="85"/>
        <v>56.146999999999998</v>
      </c>
      <c r="Z214" s="385">
        <f t="shared" si="86"/>
        <v>56.608825521492335</v>
      </c>
      <c r="AA214" s="386">
        <f t="shared" si="87"/>
        <v>60.038173845820069</v>
      </c>
      <c r="AB214" s="197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5.7119464245105236E-2</v>
      </c>
      <c r="AD214" s="231">
        <f>(INDEX(Models!$BJ214:$BT214,,AH214)*(1-AF214)+INDEX(Models!$BJ214:$BT214,,AH214+1)*AF214-ERP_i)*AE214*Ramure*Pc/MaxiM</f>
        <v>4.2824329321814964E-5</v>
      </c>
      <c r="AE214" s="305">
        <f t="shared" si="89"/>
        <v>0.7</v>
      </c>
      <c r="AF214" s="177">
        <f t="shared" si="90"/>
        <v>0.13226728097188045</v>
      </c>
      <c r="AG214" s="176">
        <f t="shared" si="91"/>
        <v>-1</v>
      </c>
      <c r="AH214" s="176">
        <f t="shared" si="92"/>
        <v>5</v>
      </c>
      <c r="AI214" s="225">
        <f t="shared" si="93"/>
        <v>-0.86773271902811955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6">
        <v>28.469000000000001</v>
      </c>
      <c r="C215" s="390"/>
      <c r="D215" s="393">
        <f t="shared" si="75"/>
        <v>28.703833844242578</v>
      </c>
      <c r="E215" s="385">
        <f t="shared" si="73"/>
        <v>30.447075344654053</v>
      </c>
      <c r="F215" s="385">
        <f t="shared" si="76"/>
        <v>30.447440299661384</v>
      </c>
      <c r="G215" s="110">
        <f t="shared" si="74"/>
        <v>0.49564586024810614</v>
      </c>
      <c r="H215" s="414" t="b">
        <f>Wh_hp&gt;='2018'!Maxi_hp</f>
        <v>1</v>
      </c>
      <c r="I215" s="390">
        <f>IF(H215,Wh_hp,'2018'!Maxi_hp)</f>
        <v>30.447440299661384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8.1812710287019197E-3</v>
      </c>
      <c r="M215" s="844"/>
      <c r="N215" s="844"/>
      <c r="O215" s="48">
        <f>IF(t&lt;Tnet,'2018'!Resal+('2018'!Salim-'2018'!Resal)*(1-EXP(('2018'!Tnet-t)/('2018'!Tau_j))),Resal+(Salim-Resal)*(1-EXP((Tnet-t)/(Tau_j))))*Salcycl</f>
        <v>5.7254809556529625E-2</v>
      </c>
      <c r="P215" s="169">
        <f>(INDEX(Models!$BJ215:$BT215,,T215)*(1-R215)+INDEX(Models!$BJ215:$BT215,,T215+1)*R215-ERP_i)*Q215*Ramure*Pc/MaxiM</f>
        <v>4.2882680366019966E-5</v>
      </c>
      <c r="Q215" s="305">
        <f t="shared" si="78"/>
        <v>0.7</v>
      </c>
      <c r="R215" s="177">
        <f t="shared" si="79"/>
        <v>0.13453326932022858</v>
      </c>
      <c r="S215" s="810">
        <f t="shared" si="80"/>
        <v>-1</v>
      </c>
      <c r="T215" s="176">
        <f t="shared" si="81"/>
        <v>5</v>
      </c>
      <c r="U215" s="251">
        <f t="shared" si="82"/>
        <v>-0.86546673067977142</v>
      </c>
      <c r="V215" s="383">
        <f t="shared" si="83"/>
        <v>57.436413145510954</v>
      </c>
      <c r="W215" s="58"/>
      <c r="X215" s="157">
        <f t="shared" si="84"/>
        <v>43666</v>
      </c>
      <c r="Y215" s="385">
        <f t="shared" si="85"/>
        <v>28.469000000000001</v>
      </c>
      <c r="Z215" s="385">
        <f t="shared" si="86"/>
        <v>28.703833844242578</v>
      </c>
      <c r="AA215" s="386">
        <f t="shared" si="87"/>
        <v>30.447075344654053</v>
      </c>
      <c r="AB215" s="197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5.7254809556529625E-2</v>
      </c>
      <c r="AD215" s="231">
        <f>(INDEX(Models!$BJ215:$BT215,,AH215)*(1-AF215)+INDEX(Models!$BJ215:$BT215,,AH215+1)*AF215-ERP_i)*AE215*Ramure*Pc/MaxiM</f>
        <v>4.2882680366019966E-5</v>
      </c>
      <c r="AE215" s="305">
        <f t="shared" si="89"/>
        <v>0.7</v>
      </c>
      <c r="AF215" s="177">
        <f t="shared" si="90"/>
        <v>0.13453326932022858</v>
      </c>
      <c r="AG215" s="176">
        <f t="shared" si="91"/>
        <v>-1</v>
      </c>
      <c r="AH215" s="176">
        <f t="shared" si="92"/>
        <v>5</v>
      </c>
      <c r="AI215" s="225">
        <f t="shared" si="93"/>
        <v>-0.86546673067977142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6">
        <v>45.732999999999997</v>
      </c>
      <c r="C216" s="390"/>
      <c r="D216" s="393">
        <f t="shared" si="75"/>
        <v>46.111313451324101</v>
      </c>
      <c r="E216" s="385">
        <f t="shared" si="73"/>
        <v>48.918743124112822</v>
      </c>
      <c r="F216" s="385">
        <f t="shared" si="76"/>
        <v>48.920240343734669</v>
      </c>
      <c r="G216" s="110">
        <f t="shared" si="74"/>
        <v>0.79816401421537508</v>
      </c>
      <c r="H216" s="414" t="b">
        <f>Wh_hp&gt;='2018'!Maxi_hp</f>
        <v>1</v>
      </c>
      <c r="I216" s="390">
        <f>IF(H216,Wh_hp,'2018'!Maxi_hp)</f>
        <v>48.920240343734669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8.2043520994788954E-3</v>
      </c>
      <c r="M216" s="844"/>
      <c r="N216" s="844"/>
      <c r="O216" s="48">
        <f>IF(t&lt;Tnet,'2018'!Resal+('2018'!Salim-'2018'!Resal)*(1-EXP(('2018'!Tnet-t)/('2018'!Tau_j))),Resal+(Salim-Resal)*(1-EXP((Tnet-t)/(Tau_j))))*Salcycl</f>
        <v>5.7389652585021059E-2</v>
      </c>
      <c r="P216" s="169">
        <f>(INDEX(Models!$BJ216:$BT216,,T216)*(1-R216)+INDEX(Models!$BJ216:$BT216,,T216+1)*R216-ERP_i)*Q216*Ramure*Pc/MaxiM</f>
        <v>4.3004508433502152E-5</v>
      </c>
      <c r="Q216" s="305">
        <f t="shared" si="78"/>
        <v>0.7</v>
      </c>
      <c r="R216" s="177">
        <f t="shared" si="79"/>
        <v>0.13673716752667653</v>
      </c>
      <c r="S216" s="810">
        <f t="shared" si="80"/>
        <v>-1</v>
      </c>
      <c r="T216" s="176">
        <f t="shared" si="81"/>
        <v>5</v>
      </c>
      <c r="U216" s="251">
        <f t="shared" si="82"/>
        <v>-0.86326283247332347</v>
      </c>
      <c r="V216" s="383">
        <f t="shared" si="83"/>
        <v>57.297036844648531</v>
      </c>
      <c r="W216" s="58"/>
      <c r="X216" s="157">
        <f t="shared" si="84"/>
        <v>43667</v>
      </c>
      <c r="Y216" s="385">
        <f t="shared" si="85"/>
        <v>45.732999999999997</v>
      </c>
      <c r="Z216" s="385">
        <f t="shared" si="86"/>
        <v>46.111313451324101</v>
      </c>
      <c r="AA216" s="386">
        <f t="shared" si="87"/>
        <v>48.918743124112822</v>
      </c>
      <c r="AB216" s="197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5.7389652585021059E-2</v>
      </c>
      <c r="AD216" s="231">
        <f>(INDEX(Models!$BJ216:$BT216,,AH216)*(1-AF216)+INDEX(Models!$BJ216:$BT216,,AH216+1)*AF216-ERP_i)*AE216*Ramure*Pc/MaxiM</f>
        <v>4.3004508433502152E-5</v>
      </c>
      <c r="AE216" s="305">
        <f t="shared" si="89"/>
        <v>0.7</v>
      </c>
      <c r="AF216" s="177">
        <f t="shared" si="90"/>
        <v>0.13673716752667653</v>
      </c>
      <c r="AG216" s="176">
        <f t="shared" si="91"/>
        <v>-1</v>
      </c>
      <c r="AH216" s="176">
        <f t="shared" si="92"/>
        <v>5</v>
      </c>
      <c r="AI216" s="225">
        <f t="shared" si="93"/>
        <v>-0.86326283247332347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6">
        <v>49.503999999999998</v>
      </c>
      <c r="C217" s="390"/>
      <c r="D217" s="393">
        <f t="shared" si="75"/>
        <v>49.914669581385581</v>
      </c>
      <c r="E217" s="385">
        <f t="shared" si="73"/>
        <v>52.961211103875506</v>
      </c>
      <c r="F217" s="385">
        <f t="shared" si="76"/>
        <v>52.963061272041088</v>
      </c>
      <c r="G217" s="110">
        <f t="shared" si="74"/>
        <v>0.86614937200539821</v>
      </c>
      <c r="H217" s="414" t="b">
        <f>Wh_hp&gt;='2018'!Maxi_hp</f>
        <v>1</v>
      </c>
      <c r="I217" s="390">
        <f>IF(H217,Wh_hp,'2018'!Maxi_hp)</f>
        <v>52.963061272041088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8.227432633125753E-3</v>
      </c>
      <c r="M217" s="844"/>
      <c r="N217" s="844"/>
      <c r="O217" s="48">
        <f>IF(t&lt;Tnet,'2018'!Resal+('2018'!Salim-'2018'!Resal)*(1-EXP(('2018'!Tnet-t)/('2018'!Tau_j))),Resal+(Salim-Resal)*(1-EXP((Tnet-t)/(Tau_j))))*Salcycl</f>
        <v>5.7524015387687949E-2</v>
      </c>
      <c r="P217" s="169">
        <f>(INDEX(Models!$BJ217:$BT217,,T217)*(1-R217)+INDEX(Models!$BJ217:$BT217,,T217+1)*R217-ERP_i)*Q217*Ramure*Pc/MaxiM</f>
        <v>4.3191635305023616E-5</v>
      </c>
      <c r="Q217" s="305">
        <f t="shared" si="78"/>
        <v>0.7</v>
      </c>
      <c r="R217" s="177">
        <f t="shared" si="79"/>
        <v>0.13887970805249983</v>
      </c>
      <c r="S217" s="810">
        <f t="shared" si="80"/>
        <v>-1</v>
      </c>
      <c r="T217" s="176">
        <f t="shared" si="81"/>
        <v>5</v>
      </c>
      <c r="U217" s="251">
        <f t="shared" si="82"/>
        <v>-0.86112029194750017</v>
      </c>
      <c r="V217" s="383">
        <f t="shared" si="83"/>
        <v>57.153642038142493</v>
      </c>
      <c r="W217" s="58"/>
      <c r="X217" s="157">
        <f t="shared" si="84"/>
        <v>43668</v>
      </c>
      <c r="Y217" s="385">
        <f t="shared" si="85"/>
        <v>49.503999999999998</v>
      </c>
      <c r="Z217" s="385">
        <f t="shared" si="86"/>
        <v>49.914669581385581</v>
      </c>
      <c r="AA217" s="386">
        <f t="shared" si="87"/>
        <v>52.961211103875506</v>
      </c>
      <c r="AB217" s="197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5.7524015387687949E-2</v>
      </c>
      <c r="AD217" s="231">
        <f>(INDEX(Models!$BJ217:$BT217,,AH217)*(1-AF217)+INDEX(Models!$BJ217:$BT217,,AH217+1)*AF217-ERP_i)*AE217*Ramure*Pc/MaxiM</f>
        <v>4.3191635305023616E-5</v>
      </c>
      <c r="AE217" s="305">
        <f t="shared" si="89"/>
        <v>0.7</v>
      </c>
      <c r="AF217" s="177">
        <f t="shared" si="90"/>
        <v>0.13887970805249983</v>
      </c>
      <c r="AG217" s="176">
        <f t="shared" si="91"/>
        <v>-1</v>
      </c>
      <c r="AH217" s="176">
        <f t="shared" si="92"/>
        <v>5</v>
      </c>
      <c r="AI217" s="225">
        <f t="shared" si="93"/>
        <v>-0.86112029194750017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6">
        <v>53.401000000000003</v>
      </c>
      <c r="C218" s="390"/>
      <c r="D218" s="393">
        <f t="shared" si="75"/>
        <v>53.845250922785375</v>
      </c>
      <c r="E218" s="385">
        <f t="shared" si="73"/>
        <v>57.139813677883502</v>
      </c>
      <c r="F218" s="385">
        <f t="shared" si="76"/>
        <v>57.142071976400118</v>
      </c>
      <c r="G218" s="110">
        <f t="shared" si="74"/>
        <v>0.93675527830164129</v>
      </c>
      <c r="H218" s="414" t="b">
        <f>Wh_hp&gt;='2018'!Maxi_hp</f>
        <v>1</v>
      </c>
      <c r="I218" s="390">
        <f>IF(H218,Wh_hp,'2018'!Maxi_hp)</f>
        <v>57.142071976400118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8.2505126296548159E-3</v>
      </c>
      <c r="M218" s="844"/>
      <c r="N218" s="844"/>
      <c r="O218" s="48">
        <f>IF(t&lt;Tnet,'2018'!Resal+('2018'!Salim-'2018'!Resal)*(1-EXP(('2018'!Tnet-t)/('2018'!Tau_j))),Resal+(Salim-Resal)*(1-EXP((Tnet-t)/(Tau_j))))*Salcycl</f>
        <v>5.7657919111719483E-2</v>
      </c>
      <c r="P218" s="169">
        <f>(INDEX(Models!$BJ218:$BT218,,T218)*(1-R218)+INDEX(Models!$BJ218:$BT218,,T218+1)*R218-ERP_i)*Q218*Ramure*Pc/MaxiM</f>
        <v>4.3445854542229081E-5</v>
      </c>
      <c r="Q218" s="305">
        <f t="shared" si="78"/>
        <v>0.7</v>
      </c>
      <c r="R218" s="177">
        <f t="shared" si="79"/>
        <v>0.14096168386140551</v>
      </c>
      <c r="S218" s="810">
        <f t="shared" si="80"/>
        <v>-1</v>
      </c>
      <c r="T218" s="176">
        <f t="shared" si="81"/>
        <v>5</v>
      </c>
      <c r="U218" s="251">
        <f t="shared" si="82"/>
        <v>-0.85903831613859449</v>
      </c>
      <c r="V218" s="383">
        <f t="shared" si="83"/>
        <v>57.006127027046873</v>
      </c>
      <c r="W218" s="58"/>
      <c r="X218" s="157">
        <f t="shared" si="84"/>
        <v>43669</v>
      </c>
      <c r="Y218" s="385">
        <f t="shared" si="85"/>
        <v>53.401000000000003</v>
      </c>
      <c r="Z218" s="385">
        <f t="shared" si="86"/>
        <v>53.845250922785375</v>
      </c>
      <c r="AA218" s="386">
        <f t="shared" si="87"/>
        <v>57.139813677883502</v>
      </c>
      <c r="AB218" s="197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5.7657919111719483E-2</v>
      </c>
      <c r="AD218" s="231">
        <f>(INDEX(Models!$BJ218:$BT218,,AH218)*(1-AF218)+INDEX(Models!$BJ218:$BT218,,AH218+1)*AF218-ERP_i)*AE218*Ramure*Pc/MaxiM</f>
        <v>4.3445854542229081E-5</v>
      </c>
      <c r="AE218" s="305">
        <f t="shared" si="89"/>
        <v>0.7</v>
      </c>
      <c r="AF218" s="177">
        <f t="shared" si="90"/>
        <v>0.14096168386140551</v>
      </c>
      <c r="AG218" s="176">
        <f t="shared" si="91"/>
        <v>-1</v>
      </c>
      <c r="AH218" s="176">
        <f t="shared" si="92"/>
        <v>5</v>
      </c>
      <c r="AI218" s="225">
        <f t="shared" si="93"/>
        <v>-0.85903831613859449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6">
        <v>53.613999999999997</v>
      </c>
      <c r="C219" s="390"/>
      <c r="D219" s="393">
        <f t="shared" si="75"/>
        <v>54.061280986697</v>
      </c>
      <c r="E219" s="385">
        <f t="shared" si="73"/>
        <v>57.377188090939391</v>
      </c>
      <c r="F219" s="385">
        <f t="shared" si="76"/>
        <v>57.379495039905848</v>
      </c>
      <c r="G219" s="110">
        <f t="shared" si="74"/>
        <v>0.94300152690000927</v>
      </c>
      <c r="H219" s="414" t="b">
        <f>Wh_hp&gt;='2018'!Maxi_hp</f>
        <v>1</v>
      </c>
      <c r="I219" s="390">
        <f>IF(H219,Wh_hp,'2018'!Maxi_hp)</f>
        <v>57.379495039905848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8.2735920890787407E-3</v>
      </c>
      <c r="M219" s="844"/>
      <c r="N219" s="844"/>
      <c r="O219" s="48">
        <f>IF(t&lt;Tnet,'2018'!Resal+('2018'!Salim-'2018'!Resal)*(1-EXP(('2018'!Tnet-t)/('2018'!Tau_j))),Resal+(Salim-Resal)*(1-EXP((Tnet-t)/(Tau_j))))*Salcycl</f>
        <v>5.7791383903074436E-2</v>
      </c>
      <c r="P219" s="169">
        <f>(INDEX(Models!$BJ219:$BT219,,T219)*(1-R219)+INDEX(Models!$BJ219:$BT219,,T219+1)*R219-ERP_i)*Q219*Ramure*Pc/MaxiM</f>
        <v>4.3768839446625884E-5</v>
      </c>
      <c r="Q219" s="305">
        <f t="shared" si="78"/>
        <v>0.7</v>
      </c>
      <c r="R219" s="177">
        <f t="shared" si="79"/>
        <v>0.14298394309570739</v>
      </c>
      <c r="S219" s="810">
        <f t="shared" si="80"/>
        <v>-1</v>
      </c>
      <c r="T219" s="176">
        <f t="shared" si="81"/>
        <v>5</v>
      </c>
      <c r="U219" s="251">
        <f t="shared" si="82"/>
        <v>-0.85701605690429261</v>
      </c>
      <c r="V219" s="383">
        <f t="shared" si="83"/>
        <v>56.854424300699094</v>
      </c>
      <c r="W219" s="58"/>
      <c r="X219" s="157">
        <f t="shared" si="84"/>
        <v>43670</v>
      </c>
      <c r="Y219" s="385">
        <f t="shared" si="85"/>
        <v>53.613999999999997</v>
      </c>
      <c r="Z219" s="385">
        <f t="shared" si="86"/>
        <v>54.061280986697</v>
      </c>
      <c r="AA219" s="386">
        <f t="shared" si="87"/>
        <v>57.377188090939391</v>
      </c>
      <c r="AB219" s="197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5.7791383903074436E-2</v>
      </c>
      <c r="AD219" s="231">
        <f>(INDEX(Models!$BJ219:$BT219,,AH219)*(1-AF219)+INDEX(Models!$BJ219:$BT219,,AH219+1)*AF219-ERP_i)*AE219*Ramure*Pc/MaxiM</f>
        <v>4.3768839446625884E-5</v>
      </c>
      <c r="AE219" s="305">
        <f t="shared" si="89"/>
        <v>0.7</v>
      </c>
      <c r="AF219" s="177">
        <f t="shared" si="90"/>
        <v>0.14298394309570739</v>
      </c>
      <c r="AG219" s="176">
        <f t="shared" si="91"/>
        <v>-1</v>
      </c>
      <c r="AH219" s="176">
        <f t="shared" si="92"/>
        <v>5</v>
      </c>
      <c r="AI219" s="225">
        <f t="shared" si="93"/>
        <v>-0.85701605690429261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6">
        <v>53.976999999999997</v>
      </c>
      <c r="C220" s="390"/>
      <c r="D220" s="393">
        <f t="shared" si="75"/>
        <v>54.428575988596904</v>
      </c>
      <c r="E220" s="385">
        <f t="shared" si="73"/>
        <v>57.775169693414085</v>
      </c>
      <c r="F220" s="385">
        <f t="shared" si="76"/>
        <v>57.777546202524846</v>
      </c>
      <c r="G220" s="110">
        <f t="shared" si="74"/>
        <v>0.95199588546009406</v>
      </c>
      <c r="H220" s="414" t="b">
        <f>Wh_hp&gt;='2018'!Maxi_hp</f>
        <v>1</v>
      </c>
      <c r="I220" s="390">
        <f>IF(H220,Wh_hp,'2018'!Maxi_hp)</f>
        <v>57.777546202524846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8.2966710114098507E-3</v>
      </c>
      <c r="M220" s="844"/>
      <c r="N220" s="844"/>
      <c r="O220" s="48">
        <f>IF(t&lt;Tnet,'2018'!Resal+('2018'!Salim-'2018'!Resal)*(1-EXP(('2018'!Tnet-t)/('2018'!Tau_j))),Resal+(Salim-Resal)*(1-EXP((Tnet-t)/(Tau_j))))*Salcycl</f>
        <v>5.7924428826016366E-2</v>
      </c>
      <c r="P220" s="169">
        <f>(INDEX(Models!$BJ220:$BT220,,T220)*(1-R220)+INDEX(Models!$BJ220:$BT220,,T220+1)*R220-ERP_i)*Q220*Ramure*Pc/MaxiM</f>
        <v>4.4160263353175548E-5</v>
      </c>
      <c r="Q220" s="305">
        <f t="shared" si="78"/>
        <v>0.7</v>
      </c>
      <c r="R220" s="177">
        <f t="shared" si="79"/>
        <v>0.14494738388541539</v>
      </c>
      <c r="S220" s="810">
        <f t="shared" si="80"/>
        <v>-1</v>
      </c>
      <c r="T220" s="176">
        <f t="shared" si="81"/>
        <v>5</v>
      </c>
      <c r="U220" s="251">
        <f t="shared" si="82"/>
        <v>-0.85505261611458461</v>
      </c>
      <c r="V220" s="383">
        <f t="shared" si="83"/>
        <v>56.698602760763578</v>
      </c>
      <c r="W220" s="58"/>
      <c r="X220" s="157">
        <f t="shared" si="84"/>
        <v>43671</v>
      </c>
      <c r="Y220" s="385">
        <f t="shared" si="85"/>
        <v>53.976999999999997</v>
      </c>
      <c r="Z220" s="385">
        <f t="shared" si="86"/>
        <v>54.428575988596904</v>
      </c>
      <c r="AA220" s="386">
        <f t="shared" si="87"/>
        <v>57.775169693414085</v>
      </c>
      <c r="AB220" s="197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5.7924428826016366E-2</v>
      </c>
      <c r="AD220" s="231">
        <f>(INDEX(Models!$BJ220:$BT220,,AH220)*(1-AF220)+INDEX(Models!$BJ220:$BT220,,AH220+1)*AF220-ERP_i)*AE220*Ramure*Pc/MaxiM</f>
        <v>4.4160263353175548E-5</v>
      </c>
      <c r="AE220" s="305">
        <f t="shared" si="89"/>
        <v>0.7</v>
      </c>
      <c r="AF220" s="177">
        <f t="shared" si="90"/>
        <v>0.14494738388541539</v>
      </c>
      <c r="AG220" s="176">
        <f t="shared" si="91"/>
        <v>-1</v>
      </c>
      <c r="AH220" s="176">
        <f t="shared" si="92"/>
        <v>5</v>
      </c>
      <c r="AI220" s="225">
        <f t="shared" si="93"/>
        <v>-0.85505261611458461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6">
        <v>22.449000000000002</v>
      </c>
      <c r="C221" s="390"/>
      <c r="D221" s="393">
        <f t="shared" si="75"/>
        <v>22.637336970603183</v>
      </c>
      <c r="E221" s="385">
        <f t="shared" si="73"/>
        <v>24.032599314389188</v>
      </c>
      <c r="F221" s="385">
        <f t="shared" si="76"/>
        <v>24.032747894315694</v>
      </c>
      <c r="G221" s="110">
        <f t="shared" si="74"/>
        <v>0.39703974723625124</v>
      </c>
      <c r="H221" s="414" t="b">
        <f>Wh_hp&gt;='2018'!Maxi_hp</f>
        <v>1</v>
      </c>
      <c r="I221" s="390">
        <f>IF(H221,Wh_hp,'2018'!Maxi_hp)</f>
        <v>24.032747894315694</v>
      </c>
      <c r="J221" s="85">
        <f>IF(H221,An,'2018'!An_max)</f>
        <v>2019</v>
      </c>
      <c r="K221" s="197">
        <f t="shared" si="77"/>
        <v>43672</v>
      </c>
      <c r="L221" s="147">
        <f>IF(t&lt;Tvie,1-EXP((T0-t)*PertePVj)+'2018'!Pspv,1-EXP((T0-t)*PertePVj)+Pspv)</f>
        <v>8.3197493966606917E-3</v>
      </c>
      <c r="M221" s="844"/>
      <c r="N221" s="844"/>
      <c r="O221" s="48">
        <f>IF(t&lt;Tnet,'2018'!Resal+('2018'!Salim-'2018'!Resal)*(1-EXP(('2018'!Tnet-t)/('2018'!Tau_j))),Resal+(Salim-Resal)*(1-EXP((Tnet-t)/(Tau_j))))*Salcycl</f>
        <v>5.8057071793753516E-2</v>
      </c>
      <c r="P221" s="169">
        <f>(INDEX(Models!$BJ221:$BT221,,T221)*(1-R221)+INDEX(Models!$BJ221:$BT221,,T221+1)*R221-ERP_i)*Q221*Ramure*Pc/MaxiM</f>
        <v>4.4589935788564147E-5</v>
      </c>
      <c r="Q221" s="305">
        <f t="shared" si="78"/>
        <v>0.7</v>
      </c>
      <c r="R221" s="177">
        <f t="shared" si="79"/>
        <v>0.14685294930770243</v>
      </c>
      <c r="S221" s="810">
        <f t="shared" si="80"/>
        <v>-1</v>
      </c>
      <c r="T221" s="176">
        <f t="shared" si="81"/>
        <v>5</v>
      </c>
      <c r="U221" s="251">
        <f t="shared" si="82"/>
        <v>-0.85314705069229757</v>
      </c>
      <c r="V221" s="383">
        <f t="shared" si="83"/>
        <v>56.538767063076754</v>
      </c>
      <c r="W221" s="58"/>
      <c r="X221" s="157">
        <f t="shared" si="84"/>
        <v>43672</v>
      </c>
      <c r="Y221" s="385">
        <f t="shared" si="85"/>
        <v>22.449000000000002</v>
      </c>
      <c r="Z221" s="385">
        <f t="shared" si="86"/>
        <v>22.637336970603183</v>
      </c>
      <c r="AA221" s="386">
        <f t="shared" si="87"/>
        <v>24.032599314389188</v>
      </c>
      <c r="AB221" s="197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5.8057071793753516E-2</v>
      </c>
      <c r="AD221" s="231">
        <f>(INDEX(Models!$BJ221:$BT221,,AH221)*(1-AF221)+INDEX(Models!$BJ221:$BT221,,AH221+1)*AF221-ERP_i)*AE221*Ramure*Pc/MaxiM</f>
        <v>4.4589935788564147E-5</v>
      </c>
      <c r="AE221" s="305">
        <f t="shared" si="89"/>
        <v>0.7</v>
      </c>
      <c r="AF221" s="177">
        <f t="shared" si="90"/>
        <v>0.14685294930770243</v>
      </c>
      <c r="AG221" s="176">
        <f t="shared" si="91"/>
        <v>-1</v>
      </c>
      <c r="AH221" s="176">
        <f t="shared" si="92"/>
        <v>5</v>
      </c>
      <c r="AI221" s="225">
        <f t="shared" si="93"/>
        <v>-0.85314705069229757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6">
        <v>12.471</v>
      </c>
      <c r="C222" s="390"/>
      <c r="D222" s="393">
        <f t="shared" si="75"/>
        <v>12.575918717303663</v>
      </c>
      <c r="E222" s="385">
        <f t="shared" si="73"/>
        <v>13.352915943036718</v>
      </c>
      <c r="F222" s="385">
        <f t="shared" si="76"/>
        <v>13.352915943036718</v>
      </c>
      <c r="G222" s="110">
        <f t="shared" si="74"/>
        <v>0.22120503107784925</v>
      </c>
      <c r="H222" s="414" t="b">
        <f>Wh_hp&gt;='2018'!Maxi_hp</f>
        <v>1</v>
      </c>
      <c r="I222" s="390">
        <f>IF(H222,Wh_hp,'2018'!Maxi_hp)</f>
        <v>13.352915943036718</v>
      </c>
      <c r="J222" s="85">
        <f>IF(H222,An,'2018'!An_max)</f>
        <v>2019</v>
      </c>
      <c r="K222" s="197">
        <f t="shared" si="77"/>
        <v>43673</v>
      </c>
      <c r="L222" s="147">
        <f>IF(t&lt;Tvie,1-EXP((T0-t)*PertePVj)+'2018'!Pspv,1-EXP((T0-t)*PertePVj)+Pspv)</f>
        <v>8.34282724484392E-3</v>
      </c>
      <c r="M222" s="844"/>
      <c r="N222" s="844"/>
      <c r="O222" s="48">
        <f>IF(t&lt;Tnet,'2018'!Resal+('2018'!Salim-'2018'!Resal)*(1-EXP(('2018'!Tnet-t)/('2018'!Tau_j))),Resal+(Salim-Resal)*(1-EXP((Tnet-t)/(Tau_j))))*Salcycl</f>
        <v>5.8189329510326376E-2</v>
      </c>
      <c r="P222" s="169">
        <f>(INDEX(Models!$BJ222:$BT222,,T222)*(1-R222)+INDEX(Models!$BJ222:$BT222,,T222+1)*R222-ERP_i)*Q222*Ramure*Pc/MaxiM</f>
        <v>4.5058803196444313E-5</v>
      </c>
      <c r="Q222" s="305">
        <f t="shared" si="78"/>
        <v>0.7</v>
      </c>
      <c r="R222" s="177">
        <f t="shared" si="79"/>
        <v>0.14870162251167507</v>
      </c>
      <c r="S222" s="810">
        <f t="shared" si="80"/>
        <v>-1</v>
      </c>
      <c r="T222" s="176">
        <f t="shared" si="81"/>
        <v>5</v>
      </c>
      <c r="U222" s="251">
        <f t="shared" si="82"/>
        <v>-0.85129837748832493</v>
      </c>
      <c r="V222" s="383">
        <f t="shared" si="83"/>
        <v>56.375020092904592</v>
      </c>
      <c r="W222" s="58"/>
      <c r="X222" s="157">
        <f t="shared" si="84"/>
        <v>43673</v>
      </c>
      <c r="Y222" s="385">
        <f t="shared" si="85"/>
        <v>12.471</v>
      </c>
      <c r="Z222" s="385">
        <f t="shared" si="86"/>
        <v>12.575918717303663</v>
      </c>
      <c r="AA222" s="386">
        <f t="shared" si="87"/>
        <v>13.352915943036718</v>
      </c>
      <c r="AB222" s="197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5.8189329510326376E-2</v>
      </c>
      <c r="AD222" s="231">
        <f>(INDEX(Models!$BJ222:$BT222,,AH222)*(1-AF222)+INDEX(Models!$BJ222:$BT222,,AH222+1)*AF222-ERP_i)*AE222*Ramure*Pc/MaxiM</f>
        <v>4.5058803196444313E-5</v>
      </c>
      <c r="AE222" s="305">
        <f t="shared" si="89"/>
        <v>0.7</v>
      </c>
      <c r="AF222" s="177">
        <f t="shared" si="90"/>
        <v>0.14870162251167507</v>
      </c>
      <c r="AG222" s="176">
        <f t="shared" si="91"/>
        <v>-1</v>
      </c>
      <c r="AH222" s="176">
        <f t="shared" si="92"/>
        <v>5</v>
      </c>
      <c r="AI222" s="225">
        <f t="shared" si="93"/>
        <v>-0.85129837748832493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6">
        <v>53.89</v>
      </c>
      <c r="C223" s="390"/>
      <c r="D223" s="393">
        <f t="shared" si="75"/>
        <v>54.344642088843713</v>
      </c>
      <c r="E223" s="385">
        <f t="shared" si="73"/>
        <v>57.710381814240911</v>
      </c>
      <c r="F223" s="385">
        <f t="shared" si="76"/>
        <v>57.712856761591276</v>
      </c>
      <c r="G223" s="110">
        <f t="shared" si="74"/>
        <v>0.95876687540646233</v>
      </c>
      <c r="H223" s="414" t="b">
        <f>Wh_hp&gt;='2018'!Maxi_hp</f>
        <v>1</v>
      </c>
      <c r="I223" s="390">
        <f>IF(H223,Wh_hp,'2018'!Maxi_hp)</f>
        <v>57.712856761591276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8.3659045559717482E-3</v>
      </c>
      <c r="M223" s="844"/>
      <c r="N223" s="844"/>
      <c r="O223" s="48">
        <f>IF(t&lt;Tnet,'2018'!Resal+('2018'!Salim-'2018'!Resal)*(1-EXP(('2018'!Tnet-t)/('2018'!Tau_j))),Resal+(Salim-Resal)*(1-EXP((Tnet-t)/(Tau_j))))*Salcycl</f>
        <v>5.8321217423771297E-2</v>
      </c>
      <c r="P223" s="169">
        <f>(INDEX(Models!$BJ223:$BT223,,T223)*(1-R223)+INDEX(Models!$BJ223:$BT223,,T223+1)*R223-ERP_i)*Q223*Ramure*Pc/MaxiM</f>
        <v>4.5567791693945874E-5</v>
      </c>
      <c r="Q223" s="305">
        <f t="shared" si="78"/>
        <v>0.7</v>
      </c>
      <c r="R223" s="177">
        <f t="shared" si="79"/>
        <v>0.15049442202094032</v>
      </c>
      <c r="S223" s="810">
        <f t="shared" si="80"/>
        <v>-1</v>
      </c>
      <c r="T223" s="176">
        <f t="shared" si="81"/>
        <v>5</v>
      </c>
      <c r="U223" s="251">
        <f t="shared" si="82"/>
        <v>-0.84950557797905968</v>
      </c>
      <c r="V223" s="383">
        <f t="shared" si="83"/>
        <v>56.207464751358614</v>
      </c>
      <c r="W223" s="58"/>
      <c r="X223" s="157">
        <f t="shared" si="84"/>
        <v>43674</v>
      </c>
      <c r="Y223" s="385">
        <f t="shared" si="85"/>
        <v>53.89</v>
      </c>
      <c r="Z223" s="385">
        <f t="shared" si="86"/>
        <v>54.344642088843713</v>
      </c>
      <c r="AA223" s="386">
        <f t="shared" si="87"/>
        <v>57.710381814240911</v>
      </c>
      <c r="AB223" s="197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5.8321217423771297E-2</v>
      </c>
      <c r="AD223" s="231">
        <f>(INDEX(Models!$BJ223:$BT223,,AH223)*(1-AF223)+INDEX(Models!$BJ223:$BT223,,AH223+1)*AF223-ERP_i)*AE223*Ramure*Pc/MaxiM</f>
        <v>4.5567791693945874E-5</v>
      </c>
      <c r="AE223" s="305">
        <f t="shared" si="89"/>
        <v>0.7</v>
      </c>
      <c r="AF223" s="177">
        <f t="shared" si="90"/>
        <v>0.15049442202094032</v>
      </c>
      <c r="AG223" s="176">
        <f t="shared" si="91"/>
        <v>-1</v>
      </c>
      <c r="AH223" s="176">
        <f t="shared" si="92"/>
        <v>5</v>
      </c>
      <c r="AI223" s="225">
        <f t="shared" si="93"/>
        <v>-0.84950557797905968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6">
        <v>55.679000000000002</v>
      </c>
      <c r="C224" s="390"/>
      <c r="D224" s="393">
        <f t="shared" si="75"/>
        <v>56.150041651092941</v>
      </c>
      <c r="E224" s="385">
        <f t="shared" si="73"/>
        <v>59.635925475470394</v>
      </c>
      <c r="F224" s="385">
        <f t="shared" si="76"/>
        <v>59.638650832887429</v>
      </c>
      <c r="G224" s="110">
        <f t="shared" si="74"/>
        <v>0.99362506183391996</v>
      </c>
      <c r="H224" s="414" t="b">
        <f>Wh_hp&gt;='2018'!Maxi_hp</f>
        <v>1</v>
      </c>
      <c r="I224" s="390">
        <f>IF(H224,Wh_hp,'2018'!Maxi_hp)</f>
        <v>59.638650832887429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8.3889813300569438E-3</v>
      </c>
      <c r="M224" s="844"/>
      <c r="N224" s="844"/>
      <c r="O224" s="48">
        <f>IF(t&lt;Tnet,'2018'!Resal+('2018'!Salim-'2018'!Resal)*(1-EXP(('2018'!Tnet-t)/('2018'!Tau_j))),Resal+(Salim-Resal)*(1-EXP((Tnet-t)/(Tau_j))))*Salcycl</f>
        <v>5.8452749690474287E-2</v>
      </c>
      <c r="P224" s="169">
        <f>(INDEX(Models!$BJ224:$BT224,,T224)*(1-R224)+INDEX(Models!$BJ224:$BT224,,T224+1)*R224-ERP_i)*Q224*Ramure*Pc/MaxiM</f>
        <v>4.6117808112895569E-5</v>
      </c>
      <c r="Q224" s="305">
        <f t="shared" si="78"/>
        <v>0.7</v>
      </c>
      <c r="R224" s="177">
        <f t="shared" si="79"/>
        <v>0.15223239722416704</v>
      </c>
      <c r="S224" s="810">
        <f t="shared" si="80"/>
        <v>-1</v>
      </c>
      <c r="T224" s="176">
        <f t="shared" si="81"/>
        <v>5</v>
      </c>
      <c r="U224" s="251">
        <f t="shared" si="82"/>
        <v>-0.84776760277583296</v>
      </c>
      <c r="V224" s="383">
        <f t="shared" si="83"/>
        <v>56.036203950674754</v>
      </c>
      <c r="W224" s="58"/>
      <c r="X224" s="157">
        <f t="shared" si="84"/>
        <v>43675</v>
      </c>
      <c r="Y224" s="385">
        <f t="shared" si="85"/>
        <v>55.679000000000002</v>
      </c>
      <c r="Z224" s="385">
        <f t="shared" si="86"/>
        <v>56.150041651092941</v>
      </c>
      <c r="AA224" s="386">
        <f t="shared" si="87"/>
        <v>59.635925475470394</v>
      </c>
      <c r="AB224" s="197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5.8452749690474287E-2</v>
      </c>
      <c r="AD224" s="231">
        <f>(INDEX(Models!$BJ224:$BT224,,AH224)*(1-AF224)+INDEX(Models!$BJ224:$BT224,,AH224+1)*AF224-ERP_i)*AE224*Ramure*Pc/MaxiM</f>
        <v>4.6117808112895569E-5</v>
      </c>
      <c r="AE224" s="305">
        <f t="shared" si="89"/>
        <v>0.7</v>
      </c>
      <c r="AF224" s="177">
        <f t="shared" si="90"/>
        <v>0.15223239722416704</v>
      </c>
      <c r="AG224" s="176">
        <f t="shared" si="91"/>
        <v>-1</v>
      </c>
      <c r="AH224" s="176">
        <f t="shared" si="92"/>
        <v>5</v>
      </c>
      <c r="AI224" s="225">
        <f t="shared" si="93"/>
        <v>-0.84776760277583296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6">
        <v>27.978999999999999</v>
      </c>
      <c r="C225" s="390"/>
      <c r="D225" s="393">
        <f t="shared" si="75"/>
        <v>28.216357624672963</v>
      </c>
      <c r="E225" s="385">
        <f t="shared" si="73"/>
        <v>29.972250100781221</v>
      </c>
      <c r="F225" s="385">
        <f t="shared" si="76"/>
        <v>29.972651835374339</v>
      </c>
      <c r="G225" s="110">
        <f t="shared" si="74"/>
        <v>0.50084849019946676</v>
      </c>
      <c r="H225" s="414" t="b">
        <f>Wh_hp&gt;='2018'!Maxi_hp</f>
        <v>1</v>
      </c>
      <c r="I225" s="390">
        <f>IF(H225,Wh_hp,'2018'!Maxi_hp)</f>
        <v>29.972651835374339</v>
      </c>
      <c r="J225" s="85">
        <f>IF(H225,An,'2018'!An_max)</f>
        <v>2019</v>
      </c>
      <c r="K225" s="197">
        <f t="shared" si="77"/>
        <v>43676</v>
      </c>
      <c r="L225" s="147">
        <f>IF(t&lt;Tvie,1-EXP((T0-t)*PertePVj)+'2018'!Pspv,1-EXP((T0-t)*PertePVj)+Pspv)</f>
        <v>8.4120575671118303E-3</v>
      </c>
      <c r="M225" s="844"/>
      <c r="N225" s="844"/>
      <c r="O225" s="48">
        <f>IF(t&lt;Tnet,'2018'!Resal+('2018'!Salim-'2018'!Resal)*(1-EXP(('2018'!Tnet-t)/('2018'!Tau_j))),Resal+(Salim-Resal)*(1-EXP((Tnet-t)/(Tau_j))))*Salcycl</f>
        <v>5.8583939150517524E-2</v>
      </c>
      <c r="P225" s="169">
        <f>(INDEX(Models!$BJ225:$BT225,,T225)*(1-R225)+INDEX(Models!$BJ225:$BT225,,T225+1)*R225-ERP_i)*Q225*Ramure*Pc/MaxiM</f>
        <v>4.6709741020089843E-5</v>
      </c>
      <c r="Q225" s="305">
        <f t="shared" si="78"/>
        <v>0.7</v>
      </c>
      <c r="R225" s="177">
        <f t="shared" si="79"/>
        <v>0.15391662406167295</v>
      </c>
      <c r="S225" s="810">
        <f t="shared" si="80"/>
        <v>-1</v>
      </c>
      <c r="T225" s="176">
        <f t="shared" si="81"/>
        <v>5</v>
      </c>
      <c r="U225" s="251">
        <f t="shared" si="82"/>
        <v>-0.84608337593832705</v>
      </c>
      <c r="V225" s="383">
        <f t="shared" si="83"/>
        <v>55.861340617118714</v>
      </c>
      <c r="W225" s="58"/>
      <c r="X225" s="157">
        <f t="shared" si="84"/>
        <v>43676</v>
      </c>
      <c r="Y225" s="385">
        <f t="shared" si="85"/>
        <v>27.978999999999999</v>
      </c>
      <c r="Z225" s="385">
        <f t="shared" si="86"/>
        <v>28.216357624672963</v>
      </c>
      <c r="AA225" s="386">
        <f t="shared" si="87"/>
        <v>29.972250100781221</v>
      </c>
      <c r="AB225" s="197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5.8583939150517524E-2</v>
      </c>
      <c r="AD225" s="231">
        <f>(INDEX(Models!$BJ225:$BT225,,AH225)*(1-AF225)+INDEX(Models!$BJ225:$BT225,,AH225+1)*AF225-ERP_i)*AE225*Ramure*Pc/MaxiM</f>
        <v>4.6709741020089843E-5</v>
      </c>
      <c r="AE225" s="305">
        <f t="shared" si="89"/>
        <v>0.7</v>
      </c>
      <c r="AF225" s="177">
        <f t="shared" si="90"/>
        <v>0.15391662406167295</v>
      </c>
      <c r="AG225" s="176">
        <f t="shared" si="91"/>
        <v>-1</v>
      </c>
      <c r="AH225" s="176">
        <f t="shared" si="92"/>
        <v>5</v>
      </c>
      <c r="AI225" s="225">
        <f t="shared" si="93"/>
        <v>-0.84608337593832705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6">
        <v>52.654000000000003</v>
      </c>
      <c r="C226" s="390"/>
      <c r="D226" s="393">
        <f t="shared" si="75"/>
        <v>53.1019217870152</v>
      </c>
      <c r="E226" s="385">
        <f t="shared" si="73"/>
        <v>56.414274478628009</v>
      </c>
      <c r="F226" s="385">
        <f t="shared" si="76"/>
        <v>56.416741989980181</v>
      </c>
      <c r="G226" s="110">
        <f t="shared" si="74"/>
        <v>0.94559975482136316</v>
      </c>
      <c r="H226" s="414" t="b">
        <f>Wh_hp&gt;='2018'!Maxi_hp</f>
        <v>1</v>
      </c>
      <c r="I226" s="390">
        <f>IF(H226,Wh_hp,'2018'!Maxi_hp)</f>
        <v>56.416741989980181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8.4351332671490642E-3</v>
      </c>
      <c r="M226" s="844"/>
      <c r="N226" s="844"/>
      <c r="O226" s="48">
        <f>IF(t&lt;Tnet,'2018'!Resal+('2018'!Salim-'2018'!Resal)*(1-EXP(('2018'!Tnet-t)/('2018'!Tau_j))),Resal+(Salim-Resal)*(1-EXP((Tnet-t)/(Tau_j))))*Salcycl</f>
        <v>5.8714797313712833E-2</v>
      </c>
      <c r="P226" s="169">
        <f>(INDEX(Models!$BJ226:$BT226,,T226)*(1-R226)+INDEX(Models!$BJ226:$BT226,,T226+1)*R226-ERP_i)*Q226*Ramure*Pc/MaxiM</f>
        <v>4.7422396339267355E-5</v>
      </c>
      <c r="Q226" s="305">
        <f t="shared" si="78"/>
        <v>0.7</v>
      </c>
      <c r="R226" s="177">
        <f t="shared" si="79"/>
        <v>0.15554820091405142</v>
      </c>
      <c r="S226" s="810">
        <f t="shared" si="80"/>
        <v>-1</v>
      </c>
      <c r="T226" s="176">
        <f t="shared" si="81"/>
        <v>5</v>
      </c>
      <c r="U226" s="251">
        <f t="shared" si="82"/>
        <v>-0.84445179908594858</v>
      </c>
      <c r="V226" s="383">
        <f t="shared" si="83"/>
        <v>55.682973354924307</v>
      </c>
      <c r="W226" s="58"/>
      <c r="X226" s="157">
        <f t="shared" si="84"/>
        <v>43677</v>
      </c>
      <c r="Y226" s="385">
        <f t="shared" si="85"/>
        <v>52.654000000000003</v>
      </c>
      <c r="Z226" s="385">
        <f t="shared" si="86"/>
        <v>53.1019217870152</v>
      </c>
      <c r="AA226" s="386">
        <f t="shared" si="87"/>
        <v>56.414274478628009</v>
      </c>
      <c r="AB226" s="197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5.8714797313712833E-2</v>
      </c>
      <c r="AD226" s="231">
        <f>(INDEX(Models!$BJ226:$BT226,,AH226)*(1-AF226)+INDEX(Models!$BJ226:$BT226,,AH226+1)*AF226-ERP_i)*AE226*Ramure*Pc/MaxiM</f>
        <v>4.7422396339267355E-5</v>
      </c>
      <c r="AE226" s="305">
        <f t="shared" si="89"/>
        <v>0.7</v>
      </c>
      <c r="AF226" s="177">
        <f t="shared" si="90"/>
        <v>0.15554820091405142</v>
      </c>
      <c r="AG226" s="176">
        <f t="shared" si="91"/>
        <v>-1</v>
      </c>
      <c r="AH226" s="176">
        <f t="shared" si="92"/>
        <v>5</v>
      </c>
      <c r="AI226" s="225">
        <f t="shared" si="93"/>
        <v>-0.84445179908594858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6">
        <v>50.177</v>
      </c>
      <c r="C227" s="390"/>
      <c r="D227" s="393">
        <f t="shared" si="75"/>
        <v>50.605027873368066</v>
      </c>
      <c r="E227" s="385">
        <f t="shared" si="73"/>
        <v>53.769087824407777</v>
      </c>
      <c r="F227" s="385">
        <f t="shared" si="76"/>
        <v>53.771325385133039</v>
      </c>
      <c r="G227" s="110">
        <f t="shared" si="74"/>
        <v>0.90406445149709325</v>
      </c>
      <c r="H227" s="414" t="b">
        <f>Wh_hp&gt;='2018'!Maxi_hp</f>
        <v>1</v>
      </c>
      <c r="I227" s="390">
        <f>IF(H227,Wh_hp,'2018'!Maxi_hp)</f>
        <v>53.771325385133039</v>
      </c>
      <c r="J227" s="85">
        <f>IF(H227,An,'2018'!An_max)</f>
        <v>2019</v>
      </c>
      <c r="K227" s="197">
        <f t="shared" si="77"/>
        <v>43678</v>
      </c>
      <c r="L227" s="147">
        <f>IF(t&lt;Tvie,1-EXP((T0-t)*PertePVj)+'2018'!Pspv,1-EXP((T0-t)*PertePVj)+Pspv)</f>
        <v>8.458208430180969E-3</v>
      </c>
      <c r="M227" s="844"/>
      <c r="N227" s="844"/>
      <c r="O227" s="48">
        <f>IF(t&lt;Tnet,'2018'!Resal+('2018'!Salim-'2018'!Resal)*(1-EXP(('2018'!Tnet-t)/('2018'!Tau_j))),Resal+(Salim-Resal)*(1-EXP((Tnet-t)/(Tau_j))))*Salcycl</f>
        <v>5.8845334355912826E-2</v>
      </c>
      <c r="P227" s="169">
        <f>(INDEX(Models!$BJ227:$BT227,,T227)*(1-R227)+INDEX(Models!$BJ227:$BT227,,T227+1)*R227-ERP_i)*Q227*Ramure*Pc/MaxiM</f>
        <v>4.8220815963135745E-5</v>
      </c>
      <c r="Q227" s="305">
        <f t="shared" si="78"/>
        <v>0.7</v>
      </c>
      <c r="R227" s="177">
        <f t="shared" si="79"/>
        <v>0.15712824469698683</v>
      </c>
      <c r="S227" s="810">
        <f t="shared" si="80"/>
        <v>-1</v>
      </c>
      <c r="T227" s="176">
        <f t="shared" si="81"/>
        <v>5</v>
      </c>
      <c r="U227" s="251">
        <f t="shared" si="82"/>
        <v>-0.84287175530301317</v>
      </c>
      <c r="V227" s="383">
        <f t="shared" si="83"/>
        <v>55.501207152865831</v>
      </c>
      <c r="W227" s="58"/>
      <c r="X227" s="157">
        <f t="shared" si="84"/>
        <v>43678</v>
      </c>
      <c r="Y227" s="385">
        <f t="shared" si="85"/>
        <v>50.177</v>
      </c>
      <c r="Z227" s="385">
        <f t="shared" si="86"/>
        <v>50.605027873368066</v>
      </c>
      <c r="AA227" s="386">
        <f t="shared" si="87"/>
        <v>53.769087824407777</v>
      </c>
      <c r="AB227" s="197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5.8845334355912826E-2</v>
      </c>
      <c r="AD227" s="231">
        <f>(INDEX(Models!$BJ227:$BT227,,AH227)*(1-AF227)+INDEX(Models!$BJ227:$BT227,,AH227+1)*AF227-ERP_i)*AE227*Ramure*Pc/MaxiM</f>
        <v>4.8220815963135745E-5</v>
      </c>
      <c r="AE227" s="305">
        <f t="shared" si="89"/>
        <v>0.7</v>
      </c>
      <c r="AF227" s="177">
        <f t="shared" si="90"/>
        <v>0.15712824469698683</v>
      </c>
      <c r="AG227" s="176">
        <f t="shared" si="91"/>
        <v>-1</v>
      </c>
      <c r="AH227" s="176">
        <f t="shared" si="92"/>
        <v>5</v>
      </c>
      <c r="AI227" s="225">
        <f t="shared" si="93"/>
        <v>-0.84287175530301317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6">
        <v>52.523000000000003</v>
      </c>
      <c r="C228" s="390"/>
      <c r="D228" s="393">
        <f t="shared" si="75"/>
        <v>52.97227284008811</v>
      </c>
      <c r="E228" s="385">
        <f t="shared" si="73"/>
        <v>56.292132849214546</v>
      </c>
      <c r="F228" s="385">
        <f t="shared" si="76"/>
        <v>56.294697850962315</v>
      </c>
      <c r="G228" s="110">
        <f t="shared" si="74"/>
        <v>0.9495024273609789</v>
      </c>
      <c r="H228" s="414" t="b">
        <f>Wh_hp&gt;='2018'!Maxi_hp</f>
        <v>1</v>
      </c>
      <c r="I228" s="390">
        <f>IF(H228,Wh_hp,'2018'!Maxi_hp)</f>
        <v>56.294697850962315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8.4812830562200903E-3</v>
      </c>
      <c r="M228" s="844"/>
      <c r="N228" s="844"/>
      <c r="O228" s="48">
        <f>IF(t&lt;Tnet,'2018'!Resal+('2018'!Salim-'2018'!Resal)*(1-EXP(('2018'!Tnet-t)/('2018'!Tau_j))),Resal+(Salim-Resal)*(1-EXP((Tnet-t)/(Tau_j))))*Salcycl</f>
        <v>5.8975559125092933E-2</v>
      </c>
      <c r="P228" s="169">
        <f>(INDEX(Models!$BJ228:$BT228,,T228)*(1-R228)+INDEX(Models!$BJ228:$BT228,,T228+1)*R228-ERP_i)*Q228*Ramure*Pc/MaxiM</f>
        <v>4.9106070767403697E-5</v>
      </c>
      <c r="Q228" s="305">
        <f t="shared" si="78"/>
        <v>0.7</v>
      </c>
      <c r="R228" s="177">
        <f t="shared" si="79"/>
        <v>0.15865788716469631</v>
      </c>
      <c r="S228" s="810">
        <f t="shared" si="80"/>
        <v>-1</v>
      </c>
      <c r="T228" s="176">
        <f t="shared" si="81"/>
        <v>5</v>
      </c>
      <c r="U228" s="251">
        <f t="shared" si="82"/>
        <v>-0.84134211283530369</v>
      </c>
      <c r="V228" s="383">
        <f t="shared" si="83"/>
        <v>55.316144991978476</v>
      </c>
      <c r="W228" s="58"/>
      <c r="X228" s="157">
        <f t="shared" si="84"/>
        <v>43679</v>
      </c>
      <c r="Y228" s="385">
        <f t="shared" si="85"/>
        <v>52.523000000000003</v>
      </c>
      <c r="Z228" s="385">
        <f t="shared" si="86"/>
        <v>52.97227284008811</v>
      </c>
      <c r="AA228" s="386">
        <f t="shared" si="87"/>
        <v>56.292132849214546</v>
      </c>
      <c r="AB228" s="197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5.8975559125092933E-2</v>
      </c>
      <c r="AD228" s="231">
        <f>(INDEX(Models!$BJ228:$BT228,,AH228)*(1-AF228)+INDEX(Models!$BJ228:$BT228,,AH228+1)*AF228-ERP_i)*AE228*Ramure*Pc/MaxiM</f>
        <v>4.9106070767403697E-5</v>
      </c>
      <c r="AE228" s="305">
        <f t="shared" si="89"/>
        <v>0.7</v>
      </c>
      <c r="AF228" s="177">
        <f t="shared" si="90"/>
        <v>0.15865788716469631</v>
      </c>
      <c r="AG228" s="176">
        <f t="shared" si="91"/>
        <v>-1</v>
      </c>
      <c r="AH228" s="176">
        <f t="shared" si="92"/>
        <v>5</v>
      </c>
      <c r="AI228" s="225">
        <f t="shared" si="93"/>
        <v>-0.84134211283530369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6">
        <v>52.951999999999998</v>
      </c>
      <c r="C229" s="390"/>
      <c r="D229" s="393">
        <f t="shared" si="75"/>
        <v>53.406185273331346</v>
      </c>
      <c r="E229" s="385">
        <f t="shared" si="73"/>
        <v>56.761075859448503</v>
      </c>
      <c r="F229" s="385">
        <f t="shared" si="76"/>
        <v>56.763758259198227</v>
      </c>
      <c r="G229" s="110">
        <f t="shared" si="74"/>
        <v>0.96052743167335775</v>
      </c>
      <c r="H229" s="414" t="b">
        <f>Wh_hp&gt;='2018'!Maxi_hp</f>
        <v>1</v>
      </c>
      <c r="I229" s="390">
        <f>IF(H229,Wh_hp,'2018'!Maxi_hp)</f>
        <v>56.763758259198227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8.5043571452789735E-3</v>
      </c>
      <c r="M229" s="844"/>
      <c r="N229" s="844"/>
      <c r="O229" s="48">
        <f>IF(t&lt;Tnet,'2018'!Resal+('2018'!Salim-'2018'!Resal)*(1-EXP(('2018'!Tnet-t)/('2018'!Tau_j))),Resal+(Salim-Resal)*(1-EXP((Tnet-t)/(Tau_j))))*Salcycl</f>
        <v>5.9105479156605932E-2</v>
      </c>
      <c r="P229" s="169">
        <f>(INDEX(Models!$BJ229:$BT229,,T229)*(1-R229)+INDEX(Models!$BJ229:$BT229,,T229+1)*R229-ERP_i)*Q229*Ramure*Pc/MaxiM</f>
        <v>5.0079243077716748E-5</v>
      </c>
      <c r="Q229" s="305">
        <f t="shared" si="78"/>
        <v>0.7</v>
      </c>
      <c r="R229" s="177">
        <f t="shared" si="79"/>
        <v>0.16013827142287473</v>
      </c>
      <c r="S229" s="810">
        <f t="shared" si="80"/>
        <v>-1</v>
      </c>
      <c r="T229" s="176">
        <f t="shared" si="81"/>
        <v>5</v>
      </c>
      <c r="U229" s="251">
        <f t="shared" si="82"/>
        <v>-0.83986172857712527</v>
      </c>
      <c r="V229" s="383">
        <f t="shared" si="83"/>
        <v>55.1278898696469</v>
      </c>
      <c r="W229" s="58"/>
      <c r="X229" s="157">
        <f t="shared" si="84"/>
        <v>43680</v>
      </c>
      <c r="Y229" s="385">
        <f t="shared" si="85"/>
        <v>52.951999999999998</v>
      </c>
      <c r="Z229" s="385">
        <f t="shared" si="86"/>
        <v>53.406185273331346</v>
      </c>
      <c r="AA229" s="386">
        <f t="shared" si="87"/>
        <v>56.761075859448503</v>
      </c>
      <c r="AB229" s="197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5.9105479156605932E-2</v>
      </c>
      <c r="AD229" s="231">
        <f>(INDEX(Models!$BJ229:$BT229,,AH229)*(1-AF229)+INDEX(Models!$BJ229:$BT229,,AH229+1)*AF229-ERP_i)*AE229*Ramure*Pc/MaxiM</f>
        <v>5.0079243077716748E-5</v>
      </c>
      <c r="AE229" s="305">
        <f t="shared" si="89"/>
        <v>0.7</v>
      </c>
      <c r="AF229" s="177">
        <f t="shared" si="90"/>
        <v>0.16013827142287473</v>
      </c>
      <c r="AG229" s="176">
        <f t="shared" si="91"/>
        <v>-1</v>
      </c>
      <c r="AH229" s="176">
        <f t="shared" si="92"/>
        <v>5</v>
      </c>
      <c r="AI229" s="225">
        <f t="shared" si="93"/>
        <v>-0.83986172857712527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6">
        <v>49.905999999999999</v>
      </c>
      <c r="C230" s="390"/>
      <c r="D230" s="393">
        <f t="shared" si="75"/>
        <v>50.335230187056297</v>
      </c>
      <c r="E230" s="385">
        <f t="shared" si="73"/>
        <v>53.504579331504758</v>
      </c>
      <c r="F230" s="385">
        <f t="shared" si="76"/>
        <v>53.506957790186448</v>
      </c>
      <c r="G230" s="110">
        <f t="shared" si="74"/>
        <v>0.90842382428342727</v>
      </c>
      <c r="H230" s="414" t="b">
        <f>Wh_hp&gt;='2018'!Maxi_hp</f>
        <v>1</v>
      </c>
      <c r="I230" s="390">
        <f>IF(H230,Wh_hp,'2018'!Maxi_hp)</f>
        <v>53.506957790186448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8.5274306973701641E-3</v>
      </c>
      <c r="M230" s="844"/>
      <c r="N230" s="844"/>
      <c r="O230" s="48">
        <f>IF(t&lt;Tnet,'2018'!Resal+('2018'!Salim-'2018'!Resal)*(1-EXP(('2018'!Tnet-t)/('2018'!Tau_j))),Resal+(Salim-Resal)*(1-EXP((Tnet-t)/(Tau_j))))*Salcycl</f>
        <v>5.9235100696928042E-2</v>
      </c>
      <c r="P230" s="169">
        <f>(INDEX(Models!$BJ230:$BT230,,T230)*(1-R230)+INDEX(Models!$BJ230:$BT230,,T230+1)*R230-ERP_i)*Q230*Ramure*Pc/MaxiM</f>
        <v>5.1141427029724438E-5</v>
      </c>
      <c r="Q230" s="305">
        <f t="shared" si="78"/>
        <v>0.7</v>
      </c>
      <c r="R230" s="177">
        <f t="shared" si="79"/>
        <v>0.16157054865061604</v>
      </c>
      <c r="S230" s="810">
        <f t="shared" si="80"/>
        <v>-1</v>
      </c>
      <c r="T230" s="176">
        <f t="shared" si="81"/>
        <v>5</v>
      </c>
      <c r="U230" s="251">
        <f t="shared" si="82"/>
        <v>-0.83842945134938396</v>
      </c>
      <c r="V230" s="383">
        <f t="shared" si="83"/>
        <v>54.936544791267728</v>
      </c>
      <c r="W230" s="58"/>
      <c r="X230" s="157">
        <f t="shared" si="84"/>
        <v>43681</v>
      </c>
      <c r="Y230" s="385">
        <f t="shared" si="85"/>
        <v>49.905999999999999</v>
      </c>
      <c r="Z230" s="385">
        <f t="shared" si="86"/>
        <v>50.335230187056297</v>
      </c>
      <c r="AA230" s="386">
        <f t="shared" si="87"/>
        <v>53.504579331504758</v>
      </c>
      <c r="AB230" s="197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5.9235100696928042E-2</v>
      </c>
      <c r="AD230" s="231">
        <f>(INDEX(Models!$BJ230:$BT230,,AH230)*(1-AF230)+INDEX(Models!$BJ230:$BT230,,AH230+1)*AF230-ERP_i)*AE230*Ramure*Pc/MaxiM</f>
        <v>5.1141427029724438E-5</v>
      </c>
      <c r="AE230" s="305">
        <f t="shared" si="89"/>
        <v>0.7</v>
      </c>
      <c r="AF230" s="177">
        <f t="shared" si="90"/>
        <v>0.16157054865061604</v>
      </c>
      <c r="AG230" s="176">
        <f t="shared" si="91"/>
        <v>-1</v>
      </c>
      <c r="AH230" s="176">
        <f t="shared" si="92"/>
        <v>5</v>
      </c>
      <c r="AI230" s="225">
        <f t="shared" si="93"/>
        <v>-0.83842945134938396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6">
        <v>50.805</v>
      </c>
      <c r="C231" s="390"/>
      <c r="D231" s="393">
        <f t="shared" si="75"/>
        <v>51.243154785231638</v>
      </c>
      <c r="E231" s="385">
        <f t="shared" si="73"/>
        <v>54.477160284642132</v>
      </c>
      <c r="F231" s="385">
        <f t="shared" si="76"/>
        <v>54.479716511790478</v>
      </c>
      <c r="G231" s="110">
        <f t="shared" si="74"/>
        <v>0.92807222141736201</v>
      </c>
      <c r="H231" s="414" t="b">
        <f>Wh_hp&gt;='2018'!Maxi_hp</f>
        <v>1</v>
      </c>
      <c r="I231" s="390">
        <f>IF(H231,Wh_hp,'2018'!Maxi_hp)</f>
        <v>54.479716511790478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8.5505037125059857E-3</v>
      </c>
      <c r="M231" s="844"/>
      <c r="N231" s="844"/>
      <c r="O231" s="48">
        <f>IF(t&lt;Tnet,'2018'!Resal+('2018'!Salim-'2018'!Resal)*(1-EXP(('2018'!Tnet-t)/('2018'!Tau_j))),Resal+(Salim-Resal)*(1-EXP((Tnet-t)/(Tau_j))))*Salcycl</f>
        <v>5.9364428735141035E-2</v>
      </c>
      <c r="P231" s="169">
        <f>(INDEX(Models!$BJ231:$BT231,,T231)*(1-R231)+INDEX(Models!$BJ231:$BT231,,T231+1)*R231-ERP_i)*Q231*Ramure*Pc/MaxiM</f>
        <v>5.2293728767020765E-5</v>
      </c>
      <c r="Q231" s="305">
        <f t="shared" si="78"/>
        <v>0.7</v>
      </c>
      <c r="R231" s="177">
        <f t="shared" si="79"/>
        <v>0.16295587502952991</v>
      </c>
      <c r="S231" s="810">
        <f t="shared" si="80"/>
        <v>-1</v>
      </c>
      <c r="T231" s="176">
        <f t="shared" si="81"/>
        <v>5</v>
      </c>
      <c r="U231" s="251">
        <f t="shared" si="82"/>
        <v>-0.83704412497047009</v>
      </c>
      <c r="V231" s="383">
        <f t="shared" si="83"/>
        <v>54.742212770403562</v>
      </c>
      <c r="W231" s="58"/>
      <c r="X231" s="157">
        <f t="shared" si="84"/>
        <v>43682</v>
      </c>
      <c r="Y231" s="385">
        <f t="shared" si="85"/>
        <v>50.805</v>
      </c>
      <c r="Z231" s="385">
        <f t="shared" si="86"/>
        <v>51.243154785231638</v>
      </c>
      <c r="AA231" s="386">
        <f t="shared" si="87"/>
        <v>54.477160284642132</v>
      </c>
      <c r="AB231" s="197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5.9364428735141035E-2</v>
      </c>
      <c r="AD231" s="231">
        <f>(INDEX(Models!$BJ231:$BT231,,AH231)*(1-AF231)+INDEX(Models!$BJ231:$BT231,,AH231+1)*AF231-ERP_i)*AE231*Ramure*Pc/MaxiM</f>
        <v>5.2293728767020765E-5</v>
      </c>
      <c r="AE231" s="305">
        <f t="shared" si="89"/>
        <v>0.7</v>
      </c>
      <c r="AF231" s="177">
        <f t="shared" si="90"/>
        <v>0.16295587502952991</v>
      </c>
      <c r="AG231" s="176">
        <f t="shared" si="91"/>
        <v>-1</v>
      </c>
      <c r="AH231" s="176">
        <f t="shared" si="92"/>
        <v>5</v>
      </c>
      <c r="AI231" s="225">
        <f t="shared" si="93"/>
        <v>-0.83704412497047009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6">
        <v>37.393000000000001</v>
      </c>
      <c r="C232" s="390"/>
      <c r="D232" s="393">
        <f t="shared" si="75"/>
        <v>37.716364121431241</v>
      </c>
      <c r="E232" s="385">
        <f t="shared" si="73"/>
        <v>40.102181962290153</v>
      </c>
      <c r="F232" s="385">
        <f t="shared" si="76"/>
        <v>40.103364494580696</v>
      </c>
      <c r="G232" s="110">
        <f t="shared" si="74"/>
        <v>0.6855275981935951</v>
      </c>
      <c r="H232" s="414" t="b">
        <f>Wh_hp&gt;='2018'!Maxi_hp</f>
        <v>1</v>
      </c>
      <c r="I232" s="390">
        <f>IF(H232,Wh_hp,'2018'!Maxi_hp)</f>
        <v>40.103364494580696</v>
      </c>
      <c r="J232" s="85">
        <f>IF(H232,An,'2018'!An_max)</f>
        <v>2019</v>
      </c>
      <c r="K232" s="197">
        <f t="shared" si="77"/>
        <v>43683</v>
      </c>
      <c r="L232" s="147">
        <f>IF(t&lt;Tvie,1-EXP((T0-t)*PertePVj)+'2018'!Pspv,1-EXP((T0-t)*PertePVj)+Pspv)</f>
        <v>8.5735761906990948E-3</v>
      </c>
      <c r="M232" s="844"/>
      <c r="N232" s="844"/>
      <c r="O232" s="48">
        <f>IF(t&lt;Tnet,'2018'!Resal+('2018'!Salim-'2018'!Resal)*(1-EXP(('2018'!Tnet-t)/('2018'!Tau_j))),Resal+(Salim-Resal)*(1-EXP((Tnet-t)/(Tau_j))))*Salcycl</f>
        <v>5.9493467041329615E-2</v>
      </c>
      <c r="P232" s="169">
        <f>(INDEX(Models!$BJ232:$BT232,,T232)*(1-R232)+INDEX(Models!$BJ232:$BT232,,T232+1)*R232-ERP_i)*Q232*Ramure*Pc/MaxiM</f>
        <v>5.3537266488727142E-5</v>
      </c>
      <c r="Q232" s="305">
        <f t="shared" si="78"/>
        <v>0.7</v>
      </c>
      <c r="R232" s="177">
        <f t="shared" si="79"/>
        <v>0.16429540887715521</v>
      </c>
      <c r="S232" s="810">
        <f t="shared" si="80"/>
        <v>-1</v>
      </c>
      <c r="T232" s="176">
        <f t="shared" si="81"/>
        <v>5</v>
      </c>
      <c r="U232" s="251">
        <f t="shared" si="82"/>
        <v>-0.83570459112284479</v>
      </c>
      <c r="V232" s="383">
        <f t="shared" si="83"/>
        <v>54.544996823588626</v>
      </c>
      <c r="W232" s="58"/>
      <c r="X232" s="157">
        <f t="shared" si="84"/>
        <v>43683</v>
      </c>
      <c r="Y232" s="385">
        <f t="shared" si="85"/>
        <v>37.393000000000001</v>
      </c>
      <c r="Z232" s="385">
        <f t="shared" si="86"/>
        <v>37.716364121431241</v>
      </c>
      <c r="AA232" s="386">
        <f t="shared" si="87"/>
        <v>40.102181962290153</v>
      </c>
      <c r="AB232" s="197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5.9493467041329615E-2</v>
      </c>
      <c r="AD232" s="231">
        <f>(INDEX(Models!$BJ232:$BT232,,AH232)*(1-AF232)+INDEX(Models!$BJ232:$BT232,,AH232+1)*AF232-ERP_i)*AE232*Ramure*Pc/MaxiM</f>
        <v>5.3537266488727142E-5</v>
      </c>
      <c r="AE232" s="305">
        <f t="shared" si="89"/>
        <v>0.7</v>
      </c>
      <c r="AF232" s="177">
        <f t="shared" si="90"/>
        <v>0.16429540887715521</v>
      </c>
      <c r="AG232" s="176">
        <f t="shared" si="91"/>
        <v>-1</v>
      </c>
      <c r="AH232" s="176">
        <f t="shared" si="92"/>
        <v>5</v>
      </c>
      <c r="AI232" s="225">
        <f t="shared" si="93"/>
        <v>-0.83570459112284479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6">
        <v>43.079000000000001</v>
      </c>
      <c r="C233" s="390"/>
      <c r="D233" s="393">
        <f t="shared" si="75"/>
        <v>43.452546250553816</v>
      </c>
      <c r="E233" s="385">
        <f t="shared" ref="E233:E296" si="97">Wh_pvt/(1-Psa)</f>
        <v>46.207542428203055</v>
      </c>
      <c r="F233" s="385">
        <f t="shared" si="76"/>
        <v>46.209327130399629</v>
      </c>
      <c r="G233" s="110">
        <f t="shared" ref="G233:G296" si="98">+Wh_hp/MaxiM</f>
        <v>0.79267921244343742</v>
      </c>
      <c r="H233" s="414" t="b">
        <f>Wh_hp&gt;='2018'!Maxi_hp</f>
        <v>1</v>
      </c>
      <c r="I233" s="390">
        <f>IF(H233,Wh_hp,'2018'!Maxi_hp)</f>
        <v>46.209327130399629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8.5966481319619259E-3</v>
      </c>
      <c r="M233" s="844"/>
      <c r="N233" s="844"/>
      <c r="O233" s="48">
        <f>IF(t&lt;Tnet,'2018'!Resal+('2018'!Salim-'2018'!Resal)*(1-EXP(('2018'!Tnet-t)/('2018'!Tau_j))),Resal+(Salim-Resal)*(1-EXP((Tnet-t)/(Tau_j))))*Salcycl</f>
        <v>5.9622218211018943E-2</v>
      </c>
      <c r="P233" s="169">
        <f>(INDEX(Models!$BJ233:$BT233,,T233)*(1-R233)+INDEX(Models!$BJ233:$BT233,,T233+1)*R233-ERP_i)*Q233*Ramure*Pc/MaxiM</f>
        <v>5.4872981664749522E-5</v>
      </c>
      <c r="Q233" s="305">
        <f t="shared" si="78"/>
        <v>0.7</v>
      </c>
      <c r="R233" s="177">
        <f t="shared" si="79"/>
        <v>0.1655903079808061</v>
      </c>
      <c r="S233" s="810">
        <f t="shared" si="80"/>
        <v>-1</v>
      </c>
      <c r="T233" s="176">
        <f t="shared" si="81"/>
        <v>5</v>
      </c>
      <c r="U233" s="251">
        <f t="shared" si="82"/>
        <v>-0.8344096920191939</v>
      </c>
      <c r="V233" s="383">
        <f t="shared" si="83"/>
        <v>54.345186837080988</v>
      </c>
      <c r="W233" s="58"/>
      <c r="X233" s="157">
        <f t="shared" si="84"/>
        <v>43684</v>
      </c>
      <c r="Y233" s="385">
        <f t="shared" si="85"/>
        <v>43.079000000000001</v>
      </c>
      <c r="Z233" s="385">
        <f t="shared" si="86"/>
        <v>43.452546250553816</v>
      </c>
      <c r="AA233" s="386">
        <f t="shared" si="87"/>
        <v>46.207542428203055</v>
      </c>
      <c r="AB233" s="197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5.9622218211018943E-2</v>
      </c>
      <c r="AD233" s="231">
        <f>(INDEX(Models!$BJ233:$BT233,,AH233)*(1-AF233)+INDEX(Models!$BJ233:$BT233,,AH233+1)*AF233-ERP_i)*AE233*Ramure*Pc/MaxiM</f>
        <v>5.4872981664749522E-5</v>
      </c>
      <c r="AE233" s="305">
        <f t="shared" si="89"/>
        <v>0.7</v>
      </c>
      <c r="AF233" s="177">
        <f t="shared" si="90"/>
        <v>0.1655903079808061</v>
      </c>
      <c r="AG233" s="176">
        <f t="shared" si="91"/>
        <v>-1</v>
      </c>
      <c r="AH233" s="176">
        <f t="shared" si="92"/>
        <v>5</v>
      </c>
      <c r="AI233" s="225">
        <f t="shared" si="93"/>
        <v>-0.8344096920191939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6">
        <v>51.235999999999997</v>
      </c>
      <c r="C234" s="390"/>
      <c r="D234" s="393">
        <f t="shared" si="75"/>
        <v>51.681479861628532</v>
      </c>
      <c r="E234" s="385">
        <f t="shared" si="97"/>
        <v>54.965719162457361</v>
      </c>
      <c r="F234" s="385">
        <f t="shared" si="76"/>
        <v>54.968585302441141</v>
      </c>
      <c r="G234" s="110">
        <f t="shared" si="98"/>
        <v>0.94630720531505341</v>
      </c>
      <c r="H234" s="414" t="b">
        <f>Wh_hp&gt;='2018'!Maxi_hp</f>
        <v>1</v>
      </c>
      <c r="I234" s="390">
        <f>IF(H234,Wh_hp,'2018'!Maxi_hp)</f>
        <v>54.968585302441141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8.6197195363070245E-3</v>
      </c>
      <c r="M234" s="844"/>
      <c r="N234" s="844"/>
      <c r="O234" s="48">
        <f>IF(t&lt;Tnet,'2018'!Resal+('2018'!Salim-'2018'!Resal)*(1-EXP(('2018'!Tnet-t)/('2018'!Tau_j))),Resal+(Salim-Resal)*(1-EXP((Tnet-t)/(Tau_j))))*Salcycl</f>
        <v>5.9750683714732966E-2</v>
      </c>
      <c r="P234" s="169">
        <f>(INDEX(Models!$BJ234:$BT234,,T234)*(1-R234)+INDEX(Models!$BJ234:$BT234,,T234+1)*R234-ERP_i)*Q234*Ramure*Pc/MaxiM</f>
        <v>5.6472774595168589E-5</v>
      </c>
      <c r="Q234" s="305">
        <f t="shared" si="78"/>
        <v>0.7</v>
      </c>
      <c r="R234" s="177">
        <f t="shared" si="79"/>
        <v>0.16684172712714329</v>
      </c>
      <c r="S234" s="810">
        <f t="shared" si="80"/>
        <v>-1</v>
      </c>
      <c r="T234" s="176">
        <f t="shared" si="81"/>
        <v>5</v>
      </c>
      <c r="U234" s="251">
        <f t="shared" si="82"/>
        <v>-0.83315827287285671</v>
      </c>
      <c r="V234" s="383">
        <f t="shared" si="83"/>
        <v>54.142859506162495</v>
      </c>
      <c r="W234" s="58"/>
      <c r="X234" s="157">
        <f t="shared" si="84"/>
        <v>43685</v>
      </c>
      <c r="Y234" s="385">
        <f t="shared" si="85"/>
        <v>51.235999999999997</v>
      </c>
      <c r="Z234" s="385">
        <f t="shared" si="86"/>
        <v>51.681479861628532</v>
      </c>
      <c r="AA234" s="386">
        <f t="shared" si="87"/>
        <v>54.965719162457361</v>
      </c>
      <c r="AB234" s="197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5.9750683714732966E-2</v>
      </c>
      <c r="AD234" s="231">
        <f>(INDEX(Models!$BJ234:$BT234,,AH234)*(1-AF234)+INDEX(Models!$BJ234:$BT234,,AH234+1)*AF234-ERP_i)*AE234*Ramure*Pc/MaxiM</f>
        <v>5.6472774595168589E-5</v>
      </c>
      <c r="AE234" s="305">
        <f t="shared" si="89"/>
        <v>0.7</v>
      </c>
      <c r="AF234" s="177">
        <f t="shared" si="90"/>
        <v>0.16684172712714329</v>
      </c>
      <c r="AG234" s="176">
        <f t="shared" si="91"/>
        <v>-1</v>
      </c>
      <c r="AH234" s="176">
        <f t="shared" si="92"/>
        <v>5</v>
      </c>
      <c r="AI234" s="225">
        <f t="shared" si="93"/>
        <v>-0.83315827287285671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6">
        <v>46.753999999999998</v>
      </c>
      <c r="C235" s="390"/>
      <c r="D235" s="393">
        <f t="shared" si="75"/>
        <v>47.161607892115235</v>
      </c>
      <c r="E235" s="385">
        <f t="shared" si="97"/>
        <v>50.165458560324673</v>
      </c>
      <c r="F235" s="385">
        <f t="shared" si="76"/>
        <v>50.167828586605943</v>
      </c>
      <c r="G235" s="110">
        <f t="shared" si="98"/>
        <v>0.86680344076283133</v>
      </c>
      <c r="H235" s="414" t="b">
        <f>Wh_hp&gt;='2018'!Maxi_hp</f>
        <v>1</v>
      </c>
      <c r="I235" s="390">
        <f>IF(H235,Wh_hp,'2018'!Maxi_hp)</f>
        <v>50.167828586605943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8.642790403746714E-3</v>
      </c>
      <c r="M235" s="844"/>
      <c r="N235" s="844"/>
      <c r="O235" s="48">
        <f>IF(t&lt;Tnet,'2018'!Resal+('2018'!Salim-'2018'!Resal)*(1-EXP(('2018'!Tnet-t)/('2018'!Tau_j))),Resal+(Salim-Resal)*(1-EXP((Tnet-t)/(Tau_j))))*Salcycl</f>
        <v>5.9878863951722178E-2</v>
      </c>
      <c r="P235" s="169">
        <f>(INDEX(Models!$BJ235:$BT235,,T235)*(1-R235)+INDEX(Models!$BJ235:$BT235,,T235+1)*R235-ERP_i)*Q235*Ramure*Pc/MaxiM</f>
        <v>5.8342635984533278E-5</v>
      </c>
      <c r="Q235" s="305">
        <f t="shared" si="78"/>
        <v>0.7</v>
      </c>
      <c r="R235" s="177">
        <f t="shared" si="79"/>
        <v>0.16805081582204595</v>
      </c>
      <c r="S235" s="810">
        <f t="shared" si="80"/>
        <v>-1</v>
      </c>
      <c r="T235" s="176">
        <f t="shared" si="81"/>
        <v>5</v>
      </c>
      <c r="U235" s="251">
        <f t="shared" si="82"/>
        <v>-0.83194918417795405</v>
      </c>
      <c r="V235" s="383">
        <f t="shared" si="83"/>
        <v>53.937811937015439</v>
      </c>
      <c r="W235" s="58"/>
      <c r="X235" s="157">
        <f t="shared" si="84"/>
        <v>43686</v>
      </c>
      <c r="Y235" s="385">
        <f t="shared" si="85"/>
        <v>46.753999999999998</v>
      </c>
      <c r="Z235" s="385">
        <f t="shared" si="86"/>
        <v>47.161607892115235</v>
      </c>
      <c r="AA235" s="386">
        <f t="shared" si="87"/>
        <v>50.165458560324673</v>
      </c>
      <c r="AB235" s="197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5.9878863951722178E-2</v>
      </c>
      <c r="AD235" s="231">
        <f>(INDEX(Models!$BJ235:$BT235,,AH235)*(1-AF235)+INDEX(Models!$BJ235:$BT235,,AH235+1)*AF235-ERP_i)*AE235*Ramure*Pc/MaxiM</f>
        <v>5.8342635984533278E-5</v>
      </c>
      <c r="AE235" s="305">
        <f t="shared" si="89"/>
        <v>0.7</v>
      </c>
      <c r="AF235" s="177">
        <f t="shared" si="90"/>
        <v>0.16805081582204595</v>
      </c>
      <c r="AG235" s="176">
        <f t="shared" si="91"/>
        <v>-1</v>
      </c>
      <c r="AH235" s="176">
        <f t="shared" si="92"/>
        <v>5</v>
      </c>
      <c r="AI235" s="225">
        <f t="shared" si="93"/>
        <v>-0.83194918417795405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6">
        <v>38.340000000000003</v>
      </c>
      <c r="C236" s="390"/>
      <c r="D236" s="393">
        <f t="shared" si="75"/>
        <v>38.675153494056936</v>
      </c>
      <c r="E236" s="385">
        <f t="shared" si="97"/>
        <v>41.144076125904263</v>
      </c>
      <c r="F236" s="385">
        <f t="shared" si="76"/>
        <v>41.145546522595481</v>
      </c>
      <c r="G236" s="110">
        <f t="shared" si="98"/>
        <v>0.71355228214493027</v>
      </c>
      <c r="H236" s="414" t="b">
        <f>Wh_hp&gt;='2018'!Maxi_hp</f>
        <v>1</v>
      </c>
      <c r="I236" s="390">
        <f>IF(H236,Wh_hp,'2018'!Maxi_hp)</f>
        <v>41.145546522595481</v>
      </c>
      <c r="J236" s="85">
        <f>IF(H236,An,'2018'!An_max)</f>
        <v>2019</v>
      </c>
      <c r="K236" s="197">
        <f t="shared" si="77"/>
        <v>43687</v>
      </c>
      <c r="L236" s="147">
        <f>IF(t&lt;Tvie,1-EXP((T0-t)*PertePVj)+'2018'!Pspv,1-EXP((T0-t)*PertePVj)+Pspv)</f>
        <v>8.6658607342937621E-3</v>
      </c>
      <c r="M236" s="844"/>
      <c r="N236" s="844"/>
      <c r="O236" s="48">
        <f>IF(t&lt;Tnet,'2018'!Resal+('2018'!Salim-'2018'!Resal)*(1-EXP(('2018'!Tnet-t)/('2018'!Tau_j))),Resal+(Salim-Resal)*(1-EXP((Tnet-t)/(Tau_j))))*Salcycl</f>
        <v>6.0006758306887675E-2</v>
      </c>
      <c r="P236" s="169">
        <f>(INDEX(Models!$BJ236:$BT236,,T236)*(1-R236)+INDEX(Models!$BJ236:$BT236,,T236+1)*R236-ERP_i)*Q236*Ramure*Pc/MaxiM</f>
        <v>6.0486819969039882E-5</v>
      </c>
      <c r="Q236" s="305">
        <f t="shared" si="78"/>
        <v>0.7</v>
      </c>
      <c r="R236" s="177">
        <f t="shared" si="79"/>
        <v>0.16921871619476359</v>
      </c>
      <c r="S236" s="810">
        <f t="shared" si="80"/>
        <v>-1</v>
      </c>
      <c r="T236" s="176">
        <f t="shared" si="81"/>
        <v>5</v>
      </c>
      <c r="U236" s="251">
        <f t="shared" si="82"/>
        <v>-0.83078128380523641</v>
      </c>
      <c r="V236" s="383">
        <f t="shared" si="83"/>
        <v>53.72984152263961</v>
      </c>
      <c r="W236" s="58"/>
      <c r="X236" s="157">
        <f t="shared" si="84"/>
        <v>43687</v>
      </c>
      <c r="Y236" s="385">
        <f t="shared" si="85"/>
        <v>38.340000000000003</v>
      </c>
      <c r="Z236" s="385">
        <f t="shared" si="86"/>
        <v>38.675153494056936</v>
      </c>
      <c r="AA236" s="386">
        <f t="shared" si="87"/>
        <v>41.144076125904263</v>
      </c>
      <c r="AB236" s="197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6.0006758306887675E-2</v>
      </c>
      <c r="AD236" s="231">
        <f>(INDEX(Models!$BJ236:$BT236,,AH236)*(1-AF236)+INDEX(Models!$BJ236:$BT236,,AH236+1)*AF236-ERP_i)*AE236*Ramure*Pc/MaxiM</f>
        <v>6.0486819969039882E-5</v>
      </c>
      <c r="AE236" s="305">
        <f t="shared" si="89"/>
        <v>0.7</v>
      </c>
      <c r="AF236" s="177">
        <f t="shared" si="90"/>
        <v>0.16921871619476359</v>
      </c>
      <c r="AG236" s="176">
        <f t="shared" si="91"/>
        <v>-1</v>
      </c>
      <c r="AH236" s="176">
        <f t="shared" si="92"/>
        <v>5</v>
      </c>
      <c r="AI236" s="225">
        <f t="shared" si="93"/>
        <v>-0.83078128380523641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6">
        <v>23.600999999999999</v>
      </c>
      <c r="C237" s="390"/>
      <c r="D237" s="393">
        <f t="shared" si="75"/>
        <v>23.80786488399611</v>
      </c>
      <c r="E237" s="385">
        <f t="shared" si="97"/>
        <v>25.331136710103909</v>
      </c>
      <c r="F237" s="385">
        <f t="shared" si="76"/>
        <v>25.331457672791604</v>
      </c>
      <c r="G237" s="110">
        <f t="shared" si="98"/>
        <v>0.44096351513187015</v>
      </c>
      <c r="H237" s="414" t="b">
        <f>Wh_hp&gt;='2018'!Maxi_hp</f>
        <v>1</v>
      </c>
      <c r="I237" s="390">
        <f>IF(H237,Wh_hp,'2018'!Maxi_hp)</f>
        <v>25.331457672791604</v>
      </c>
      <c r="J237" s="85">
        <f>IF(H237,An,'2018'!An_max)</f>
        <v>2019</v>
      </c>
      <c r="K237" s="197">
        <f t="shared" si="77"/>
        <v>43688</v>
      </c>
      <c r="L237" s="147">
        <f>IF(t&lt;Tvie,1-EXP((T0-t)*PertePVj)+'2018'!Pspv,1-EXP((T0-t)*PertePVj)+Pspv)</f>
        <v>8.6889305279603812E-3</v>
      </c>
      <c r="M237" s="844"/>
      <c r="N237" s="844"/>
      <c r="O237" s="48">
        <f>IF(t&lt;Tnet,'2018'!Resal+('2018'!Salim-'2018'!Resal)*(1-EXP(('2018'!Tnet-t)/('2018'!Tau_j))),Resal+(Salim-Resal)*(1-EXP((Tnet-t)/(Tau_j))))*Salcycl</f>
        <v>6.0134365209919903E-2</v>
      </c>
      <c r="P237" s="169">
        <f>(INDEX(Models!$BJ237:$BT237,,T237)*(1-R237)+INDEX(Models!$BJ237:$BT237,,T237+1)*R237-ERP_i)*Q237*Ramure*Pc/MaxiM</f>
        <v>6.2909673833576682E-5</v>
      </c>
      <c r="Q237" s="305">
        <f t="shared" si="78"/>
        <v>0.7</v>
      </c>
      <c r="R237" s="177">
        <f t="shared" si="79"/>
        <v>0.17034656107983759</v>
      </c>
      <c r="S237" s="810">
        <f t="shared" si="80"/>
        <v>-1</v>
      </c>
      <c r="T237" s="176">
        <f t="shared" si="81"/>
        <v>5</v>
      </c>
      <c r="U237" s="251">
        <f t="shared" si="82"/>
        <v>-0.82965343892016241</v>
      </c>
      <c r="V237" s="383">
        <f t="shared" si="83"/>
        <v>53.51874583909639</v>
      </c>
      <c r="W237" s="58"/>
      <c r="X237" s="157">
        <f t="shared" si="84"/>
        <v>43688</v>
      </c>
      <c r="Y237" s="385">
        <f t="shared" si="85"/>
        <v>23.600999999999999</v>
      </c>
      <c r="Z237" s="385">
        <f t="shared" si="86"/>
        <v>23.80786488399611</v>
      </c>
      <c r="AA237" s="386">
        <f t="shared" si="87"/>
        <v>25.331136710103909</v>
      </c>
      <c r="AB237" s="197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6.0134365209919903E-2</v>
      </c>
      <c r="AD237" s="231">
        <f>(INDEX(Models!$BJ237:$BT237,,AH237)*(1-AF237)+INDEX(Models!$BJ237:$BT237,,AH237+1)*AF237-ERP_i)*AE237*Ramure*Pc/MaxiM</f>
        <v>6.2909673833576682E-5</v>
      </c>
      <c r="AE237" s="305">
        <f t="shared" si="89"/>
        <v>0.7</v>
      </c>
      <c r="AF237" s="177">
        <f t="shared" si="90"/>
        <v>0.17034656107983759</v>
      </c>
      <c r="AG237" s="176">
        <f t="shared" si="91"/>
        <v>-1</v>
      </c>
      <c r="AH237" s="176">
        <f t="shared" si="92"/>
        <v>5</v>
      </c>
      <c r="AI237" s="225">
        <f t="shared" si="93"/>
        <v>-0.82965343892016241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6">
        <v>27.358000000000001</v>
      </c>
      <c r="C238" s="390"/>
      <c r="D238" s="393">
        <f t="shared" si="75"/>
        <v>27.598437582276485</v>
      </c>
      <c r="E238" s="385">
        <f t="shared" si="97"/>
        <v>29.368215661099676</v>
      </c>
      <c r="F238" s="385">
        <f t="shared" si="76"/>
        <v>29.368802701191733</v>
      </c>
      <c r="G238" s="110">
        <f t="shared" si="98"/>
        <v>0.51321825986578806</v>
      </c>
      <c r="H238" s="414" t="b">
        <f>Wh_hp&gt;='2018'!Maxi_hp</f>
        <v>1</v>
      </c>
      <c r="I238" s="390">
        <f>IF(H238,Wh_hp,'2018'!Maxi_hp)</f>
        <v>29.368802701191733</v>
      </c>
      <c r="J238" s="85">
        <f>IF(H238,An,'2018'!An_max)</f>
        <v>2019</v>
      </c>
      <c r="K238" s="197">
        <f t="shared" si="77"/>
        <v>43689</v>
      </c>
      <c r="L238" s="147">
        <f>IF(t&lt;Tvie,1-EXP((T0-t)*PertePVj)+'2018'!Pspv,1-EXP((T0-t)*PertePVj)+Pspv)</f>
        <v>8.7119997847592279E-3</v>
      </c>
      <c r="M238" s="844"/>
      <c r="N238" s="844"/>
      <c r="O238" s="48">
        <f>IF(t&lt;Tnet,'2018'!Resal+('2018'!Salim-'2018'!Resal)*(1-EXP(('2018'!Tnet-t)/('2018'!Tau_j))),Resal+(Salim-Resal)*(1-EXP((Tnet-t)/(Tau_j))))*Salcycl</f>
        <v>6.0261682195673509E-2</v>
      </c>
      <c r="P238" s="169">
        <f>(INDEX(Models!$BJ238:$BT238,,T238)*(1-R238)+INDEX(Models!$BJ238:$BT238,,T238+1)*R238-ERP_i)*Q238*Ramure*Pc/MaxiM</f>
        <v>6.5615655136847754E-5</v>
      </c>
      <c r="Q238" s="305">
        <f t="shared" si="78"/>
        <v>0.7</v>
      </c>
      <c r="R238" s="177">
        <f t="shared" si="79"/>
        <v>0.17143547226989053</v>
      </c>
      <c r="S238" s="810">
        <f t="shared" si="80"/>
        <v>-1</v>
      </c>
      <c r="T238" s="176">
        <f t="shared" si="81"/>
        <v>5</v>
      </c>
      <c r="U238" s="251">
        <f t="shared" si="82"/>
        <v>-0.82856452773010947</v>
      </c>
      <c r="V238" s="383">
        <f t="shared" si="83"/>
        <v>53.304322640721608</v>
      </c>
      <c r="W238" s="58"/>
      <c r="X238" s="157">
        <f t="shared" si="84"/>
        <v>43689</v>
      </c>
      <c r="Y238" s="385">
        <f t="shared" si="85"/>
        <v>27.358000000000001</v>
      </c>
      <c r="Z238" s="385">
        <f t="shared" si="86"/>
        <v>27.598437582276485</v>
      </c>
      <c r="AA238" s="386">
        <f t="shared" si="87"/>
        <v>29.368215661099676</v>
      </c>
      <c r="AB238" s="197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6.0261682195673509E-2</v>
      </c>
      <c r="AD238" s="231">
        <f>(INDEX(Models!$BJ238:$BT238,,AH238)*(1-AF238)+INDEX(Models!$BJ238:$BT238,,AH238+1)*AF238-ERP_i)*AE238*Ramure*Pc/MaxiM</f>
        <v>6.5615655136847754E-5</v>
      </c>
      <c r="AE238" s="305">
        <f t="shared" si="89"/>
        <v>0.7</v>
      </c>
      <c r="AF238" s="177">
        <f t="shared" si="90"/>
        <v>0.17143547226989053</v>
      </c>
      <c r="AG238" s="176">
        <f t="shared" si="91"/>
        <v>-1</v>
      </c>
      <c r="AH238" s="176">
        <f t="shared" si="92"/>
        <v>5</v>
      </c>
      <c r="AI238" s="225">
        <f t="shared" si="93"/>
        <v>-0.82856452773010947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6">
        <v>46.12</v>
      </c>
      <c r="C239" s="390"/>
      <c r="D239" s="393">
        <f t="shared" si="75"/>
        <v>46.526411390776417</v>
      </c>
      <c r="E239" s="385">
        <f t="shared" si="97"/>
        <v>49.516658309807539</v>
      </c>
      <c r="F239" s="385">
        <f t="shared" si="76"/>
        <v>49.519418885775274</v>
      </c>
      <c r="G239" s="110">
        <f t="shared" si="98"/>
        <v>0.86876173484384056</v>
      </c>
      <c r="H239" s="414" t="b">
        <f>Wh_hp&gt;='2018'!Maxi_hp</f>
        <v>1</v>
      </c>
      <c r="I239" s="390">
        <f>IF(H239,Wh_hp,'2018'!Maxi_hp)</f>
        <v>49.519418885775274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8.7350685047028476E-3</v>
      </c>
      <c r="M239" s="844"/>
      <c r="N239" s="844"/>
      <c r="O239" s="48">
        <f>IF(t&lt;Tnet,'2018'!Resal+('2018'!Salim-'2018'!Resal)*(1-EXP(('2018'!Tnet-t)/('2018'!Tau_j))),Resal+(Salim-Resal)*(1-EXP((Tnet-t)/(Tau_j))))*Salcycl</f>
        <v>6.0388705964813882E-2</v>
      </c>
      <c r="P239" s="169">
        <f>(INDEX(Models!$BJ239:$BT239,,T239)*(1-R239)+INDEX(Models!$BJ239:$BT239,,T239+1)*R239-ERP_i)*Q239*Ramure*Pc/MaxiM</f>
        <v>6.86093492888504E-5</v>
      </c>
      <c r="Q239" s="305">
        <f t="shared" si="78"/>
        <v>0.7</v>
      </c>
      <c r="R239" s="177">
        <f t="shared" si="79"/>
        <v>0.17248655893208542</v>
      </c>
      <c r="S239" s="810">
        <f t="shared" si="80"/>
        <v>-1</v>
      </c>
      <c r="T239" s="176">
        <f t="shared" si="81"/>
        <v>5</v>
      </c>
      <c r="U239" s="251">
        <f t="shared" si="82"/>
        <v>-0.82751344106791458</v>
      </c>
      <c r="V239" s="383">
        <f t="shared" si="83"/>
        <v>53.086369854251423</v>
      </c>
      <c r="W239" s="58"/>
      <c r="X239" s="157">
        <f t="shared" si="84"/>
        <v>43690</v>
      </c>
      <c r="Y239" s="385">
        <f t="shared" si="85"/>
        <v>46.12</v>
      </c>
      <c r="Z239" s="385">
        <f t="shared" si="86"/>
        <v>46.526411390776417</v>
      </c>
      <c r="AA239" s="386">
        <f t="shared" si="87"/>
        <v>49.516658309807539</v>
      </c>
      <c r="AB239" s="197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6.0388705964813882E-2</v>
      </c>
      <c r="AD239" s="231">
        <f>(INDEX(Models!$BJ239:$BT239,,AH239)*(1-AF239)+INDEX(Models!$BJ239:$BT239,,AH239+1)*AF239-ERP_i)*AE239*Ramure*Pc/MaxiM</f>
        <v>6.86093492888504E-5</v>
      </c>
      <c r="AE239" s="305">
        <f t="shared" si="89"/>
        <v>0.7</v>
      </c>
      <c r="AF239" s="177">
        <f t="shared" si="90"/>
        <v>0.17248655893208542</v>
      </c>
      <c r="AG239" s="176">
        <f t="shared" si="91"/>
        <v>-1</v>
      </c>
      <c r="AH239" s="176">
        <f t="shared" si="92"/>
        <v>5</v>
      </c>
      <c r="AI239" s="225">
        <f t="shared" si="93"/>
        <v>-0.82751344106791458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6">
        <v>52.555</v>
      </c>
      <c r="C240" s="390"/>
      <c r="D240" s="393">
        <f t="shared" si="75"/>
        <v>53.019350720710577</v>
      </c>
      <c r="E240" s="385">
        <f t="shared" si="97"/>
        <v>56.43450946578627</v>
      </c>
      <c r="F240" s="385">
        <f t="shared" si="76"/>
        <v>56.438545472421865</v>
      </c>
      <c r="G240" s="110">
        <f t="shared" si="98"/>
        <v>0.99414153790650472</v>
      </c>
      <c r="H240" s="414" t="b">
        <f>Wh_hp&gt;='2018'!Maxi_hp</f>
        <v>1</v>
      </c>
      <c r="I240" s="390">
        <f>IF(H240,Wh_hp,'2018'!Maxi_hp)</f>
        <v>56.438545472421865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8.7581366878035638E-3</v>
      </c>
      <c r="M240" s="844"/>
      <c r="N240" s="844"/>
      <c r="O240" s="48">
        <f>IF(t&lt;Tnet,'2018'!Resal+('2018'!Salim-'2018'!Resal)*(1-EXP(('2018'!Tnet-t)/('2018'!Tau_j))),Resal+(Salim-Resal)*(1-EXP((Tnet-t)/(Tau_j))))*Salcycl</f>
        <v>6.0515432443798457E-2</v>
      </c>
      <c r="P240" s="169">
        <f>(INDEX(Models!$BJ240:$BT240,,T240)*(1-R240)+INDEX(Models!$BJ240:$BT240,,T240+1)*R240-ERP_i)*Q240*Ramure*Pc/MaxiM</f>
        <v>7.2115013626673544E-5</v>
      </c>
      <c r="Q240" s="305">
        <f t="shared" si="78"/>
        <v>0.7</v>
      </c>
      <c r="R240" s="177">
        <f t="shared" si="79"/>
        <v>0.17350091618084451</v>
      </c>
      <c r="S240" s="810">
        <f t="shared" si="80"/>
        <v>-1</v>
      </c>
      <c r="T240" s="176">
        <f t="shared" si="81"/>
        <v>5</v>
      </c>
      <c r="U240" s="251">
        <f t="shared" si="82"/>
        <v>-0.82649908381915549</v>
      </c>
      <c r="V240" s="383">
        <f t="shared" si="83"/>
        <v>52.864673970093456</v>
      </c>
      <c r="W240" s="58"/>
      <c r="X240" s="157">
        <f t="shared" si="84"/>
        <v>43691</v>
      </c>
      <c r="Y240" s="385">
        <f t="shared" si="85"/>
        <v>52.555</v>
      </c>
      <c r="Z240" s="385">
        <f t="shared" si="86"/>
        <v>53.019350720710577</v>
      </c>
      <c r="AA240" s="386">
        <f t="shared" si="87"/>
        <v>56.43450946578627</v>
      </c>
      <c r="AB240" s="197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6.0515432443798457E-2</v>
      </c>
      <c r="AD240" s="231">
        <f>(INDEX(Models!$BJ240:$BT240,,AH240)*(1-AF240)+INDEX(Models!$BJ240:$BT240,,AH240+1)*AF240-ERP_i)*AE240*Ramure*Pc/MaxiM</f>
        <v>7.2115013626673544E-5</v>
      </c>
      <c r="AE240" s="305">
        <f t="shared" si="89"/>
        <v>0.7</v>
      </c>
      <c r="AF240" s="177">
        <f t="shared" si="90"/>
        <v>0.17350091618084451</v>
      </c>
      <c r="AG240" s="176">
        <f t="shared" si="91"/>
        <v>-1</v>
      </c>
      <c r="AH240" s="176">
        <f t="shared" si="92"/>
        <v>5</v>
      </c>
      <c r="AI240" s="225">
        <f t="shared" si="93"/>
        <v>-0.82649908381915549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6">
        <v>28.596</v>
      </c>
      <c r="C241" s="390"/>
      <c r="D241" s="393">
        <f t="shared" si="75"/>
        <v>28.849331878123316</v>
      </c>
      <c r="E241" s="385">
        <f t="shared" si="97"/>
        <v>30.711749387912178</v>
      </c>
      <c r="F241" s="385">
        <f t="shared" si="76"/>
        <v>30.712561107732828</v>
      </c>
      <c r="G241" s="110">
        <f t="shared" si="98"/>
        <v>0.54322005308257737</v>
      </c>
      <c r="H241" s="414" t="b">
        <f>Wh_hp&gt;='2018'!Maxi_hp</f>
        <v>1</v>
      </c>
      <c r="I241" s="390">
        <f>IF(H241,Wh_hp,'2018'!Maxi_hp)</f>
        <v>30.712561107732828</v>
      </c>
      <c r="J241" s="85">
        <f>IF(H241,An,'2018'!An_max)</f>
        <v>2019</v>
      </c>
      <c r="K241" s="197">
        <f t="shared" si="77"/>
        <v>43692</v>
      </c>
      <c r="L241" s="147">
        <f>IF(t&lt;Tvie,1-EXP((T0-t)*PertePVj)+'2018'!Pspv,1-EXP((T0-t)*PertePVj)+Pspv)</f>
        <v>8.7812043340740331E-3</v>
      </c>
      <c r="M241" s="844"/>
      <c r="N241" s="844"/>
      <c r="O241" s="48">
        <f>IF(t&lt;Tnet,'2018'!Resal+('2018'!Salim-'2018'!Resal)*(1-EXP(('2018'!Tnet-t)/('2018'!Tau_j))),Resal+(Salim-Resal)*(1-EXP((Tnet-t)/(Tau_j))))*Salcycl</f>
        <v>6.0641856843293082E-2</v>
      </c>
      <c r="P241" s="169">
        <f>(INDEX(Models!$BJ241:$BT241,,T241)*(1-R241)+INDEX(Models!$BJ241:$BT241,,T241+1)*R241-ERP_i)*Q241*Ramure*Pc/MaxiM</f>
        <v>7.6057253683131827E-5</v>
      </c>
      <c r="Q241" s="305">
        <f t="shared" si="78"/>
        <v>0.7</v>
      </c>
      <c r="R241" s="177">
        <f t="shared" si="79"/>
        <v>0.17447962379927673</v>
      </c>
      <c r="S241" s="810">
        <f t="shared" si="80"/>
        <v>-1</v>
      </c>
      <c r="T241" s="176">
        <f t="shared" si="81"/>
        <v>5</v>
      </c>
      <c r="U241" s="251">
        <f t="shared" si="82"/>
        <v>-0.82552037620072327</v>
      </c>
      <c r="V241" s="383">
        <f t="shared" si="83"/>
        <v>52.639037618400337</v>
      </c>
      <c r="W241" s="58"/>
      <c r="X241" s="157">
        <f t="shared" si="84"/>
        <v>43692</v>
      </c>
      <c r="Y241" s="385">
        <f t="shared" si="85"/>
        <v>28.596</v>
      </c>
      <c r="Z241" s="385">
        <f t="shared" si="86"/>
        <v>28.849331878123316</v>
      </c>
      <c r="AA241" s="386">
        <f t="shared" si="87"/>
        <v>30.711749387912178</v>
      </c>
      <c r="AB241" s="197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6.0641856843293082E-2</v>
      </c>
      <c r="AD241" s="231">
        <f>(INDEX(Models!$BJ241:$BT241,,AH241)*(1-AF241)+INDEX(Models!$BJ241:$BT241,,AH241+1)*AF241-ERP_i)*AE241*Ramure*Pc/MaxiM</f>
        <v>7.6057253683131827E-5</v>
      </c>
      <c r="AE241" s="305">
        <f t="shared" si="89"/>
        <v>0.7</v>
      </c>
      <c r="AF241" s="177">
        <f t="shared" si="90"/>
        <v>0.17447962379927673</v>
      </c>
      <c r="AG241" s="176">
        <f t="shared" si="91"/>
        <v>-1</v>
      </c>
      <c r="AH241" s="176">
        <f t="shared" si="92"/>
        <v>5</v>
      </c>
      <c r="AI241" s="225">
        <f t="shared" si="93"/>
        <v>-0.82552037620072327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6">
        <v>50.966999999999999</v>
      </c>
      <c r="C242" s="390"/>
      <c r="D242" s="393">
        <f t="shared" si="75"/>
        <v>51.419713111784418</v>
      </c>
      <c r="E242" s="385">
        <f t="shared" si="97"/>
        <v>54.746550024622373</v>
      </c>
      <c r="F242" s="385">
        <f t="shared" si="76"/>
        <v>54.750781223498663</v>
      </c>
      <c r="G242" s="110">
        <f t="shared" si="98"/>
        <v>0.97247775670008829</v>
      </c>
      <c r="H242" s="414" t="b">
        <f>Wh_hp&gt;='2018'!Maxi_hp</f>
        <v>1</v>
      </c>
      <c r="I242" s="390">
        <f>IF(H242,Wh_hp,'2018'!Maxi_hp)</f>
        <v>54.750781223498663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8.80427144352669E-3</v>
      </c>
      <c r="M242" s="844"/>
      <c r="N242" s="844"/>
      <c r="O242" s="48">
        <f>IF(t&lt;Tnet,'2018'!Resal+('2018'!Salim-'2018'!Resal)*(1-EXP(('2018'!Tnet-t)/('2018'!Tau_j))),Resal+(Salim-Resal)*(1-EXP((Tnet-t)/(Tau_j))))*Salcycl</f>
        <v>6.0767973714173897E-2</v>
      </c>
      <c r="P242" s="169">
        <f>(INDEX(Models!$BJ242:$BT242,,T242)*(1-R242)+INDEX(Models!$BJ242:$BT242,,T242+1)*R242-ERP_i)*Q242*Ramure*Pc/MaxiM</f>
        <v>8.0443553736200449E-5</v>
      </c>
      <c r="Q242" s="305">
        <f t="shared" si="78"/>
        <v>0.7</v>
      </c>
      <c r="R242" s="177">
        <f t="shared" si="79"/>
        <v>0.17542374510169179</v>
      </c>
      <c r="S242" s="810">
        <f t="shared" si="80"/>
        <v>-1</v>
      </c>
      <c r="T242" s="176">
        <f t="shared" si="81"/>
        <v>5</v>
      </c>
      <c r="U242" s="251">
        <f t="shared" si="82"/>
        <v>-0.82457625489830821</v>
      </c>
      <c r="V242" s="383">
        <f t="shared" si="83"/>
        <v>52.409259187691418</v>
      </c>
      <c r="W242" s="58"/>
      <c r="X242" s="157">
        <f t="shared" si="84"/>
        <v>43693</v>
      </c>
      <c r="Y242" s="385">
        <f t="shared" si="85"/>
        <v>50.966999999999999</v>
      </c>
      <c r="Z242" s="385">
        <f t="shared" si="86"/>
        <v>51.419713111784418</v>
      </c>
      <c r="AA242" s="386">
        <f t="shared" si="87"/>
        <v>54.746550024622373</v>
      </c>
      <c r="AB242" s="197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6.0767973714173897E-2</v>
      </c>
      <c r="AD242" s="231">
        <f>(INDEX(Models!$BJ242:$BT242,,AH242)*(1-AF242)+INDEX(Models!$BJ242:$BT242,,AH242+1)*AF242-ERP_i)*AE242*Ramure*Pc/MaxiM</f>
        <v>8.0443553736200449E-5</v>
      </c>
      <c r="AE242" s="305">
        <f t="shared" si="89"/>
        <v>0.7</v>
      </c>
      <c r="AF242" s="177">
        <f t="shared" si="90"/>
        <v>0.17542374510169179</v>
      </c>
      <c r="AG242" s="176">
        <f t="shared" si="91"/>
        <v>-1</v>
      </c>
      <c r="AH242" s="176">
        <f t="shared" si="92"/>
        <v>5</v>
      </c>
      <c r="AI242" s="225">
        <f t="shared" si="93"/>
        <v>-0.82457625489830821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6">
        <v>50.573999999999998</v>
      </c>
      <c r="C243" s="390"/>
      <c r="D243" s="393">
        <f t="shared" si="75"/>
        <v>51.024409711600043</v>
      </c>
      <c r="E243" s="385">
        <f t="shared" si="97"/>
        <v>54.332948139368931</v>
      </c>
      <c r="F243" s="385">
        <f t="shared" si="76"/>
        <v>54.337378968983657</v>
      </c>
      <c r="G243" s="110">
        <f t="shared" si="98"/>
        <v>0.96930863233338826</v>
      </c>
      <c r="H243" s="414" t="b">
        <f>Wh_hp&gt;='2018'!Maxi_hp</f>
        <v>1</v>
      </c>
      <c r="I243" s="390">
        <f>IF(H243,Wh_hp,'2018'!Maxi_hp)</f>
        <v>54.337378968983657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8.827338016173969E-3</v>
      </c>
      <c r="M243" s="844"/>
      <c r="N243" s="844"/>
      <c r="O243" s="48">
        <f>IF(t&lt;Tnet,'2018'!Resal+('2018'!Salim-'2018'!Resal)*(1-EXP(('2018'!Tnet-t)/('2018'!Tau_j))),Resal+(Salim-Resal)*(1-EXP((Tnet-t)/(Tau_j))))*Salcycl</f>
        <v>6.089377700032373E-2</v>
      </c>
      <c r="P243" s="169">
        <f>(INDEX(Models!$BJ243:$BT243,,T243)*(1-R243)+INDEX(Models!$BJ243:$BT243,,T243+1)*R243-ERP_i)*Q243*Ramure*Pc/MaxiM</f>
        <v>8.5281656207981344E-5</v>
      </c>
      <c r="Q243" s="305">
        <f t="shared" si="78"/>
        <v>0.7</v>
      </c>
      <c r="R243" s="177">
        <f t="shared" si="79"/>
        <v>0.17633432592957377</v>
      </c>
      <c r="S243" s="810">
        <f t="shared" si="80"/>
        <v>-1</v>
      </c>
      <c r="T243" s="176">
        <f t="shared" si="81"/>
        <v>5</v>
      </c>
      <c r="U243" s="251">
        <f t="shared" si="82"/>
        <v>-0.82366567407042623</v>
      </c>
      <c r="V243" s="383">
        <f t="shared" si="83"/>
        <v>52.175137222274671</v>
      </c>
      <c r="W243" s="58"/>
      <c r="X243" s="157">
        <f t="shared" si="84"/>
        <v>43694</v>
      </c>
      <c r="Y243" s="385">
        <f t="shared" si="85"/>
        <v>50.573999999999998</v>
      </c>
      <c r="Z243" s="385">
        <f t="shared" si="86"/>
        <v>51.024409711600043</v>
      </c>
      <c r="AA243" s="386">
        <f t="shared" si="87"/>
        <v>54.332948139368931</v>
      </c>
      <c r="AB243" s="197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6.089377700032373E-2</v>
      </c>
      <c r="AD243" s="231">
        <f>(INDEX(Models!$BJ243:$BT243,,AH243)*(1-AF243)+INDEX(Models!$BJ243:$BT243,,AH243+1)*AF243-ERP_i)*AE243*Ramure*Pc/MaxiM</f>
        <v>8.5281656207981344E-5</v>
      </c>
      <c r="AE243" s="305">
        <f t="shared" si="89"/>
        <v>0.7</v>
      </c>
      <c r="AF243" s="177">
        <f t="shared" si="90"/>
        <v>0.17633432592957377</v>
      </c>
      <c r="AG243" s="176">
        <f t="shared" si="91"/>
        <v>-1</v>
      </c>
      <c r="AH243" s="176">
        <f t="shared" si="92"/>
        <v>5</v>
      </c>
      <c r="AI243" s="225">
        <f t="shared" si="93"/>
        <v>-0.82366567407042623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6">
        <v>32.656999999999996</v>
      </c>
      <c r="C244" s="390"/>
      <c r="D244" s="393">
        <f t="shared" si="75"/>
        <v>32.948608498160816</v>
      </c>
      <c r="E244" s="385">
        <f t="shared" si="97"/>
        <v>35.089759669864222</v>
      </c>
      <c r="F244" s="385">
        <f t="shared" si="76"/>
        <v>35.091252623797779</v>
      </c>
      <c r="G244" s="110">
        <f t="shared" si="98"/>
        <v>0.6287572297930667</v>
      </c>
      <c r="H244" s="414" t="b">
        <f>Wh_hp&gt;='2018'!Maxi_hp</f>
        <v>1</v>
      </c>
      <c r="I244" s="390">
        <f>IF(H244,Wh_hp,'2018'!Maxi_hp)</f>
        <v>35.091252623797779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8.8504040520283045E-3</v>
      </c>
      <c r="M244" s="844"/>
      <c r="N244" s="844"/>
      <c r="O244" s="48">
        <f>IF(t&lt;Tnet,'2018'!Resal+('2018'!Salim-'2018'!Resal)*(1-EXP(('2018'!Tnet-t)/('2018'!Tau_j))),Resal+(Salim-Resal)*(1-EXP((Tnet-t)/(Tau_j))))*Salcycl</f>
        <v>6.1019260087502553E-2</v>
      </c>
      <c r="P244" s="169">
        <f>(INDEX(Models!$BJ244:$BT244,,T244)*(1-R244)+INDEX(Models!$BJ244:$BT244,,T244+1)*R244-ERP_i)*Q244*Ramure*Pc/MaxiM</f>
        <v>9.0579592918812817E-5</v>
      </c>
      <c r="Q244" s="305">
        <f t="shared" si="78"/>
        <v>0.7</v>
      </c>
      <c r="R244" s="177">
        <f t="shared" si="79"/>
        <v>0.17721239377342468</v>
      </c>
      <c r="S244" s="810">
        <f t="shared" si="80"/>
        <v>-1</v>
      </c>
      <c r="T244" s="176">
        <f t="shared" si="81"/>
        <v>5</v>
      </c>
      <c r="U244" s="251">
        <f t="shared" si="82"/>
        <v>-0.82278760622657532</v>
      </c>
      <c r="V244" s="383">
        <f t="shared" si="83"/>
        <v>51.936470416621553</v>
      </c>
      <c r="W244" s="58"/>
      <c r="X244" s="157">
        <f t="shared" si="84"/>
        <v>43695</v>
      </c>
      <c r="Y244" s="385">
        <f t="shared" si="85"/>
        <v>32.656999999999996</v>
      </c>
      <c r="Z244" s="385">
        <f t="shared" si="86"/>
        <v>32.948608498160816</v>
      </c>
      <c r="AA244" s="386">
        <f t="shared" si="87"/>
        <v>35.089759669864222</v>
      </c>
      <c r="AB244" s="197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6.1019260087502553E-2</v>
      </c>
      <c r="AD244" s="231">
        <f>(INDEX(Models!$BJ244:$BT244,,AH244)*(1-AF244)+INDEX(Models!$BJ244:$BT244,,AH244+1)*AF244-ERP_i)*AE244*Ramure*Pc/MaxiM</f>
        <v>9.0579592918812817E-5</v>
      </c>
      <c r="AE244" s="305">
        <f t="shared" si="89"/>
        <v>0.7</v>
      </c>
      <c r="AF244" s="177">
        <f t="shared" si="90"/>
        <v>0.17721239377342468</v>
      </c>
      <c r="AG244" s="176">
        <f t="shared" si="91"/>
        <v>-1</v>
      </c>
      <c r="AH244" s="176">
        <f t="shared" si="92"/>
        <v>5</v>
      </c>
      <c r="AI244" s="225">
        <f t="shared" si="93"/>
        <v>-0.82278760622657532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6">
        <v>33.372999999999998</v>
      </c>
      <c r="C245" s="390"/>
      <c r="D245" s="393">
        <f t="shared" si="75"/>
        <v>33.671785563932808</v>
      </c>
      <c r="E245" s="385">
        <f t="shared" si="97"/>
        <v>35.864712456637818</v>
      </c>
      <c r="F245" s="385">
        <f t="shared" si="76"/>
        <v>35.866418520163386</v>
      </c>
      <c r="G245" s="110">
        <f t="shared" si="98"/>
        <v>0.64556777206147764</v>
      </c>
      <c r="H245" s="414" t="b">
        <f>Wh_hp&gt;='2018'!Maxi_hp</f>
        <v>1</v>
      </c>
      <c r="I245" s="390">
        <f>IF(H245,Wh_hp,'2018'!Maxi_hp)</f>
        <v>35.866418520163386</v>
      </c>
      <c r="J245" s="85">
        <f>IF(H245,An,'2018'!An_max)</f>
        <v>2019</v>
      </c>
      <c r="K245" s="197">
        <f t="shared" si="77"/>
        <v>43696</v>
      </c>
      <c r="L245" s="147">
        <f>IF(t&lt;Tvie,1-EXP((T0-t)*PertePVj)+'2018'!Pspv,1-EXP((T0-t)*PertePVj)+Pspv)</f>
        <v>8.8734695511024642E-3</v>
      </c>
      <c r="M245" s="844"/>
      <c r="N245" s="844"/>
      <c r="O245" s="48">
        <f>IF(t&lt;Tnet,'2018'!Resal+('2018'!Salim-'2018'!Resal)*(1-EXP(('2018'!Tnet-t)/('2018'!Tau_j))),Resal+(Salim-Resal)*(1-EXP((Tnet-t)/(Tau_j))))*Salcycl</f>
        <v>6.1144415847648688E-2</v>
      </c>
      <c r="P245" s="169">
        <f>(INDEX(Models!$BJ245:$BT245,,T245)*(1-R245)+INDEX(Models!$BJ245:$BT245,,T245+1)*R245-ERP_i)*Q245*Ramure*Pc/MaxiM</f>
        <v>9.6345717681046129E-5</v>
      </c>
      <c r="Q245" s="305">
        <f t="shared" si="78"/>
        <v>0.7</v>
      </c>
      <c r="R245" s="177">
        <f t="shared" si="79"/>
        <v>0.17805895701297625</v>
      </c>
      <c r="S245" s="810">
        <f t="shared" si="80"/>
        <v>-1</v>
      </c>
      <c r="T245" s="176">
        <f t="shared" si="81"/>
        <v>5</v>
      </c>
      <c r="U245" s="251">
        <f t="shared" si="82"/>
        <v>-0.82194104298702375</v>
      </c>
      <c r="V245" s="383">
        <f t="shared" si="83"/>
        <v>51.693057615097338</v>
      </c>
      <c r="W245" s="58"/>
      <c r="X245" s="157">
        <f t="shared" si="84"/>
        <v>43696</v>
      </c>
      <c r="Y245" s="385">
        <f t="shared" si="85"/>
        <v>33.372999999999998</v>
      </c>
      <c r="Z245" s="385">
        <f t="shared" si="86"/>
        <v>33.671785563932808</v>
      </c>
      <c r="AA245" s="386">
        <f t="shared" si="87"/>
        <v>35.864712456637818</v>
      </c>
      <c r="AB245" s="197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6.1144415847648688E-2</v>
      </c>
      <c r="AD245" s="231">
        <f>(INDEX(Models!$BJ245:$BT245,,AH245)*(1-AF245)+INDEX(Models!$BJ245:$BT245,,AH245+1)*AF245-ERP_i)*AE245*Ramure*Pc/MaxiM</f>
        <v>9.6345717681046129E-5</v>
      </c>
      <c r="AE245" s="305">
        <f t="shared" si="89"/>
        <v>0.7</v>
      </c>
      <c r="AF245" s="177">
        <f t="shared" si="90"/>
        <v>0.17805895701297625</v>
      </c>
      <c r="AG245" s="176">
        <f t="shared" si="91"/>
        <v>-1</v>
      </c>
      <c r="AH245" s="176">
        <f t="shared" si="92"/>
        <v>5</v>
      </c>
      <c r="AI245" s="225">
        <f t="shared" si="93"/>
        <v>-0.82194104298702375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6">
        <v>31.821999999999999</v>
      </c>
      <c r="C246" s="390"/>
      <c r="D246" s="393">
        <f t="shared" si="75"/>
        <v>32.107646787791921</v>
      </c>
      <c r="E246" s="385">
        <f t="shared" si="97"/>
        <v>34.203254055689634</v>
      </c>
      <c r="F246" s="385">
        <f t="shared" si="76"/>
        <v>34.204851002120193</v>
      </c>
      <c r="G246" s="110">
        <f t="shared" si="98"/>
        <v>0.61853256785027477</v>
      </c>
      <c r="H246" s="414" t="b">
        <f>Wh_hp&gt;='2018'!Maxi_hp</f>
        <v>1</v>
      </c>
      <c r="I246" s="390">
        <f>IF(H246,Wh_hp,'2018'!Maxi_hp)</f>
        <v>34.204851002120193</v>
      </c>
      <c r="J246" s="85">
        <f>IF(H246,An,'2018'!An_max)</f>
        <v>2019</v>
      </c>
      <c r="K246" s="197">
        <f t="shared" si="77"/>
        <v>43697</v>
      </c>
      <c r="L246" s="147">
        <f>IF(t&lt;Tvie,1-EXP((T0-t)*PertePVj)+'2018'!Pspv,1-EXP((T0-t)*PertePVj)+Pspv)</f>
        <v>8.8965345134086604E-3</v>
      </c>
      <c r="M246" s="844"/>
      <c r="N246" s="844"/>
      <c r="O246" s="48">
        <f>IF(t&lt;Tnet,'2018'!Resal+('2018'!Salim-'2018'!Resal)*(1-EXP(('2018'!Tnet-t)/('2018'!Tau_j))),Resal+(Salim-Resal)*(1-EXP((Tnet-t)/(Tau_j))))*Salcycl</f>
        <v>6.1269236678055602E-2</v>
      </c>
      <c r="P246" s="169">
        <f>(INDEX(Models!$BJ246:$BT246,,T246)*(1-R246)+INDEX(Models!$BJ246:$BT246,,T246+1)*R246-ERP_i)*Q246*Ramure*Pc/MaxiM</f>
        <v>1.0258874041609459E-4</v>
      </c>
      <c r="Q246" s="305">
        <f t="shared" si="78"/>
        <v>0.7</v>
      </c>
      <c r="R246" s="177">
        <f t="shared" si="79"/>
        <v>0.17887500426840441</v>
      </c>
      <c r="S246" s="810">
        <f t="shared" si="80"/>
        <v>-1</v>
      </c>
      <c r="T246" s="176">
        <f t="shared" si="81"/>
        <v>5</v>
      </c>
      <c r="U246" s="251">
        <f t="shared" si="82"/>
        <v>-0.82112499573159559</v>
      </c>
      <c r="V246" s="383">
        <f t="shared" si="83"/>
        <v>51.444697803373636</v>
      </c>
      <c r="W246" s="58"/>
      <c r="X246" s="157">
        <f t="shared" si="84"/>
        <v>43697</v>
      </c>
      <c r="Y246" s="385">
        <f t="shared" si="85"/>
        <v>31.821999999999996</v>
      </c>
      <c r="Z246" s="385">
        <f t="shared" si="86"/>
        <v>32.107646787791921</v>
      </c>
      <c r="AA246" s="386">
        <f t="shared" si="87"/>
        <v>34.203254055689634</v>
      </c>
      <c r="AB246" s="197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6.1269236678055602E-2</v>
      </c>
      <c r="AD246" s="231">
        <f>(INDEX(Models!$BJ246:$BT246,,AH246)*(1-AF246)+INDEX(Models!$BJ246:$BT246,,AH246+1)*AF246-ERP_i)*AE246*Ramure*Pc/MaxiM</f>
        <v>1.0258874041609459E-4</v>
      </c>
      <c r="AE246" s="305">
        <f t="shared" si="89"/>
        <v>0.7</v>
      </c>
      <c r="AF246" s="177">
        <f t="shared" si="90"/>
        <v>0.17887500426840441</v>
      </c>
      <c r="AG246" s="176">
        <f t="shared" si="91"/>
        <v>-1</v>
      </c>
      <c r="AH246" s="176">
        <f t="shared" si="92"/>
        <v>5</v>
      </c>
      <c r="AI246" s="225">
        <f t="shared" si="93"/>
        <v>-0.82112499573159559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6">
        <v>47.317</v>
      </c>
      <c r="C247" s="390"/>
      <c r="D247" s="393">
        <f t="shared" si="75"/>
        <v>47.742847047871095</v>
      </c>
      <c r="E247" s="385">
        <f t="shared" si="97"/>
        <v>50.865680091004918</v>
      </c>
      <c r="F247" s="385">
        <f t="shared" si="76"/>
        <v>50.870639690564836</v>
      </c>
      <c r="G247" s="110">
        <f t="shared" si="98"/>
        <v>0.92429113559155041</v>
      </c>
      <c r="H247" s="414" t="b">
        <f>Wh_hp&gt;='2018'!Maxi_hp</f>
        <v>1</v>
      </c>
      <c r="I247" s="390">
        <f>IF(H247,Wh_hp,'2018'!Maxi_hp)</f>
        <v>50.870639690564836</v>
      </c>
      <c r="J247" s="85">
        <f>IF(H247,An,'2018'!An_max)</f>
        <v>2019</v>
      </c>
      <c r="K247" s="197">
        <f t="shared" si="77"/>
        <v>43698</v>
      </c>
      <c r="L247" s="147">
        <f>IF(t&lt;Tvie,1-EXP((T0-t)*PertePVj)+'2018'!Pspv,1-EXP((T0-t)*PertePVj)+Pspv)</f>
        <v>8.9195989389594388E-3</v>
      </c>
      <c r="M247" s="844"/>
      <c r="N247" s="844"/>
      <c r="O247" s="48">
        <f>IF(t&lt;Tnet,'2018'!Resal+('2018'!Salim-'2018'!Resal)*(1-EXP(('2018'!Tnet-t)/('2018'!Tau_j))),Resal+(Salim-Resal)*(1-EXP((Tnet-t)/(Tau_j))))*Salcycl</f>
        <v>6.1393714534961383E-2</v>
      </c>
      <c r="P247" s="169">
        <f>(INDEX(Models!$BJ247:$BT247,,T247)*(1-R247)+INDEX(Models!$BJ247:$BT247,,T247+1)*R247-ERP_i)*Q247*Ramure*Pc/MaxiM</f>
        <v>1.0931573615681725E-4</v>
      </c>
      <c r="Q247" s="305">
        <f t="shared" si="78"/>
        <v>0.7</v>
      </c>
      <c r="R247" s="177">
        <f t="shared" si="79"/>
        <v>0.17966150385533575</v>
      </c>
      <c r="S247" s="810">
        <f t="shared" si="80"/>
        <v>-1</v>
      </c>
      <c r="T247" s="176">
        <f t="shared" si="81"/>
        <v>5</v>
      </c>
      <c r="U247" s="251">
        <f t="shared" si="82"/>
        <v>-0.82033849614466425</v>
      </c>
      <c r="V247" s="383">
        <f t="shared" si="83"/>
        <v>51.192139327708617</v>
      </c>
      <c r="W247" s="58"/>
      <c r="X247" s="157">
        <f t="shared" si="84"/>
        <v>43698</v>
      </c>
      <c r="Y247" s="385">
        <f t="shared" si="85"/>
        <v>47.317</v>
      </c>
      <c r="Z247" s="385">
        <f t="shared" si="86"/>
        <v>47.742847047871095</v>
      </c>
      <c r="AA247" s="386">
        <f t="shared" si="87"/>
        <v>50.865680091004918</v>
      </c>
      <c r="AB247" s="197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6.1393714534961383E-2</v>
      </c>
      <c r="AD247" s="231">
        <f>(INDEX(Models!$BJ247:$BT247,,AH247)*(1-AF247)+INDEX(Models!$BJ247:$BT247,,AH247+1)*AF247-ERP_i)*AE247*Ramure*Pc/MaxiM</f>
        <v>1.0931573615681725E-4</v>
      </c>
      <c r="AE247" s="305">
        <f t="shared" si="89"/>
        <v>0.7</v>
      </c>
      <c r="AF247" s="177">
        <f t="shared" si="90"/>
        <v>0.17966150385533575</v>
      </c>
      <c r="AG247" s="176">
        <f t="shared" si="91"/>
        <v>-1</v>
      </c>
      <c r="AH247" s="176">
        <f t="shared" si="92"/>
        <v>5</v>
      </c>
      <c r="AI247" s="225">
        <f t="shared" si="93"/>
        <v>-0.82033849614466425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6">
        <v>51.593000000000004</v>
      </c>
      <c r="C248" s="390"/>
      <c r="D248" s="393">
        <f t="shared" si="75"/>
        <v>52.058541988306601</v>
      </c>
      <c r="E248" s="385">
        <f t="shared" si="97"/>
        <v>55.470998022620584</v>
      </c>
      <c r="F248" s="385">
        <f t="shared" si="76"/>
        <v>55.477484592844142</v>
      </c>
      <c r="G248" s="110">
        <f t="shared" si="98"/>
        <v>1.0128963466043241</v>
      </c>
      <c r="H248" s="414" t="b">
        <f>Wh_hp&gt;='2018'!Maxi_hp</f>
        <v>1</v>
      </c>
      <c r="I248" s="390">
        <f>IF(H248,Wh_hp,'2018'!Maxi_hp)</f>
        <v>55.477484592844142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8.9426628277674558E-3</v>
      </c>
      <c r="M248" s="844"/>
      <c r="N248" s="844"/>
      <c r="O248" s="48">
        <f>IF(t&lt;Tnet,'2018'!Resal+('2018'!Salim-'2018'!Resal)*(1-EXP(('2018'!Tnet-t)/('2018'!Tau_j))),Resal+(Salim-Resal)*(1-EXP((Tnet-t)/(Tau_j))))*Salcycl</f>
        <v>6.151784096118857E-2</v>
      </c>
      <c r="P248" s="169">
        <f>(INDEX(Models!$BJ248:$BT248,,T248)*(1-R248)+INDEX(Models!$BJ248:$BT248,,T248+1)*R248-ERP_i)*Q248*Ramure*Pc/MaxiM</f>
        <v>1.1692257266454998E-4</v>
      </c>
      <c r="Q248" s="305">
        <f t="shared" si="78"/>
        <v>0.7</v>
      </c>
      <c r="R248" s="177">
        <f t="shared" si="79"/>
        <v>0.18041940333663042</v>
      </c>
      <c r="S248" s="810">
        <f t="shared" si="80"/>
        <v>-1</v>
      </c>
      <c r="T248" s="176">
        <f t="shared" si="81"/>
        <v>5</v>
      </c>
      <c r="U248" s="251">
        <f t="shared" si="82"/>
        <v>-0.81958059666336958</v>
      </c>
      <c r="V248" s="383">
        <f t="shared" si="83"/>
        <v>50.936110267316614</v>
      </c>
      <c r="W248" s="58"/>
      <c r="X248" s="157">
        <f t="shared" si="84"/>
        <v>43699</v>
      </c>
      <c r="Y248" s="385">
        <f t="shared" si="85"/>
        <v>51.593000000000004</v>
      </c>
      <c r="Z248" s="385">
        <f t="shared" si="86"/>
        <v>52.058541988306601</v>
      </c>
      <c r="AA248" s="386">
        <f t="shared" si="87"/>
        <v>55.470998022620584</v>
      </c>
      <c r="AB248" s="197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6.151784096118857E-2</v>
      </c>
      <c r="AD248" s="231">
        <f>(INDEX(Models!$BJ248:$BT248,,AH248)*(1-AF248)+INDEX(Models!$BJ248:$BT248,,AH248+1)*AF248-ERP_i)*AE248*Ramure*Pc/MaxiM</f>
        <v>1.1692257266454998E-4</v>
      </c>
      <c r="AE248" s="305">
        <f t="shared" si="89"/>
        <v>0.7</v>
      </c>
      <c r="AF248" s="177">
        <f t="shared" si="90"/>
        <v>0.18041940333663042</v>
      </c>
      <c r="AG248" s="176">
        <f t="shared" si="91"/>
        <v>-1</v>
      </c>
      <c r="AH248" s="176">
        <f t="shared" si="92"/>
        <v>5</v>
      </c>
      <c r="AI248" s="225">
        <f t="shared" si="93"/>
        <v>-0.81958059666336958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6">
        <v>48.86</v>
      </c>
      <c r="C249" s="390"/>
      <c r="D249" s="393">
        <f t="shared" si="75"/>
        <v>49.302028487530116</v>
      </c>
      <c r="E249" s="385">
        <f t="shared" si="97"/>
        <v>52.540723097877446</v>
      </c>
      <c r="F249" s="385">
        <f t="shared" si="76"/>
        <v>52.54696710023925</v>
      </c>
      <c r="G249" s="110">
        <f t="shared" si="98"/>
        <v>0.96415035032646434</v>
      </c>
      <c r="H249" s="414" t="b">
        <f>Wh_hp&gt;='2018'!Maxi_hp</f>
        <v>1</v>
      </c>
      <c r="I249" s="390">
        <f>IF(H249,Wh_hp,'2018'!Maxi_hp)</f>
        <v>52.54696710023925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8.9657261798450349E-3</v>
      </c>
      <c r="M249" s="844"/>
      <c r="N249" s="844"/>
      <c r="O249" s="48">
        <f>IF(t&lt;Tnet,'2018'!Resal+('2018'!Salim-'2018'!Resal)*(1-EXP(('2018'!Tnet-t)/('2018'!Tau_j))),Resal+(Salim-Resal)*(1-EXP((Tnet-t)/(Tau_j))))*Salcycl</f>
        <v>6.164160710757647E-2</v>
      </c>
      <c r="P249" s="169">
        <f>(INDEX(Models!$BJ249:$BT249,,T249)*(1-R249)+INDEX(Models!$BJ249:$BT249,,T249+1)*R249-ERP_i)*Q249*Ramure*Pc/MaxiM</f>
        <v>1.2523998140647941E-4</v>
      </c>
      <c r="Q249" s="305">
        <f t="shared" si="78"/>
        <v>0.7</v>
      </c>
      <c r="R249" s="177">
        <f t="shared" si="79"/>
        <v>0.18114962916413946</v>
      </c>
      <c r="S249" s="810">
        <f t="shared" si="80"/>
        <v>-1</v>
      </c>
      <c r="T249" s="176">
        <f t="shared" si="81"/>
        <v>5</v>
      </c>
      <c r="U249" s="251">
        <f t="shared" si="82"/>
        <v>-0.81885037083586054</v>
      </c>
      <c r="V249" s="383">
        <f t="shared" si="83"/>
        <v>50.676418477238293</v>
      </c>
      <c r="W249" s="58"/>
      <c r="X249" s="157">
        <f t="shared" si="84"/>
        <v>43700</v>
      </c>
      <c r="Y249" s="385">
        <f t="shared" si="85"/>
        <v>48.86</v>
      </c>
      <c r="Z249" s="385">
        <f t="shared" si="86"/>
        <v>49.302028487530116</v>
      </c>
      <c r="AA249" s="386">
        <f t="shared" si="87"/>
        <v>52.540723097877446</v>
      </c>
      <c r="AB249" s="197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6.164160710757647E-2</v>
      </c>
      <c r="AD249" s="231">
        <f>(INDEX(Models!$BJ249:$BT249,,AH249)*(1-AF249)+INDEX(Models!$BJ249:$BT249,,AH249+1)*AF249-ERP_i)*AE249*Ramure*Pc/MaxiM</f>
        <v>1.2523998140647941E-4</v>
      </c>
      <c r="AE249" s="305">
        <f t="shared" si="89"/>
        <v>0.7</v>
      </c>
      <c r="AF249" s="177">
        <f t="shared" si="90"/>
        <v>0.18114962916413946</v>
      </c>
      <c r="AG249" s="176">
        <f t="shared" si="91"/>
        <v>-1</v>
      </c>
      <c r="AH249" s="176">
        <f t="shared" si="92"/>
        <v>5</v>
      </c>
      <c r="AI249" s="225">
        <f t="shared" si="93"/>
        <v>-0.81885037083586054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6">
        <v>48.607999999999997</v>
      </c>
      <c r="C250" s="390"/>
      <c r="D250" s="393">
        <f t="shared" si="75"/>
        <v>49.048890123771564</v>
      </c>
      <c r="E250" s="385">
        <f t="shared" si="97"/>
        <v>52.27783052189676</v>
      </c>
      <c r="F250" s="385">
        <f t="shared" si="76"/>
        <v>52.284492274475099</v>
      </c>
      <c r="G250" s="110">
        <f t="shared" si="98"/>
        <v>0.96419174875044367</v>
      </c>
      <c r="H250" s="414" t="b">
        <f>Wh_hp&gt;='2018'!Maxi_hp</f>
        <v>1</v>
      </c>
      <c r="I250" s="390">
        <f>IF(H250,Wh_hp,'2018'!Maxi_hp)</f>
        <v>52.284492274475099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8.9887889952047217E-3</v>
      </c>
      <c r="M250" s="844"/>
      <c r="N250" s="844"/>
      <c r="O250" s="48">
        <f>IF(t&lt;Tnet,'2018'!Resal+('2018'!Salim-'2018'!Resal)*(1-EXP(('2018'!Tnet-t)/('2018'!Tau_j))),Resal+(Salim-Resal)*(1-EXP((Tnet-t)/(Tau_j))))*Salcycl</f>
        <v>6.1765003748056123E-2</v>
      </c>
      <c r="P250" s="169">
        <f>(INDEX(Models!$BJ250:$BT250,,T250)*(1-R250)+INDEX(Models!$BJ250:$BT250,,T250+1)*R250-ERP_i)*Q250*Ramure*Pc/MaxiM</f>
        <v>1.3428139279519319E-4</v>
      </c>
      <c r="Q250" s="305">
        <f t="shared" si="78"/>
        <v>0.7</v>
      </c>
      <c r="R250" s="177">
        <f t="shared" si="79"/>
        <v>0.18185308640387099</v>
      </c>
      <c r="S250" s="810">
        <f t="shared" si="80"/>
        <v>-1</v>
      </c>
      <c r="T250" s="176">
        <f t="shared" si="81"/>
        <v>5</v>
      </c>
      <c r="U250" s="251">
        <f t="shared" si="82"/>
        <v>-0.81814691359612901</v>
      </c>
      <c r="V250" s="383">
        <f t="shared" si="83"/>
        <v>50.412862574453854</v>
      </c>
      <c r="W250" s="58"/>
      <c r="X250" s="157">
        <f t="shared" si="84"/>
        <v>43701</v>
      </c>
      <c r="Y250" s="385">
        <f t="shared" si="85"/>
        <v>48.607999999999997</v>
      </c>
      <c r="Z250" s="385">
        <f t="shared" si="86"/>
        <v>49.048890123771564</v>
      </c>
      <c r="AA250" s="386">
        <f t="shared" si="87"/>
        <v>52.27783052189676</v>
      </c>
      <c r="AB250" s="197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6.1765003748056123E-2</v>
      </c>
      <c r="AD250" s="231">
        <f>(INDEX(Models!$BJ250:$BT250,,AH250)*(1-AF250)+INDEX(Models!$BJ250:$BT250,,AH250+1)*AF250-ERP_i)*AE250*Ramure*Pc/MaxiM</f>
        <v>1.3428139279519319E-4</v>
      </c>
      <c r="AE250" s="305">
        <f t="shared" si="89"/>
        <v>0.7</v>
      </c>
      <c r="AF250" s="177">
        <f t="shared" si="90"/>
        <v>0.18185308640387099</v>
      </c>
      <c r="AG250" s="176">
        <f t="shared" si="91"/>
        <v>-1</v>
      </c>
      <c r="AH250" s="176">
        <f t="shared" si="92"/>
        <v>5</v>
      </c>
      <c r="AI250" s="225">
        <f t="shared" si="93"/>
        <v>-0.81814691359612901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6">
        <v>45.247</v>
      </c>
      <c r="C251" s="390"/>
      <c r="D251" s="393">
        <f t="shared" si="75"/>
        <v>45.658467316851826</v>
      </c>
      <c r="E251" s="385">
        <f t="shared" si="97"/>
        <v>48.670594079350295</v>
      </c>
      <c r="F251" s="385">
        <f t="shared" si="76"/>
        <v>48.676627933892512</v>
      </c>
      <c r="G251" s="110">
        <f t="shared" si="98"/>
        <v>0.90230077882118531</v>
      </c>
      <c r="H251" s="414" t="b">
        <f>Wh_hp&gt;='2018'!Maxi_hp</f>
        <v>1</v>
      </c>
      <c r="I251" s="390">
        <f>IF(H251,Wh_hp,'2018'!Maxi_hp)</f>
        <v>48.676627933892512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9.0118512738590617E-3</v>
      </c>
      <c r="M251" s="844"/>
      <c r="N251" s="844"/>
      <c r="O251" s="48">
        <f>IF(t&lt;Tnet,'2018'!Resal+('2018'!Salim-'2018'!Resal)*(1-EXP(('2018'!Tnet-t)/('2018'!Tau_j))),Resal+(Salim-Resal)*(1-EXP((Tnet-t)/(Tau_j))))*Salcycl</f>
        <v>6.1888021288329396E-2</v>
      </c>
      <c r="P251" s="169">
        <f>(INDEX(Models!$BJ251:$BT251,,T251)*(1-R251)+INDEX(Models!$BJ251:$BT251,,T251+1)*R251-ERP_i)*Q251*Ramure*Pc/MaxiM</f>
        <v>1.4406082115059457E-4</v>
      </c>
      <c r="Q251" s="305">
        <f t="shared" si="78"/>
        <v>0.7</v>
      </c>
      <c r="R251" s="177">
        <f t="shared" si="79"/>
        <v>0.18253065853824268</v>
      </c>
      <c r="S251" s="810">
        <f t="shared" si="80"/>
        <v>-1</v>
      </c>
      <c r="T251" s="176">
        <f t="shared" si="81"/>
        <v>5</v>
      </c>
      <c r="U251" s="251">
        <f t="shared" si="82"/>
        <v>-0.81746934146175732</v>
      </c>
      <c r="V251" s="383">
        <f t="shared" si="83"/>
        <v>50.145241314430848</v>
      </c>
      <c r="W251" s="58"/>
      <c r="X251" s="157">
        <f t="shared" si="84"/>
        <v>43702</v>
      </c>
      <c r="Y251" s="385">
        <f t="shared" si="85"/>
        <v>45.247</v>
      </c>
      <c r="Z251" s="385">
        <f t="shared" si="86"/>
        <v>45.658467316851826</v>
      </c>
      <c r="AA251" s="386">
        <f t="shared" si="87"/>
        <v>48.670594079350295</v>
      </c>
      <c r="AB251" s="197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6.1888021288329396E-2</v>
      </c>
      <c r="AD251" s="231">
        <f>(INDEX(Models!$BJ251:$BT251,,AH251)*(1-AF251)+INDEX(Models!$BJ251:$BT251,,AH251+1)*AF251-ERP_i)*AE251*Ramure*Pc/MaxiM</f>
        <v>1.4406082115059457E-4</v>
      </c>
      <c r="AE251" s="305">
        <f t="shared" si="89"/>
        <v>0.7</v>
      </c>
      <c r="AF251" s="177">
        <f t="shared" si="90"/>
        <v>0.18253065853824268</v>
      </c>
      <c r="AG251" s="176">
        <f t="shared" si="91"/>
        <v>-1</v>
      </c>
      <c r="AH251" s="176">
        <f t="shared" si="92"/>
        <v>5</v>
      </c>
      <c r="AI251" s="225">
        <f t="shared" si="93"/>
        <v>-0.81746934146175732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6">
        <v>39.58</v>
      </c>
      <c r="C252" s="390"/>
      <c r="D252" s="393">
        <f t="shared" si="75"/>
        <v>39.940862215897496</v>
      </c>
      <c r="E252" s="385">
        <f t="shared" si="97"/>
        <v>42.581360018669919</v>
      </c>
      <c r="F252" s="385">
        <f t="shared" si="76"/>
        <v>42.586002414435491</v>
      </c>
      <c r="G252" s="110">
        <f t="shared" si="98"/>
        <v>0.79357398043102101</v>
      </c>
      <c r="H252" s="414" t="b">
        <f>Wh_hp&gt;='2018'!Maxi_hp</f>
        <v>1</v>
      </c>
      <c r="I252" s="390">
        <f>IF(H252,Wh_hp,'2018'!Maxi_hp)</f>
        <v>42.586002414435491</v>
      </c>
      <c r="J252" s="85">
        <f>IF(H252,An,'2018'!An_max)</f>
        <v>2019</v>
      </c>
      <c r="K252" s="197">
        <f t="shared" si="77"/>
        <v>43703</v>
      </c>
      <c r="L252" s="147">
        <f>IF(t&lt;Tvie,1-EXP((T0-t)*PertePVj)+'2018'!Pspv,1-EXP((T0-t)*PertePVj)+Pspv)</f>
        <v>9.0349130158203783E-3</v>
      </c>
      <c r="M252" s="844"/>
      <c r="N252" s="844"/>
      <c r="O252" s="48">
        <f>IF(t&lt;Tnet,'2018'!Resal+('2018'!Salim-'2018'!Resal)*(1-EXP(('2018'!Tnet-t)/('2018'!Tau_j))),Resal+(Salim-Resal)*(1-EXP((Tnet-t)/(Tau_j))))*Salcycl</f>
        <v>6.2010649768224596E-2</v>
      </c>
      <c r="P252" s="169">
        <f>(INDEX(Models!$BJ252:$BT252,,T252)*(1-R252)+INDEX(Models!$BJ252:$BT252,,T252+1)*R252-ERP_i)*Q252*Ramure*Pc/MaxiM</f>
        <v>1.5459279136866732E-4</v>
      </c>
      <c r="Q252" s="305">
        <f t="shared" si="78"/>
        <v>0.7</v>
      </c>
      <c r="R252" s="177">
        <f t="shared" si="79"/>
        <v>0.18318320733936555</v>
      </c>
      <c r="S252" s="810">
        <f t="shared" si="80"/>
        <v>-1</v>
      </c>
      <c r="T252" s="176">
        <f t="shared" si="81"/>
        <v>5</v>
      </c>
      <c r="U252" s="251">
        <f t="shared" si="82"/>
        <v>-0.81681679266063445</v>
      </c>
      <c r="V252" s="383">
        <f t="shared" si="83"/>
        <v>49.873353589320594</v>
      </c>
      <c r="W252" s="58"/>
      <c r="X252" s="157">
        <f t="shared" si="84"/>
        <v>43703</v>
      </c>
      <c r="Y252" s="385">
        <f t="shared" si="85"/>
        <v>39.58</v>
      </c>
      <c r="Z252" s="385">
        <f t="shared" si="86"/>
        <v>39.940862215897496</v>
      </c>
      <c r="AA252" s="386">
        <f t="shared" si="87"/>
        <v>42.581360018669919</v>
      </c>
      <c r="AB252" s="197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6.2010649768224596E-2</v>
      </c>
      <c r="AD252" s="231">
        <f>(INDEX(Models!$BJ252:$BT252,,AH252)*(1-AF252)+INDEX(Models!$BJ252:$BT252,,AH252+1)*AF252-ERP_i)*AE252*Ramure*Pc/MaxiM</f>
        <v>1.5459279136866732E-4</v>
      </c>
      <c r="AE252" s="305">
        <f t="shared" si="89"/>
        <v>0.7</v>
      </c>
      <c r="AF252" s="177">
        <f t="shared" si="90"/>
        <v>0.18318320733936555</v>
      </c>
      <c r="AG252" s="176">
        <f t="shared" si="91"/>
        <v>-1</v>
      </c>
      <c r="AH252" s="176">
        <f t="shared" si="92"/>
        <v>5</v>
      </c>
      <c r="AI252" s="225">
        <f t="shared" si="93"/>
        <v>-0.81681679266063445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6">
        <v>30.016999999999999</v>
      </c>
      <c r="C253" s="390"/>
      <c r="D253" s="393">
        <f t="shared" si="75"/>
        <v>30.291378525808394</v>
      </c>
      <c r="E253" s="385">
        <f t="shared" si="97"/>
        <v>32.29815593590817</v>
      </c>
      <c r="F253" s="385">
        <f t="shared" si="76"/>
        <v>32.300492340431333</v>
      </c>
      <c r="G253" s="110">
        <f t="shared" si="98"/>
        <v>0.60516144900527913</v>
      </c>
      <c r="H253" s="414" t="b">
        <f>Wh_hp&gt;='2018'!Maxi_hp</f>
        <v>1</v>
      </c>
      <c r="I253" s="390">
        <f>IF(H253,Wh_hp,'2018'!Maxi_hp)</f>
        <v>32.300492340431333</v>
      </c>
      <c r="J253" s="85">
        <f>IF(H253,An,'2018'!An_max)</f>
        <v>2019</v>
      </c>
      <c r="K253" s="197">
        <f t="shared" si="77"/>
        <v>43704</v>
      </c>
      <c r="L253" s="147">
        <f>IF(t&lt;Tvie,1-EXP((T0-t)*PertePVj)+'2018'!Pspv,1-EXP((T0-t)*PertePVj)+Pspv)</f>
        <v>9.0579742211013281E-3</v>
      </c>
      <c r="M253" s="844"/>
      <c r="N253" s="844"/>
      <c r="O253" s="48">
        <f>IF(t&lt;Tnet,'2018'!Resal+('2018'!Salim-'2018'!Resal)*(1-EXP(('2018'!Tnet-t)/('2018'!Tau_j))),Resal+(Salim-Resal)*(1-EXP((Tnet-t)/(Tau_j))))*Salcycl</f>
        <v>6.2132878857913437E-2</v>
      </c>
      <c r="P253" s="169">
        <f>(INDEX(Models!$BJ253:$BT253,,T253)*(1-R253)+INDEX(Models!$BJ253:$BT253,,T253+1)*R253-ERP_i)*Q253*Ramure*Pc/MaxiM</f>
        <v>1.6589247433104412E-4</v>
      </c>
      <c r="Q253" s="305">
        <f t="shared" si="78"/>
        <v>0.7</v>
      </c>
      <c r="R253" s="177">
        <f t="shared" si="79"/>
        <v>0.18381157280756333</v>
      </c>
      <c r="S253" s="810">
        <f t="shared" si="80"/>
        <v>-1</v>
      </c>
      <c r="T253" s="176">
        <f t="shared" si="81"/>
        <v>5</v>
      </c>
      <c r="U253" s="251">
        <f t="shared" si="82"/>
        <v>-0.81618842719243667</v>
      </c>
      <c r="V253" s="383">
        <f t="shared" si="83"/>
        <v>49.596998426671021</v>
      </c>
      <c r="W253" s="58"/>
      <c r="X253" s="157">
        <f t="shared" si="84"/>
        <v>43704</v>
      </c>
      <c r="Y253" s="385">
        <f t="shared" si="85"/>
        <v>30.016999999999996</v>
      </c>
      <c r="Z253" s="385">
        <f t="shared" si="86"/>
        <v>30.291378525808391</v>
      </c>
      <c r="AA253" s="386">
        <f t="shared" si="87"/>
        <v>32.29815593590817</v>
      </c>
      <c r="AB253" s="197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6.2132878857913437E-2</v>
      </c>
      <c r="AD253" s="231">
        <f>(INDEX(Models!$BJ253:$BT253,,AH253)*(1-AF253)+INDEX(Models!$BJ253:$BT253,,AH253+1)*AF253-ERP_i)*AE253*Ramure*Pc/MaxiM</f>
        <v>1.6589247433104412E-4</v>
      </c>
      <c r="AE253" s="305">
        <f t="shared" si="89"/>
        <v>0.7</v>
      </c>
      <c r="AF253" s="177">
        <f t="shared" si="90"/>
        <v>0.18381157280756333</v>
      </c>
      <c r="AG253" s="176">
        <f t="shared" si="91"/>
        <v>-1</v>
      </c>
      <c r="AH253" s="176">
        <f t="shared" si="92"/>
        <v>5</v>
      </c>
      <c r="AI253" s="225">
        <f t="shared" si="93"/>
        <v>-0.81618842719243667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6">
        <v>38.122999999999998</v>
      </c>
      <c r="C254" s="390"/>
      <c r="D254" s="393">
        <f t="shared" si="75"/>
        <v>38.472368924493281</v>
      </c>
      <c r="E254" s="385">
        <f t="shared" si="97"/>
        <v>41.026458715619242</v>
      </c>
      <c r="F254" s="385">
        <f t="shared" si="76"/>
        <v>41.031400879776328</v>
      </c>
      <c r="G254" s="110">
        <f t="shared" si="98"/>
        <v>0.77299103646746337</v>
      </c>
      <c r="H254" s="414" t="b">
        <f>Wh_hp&gt;='2018'!Maxi_hp</f>
        <v>1</v>
      </c>
      <c r="I254" s="390">
        <f>IF(H254,Wh_hp,'2018'!Maxi_hp)</f>
        <v>41.031400879776328</v>
      </c>
      <c r="J254" s="85">
        <f>IF(H254,An,'2018'!An_max)</f>
        <v>2019</v>
      </c>
      <c r="K254" s="197">
        <f t="shared" si="77"/>
        <v>43705</v>
      </c>
      <c r="L254" s="147">
        <f>IF(t&lt;Tvie,1-EXP((T0-t)*PertePVj)+'2018'!Pspv,1-EXP((T0-t)*PertePVj)+Pspv)</f>
        <v>9.0810348897143456E-3</v>
      </c>
      <c r="M254" s="844"/>
      <c r="N254" s="844"/>
      <c r="O254" s="48">
        <f>IF(t&lt;Tnet,'2018'!Resal+('2018'!Salim-'2018'!Resal)*(1-EXP(('2018'!Tnet-t)/('2018'!Tau_j))),Resal+(Salim-Resal)*(1-EXP((Tnet-t)/(Tau_j))))*Salcycl</f>
        <v>6.2254697848283642E-2</v>
      </c>
      <c r="P254" s="169">
        <f>(INDEX(Models!$BJ254:$BT254,,T254)*(1-R254)+INDEX(Models!$BJ254:$BT254,,T254+1)*R254-ERP_i)*Q254*Ramure*Pc/MaxiM</f>
        <v>1.782398993878105E-4</v>
      </c>
      <c r="Q254" s="305">
        <f t="shared" si="78"/>
        <v>0.7</v>
      </c>
      <c r="R254" s="177">
        <f t="shared" si="79"/>
        <v>0.18441657316961124</v>
      </c>
      <c r="S254" s="810">
        <f t="shared" si="80"/>
        <v>-1</v>
      </c>
      <c r="T254" s="176">
        <f t="shared" si="81"/>
        <v>5</v>
      </c>
      <c r="U254" s="251">
        <f t="shared" si="82"/>
        <v>-0.81558342683038876</v>
      </c>
      <c r="V254" s="383">
        <f t="shared" si="83"/>
        <v>49.315961956325559</v>
      </c>
      <c r="W254" s="58"/>
      <c r="X254" s="157">
        <f t="shared" si="84"/>
        <v>43705</v>
      </c>
      <c r="Y254" s="385">
        <f t="shared" si="85"/>
        <v>38.122999999999998</v>
      </c>
      <c r="Z254" s="385">
        <f t="shared" si="86"/>
        <v>38.472368924493281</v>
      </c>
      <c r="AA254" s="386">
        <f t="shared" si="87"/>
        <v>41.026458715619242</v>
      </c>
      <c r="AB254" s="197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6.2254697848283642E-2</v>
      </c>
      <c r="AD254" s="231">
        <f>(INDEX(Models!$BJ254:$BT254,,AH254)*(1-AF254)+INDEX(Models!$BJ254:$BT254,,AH254+1)*AF254-ERP_i)*AE254*Ramure*Pc/MaxiM</f>
        <v>1.782398993878105E-4</v>
      </c>
      <c r="AE254" s="305">
        <f t="shared" si="89"/>
        <v>0.7</v>
      </c>
      <c r="AF254" s="177">
        <f t="shared" si="90"/>
        <v>0.18441657316961124</v>
      </c>
      <c r="AG254" s="176">
        <f t="shared" si="91"/>
        <v>-1</v>
      </c>
      <c r="AH254" s="176">
        <f t="shared" si="92"/>
        <v>5</v>
      </c>
      <c r="AI254" s="225">
        <f t="shared" si="93"/>
        <v>-0.81558342683038876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6">
        <v>46.085000000000001</v>
      </c>
      <c r="C255" s="390"/>
      <c r="D255" s="393">
        <f t="shared" si="75"/>
        <v>46.508417048113571</v>
      </c>
      <c r="E255" s="385">
        <f t="shared" si="97"/>
        <v>49.60242249759429</v>
      </c>
      <c r="F255" s="385">
        <f t="shared" si="76"/>
        <v>49.611104047266693</v>
      </c>
      <c r="G255" s="110">
        <f t="shared" si="98"/>
        <v>0.93991823448716816</v>
      </c>
      <c r="H255" s="414" t="b">
        <f>Wh_hp&gt;='2018'!Maxi_hp</f>
        <v>1</v>
      </c>
      <c r="I255" s="390">
        <f>IF(H255,Wh_hp,'2018'!Maxi_hp)</f>
        <v>49.611104047266693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9.1040950216718652E-3</v>
      </c>
      <c r="M255" s="844"/>
      <c r="N255" s="844"/>
      <c r="O255" s="48">
        <f>IF(t&lt;Tnet,'2018'!Resal+('2018'!Salim-'2018'!Resal)*(1-EXP(('2018'!Tnet-t)/('2018'!Tau_j))),Resal+(Salim-Resal)*(1-EXP((Tnet-t)/(Tau_j))))*Salcycl</f>
        <v>6.2376095635868892E-2</v>
      </c>
      <c r="P255" s="169">
        <f>(INDEX(Models!$BJ255:$BT255,,T255)*(1-R255)+INDEX(Models!$BJ255:$BT255,,T255+1)*R255-ERP_i)*Q255*Ramure*Pc/MaxiM</f>
        <v>1.9141741076978579E-4</v>
      </c>
      <c r="Q255" s="305">
        <f t="shared" si="78"/>
        <v>0.7</v>
      </c>
      <c r="R255" s="177">
        <f t="shared" si="79"/>
        <v>0.18499900493144694</v>
      </c>
      <c r="S255" s="810">
        <f t="shared" si="80"/>
        <v>-1</v>
      </c>
      <c r="T255" s="176">
        <f t="shared" si="81"/>
        <v>5</v>
      </c>
      <c r="U255" s="251">
        <f t="shared" si="82"/>
        <v>-0.81500099506855306</v>
      </c>
      <c r="V255" s="383">
        <f t="shared" si="83"/>
        <v>49.030055184234172</v>
      </c>
      <c r="W255" s="58"/>
      <c r="X255" s="157">
        <f t="shared" si="84"/>
        <v>43706</v>
      </c>
      <c r="Y255" s="385">
        <f t="shared" si="85"/>
        <v>46.085000000000001</v>
      </c>
      <c r="Z255" s="385">
        <f t="shared" si="86"/>
        <v>46.508417048113571</v>
      </c>
      <c r="AA255" s="386">
        <f t="shared" si="87"/>
        <v>49.60242249759429</v>
      </c>
      <c r="AB255" s="197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6.2376095635868892E-2</v>
      </c>
      <c r="AD255" s="231">
        <f>(INDEX(Models!$BJ255:$BT255,,AH255)*(1-AF255)+INDEX(Models!$BJ255:$BT255,,AH255+1)*AF255-ERP_i)*AE255*Ramure*Pc/MaxiM</f>
        <v>1.9141741076978579E-4</v>
      </c>
      <c r="AE255" s="305">
        <f t="shared" si="89"/>
        <v>0.7</v>
      </c>
      <c r="AF255" s="177">
        <f t="shared" si="90"/>
        <v>0.18499900493144694</v>
      </c>
      <c r="AG255" s="176">
        <f t="shared" si="91"/>
        <v>-1</v>
      </c>
      <c r="AH255" s="176">
        <f t="shared" si="92"/>
        <v>5</v>
      </c>
      <c r="AI255" s="225">
        <f t="shared" si="93"/>
        <v>-0.81500099506855306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6">
        <v>45.151000000000003</v>
      </c>
      <c r="C256" s="390"/>
      <c r="D256" s="393">
        <f t="shared" si="75"/>
        <v>45.566896106177239</v>
      </c>
      <c r="E256" s="385">
        <f t="shared" si="97"/>
        <v>48.604536792533636</v>
      </c>
      <c r="F256" s="385">
        <f t="shared" si="76"/>
        <v>48.613473749308483</v>
      </c>
      <c r="G256" s="110">
        <f t="shared" si="98"/>
        <v>0.92636189624048537</v>
      </c>
      <c r="H256" s="414" t="b">
        <f>Wh_hp&gt;='2018'!Maxi_hp</f>
        <v>1</v>
      </c>
      <c r="I256" s="390">
        <f>IF(H256,Wh_hp,'2018'!Maxi_hp)</f>
        <v>48.613473749308483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9.1271546169864326E-3</v>
      </c>
      <c r="M256" s="844"/>
      <c r="N256" s="844"/>
      <c r="O256" s="48">
        <f>IF(t&lt;Tnet,'2018'!Resal+('2018'!Salim-'2018'!Resal)*(1-EXP(('2018'!Tnet-t)/('2018'!Tau_j))),Resal+(Salim-Resal)*(1-EXP((Tnet-t)/(Tau_j))))*Salcycl</f>
        <v>6.2497060702840147E-2</v>
      </c>
      <c r="P256" s="169">
        <f>(INDEX(Models!$BJ256:$BT256,,T256)*(1-R256)+INDEX(Models!$BJ256:$BT256,,T256+1)*R256-ERP_i)*Q256*Ramure*Pc/MaxiM</f>
        <v>2.0544322859539311E-4</v>
      </c>
      <c r="Q256" s="305">
        <f t="shared" si="78"/>
        <v>0.7</v>
      </c>
      <c r="R256" s="177">
        <f t="shared" si="79"/>
        <v>0.18555964298038663</v>
      </c>
      <c r="S256" s="810">
        <f t="shared" si="80"/>
        <v>-1</v>
      </c>
      <c r="T256" s="176">
        <f t="shared" si="81"/>
        <v>5</v>
      </c>
      <c r="U256" s="251">
        <f t="shared" si="82"/>
        <v>-0.81444035701961337</v>
      </c>
      <c r="V256" s="383">
        <f t="shared" si="83"/>
        <v>48.739077527391302</v>
      </c>
      <c r="W256" s="58"/>
      <c r="X256" s="157">
        <f t="shared" si="84"/>
        <v>43707</v>
      </c>
      <c r="Y256" s="385">
        <f t="shared" si="85"/>
        <v>45.151000000000003</v>
      </c>
      <c r="Z256" s="385">
        <f t="shared" si="86"/>
        <v>45.566896106177239</v>
      </c>
      <c r="AA256" s="386">
        <f t="shared" si="87"/>
        <v>48.604536792533636</v>
      </c>
      <c r="AB256" s="197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6.2497060702840147E-2</v>
      </c>
      <c r="AD256" s="231">
        <f>(INDEX(Models!$BJ256:$BT256,,AH256)*(1-AF256)+INDEX(Models!$BJ256:$BT256,,AH256+1)*AF256-ERP_i)*AE256*Ramure*Pc/MaxiM</f>
        <v>2.0544322859539311E-4</v>
      </c>
      <c r="AE256" s="305">
        <f t="shared" si="89"/>
        <v>0.7</v>
      </c>
      <c r="AF256" s="177">
        <f t="shared" si="90"/>
        <v>0.18555964298038663</v>
      </c>
      <c r="AG256" s="176">
        <f t="shared" si="91"/>
        <v>-1</v>
      </c>
      <c r="AH256" s="176">
        <f t="shared" si="92"/>
        <v>5</v>
      </c>
      <c r="AI256" s="225">
        <f t="shared" si="93"/>
        <v>-0.81444035701961337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6">
        <v>42.841000000000001</v>
      </c>
      <c r="C257" s="390"/>
      <c r="D257" s="393">
        <f t="shared" si="75"/>
        <v>43.236624351430294</v>
      </c>
      <c r="E257" s="385">
        <f t="shared" si="97"/>
        <v>46.124850945923562</v>
      </c>
      <c r="F257" s="385">
        <f t="shared" si="76"/>
        <v>46.133336599982165</v>
      </c>
      <c r="G257" s="110">
        <f t="shared" si="98"/>
        <v>0.8843298718474113</v>
      </c>
      <c r="H257" s="414" t="b">
        <f>Wh_hp&gt;='2018'!Maxi_hp</f>
        <v>1</v>
      </c>
      <c r="I257" s="390">
        <f>IF(H257,Wh_hp,'2018'!Maxi_hp)</f>
        <v>46.133336599982165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9.1502136756705932E-3</v>
      </c>
      <c r="M257" s="844"/>
      <c r="N257" s="844"/>
      <c r="O257" s="48">
        <f>IF(t&lt;Tnet,'2018'!Resal+('2018'!Salim-'2018'!Resal)*(1-EXP(('2018'!Tnet-t)/('2018'!Tau_j))),Resal+(Salim-Resal)*(1-EXP((Tnet-t)/(Tau_j))))*Salcycl</f>
        <v>6.261758109266094E-2</v>
      </c>
      <c r="P257" s="169">
        <f>(INDEX(Models!$BJ257:$BT257,,T257)*(1-R257)+INDEX(Models!$BJ257:$BT257,,T257+1)*R257-ERP_i)*Q257*Ramure*Pc/MaxiM</f>
        <v>2.2033651669364603E-4</v>
      </c>
      <c r="Q257" s="305">
        <f t="shared" si="78"/>
        <v>0.7</v>
      </c>
      <c r="R257" s="177">
        <f t="shared" si="79"/>
        <v>0.18609924073214679</v>
      </c>
      <c r="S257" s="810">
        <f t="shared" si="80"/>
        <v>-1</v>
      </c>
      <c r="T257" s="176">
        <f t="shared" si="81"/>
        <v>5</v>
      </c>
      <c r="U257" s="251">
        <f t="shared" si="82"/>
        <v>-0.81390075926785321</v>
      </c>
      <c r="V257" s="383">
        <f t="shared" si="83"/>
        <v>48.442828530222577</v>
      </c>
      <c r="W257" s="58"/>
      <c r="X257" s="157">
        <f t="shared" si="84"/>
        <v>43708</v>
      </c>
      <c r="Y257" s="385">
        <f t="shared" si="85"/>
        <v>42.841000000000001</v>
      </c>
      <c r="Z257" s="385">
        <f t="shared" si="86"/>
        <v>43.236624351430294</v>
      </c>
      <c r="AA257" s="386">
        <f t="shared" si="87"/>
        <v>46.124850945923562</v>
      </c>
      <c r="AB257" s="197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6.261758109266094E-2</v>
      </c>
      <c r="AD257" s="231">
        <f>(INDEX(Models!$BJ257:$BT257,,AH257)*(1-AF257)+INDEX(Models!$BJ257:$BT257,,AH257+1)*AF257-ERP_i)*AE257*Ramure*Pc/MaxiM</f>
        <v>2.2033651669364603E-4</v>
      </c>
      <c r="AE257" s="305">
        <f t="shared" si="89"/>
        <v>0.7</v>
      </c>
      <c r="AF257" s="177">
        <f t="shared" si="90"/>
        <v>0.18609924073214679</v>
      </c>
      <c r="AG257" s="176">
        <f t="shared" si="91"/>
        <v>-1</v>
      </c>
      <c r="AH257" s="176">
        <f t="shared" si="92"/>
        <v>5</v>
      </c>
      <c r="AI257" s="225">
        <f t="shared" si="93"/>
        <v>-0.81390075926785321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6">
        <v>16.97</v>
      </c>
      <c r="C258" s="390"/>
      <c r="D258" s="393">
        <f t="shared" si="75"/>
        <v>17.127111657192454</v>
      </c>
      <c r="E258" s="385">
        <f t="shared" si="97"/>
        <v>18.273551214911642</v>
      </c>
      <c r="F258" s="385">
        <f t="shared" si="76"/>
        <v>18.273874856710936</v>
      </c>
      <c r="G258" s="110">
        <f t="shared" si="98"/>
        <v>0.35242839898745043</v>
      </c>
      <c r="H258" s="414" t="b">
        <f>Wh_hp&gt;='2018'!Maxi_hp</f>
        <v>1</v>
      </c>
      <c r="I258" s="390">
        <f>IF(H258,Wh_hp,'2018'!Maxi_hp)</f>
        <v>18.273874856710936</v>
      </c>
      <c r="J258" s="85">
        <f>IF(H258,An,'2018'!An_max)</f>
        <v>2019</v>
      </c>
      <c r="K258" s="197">
        <f t="shared" si="77"/>
        <v>43709</v>
      </c>
      <c r="L258" s="147">
        <f>IF(t&lt;Tvie,1-EXP((T0-t)*PertePVj)+'2018'!Pspv,1-EXP((T0-t)*PertePVj)+Pspv)</f>
        <v>9.1732721977367815E-3</v>
      </c>
      <c r="M258" s="844"/>
      <c r="N258" s="844"/>
      <c r="O258" s="48">
        <f>IF(t&lt;Tnet,'2018'!Resal+('2018'!Salim-'2018'!Resal)*(1-EXP(('2018'!Tnet-t)/('2018'!Tau_j))),Resal+(Salim-Resal)*(1-EXP((Tnet-t)/(Tau_j))))*Salcycl</f>
        <v>6.2737644382098445E-2</v>
      </c>
      <c r="P258" s="169">
        <f>(INDEX(Models!$BJ258:$BT258,,T258)*(1-R258)+INDEX(Models!$BJ258:$BT258,,T258+1)*R258-ERP_i)*Q258*Ramure*Pc/MaxiM</f>
        <v>2.3611746524943375E-4</v>
      </c>
      <c r="Q258" s="305">
        <f t="shared" si="78"/>
        <v>0.7</v>
      </c>
      <c r="R258" s="177">
        <f t="shared" si="79"/>
        <v>0.18661853031824394</v>
      </c>
      <c r="S258" s="810">
        <f t="shared" si="80"/>
        <v>-1</v>
      </c>
      <c r="T258" s="176">
        <f t="shared" si="81"/>
        <v>5</v>
      </c>
      <c r="U258" s="251">
        <f t="shared" si="82"/>
        <v>-0.81338146968175606</v>
      </c>
      <c r="V258" s="383">
        <f t="shared" si="83"/>
        <v>48.141107864955131</v>
      </c>
      <c r="W258" s="58"/>
      <c r="X258" s="157">
        <f t="shared" si="84"/>
        <v>43709</v>
      </c>
      <c r="Y258" s="385">
        <f t="shared" si="85"/>
        <v>16.97</v>
      </c>
      <c r="Z258" s="385">
        <f t="shared" si="86"/>
        <v>17.127111657192454</v>
      </c>
      <c r="AA258" s="386">
        <f t="shared" si="87"/>
        <v>18.273551214911642</v>
      </c>
      <c r="AB258" s="197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6.2737644382098445E-2</v>
      </c>
      <c r="AD258" s="231">
        <f>(INDEX(Models!$BJ258:$BT258,,AH258)*(1-AF258)+INDEX(Models!$BJ258:$BT258,,AH258+1)*AF258-ERP_i)*AE258*Ramure*Pc/MaxiM</f>
        <v>2.3611746524943375E-4</v>
      </c>
      <c r="AE258" s="305">
        <f t="shared" si="89"/>
        <v>0.7</v>
      </c>
      <c r="AF258" s="177">
        <f t="shared" si="90"/>
        <v>0.18661853031824394</v>
      </c>
      <c r="AG258" s="176">
        <f t="shared" si="91"/>
        <v>-1</v>
      </c>
      <c r="AH258" s="176">
        <f t="shared" si="92"/>
        <v>5</v>
      </c>
      <c r="AI258" s="225">
        <f t="shared" si="93"/>
        <v>-0.81338146968175606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6">
        <v>46.893000000000001</v>
      </c>
      <c r="C259" s="390"/>
      <c r="D259" s="393">
        <f t="shared" si="75"/>
        <v>47.328246178852382</v>
      </c>
      <c r="E259" s="385">
        <f t="shared" si="97"/>
        <v>50.502706823653547</v>
      </c>
      <c r="F259" s="385">
        <f t="shared" si="76"/>
        <v>50.515118630968004</v>
      </c>
      <c r="G259" s="110">
        <f t="shared" si="98"/>
        <v>0.98032666966694204</v>
      </c>
      <c r="H259" s="414" t="b">
        <f>Wh_hp&gt;='2018'!Maxi_hp</f>
        <v>1</v>
      </c>
      <c r="I259" s="390">
        <f>IF(H259,Wh_hp,'2018'!Maxi_hp)</f>
        <v>50.515118630968004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9.196330183197432E-3</v>
      </c>
      <c r="M259" s="844"/>
      <c r="N259" s="844"/>
      <c r="O259" s="48">
        <f>IF(t&lt;Tnet,'2018'!Resal+('2018'!Salim-'2018'!Resal)*(1-EXP(('2018'!Tnet-t)/('2018'!Tau_j))),Resal+(Salim-Resal)*(1-EXP((Tnet-t)/(Tau_j))))*Salcycl</f>
        <v>6.2857237650366327E-2</v>
      </c>
      <c r="P259" s="169">
        <f>(INDEX(Models!$BJ259:$BT259,,T259)*(1-R259)+INDEX(Models!$BJ259:$BT259,,T259+1)*R259-ERP_i)*Q259*Ramure*Pc/MaxiM</f>
        <v>2.528073786564202E-4</v>
      </c>
      <c r="Q259" s="305">
        <f t="shared" si="78"/>
        <v>0.7</v>
      </c>
      <c r="R259" s="177">
        <f t="shared" si="79"/>
        <v>0.18711822280960932</v>
      </c>
      <c r="S259" s="810">
        <f t="shared" si="80"/>
        <v>-1</v>
      </c>
      <c r="T259" s="176">
        <f t="shared" si="81"/>
        <v>5</v>
      </c>
      <c r="U259" s="251">
        <f t="shared" si="82"/>
        <v>-0.81288177719039068</v>
      </c>
      <c r="V259" s="383">
        <f t="shared" si="83"/>
        <v>47.833715340046787</v>
      </c>
      <c r="W259" s="58"/>
      <c r="X259" s="157">
        <f t="shared" si="84"/>
        <v>43710</v>
      </c>
      <c r="Y259" s="385">
        <f t="shared" si="85"/>
        <v>46.893000000000001</v>
      </c>
      <c r="Z259" s="385">
        <f t="shared" si="86"/>
        <v>47.328246178852382</v>
      </c>
      <c r="AA259" s="386">
        <f t="shared" si="87"/>
        <v>50.502706823653547</v>
      </c>
      <c r="AB259" s="197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6.2857237650366327E-2</v>
      </c>
      <c r="AD259" s="231">
        <f>(INDEX(Models!$BJ259:$BT259,,AH259)*(1-AF259)+INDEX(Models!$BJ259:$BT259,,AH259+1)*AF259-ERP_i)*AE259*Ramure*Pc/MaxiM</f>
        <v>2.528073786564202E-4</v>
      </c>
      <c r="AE259" s="305">
        <f t="shared" si="89"/>
        <v>0.7</v>
      </c>
      <c r="AF259" s="177">
        <f t="shared" si="90"/>
        <v>0.18711822280960932</v>
      </c>
      <c r="AG259" s="176">
        <f t="shared" si="91"/>
        <v>-1</v>
      </c>
      <c r="AH259" s="176">
        <f t="shared" si="92"/>
        <v>5</v>
      </c>
      <c r="AI259" s="225">
        <f t="shared" si="93"/>
        <v>-0.81288177719039068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6">
        <v>47.774000000000001</v>
      </c>
      <c r="C260" s="390"/>
      <c r="D260" s="393">
        <f t="shared" si="75"/>
        <v>48.218545461665443</v>
      </c>
      <c r="E260" s="385">
        <f t="shared" si="97"/>
        <v>51.459261812923579</v>
      </c>
      <c r="F260" s="385">
        <f t="shared" si="76"/>
        <v>51.473181642087233</v>
      </c>
      <c r="G260" s="110">
        <f t="shared" si="98"/>
        <v>1.0053355789470162</v>
      </c>
      <c r="H260" s="414" t="b">
        <f>Wh_hp&gt;='2018'!Maxi_hp</f>
        <v>1</v>
      </c>
      <c r="I260" s="390">
        <f>IF(H260,Wh_hp,'2018'!Maxi_hp)</f>
        <v>51.473181642087233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9.2193876320649792E-3</v>
      </c>
      <c r="M260" s="844"/>
      <c r="N260" s="844"/>
      <c r="O260" s="48">
        <f>IF(t&lt;Tnet,'2018'!Resal+('2018'!Salim-'2018'!Resal)*(1-EXP(('2018'!Tnet-t)/('2018'!Tau_j))),Resal+(Salim-Resal)*(1-EXP((Tnet-t)/(Tau_j))))*Salcycl</f>
        <v>6.2976347446248332E-2</v>
      </c>
      <c r="P260" s="169">
        <f>(INDEX(Models!$BJ260:$BT260,,T260)*(1-R260)+INDEX(Models!$BJ260:$BT260,,T260+1)*R260-ERP_i)*Q260*Ramure*Pc/MaxiM</f>
        <v>2.7042876930453611E-4</v>
      </c>
      <c r="Q260" s="305">
        <f t="shared" si="78"/>
        <v>0.7</v>
      </c>
      <c r="R260" s="177">
        <f t="shared" si="79"/>
        <v>0.18759900847250965</v>
      </c>
      <c r="S260" s="810">
        <f t="shared" si="80"/>
        <v>-1</v>
      </c>
      <c r="T260" s="176">
        <f t="shared" si="81"/>
        <v>5</v>
      </c>
      <c r="U260" s="251">
        <f t="shared" si="82"/>
        <v>-0.81240099152749035</v>
      </c>
      <c r="V260" s="383">
        <f t="shared" si="83"/>
        <v>47.520450882717455</v>
      </c>
      <c r="W260" s="58"/>
      <c r="X260" s="157">
        <f t="shared" si="84"/>
        <v>43711</v>
      </c>
      <c r="Y260" s="385">
        <f t="shared" si="85"/>
        <v>47.774000000000001</v>
      </c>
      <c r="Z260" s="385">
        <f t="shared" si="86"/>
        <v>48.218545461665443</v>
      </c>
      <c r="AA260" s="386">
        <f t="shared" si="87"/>
        <v>51.459261812923579</v>
      </c>
      <c r="AB260" s="197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6.2976347446248332E-2</v>
      </c>
      <c r="AD260" s="231">
        <f>(INDEX(Models!$BJ260:$BT260,,AH260)*(1-AF260)+INDEX(Models!$BJ260:$BT260,,AH260+1)*AF260-ERP_i)*AE260*Ramure*Pc/MaxiM</f>
        <v>2.7042876930453611E-4</v>
      </c>
      <c r="AE260" s="305">
        <f t="shared" si="89"/>
        <v>0.7</v>
      </c>
      <c r="AF260" s="177">
        <f t="shared" si="90"/>
        <v>0.18759900847250965</v>
      </c>
      <c r="AG260" s="176">
        <f t="shared" si="91"/>
        <v>-1</v>
      </c>
      <c r="AH260" s="176">
        <f t="shared" si="92"/>
        <v>5</v>
      </c>
      <c r="AI260" s="225">
        <f t="shared" si="93"/>
        <v>-0.81240099152749035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6">
        <v>47.192</v>
      </c>
      <c r="C261" s="390"/>
      <c r="D261" s="393">
        <f t="shared" si="75"/>
        <v>47.632238321207126</v>
      </c>
      <c r="E261" s="385">
        <f t="shared" si="97"/>
        <v>50.839985137347966</v>
      </c>
      <c r="F261" s="385">
        <f t="shared" si="76"/>
        <v>50.854678643962053</v>
      </c>
      <c r="G261" s="110">
        <f t="shared" si="98"/>
        <v>0.9998147052092059</v>
      </c>
      <c r="H261" s="414" t="b">
        <f>Wh_hp&gt;='2018'!Maxi_hp</f>
        <v>1</v>
      </c>
      <c r="I261" s="390">
        <f>IF(H261,Wh_hp,'2018'!Maxi_hp)</f>
        <v>50.854678643962053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9.2424445443521908E-3</v>
      </c>
      <c r="M261" s="844"/>
      <c r="N261" s="844"/>
      <c r="O261" s="48">
        <f>IF(t&lt;Tnet,'2018'!Resal+('2018'!Salim-'2018'!Resal)*(1-EXP(('2018'!Tnet-t)/('2018'!Tau_j))),Resal+(Salim-Resal)*(1-EXP((Tnet-t)/(Tau_j))))*Salcycl</f>
        <v>6.3094959754116275E-2</v>
      </c>
      <c r="P261" s="169">
        <f>(INDEX(Models!$BJ261:$BT261,,T261)*(1-R261)+INDEX(Models!$BJ261:$BT261,,T261+1)*R261-ERP_i)*Q261*Ramure*Pc/MaxiM</f>
        <v>2.8900773540224602E-4</v>
      </c>
      <c r="Q261" s="305">
        <f t="shared" si="78"/>
        <v>0.7</v>
      </c>
      <c r="R261" s="177">
        <f t="shared" si="79"/>
        <v>0.188061557053121</v>
      </c>
      <c r="S261" s="810">
        <f t="shared" si="80"/>
        <v>-1</v>
      </c>
      <c r="T261" s="176">
        <f t="shared" si="81"/>
        <v>5</v>
      </c>
      <c r="U261" s="251">
        <f t="shared" si="82"/>
        <v>-0.811938442946879</v>
      </c>
      <c r="V261" s="383">
        <f t="shared" si="83"/>
        <v>47.200742441845463</v>
      </c>
      <c r="W261" s="58"/>
      <c r="X261" s="157">
        <f t="shared" si="84"/>
        <v>43712</v>
      </c>
      <c r="Y261" s="385">
        <f t="shared" si="85"/>
        <v>47.192</v>
      </c>
      <c r="Z261" s="385">
        <f t="shared" si="86"/>
        <v>47.632238321207126</v>
      </c>
      <c r="AA261" s="386">
        <f t="shared" si="87"/>
        <v>50.839985137347966</v>
      </c>
      <c r="AB261" s="197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6.3094959754116275E-2</v>
      </c>
      <c r="AD261" s="231">
        <f>(INDEX(Models!$BJ261:$BT261,,AH261)*(1-AF261)+INDEX(Models!$BJ261:$BT261,,AH261+1)*AF261-ERP_i)*AE261*Ramure*Pc/MaxiM</f>
        <v>2.8900773540224602E-4</v>
      </c>
      <c r="AE261" s="305">
        <f t="shared" si="89"/>
        <v>0.7</v>
      </c>
      <c r="AF261" s="177">
        <f t="shared" si="90"/>
        <v>0.188061557053121</v>
      </c>
      <c r="AG261" s="176">
        <f t="shared" si="91"/>
        <v>-1</v>
      </c>
      <c r="AH261" s="176">
        <f t="shared" si="92"/>
        <v>5</v>
      </c>
      <c r="AI261" s="225">
        <f t="shared" si="93"/>
        <v>-0.811938442946879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6">
        <v>36.222999999999999</v>
      </c>
      <c r="C262" s="390"/>
      <c r="D262" s="393">
        <f t="shared" si="75"/>
        <v>36.561763049171525</v>
      </c>
      <c r="E262" s="385">
        <f t="shared" si="97"/>
        <v>39.02889919409305</v>
      </c>
      <c r="F262" s="385">
        <f t="shared" si="76"/>
        <v>39.037025641113097</v>
      </c>
      <c r="G262" s="110">
        <f t="shared" si="98"/>
        <v>0.77268922624666758</v>
      </c>
      <c r="H262" s="414" t="b">
        <f>Wh_hp&gt;='2018'!Maxi_hp</f>
        <v>1</v>
      </c>
      <c r="I262" s="390">
        <f>IF(H262,Wh_hp,'2018'!Maxi_hp)</f>
        <v>39.037025641113097</v>
      </c>
      <c r="J262" s="85">
        <f>IF(H262,An,'2018'!An_max)</f>
        <v>2019</v>
      </c>
      <c r="K262" s="197">
        <f t="shared" si="77"/>
        <v>43713</v>
      </c>
      <c r="L262" s="147">
        <f>IF(t&lt;Tvie,1-EXP((T0-t)*PertePVj)+'2018'!Pspv,1-EXP((T0-t)*PertePVj)+Pspv)</f>
        <v>9.265500920071168E-3</v>
      </c>
      <c r="M262" s="844"/>
      <c r="N262" s="844"/>
      <c r="O262" s="48">
        <f>IF(t&lt;Tnet,'2018'!Resal+('2018'!Salim-'2018'!Resal)*(1-EXP(('2018'!Tnet-t)/('2018'!Tau_j))),Resal+(Salim-Resal)*(1-EXP((Tnet-t)/(Tau_j))))*Salcycl</f>
        <v>6.3213059959808499E-2</v>
      </c>
      <c r="P262" s="169">
        <f>(INDEX(Models!$BJ262:$BT262,,T262)*(1-R262)+INDEX(Models!$BJ262:$BT262,,T262+1)*R262-ERP_i)*Q262*Ramure*Pc/MaxiM</f>
        <v>3.0823026176039591E-4</v>
      </c>
      <c r="Q262" s="305">
        <f t="shared" si="78"/>
        <v>0.7</v>
      </c>
      <c r="R262" s="177">
        <f t="shared" si="79"/>
        <v>0.18850651808733854</v>
      </c>
      <c r="S262" s="810">
        <f t="shared" si="80"/>
        <v>-1</v>
      </c>
      <c r="T262" s="176">
        <f t="shared" si="81"/>
        <v>5</v>
      </c>
      <c r="U262" s="251">
        <f t="shared" si="82"/>
        <v>-0.81149348191266146</v>
      </c>
      <c r="V262" s="383">
        <f t="shared" si="83"/>
        <v>46.874440116016054</v>
      </c>
      <c r="W262" s="58"/>
      <c r="X262" s="157">
        <f t="shared" si="84"/>
        <v>43713</v>
      </c>
      <c r="Y262" s="385">
        <f t="shared" si="85"/>
        <v>36.222999999999999</v>
      </c>
      <c r="Z262" s="385">
        <f t="shared" si="86"/>
        <v>36.561763049171525</v>
      </c>
      <c r="AA262" s="386">
        <f t="shared" si="87"/>
        <v>39.02889919409305</v>
      </c>
      <c r="AB262" s="197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6.3213059959808499E-2</v>
      </c>
      <c r="AD262" s="231">
        <f>(INDEX(Models!$BJ262:$BT262,,AH262)*(1-AF262)+INDEX(Models!$BJ262:$BT262,,AH262+1)*AF262-ERP_i)*AE262*Ramure*Pc/MaxiM</f>
        <v>3.0823026176039591E-4</v>
      </c>
      <c r="AE262" s="305">
        <f t="shared" si="89"/>
        <v>0.7</v>
      </c>
      <c r="AF262" s="177">
        <f t="shared" si="90"/>
        <v>0.18850651808733854</v>
      </c>
      <c r="AG262" s="176">
        <f t="shared" si="91"/>
        <v>-1</v>
      </c>
      <c r="AH262" s="176">
        <f t="shared" si="92"/>
        <v>5</v>
      </c>
      <c r="AI262" s="225">
        <f t="shared" si="93"/>
        <v>-0.81149348191266146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6">
        <v>48.591999999999999</v>
      </c>
      <c r="C263" s="390"/>
      <c r="D263" s="393">
        <f t="shared" si="75"/>
        <v>49.047581242272024</v>
      </c>
      <c r="E263" s="385">
        <f t="shared" si="97"/>
        <v>52.36381476827907</v>
      </c>
      <c r="F263" s="385">
        <f t="shared" si="76"/>
        <v>52.380979169463878</v>
      </c>
      <c r="G263" s="110">
        <f t="shared" si="98"/>
        <v>1.0440468429312522</v>
      </c>
      <c r="H263" s="414" t="b">
        <f>Wh_hp&gt;='2018'!Maxi_hp</f>
        <v>1</v>
      </c>
      <c r="I263" s="390">
        <f>IF(H263,Wh_hp,'2018'!Maxi_hp)</f>
        <v>52.380979169463878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9.2885567592347895E-3</v>
      </c>
      <c r="M263" s="844"/>
      <c r="N263" s="844"/>
      <c r="O263" s="48">
        <f>IF(t&lt;Tnet,'2018'!Resal+('2018'!Salim-'2018'!Resal)*(1-EXP(('2018'!Tnet-t)/('2018'!Tau_j))),Resal+(Salim-Resal)*(1-EXP((Tnet-t)/(Tau_j))))*Salcycl</f>
        <v>6.3330632817377414E-2</v>
      </c>
      <c r="P263" s="169">
        <f>(INDEX(Models!$BJ263:$BT263,,T263)*(1-R263)+INDEX(Models!$BJ263:$BT263,,T263+1)*R263-ERP_i)*Q263*Ramure*Pc/MaxiM</f>
        <v>3.2768385503592059E-4</v>
      </c>
      <c r="Q263" s="305">
        <f t="shared" si="78"/>
        <v>0.7</v>
      </c>
      <c r="R263" s="177">
        <f t="shared" si="79"/>
        <v>0.18893452123264387</v>
      </c>
      <c r="S263" s="810">
        <f t="shared" si="80"/>
        <v>-1</v>
      </c>
      <c r="T263" s="176">
        <f t="shared" si="81"/>
        <v>5</v>
      </c>
      <c r="U263" s="251">
        <f t="shared" si="82"/>
        <v>-0.81106547876735613</v>
      </c>
      <c r="V263" s="383">
        <f t="shared" si="83"/>
        <v>46.54197302448015</v>
      </c>
      <c r="W263" s="58"/>
      <c r="X263" s="157">
        <f t="shared" si="84"/>
        <v>43714</v>
      </c>
      <c r="Y263" s="385">
        <f t="shared" si="85"/>
        <v>48.591999999999999</v>
      </c>
      <c r="Z263" s="385">
        <f t="shared" si="86"/>
        <v>49.047581242272024</v>
      </c>
      <c r="AA263" s="386">
        <f t="shared" si="87"/>
        <v>52.36381476827907</v>
      </c>
      <c r="AB263" s="197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6.3330632817377414E-2</v>
      </c>
      <c r="AD263" s="231">
        <f>(INDEX(Models!$BJ263:$BT263,,AH263)*(1-AF263)+INDEX(Models!$BJ263:$BT263,,AH263+1)*AF263-ERP_i)*AE263*Ramure*Pc/MaxiM</f>
        <v>3.2768385503592059E-4</v>
      </c>
      <c r="AE263" s="305">
        <f t="shared" si="89"/>
        <v>0.7</v>
      </c>
      <c r="AF263" s="177">
        <f t="shared" si="90"/>
        <v>0.18893452123264387</v>
      </c>
      <c r="AG263" s="176">
        <f t="shared" si="91"/>
        <v>-1</v>
      </c>
      <c r="AH263" s="176">
        <f t="shared" si="92"/>
        <v>5</v>
      </c>
      <c r="AI263" s="225">
        <f t="shared" si="93"/>
        <v>-0.81106547876735613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6">
        <v>42.798999999999999</v>
      </c>
      <c r="C264" s="390"/>
      <c r="D264" s="393">
        <f t="shared" si="75"/>
        <v>43.201273499404564</v>
      </c>
      <c r="E264" s="385">
        <f t="shared" si="97"/>
        <v>46.127986409099307</v>
      </c>
      <c r="F264" s="385">
        <f t="shared" si="76"/>
        <v>46.142327737727975</v>
      </c>
      <c r="G264" s="110">
        <f t="shared" si="98"/>
        <v>0.92627620719459691</v>
      </c>
      <c r="H264" s="414" t="b">
        <f>Wh_hp&gt;='2018'!Maxi_hp</f>
        <v>1</v>
      </c>
      <c r="I264" s="390">
        <f>IF(H264,Wh_hp,'2018'!Maxi_hp)</f>
        <v>46.142327737727975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9.3116120618552678E-3</v>
      </c>
      <c r="M264" s="844"/>
      <c r="N264" s="844"/>
      <c r="O264" s="48">
        <f>IF(t&lt;Tnet,'2018'!Resal+('2018'!Salim-'2018'!Resal)*(1-EXP(('2018'!Tnet-t)/('2018'!Tau_j))),Resal+(Salim-Resal)*(1-EXP((Tnet-t)/(Tau_j))))*Salcycl</f>
        <v>6.3447662417742412E-2</v>
      </c>
      <c r="P264" s="169">
        <f>(INDEX(Models!$BJ264:$BT264,,T264)*(1-R264)+INDEX(Models!$BJ264:$BT264,,T264+1)*R264-ERP_i)*Q264*Ramure*Pc/MaxiM</f>
        <v>3.4737496713728845E-4</v>
      </c>
      <c r="Q264" s="305">
        <f t="shared" si="78"/>
        <v>0.7</v>
      </c>
      <c r="R264" s="177">
        <f t="shared" si="79"/>
        <v>0.18934617661907394</v>
      </c>
      <c r="S264" s="810">
        <f t="shared" si="80"/>
        <v>-1</v>
      </c>
      <c r="T264" s="176">
        <f t="shared" si="81"/>
        <v>5</v>
      </c>
      <c r="U264" s="251">
        <f t="shared" si="82"/>
        <v>-0.81065382338092606</v>
      </c>
      <c r="V264" s="383">
        <f t="shared" si="83"/>
        <v>46.203750113514317</v>
      </c>
      <c r="W264" s="58"/>
      <c r="X264" s="157">
        <f t="shared" si="84"/>
        <v>43715</v>
      </c>
      <c r="Y264" s="385">
        <f t="shared" si="85"/>
        <v>42.798999999999999</v>
      </c>
      <c r="Z264" s="385">
        <f t="shared" si="86"/>
        <v>43.201273499404564</v>
      </c>
      <c r="AA264" s="386">
        <f t="shared" si="87"/>
        <v>46.127986409099307</v>
      </c>
      <c r="AB264" s="197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6.3447662417742412E-2</v>
      </c>
      <c r="AD264" s="231">
        <f>(INDEX(Models!$BJ264:$BT264,,AH264)*(1-AF264)+INDEX(Models!$BJ264:$BT264,,AH264+1)*AF264-ERP_i)*AE264*Ramure*Pc/MaxiM</f>
        <v>3.4737496713728845E-4</v>
      </c>
      <c r="AE264" s="305">
        <f t="shared" si="89"/>
        <v>0.7</v>
      </c>
      <c r="AF264" s="177">
        <f t="shared" si="90"/>
        <v>0.18934617661907394</v>
      </c>
      <c r="AG264" s="176">
        <f t="shared" si="91"/>
        <v>-1</v>
      </c>
      <c r="AH264" s="176">
        <f t="shared" si="92"/>
        <v>5</v>
      </c>
      <c r="AI264" s="225">
        <f t="shared" si="93"/>
        <v>-0.81065382338092606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6">
        <v>41.56</v>
      </c>
      <c r="C265" s="390"/>
      <c r="D265" s="393">
        <f t="shared" si="75"/>
        <v>41.951604248558098</v>
      </c>
      <c r="E265" s="385">
        <f t="shared" si="97"/>
        <v>44.799228318045969</v>
      </c>
      <c r="F265" s="385">
        <f t="shared" si="76"/>
        <v>44.813483820108679</v>
      </c>
      <c r="G265" s="110">
        <f t="shared" si="98"/>
        <v>0.90618821018181661</v>
      </c>
      <c r="H265" s="414" t="b">
        <f>Wh_hp&gt;='2018'!Maxi_hp</f>
        <v>1</v>
      </c>
      <c r="I265" s="390">
        <f>IF(H265,Wh_hp,'2018'!Maxi_hp)</f>
        <v>44.813483820108679</v>
      </c>
      <c r="J265" s="85">
        <f>IF(H265,An,'2018'!An_max)</f>
        <v>2019</v>
      </c>
      <c r="K265" s="197">
        <f t="shared" si="77"/>
        <v>43716</v>
      </c>
      <c r="L265" s="147">
        <f>IF(t&lt;Tvie,1-EXP((T0-t)*PertePVj)+'2018'!Pspv,1-EXP((T0-t)*PertePVj)+Pspv)</f>
        <v>9.3346668279451483E-3</v>
      </c>
      <c r="M265" s="844"/>
      <c r="N265" s="844"/>
      <c r="O265" s="48">
        <f>IF(t&lt;Tnet,'2018'!Resal+('2018'!Salim-'2018'!Resal)*(1-EXP(('2018'!Tnet-t)/('2018'!Tau_j))),Resal+(Salim-Resal)*(1-EXP((Tnet-t)/(Tau_j))))*Salcycl</f>
        <v>6.3564132160303252E-2</v>
      </c>
      <c r="P265" s="169">
        <f>(INDEX(Models!$BJ265:$BT265,,T265)*(1-R265)+INDEX(Models!$BJ265:$BT265,,T265+1)*R265-ERP_i)*Q265*Ramure*Pc/MaxiM</f>
        <v>3.673097109819567E-4</v>
      </c>
      <c r="Q265" s="305">
        <f t="shared" si="78"/>
        <v>0.7</v>
      </c>
      <c r="R265" s="177">
        <f t="shared" si="79"/>
        <v>0.18974207521655062</v>
      </c>
      <c r="S265" s="810">
        <f t="shared" si="80"/>
        <v>-1</v>
      </c>
      <c r="T265" s="176">
        <f t="shared" si="81"/>
        <v>5</v>
      </c>
      <c r="U265" s="251">
        <f t="shared" si="82"/>
        <v>-0.81025792478344938</v>
      </c>
      <c r="V265" s="383">
        <f t="shared" si="83"/>
        <v>45.860180076806806</v>
      </c>
      <c r="W265" s="58"/>
      <c r="X265" s="157">
        <f t="shared" si="84"/>
        <v>43716</v>
      </c>
      <c r="Y265" s="385">
        <f t="shared" si="85"/>
        <v>41.56</v>
      </c>
      <c r="Z265" s="385">
        <f t="shared" si="86"/>
        <v>41.951604248558098</v>
      </c>
      <c r="AA265" s="386">
        <f t="shared" si="87"/>
        <v>44.799228318045969</v>
      </c>
      <c r="AB265" s="197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6.3564132160303252E-2</v>
      </c>
      <c r="AD265" s="231">
        <f>(INDEX(Models!$BJ265:$BT265,,AH265)*(1-AF265)+INDEX(Models!$BJ265:$BT265,,AH265+1)*AF265-ERP_i)*AE265*Ramure*Pc/MaxiM</f>
        <v>3.673097109819567E-4</v>
      </c>
      <c r="AE265" s="305">
        <f t="shared" si="89"/>
        <v>0.7</v>
      </c>
      <c r="AF265" s="177">
        <f t="shared" si="90"/>
        <v>0.18974207521655062</v>
      </c>
      <c r="AG265" s="176">
        <f t="shared" si="91"/>
        <v>-1</v>
      </c>
      <c r="AH265" s="176">
        <f t="shared" si="92"/>
        <v>5</v>
      </c>
      <c r="AI265" s="225">
        <f t="shared" si="93"/>
        <v>-0.81025792478344938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6">
        <v>34.628999999999998</v>
      </c>
      <c r="C266" s="390"/>
      <c r="D266" s="393">
        <f t="shared" si="75"/>
        <v>34.956109522164425</v>
      </c>
      <c r="E266" s="385">
        <f t="shared" si="97"/>
        <v>37.333508250778252</v>
      </c>
      <c r="F266" s="385">
        <f t="shared" si="76"/>
        <v>37.34303546369155</v>
      </c>
      <c r="G266" s="110">
        <f t="shared" si="98"/>
        <v>0.76078100546664362</v>
      </c>
      <c r="H266" s="414" t="b">
        <f>Wh_hp&gt;='2018'!Maxi_hp</f>
        <v>1</v>
      </c>
      <c r="I266" s="390">
        <f>IF(H266,Wh_hp,'2018'!Maxi_hp)</f>
        <v>37.34303546369155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9.3577210575169767E-3</v>
      </c>
      <c r="M266" s="844"/>
      <c r="N266" s="844"/>
      <c r="O266" s="48">
        <f>IF(t&lt;Tnet,'2018'!Resal+('2018'!Salim-'2018'!Resal)*(1-EXP(('2018'!Tnet-t)/('2018'!Tau_j))),Resal+(Salim-Resal)*(1-EXP((Tnet-t)/(Tau_j))))*Salcycl</f>
        <v>6.3680024728569762E-2</v>
      </c>
      <c r="P266" s="169">
        <f>(INDEX(Models!$BJ266:$BT266,,T266)*(1-R266)+INDEX(Models!$BJ266:$BT266,,T266+1)*R266-ERP_i)*Q266*Ramure*Pc/MaxiM</f>
        <v>3.8749382458712464E-4</v>
      </c>
      <c r="Q266" s="305">
        <f t="shared" si="78"/>
        <v>0.7</v>
      </c>
      <c r="R266" s="177">
        <f t="shared" si="79"/>
        <v>0.19012278921603476</v>
      </c>
      <c r="S266" s="810">
        <f t="shared" si="80"/>
        <v>-1</v>
      </c>
      <c r="T266" s="176">
        <f t="shared" si="81"/>
        <v>5</v>
      </c>
      <c r="U266" s="251">
        <f t="shared" si="82"/>
        <v>-0.80987721078396524</v>
      </c>
      <c r="V266" s="383">
        <f t="shared" si="83"/>
        <v>45.51167135782319</v>
      </c>
      <c r="W266" s="58"/>
      <c r="X266" s="157">
        <f t="shared" si="84"/>
        <v>43717</v>
      </c>
      <c r="Y266" s="385">
        <f t="shared" si="85"/>
        <v>34.628999999999998</v>
      </c>
      <c r="Z266" s="385">
        <f t="shared" si="86"/>
        <v>34.956109522164425</v>
      </c>
      <c r="AA266" s="386">
        <f t="shared" si="87"/>
        <v>37.333508250778252</v>
      </c>
      <c r="AB266" s="197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6.3680024728569762E-2</v>
      </c>
      <c r="AD266" s="231">
        <f>(INDEX(Models!$BJ266:$BT266,,AH266)*(1-AF266)+INDEX(Models!$BJ266:$BT266,,AH266+1)*AF266-ERP_i)*AE266*Ramure*Pc/MaxiM</f>
        <v>3.8749382458712464E-4</v>
      </c>
      <c r="AE266" s="305">
        <f t="shared" si="89"/>
        <v>0.7</v>
      </c>
      <c r="AF266" s="177">
        <f t="shared" si="90"/>
        <v>0.19012278921603476</v>
      </c>
      <c r="AG266" s="176">
        <f t="shared" si="91"/>
        <v>-1</v>
      </c>
      <c r="AH266" s="176">
        <f t="shared" si="92"/>
        <v>5</v>
      </c>
      <c r="AI266" s="225">
        <f t="shared" si="93"/>
        <v>-0.80987721078396524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6">
        <v>13.079000000000001</v>
      </c>
      <c r="C267" s="390"/>
      <c r="D267" s="393">
        <f t="shared" si="75"/>
        <v>13.202852989963915</v>
      </c>
      <c r="E267" s="385">
        <f t="shared" si="97"/>
        <v>14.102528326570868</v>
      </c>
      <c r="F267" s="385">
        <f t="shared" si="76"/>
        <v>14.102528326570868</v>
      </c>
      <c r="G267" s="110">
        <f t="shared" si="98"/>
        <v>0.28950532875217844</v>
      </c>
      <c r="H267" s="414" t="b">
        <f>Wh_hp&gt;='2018'!Maxi_hp</f>
        <v>1</v>
      </c>
      <c r="I267" s="390">
        <f>IF(H267,Wh_hp,'2018'!Maxi_hp)</f>
        <v>14.102528326570868</v>
      </c>
      <c r="J267" s="85">
        <f>IF(H267,An,'2018'!An_max)</f>
        <v>2019</v>
      </c>
      <c r="K267" s="197">
        <f t="shared" si="77"/>
        <v>43718</v>
      </c>
      <c r="L267" s="147">
        <f>IF(t&lt;Tvie,1-EXP((T0-t)*PertePVj)+'2018'!Pspv,1-EXP((T0-t)*PertePVj)+Pspv)</f>
        <v>9.3807747505831873E-3</v>
      </c>
      <c r="M267" s="844"/>
      <c r="N267" s="844"/>
      <c r="O267" s="48">
        <f>IF(t&lt;Tnet,'2018'!Resal+('2018'!Salim-'2018'!Resal)*(1-EXP(('2018'!Tnet-t)/('2018'!Tau_j))),Resal+(Salim-Resal)*(1-EXP((Tnet-t)/(Tau_j))))*Salcycl</f>
        <v>6.3795322070855531E-2</v>
      </c>
      <c r="P267" s="169">
        <f>(INDEX(Models!$BJ267:$BT267,,T267)*(1-R267)+INDEX(Models!$BJ267:$BT267,,T267+1)*R267-ERP_i)*Q267*Ramure*Pc/MaxiM</f>
        <v>4.0793263194628915E-4</v>
      </c>
      <c r="Q267" s="305">
        <f t="shared" si="78"/>
        <v>0.7</v>
      </c>
      <c r="R267" s="177">
        <f t="shared" si="79"/>
        <v>0.19048887242216672</v>
      </c>
      <c r="S267" s="810">
        <f t="shared" si="80"/>
        <v>-1</v>
      </c>
      <c r="T267" s="176">
        <f t="shared" si="81"/>
        <v>5</v>
      </c>
      <c r="U267" s="251">
        <f t="shared" si="82"/>
        <v>-0.80951112757783328</v>
      </c>
      <c r="V267" s="383">
        <f t="shared" si="83"/>
        <v>45.158632158712557</v>
      </c>
      <c r="W267" s="58"/>
      <c r="X267" s="157">
        <f t="shared" si="84"/>
        <v>43718</v>
      </c>
      <c r="Y267" s="385">
        <f t="shared" si="85"/>
        <v>13.079000000000001</v>
      </c>
      <c r="Z267" s="385">
        <f t="shared" si="86"/>
        <v>13.202852989963915</v>
      </c>
      <c r="AA267" s="386">
        <f t="shared" si="87"/>
        <v>14.102528326570868</v>
      </c>
      <c r="AB267" s="197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6.3795322070855531E-2</v>
      </c>
      <c r="AD267" s="231">
        <f>(INDEX(Models!$BJ267:$BT267,,AH267)*(1-AF267)+INDEX(Models!$BJ267:$BT267,,AH267+1)*AF267-ERP_i)*AE267*Ramure*Pc/MaxiM</f>
        <v>4.0793263194628915E-4</v>
      </c>
      <c r="AE267" s="305">
        <f t="shared" si="89"/>
        <v>0.7</v>
      </c>
      <c r="AF267" s="177">
        <f t="shared" si="90"/>
        <v>0.19048887242216672</v>
      </c>
      <c r="AG267" s="176">
        <f t="shared" si="91"/>
        <v>-1</v>
      </c>
      <c r="AH267" s="176">
        <f t="shared" si="92"/>
        <v>5</v>
      </c>
      <c r="AI267" s="225">
        <f t="shared" si="93"/>
        <v>-0.80951112757783328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6">
        <v>43.749000000000002</v>
      </c>
      <c r="C268" s="390"/>
      <c r="D268" s="393">
        <f t="shared" si="75"/>
        <v>44.164313604777007</v>
      </c>
      <c r="E268" s="385">
        <f t="shared" si="97"/>
        <v>47.179559507030376</v>
      </c>
      <c r="F268" s="385">
        <f t="shared" si="76"/>
        <v>47.199084138700862</v>
      </c>
      <c r="G268" s="110">
        <f t="shared" si="98"/>
        <v>0.97649350742574959</v>
      </c>
      <c r="H268" s="414" t="b">
        <f>Wh_hp&gt;='2018'!Maxi_hp</f>
        <v>1</v>
      </c>
      <c r="I268" s="390">
        <f>IF(H268,Wh_hp,'2018'!Maxi_hp)</f>
        <v>47.199084138700862</v>
      </c>
      <c r="J268" s="85">
        <f>IF(H268,An,'2018'!An_max)</f>
        <v>2019</v>
      </c>
      <c r="K268" s="197">
        <f t="shared" si="77"/>
        <v>43719</v>
      </c>
      <c r="L268" s="147">
        <f>IF(t&lt;Tvie,1-EXP((T0-t)*PertePVj)+'2018'!Pspv,1-EXP((T0-t)*PertePVj)+Pspv)</f>
        <v>9.4038279071563258E-3</v>
      </c>
      <c r="M268" s="844"/>
      <c r="N268" s="844"/>
      <c r="O268" s="48">
        <f>IF(t&lt;Tnet,'2018'!Resal+('2018'!Salim-'2018'!Resal)*(1-EXP(('2018'!Tnet-t)/('2018'!Tau_j))),Resal+(Salim-Resal)*(1-EXP((Tnet-t)/(Tau_j))))*Salcycl</f>
        <v>6.3910005387058724E-2</v>
      </c>
      <c r="P268" s="169">
        <f>(INDEX(Models!$BJ268:$BT268,,T268)*(1-R268)+INDEX(Models!$BJ268:$BT268,,T268+1)*R268-ERP_i)*Q268*Ramure*Pc/MaxiM</f>
        <v>4.2803046041813811E-4</v>
      </c>
      <c r="Q268" s="305">
        <f t="shared" si="78"/>
        <v>0.7</v>
      </c>
      <c r="R268" s="177">
        <f t="shared" si="79"/>
        <v>0.19084086065523609</v>
      </c>
      <c r="S268" s="810">
        <f t="shared" si="80"/>
        <v>-1</v>
      </c>
      <c r="T268" s="176">
        <f t="shared" si="81"/>
        <v>5</v>
      </c>
      <c r="U268" s="251">
        <f t="shared" si="82"/>
        <v>-0.80915913934476391</v>
      </c>
      <c r="V268" s="383">
        <f t="shared" si="83"/>
        <v>44.801497351076762</v>
      </c>
      <c r="W268" s="58"/>
      <c r="X268" s="157">
        <f t="shared" si="84"/>
        <v>43719</v>
      </c>
      <c r="Y268" s="385">
        <f t="shared" si="85"/>
        <v>43.749000000000002</v>
      </c>
      <c r="Z268" s="385">
        <f t="shared" si="86"/>
        <v>44.164313604777007</v>
      </c>
      <c r="AA268" s="386">
        <f t="shared" si="87"/>
        <v>47.179559507030376</v>
      </c>
      <c r="AB268" s="197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6.3910005387058724E-2</v>
      </c>
      <c r="AD268" s="231">
        <f>(INDEX(Models!$BJ268:$BT268,,AH268)*(1-AF268)+INDEX(Models!$BJ268:$BT268,,AH268+1)*AF268-ERP_i)*AE268*Ramure*Pc/MaxiM</f>
        <v>4.2803046041813811E-4</v>
      </c>
      <c r="AE268" s="305">
        <f t="shared" si="89"/>
        <v>0.7</v>
      </c>
      <c r="AF268" s="177">
        <f t="shared" si="90"/>
        <v>0.19084086065523609</v>
      </c>
      <c r="AG268" s="176">
        <f t="shared" si="91"/>
        <v>-1</v>
      </c>
      <c r="AH268" s="176">
        <f t="shared" si="92"/>
        <v>5</v>
      </c>
      <c r="AI268" s="225">
        <f t="shared" si="93"/>
        <v>-0.80915913934476391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6">
        <v>44.042999999999999</v>
      </c>
      <c r="C269" s="390"/>
      <c r="D269" s="393">
        <f t="shared" si="75"/>
        <v>44.462139274930664</v>
      </c>
      <c r="E269" s="385">
        <f t="shared" si="97"/>
        <v>47.503506386321291</v>
      </c>
      <c r="F269" s="385">
        <f t="shared" si="76"/>
        <v>47.524500971153024</v>
      </c>
      <c r="G269" s="110">
        <f t="shared" si="98"/>
        <v>0.99104559899456512</v>
      </c>
      <c r="H269" s="414" t="b">
        <f>Wh_hp&gt;='2018'!Maxi_hp</f>
        <v>1</v>
      </c>
      <c r="I269" s="390">
        <f>IF(H269,Wh_hp,'2018'!Maxi_hp)</f>
        <v>47.524500971153024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9.4268805272487155E-3</v>
      </c>
      <c r="M269" s="844"/>
      <c r="N269" s="844"/>
      <c r="O269" s="48">
        <f>IF(t&lt;Tnet,'2018'!Resal+('2018'!Salim-'2018'!Resal)*(1-EXP(('2018'!Tnet-t)/('2018'!Tau_j))),Resal+(Salim-Resal)*(1-EXP((Tnet-t)/(Tau_j))))*Salcycl</f>
        <v>6.4024055122516105E-2</v>
      </c>
      <c r="P269" s="169">
        <f>(INDEX(Models!$BJ269:$BT269,,T269)*(1-R269)+INDEX(Models!$BJ269:$BT269,,T269+1)*R269-ERP_i)*Q269*Ramure*Pc/MaxiM</f>
        <v>4.4748398359893579E-4</v>
      </c>
      <c r="Q269" s="305">
        <f t="shared" si="78"/>
        <v>0.7</v>
      </c>
      <c r="R269" s="177">
        <f t="shared" si="79"/>
        <v>0.19117927216050568</v>
      </c>
      <c r="S269" s="810">
        <f t="shared" si="80"/>
        <v>-1</v>
      </c>
      <c r="T269" s="176">
        <f t="shared" si="81"/>
        <v>5</v>
      </c>
      <c r="U269" s="251">
        <f t="shared" si="82"/>
        <v>-0.80882072783949432</v>
      </c>
      <c r="V269" s="383">
        <f t="shared" si="83"/>
        <v>44.440687675105828</v>
      </c>
      <c r="W269" s="58"/>
      <c r="X269" s="157">
        <f t="shared" si="84"/>
        <v>43720</v>
      </c>
      <c r="Y269" s="385">
        <f t="shared" si="85"/>
        <v>44.042999999999999</v>
      </c>
      <c r="Z269" s="385">
        <f t="shared" si="86"/>
        <v>44.462139274930664</v>
      </c>
      <c r="AA269" s="386">
        <f t="shared" si="87"/>
        <v>47.503506386321291</v>
      </c>
      <c r="AB269" s="197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6.4024055122516105E-2</v>
      </c>
      <c r="AD269" s="231">
        <f>(INDEX(Models!$BJ269:$BT269,,AH269)*(1-AF269)+INDEX(Models!$BJ269:$BT269,,AH269+1)*AF269-ERP_i)*AE269*Ramure*Pc/MaxiM</f>
        <v>4.4748398359893579E-4</v>
      </c>
      <c r="AE269" s="305">
        <f t="shared" si="89"/>
        <v>0.7</v>
      </c>
      <c r="AF269" s="177">
        <f t="shared" si="90"/>
        <v>0.19117927216050568</v>
      </c>
      <c r="AG269" s="176">
        <f t="shared" si="91"/>
        <v>-1</v>
      </c>
      <c r="AH269" s="176">
        <f t="shared" si="92"/>
        <v>5</v>
      </c>
      <c r="AI269" s="225">
        <f t="shared" si="93"/>
        <v>-0.80882072783949432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6">
        <v>33.142000000000003</v>
      </c>
      <c r="C270" s="390"/>
      <c r="D270" s="393">
        <f t="shared" si="75"/>
        <v>33.45817752287379</v>
      </c>
      <c r="E270" s="385">
        <f t="shared" si="97"/>
        <v>35.751166191603275</v>
      </c>
      <c r="F270" s="385">
        <f t="shared" si="76"/>
        <v>35.761931464172449</v>
      </c>
      <c r="G270" s="110">
        <f t="shared" si="98"/>
        <v>0.75179377990200114</v>
      </c>
      <c r="H270" s="414" t="b">
        <f>Wh_hp&gt;='2018'!Maxi_hp</f>
        <v>1</v>
      </c>
      <c r="I270" s="390">
        <f>IF(H270,Wh_hp,'2018'!Maxi_hp)</f>
        <v>35.761931464172449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9.4499326108731241E-3</v>
      </c>
      <c r="M270" s="844"/>
      <c r="N270" s="844"/>
      <c r="O270" s="48">
        <f>IF(t&lt;Tnet,'2018'!Resal+('2018'!Salim-'2018'!Resal)*(1-EXP(('2018'!Tnet-t)/('2018'!Tau_j))),Resal+(Salim-Resal)*(1-EXP((Tnet-t)/(Tau_j))))*Salcycl</f>
        <v>6.4137450969865992E-2</v>
      </c>
      <c r="P270" s="169">
        <f>(INDEX(Models!$BJ270:$BT270,,T270)*(1-R270)+INDEX(Models!$BJ270:$BT270,,T270+1)*R270-ERP_i)*Q270*Ramure*Pc/MaxiM</f>
        <v>4.6627528438632253E-4</v>
      </c>
      <c r="Q270" s="305">
        <f t="shared" si="78"/>
        <v>0.7</v>
      </c>
      <c r="R270" s="177">
        <f t="shared" si="79"/>
        <v>0.19150460802307367</v>
      </c>
      <c r="S270" s="810">
        <f t="shared" si="80"/>
        <v>-1</v>
      </c>
      <c r="T270" s="176">
        <f t="shared" si="81"/>
        <v>5</v>
      </c>
      <c r="U270" s="251">
        <f t="shared" si="82"/>
        <v>-0.80849539197692633</v>
      </c>
      <c r="V270" s="383">
        <f t="shared" si="83"/>
        <v>44.076610562939202</v>
      </c>
      <c r="W270" s="58"/>
      <c r="X270" s="157">
        <f t="shared" si="84"/>
        <v>43721</v>
      </c>
      <c r="Y270" s="385">
        <f t="shared" si="85"/>
        <v>33.142000000000003</v>
      </c>
      <c r="Z270" s="385">
        <f t="shared" si="86"/>
        <v>33.45817752287379</v>
      </c>
      <c r="AA270" s="386">
        <f t="shared" si="87"/>
        <v>35.751166191603275</v>
      </c>
      <c r="AB270" s="197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6.4137450969865992E-2</v>
      </c>
      <c r="AD270" s="231">
        <f>(INDEX(Models!$BJ270:$BT270,,AH270)*(1-AF270)+INDEX(Models!$BJ270:$BT270,,AH270+1)*AF270-ERP_i)*AE270*Ramure*Pc/MaxiM</f>
        <v>4.6627528438632253E-4</v>
      </c>
      <c r="AE270" s="305">
        <f t="shared" si="89"/>
        <v>0.7</v>
      </c>
      <c r="AF270" s="177">
        <f t="shared" si="90"/>
        <v>0.19150460802307367</v>
      </c>
      <c r="AG270" s="176">
        <f t="shared" si="91"/>
        <v>-1</v>
      </c>
      <c r="AH270" s="176">
        <f t="shared" si="92"/>
        <v>5</v>
      </c>
      <c r="AI270" s="225">
        <f t="shared" si="93"/>
        <v>-0.80849539197692633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6">
        <v>38.313000000000002</v>
      </c>
      <c r="C271" s="390"/>
      <c r="D271" s="393">
        <f t="shared" ref="D271:D334" si="99">Wh/(1-Ppv)</f>
        <v>38.679409432799325</v>
      </c>
      <c r="E271" s="385">
        <f t="shared" si="97"/>
        <v>41.335203352909964</v>
      </c>
      <c r="F271" s="385">
        <f t="shared" ref="F271:F334" si="100">Wh_sa/(1-Pvg*MEDIAN((-Sdif+Wh/Env_an)/Csdif,0,1))</f>
        <v>41.351700575763886</v>
      </c>
      <c r="G271" s="110">
        <f t="shared" si="98"/>
        <v>0.87645874678233138</v>
      </c>
      <c r="H271" s="414" t="b">
        <f>Wh_hp&gt;='2018'!Maxi_hp</f>
        <v>1</v>
      </c>
      <c r="I271" s="390">
        <f>IF(H271,Wh_hp,'2018'!Maxi_hp)</f>
        <v>41.351700575763886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9.472984158041764E-3</v>
      </c>
      <c r="M271" s="844"/>
      <c r="N271" s="844"/>
      <c r="O271" s="48">
        <f>IF(t&lt;Tnet,'2018'!Resal+('2018'!Salim-'2018'!Resal)*(1-EXP(('2018'!Tnet-t)/('2018'!Tau_j))),Resal+(Salim-Resal)*(1-EXP((Tnet-t)/(Tau_j))))*Salcycl</f>
        <v>6.4250171879792525E-2</v>
      </c>
      <c r="P271" s="169">
        <f>(INDEX(Models!$BJ271:$BT271,,T271)*(1-R271)+INDEX(Models!$BJ271:$BT271,,T271+1)*R271-ERP_i)*Q271*Ramure*Pc/MaxiM</f>
        <v>4.843851669105411E-4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0.19181735258662214</v>
      </c>
      <c r="S271" s="810">
        <f t="shared" ref="S271:S334" si="104">INDEX(Echel_vg,T271)</f>
        <v>-1</v>
      </c>
      <c r="T271" s="176">
        <f t="shared" ref="T271:T334" si="105">MIN(MATCH(Hp_vg,Echel_vg),10)</f>
        <v>5</v>
      </c>
      <c r="U271" s="251">
        <f t="shared" ref="U271:U334" si="106">IF(OR(t&lt;Ttai,Notai),Hdd+PousH*Croivg,Hdtf+PousH*(Croivg-Croi_tai))</f>
        <v>-0.80818264741337786</v>
      </c>
      <c r="V271" s="383">
        <f t="shared" ref="V271:V334" si="107">MaxiM*(1-Ppv)*(1-Pvg)*(1-Psa)</f>
        <v>43.709673183587206</v>
      </c>
      <c r="W271" s="58"/>
      <c r="X271" s="157">
        <f t="shared" ref="X271:X334" si="108">t</f>
        <v>43722</v>
      </c>
      <c r="Y271" s="385">
        <f t="shared" ref="Y271:Y334" si="109">Wh_pvt_s*(1-Ppv)</f>
        <v>38.313000000000002</v>
      </c>
      <c r="Z271" s="385">
        <f t="shared" ref="Z271:Z334" si="110">Wh_sa_s*(1-Psa_s)</f>
        <v>38.679409432799325</v>
      </c>
      <c r="AA271" s="386">
        <f t="shared" ref="AA271:AA334" si="111">Wh_hp*(1-Pvg_s*MEDIAN((-Sdif+Wh/Env_an)/Csdif,0,1))</f>
        <v>41.335203352909964</v>
      </c>
      <c r="AB271" s="197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6.4250171879792525E-2</v>
      </c>
      <c r="AD271" s="231">
        <f>(INDEX(Models!$BJ271:$BT271,,AH271)*(1-AF271)+INDEX(Models!$BJ271:$BT271,,AH271+1)*AF271-ERP_i)*AE271*Ramure*Pc/MaxiM</f>
        <v>4.843851669105411E-4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0.19181735258662214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5">
        <f t="shared" ref="AI271:AI334" si="117">IF(OR(t&lt;Ttai,Notai),Hdd_s+PousH*Croivg,Hdtai_s+PousH*(Croivg-Croi_tai))</f>
        <v>-0.80818264741337786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38.335999999999999</v>
      </c>
      <c r="C272" s="390"/>
      <c r="D272" s="393">
        <f t="shared" si="99"/>
        <v>38.703530082821914</v>
      </c>
      <c r="E272" s="385">
        <f t="shared" si="97"/>
        <v>41.365932330574232</v>
      </c>
      <c r="F272" s="385">
        <f t="shared" si="100"/>
        <v>41.38327284992728</v>
      </c>
      <c r="G272" s="110">
        <f t="shared" si="98"/>
        <v>0.88446183102752141</v>
      </c>
      <c r="H272" s="414" t="b">
        <f>Wh_hp&gt;='2018'!Maxi_hp</f>
        <v>1</v>
      </c>
      <c r="I272" s="390">
        <f>IF(H272,Wh_hp,'2018'!Maxi_hp)</f>
        <v>41.38327284992728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9.4960351687671807E-3</v>
      </c>
      <c r="M272" s="844"/>
      <c r="N272" s="844"/>
      <c r="O272" s="48">
        <f>IF(t&lt;Tnet,'2018'!Resal+('2018'!Salim-'2018'!Resal)*(1-EXP(('2018'!Tnet-t)/('2018'!Tau_j))),Resal+(Salim-Resal)*(1-EXP((Tnet-t)/(Tau_j))))*Salcycl</f>
        <v>6.4362196081447762E-2</v>
      </c>
      <c r="P272" s="169">
        <f>(INDEX(Models!$BJ272:$BT272,,T272)*(1-R272)+INDEX(Models!$BJ272:$BT272,,T272+1)*R272-ERP_i)*Q272*Ramure*Pc/MaxiM</f>
        <v>5.0179315157026117E-4</v>
      </c>
      <c r="Q272" s="305">
        <f t="shared" si="102"/>
        <v>0.7</v>
      </c>
      <c r="R272" s="177">
        <f t="shared" si="103"/>
        <v>0.19211797387454066</v>
      </c>
      <c r="S272" s="810">
        <f t="shared" si="104"/>
        <v>-1</v>
      </c>
      <c r="T272" s="176">
        <f t="shared" si="105"/>
        <v>5</v>
      </c>
      <c r="U272" s="251">
        <f t="shared" si="106"/>
        <v>-0.80788202612545934</v>
      </c>
      <c r="V272" s="383">
        <f t="shared" si="107"/>
        <v>43.340282448078824</v>
      </c>
      <c r="W272" s="58"/>
      <c r="X272" s="157">
        <f t="shared" si="108"/>
        <v>43723</v>
      </c>
      <c r="Y272" s="385">
        <f t="shared" si="109"/>
        <v>38.335999999999999</v>
      </c>
      <c r="Z272" s="385">
        <f t="shared" si="110"/>
        <v>38.703530082821914</v>
      </c>
      <c r="AA272" s="386">
        <f t="shared" si="111"/>
        <v>41.365932330574232</v>
      </c>
      <c r="AB272" s="197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6.4362196081447762E-2</v>
      </c>
      <c r="AD272" s="231">
        <f>(INDEX(Models!$BJ272:$BT272,,AH272)*(1-AF272)+INDEX(Models!$BJ272:$BT272,,AH272+1)*AF272-ERP_i)*AE272*Ramure*Pc/MaxiM</f>
        <v>5.0179315157026117E-4</v>
      </c>
      <c r="AE272" s="305">
        <f t="shared" si="113"/>
        <v>0.7</v>
      </c>
      <c r="AF272" s="177">
        <f t="shared" si="114"/>
        <v>0.19211797387454066</v>
      </c>
      <c r="AG272" s="176">
        <f t="shared" si="115"/>
        <v>-1</v>
      </c>
      <c r="AH272" s="176">
        <f t="shared" si="116"/>
        <v>5</v>
      </c>
      <c r="AI272" s="225">
        <f t="shared" si="117"/>
        <v>-0.80788202612545934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6">
        <v>38.030999999999999</v>
      </c>
      <c r="C273" s="390"/>
      <c r="D273" s="393">
        <f t="shared" si="99"/>
        <v>38.396499567779486</v>
      </c>
      <c r="E273" s="385">
        <f t="shared" si="97"/>
        <v>41.042663797840746</v>
      </c>
      <c r="F273" s="385">
        <f t="shared" si="100"/>
        <v>41.060457782799588</v>
      </c>
      <c r="G273" s="110">
        <f t="shared" si="98"/>
        <v>0.88500776576869744</v>
      </c>
      <c r="H273" s="414" t="b">
        <f>Wh_hp&gt;='2018'!Maxi_hp</f>
        <v>1</v>
      </c>
      <c r="I273" s="390">
        <f>IF(H273,Wh_hp,'2018'!Maxi_hp)</f>
        <v>41.060457782799588</v>
      </c>
      <c r="J273" s="85">
        <f>IF(H273,An,'2018'!An_max)</f>
        <v>2019</v>
      </c>
      <c r="K273" s="197">
        <f t="shared" si="101"/>
        <v>43724</v>
      </c>
      <c r="L273" s="147">
        <f>IF(t&lt;Tvie,1-EXP((T0-t)*PertePVj)+'2018'!Pspv,1-EXP((T0-t)*PertePVj)+Pspv)</f>
        <v>9.5190856430620308E-3</v>
      </c>
      <c r="M273" s="844"/>
      <c r="N273" s="844"/>
      <c r="O273" s="48">
        <f>IF(t&lt;Tnet,'2018'!Resal+('2018'!Salim-'2018'!Resal)*(1-EXP(('2018'!Tnet-t)/('2018'!Tau_j))),Resal+(Salim-Resal)*(1-EXP((Tnet-t)/(Tau_j))))*Salcycl</f>
        <v>6.447350111326039E-2</v>
      </c>
      <c r="P273" s="169">
        <f>(INDEX(Models!$BJ273:$BT273,,T273)*(1-R273)+INDEX(Models!$BJ273:$BT273,,T273+1)*R273-ERP_i)*Q273*Ramure*Pc/MaxiM</f>
        <v>5.1847747467911583E-4</v>
      </c>
      <c r="Q273" s="305">
        <f t="shared" si="102"/>
        <v>0.7</v>
      </c>
      <c r="R273" s="177">
        <f t="shared" si="103"/>
        <v>0.19240692401205717</v>
      </c>
      <c r="S273" s="810">
        <f t="shared" si="104"/>
        <v>-1</v>
      </c>
      <c r="T273" s="176">
        <f t="shared" si="105"/>
        <v>5</v>
      </c>
      <c r="U273" s="251">
        <f t="shared" si="106"/>
        <v>-0.80759307598794283</v>
      </c>
      <c r="V273" s="383">
        <f t="shared" si="107"/>
        <v>42.968845006677398</v>
      </c>
      <c r="W273" s="58"/>
      <c r="X273" s="157">
        <f t="shared" si="108"/>
        <v>43724</v>
      </c>
      <c r="Y273" s="385">
        <f t="shared" si="109"/>
        <v>38.030999999999999</v>
      </c>
      <c r="Z273" s="385">
        <f t="shared" si="110"/>
        <v>38.396499567779486</v>
      </c>
      <c r="AA273" s="386">
        <f t="shared" si="111"/>
        <v>41.042663797840746</v>
      </c>
      <c r="AB273" s="197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6.447350111326039E-2</v>
      </c>
      <c r="AD273" s="231">
        <f>(INDEX(Models!$BJ273:$BT273,,AH273)*(1-AF273)+INDEX(Models!$BJ273:$BT273,,AH273+1)*AF273-ERP_i)*AE273*Ramure*Pc/MaxiM</f>
        <v>5.1847747467911583E-4</v>
      </c>
      <c r="AE273" s="305">
        <f t="shared" si="113"/>
        <v>0.7</v>
      </c>
      <c r="AF273" s="177">
        <f t="shared" si="114"/>
        <v>0.19240692401205717</v>
      </c>
      <c r="AG273" s="176">
        <f t="shared" si="115"/>
        <v>-1</v>
      </c>
      <c r="AH273" s="176">
        <f t="shared" si="116"/>
        <v>5</v>
      </c>
      <c r="AI273" s="225">
        <f t="shared" si="117"/>
        <v>-0.80759307598794283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6">
        <v>36.942</v>
      </c>
      <c r="C274" s="390"/>
      <c r="D274" s="393">
        <f t="shared" si="99"/>
        <v>37.297901634278794</v>
      </c>
      <c r="E274" s="385">
        <f t="shared" si="97"/>
        <v>39.873066294313823</v>
      </c>
      <c r="F274" s="385">
        <f t="shared" si="100"/>
        <v>39.890342075480767</v>
      </c>
      <c r="G274" s="110">
        <f t="shared" si="98"/>
        <v>0.86718134947399605</v>
      </c>
      <c r="H274" s="414" t="b">
        <f>Wh_hp&gt;='2018'!Maxi_hp</f>
        <v>1</v>
      </c>
      <c r="I274" s="390">
        <f>IF(H274,Wh_hp,'2018'!Maxi_hp)</f>
        <v>39.890342075480767</v>
      </c>
      <c r="J274" s="85">
        <f>IF(H274,An,'2018'!An_max)</f>
        <v>2019</v>
      </c>
      <c r="K274" s="197">
        <f t="shared" si="101"/>
        <v>43725</v>
      </c>
      <c r="L274" s="147">
        <f>IF(t&lt;Tvie,1-EXP((T0-t)*PertePVj)+'2018'!Pspv,1-EXP((T0-t)*PertePVj)+Pspv)</f>
        <v>9.5421355809385267E-3</v>
      </c>
      <c r="M274" s="844"/>
      <c r="N274" s="844"/>
      <c r="O274" s="48">
        <f>IF(t&lt;Tnet,'2018'!Resal+('2018'!Salim-'2018'!Resal)*(1-EXP(('2018'!Tnet-t)/('2018'!Tau_j))),Resal+(Salim-Resal)*(1-EXP((Tnet-t)/(Tau_j))))*Salcycl</f>
        <v>6.4584063864741331E-2</v>
      </c>
      <c r="P274" s="169">
        <f>(INDEX(Models!$BJ274:$BT274,,T274)*(1-R274)+INDEX(Models!$BJ274:$BT274,,T274+1)*R274-ERP_i)*Q274*Ramure*Pc/MaxiM</f>
        <v>5.3441509336830029E-4</v>
      </c>
      <c r="Q274" s="305">
        <f t="shared" si="102"/>
        <v>0.7</v>
      </c>
      <c r="R274" s="177">
        <f t="shared" si="103"/>
        <v>0.19268463964813576</v>
      </c>
      <c r="S274" s="810">
        <f t="shared" si="104"/>
        <v>-1</v>
      </c>
      <c r="T274" s="176">
        <f t="shared" si="105"/>
        <v>5</v>
      </c>
      <c r="U274" s="251">
        <f t="shared" si="106"/>
        <v>-0.80731536035186424</v>
      </c>
      <c r="V274" s="383">
        <f t="shared" si="107"/>
        <v>42.595767247501826</v>
      </c>
      <c r="W274" s="58"/>
      <c r="X274" s="157">
        <f t="shared" si="108"/>
        <v>43725</v>
      </c>
      <c r="Y274" s="385">
        <f t="shared" si="109"/>
        <v>36.942</v>
      </c>
      <c r="Z274" s="385">
        <f t="shared" si="110"/>
        <v>37.297901634278794</v>
      </c>
      <c r="AA274" s="386">
        <f t="shared" si="111"/>
        <v>39.873066294313823</v>
      </c>
      <c r="AB274" s="197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6.4584063864741331E-2</v>
      </c>
      <c r="AD274" s="231">
        <f>(INDEX(Models!$BJ274:$BT274,,AH274)*(1-AF274)+INDEX(Models!$BJ274:$BT274,,AH274+1)*AF274-ERP_i)*AE274*Ramure*Pc/MaxiM</f>
        <v>5.3441509336830029E-4</v>
      </c>
      <c r="AE274" s="305">
        <f t="shared" si="113"/>
        <v>0.7</v>
      </c>
      <c r="AF274" s="177">
        <f t="shared" si="114"/>
        <v>0.19268463964813576</v>
      </c>
      <c r="AG274" s="176">
        <f t="shared" si="115"/>
        <v>-1</v>
      </c>
      <c r="AH274" s="176">
        <f t="shared" si="116"/>
        <v>5</v>
      </c>
      <c r="AI274" s="225">
        <f t="shared" si="117"/>
        <v>-0.80731536035186424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6">
        <v>25.058</v>
      </c>
      <c r="C275" s="390"/>
      <c r="D275" s="393">
        <f t="shared" si="99"/>
        <v>25.299999172136289</v>
      </c>
      <c r="E275" s="385">
        <f t="shared" si="97"/>
        <v>27.049965895842426</v>
      </c>
      <c r="F275" s="385">
        <f t="shared" si="100"/>
        <v>27.056201716776016</v>
      </c>
      <c r="G275" s="110">
        <f t="shared" si="98"/>
        <v>0.59334534410102624</v>
      </c>
      <c r="H275" s="414" t="b">
        <f>Wh_hp&gt;='2018'!Maxi_hp</f>
        <v>1</v>
      </c>
      <c r="I275" s="390">
        <f>IF(H275,Wh_hp,'2018'!Maxi_hp)</f>
        <v>27.056201716776016</v>
      </c>
      <c r="J275" s="85">
        <f>IF(H275,An,'2018'!An_max)</f>
        <v>2019</v>
      </c>
      <c r="K275" s="197">
        <f t="shared" si="101"/>
        <v>43726</v>
      </c>
      <c r="L275" s="147">
        <f>IF(t&lt;Tvie,1-EXP((T0-t)*PertePVj)+'2018'!Pspv,1-EXP((T0-t)*PertePVj)+Pspv)</f>
        <v>9.5651849824094359E-3</v>
      </c>
      <c r="M275" s="844"/>
      <c r="N275" s="844"/>
      <c r="O275" s="48">
        <f>IF(t&lt;Tnet,'2018'!Resal+('2018'!Salim-'2018'!Resal)*(1-EXP(('2018'!Tnet-t)/('2018'!Tau_j))),Resal+(Salim-Resal)*(1-EXP((Tnet-t)/(Tau_j))))*Salcycl</f>
        <v>6.4693860629787506E-2</v>
      </c>
      <c r="P275" s="169">
        <f>(INDEX(Models!$BJ275:$BT275,,T275)*(1-R275)+INDEX(Models!$BJ275:$BT275,,T275+1)*R275-ERP_i)*Q275*Ramure*Pc/MaxiM</f>
        <v>5.4962342301141187E-4</v>
      </c>
      <c r="Q275" s="305">
        <f t="shared" si="102"/>
        <v>0.7</v>
      </c>
      <c r="R275" s="177">
        <f t="shared" si="103"/>
        <v>0.19295154237602208</v>
      </c>
      <c r="S275" s="810">
        <f t="shared" si="104"/>
        <v>-1</v>
      </c>
      <c r="T275" s="176">
        <f t="shared" si="105"/>
        <v>5</v>
      </c>
      <c r="U275" s="251">
        <f t="shared" si="106"/>
        <v>-0.80704845762397792</v>
      </c>
      <c r="V275" s="383">
        <f t="shared" si="107"/>
        <v>42.218248148319269</v>
      </c>
      <c r="W275" s="58"/>
      <c r="X275" s="157">
        <f t="shared" si="108"/>
        <v>43726</v>
      </c>
      <c r="Y275" s="385">
        <f t="shared" si="109"/>
        <v>25.058</v>
      </c>
      <c r="Z275" s="385">
        <f t="shared" si="110"/>
        <v>25.299999172136289</v>
      </c>
      <c r="AA275" s="386">
        <f t="shared" si="111"/>
        <v>27.049965895842426</v>
      </c>
      <c r="AB275" s="197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6.4693860629787506E-2</v>
      </c>
      <c r="AD275" s="231">
        <f>(INDEX(Models!$BJ275:$BT275,,AH275)*(1-AF275)+INDEX(Models!$BJ275:$BT275,,AH275+1)*AF275-ERP_i)*AE275*Ramure*Pc/MaxiM</f>
        <v>5.4962342301141187E-4</v>
      </c>
      <c r="AE275" s="305">
        <f t="shared" si="113"/>
        <v>0.7</v>
      </c>
      <c r="AF275" s="177">
        <f t="shared" si="114"/>
        <v>0.19295154237602208</v>
      </c>
      <c r="AG275" s="176">
        <f t="shared" si="115"/>
        <v>-1</v>
      </c>
      <c r="AH275" s="176">
        <f t="shared" si="116"/>
        <v>5</v>
      </c>
      <c r="AI275" s="225">
        <f t="shared" si="117"/>
        <v>-0.80704845762397792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6">
        <v>38.212000000000003</v>
      </c>
      <c r="C276" s="390"/>
      <c r="D276" s="393">
        <f t="shared" si="99"/>
        <v>38.581932591979886</v>
      </c>
      <c r="E276" s="385">
        <f t="shared" si="97"/>
        <v>41.255400853619108</v>
      </c>
      <c r="F276" s="385">
        <f t="shared" si="100"/>
        <v>41.27578259779721</v>
      </c>
      <c r="G276" s="110">
        <f t="shared" si="98"/>
        <v>0.91335776880712338</v>
      </c>
      <c r="H276" s="414" t="b">
        <f>Wh_hp&gt;='2018'!Maxi_hp</f>
        <v>1</v>
      </c>
      <c r="I276" s="390">
        <f>IF(H276,Wh_hp,'2018'!Maxi_hp)</f>
        <v>41.27578259779721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9.5882338474869711E-3</v>
      </c>
      <c r="M276" s="844"/>
      <c r="N276" s="844"/>
      <c r="O276" s="48">
        <f>IF(t&lt;Tnet,'2018'!Resal+('2018'!Salim-'2018'!Resal)*(1-EXP(('2018'!Tnet-t)/('2018'!Tau_j))),Resal+(Salim-Resal)*(1-EXP((Tnet-t)/(Tau_j))))*Salcycl</f>
        <v>6.4802867171867382E-2</v>
      </c>
      <c r="P276" s="169">
        <f>(INDEX(Models!$BJ276:$BT276,,T276)*(1-R276)+INDEX(Models!$BJ276:$BT276,,T276+1)*R276-ERP_i)*Q276*Ramure*Pc/MaxiM</f>
        <v>5.6348856108717467E-4</v>
      </c>
      <c r="Q276" s="305">
        <f t="shared" si="102"/>
        <v>0.7</v>
      </c>
      <c r="R276" s="177">
        <f t="shared" si="103"/>
        <v>0.19320803915143137</v>
      </c>
      <c r="S276" s="810">
        <f t="shared" si="104"/>
        <v>-1</v>
      </c>
      <c r="T276" s="176">
        <f t="shared" si="105"/>
        <v>5</v>
      </c>
      <c r="U276" s="251">
        <f t="shared" si="106"/>
        <v>-0.80679196084856863</v>
      </c>
      <c r="V276" s="383">
        <f t="shared" si="107"/>
        <v>41.833919664631814</v>
      </c>
      <c r="W276" s="58"/>
      <c r="X276" s="157">
        <f t="shared" si="108"/>
        <v>43727</v>
      </c>
      <c r="Y276" s="385">
        <f t="shared" si="109"/>
        <v>38.212000000000003</v>
      </c>
      <c r="Z276" s="385">
        <f t="shared" si="110"/>
        <v>38.581932591979886</v>
      </c>
      <c r="AA276" s="386">
        <f t="shared" si="111"/>
        <v>41.255400853619108</v>
      </c>
      <c r="AB276" s="197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6.4802867171867382E-2</v>
      </c>
      <c r="AD276" s="231">
        <f>(INDEX(Models!$BJ276:$BT276,,AH276)*(1-AF276)+INDEX(Models!$BJ276:$BT276,,AH276+1)*AF276-ERP_i)*AE276*Ramure*Pc/MaxiM</f>
        <v>5.6348856108717467E-4</v>
      </c>
      <c r="AE276" s="305">
        <f t="shared" si="113"/>
        <v>0.7</v>
      </c>
      <c r="AF276" s="177">
        <f t="shared" si="114"/>
        <v>0.19320803915143137</v>
      </c>
      <c r="AG276" s="176">
        <f t="shared" si="115"/>
        <v>-1</v>
      </c>
      <c r="AH276" s="176">
        <f t="shared" si="116"/>
        <v>5</v>
      </c>
      <c r="AI276" s="225">
        <f t="shared" si="117"/>
        <v>-0.80679196084856863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6">
        <v>38.837000000000003</v>
      </c>
      <c r="C277" s="390"/>
      <c r="D277" s="393">
        <f t="shared" si="99"/>
        <v>39.21389581793364</v>
      </c>
      <c r="E277" s="385">
        <f t="shared" si="97"/>
        <v>41.936006394928448</v>
      </c>
      <c r="F277" s="385">
        <f t="shared" si="100"/>
        <v>41.958015928812877</v>
      </c>
      <c r="G277" s="110">
        <f t="shared" si="98"/>
        <v>0.93705222484847428</v>
      </c>
      <c r="H277" s="414" t="b">
        <f>Wh_hp&gt;='2018'!Maxi_hp</f>
        <v>1</v>
      </c>
      <c r="I277" s="390">
        <f>IF(H277,Wh_hp,'2018'!Maxi_hp)</f>
        <v>41.958015928812877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9.6112821761837886E-3</v>
      </c>
      <c r="M277" s="844"/>
      <c r="N277" s="844"/>
      <c r="O277" s="48">
        <f>IF(t&lt;Tnet,'2018'!Resal+('2018'!Salim-'2018'!Resal)*(1-EXP(('2018'!Tnet-t)/('2018'!Tau_j))),Resal+(Salim-Resal)*(1-EXP((Tnet-t)/(Tau_j))))*Salcycl</f>
        <v>6.4911058801345747E-2</v>
      </c>
      <c r="P277" s="169">
        <f>(INDEX(Models!$BJ277:$BT277,,T277)*(1-R277)+INDEX(Models!$BJ277:$BT277,,T277+1)*R277-ERP_i)*Q277*Ramure*Pc/MaxiM</f>
        <v>5.7634934512690501E-4</v>
      </c>
      <c r="Q277" s="305">
        <f t="shared" si="102"/>
        <v>0.7</v>
      </c>
      <c r="R277" s="177">
        <f t="shared" si="103"/>
        <v>0.19345452270747832</v>
      </c>
      <c r="S277" s="810">
        <f t="shared" si="104"/>
        <v>-1</v>
      </c>
      <c r="T277" s="176">
        <f t="shared" si="105"/>
        <v>5</v>
      </c>
      <c r="U277" s="251">
        <f t="shared" si="106"/>
        <v>-0.80654547729252168</v>
      </c>
      <c r="V277" s="383">
        <f t="shared" si="107"/>
        <v>41.443781473512402</v>
      </c>
      <c r="W277" s="58"/>
      <c r="X277" s="157">
        <f t="shared" si="108"/>
        <v>43728</v>
      </c>
      <c r="Y277" s="385">
        <f t="shared" si="109"/>
        <v>38.837000000000003</v>
      </c>
      <c r="Z277" s="385">
        <f t="shared" si="110"/>
        <v>39.21389581793364</v>
      </c>
      <c r="AA277" s="386">
        <f t="shared" si="111"/>
        <v>41.936006394928448</v>
      </c>
      <c r="AB277" s="197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6.4911058801345747E-2</v>
      </c>
      <c r="AD277" s="231">
        <f>(INDEX(Models!$BJ277:$BT277,,AH277)*(1-AF277)+INDEX(Models!$BJ277:$BT277,,AH277+1)*AF277-ERP_i)*AE277*Ramure*Pc/MaxiM</f>
        <v>5.7634934512690501E-4</v>
      </c>
      <c r="AE277" s="305">
        <f t="shared" si="113"/>
        <v>0.7</v>
      </c>
      <c r="AF277" s="177">
        <f t="shared" si="114"/>
        <v>0.19345452270747832</v>
      </c>
      <c r="AG277" s="176">
        <f t="shared" si="115"/>
        <v>-1</v>
      </c>
      <c r="AH277" s="176">
        <f t="shared" si="116"/>
        <v>5</v>
      </c>
      <c r="AI277" s="225">
        <f t="shared" si="117"/>
        <v>-0.80654547729252168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6">
        <v>30.623000000000001</v>
      </c>
      <c r="C278" s="390"/>
      <c r="D278" s="393">
        <f t="shared" si="99"/>
        <v>30.920902174472968</v>
      </c>
      <c r="E278" s="385">
        <f t="shared" si="97"/>
        <v>33.071134790850209</v>
      </c>
      <c r="F278" s="385">
        <f t="shared" si="100"/>
        <v>33.083533148486922</v>
      </c>
      <c r="G278" s="110">
        <f t="shared" si="98"/>
        <v>0.74585435215617191</v>
      </c>
      <c r="H278" s="414" t="b">
        <f>Wh_hp&gt;='2018'!Maxi_hp</f>
        <v>1</v>
      </c>
      <c r="I278" s="390">
        <f>IF(H278,Wh_hp,'2018'!Maxi_hp)</f>
        <v>33.083533148486922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9.634329968512434E-3</v>
      </c>
      <c r="M278" s="844"/>
      <c r="N278" s="844"/>
      <c r="O278" s="48">
        <f>IF(t&lt;Tnet,'2018'!Resal+('2018'!Salim-'2018'!Resal)*(1-EXP(('2018'!Tnet-t)/('2018'!Tau_j))),Resal+(Salim-Resal)*(1-EXP((Tnet-t)/(Tau_j))))*Salcycl</f>
        <v>6.5018410465072549E-2</v>
      </c>
      <c r="P278" s="169">
        <f>(INDEX(Models!$BJ278:$BT278,,T278)*(1-R278)+INDEX(Models!$BJ278:$BT278,,T278+1)*R278-ERP_i)*Q278*Ramure*Pc/MaxiM</f>
        <v>5.8816908858130043E-4</v>
      </c>
      <c r="Q278" s="305">
        <f t="shared" si="102"/>
        <v>0.7</v>
      </c>
      <c r="R278" s="177">
        <f t="shared" si="103"/>
        <v>0.19369137196554842</v>
      </c>
      <c r="S278" s="810">
        <f t="shared" si="104"/>
        <v>-1</v>
      </c>
      <c r="T278" s="176">
        <f t="shared" si="105"/>
        <v>5</v>
      </c>
      <c r="U278" s="251">
        <f t="shared" si="106"/>
        <v>-0.80630862803445158</v>
      </c>
      <c r="V278" s="383">
        <f t="shared" si="107"/>
        <v>41.048848491248499</v>
      </c>
      <c r="W278" s="58"/>
      <c r="X278" s="157">
        <f t="shared" si="108"/>
        <v>43729</v>
      </c>
      <c r="Y278" s="385">
        <f t="shared" si="109"/>
        <v>30.623000000000005</v>
      </c>
      <c r="Z278" s="385">
        <f t="shared" si="110"/>
        <v>30.920902174472971</v>
      </c>
      <c r="AA278" s="386">
        <f t="shared" si="111"/>
        <v>33.071134790850209</v>
      </c>
      <c r="AB278" s="197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6.5018410465072549E-2</v>
      </c>
      <c r="AD278" s="231">
        <f>(INDEX(Models!$BJ278:$BT278,,AH278)*(1-AF278)+INDEX(Models!$BJ278:$BT278,,AH278+1)*AF278-ERP_i)*AE278*Ramure*Pc/MaxiM</f>
        <v>5.8816908858130043E-4</v>
      </c>
      <c r="AE278" s="305">
        <f t="shared" si="113"/>
        <v>0.7</v>
      </c>
      <c r="AF278" s="177">
        <f t="shared" si="114"/>
        <v>0.19369137196554842</v>
      </c>
      <c r="AG278" s="176">
        <f t="shared" si="115"/>
        <v>-1</v>
      </c>
      <c r="AH278" s="176">
        <f t="shared" si="116"/>
        <v>5</v>
      </c>
      <c r="AI278" s="225">
        <f t="shared" si="117"/>
        <v>-0.80630862803445158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6">
        <v>8.5210000000000008</v>
      </c>
      <c r="C279" s="390"/>
      <c r="D279" s="393">
        <f t="shared" si="99"/>
        <v>8.6040929715003198</v>
      </c>
      <c r="E279" s="385">
        <f t="shared" si="97"/>
        <v>9.2034678669835621</v>
      </c>
      <c r="F279" s="385">
        <f t="shared" si="100"/>
        <v>9.2034678669835621</v>
      </c>
      <c r="G279" s="110">
        <f t="shared" si="98"/>
        <v>0.20949245812627373</v>
      </c>
      <c r="H279" s="414" t="b">
        <f>Wh_hp&gt;='2018'!Maxi_hp</f>
        <v>1</v>
      </c>
      <c r="I279" s="390">
        <f>IF(H279,Wh_hp,'2018'!Maxi_hp)</f>
        <v>9.2034678669835621</v>
      </c>
      <c r="J279" s="85">
        <f>IF(H279,An,'2018'!An_max)</f>
        <v>2019</v>
      </c>
      <c r="K279" s="197">
        <f t="shared" si="101"/>
        <v>43730</v>
      </c>
      <c r="L279" s="147">
        <f>IF(t&lt;Tvie,1-EXP((T0-t)*PertePVj)+'2018'!Pspv,1-EXP((T0-t)*PertePVj)+Pspv)</f>
        <v>9.6573772244851197E-3</v>
      </c>
      <c r="M279" s="844"/>
      <c r="N279" s="844"/>
      <c r="O279" s="48">
        <f>IF(t&lt;Tnet,'2018'!Resal+('2018'!Salim-'2018'!Resal)*(1-EXP(('2018'!Tnet-t)/('2018'!Tau_j))),Resal+(Salim-Resal)*(1-EXP((Tnet-t)/(Tau_j))))*Salcycl</f>
        <v>6.512489684822334E-2</v>
      </c>
      <c r="P279" s="169">
        <f>(INDEX(Models!$BJ279:$BT279,,T279)*(1-R279)+INDEX(Models!$BJ279:$BT279,,T279+1)*R279-ERP_i)*Q279*Ramure*Pc/MaxiM</f>
        <v>5.9890826867861082E-4</v>
      </c>
      <c r="Q279" s="305">
        <f t="shared" si="102"/>
        <v>0.7</v>
      </c>
      <c r="R279" s="177">
        <f t="shared" si="103"/>
        <v>0.19391895244139656</v>
      </c>
      <c r="S279" s="810">
        <f t="shared" si="104"/>
        <v>-1</v>
      </c>
      <c r="T279" s="176">
        <f t="shared" si="105"/>
        <v>5</v>
      </c>
      <c r="U279" s="251">
        <f t="shared" si="106"/>
        <v>-0.80608104755860344</v>
      </c>
      <c r="V279" s="383">
        <f t="shared" si="107"/>
        <v>40.650134992017442</v>
      </c>
      <c r="W279" s="58"/>
      <c r="X279" s="157">
        <f t="shared" si="108"/>
        <v>43730</v>
      </c>
      <c r="Y279" s="385">
        <f t="shared" si="109"/>
        <v>8.5210000000000008</v>
      </c>
      <c r="Z279" s="385">
        <f t="shared" si="110"/>
        <v>8.6040929715003198</v>
      </c>
      <c r="AA279" s="386">
        <f t="shared" si="111"/>
        <v>9.2034678669835621</v>
      </c>
      <c r="AB279" s="197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6.512489684822334E-2</v>
      </c>
      <c r="AD279" s="231">
        <f>(INDEX(Models!$BJ279:$BT279,,AH279)*(1-AF279)+INDEX(Models!$BJ279:$BT279,,AH279+1)*AF279-ERP_i)*AE279*Ramure*Pc/MaxiM</f>
        <v>5.9890826867861082E-4</v>
      </c>
      <c r="AE279" s="305">
        <f t="shared" si="113"/>
        <v>0.7</v>
      </c>
      <c r="AF279" s="177">
        <f t="shared" si="114"/>
        <v>0.19391895244139656</v>
      </c>
      <c r="AG279" s="176">
        <f t="shared" si="115"/>
        <v>-1</v>
      </c>
      <c r="AH279" s="176">
        <f t="shared" si="116"/>
        <v>5</v>
      </c>
      <c r="AI279" s="225">
        <f t="shared" si="117"/>
        <v>-0.80608104755860344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6">
        <v>36.271000000000001</v>
      </c>
      <c r="C280" s="390"/>
      <c r="D280" s="393">
        <f t="shared" si="99"/>
        <v>36.62555085950676</v>
      </c>
      <c r="E280" s="385">
        <f t="shared" si="97"/>
        <v>39.181370985238118</v>
      </c>
      <c r="F280" s="385">
        <f t="shared" si="100"/>
        <v>39.201858465251448</v>
      </c>
      <c r="G280" s="110">
        <f t="shared" si="98"/>
        <v>0.90109551965150492</v>
      </c>
      <c r="H280" s="414" t="b">
        <f>Wh_hp&gt;='2018'!Maxi_hp</f>
        <v>1</v>
      </c>
      <c r="I280" s="390">
        <f>IF(H280,Wh_hp,'2018'!Maxi_hp)</f>
        <v>39.201858465251448</v>
      </c>
      <c r="J280" s="85">
        <f>IF(H280,An,'2018'!An_max)</f>
        <v>2019</v>
      </c>
      <c r="K280" s="197">
        <f t="shared" si="101"/>
        <v>43731</v>
      </c>
      <c r="L280" s="147">
        <f>IF(t&lt;Tvie,1-EXP((T0-t)*PertePVj)+'2018'!Pspv,1-EXP((T0-t)*PertePVj)+Pspv)</f>
        <v>9.6804239441146134E-3</v>
      </c>
      <c r="M280" s="844"/>
      <c r="N280" s="844"/>
      <c r="O280" s="48">
        <f>IF(t&lt;Tnet,'2018'!Resal+('2018'!Salim-'2018'!Resal)*(1-EXP(('2018'!Tnet-t)/('2018'!Tau_j))),Resal+(Salim-Resal)*(1-EXP((Tnet-t)/(Tau_j))))*Salcycl</f>
        <v>6.5230492488235842E-2</v>
      </c>
      <c r="P280" s="169">
        <f>(INDEX(Models!$BJ280:$BT280,,T280)*(1-R280)+INDEX(Models!$BJ280:$BT280,,T280+1)*R280-ERP_i)*Q280*Ramure*Pc/MaxiM</f>
        <v>6.0852786815920532E-4</v>
      </c>
      <c r="Q280" s="305">
        <f t="shared" si="102"/>
        <v>0.7</v>
      </c>
      <c r="R280" s="177">
        <f t="shared" si="103"/>
        <v>0.19413761664584883</v>
      </c>
      <c r="S280" s="810">
        <f t="shared" si="104"/>
        <v>-1</v>
      </c>
      <c r="T280" s="176">
        <f t="shared" si="105"/>
        <v>5</v>
      </c>
      <c r="U280" s="251">
        <f t="shared" si="106"/>
        <v>-0.80586238335415117</v>
      </c>
      <c r="V280" s="383">
        <f t="shared" si="107"/>
        <v>40.248654481918948</v>
      </c>
      <c r="W280" s="58"/>
      <c r="X280" s="157">
        <f t="shared" si="108"/>
        <v>43731</v>
      </c>
      <c r="Y280" s="385">
        <f t="shared" si="109"/>
        <v>36.271000000000001</v>
      </c>
      <c r="Z280" s="385">
        <f t="shared" si="110"/>
        <v>36.62555085950676</v>
      </c>
      <c r="AA280" s="386">
        <f t="shared" si="111"/>
        <v>39.181370985238118</v>
      </c>
      <c r="AB280" s="197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6.5230492488235842E-2</v>
      </c>
      <c r="AD280" s="231">
        <f>(INDEX(Models!$BJ280:$BT280,,AH280)*(1-AF280)+INDEX(Models!$BJ280:$BT280,,AH280+1)*AF280-ERP_i)*AE280*Ramure*Pc/MaxiM</f>
        <v>6.0852786815920532E-4</v>
      </c>
      <c r="AE280" s="305">
        <f t="shared" si="113"/>
        <v>0.7</v>
      </c>
      <c r="AF280" s="177">
        <f t="shared" si="114"/>
        <v>0.19413761664584883</v>
      </c>
      <c r="AG280" s="176">
        <f t="shared" si="115"/>
        <v>-1</v>
      </c>
      <c r="AH280" s="176">
        <f t="shared" si="116"/>
        <v>5</v>
      </c>
      <c r="AI280" s="225">
        <f t="shared" si="117"/>
        <v>-0.80586238335415117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6">
        <v>25.134</v>
      </c>
      <c r="C281" s="390"/>
      <c r="D281" s="393">
        <f t="shared" si="99"/>
        <v>25.380276757340333</v>
      </c>
      <c r="E281" s="385">
        <f t="shared" si="97"/>
        <v>27.154415138257072</v>
      </c>
      <c r="F281" s="385">
        <f t="shared" si="100"/>
        <v>27.162334548650552</v>
      </c>
      <c r="G281" s="110">
        <f t="shared" si="98"/>
        <v>0.63058234588106177</v>
      </c>
      <c r="H281" s="414" t="b">
        <f>Wh_hp&gt;='2018'!Maxi_hp</f>
        <v>1</v>
      </c>
      <c r="I281" s="390">
        <f>IF(H281,Wh_hp,'2018'!Maxi_hp)</f>
        <v>27.162334548650552</v>
      </c>
      <c r="J281" s="85">
        <f>IF(H281,An,'2018'!An_max)</f>
        <v>2019</v>
      </c>
      <c r="K281" s="197">
        <f t="shared" si="101"/>
        <v>43732</v>
      </c>
      <c r="L281" s="147">
        <f>IF(t&lt;Tvie,1-EXP((T0-t)*PertePVj)+'2018'!Pspv,1-EXP((T0-t)*PertePVj)+Pspv)</f>
        <v>9.7034701274132384E-3</v>
      </c>
      <c r="M281" s="844"/>
      <c r="N281" s="844"/>
      <c r="O281" s="48">
        <f>IF(t&lt;Tnet,'2018'!Resal+('2018'!Salim-'2018'!Resal)*(1-EXP(('2018'!Tnet-t)/('2018'!Tau_j))),Resal+(Salim-Resal)*(1-EXP((Tnet-t)/(Tau_j))))*Salcycl</f>
        <v>6.5335171900543207E-2</v>
      </c>
      <c r="P281" s="169">
        <f>(INDEX(Models!$BJ281:$BT281,,T281)*(1-R281)+INDEX(Models!$BJ281:$BT281,,T281+1)*R281-ERP_i)*Q281*Ramure*Pc/MaxiM</f>
        <v>6.1698480482984958E-4</v>
      </c>
      <c r="Q281" s="305">
        <f t="shared" si="102"/>
        <v>0.7</v>
      </c>
      <c r="R281" s="177">
        <f t="shared" si="103"/>
        <v>0.19434770447955763</v>
      </c>
      <c r="S281" s="810">
        <f t="shared" si="104"/>
        <v>-1</v>
      </c>
      <c r="T281" s="176">
        <f t="shared" si="105"/>
        <v>5</v>
      </c>
      <c r="U281" s="251">
        <f t="shared" si="106"/>
        <v>-0.80565229552044237</v>
      </c>
      <c r="V281" s="383">
        <f t="shared" si="107"/>
        <v>39.845419895999491</v>
      </c>
      <c r="W281" s="58"/>
      <c r="X281" s="157">
        <f t="shared" si="108"/>
        <v>43732</v>
      </c>
      <c r="Y281" s="385">
        <f t="shared" si="109"/>
        <v>25.134</v>
      </c>
      <c r="Z281" s="385">
        <f t="shared" si="110"/>
        <v>25.380276757340333</v>
      </c>
      <c r="AA281" s="386">
        <f t="shared" si="111"/>
        <v>27.154415138257072</v>
      </c>
      <c r="AB281" s="197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6.5335171900543207E-2</v>
      </c>
      <c r="AD281" s="231">
        <f>(INDEX(Models!$BJ281:$BT281,,AH281)*(1-AF281)+INDEX(Models!$BJ281:$BT281,,AH281+1)*AF281-ERP_i)*AE281*Ramure*Pc/MaxiM</f>
        <v>6.1698480482984958E-4</v>
      </c>
      <c r="AE281" s="305">
        <f t="shared" si="113"/>
        <v>0.7</v>
      </c>
      <c r="AF281" s="177">
        <f t="shared" si="114"/>
        <v>0.19434770447955763</v>
      </c>
      <c r="AG281" s="176">
        <f t="shared" si="115"/>
        <v>-1</v>
      </c>
      <c r="AH281" s="176">
        <f t="shared" si="116"/>
        <v>5</v>
      </c>
      <c r="AI281" s="225">
        <f t="shared" si="117"/>
        <v>-0.80565229552044237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6">
        <v>28.286999999999999</v>
      </c>
      <c r="C282" s="390"/>
      <c r="D282" s="393">
        <f t="shared" si="99"/>
        <v>28.56483633116807</v>
      </c>
      <c r="E282" s="385">
        <f t="shared" si="97"/>
        <v>30.564974968599671</v>
      </c>
      <c r="F282" s="385">
        <f t="shared" si="100"/>
        <v>30.576343805576883</v>
      </c>
      <c r="G282" s="110">
        <f t="shared" si="98"/>
        <v>0.71700867746726415</v>
      </c>
      <c r="H282" s="414" t="b">
        <f>Wh_hp&gt;='2018'!Maxi_hp</f>
        <v>1</v>
      </c>
      <c r="I282" s="390">
        <f>IF(H282,Wh_hp,'2018'!Maxi_hp)</f>
        <v>30.576343805576883</v>
      </c>
      <c r="J282" s="85">
        <f>IF(H282,An,'2018'!An_max)</f>
        <v>2019</v>
      </c>
      <c r="K282" s="197">
        <f t="shared" si="101"/>
        <v>43733</v>
      </c>
      <c r="L282" s="147">
        <f>IF(t&lt;Tvie,1-EXP((T0-t)*PertePVj)+'2018'!Pspv,1-EXP((T0-t)*PertePVj)+Pspv)</f>
        <v>9.7265157743934294E-3</v>
      </c>
      <c r="M282" s="844"/>
      <c r="N282" s="844"/>
      <c r="O282" s="48">
        <f>IF(t&lt;Tnet,'2018'!Resal+('2018'!Salim-'2018'!Resal)*(1-EXP(('2018'!Tnet-t)/('2018'!Tau_j))),Resal+(Salim-Resal)*(1-EXP((Tnet-t)/(Tau_j))))*Salcycl</f>
        <v>6.5438909715659924E-2</v>
      </c>
      <c r="P282" s="169">
        <f>(INDEX(Models!$BJ282:$BT282,,T282)*(1-R282)+INDEX(Models!$BJ282:$BT282,,T282+1)*R282-ERP_i)*Q282*Ramure*Pc/MaxiM</f>
        <v>6.23871492495259E-4</v>
      </c>
      <c r="Q282" s="305">
        <f t="shared" si="102"/>
        <v>0.7</v>
      </c>
      <c r="R282" s="177">
        <f t="shared" si="103"/>
        <v>0.19454954362133225</v>
      </c>
      <c r="S282" s="810">
        <f t="shared" si="104"/>
        <v>-1</v>
      </c>
      <c r="T282" s="176">
        <f t="shared" si="105"/>
        <v>5</v>
      </c>
      <c r="U282" s="251">
        <f t="shared" si="106"/>
        <v>-0.80545045637866775</v>
      </c>
      <c r="V282" s="383">
        <f t="shared" si="107"/>
        <v>39.441457825298727</v>
      </c>
      <c r="W282" s="58"/>
      <c r="X282" s="157">
        <f t="shared" si="108"/>
        <v>43733</v>
      </c>
      <c r="Y282" s="385">
        <f t="shared" si="109"/>
        <v>28.286999999999999</v>
      </c>
      <c r="Z282" s="385">
        <f t="shared" si="110"/>
        <v>28.56483633116807</v>
      </c>
      <c r="AA282" s="386">
        <f t="shared" si="111"/>
        <v>30.564974968599671</v>
      </c>
      <c r="AB282" s="197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6.5438909715659924E-2</v>
      </c>
      <c r="AD282" s="231">
        <f>(INDEX(Models!$BJ282:$BT282,,AH282)*(1-AF282)+INDEX(Models!$BJ282:$BT282,,AH282+1)*AF282-ERP_i)*AE282*Ramure*Pc/MaxiM</f>
        <v>6.23871492495259E-4</v>
      </c>
      <c r="AE282" s="305">
        <f t="shared" si="113"/>
        <v>0.7</v>
      </c>
      <c r="AF282" s="177">
        <f t="shared" si="114"/>
        <v>0.19454954362133225</v>
      </c>
      <c r="AG282" s="176">
        <f t="shared" si="115"/>
        <v>-1</v>
      </c>
      <c r="AH282" s="176">
        <f t="shared" si="116"/>
        <v>5</v>
      </c>
      <c r="AI282" s="225">
        <f t="shared" si="117"/>
        <v>-0.80545045637866775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6">
        <v>32.619999999999997</v>
      </c>
      <c r="C283" s="390"/>
      <c r="D283" s="393">
        <f t="shared" si="99"/>
        <v>32.94116186321024</v>
      </c>
      <c r="E283" s="385">
        <f t="shared" si="97"/>
        <v>35.251611749108683</v>
      </c>
      <c r="F283" s="385">
        <f t="shared" si="100"/>
        <v>35.268607565700499</v>
      </c>
      <c r="G283" s="110">
        <f t="shared" si="98"/>
        <v>0.83547770922256115</v>
      </c>
      <c r="H283" s="414" t="b">
        <f>Wh_hp&gt;='2018'!Maxi_hp</f>
        <v>1</v>
      </c>
      <c r="I283" s="390">
        <f>IF(H283,Wh_hp,'2018'!Maxi_hp)</f>
        <v>35.268607565700499</v>
      </c>
      <c r="J283" s="85">
        <f>IF(H283,An,'2018'!An_max)</f>
        <v>2019</v>
      </c>
      <c r="K283" s="197">
        <f t="shared" si="101"/>
        <v>43734</v>
      </c>
      <c r="L283" s="147">
        <f>IF(t&lt;Tvie,1-EXP((T0-t)*PertePVj)+'2018'!Pspv,1-EXP((T0-t)*PertePVj)+Pspv)</f>
        <v>9.7495608850678428E-3</v>
      </c>
      <c r="M283" s="844"/>
      <c r="N283" s="844"/>
      <c r="O283" s="48">
        <f>IF(t&lt;Tnet,'2018'!Resal+('2018'!Salim-'2018'!Resal)*(1-EXP(('2018'!Tnet-t)/('2018'!Tau_j))),Resal+(Salim-Resal)*(1-EXP((Tnet-t)/(Tau_j))))*Salcycl</f>
        <v>6.5541680827029491E-2</v>
      </c>
      <c r="P283" s="169">
        <f>(INDEX(Models!$BJ283:$BT283,,T283)*(1-R283)+INDEX(Models!$BJ283:$BT283,,T283+1)*R283-ERP_i)*Q283*Ramure*Pc/MaxiM</f>
        <v>6.2981077437047255E-4</v>
      </c>
      <c r="Q283" s="305">
        <f t="shared" si="102"/>
        <v>0.7</v>
      </c>
      <c r="R283" s="177">
        <f t="shared" si="103"/>
        <v>0.19474344990963455</v>
      </c>
      <c r="S283" s="810">
        <f t="shared" si="104"/>
        <v>-1</v>
      </c>
      <c r="T283" s="176">
        <f t="shared" si="105"/>
        <v>5</v>
      </c>
      <c r="U283" s="251">
        <f t="shared" si="106"/>
        <v>-0.80525655009036545</v>
      </c>
      <c r="V283" s="383">
        <f t="shared" si="107"/>
        <v>39.03775330960962</v>
      </c>
      <c r="W283" s="58"/>
      <c r="X283" s="157">
        <f t="shared" si="108"/>
        <v>43734</v>
      </c>
      <c r="Y283" s="385">
        <f t="shared" si="109"/>
        <v>32.619999999999997</v>
      </c>
      <c r="Z283" s="385">
        <f t="shared" si="110"/>
        <v>32.94116186321024</v>
      </c>
      <c r="AA283" s="386">
        <f t="shared" si="111"/>
        <v>35.251611749108683</v>
      </c>
      <c r="AB283" s="197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6.5541680827029491E-2</v>
      </c>
      <c r="AD283" s="231">
        <f>(INDEX(Models!$BJ283:$BT283,,AH283)*(1-AF283)+INDEX(Models!$BJ283:$BT283,,AH283+1)*AF283-ERP_i)*AE283*Ramure*Pc/MaxiM</f>
        <v>6.2981077437047255E-4</v>
      </c>
      <c r="AE283" s="305">
        <f t="shared" si="113"/>
        <v>0.7</v>
      </c>
      <c r="AF283" s="177">
        <f t="shared" si="114"/>
        <v>0.19474344990963455</v>
      </c>
      <c r="AG283" s="176">
        <f t="shared" si="115"/>
        <v>-1</v>
      </c>
      <c r="AH283" s="176">
        <f t="shared" si="116"/>
        <v>5</v>
      </c>
      <c r="AI283" s="225">
        <f t="shared" si="117"/>
        <v>-0.80525655009036545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6">
        <v>31.369</v>
      </c>
      <c r="C284" s="390"/>
      <c r="D284" s="393">
        <f t="shared" si="99"/>
        <v>31.678582286197692</v>
      </c>
      <c r="E284" s="385">
        <f t="shared" si="97"/>
        <v>33.904169285107997</v>
      </c>
      <c r="F284" s="385">
        <f t="shared" si="100"/>
        <v>33.919915372274694</v>
      </c>
      <c r="G284" s="110">
        <f t="shared" si="98"/>
        <v>0.81178697828845148</v>
      </c>
      <c r="H284" s="414" t="b">
        <f>Wh_hp&gt;='2018'!Maxi_hp</f>
        <v>1</v>
      </c>
      <c r="I284" s="390">
        <f>IF(H284,Wh_hp,'2018'!Maxi_hp)</f>
        <v>33.919915372274694</v>
      </c>
      <c r="J284" s="85">
        <f>IF(H284,An,'2018'!An_max)</f>
        <v>2019</v>
      </c>
      <c r="K284" s="197">
        <f t="shared" si="101"/>
        <v>43735</v>
      </c>
      <c r="L284" s="147">
        <f>IF(t&lt;Tvie,1-EXP((T0-t)*PertePVj)+'2018'!Pspv,1-EXP((T0-t)*PertePVj)+Pspv)</f>
        <v>9.7726054594488021E-3</v>
      </c>
      <c r="M284" s="844"/>
      <c r="N284" s="844"/>
      <c r="O284" s="48">
        <f>IF(t&lt;Tnet,'2018'!Resal+('2018'!Salim-'2018'!Resal)*(1-EXP(('2018'!Tnet-t)/('2018'!Tau_j))),Resal+(Salim-Resal)*(1-EXP((Tnet-t)/(Tau_j))))*Salcycl</f>
        <v>6.5643460548902716E-2</v>
      </c>
      <c r="P284" s="169">
        <f>(INDEX(Models!$BJ284:$BT284,,T284)*(1-R284)+INDEX(Models!$BJ284:$BT284,,T284+1)*R284-ERP_i)*Q284*Ramure*Pc/MaxiM</f>
        <v>6.3475942344459638E-4</v>
      </c>
      <c r="Q284" s="305">
        <f t="shared" si="102"/>
        <v>0.7</v>
      </c>
      <c r="R284" s="177">
        <f t="shared" si="103"/>
        <v>0.19492972771688999</v>
      </c>
      <c r="S284" s="810">
        <f t="shared" si="104"/>
        <v>-1</v>
      </c>
      <c r="T284" s="176">
        <f t="shared" si="105"/>
        <v>5</v>
      </c>
      <c r="U284" s="251">
        <f t="shared" si="106"/>
        <v>-0.80507027228311001</v>
      </c>
      <c r="V284" s="383">
        <f t="shared" si="107"/>
        <v>38.635317519650009</v>
      </c>
      <c r="W284" s="58"/>
      <c r="X284" s="157">
        <f t="shared" si="108"/>
        <v>43735</v>
      </c>
      <c r="Y284" s="385">
        <f t="shared" si="109"/>
        <v>31.369</v>
      </c>
      <c r="Z284" s="385">
        <f t="shared" si="110"/>
        <v>31.678582286197692</v>
      </c>
      <c r="AA284" s="386">
        <f t="shared" si="111"/>
        <v>33.904169285107997</v>
      </c>
      <c r="AB284" s="197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6.5643460548902716E-2</v>
      </c>
      <c r="AD284" s="231">
        <f>(INDEX(Models!$BJ284:$BT284,,AH284)*(1-AF284)+INDEX(Models!$BJ284:$BT284,,AH284+1)*AF284-ERP_i)*AE284*Ramure*Pc/MaxiM</f>
        <v>6.3475942344459638E-4</v>
      </c>
      <c r="AE284" s="305">
        <f t="shared" si="113"/>
        <v>0.7</v>
      </c>
      <c r="AF284" s="177">
        <f t="shared" si="114"/>
        <v>0.19492972771688999</v>
      </c>
      <c r="AG284" s="176">
        <f t="shared" si="115"/>
        <v>-1</v>
      </c>
      <c r="AH284" s="176">
        <f t="shared" si="116"/>
        <v>5</v>
      </c>
      <c r="AI284" s="225">
        <f t="shared" si="117"/>
        <v>-0.80507027228311001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6">
        <v>33.121000000000002</v>
      </c>
      <c r="C285" s="390"/>
      <c r="D285" s="393">
        <f t="shared" si="99"/>
        <v>33.448651263947376</v>
      </c>
      <c r="E285" s="385">
        <f t="shared" si="97"/>
        <v>35.802455977531032</v>
      </c>
      <c r="F285" s="385">
        <f t="shared" si="100"/>
        <v>35.820962356484351</v>
      </c>
      <c r="G285" s="110">
        <f t="shared" si="98"/>
        <v>0.86613878550637202</v>
      </c>
      <c r="H285" s="414" t="b">
        <f>Wh_hp&gt;='2018'!Maxi_hp</f>
        <v>1</v>
      </c>
      <c r="I285" s="390">
        <f>IF(H285,Wh_hp,'2018'!Maxi_hp)</f>
        <v>35.820962356484351</v>
      </c>
      <c r="J285" s="85">
        <f>IF(H285,An,'2018'!An_max)</f>
        <v>2019</v>
      </c>
      <c r="K285" s="197">
        <f t="shared" si="101"/>
        <v>43736</v>
      </c>
      <c r="L285" s="147">
        <f>IF(t&lt;Tvie,1-EXP((T0-t)*PertePVj)+'2018'!Pspv,1-EXP((T0-t)*PertePVj)+Pspv)</f>
        <v>9.7956494975488528E-3</v>
      </c>
      <c r="M285" s="844"/>
      <c r="N285" s="844"/>
      <c r="O285" s="48">
        <f>IF(t&lt;Tnet,'2018'!Resal+('2018'!Salim-'2018'!Resal)*(1-EXP(('2018'!Tnet-t)/('2018'!Tau_j))),Resal+(Salim-Resal)*(1-EXP((Tnet-t)/(Tau_j))))*Salcycl</f>
        <v>6.5744224783374008E-2</v>
      </c>
      <c r="P285" s="169">
        <f>(INDEX(Models!$BJ285:$BT285,,T285)*(1-R285)+INDEX(Models!$BJ285:$BT285,,T285+1)*R285-ERP_i)*Q285*Ramure*Pc/MaxiM</f>
        <v>6.3867248058324666E-4</v>
      </c>
      <c r="Q285" s="305">
        <f t="shared" si="102"/>
        <v>0.7</v>
      </c>
      <c r="R285" s="177">
        <f t="shared" si="103"/>
        <v>0.19510867031631929</v>
      </c>
      <c r="S285" s="810">
        <f t="shared" si="104"/>
        <v>-1</v>
      </c>
      <c r="T285" s="176">
        <f t="shared" si="105"/>
        <v>5</v>
      </c>
      <c r="U285" s="251">
        <f t="shared" si="106"/>
        <v>-0.80489132968368071</v>
      </c>
      <c r="V285" s="383">
        <f t="shared" si="107"/>
        <v>38.235161011506612</v>
      </c>
      <c r="W285" s="58"/>
      <c r="X285" s="157">
        <f t="shared" si="108"/>
        <v>43736</v>
      </c>
      <c r="Y285" s="385">
        <f t="shared" si="109"/>
        <v>33.121000000000002</v>
      </c>
      <c r="Z285" s="385">
        <f t="shared" si="110"/>
        <v>33.448651263947376</v>
      </c>
      <c r="AA285" s="386">
        <f t="shared" si="111"/>
        <v>35.802455977531032</v>
      </c>
      <c r="AB285" s="197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6.5744224783374008E-2</v>
      </c>
      <c r="AD285" s="231">
        <f>(INDEX(Models!$BJ285:$BT285,,AH285)*(1-AF285)+INDEX(Models!$BJ285:$BT285,,AH285+1)*AF285-ERP_i)*AE285*Ramure*Pc/MaxiM</f>
        <v>6.3867248058324666E-4</v>
      </c>
      <c r="AE285" s="305">
        <f t="shared" si="113"/>
        <v>0.7</v>
      </c>
      <c r="AF285" s="177">
        <f t="shared" si="114"/>
        <v>0.19510867031631929</v>
      </c>
      <c r="AG285" s="176">
        <f t="shared" si="115"/>
        <v>-1</v>
      </c>
      <c r="AH285" s="176">
        <f t="shared" si="116"/>
        <v>5</v>
      </c>
      <c r="AI285" s="225">
        <f t="shared" si="117"/>
        <v>-0.80489132968368071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6">
        <v>36.460999999999999</v>
      </c>
      <c r="C286" s="390"/>
      <c r="D286" s="393">
        <f t="shared" si="99"/>
        <v>36.822549307100978</v>
      </c>
      <c r="E286" s="385">
        <f t="shared" si="97"/>
        <v>39.417985158700212</v>
      </c>
      <c r="F286" s="385">
        <f t="shared" si="100"/>
        <v>39.441971628235159</v>
      </c>
      <c r="G286" s="110">
        <f t="shared" si="98"/>
        <v>0.96356836978649507</v>
      </c>
      <c r="H286" s="414" t="b">
        <f>Wh_hp&gt;='2018'!Maxi_hp</f>
        <v>1</v>
      </c>
      <c r="I286" s="390">
        <f>IF(H286,Wh_hp,'2018'!Maxi_hp)</f>
        <v>39.441971628235159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9.8186929993805405E-3</v>
      </c>
      <c r="M286" s="844"/>
      <c r="N286" s="844"/>
      <c r="O286" s="48">
        <f>IF(t&lt;Tnet,'2018'!Resal+('2018'!Salim-'2018'!Resal)*(1-EXP(('2018'!Tnet-t)/('2018'!Tau_j))),Resal+(Salim-Resal)*(1-EXP((Tnet-t)/(Tau_j))))*Salcycl</f>
        <v>6.5843950195571516E-2</v>
      </c>
      <c r="P286" s="169">
        <f>(INDEX(Models!$BJ286:$BT286,,T286)*(1-R286)+INDEX(Models!$BJ286:$BT286,,T286+1)*R286-ERP_i)*Q286*Ramure*Pc/MaxiM</f>
        <v>6.4150349723536755E-4</v>
      </c>
      <c r="Q286" s="305">
        <f t="shared" si="102"/>
        <v>0.7</v>
      </c>
      <c r="R286" s="177">
        <f t="shared" si="103"/>
        <v>0.19528056024104745</v>
      </c>
      <c r="S286" s="810">
        <f t="shared" si="104"/>
        <v>-1</v>
      </c>
      <c r="T286" s="176">
        <f t="shared" si="105"/>
        <v>5</v>
      </c>
      <c r="U286" s="251">
        <f t="shared" si="106"/>
        <v>-0.80471943975895255</v>
      </c>
      <c r="V286" s="383">
        <f t="shared" si="107"/>
        <v>37.8382937301106</v>
      </c>
      <c r="W286" s="58"/>
      <c r="X286" s="157">
        <f t="shared" si="108"/>
        <v>43737</v>
      </c>
      <c r="Y286" s="385">
        <f t="shared" si="109"/>
        <v>36.460999999999999</v>
      </c>
      <c r="Z286" s="385">
        <f t="shared" si="110"/>
        <v>36.822549307100978</v>
      </c>
      <c r="AA286" s="386">
        <f t="shared" si="111"/>
        <v>39.417985158700212</v>
      </c>
      <c r="AB286" s="197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6.5843950195571516E-2</v>
      </c>
      <c r="AD286" s="231">
        <f>(INDEX(Models!$BJ286:$BT286,,AH286)*(1-AF286)+INDEX(Models!$BJ286:$BT286,,AH286+1)*AF286-ERP_i)*AE286*Ramure*Pc/MaxiM</f>
        <v>6.4150349723536755E-4</v>
      </c>
      <c r="AE286" s="305">
        <f t="shared" si="113"/>
        <v>0.7</v>
      </c>
      <c r="AF286" s="177">
        <f t="shared" si="114"/>
        <v>0.19528056024104745</v>
      </c>
      <c r="AG286" s="176">
        <f t="shared" si="115"/>
        <v>-1</v>
      </c>
      <c r="AH286" s="176">
        <f t="shared" si="116"/>
        <v>5</v>
      </c>
      <c r="AI286" s="225">
        <f t="shared" si="117"/>
        <v>-0.80471943975895255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6">
        <v>25.702999999999999</v>
      </c>
      <c r="C287" s="390"/>
      <c r="D287" s="393">
        <f t="shared" si="99"/>
        <v>25.958476471484882</v>
      </c>
      <c r="E287" s="385">
        <f t="shared" si="97"/>
        <v>27.79109385736017</v>
      </c>
      <c r="F287" s="385">
        <f t="shared" si="100"/>
        <v>27.800964737265282</v>
      </c>
      <c r="G287" s="110">
        <f t="shared" si="98"/>
        <v>0.68620893442129394</v>
      </c>
      <c r="H287" s="414" t="b">
        <f>Wh_hp&gt;='2018'!Maxi_hp</f>
        <v>1</v>
      </c>
      <c r="I287" s="390">
        <f>IF(H287,Wh_hp,'2018'!Maxi_hp)</f>
        <v>27.800964737265282</v>
      </c>
      <c r="J287" s="85">
        <f>IF(H287,An,'2018'!An_max)</f>
        <v>2019</v>
      </c>
      <c r="K287" s="197">
        <f t="shared" si="101"/>
        <v>43738</v>
      </c>
      <c r="L287" s="147">
        <f>IF(t&lt;Tvie,1-EXP((T0-t)*PertePVj)+'2018'!Pspv,1-EXP((T0-t)*PertePVj)+Pspv)</f>
        <v>9.8417359649561886E-3</v>
      </c>
      <c r="M287" s="844"/>
      <c r="N287" s="844"/>
      <c r="O287" s="48">
        <f>IF(t&lt;Tnet,'2018'!Resal+('2018'!Salim-'2018'!Resal)*(1-EXP(('2018'!Tnet-t)/('2018'!Tau_j))),Resal+(Salim-Resal)*(1-EXP((Tnet-t)/(Tau_j))))*Salcycl</f>
        <v>6.5942614395868321E-2</v>
      </c>
      <c r="P287" s="169">
        <f>(INDEX(Models!$BJ287:$BT287,,T287)*(1-R287)+INDEX(Models!$BJ287:$BT287,,T287+1)*R287-ERP_i)*Q287*Ramure*Pc/MaxiM</f>
        <v>6.4320481836077506E-4</v>
      </c>
      <c r="Q287" s="305">
        <f t="shared" si="102"/>
        <v>0.7</v>
      </c>
      <c r="R287" s="177">
        <f t="shared" si="103"/>
        <v>0.19544566963529464</v>
      </c>
      <c r="S287" s="810">
        <f t="shared" si="104"/>
        <v>-1</v>
      </c>
      <c r="T287" s="176">
        <f t="shared" si="105"/>
        <v>5</v>
      </c>
      <c r="U287" s="251">
        <f t="shared" si="106"/>
        <v>-0.80455433036470536</v>
      </c>
      <c r="V287" s="383">
        <f t="shared" si="107"/>
        <v>37.445725016747019</v>
      </c>
      <c r="W287" s="58"/>
      <c r="X287" s="157">
        <f t="shared" si="108"/>
        <v>43738</v>
      </c>
      <c r="Y287" s="385">
        <f t="shared" si="109"/>
        <v>25.702999999999999</v>
      </c>
      <c r="Z287" s="385">
        <f t="shared" si="110"/>
        <v>25.958476471484882</v>
      </c>
      <c r="AA287" s="386">
        <f t="shared" si="111"/>
        <v>27.79109385736017</v>
      </c>
      <c r="AB287" s="197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6.5942614395868321E-2</v>
      </c>
      <c r="AD287" s="231">
        <f>(INDEX(Models!$BJ287:$BT287,,AH287)*(1-AF287)+INDEX(Models!$BJ287:$BT287,,AH287+1)*AF287-ERP_i)*AE287*Ramure*Pc/MaxiM</f>
        <v>6.4320481836077506E-4</v>
      </c>
      <c r="AE287" s="305">
        <f t="shared" si="113"/>
        <v>0.7</v>
      </c>
      <c r="AF287" s="177">
        <f t="shared" si="114"/>
        <v>0.19544566963529464</v>
      </c>
      <c r="AG287" s="176">
        <f t="shared" si="115"/>
        <v>-1</v>
      </c>
      <c r="AH287" s="176">
        <f t="shared" si="116"/>
        <v>5</v>
      </c>
      <c r="AI287" s="225">
        <f t="shared" si="117"/>
        <v>-0.80455433036470536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6">
        <v>27.85</v>
      </c>
      <c r="C288" s="390"/>
      <c r="D288" s="393">
        <f t="shared" si="99"/>
        <v>28.127471270878939</v>
      </c>
      <c r="E288" s="385">
        <f t="shared" si="97"/>
        <v>30.116361704501944</v>
      </c>
      <c r="F288" s="385">
        <f t="shared" si="100"/>
        <v>30.128871769803162</v>
      </c>
      <c r="G288" s="110">
        <f t="shared" si="98"/>
        <v>0.75134343566291917</v>
      </c>
      <c r="H288" s="414" t="b">
        <f>Wh_hp&gt;='2018'!Maxi_hp</f>
        <v>1</v>
      </c>
      <c r="I288" s="390">
        <f>IF(H288,Wh_hp,'2018'!Maxi_hp)</f>
        <v>30.128871769803162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9.8647783942884537E-3</v>
      </c>
      <c r="M288" s="844"/>
      <c r="N288" s="844"/>
      <c r="O288" s="48">
        <f>IF(t&lt;Tnet,'2018'!Resal+('2018'!Salim-'2018'!Resal)*(1-EXP(('2018'!Tnet-t)/('2018'!Tau_j))),Resal+(Salim-Resal)*(1-EXP((Tnet-t)/(Tau_j))))*Salcycl</f>
        <v>6.6040196127864118E-2</v>
      </c>
      <c r="P288" s="169">
        <f>(INDEX(Models!$BJ288:$BT288,,T288)*(1-R288)+INDEX(Models!$BJ288:$BT288,,T288+1)*R288-ERP_i)*Q288*Ramure*Pc/MaxiM</f>
        <v>6.4372790906307826E-4</v>
      </c>
      <c r="Q288" s="305">
        <f t="shared" si="102"/>
        <v>0.7</v>
      </c>
      <c r="R288" s="177">
        <f t="shared" si="103"/>
        <v>0.19560426059749325</v>
      </c>
      <c r="S288" s="810">
        <f t="shared" si="104"/>
        <v>-1</v>
      </c>
      <c r="T288" s="176">
        <f t="shared" si="105"/>
        <v>5</v>
      </c>
      <c r="U288" s="251">
        <f t="shared" si="106"/>
        <v>-0.80439573940250675</v>
      </c>
      <c r="V288" s="383">
        <f t="shared" si="107"/>
        <v>37.058463610824333</v>
      </c>
      <c r="W288" s="58"/>
      <c r="X288" s="157">
        <f t="shared" si="108"/>
        <v>43739</v>
      </c>
      <c r="Y288" s="385">
        <f t="shared" si="109"/>
        <v>27.85</v>
      </c>
      <c r="Z288" s="385">
        <f t="shared" si="110"/>
        <v>28.127471270878939</v>
      </c>
      <c r="AA288" s="386">
        <f t="shared" si="111"/>
        <v>30.116361704501944</v>
      </c>
      <c r="AB288" s="197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6.6040196127864118E-2</v>
      </c>
      <c r="AD288" s="231">
        <f>(INDEX(Models!$BJ288:$BT288,,AH288)*(1-AF288)+INDEX(Models!$BJ288:$BT288,,AH288+1)*AF288-ERP_i)*AE288*Ramure*Pc/MaxiM</f>
        <v>6.4372790906307826E-4</v>
      </c>
      <c r="AE288" s="305">
        <f t="shared" si="113"/>
        <v>0.7</v>
      </c>
      <c r="AF288" s="177">
        <f t="shared" si="114"/>
        <v>0.19560426059749325</v>
      </c>
      <c r="AG288" s="176">
        <f t="shared" si="115"/>
        <v>-1</v>
      </c>
      <c r="AH288" s="176">
        <f t="shared" si="116"/>
        <v>5</v>
      </c>
      <c r="AI288" s="225">
        <f t="shared" si="117"/>
        <v>-0.80439573940250675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6">
        <v>21.707999999999998</v>
      </c>
      <c r="C289" s="390"/>
      <c r="D289" s="393">
        <f t="shared" si="99"/>
        <v>21.924788367214063</v>
      </c>
      <c r="E289" s="385">
        <f t="shared" si="97"/>
        <v>23.477513026900343</v>
      </c>
      <c r="F289" s="385">
        <f t="shared" si="100"/>
        <v>23.48381070128147</v>
      </c>
      <c r="G289" s="110">
        <f t="shared" si="98"/>
        <v>0.59168709578397671</v>
      </c>
      <c r="H289" s="414" t="b">
        <f>Wh_hp&gt;='2018'!Maxi_hp</f>
        <v>0</v>
      </c>
      <c r="I289" s="390">
        <f>IF(H289,Wh_hp,'2018'!Maxi_hp)</f>
        <v>38.111872481927541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9.8878202873896592E-3</v>
      </c>
      <c r="M289" s="844"/>
      <c r="N289" s="844"/>
      <c r="O289" s="48">
        <f>IF(t&lt;Tnet,'2018'!Resal+('2018'!Salim-'2018'!Resal)*(1-EXP(('2018'!Tnet-t)/('2018'!Tau_j))),Resal+(Salim-Resal)*(1-EXP((Tnet-t)/(Tau_j))))*Salcycl</f>
        <v>6.6136675460777269E-2</v>
      </c>
      <c r="P289" s="169">
        <f>(INDEX(Models!$BJ289:$BT289,,T289)*(1-R289)+INDEX(Models!$BJ289:$BT289,,T289+1)*R289-ERP_i)*Q289*Ramure*Pc/MaxiM</f>
        <v>6.4307568537389761E-4</v>
      </c>
      <c r="Q289" s="305">
        <f t="shared" si="102"/>
        <v>0.7</v>
      </c>
      <c r="R289" s="177">
        <f t="shared" si="103"/>
        <v>0.19575658551521835</v>
      </c>
      <c r="S289" s="810">
        <f t="shared" si="104"/>
        <v>-1</v>
      </c>
      <c r="T289" s="176">
        <f t="shared" si="105"/>
        <v>5</v>
      </c>
      <c r="U289" s="251">
        <f t="shared" si="106"/>
        <v>-0.80424341448478165</v>
      </c>
      <c r="V289" s="383">
        <f t="shared" si="107"/>
        <v>36.67455237441191</v>
      </c>
      <c r="W289" s="58"/>
      <c r="X289" s="157">
        <f t="shared" si="108"/>
        <v>43740</v>
      </c>
      <c r="Y289" s="385">
        <f t="shared" si="109"/>
        <v>21.707999999999998</v>
      </c>
      <c r="Z289" s="385">
        <f t="shared" si="110"/>
        <v>21.924788367214063</v>
      </c>
      <c r="AA289" s="386">
        <f t="shared" si="111"/>
        <v>23.477513026900343</v>
      </c>
      <c r="AB289" s="197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6.6136675460777269E-2</v>
      </c>
      <c r="AD289" s="231">
        <f>(INDEX(Models!$BJ289:$BT289,,AH289)*(1-AF289)+INDEX(Models!$BJ289:$BT289,,AH289+1)*AF289-ERP_i)*AE289*Ramure*Pc/MaxiM</f>
        <v>6.4307568537389761E-4</v>
      </c>
      <c r="AE289" s="305">
        <f t="shared" si="113"/>
        <v>0.7</v>
      </c>
      <c r="AF289" s="177">
        <f t="shared" si="114"/>
        <v>0.19575658551521835</v>
      </c>
      <c r="AG289" s="176">
        <f t="shared" si="115"/>
        <v>-1</v>
      </c>
      <c r="AH289" s="176">
        <f t="shared" si="116"/>
        <v>5</v>
      </c>
      <c r="AI289" s="225">
        <f t="shared" si="117"/>
        <v>-0.80424341448478165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6">
        <v>32.247</v>
      </c>
      <c r="C290" s="390"/>
      <c r="D290" s="393">
        <f t="shared" si="99"/>
        <v>32.569794729344885</v>
      </c>
      <c r="E290" s="385">
        <f t="shared" si="97"/>
        <v>34.879965810279607</v>
      </c>
      <c r="F290" s="385">
        <f t="shared" si="100"/>
        <v>34.898846411476015</v>
      </c>
      <c r="G290" s="110">
        <f t="shared" si="98"/>
        <v>0.88846614111405098</v>
      </c>
      <c r="H290" s="414" t="b">
        <f>Wh_hp&gt;='2018'!Maxi_hp</f>
        <v>0</v>
      </c>
      <c r="I290" s="390">
        <f>IF(H290,Wh_hp,'2018'!Maxi_hp)</f>
        <v>37.674567346028716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9.9108616442723507E-3</v>
      </c>
      <c r="M290" s="844"/>
      <c r="N290" s="844"/>
      <c r="O290" s="48">
        <f>IF(t&lt;Tnet,'2018'!Resal+('2018'!Salim-'2018'!Resal)*(1-EXP(('2018'!Tnet-t)/('2018'!Tau_j))),Resal+(Salim-Resal)*(1-EXP((Tnet-t)/(Tau_j))))*Salcycl</f>
        <v>6.6232033984789163E-2</v>
      </c>
      <c r="P290" s="169">
        <f>(INDEX(Models!$BJ290:$BT290,,T290)*(1-R290)+INDEX(Models!$BJ290:$BT290,,T290+1)*R290-ERP_i)*Q290*Ramure*Pc/MaxiM</f>
        <v>6.4344895567222454E-4</v>
      </c>
      <c r="Q290" s="305">
        <f t="shared" si="102"/>
        <v>0.7</v>
      </c>
      <c r="R290" s="177">
        <f t="shared" si="103"/>
        <v>0.19590288739184891</v>
      </c>
      <c r="S290" s="810">
        <f t="shared" si="104"/>
        <v>-1</v>
      </c>
      <c r="T290" s="176">
        <f t="shared" si="105"/>
        <v>5</v>
      </c>
      <c r="U290" s="251">
        <f t="shared" si="106"/>
        <v>-0.80409711260815109</v>
      </c>
      <c r="V290" s="383">
        <f t="shared" si="107"/>
        <v>36.291416576150411</v>
      </c>
      <c r="W290" s="58"/>
      <c r="X290" s="157">
        <f t="shared" si="108"/>
        <v>43741</v>
      </c>
      <c r="Y290" s="385">
        <f t="shared" si="109"/>
        <v>32.247</v>
      </c>
      <c r="Z290" s="385">
        <f t="shared" si="110"/>
        <v>32.569794729344885</v>
      </c>
      <c r="AA290" s="386">
        <f t="shared" si="111"/>
        <v>34.879965810279607</v>
      </c>
      <c r="AB290" s="197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6.6232033984789163E-2</v>
      </c>
      <c r="AD290" s="231">
        <f>(INDEX(Models!$BJ290:$BT290,,AH290)*(1-AF290)+INDEX(Models!$BJ290:$BT290,,AH290+1)*AF290-ERP_i)*AE290*Ramure*Pc/MaxiM</f>
        <v>6.4344895567222454E-4</v>
      </c>
      <c r="AE290" s="305">
        <f t="shared" si="113"/>
        <v>0.7</v>
      </c>
      <c r="AF290" s="177">
        <f t="shared" si="114"/>
        <v>0.19590288739184891</v>
      </c>
      <c r="AG290" s="176">
        <f t="shared" si="115"/>
        <v>-1</v>
      </c>
      <c r="AH290" s="176">
        <f t="shared" si="116"/>
        <v>5</v>
      </c>
      <c r="AI290" s="225">
        <f t="shared" si="117"/>
        <v>-0.80409711260815109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6">
        <v>10.016</v>
      </c>
      <c r="C291" s="390"/>
      <c r="D291" s="393">
        <f t="shared" si="99"/>
        <v>10.116496287406111</v>
      </c>
      <c r="E291" s="385">
        <f t="shared" si="97"/>
        <v>10.835151295263842</v>
      </c>
      <c r="F291" s="385">
        <f t="shared" si="100"/>
        <v>10.835151295263842</v>
      </c>
      <c r="G291" s="110">
        <f t="shared" si="98"/>
        <v>0.27874541688824911</v>
      </c>
      <c r="H291" s="414" t="b">
        <f>Wh_hp&gt;='2018'!Maxi_hp</f>
        <v>0</v>
      </c>
      <c r="I291" s="390">
        <f>IF(H291,Wh_hp,'2018'!Maxi_hp)</f>
        <v>36.449974928255941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9.9339024649490737E-3</v>
      </c>
      <c r="M291" s="844"/>
      <c r="N291" s="844"/>
      <c r="O291" s="48">
        <f>IF(t&lt;Tnet,'2018'!Resal+('2018'!Salim-'2018'!Resal)*(1-EXP(('2018'!Tnet-t)/('2018'!Tau_j))),Resal+(Salim-Resal)*(1-EXP((Tnet-t)/(Tau_j))))*Salcycl</f>
        <v>6.6326255007796917E-2</v>
      </c>
      <c r="P291" s="169">
        <f>(INDEX(Models!$BJ291:$BT291,,T291)*(1-R291)+INDEX(Models!$BJ291:$BT291,,T291+1)*R291-ERP_i)*Q291*Ramure*Pc/MaxiM</f>
        <v>6.4558930784964629E-4</v>
      </c>
      <c r="Q291" s="305">
        <f t="shared" si="102"/>
        <v>0.7</v>
      </c>
      <c r="R291" s="177">
        <f t="shared" si="103"/>
        <v>0.19604340016491317</v>
      </c>
      <c r="S291" s="810">
        <f t="shared" si="104"/>
        <v>-1</v>
      </c>
      <c r="T291" s="176">
        <f t="shared" si="105"/>
        <v>5</v>
      </c>
      <c r="U291" s="251">
        <f t="shared" si="106"/>
        <v>-0.80395659983508683</v>
      </c>
      <c r="V291" s="383">
        <f t="shared" si="107"/>
        <v>35.909231761487462</v>
      </c>
      <c r="W291" s="58"/>
      <c r="X291" s="157">
        <f t="shared" si="108"/>
        <v>43742</v>
      </c>
      <c r="Y291" s="385">
        <f t="shared" si="109"/>
        <v>10.016</v>
      </c>
      <c r="Z291" s="385">
        <f t="shared" si="110"/>
        <v>10.116496287406111</v>
      </c>
      <c r="AA291" s="386">
        <f t="shared" si="111"/>
        <v>10.835151295263842</v>
      </c>
      <c r="AB291" s="197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6.6326255007796917E-2</v>
      </c>
      <c r="AD291" s="231">
        <f>(INDEX(Models!$BJ291:$BT291,,AH291)*(1-AF291)+INDEX(Models!$BJ291:$BT291,,AH291+1)*AF291-ERP_i)*AE291*Ramure*Pc/MaxiM</f>
        <v>6.4558930784964629E-4</v>
      </c>
      <c r="AE291" s="305">
        <f t="shared" si="113"/>
        <v>0.7</v>
      </c>
      <c r="AF291" s="177">
        <f t="shared" si="114"/>
        <v>0.19604340016491317</v>
      </c>
      <c r="AG291" s="176">
        <f t="shared" si="115"/>
        <v>-1</v>
      </c>
      <c r="AH291" s="176">
        <f t="shared" si="116"/>
        <v>5</v>
      </c>
      <c r="AI291" s="225">
        <f t="shared" si="117"/>
        <v>-0.80395659983508683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6">
        <v>33.609000000000002</v>
      </c>
      <c r="C292" s="390"/>
      <c r="D292" s="393">
        <f t="shared" si="99"/>
        <v>33.94700841934592</v>
      </c>
      <c r="E292" s="385">
        <f t="shared" si="97"/>
        <v>36.362158389755031</v>
      </c>
      <c r="F292" s="385">
        <f t="shared" si="100"/>
        <v>36.383967433024289</v>
      </c>
      <c r="G292" s="110">
        <f t="shared" si="98"/>
        <v>0.94593351244071899</v>
      </c>
      <c r="H292" s="414" t="b">
        <f>Wh_hp&gt;='2018'!Maxi_hp</f>
        <v>1</v>
      </c>
      <c r="I292" s="390">
        <f>IF(H292,Wh_hp,'2018'!Maxi_hp)</f>
        <v>36.383967433024289</v>
      </c>
      <c r="J292" s="85">
        <f>IF(H292,An,'2018'!An_max)</f>
        <v>2019</v>
      </c>
      <c r="K292" s="197">
        <f t="shared" si="101"/>
        <v>43743</v>
      </c>
      <c r="L292" s="147">
        <f>IF(t&lt;Tvie,1-EXP((T0-t)*PertePVj)+'2018'!Pspv,1-EXP((T0-t)*PertePVj)+Pspv)</f>
        <v>9.9569427494321516E-3</v>
      </c>
      <c r="M292" s="844"/>
      <c r="N292" s="844"/>
      <c r="O292" s="48">
        <f>IF(t&lt;Tnet,'2018'!Resal+('2018'!Salim-'2018'!Resal)*(1-EXP(('2018'!Tnet-t)/('2018'!Tau_j))),Resal+(Salim-Resal)*(1-EXP((Tnet-t)/(Tau_j))))*Salcycl</f>
        <v>6.6419323751957832E-2</v>
      </c>
      <c r="P292" s="169">
        <f>(INDEX(Models!$BJ292:$BT292,,T292)*(1-R292)+INDEX(Models!$BJ292:$BT292,,T292+1)*R292-ERP_i)*Q292*Ramure*Pc/MaxiM</f>
        <v>6.4953847839809085E-4</v>
      </c>
      <c r="Q292" s="305">
        <f t="shared" si="102"/>
        <v>0.7</v>
      </c>
      <c r="R292" s="177">
        <f t="shared" si="103"/>
        <v>0.19617834901609854</v>
      </c>
      <c r="S292" s="810">
        <f t="shared" si="104"/>
        <v>-1</v>
      </c>
      <c r="T292" s="176">
        <f t="shared" si="105"/>
        <v>5</v>
      </c>
      <c r="U292" s="251">
        <f t="shared" si="106"/>
        <v>-0.80382165098390146</v>
      </c>
      <c r="V292" s="383">
        <f t="shared" si="107"/>
        <v>35.528199285733272</v>
      </c>
      <c r="W292" s="58"/>
      <c r="X292" s="157">
        <f t="shared" si="108"/>
        <v>43743</v>
      </c>
      <c r="Y292" s="385">
        <f t="shared" si="109"/>
        <v>33.609000000000002</v>
      </c>
      <c r="Z292" s="385">
        <f t="shared" si="110"/>
        <v>33.94700841934592</v>
      </c>
      <c r="AA292" s="386">
        <f t="shared" si="111"/>
        <v>36.362158389755031</v>
      </c>
      <c r="AB292" s="197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6.6419323751957832E-2</v>
      </c>
      <c r="AD292" s="231">
        <f>(INDEX(Models!$BJ292:$BT292,,AH292)*(1-AF292)+INDEX(Models!$BJ292:$BT292,,AH292+1)*AF292-ERP_i)*AE292*Ramure*Pc/MaxiM</f>
        <v>6.4953847839809085E-4</v>
      </c>
      <c r="AE292" s="305">
        <f t="shared" si="113"/>
        <v>0.7</v>
      </c>
      <c r="AF292" s="177">
        <f t="shared" si="114"/>
        <v>0.19617834901609854</v>
      </c>
      <c r="AG292" s="176">
        <f t="shared" si="115"/>
        <v>-1</v>
      </c>
      <c r="AH292" s="176">
        <f t="shared" si="116"/>
        <v>5</v>
      </c>
      <c r="AI292" s="225">
        <f t="shared" si="117"/>
        <v>-0.80382165098390146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6">
        <v>17.295000000000002</v>
      </c>
      <c r="C293" s="390"/>
      <c r="D293" s="393">
        <f t="shared" si="99"/>
        <v>17.469343744820211</v>
      </c>
      <c r="E293" s="385">
        <f t="shared" si="97"/>
        <v>18.714037340738386</v>
      </c>
      <c r="F293" s="385">
        <f t="shared" si="100"/>
        <v>18.717402755547873</v>
      </c>
      <c r="G293" s="110">
        <f t="shared" si="98"/>
        <v>0.49182082020423268</v>
      </c>
      <c r="H293" s="414" t="b">
        <f>Wh_hp&gt;='2018'!Maxi_hp</f>
        <v>0</v>
      </c>
      <c r="I293" s="390">
        <f>IF(H293,Wh_hp,'2018'!Maxi_hp)</f>
        <v>33.540700247739295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9.9799824977342411E-3</v>
      </c>
      <c r="M293" s="844"/>
      <c r="N293" s="844"/>
      <c r="O293" s="48">
        <f>IF(t&lt;Tnet,'2018'!Resal+('2018'!Salim-'2018'!Resal)*(1-EXP(('2018'!Tnet-t)/('2018'!Tau_j))),Resal+(Salim-Resal)*(1-EXP((Tnet-t)/(Tau_j))))*Salcycl</f>
        <v>6.6511227548350274E-2</v>
      </c>
      <c r="P293" s="169">
        <f>(INDEX(Models!$BJ293:$BT293,,T293)*(1-R293)+INDEX(Models!$BJ293:$BT293,,T293+1)*R293-ERP_i)*Q293*Ramure*Pc/MaxiM</f>
        <v>6.5533863313898915E-4</v>
      </c>
      <c r="Q293" s="305">
        <f t="shared" si="102"/>
        <v>0.7</v>
      </c>
      <c r="R293" s="177">
        <f t="shared" si="103"/>
        <v>0.19630795067292994</v>
      </c>
      <c r="S293" s="810">
        <f t="shared" si="104"/>
        <v>-1</v>
      </c>
      <c r="T293" s="176">
        <f t="shared" si="105"/>
        <v>5</v>
      </c>
      <c r="U293" s="251">
        <f t="shared" si="106"/>
        <v>-0.80369204932707006</v>
      </c>
      <c r="V293" s="383">
        <f t="shared" si="107"/>
        <v>35.148520343176685</v>
      </c>
      <c r="W293" s="58"/>
      <c r="X293" s="157">
        <f t="shared" si="108"/>
        <v>43744</v>
      </c>
      <c r="Y293" s="385">
        <f t="shared" si="109"/>
        <v>17.295000000000002</v>
      </c>
      <c r="Z293" s="385">
        <f t="shared" si="110"/>
        <v>17.469343744820211</v>
      </c>
      <c r="AA293" s="386">
        <f t="shared" si="111"/>
        <v>18.714037340738386</v>
      </c>
      <c r="AB293" s="197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6.6511227548350274E-2</v>
      </c>
      <c r="AD293" s="231">
        <f>(INDEX(Models!$BJ293:$BT293,,AH293)*(1-AF293)+INDEX(Models!$BJ293:$BT293,,AH293+1)*AF293-ERP_i)*AE293*Ramure*Pc/MaxiM</f>
        <v>6.5533863313898915E-4</v>
      </c>
      <c r="AE293" s="305">
        <f t="shared" si="113"/>
        <v>0.7</v>
      </c>
      <c r="AF293" s="177">
        <f t="shared" si="114"/>
        <v>0.19630795067292994</v>
      </c>
      <c r="AG293" s="176">
        <f t="shared" si="115"/>
        <v>-1</v>
      </c>
      <c r="AH293" s="176">
        <f t="shared" si="116"/>
        <v>5</v>
      </c>
      <c r="AI293" s="225">
        <f t="shared" si="117"/>
        <v>-0.80369204932707006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6">
        <v>25.966000000000001</v>
      </c>
      <c r="C294" s="390"/>
      <c r="D294" s="393">
        <f t="shared" si="99"/>
        <v>26.228362883336303</v>
      </c>
      <c r="E294" s="385">
        <f t="shared" si="97"/>
        <v>28.099869131634946</v>
      </c>
      <c r="F294" s="385">
        <f t="shared" si="100"/>
        <v>28.111765736547561</v>
      </c>
      <c r="G294" s="110">
        <f t="shared" si="98"/>
        <v>0.74660552134614366</v>
      </c>
      <c r="H294" s="414" t="b">
        <f>Wh_hp&gt;='2018'!Maxi_hp</f>
        <v>1</v>
      </c>
      <c r="I294" s="390">
        <f>IF(H294,Wh_hp,'2018'!Maxi_hp)</f>
        <v>28.111765736547561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1.0003021709867665E-2</v>
      </c>
      <c r="M294" s="844"/>
      <c r="N294" s="844"/>
      <c r="O294" s="48">
        <f>IF(t&lt;Tnet,'2018'!Resal+('2018'!Salim-'2018'!Resal)*(1-EXP(('2018'!Tnet-t)/('2018'!Tau_j))),Resal+(Salim-Resal)*(1-EXP((Tnet-t)/(Tau_j))))*Salcycl</f>
        <v>6.6601956028033454E-2</v>
      </c>
      <c r="P294" s="169">
        <f>(INDEX(Models!$BJ294:$BT294,,T294)*(1-R294)+INDEX(Models!$BJ294:$BT294,,T294+1)*R294-ERP_i)*Q294*Ramure*Pc/MaxiM</f>
        <v>6.6303225074598965E-4</v>
      </c>
      <c r="Q294" s="305">
        <f t="shared" si="102"/>
        <v>0.7</v>
      </c>
      <c r="R294" s="177">
        <f t="shared" si="103"/>
        <v>0.19643241370214815</v>
      </c>
      <c r="S294" s="810">
        <f t="shared" si="104"/>
        <v>-1</v>
      </c>
      <c r="T294" s="176">
        <f t="shared" si="105"/>
        <v>5</v>
      </c>
      <c r="U294" s="251">
        <f t="shared" si="106"/>
        <v>-0.80356758629785185</v>
      </c>
      <c r="V294" s="383">
        <f t="shared" si="107"/>
        <v>34.770395965535549</v>
      </c>
      <c r="W294" s="58"/>
      <c r="X294" s="157">
        <f t="shared" si="108"/>
        <v>43745</v>
      </c>
      <c r="Y294" s="385">
        <f t="shared" si="109"/>
        <v>25.966000000000001</v>
      </c>
      <c r="Z294" s="385">
        <f t="shared" si="110"/>
        <v>26.228362883336303</v>
      </c>
      <c r="AA294" s="386">
        <f t="shared" si="111"/>
        <v>28.099869131634946</v>
      </c>
      <c r="AB294" s="197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6.6601956028033454E-2</v>
      </c>
      <c r="AD294" s="231">
        <f>(INDEX(Models!$BJ294:$BT294,,AH294)*(1-AF294)+INDEX(Models!$BJ294:$BT294,,AH294+1)*AF294-ERP_i)*AE294*Ramure*Pc/MaxiM</f>
        <v>6.6303225074598965E-4</v>
      </c>
      <c r="AE294" s="305">
        <f t="shared" si="113"/>
        <v>0.7</v>
      </c>
      <c r="AF294" s="177">
        <f t="shared" si="114"/>
        <v>0.19643241370214815</v>
      </c>
      <c r="AG294" s="176">
        <f t="shared" si="115"/>
        <v>-1</v>
      </c>
      <c r="AH294" s="176">
        <f t="shared" si="116"/>
        <v>5</v>
      </c>
      <c r="AI294" s="225">
        <f t="shared" si="117"/>
        <v>-0.80356758629785185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6">
        <v>32.465000000000003</v>
      </c>
      <c r="C295" s="390"/>
      <c r="D295" s="393">
        <f t="shared" si="99"/>
        <v>32.79379254433033</v>
      </c>
      <c r="E295" s="385">
        <f t="shared" si="97"/>
        <v>35.137141245666655</v>
      </c>
      <c r="F295" s="385">
        <f t="shared" si="100"/>
        <v>35.15889638578107</v>
      </c>
      <c r="G295" s="110">
        <f t="shared" si="98"/>
        <v>0.94386299022467035</v>
      </c>
      <c r="H295" s="414" t="b">
        <f>Wh_hp&gt;='2018'!Maxi_hp</f>
        <v>1</v>
      </c>
      <c r="I295" s="390">
        <f>IF(H295,Wh_hp,'2018'!Maxi_hp)</f>
        <v>35.15889638578107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1.002606038584497E-2</v>
      </c>
      <c r="M295" s="844"/>
      <c r="N295" s="844"/>
      <c r="O295" s="48">
        <f>IF(t&lt;Tnet,'2018'!Resal+('2018'!Salim-'2018'!Resal)*(1-EXP(('2018'!Tnet-t)/('2018'!Tau_j))),Resal+(Salim-Resal)*(1-EXP((Tnet-t)/(Tau_j))))*Salcycl</f>
        <v>6.6691501307760026E-2</v>
      </c>
      <c r="P295" s="169">
        <f>(INDEX(Models!$BJ295:$BT295,,T295)*(1-R295)+INDEX(Models!$BJ295:$BT295,,T295+1)*R295-ERP_i)*Q295*Ramure*Pc/MaxiM</f>
        <v>6.7266199928262384E-4</v>
      </c>
      <c r="Q295" s="305">
        <f t="shared" si="102"/>
        <v>0.7</v>
      </c>
      <c r="R295" s="177">
        <f t="shared" si="103"/>
        <v>0.19655193879483712</v>
      </c>
      <c r="S295" s="810">
        <f t="shared" si="104"/>
        <v>-1</v>
      </c>
      <c r="T295" s="176">
        <f t="shared" si="105"/>
        <v>5</v>
      </c>
      <c r="U295" s="251">
        <f t="shared" si="106"/>
        <v>-0.80344806120516288</v>
      </c>
      <c r="V295" s="383">
        <f t="shared" si="107"/>
        <v>34.394027023932111</v>
      </c>
      <c r="W295" s="58"/>
      <c r="X295" s="157">
        <f t="shared" si="108"/>
        <v>43746</v>
      </c>
      <c r="Y295" s="385">
        <f t="shared" si="109"/>
        <v>32.465000000000003</v>
      </c>
      <c r="Z295" s="385">
        <f t="shared" si="110"/>
        <v>32.79379254433033</v>
      </c>
      <c r="AA295" s="386">
        <f t="shared" si="111"/>
        <v>35.137141245666655</v>
      </c>
      <c r="AB295" s="197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6.6691501307760026E-2</v>
      </c>
      <c r="AD295" s="231">
        <f>(INDEX(Models!$BJ295:$BT295,,AH295)*(1-AF295)+INDEX(Models!$BJ295:$BT295,,AH295+1)*AF295-ERP_i)*AE295*Ramure*Pc/MaxiM</f>
        <v>6.7266199928262384E-4</v>
      </c>
      <c r="AE295" s="305">
        <f t="shared" si="113"/>
        <v>0.7</v>
      </c>
      <c r="AF295" s="177">
        <f t="shared" si="114"/>
        <v>0.19655193879483712</v>
      </c>
      <c r="AG295" s="176">
        <f t="shared" si="115"/>
        <v>-1</v>
      </c>
      <c r="AH295" s="176">
        <f t="shared" si="116"/>
        <v>5</v>
      </c>
      <c r="AI295" s="225">
        <f t="shared" si="117"/>
        <v>-0.80344806120516288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6">
        <v>9.2479999999999993</v>
      </c>
      <c r="C296" s="390"/>
      <c r="D296" s="393">
        <f t="shared" si="99"/>
        <v>9.3418774468784971</v>
      </c>
      <c r="E296" s="385">
        <f t="shared" si="97"/>
        <v>10.010368430909953</v>
      </c>
      <c r="F296" s="385">
        <f t="shared" si="100"/>
        <v>10.010368430909953</v>
      </c>
      <c r="G296" s="110">
        <f t="shared" si="98"/>
        <v>0.27165716232835985</v>
      </c>
      <c r="H296" s="414" t="b">
        <f>Wh_hp&gt;='2018'!Maxi_hp</f>
        <v>0</v>
      </c>
      <c r="I296" s="390">
        <f>IF(H296,Wh_hp,'2018'!Maxi_hp)</f>
        <v>33.738307636072044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1.0049098525678701E-2</v>
      </c>
      <c r="M296" s="844"/>
      <c r="N296" s="844"/>
      <c r="O296" s="48">
        <f>IF(t&lt;Tnet,'2018'!Resal+('2018'!Salim-'2018'!Resal)*(1-EXP(('2018'!Tnet-t)/('2018'!Tau_j))),Resal+(Salim-Resal)*(1-EXP((Tnet-t)/(Tau_j))))*Salcycl</f>
        <v>6.6779858168585865E-2</v>
      </c>
      <c r="P296" s="169">
        <f>(INDEX(Models!$BJ296:$BT296,,T296)*(1-R296)+INDEX(Models!$BJ296:$BT296,,T296+1)*R296-ERP_i)*Q296*Ramure*Pc/MaxiM</f>
        <v>6.8579515783253459E-4</v>
      </c>
      <c r="Q296" s="305">
        <f t="shared" si="102"/>
        <v>0.7</v>
      </c>
      <c r="R296" s="177">
        <f t="shared" si="103"/>
        <v>0.19666671904336719</v>
      </c>
      <c r="S296" s="810">
        <f t="shared" si="104"/>
        <v>-1</v>
      </c>
      <c r="T296" s="176">
        <f t="shared" si="105"/>
        <v>5</v>
      </c>
      <c r="U296" s="251">
        <f t="shared" si="106"/>
        <v>-0.80333328095663281</v>
      </c>
      <c r="V296" s="383">
        <f t="shared" si="107"/>
        <v>34.019562330588229</v>
      </c>
      <c r="W296" s="58"/>
      <c r="X296" s="157">
        <f t="shared" si="108"/>
        <v>43747</v>
      </c>
      <c r="Y296" s="385">
        <f t="shared" si="109"/>
        <v>9.2479999999999993</v>
      </c>
      <c r="Z296" s="385">
        <f t="shared" si="110"/>
        <v>9.3418774468784971</v>
      </c>
      <c r="AA296" s="386">
        <f t="shared" si="111"/>
        <v>10.010368430909953</v>
      </c>
      <c r="AB296" s="197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6.6779858168585865E-2</v>
      </c>
      <c r="AD296" s="231">
        <f>(INDEX(Models!$BJ296:$BT296,,AH296)*(1-AF296)+INDEX(Models!$BJ296:$BT296,,AH296+1)*AF296-ERP_i)*AE296*Ramure*Pc/MaxiM</f>
        <v>6.8579515783253459E-4</v>
      </c>
      <c r="AE296" s="305">
        <f t="shared" si="113"/>
        <v>0.7</v>
      </c>
      <c r="AF296" s="177">
        <f t="shared" si="114"/>
        <v>0.19666671904336719</v>
      </c>
      <c r="AG296" s="176">
        <f t="shared" si="115"/>
        <v>-1</v>
      </c>
      <c r="AH296" s="176">
        <f t="shared" si="116"/>
        <v>5</v>
      </c>
      <c r="AI296" s="225">
        <f t="shared" si="117"/>
        <v>-0.80333328095663281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6">
        <v>24.423999999999999</v>
      </c>
      <c r="C297" s="390"/>
      <c r="D297" s="393">
        <f t="shared" si="99"/>
        <v>24.672504827273109</v>
      </c>
      <c r="E297" s="385">
        <f t="shared" ref="E297:E360" si="121">Wh_pvt/(1-Psa)</f>
        <v>26.440502551952225</v>
      </c>
      <c r="F297" s="385">
        <f t="shared" si="100"/>
        <v>26.45181496734002</v>
      </c>
      <c r="G297" s="110">
        <f t="shared" ref="G297:G360" si="122">+Wh_hp/MaxiM</f>
        <v>0.72568540877160692</v>
      </c>
      <c r="H297" s="414" t="b">
        <f>Wh_hp&gt;='2018'!Maxi_hp</f>
        <v>1</v>
      </c>
      <c r="I297" s="390">
        <f>IF(H297,Wh_hp,'2018'!Maxi_hp)</f>
        <v>26.45181496734002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1.0072136129381182E-2</v>
      </c>
      <c r="M297" s="844"/>
      <c r="N297" s="844"/>
      <c r="O297" s="48">
        <f>IF(t&lt;Tnet,'2018'!Resal+('2018'!Salim-'2018'!Resal)*(1-EXP(('2018'!Tnet-t)/('2018'!Tau_j))),Resal+(Salim-Resal)*(1-EXP((Tnet-t)/(Tau_j))))*Salcycl</f>
        <v>6.6867024225626112E-2</v>
      </c>
      <c r="P297" s="169">
        <f>(INDEX(Models!$BJ297:$BT297,,T297)*(1-R297)+INDEX(Models!$BJ297:$BT297,,T297+1)*R297-ERP_i)*Q297*Ramure*Pc/MaxiM</f>
        <v>7.0291896015522146E-4</v>
      </c>
      <c r="Q297" s="305">
        <f t="shared" si="102"/>
        <v>0.7</v>
      </c>
      <c r="R297" s="177">
        <f t="shared" si="103"/>
        <v>0.19677694021024006</v>
      </c>
      <c r="S297" s="810">
        <f t="shared" si="104"/>
        <v>-1</v>
      </c>
      <c r="T297" s="176">
        <f t="shared" si="105"/>
        <v>5</v>
      </c>
      <c r="U297" s="251">
        <f t="shared" si="106"/>
        <v>-0.80322305978975994</v>
      </c>
      <c r="V297" s="383">
        <f t="shared" si="107"/>
        <v>33.647189172327451</v>
      </c>
      <c r="W297" s="58"/>
      <c r="X297" s="157">
        <f t="shared" si="108"/>
        <v>43748</v>
      </c>
      <c r="Y297" s="385">
        <f t="shared" si="109"/>
        <v>24.423999999999999</v>
      </c>
      <c r="Z297" s="385">
        <f t="shared" si="110"/>
        <v>24.672504827273109</v>
      </c>
      <c r="AA297" s="386">
        <f t="shared" si="111"/>
        <v>26.440502551952225</v>
      </c>
      <c r="AB297" s="197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6.6867024225626112E-2</v>
      </c>
      <c r="AD297" s="231">
        <f>(INDEX(Models!$BJ297:$BT297,,AH297)*(1-AF297)+INDEX(Models!$BJ297:$BT297,,AH297+1)*AF297-ERP_i)*AE297*Ramure*Pc/MaxiM</f>
        <v>7.0291896015522146E-4</v>
      </c>
      <c r="AE297" s="305">
        <f t="shared" si="113"/>
        <v>0.7</v>
      </c>
      <c r="AF297" s="177">
        <f t="shared" si="114"/>
        <v>0.19677694021024006</v>
      </c>
      <c r="AG297" s="176">
        <f t="shared" si="115"/>
        <v>-1</v>
      </c>
      <c r="AH297" s="176">
        <f t="shared" si="116"/>
        <v>5</v>
      </c>
      <c r="AI297" s="225">
        <f t="shared" si="117"/>
        <v>-0.80322305978975994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6">
        <v>33.444000000000003</v>
      </c>
      <c r="C298" s="390"/>
      <c r="D298" s="393">
        <f t="shared" si="99"/>
        <v>33.78506609368668</v>
      </c>
      <c r="E298" s="385">
        <f t="shared" si="121"/>
        <v>36.20939362845094</v>
      </c>
      <c r="F298" s="385">
        <f t="shared" si="100"/>
        <v>36.235632696328913</v>
      </c>
      <c r="G298" s="110">
        <f t="shared" si="122"/>
        <v>1.0050152031926358</v>
      </c>
      <c r="H298" s="414" t="b">
        <f>Wh_hp&gt;='2018'!Maxi_hp</f>
        <v>1</v>
      </c>
      <c r="I298" s="390">
        <f>IF(H298,Wh_hp,'2018'!Maxi_hp)</f>
        <v>36.235632696328913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1.0095173196964957E-2</v>
      </c>
      <c r="M298" s="844"/>
      <c r="N298" s="844"/>
      <c r="O298" s="48">
        <f>IF(t&lt;Tnet,'2018'!Resal+('2018'!Salim-'2018'!Resal)*(1-EXP(('2018'!Tnet-t)/('2018'!Tau_j))),Resal+(Salim-Resal)*(1-EXP((Tnet-t)/(Tau_j))))*Salcycl</f>
        <v>6.6953000087231082E-2</v>
      </c>
      <c r="P298" s="169">
        <f>(INDEX(Models!$BJ298:$BT298,,T298)*(1-R298)+INDEX(Models!$BJ298:$BT298,,T298+1)*R298-ERP_i)*Q298*Ramure*Pc/MaxiM</f>
        <v>7.2412335387854953E-4</v>
      </c>
      <c r="Q298" s="305">
        <f t="shared" si="102"/>
        <v>0.7</v>
      </c>
      <c r="R298" s="177">
        <f t="shared" si="103"/>
        <v>0.19688278098893308</v>
      </c>
      <c r="S298" s="810">
        <f t="shared" si="104"/>
        <v>-1</v>
      </c>
      <c r="T298" s="176">
        <f t="shared" si="105"/>
        <v>5</v>
      </c>
      <c r="U298" s="251">
        <f t="shared" si="106"/>
        <v>-0.80311721901106692</v>
      </c>
      <c r="V298" s="383">
        <f t="shared" si="107"/>
        <v>33.277108539013454</v>
      </c>
      <c r="W298" s="58"/>
      <c r="X298" s="157">
        <f t="shared" si="108"/>
        <v>43749</v>
      </c>
      <c r="Y298" s="385">
        <f t="shared" si="109"/>
        <v>33.444000000000003</v>
      </c>
      <c r="Z298" s="385">
        <f t="shared" si="110"/>
        <v>33.78506609368668</v>
      </c>
      <c r="AA298" s="386">
        <f t="shared" si="111"/>
        <v>36.20939362845094</v>
      </c>
      <c r="AB298" s="197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6.6953000087231082E-2</v>
      </c>
      <c r="AD298" s="231">
        <f>(INDEX(Models!$BJ298:$BT298,,AH298)*(1-AF298)+INDEX(Models!$BJ298:$BT298,,AH298+1)*AF298-ERP_i)*AE298*Ramure*Pc/MaxiM</f>
        <v>7.2412335387854953E-4</v>
      </c>
      <c r="AE298" s="305">
        <f t="shared" si="113"/>
        <v>0.7</v>
      </c>
      <c r="AF298" s="177">
        <f t="shared" si="114"/>
        <v>0.19688278098893308</v>
      </c>
      <c r="AG298" s="176">
        <f t="shared" si="115"/>
        <v>-1</v>
      </c>
      <c r="AH298" s="176">
        <f t="shared" si="116"/>
        <v>5</v>
      </c>
      <c r="AI298" s="225">
        <f t="shared" si="117"/>
        <v>-0.80311721901106692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6">
        <v>19.332999999999998</v>
      </c>
      <c r="C299" s="390"/>
      <c r="D299" s="393">
        <f t="shared" si="99"/>
        <v>19.530614857251102</v>
      </c>
      <c r="E299" s="385">
        <f t="shared" si="121"/>
        <v>20.933982788888915</v>
      </c>
      <c r="F299" s="385">
        <f t="shared" si="100"/>
        <v>20.940427954551275</v>
      </c>
      <c r="G299" s="110">
        <f t="shared" si="122"/>
        <v>0.58719960009305339</v>
      </c>
      <c r="H299" s="414" t="b">
        <f>Wh_hp&gt;='2018'!Maxi_hp</f>
        <v>0</v>
      </c>
      <c r="I299" s="390">
        <f>IF(H299,Wh_hp,'2018'!Maxi_hp)</f>
        <v>31.748026689972871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1.0118209728442573E-2</v>
      </c>
      <c r="M299" s="844"/>
      <c r="N299" s="844"/>
      <c r="O299" s="48">
        <f>IF(t&lt;Tnet,'2018'!Resal+('2018'!Salim-'2018'!Resal)*(1-EXP(('2018'!Tnet-t)/('2018'!Tau_j))),Resal+(Salim-Resal)*(1-EXP((Tnet-t)/(Tau_j))))*Salcycl</f>
        <v>6.7037789501894346E-2</v>
      </c>
      <c r="P299" s="169">
        <f>(INDEX(Models!$BJ299:$BT299,,T299)*(1-R299)+INDEX(Models!$BJ299:$BT299,,T299+1)*R299-ERP_i)*Q299*Ramure*Pc/MaxiM</f>
        <v>7.4949787815788626E-4</v>
      </c>
      <c r="Q299" s="305">
        <f t="shared" si="102"/>
        <v>0.7</v>
      </c>
      <c r="R299" s="177">
        <f t="shared" si="103"/>
        <v>0.19698441325685423</v>
      </c>
      <c r="S299" s="810">
        <f t="shared" si="104"/>
        <v>-1</v>
      </c>
      <c r="T299" s="176">
        <f t="shared" si="105"/>
        <v>5</v>
      </c>
      <c r="U299" s="251">
        <f t="shared" si="106"/>
        <v>-0.80301558674314577</v>
      </c>
      <c r="V299" s="383">
        <f t="shared" si="107"/>
        <v>32.909521306714467</v>
      </c>
      <c r="W299" s="58"/>
      <c r="X299" s="157">
        <f t="shared" si="108"/>
        <v>43750</v>
      </c>
      <c r="Y299" s="385">
        <f t="shared" si="109"/>
        <v>19.332999999999998</v>
      </c>
      <c r="Z299" s="385">
        <f t="shared" si="110"/>
        <v>19.530614857251102</v>
      </c>
      <c r="AA299" s="386">
        <f t="shared" si="111"/>
        <v>20.933982788888915</v>
      </c>
      <c r="AB299" s="197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6.7037789501894346E-2</v>
      </c>
      <c r="AD299" s="231">
        <f>(INDEX(Models!$BJ299:$BT299,,AH299)*(1-AF299)+INDEX(Models!$BJ299:$BT299,,AH299+1)*AF299-ERP_i)*AE299*Ramure*Pc/MaxiM</f>
        <v>7.4949787815788626E-4</v>
      </c>
      <c r="AE299" s="305">
        <f t="shared" si="113"/>
        <v>0.7</v>
      </c>
      <c r="AF299" s="177">
        <f t="shared" si="114"/>
        <v>0.19698441325685423</v>
      </c>
      <c r="AG299" s="176">
        <f t="shared" si="115"/>
        <v>-1</v>
      </c>
      <c r="AH299" s="176">
        <f t="shared" si="116"/>
        <v>5</v>
      </c>
      <c r="AI299" s="225">
        <f t="shared" si="117"/>
        <v>-0.80301558674314577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6">
        <v>31.931000000000001</v>
      </c>
      <c r="C300" s="390"/>
      <c r="D300" s="393">
        <f t="shared" si="99"/>
        <v>32.258137701019059</v>
      </c>
      <c r="E300" s="385">
        <f t="shared" si="121"/>
        <v>34.579137825036831</v>
      </c>
      <c r="F300" s="385">
        <f t="shared" si="100"/>
        <v>34.605373713118908</v>
      </c>
      <c r="G300" s="110">
        <f t="shared" si="122"/>
        <v>0.98112441589438915</v>
      </c>
      <c r="H300" s="414" t="b">
        <f>Wh_hp&gt;='2018'!Maxi_hp</f>
        <v>1</v>
      </c>
      <c r="I300" s="390">
        <f>IF(H300,Wh_hp,'2018'!Maxi_hp)</f>
        <v>34.605373713118908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1.0141245723826353E-2</v>
      </c>
      <c r="M300" s="844"/>
      <c r="N300" s="844"/>
      <c r="O300" s="48">
        <f>IF(t&lt;Tnet,'2018'!Resal+('2018'!Salim-'2018'!Resal)*(1-EXP(('2018'!Tnet-t)/('2018'!Tau_j))),Resal+(Salim-Resal)*(1-EXP((Tnet-t)/(Tau_j))))*Salcycl</f>
        <v>6.7121399491263806E-2</v>
      </c>
      <c r="P300" s="169">
        <f>(INDEX(Models!$BJ300:$BT300,,T300)*(1-R300)+INDEX(Models!$BJ300:$BT300,,T300+1)*R300-ERP_i)*Q300*Ramure*Pc/MaxiM</f>
        <v>7.7913134876019137E-4</v>
      </c>
      <c r="Q300" s="305">
        <f t="shared" si="102"/>
        <v>0.7</v>
      </c>
      <c r="R300" s="177">
        <f t="shared" si="103"/>
        <v>0.19708200232052953</v>
      </c>
      <c r="S300" s="810">
        <f t="shared" si="104"/>
        <v>-1</v>
      </c>
      <c r="T300" s="176">
        <f t="shared" si="105"/>
        <v>5</v>
      </c>
      <c r="U300" s="251">
        <f t="shared" si="106"/>
        <v>-0.80291799767947047</v>
      </c>
      <c r="V300" s="383">
        <f t="shared" si="107"/>
        <v>32.54462824127792</v>
      </c>
      <c r="W300" s="58"/>
      <c r="X300" s="157">
        <f t="shared" si="108"/>
        <v>43751</v>
      </c>
      <c r="Y300" s="385">
        <f t="shared" si="109"/>
        <v>31.930999999999997</v>
      </c>
      <c r="Z300" s="385">
        <f t="shared" si="110"/>
        <v>32.258137701019059</v>
      </c>
      <c r="AA300" s="386">
        <f t="shared" si="111"/>
        <v>34.579137825036831</v>
      </c>
      <c r="AB300" s="197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6.7121399491263806E-2</v>
      </c>
      <c r="AD300" s="231">
        <f>(INDEX(Models!$BJ300:$BT300,,AH300)*(1-AF300)+INDEX(Models!$BJ300:$BT300,,AH300+1)*AF300-ERP_i)*AE300*Ramure*Pc/MaxiM</f>
        <v>7.7913134876019137E-4</v>
      </c>
      <c r="AE300" s="305">
        <f t="shared" si="113"/>
        <v>0.7</v>
      </c>
      <c r="AF300" s="177">
        <f t="shared" si="114"/>
        <v>0.19708200232052953</v>
      </c>
      <c r="AG300" s="176">
        <f t="shared" si="115"/>
        <v>-1</v>
      </c>
      <c r="AH300" s="176">
        <f t="shared" si="116"/>
        <v>5</v>
      </c>
      <c r="AI300" s="225">
        <f t="shared" si="117"/>
        <v>-0.80291799767947047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6">
        <v>9.9130000000000003</v>
      </c>
      <c r="C301" s="390"/>
      <c r="D301" s="393">
        <f t="shared" si="99"/>
        <v>10.01479317380948</v>
      </c>
      <c r="E301" s="385">
        <f t="shared" si="121"/>
        <v>10.736314758018359</v>
      </c>
      <c r="F301" s="385">
        <f t="shared" si="100"/>
        <v>10.736414818956444</v>
      </c>
      <c r="G301" s="110">
        <f t="shared" si="122"/>
        <v>0.30777571434860962</v>
      </c>
      <c r="H301" s="414" t="b">
        <f>Wh_hp&gt;='2018'!Maxi_hp</f>
        <v>0</v>
      </c>
      <c r="I301" s="390">
        <f>IF(H301,Wh_hp,'2018'!Maxi_hp)</f>
        <v>30.769590122587346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1.0164281183128954E-2</v>
      </c>
      <c r="M301" s="844"/>
      <c r="N301" s="844"/>
      <c r="O301" s="48">
        <f>IF(t&lt;Tnet,'2018'!Resal+('2018'!Salim-'2018'!Resal)*(1-EXP(('2018'!Tnet-t)/('2018'!Tau_j))),Resal+(Salim-Resal)*(1-EXP((Tnet-t)/(Tau_j))))*Salcycl</f>
        <v>6.7203840467700088E-2</v>
      </c>
      <c r="P301" s="169">
        <f>(INDEX(Models!$BJ301:$BT301,,T301)*(1-R301)+INDEX(Models!$BJ301:$BT301,,T301+1)*R301-ERP_i)*Q301*Ramure*Pc/MaxiM</f>
        <v>8.1311153142601023E-4</v>
      </c>
      <c r="Q301" s="305">
        <f t="shared" si="102"/>
        <v>0.7</v>
      </c>
      <c r="R301" s="177">
        <f t="shared" si="103"/>
        <v>0.19717570715315424</v>
      </c>
      <c r="S301" s="810">
        <f t="shared" si="104"/>
        <v>-1</v>
      </c>
      <c r="T301" s="176">
        <f t="shared" si="105"/>
        <v>5</v>
      </c>
      <c r="U301" s="251">
        <f t="shared" si="106"/>
        <v>-0.80282429284684576</v>
      </c>
      <c r="V301" s="383">
        <f t="shared" si="107"/>
        <v>32.182630000523687</v>
      </c>
      <c r="W301" s="58"/>
      <c r="X301" s="157">
        <f t="shared" si="108"/>
        <v>43752</v>
      </c>
      <c r="Y301" s="385">
        <f t="shared" si="109"/>
        <v>9.9130000000000003</v>
      </c>
      <c r="Z301" s="385">
        <f t="shared" si="110"/>
        <v>10.01479317380948</v>
      </c>
      <c r="AA301" s="386">
        <f t="shared" si="111"/>
        <v>10.736314758018359</v>
      </c>
      <c r="AB301" s="197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6.7203840467700088E-2</v>
      </c>
      <c r="AD301" s="231">
        <f>(INDEX(Models!$BJ301:$BT301,,AH301)*(1-AF301)+INDEX(Models!$BJ301:$BT301,,AH301+1)*AF301-ERP_i)*AE301*Ramure*Pc/MaxiM</f>
        <v>8.1311153142601023E-4</v>
      </c>
      <c r="AE301" s="305">
        <f t="shared" si="113"/>
        <v>0.7</v>
      </c>
      <c r="AF301" s="177">
        <f t="shared" si="114"/>
        <v>0.19717570715315424</v>
      </c>
      <c r="AG301" s="176">
        <f t="shared" si="115"/>
        <v>-1</v>
      </c>
      <c r="AH301" s="176">
        <f t="shared" si="116"/>
        <v>5</v>
      </c>
      <c r="AI301" s="225">
        <f t="shared" si="117"/>
        <v>-0.80282429284684576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6">
        <v>26.783000000000001</v>
      </c>
      <c r="C302" s="390"/>
      <c r="D302" s="393">
        <f t="shared" si="99"/>
        <v>27.058655072638</v>
      </c>
      <c r="E302" s="385">
        <f t="shared" si="121"/>
        <v>29.010639624852981</v>
      </c>
      <c r="F302" s="385">
        <f t="shared" si="100"/>
        <v>29.02976567365679</v>
      </c>
      <c r="G302" s="110">
        <f t="shared" si="122"/>
        <v>0.84144248330348559</v>
      </c>
      <c r="H302" s="414" t="b">
        <f>Wh_hp&gt;='2018'!Maxi_hp</f>
        <v>1</v>
      </c>
      <c r="I302" s="390">
        <f>IF(H302,Wh_hp,'2018'!Maxi_hp)</f>
        <v>29.02976567365679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1.0187316106362698E-2</v>
      </c>
      <c r="M302" s="844"/>
      <c r="N302" s="844"/>
      <c r="O302" s="48">
        <f>IF(t&lt;Tnet,'2018'!Resal+('2018'!Salim-'2018'!Resal)*(1-EXP(('2018'!Tnet-t)/('2018'!Tau_j))),Resal+(Salim-Resal)*(1-EXP((Tnet-t)/(Tau_j))))*Salcycl</f>
        <v>6.7285126334917067E-2</v>
      </c>
      <c r="P302" s="169">
        <f>(INDEX(Models!$BJ302:$BT302,,T302)*(1-R302)+INDEX(Models!$BJ302:$BT302,,T302+1)*R302-ERP_i)*Q302*Ramure*Pc/MaxiM</f>
        <v>8.5152480380021973E-4</v>
      </c>
      <c r="Q302" s="305">
        <f t="shared" si="102"/>
        <v>0.7</v>
      </c>
      <c r="R302" s="177">
        <f t="shared" si="103"/>
        <v>0.197265680624647</v>
      </c>
      <c r="S302" s="810">
        <f t="shared" si="104"/>
        <v>-1</v>
      </c>
      <c r="T302" s="176">
        <f t="shared" si="105"/>
        <v>5</v>
      </c>
      <c r="U302" s="251">
        <f t="shared" si="106"/>
        <v>-0.802734319375353</v>
      </c>
      <c r="V302" s="383">
        <f t="shared" si="107"/>
        <v>31.823727139915253</v>
      </c>
      <c r="W302" s="58"/>
      <c r="X302" s="157">
        <f t="shared" si="108"/>
        <v>43753</v>
      </c>
      <c r="Y302" s="385">
        <f t="shared" si="109"/>
        <v>26.783000000000001</v>
      </c>
      <c r="Z302" s="385">
        <f t="shared" si="110"/>
        <v>27.058655072638</v>
      </c>
      <c r="AA302" s="386">
        <f t="shared" si="111"/>
        <v>29.010639624852981</v>
      </c>
      <c r="AB302" s="197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6.7285126334917067E-2</v>
      </c>
      <c r="AD302" s="231">
        <f>(INDEX(Models!$BJ302:$BT302,,AH302)*(1-AF302)+INDEX(Models!$BJ302:$BT302,,AH302+1)*AF302-ERP_i)*AE302*Ramure*Pc/MaxiM</f>
        <v>8.5152480380021973E-4</v>
      </c>
      <c r="AE302" s="305">
        <f t="shared" si="113"/>
        <v>0.7</v>
      </c>
      <c r="AF302" s="177">
        <f t="shared" si="114"/>
        <v>0.197265680624647</v>
      </c>
      <c r="AG302" s="176">
        <f t="shared" si="115"/>
        <v>-1</v>
      </c>
      <c r="AH302" s="176">
        <f t="shared" si="116"/>
        <v>5</v>
      </c>
      <c r="AI302" s="225">
        <f t="shared" si="117"/>
        <v>-0.802734319375353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6">
        <v>27.052</v>
      </c>
      <c r="C303" s="390"/>
      <c r="D303" s="393">
        <f t="shared" si="99"/>
        <v>27.331059698885493</v>
      </c>
      <c r="E303" s="385">
        <f t="shared" si="121"/>
        <v>29.305213449235829</v>
      </c>
      <c r="F303" s="385">
        <f t="shared" si="100"/>
        <v>29.326186481279166</v>
      </c>
      <c r="G303" s="110">
        <f t="shared" si="122"/>
        <v>0.85952321179098168</v>
      </c>
      <c r="H303" s="414" t="b">
        <f>Wh_hp&gt;='2018'!Maxi_hp</f>
        <v>1</v>
      </c>
      <c r="I303" s="390">
        <f>IF(H303,Wh_hp,'2018'!Maxi_hp)</f>
        <v>29.326186481279166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1.0210350493540243E-2</v>
      </c>
      <c r="M303" s="844"/>
      <c r="N303" s="844"/>
      <c r="O303" s="48">
        <f>IF(t&lt;Tnet,'2018'!Resal+('2018'!Salim-'2018'!Resal)*(1-EXP(('2018'!Tnet-t)/('2018'!Tau_j))),Resal+(Salim-Resal)*(1-EXP((Tnet-t)/(Tau_j))))*Salcycl</f>
        <v>6.7365274570344941E-2</v>
      </c>
      <c r="P303" s="169">
        <f>(INDEX(Models!$BJ303:$BT303,,T303)*(1-R303)+INDEX(Models!$BJ303:$BT303,,T303+1)*R303-ERP_i)*Q303*Ramure*Pc/MaxiM</f>
        <v>8.9447013727410709E-4</v>
      </c>
      <c r="Q303" s="305">
        <f t="shared" si="102"/>
        <v>0.7</v>
      </c>
      <c r="R303" s="177">
        <f t="shared" si="103"/>
        <v>0.19735206972435337</v>
      </c>
      <c r="S303" s="810">
        <f t="shared" si="104"/>
        <v>-1</v>
      </c>
      <c r="T303" s="176">
        <f t="shared" si="105"/>
        <v>5</v>
      </c>
      <c r="U303" s="251">
        <f t="shared" si="106"/>
        <v>-0.80264793027564663</v>
      </c>
      <c r="V303" s="383">
        <f t="shared" si="107"/>
        <v>31.467615495621065</v>
      </c>
      <c r="W303" s="58"/>
      <c r="X303" s="157">
        <f t="shared" si="108"/>
        <v>43754</v>
      </c>
      <c r="Y303" s="385">
        <f t="shared" si="109"/>
        <v>27.052</v>
      </c>
      <c r="Z303" s="385">
        <f t="shared" si="110"/>
        <v>27.331059698885493</v>
      </c>
      <c r="AA303" s="386">
        <f t="shared" si="111"/>
        <v>29.305213449235829</v>
      </c>
      <c r="AB303" s="197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6.7365274570344941E-2</v>
      </c>
      <c r="AD303" s="231">
        <f>(INDEX(Models!$BJ303:$BT303,,AH303)*(1-AF303)+INDEX(Models!$BJ303:$BT303,,AH303+1)*AF303-ERP_i)*AE303*Ramure*Pc/MaxiM</f>
        <v>8.9447013727410709E-4</v>
      </c>
      <c r="AE303" s="305">
        <f t="shared" si="113"/>
        <v>0.7</v>
      </c>
      <c r="AF303" s="177">
        <f t="shared" si="114"/>
        <v>0.19735206972435337</v>
      </c>
      <c r="AG303" s="176">
        <f t="shared" si="115"/>
        <v>-1</v>
      </c>
      <c r="AH303" s="176">
        <f t="shared" si="116"/>
        <v>5</v>
      </c>
      <c r="AI303" s="225">
        <f t="shared" si="117"/>
        <v>-0.80264793027564663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6">
        <v>18.768999999999998</v>
      </c>
      <c r="C304" s="390"/>
      <c r="D304" s="393">
        <f t="shared" si="99"/>
        <v>18.963056242883088</v>
      </c>
      <c r="E304" s="385">
        <f t="shared" si="121"/>
        <v>20.334502669112428</v>
      </c>
      <c r="F304" s="385">
        <f t="shared" si="100"/>
        <v>20.342776088802346</v>
      </c>
      <c r="G304" s="110">
        <f t="shared" si="122"/>
        <v>0.6029129791067287</v>
      </c>
      <c r="H304" s="414" t="b">
        <f>Wh_hp&gt;='2018'!Maxi_hp</f>
        <v>0</v>
      </c>
      <c r="I304" s="390">
        <f>IF(H304,Wh_hp,'2018'!Maxi_hp)</f>
        <v>22.10206989722602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1.0233384344673802E-2</v>
      </c>
      <c r="M304" s="844"/>
      <c r="N304" s="844"/>
      <c r="O304" s="48">
        <f>IF(t&lt;Tnet,'2018'!Resal+('2018'!Salim-'2018'!Resal)*(1-EXP(('2018'!Tnet-t)/('2018'!Tau_j))),Resal+(Salim-Resal)*(1-EXP((Tnet-t)/(Tau_j))))*Salcycl</f>
        <v>6.7444306287978692E-2</v>
      </c>
      <c r="P304" s="169">
        <f>(INDEX(Models!$BJ304:$BT304,,T304)*(1-R304)+INDEX(Models!$BJ304:$BT304,,T304+1)*R304-ERP_i)*Q304*Ramure*Pc/MaxiM</f>
        <v>9.3884697674463322E-4</v>
      </c>
      <c r="Q304" s="305">
        <f t="shared" si="102"/>
        <v>0.7</v>
      </c>
      <c r="R304" s="177">
        <f t="shared" si="103"/>
        <v>0.19743501577654932</v>
      </c>
      <c r="S304" s="810">
        <f t="shared" si="104"/>
        <v>-1</v>
      </c>
      <c r="T304" s="176">
        <f t="shared" si="105"/>
        <v>5</v>
      </c>
      <c r="U304" s="251">
        <f t="shared" si="106"/>
        <v>-0.80256498422345068</v>
      </c>
      <c r="V304" s="383">
        <f t="shared" si="107"/>
        <v>31.113956294559728</v>
      </c>
      <c r="W304" s="58"/>
      <c r="X304" s="157">
        <f t="shared" si="108"/>
        <v>43755</v>
      </c>
      <c r="Y304" s="385">
        <f t="shared" si="109"/>
        <v>18.768999999999998</v>
      </c>
      <c r="Z304" s="385">
        <f t="shared" si="110"/>
        <v>18.963056242883088</v>
      </c>
      <c r="AA304" s="386">
        <f t="shared" si="111"/>
        <v>20.334502669112428</v>
      </c>
      <c r="AB304" s="197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6.7444306287978692E-2</v>
      </c>
      <c r="AD304" s="231">
        <f>(INDEX(Models!$BJ304:$BT304,,AH304)*(1-AF304)+INDEX(Models!$BJ304:$BT304,,AH304+1)*AF304-ERP_i)*AE304*Ramure*Pc/MaxiM</f>
        <v>9.3884697674463322E-4</v>
      </c>
      <c r="AE304" s="305">
        <f t="shared" si="113"/>
        <v>0.7</v>
      </c>
      <c r="AF304" s="177">
        <f t="shared" si="114"/>
        <v>0.19743501577654932</v>
      </c>
      <c r="AG304" s="176">
        <f t="shared" si="115"/>
        <v>-1</v>
      </c>
      <c r="AH304" s="176">
        <f t="shared" si="116"/>
        <v>5</v>
      </c>
      <c r="AI304" s="225">
        <f t="shared" si="117"/>
        <v>-0.80256498422345068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6">
        <v>14.234999999999999</v>
      </c>
      <c r="C305" s="390"/>
      <c r="D305" s="393">
        <f t="shared" si="99"/>
        <v>14.382513060950291</v>
      </c>
      <c r="E305" s="385">
        <f t="shared" si="121"/>
        <v>15.4239744632861</v>
      </c>
      <c r="F305" s="385">
        <f t="shared" si="100"/>
        <v>15.427497173886412</v>
      </c>
      <c r="G305" s="110">
        <f t="shared" si="122"/>
        <v>0.46238494178825784</v>
      </c>
      <c r="H305" s="414" t="b">
        <f>Wh_hp&gt;='2018'!Maxi_hp</f>
        <v>1</v>
      </c>
      <c r="I305" s="390">
        <f>IF(H305,Wh_hp,'2018'!Maxi_hp)</f>
        <v>15.427497173886412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1.025641765977614E-2</v>
      </c>
      <c r="M305" s="844"/>
      <c r="N305" s="844"/>
      <c r="O305" s="48">
        <f>IF(t&lt;Tnet,'2018'!Resal+('2018'!Salim-'2018'!Resal)*(1-EXP(('2018'!Tnet-t)/('2018'!Tau_j))),Resal+(Salim-Resal)*(1-EXP((Tnet-t)/(Tau_j))))*Salcycl</f>
        <v>6.7522246280607712E-2</v>
      </c>
      <c r="P305" s="169">
        <f>(INDEX(Models!$BJ305:$BT305,,T305)*(1-R305)+INDEX(Models!$BJ305:$BT305,,T305+1)*R305-ERP_i)*Q305*Ramure*Pc/MaxiM</f>
        <v>9.8220378895832604E-4</v>
      </c>
      <c r="Q305" s="305">
        <f t="shared" si="102"/>
        <v>0.7</v>
      </c>
      <c r="R305" s="177">
        <f t="shared" si="103"/>
        <v>0.19751465464890172</v>
      </c>
      <c r="S305" s="810">
        <f t="shared" si="104"/>
        <v>-1</v>
      </c>
      <c r="T305" s="176">
        <f t="shared" si="105"/>
        <v>5</v>
      </c>
      <c r="U305" s="251">
        <f t="shared" si="106"/>
        <v>-0.80248534535109828</v>
      </c>
      <c r="V305" s="383">
        <f t="shared" si="107"/>
        <v>30.762823372304648</v>
      </c>
      <c r="W305" s="58"/>
      <c r="X305" s="157">
        <f t="shared" si="108"/>
        <v>43756</v>
      </c>
      <c r="Y305" s="385">
        <f t="shared" si="109"/>
        <v>14.234999999999999</v>
      </c>
      <c r="Z305" s="385">
        <f t="shared" si="110"/>
        <v>14.382513060950291</v>
      </c>
      <c r="AA305" s="386">
        <f t="shared" si="111"/>
        <v>15.4239744632861</v>
      </c>
      <c r="AB305" s="197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6.7522246280607712E-2</v>
      </c>
      <c r="AD305" s="231">
        <f>(INDEX(Models!$BJ305:$BT305,,AH305)*(1-AF305)+INDEX(Models!$BJ305:$BT305,,AH305+1)*AF305-ERP_i)*AE305*Ramure*Pc/MaxiM</f>
        <v>9.8220378895832604E-4</v>
      </c>
      <c r="AE305" s="305">
        <f t="shared" si="113"/>
        <v>0.7</v>
      </c>
      <c r="AF305" s="177">
        <f t="shared" si="114"/>
        <v>0.19751465464890172</v>
      </c>
      <c r="AG305" s="176">
        <f t="shared" si="115"/>
        <v>-1</v>
      </c>
      <c r="AH305" s="176">
        <f t="shared" si="116"/>
        <v>5</v>
      </c>
      <c r="AI305" s="225">
        <f t="shared" si="117"/>
        <v>-0.80248534535109828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6">
        <v>26.096</v>
      </c>
      <c r="C306" s="390"/>
      <c r="D306" s="393">
        <f t="shared" si="99"/>
        <v>26.367038667198962</v>
      </c>
      <c r="E306" s="385">
        <f t="shared" si="121"/>
        <v>28.27865065204508</v>
      </c>
      <c r="F306" s="385">
        <f t="shared" si="100"/>
        <v>28.301764849909063</v>
      </c>
      <c r="G306" s="110">
        <f t="shared" si="122"/>
        <v>0.85784144354865177</v>
      </c>
      <c r="H306" s="414" t="b">
        <f>Wh_hp&gt;='2018'!Maxi_hp</f>
        <v>1</v>
      </c>
      <c r="I306" s="390">
        <f>IF(H306,Wh_hp,'2018'!Maxi_hp)</f>
        <v>28.301764849909063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1.0279450438859472E-2</v>
      </c>
      <c r="M306" s="844"/>
      <c r="N306" s="844"/>
      <c r="O306" s="48">
        <f>IF(t&lt;Tnet,'2018'!Resal+('2018'!Salim-'2018'!Resal)*(1-EXP(('2018'!Tnet-t)/('2018'!Tau_j))),Resal+(Salim-Resal)*(1-EXP((Tnet-t)/(Tau_j))))*Salcycl</f>
        <v>6.7599123040472039E-2</v>
      </c>
      <c r="P306" s="169">
        <f>(INDEX(Models!$BJ306:$BT306,,T306)*(1-R306)+INDEX(Models!$BJ306:$BT306,,T306+1)*R306-ERP_i)*Q306*Ramure*Pc/MaxiM</f>
        <v>1.0245040351768665E-3</v>
      </c>
      <c r="Q306" s="305">
        <f t="shared" si="102"/>
        <v>0.7</v>
      </c>
      <c r="R306" s="177">
        <f t="shared" si="103"/>
        <v>0.19759111695404574</v>
      </c>
      <c r="S306" s="810">
        <f t="shared" si="104"/>
        <v>-1</v>
      </c>
      <c r="T306" s="176">
        <f t="shared" si="105"/>
        <v>5</v>
      </c>
      <c r="U306" s="251">
        <f t="shared" si="106"/>
        <v>-0.80240888304595426</v>
      </c>
      <c r="V306" s="383">
        <f t="shared" si="107"/>
        <v>30.414213541232414</v>
      </c>
      <c r="W306" s="58"/>
      <c r="X306" s="157">
        <f t="shared" si="108"/>
        <v>43757</v>
      </c>
      <c r="Y306" s="385">
        <f t="shared" si="109"/>
        <v>26.096</v>
      </c>
      <c r="Z306" s="385">
        <f t="shared" si="110"/>
        <v>26.367038667198962</v>
      </c>
      <c r="AA306" s="386">
        <f t="shared" si="111"/>
        <v>28.27865065204508</v>
      </c>
      <c r="AB306" s="197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6.7599123040472039E-2</v>
      </c>
      <c r="AD306" s="231">
        <f>(INDEX(Models!$BJ306:$BT306,,AH306)*(1-AF306)+INDEX(Models!$BJ306:$BT306,,AH306+1)*AF306-ERP_i)*AE306*Ramure*Pc/MaxiM</f>
        <v>1.0245040351768665E-3</v>
      </c>
      <c r="AE306" s="305">
        <f t="shared" si="113"/>
        <v>0.7</v>
      </c>
      <c r="AF306" s="177">
        <f t="shared" si="114"/>
        <v>0.19759111695404574</v>
      </c>
      <c r="AG306" s="176">
        <f t="shared" si="115"/>
        <v>-1</v>
      </c>
      <c r="AH306" s="176">
        <f t="shared" si="116"/>
        <v>5</v>
      </c>
      <c r="AI306" s="225">
        <f t="shared" si="117"/>
        <v>-0.80240888304595426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6">
        <v>11.313000000000001</v>
      </c>
      <c r="C307" s="390"/>
      <c r="D307" s="393">
        <f t="shared" si="99"/>
        <v>11.43076526114422</v>
      </c>
      <c r="E307" s="385">
        <f t="shared" si="121"/>
        <v>12.260493795721819</v>
      </c>
      <c r="F307" s="385">
        <f t="shared" si="100"/>
        <v>12.26191715659661</v>
      </c>
      <c r="G307" s="110">
        <f t="shared" si="122"/>
        <v>0.37588829133101803</v>
      </c>
      <c r="H307" s="414" t="b">
        <f>Wh_hp&gt;='2018'!Maxi_hp</f>
        <v>1</v>
      </c>
      <c r="I307" s="390">
        <f>IF(H307,Wh_hp,'2018'!Maxi_hp)</f>
        <v>12.26191715659661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1.0302482681936453E-2</v>
      </c>
      <c r="M307" s="844"/>
      <c r="N307" s="844"/>
      <c r="O307" s="48">
        <f>IF(t&lt;Tnet,'2018'!Resal+('2018'!Salim-'2018'!Resal)*(1-EXP(('2018'!Tnet-t)/('2018'!Tau_j))),Resal+(Salim-Resal)*(1-EXP((Tnet-t)/(Tau_j))))*Salcycl</f>
        <v>6.7674968757549234E-2</v>
      </c>
      <c r="P307" s="169">
        <f>(INDEX(Models!$BJ307:$BT307,,T307)*(1-R307)+INDEX(Models!$BJ307:$BT307,,T307+1)*R307-ERP_i)*Q307*Ramure*Pc/MaxiM</f>
        <v>1.0657117207877535E-3</v>
      </c>
      <c r="Q307" s="305">
        <f t="shared" si="102"/>
        <v>0.7</v>
      </c>
      <c r="R307" s="177">
        <f t="shared" si="103"/>
        <v>0.19766452824444047</v>
      </c>
      <c r="S307" s="810">
        <f t="shared" si="104"/>
        <v>-1</v>
      </c>
      <c r="T307" s="176">
        <f t="shared" si="105"/>
        <v>5</v>
      </c>
      <c r="U307" s="251">
        <f t="shared" si="106"/>
        <v>-0.80233547175555953</v>
      </c>
      <c r="V307" s="383">
        <f t="shared" si="107"/>
        <v>30.068123502416586</v>
      </c>
      <c r="W307" s="58"/>
      <c r="X307" s="157">
        <f t="shared" si="108"/>
        <v>43758</v>
      </c>
      <c r="Y307" s="385">
        <f t="shared" si="109"/>
        <v>11.313000000000001</v>
      </c>
      <c r="Z307" s="385">
        <f t="shared" si="110"/>
        <v>11.43076526114422</v>
      </c>
      <c r="AA307" s="386">
        <f t="shared" si="111"/>
        <v>12.260493795721819</v>
      </c>
      <c r="AB307" s="197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6.7674968757549234E-2</v>
      </c>
      <c r="AD307" s="231">
        <f>(INDEX(Models!$BJ307:$BT307,,AH307)*(1-AF307)+INDEX(Models!$BJ307:$BT307,,AH307+1)*AF307-ERP_i)*AE307*Ramure*Pc/MaxiM</f>
        <v>1.0657117207877535E-3</v>
      </c>
      <c r="AE307" s="305">
        <f t="shared" si="113"/>
        <v>0.7</v>
      </c>
      <c r="AF307" s="177">
        <f t="shared" si="114"/>
        <v>0.19766452824444047</v>
      </c>
      <c r="AG307" s="176">
        <f t="shared" si="115"/>
        <v>-1</v>
      </c>
      <c r="AH307" s="176">
        <f t="shared" si="116"/>
        <v>5</v>
      </c>
      <c r="AI307" s="225">
        <f t="shared" si="117"/>
        <v>-0.80233547175555953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6">
        <v>21.684999999999999</v>
      </c>
      <c r="C308" s="390"/>
      <c r="D308" s="393">
        <f t="shared" si="99"/>
        <v>21.911244874230189</v>
      </c>
      <c r="E308" s="385">
        <f t="shared" si="121"/>
        <v>23.503610219368927</v>
      </c>
      <c r="F308" s="385">
        <f t="shared" si="100"/>
        <v>23.519569000870998</v>
      </c>
      <c r="G308" s="110">
        <f t="shared" si="122"/>
        <v>0.72921974250861044</v>
      </c>
      <c r="H308" s="414" t="b">
        <f>Wh_hp&gt;='2018'!Maxi_hp</f>
        <v>1</v>
      </c>
      <c r="I308" s="390">
        <f>IF(H308,Wh_hp,'2018'!Maxi_hp)</f>
        <v>23.519569000870998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1.0325514389019408E-2</v>
      </c>
      <c r="M308" s="844"/>
      <c r="N308" s="844"/>
      <c r="O308" s="48">
        <f>IF(t&lt;Tnet,'2018'!Resal+('2018'!Salim-'2018'!Resal)*(1-EXP(('2018'!Tnet-t)/('2018'!Tau_j))),Resal+(Salim-Resal)*(1-EXP((Tnet-t)/(Tau_j))))*Salcycl</f>
        <v>6.77498192948459E-2</v>
      </c>
      <c r="P308" s="169">
        <f>(INDEX(Models!$BJ308:$BT308,,T308)*(1-R308)+INDEX(Models!$BJ308:$BT308,,T308+1)*R308-ERP_i)*Q308*Ramure*Pc/MaxiM</f>
        <v>1.1057914711818438E-3</v>
      </c>
      <c r="Q308" s="305">
        <f t="shared" si="102"/>
        <v>0.7</v>
      </c>
      <c r="R308" s="177">
        <f t="shared" si="103"/>
        <v>0.19773500920066867</v>
      </c>
      <c r="S308" s="810">
        <f t="shared" si="104"/>
        <v>-1</v>
      </c>
      <c r="T308" s="176">
        <f t="shared" si="105"/>
        <v>5</v>
      </c>
      <c r="U308" s="251">
        <f t="shared" si="106"/>
        <v>-0.80226499079933133</v>
      </c>
      <c r="V308" s="383">
        <f t="shared" si="107"/>
        <v>29.724549851128508</v>
      </c>
      <c r="W308" s="58"/>
      <c r="X308" s="157">
        <f t="shared" si="108"/>
        <v>43759</v>
      </c>
      <c r="Y308" s="385">
        <f t="shared" si="109"/>
        <v>21.684999999999999</v>
      </c>
      <c r="Z308" s="385">
        <f t="shared" si="110"/>
        <v>21.911244874230189</v>
      </c>
      <c r="AA308" s="386">
        <f t="shared" si="111"/>
        <v>23.503610219368927</v>
      </c>
      <c r="AB308" s="197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6.77498192948459E-2</v>
      </c>
      <c r="AD308" s="231">
        <f>(INDEX(Models!$BJ308:$BT308,,AH308)*(1-AF308)+INDEX(Models!$BJ308:$BT308,,AH308+1)*AF308-ERP_i)*AE308*Ramure*Pc/MaxiM</f>
        <v>1.1057914711818438E-3</v>
      </c>
      <c r="AE308" s="305">
        <f t="shared" si="113"/>
        <v>0.7</v>
      </c>
      <c r="AF308" s="177">
        <f t="shared" si="114"/>
        <v>0.19773500920066867</v>
      </c>
      <c r="AG308" s="176">
        <f t="shared" si="115"/>
        <v>-1</v>
      </c>
      <c r="AH308" s="176">
        <f t="shared" si="116"/>
        <v>5</v>
      </c>
      <c r="AI308" s="225">
        <f t="shared" si="117"/>
        <v>-0.80226499079933133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6">
        <v>4.66</v>
      </c>
      <c r="C309" s="390"/>
      <c r="D309" s="393">
        <f t="shared" si="99"/>
        <v>4.7087284913226926</v>
      </c>
      <c r="E309" s="385">
        <f t="shared" si="121"/>
        <v>5.051328340733102</v>
      </c>
      <c r="F309" s="385">
        <f t="shared" si="100"/>
        <v>5.051328340733102</v>
      </c>
      <c r="G309" s="110">
        <f t="shared" si="122"/>
        <v>0.15841092405370782</v>
      </c>
      <c r="H309" s="414" t="b">
        <f>Wh_hp&gt;='2018'!Maxi_hp</f>
        <v>0</v>
      </c>
      <c r="I309" s="390">
        <f>IF(H309,Wh_hp,'2018'!Maxi_hp)</f>
        <v>22.645431750652453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1.0348545560120992E-2</v>
      </c>
      <c r="M309" s="844"/>
      <c r="N309" s="844"/>
      <c r="O309" s="48">
        <f>IF(t&lt;Tnet,'2018'!Resal+('2018'!Salim-'2018'!Resal)*(1-EXP(('2018'!Tnet-t)/('2018'!Tau_j))),Resal+(Salim-Resal)*(1-EXP((Tnet-t)/(Tau_j))))*Salcycl</f>
        <v>6.782371414024696E-2</v>
      </c>
      <c r="P309" s="169">
        <f>(INDEX(Models!$BJ309:$BT309,,T309)*(1-R309)+INDEX(Models!$BJ309:$BT309,,T309+1)*R309-ERP_i)*Q309*Ramure*Pc/MaxiM</f>
        <v>1.1447085991992904E-3</v>
      </c>
      <c r="Q309" s="305">
        <f t="shared" si="102"/>
        <v>0.7</v>
      </c>
      <c r="R309" s="177">
        <f t="shared" si="103"/>
        <v>0.19780267581334543</v>
      </c>
      <c r="S309" s="810">
        <f t="shared" si="104"/>
        <v>-1</v>
      </c>
      <c r="T309" s="176">
        <f t="shared" si="105"/>
        <v>5</v>
      </c>
      <c r="U309" s="251">
        <f t="shared" si="106"/>
        <v>-0.80219732418665457</v>
      </c>
      <c r="V309" s="383">
        <f t="shared" si="107"/>
        <v>29.38348908532096</v>
      </c>
      <c r="W309" s="58"/>
      <c r="X309" s="157">
        <f t="shared" si="108"/>
        <v>43760</v>
      </c>
      <c r="Y309" s="385">
        <f t="shared" si="109"/>
        <v>4.66</v>
      </c>
      <c r="Z309" s="385">
        <f t="shared" si="110"/>
        <v>4.7087284913226926</v>
      </c>
      <c r="AA309" s="386">
        <f t="shared" si="111"/>
        <v>5.051328340733102</v>
      </c>
      <c r="AB309" s="197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6.782371414024696E-2</v>
      </c>
      <c r="AD309" s="231">
        <f>(INDEX(Models!$BJ309:$BT309,,AH309)*(1-AF309)+INDEX(Models!$BJ309:$BT309,,AH309+1)*AF309-ERP_i)*AE309*Ramure*Pc/MaxiM</f>
        <v>1.1447085991992904E-3</v>
      </c>
      <c r="AE309" s="305">
        <f t="shared" si="113"/>
        <v>0.7</v>
      </c>
      <c r="AF309" s="177">
        <f t="shared" si="114"/>
        <v>0.19780267581334543</v>
      </c>
      <c r="AG309" s="176">
        <f t="shared" si="115"/>
        <v>-1</v>
      </c>
      <c r="AH309" s="176">
        <f t="shared" si="116"/>
        <v>5</v>
      </c>
      <c r="AI309" s="225">
        <f t="shared" si="117"/>
        <v>-0.80219732418665457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6">
        <v>16.577000000000002</v>
      </c>
      <c r="C310" s="390"/>
      <c r="D310" s="393">
        <f t="shared" si="99"/>
        <v>16.750731487953544</v>
      </c>
      <c r="E310" s="385">
        <f t="shared" si="121"/>
        <v>17.970895953360664</v>
      </c>
      <c r="F310" s="385">
        <f t="shared" si="100"/>
        <v>17.979097117422711</v>
      </c>
      <c r="G310" s="110">
        <f t="shared" si="122"/>
        <v>0.57032158914922759</v>
      </c>
      <c r="H310" s="414" t="b">
        <f>Wh_hp&gt;='2018'!Maxi_hp</f>
        <v>0</v>
      </c>
      <c r="I310" s="390">
        <f>IF(H310,Wh_hp,'2018'!Maxi_hp)</f>
        <v>30.882091109404431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1.0371576195253529E-2</v>
      </c>
      <c r="M310" s="844"/>
      <c r="N310" s="844"/>
      <c r="O310" s="48">
        <f>IF(t&lt;Tnet,'2018'!Resal+('2018'!Salim-'2018'!Resal)*(1-EXP(('2018'!Tnet-t)/('2018'!Tau_j))),Resal+(Salim-Resal)*(1-EXP((Tnet-t)/(Tau_j))))*Salcycl</f>
        <v>6.7896696334661097E-2</v>
      </c>
      <c r="P310" s="169">
        <f>(INDEX(Models!$BJ310:$BT310,,T310)*(1-R310)+INDEX(Models!$BJ310:$BT310,,T310+1)*R310-ERP_i)*Q310*Ramure*Pc/MaxiM</f>
        <v>1.1794022696479129E-3</v>
      </c>
      <c r="Q310" s="305">
        <f t="shared" si="102"/>
        <v>0.7</v>
      </c>
      <c r="R310" s="177">
        <f t="shared" si="103"/>
        <v>0.19786763955880282</v>
      </c>
      <c r="S310" s="810">
        <f t="shared" si="104"/>
        <v>-1</v>
      </c>
      <c r="T310" s="176">
        <f t="shared" si="105"/>
        <v>5</v>
      </c>
      <c r="U310" s="251">
        <f t="shared" si="106"/>
        <v>-0.80213236044119718</v>
      </c>
      <c r="V310" s="383">
        <f t="shared" si="107"/>
        <v>29.045025630880815</v>
      </c>
      <c r="W310" s="58"/>
      <c r="X310" s="157">
        <f t="shared" si="108"/>
        <v>43761</v>
      </c>
      <c r="Y310" s="385">
        <f t="shared" si="109"/>
        <v>16.577000000000002</v>
      </c>
      <c r="Z310" s="385">
        <f t="shared" si="110"/>
        <v>16.750731487953544</v>
      </c>
      <c r="AA310" s="386">
        <f t="shared" si="111"/>
        <v>17.970895953360664</v>
      </c>
      <c r="AB310" s="197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6.7896696334661097E-2</v>
      </c>
      <c r="AD310" s="231">
        <f>(INDEX(Models!$BJ310:$BT310,,AH310)*(1-AF310)+INDEX(Models!$BJ310:$BT310,,AH310+1)*AF310-ERP_i)*AE310*Ramure*Pc/MaxiM</f>
        <v>1.1794022696479129E-3</v>
      </c>
      <c r="AE310" s="305">
        <f t="shared" si="113"/>
        <v>0.7</v>
      </c>
      <c r="AF310" s="177">
        <f t="shared" si="114"/>
        <v>0.19786763955880282</v>
      </c>
      <c r="AG310" s="176">
        <f t="shared" si="115"/>
        <v>-1</v>
      </c>
      <c r="AH310" s="176">
        <f t="shared" si="116"/>
        <v>5</v>
      </c>
      <c r="AI310" s="225">
        <f t="shared" si="117"/>
        <v>-0.80213236044119718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6">
        <v>15.404</v>
      </c>
      <c r="C311" s="390"/>
      <c r="D311" s="393">
        <f t="shared" si="99"/>
        <v>15.565800366467114</v>
      </c>
      <c r="E311" s="385">
        <f t="shared" si="121"/>
        <v>16.70094367352139</v>
      </c>
      <c r="F311" s="385">
        <f t="shared" si="100"/>
        <v>16.707764581337013</v>
      </c>
      <c r="G311" s="110">
        <f t="shared" si="122"/>
        <v>0.53612335288944146</v>
      </c>
      <c r="H311" s="414" t="b">
        <f>Wh_hp&gt;='2018'!Maxi_hp</f>
        <v>0</v>
      </c>
      <c r="I311" s="390">
        <f>IF(H311,Wh_hp,'2018'!Maxi_hp)</f>
        <v>31.256502042295658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1.0394606294429565E-2</v>
      </c>
      <c r="M311" s="844"/>
      <c r="N311" s="844"/>
      <c r="O311" s="48">
        <f>IF(t&lt;Tnet,'2018'!Resal+('2018'!Salim-'2018'!Resal)*(1-EXP(('2018'!Tnet-t)/('2018'!Tau_j))),Resal+(Salim-Resal)*(1-EXP((Tnet-t)/(Tau_j))))*Salcycl</f>
        <v>6.7968812376392601E-2</v>
      </c>
      <c r="P311" s="169">
        <f>(INDEX(Models!$BJ311:$BT311,,T311)*(1-R311)+INDEX(Models!$BJ311:$BT311,,T311+1)*R311-ERP_i)*Q311*Ramure*Pc/MaxiM</f>
        <v>1.2080752980815597E-3</v>
      </c>
      <c r="Q311" s="305">
        <f t="shared" si="102"/>
        <v>0.7</v>
      </c>
      <c r="R311" s="177">
        <f t="shared" si="103"/>
        <v>0.19793000756871704</v>
      </c>
      <c r="S311" s="810">
        <f t="shared" si="104"/>
        <v>-1</v>
      </c>
      <c r="T311" s="176">
        <f t="shared" si="105"/>
        <v>5</v>
      </c>
      <c r="U311" s="251">
        <f t="shared" si="106"/>
        <v>-0.80206999243128296</v>
      </c>
      <c r="V311" s="383">
        <f t="shared" si="107"/>
        <v>28.709203473574735</v>
      </c>
      <c r="W311" s="58"/>
      <c r="X311" s="157">
        <f t="shared" si="108"/>
        <v>43762</v>
      </c>
      <c r="Y311" s="385">
        <f t="shared" si="109"/>
        <v>15.404</v>
      </c>
      <c r="Z311" s="385">
        <f t="shared" si="110"/>
        <v>15.565800366467114</v>
      </c>
      <c r="AA311" s="386">
        <f t="shared" si="111"/>
        <v>16.70094367352139</v>
      </c>
      <c r="AB311" s="197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6.7968812376392601E-2</v>
      </c>
      <c r="AD311" s="231">
        <f>(INDEX(Models!$BJ311:$BT311,,AH311)*(1-AF311)+INDEX(Models!$BJ311:$BT311,,AH311+1)*AF311-ERP_i)*AE311*Ramure*Pc/MaxiM</f>
        <v>1.2080752980815597E-3</v>
      </c>
      <c r="AE311" s="305">
        <f t="shared" si="113"/>
        <v>0.7</v>
      </c>
      <c r="AF311" s="177">
        <f t="shared" si="114"/>
        <v>0.19793000756871704</v>
      </c>
      <c r="AG311" s="176">
        <f t="shared" si="115"/>
        <v>-1</v>
      </c>
      <c r="AH311" s="176">
        <f t="shared" si="116"/>
        <v>5</v>
      </c>
      <c r="AI311" s="225">
        <f t="shared" si="117"/>
        <v>-0.80206999243128296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6">
        <v>26.135000000000002</v>
      </c>
      <c r="C312" s="390"/>
      <c r="D312" s="393">
        <f t="shared" si="99"/>
        <v>26.410131129055593</v>
      </c>
      <c r="E312" s="385">
        <f t="shared" si="121"/>
        <v>28.33827021098389</v>
      </c>
      <c r="F312" s="385">
        <f t="shared" si="100"/>
        <v>28.369242688831278</v>
      </c>
      <c r="G312" s="110">
        <f t="shared" si="122"/>
        <v>0.92089625158131527</v>
      </c>
      <c r="H312" s="414" t="b">
        <f>Wh_hp&gt;='2018'!Maxi_hp</f>
        <v>0</v>
      </c>
      <c r="I312" s="390">
        <f>IF(H312,Wh_hp,'2018'!Maxi_hp)</f>
        <v>30.314275892312452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1.0417635857661423E-2</v>
      </c>
      <c r="M312" s="844"/>
      <c r="N312" s="844"/>
      <c r="O312" s="48">
        <f>IF(t&lt;Tnet,'2018'!Resal+('2018'!Salim-'2018'!Resal)*(1-EXP(('2018'!Tnet-t)/('2018'!Tau_j))),Resal+(Salim-Resal)*(1-EXP((Tnet-t)/(Tau_j))))*Salcycl</f>
        <v>6.8040112101865488E-2</v>
      </c>
      <c r="P312" s="169">
        <f>(INDEX(Models!$BJ312:$BT312,,T312)*(1-R312)+INDEX(Models!$BJ312:$BT312,,T312+1)*R312-ERP_i)*Q312*Ramure*Pc/MaxiM</f>
        <v>1.2306021748475682E-3</v>
      </c>
      <c r="Q312" s="305">
        <f t="shared" si="102"/>
        <v>0.7</v>
      </c>
      <c r="R312" s="177">
        <f t="shared" si="103"/>
        <v>0.19798988279384355</v>
      </c>
      <c r="S312" s="810">
        <f t="shared" si="104"/>
        <v>-1</v>
      </c>
      <c r="T312" s="176">
        <f t="shared" si="105"/>
        <v>5</v>
      </c>
      <c r="U312" s="251">
        <f t="shared" si="106"/>
        <v>-0.80201011720615645</v>
      </c>
      <c r="V312" s="383">
        <f t="shared" si="107"/>
        <v>28.376016751815651</v>
      </c>
      <c r="W312" s="58"/>
      <c r="X312" s="157">
        <f t="shared" si="108"/>
        <v>43763</v>
      </c>
      <c r="Y312" s="385">
        <f t="shared" si="109"/>
        <v>26.135000000000002</v>
      </c>
      <c r="Z312" s="385">
        <f t="shared" si="110"/>
        <v>26.410131129055593</v>
      </c>
      <c r="AA312" s="386">
        <f t="shared" si="111"/>
        <v>28.33827021098389</v>
      </c>
      <c r="AB312" s="197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6.8040112101865488E-2</v>
      </c>
      <c r="AD312" s="231">
        <f>(INDEX(Models!$BJ312:$BT312,,AH312)*(1-AF312)+INDEX(Models!$BJ312:$BT312,,AH312+1)*AF312-ERP_i)*AE312*Ramure*Pc/MaxiM</f>
        <v>1.2306021748475682E-3</v>
      </c>
      <c r="AE312" s="305">
        <f t="shared" si="113"/>
        <v>0.7</v>
      </c>
      <c r="AF312" s="177">
        <f t="shared" si="114"/>
        <v>0.19798988279384355</v>
      </c>
      <c r="AG312" s="176">
        <f t="shared" si="115"/>
        <v>-1</v>
      </c>
      <c r="AH312" s="176">
        <f t="shared" si="116"/>
        <v>5</v>
      </c>
      <c r="AI312" s="225">
        <f t="shared" si="117"/>
        <v>-0.80201011720615645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6">
        <v>28.218</v>
      </c>
      <c r="C313" s="390"/>
      <c r="D313" s="393">
        <f t="shared" si="99"/>
        <v>28.515723108932729</v>
      </c>
      <c r="E313" s="385">
        <f t="shared" si="121"/>
        <v>30.599902299934385</v>
      </c>
      <c r="F313" s="385">
        <f t="shared" si="100"/>
        <v>30.638103345226707</v>
      </c>
      <c r="G313" s="110">
        <f t="shared" si="122"/>
        <v>1.0061521619480489</v>
      </c>
      <c r="H313" s="414" t="b">
        <f>Wh_hp&gt;='2018'!Maxi_hp</f>
        <v>1</v>
      </c>
      <c r="I313" s="390">
        <f>IF(H313,Wh_hp,'2018'!Maxi_hp)</f>
        <v>30.638103345226707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1.044066488496187E-2</v>
      </c>
      <c r="M313" s="844"/>
      <c r="N313" s="844"/>
      <c r="O313" s="48">
        <f>IF(t&lt;Tnet,'2018'!Resal+('2018'!Salim-'2018'!Resal)*(1-EXP(('2018'!Tnet-t)/('2018'!Tau_j))),Resal+(Salim-Resal)*(1-EXP((Tnet-t)/(Tau_j))))*Salcycl</f>
        <v>6.8110648543022539E-2</v>
      </c>
      <c r="P313" s="169">
        <f>(INDEX(Models!$BJ313:$BT313,,T313)*(1-R313)+INDEX(Models!$BJ313:$BT313,,T313+1)*R313-ERP_i)*Q313*Ramure*Pc/MaxiM</f>
        <v>1.2468475891563946E-3</v>
      </c>
      <c r="Q313" s="305">
        <f t="shared" si="102"/>
        <v>0.7</v>
      </c>
      <c r="R313" s="177">
        <f t="shared" si="103"/>
        <v>0.19804736416202717</v>
      </c>
      <c r="S313" s="810">
        <f t="shared" si="104"/>
        <v>-1</v>
      </c>
      <c r="T313" s="176">
        <f t="shared" si="105"/>
        <v>5</v>
      </c>
      <c r="U313" s="251">
        <f t="shared" si="106"/>
        <v>-0.80195263583797283</v>
      </c>
      <c r="V313" s="383">
        <f t="shared" si="107"/>
        <v>28.045459789467699</v>
      </c>
      <c r="W313" s="58"/>
      <c r="X313" s="157">
        <f t="shared" si="108"/>
        <v>43764</v>
      </c>
      <c r="Y313" s="385">
        <f t="shared" si="109"/>
        <v>28.218</v>
      </c>
      <c r="Z313" s="385">
        <f t="shared" si="110"/>
        <v>28.515723108932729</v>
      </c>
      <c r="AA313" s="386">
        <f t="shared" si="111"/>
        <v>30.599902299934385</v>
      </c>
      <c r="AB313" s="197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6.8110648543022539E-2</v>
      </c>
      <c r="AD313" s="231">
        <f>(INDEX(Models!$BJ313:$BT313,,AH313)*(1-AF313)+INDEX(Models!$BJ313:$BT313,,AH313+1)*AF313-ERP_i)*AE313*Ramure*Pc/MaxiM</f>
        <v>1.2468475891563946E-3</v>
      </c>
      <c r="AE313" s="305">
        <f t="shared" si="113"/>
        <v>0.7</v>
      </c>
      <c r="AF313" s="177">
        <f t="shared" si="114"/>
        <v>0.19804736416202717</v>
      </c>
      <c r="AG313" s="176">
        <f t="shared" si="115"/>
        <v>-1</v>
      </c>
      <c r="AH313" s="176">
        <f t="shared" si="116"/>
        <v>5</v>
      </c>
      <c r="AI313" s="225">
        <f t="shared" si="117"/>
        <v>-0.80195263583797283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6">
        <v>19.507000000000001</v>
      </c>
      <c r="C314" s="390"/>
      <c r="D314" s="393">
        <f t="shared" si="99"/>
        <v>19.713273650927249</v>
      </c>
      <c r="E314" s="385">
        <f t="shared" si="121"/>
        <v>21.15567787588218</v>
      </c>
      <c r="F314" s="385">
        <f t="shared" si="100"/>
        <v>21.171024408006371</v>
      </c>
      <c r="G314" s="110">
        <f t="shared" si="122"/>
        <v>0.70340398427467898</v>
      </c>
      <c r="H314" s="414" t="b">
        <f>Wh_hp&gt;='2018'!Maxi_hp</f>
        <v>1</v>
      </c>
      <c r="I314" s="390">
        <f>IF(H314,Wh_hp,'2018'!Maxi_hp)</f>
        <v>21.171024408006371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1.0463693376343119E-2</v>
      </c>
      <c r="M314" s="844"/>
      <c r="N314" s="844"/>
      <c r="O314" s="48">
        <f>IF(t&lt;Tnet,'2018'!Resal+('2018'!Salim-'2018'!Resal)*(1-EXP(('2018'!Tnet-t)/('2018'!Tau_j))),Resal+(Salim-Resal)*(1-EXP((Tnet-t)/(Tau_j))))*Salcycl</f>
        <v>6.8180477761920183E-2</v>
      </c>
      <c r="P314" s="169">
        <f>(INDEX(Models!$BJ314:$BT314,,T314)*(1-R314)+INDEX(Models!$BJ314:$BT314,,T314+1)*R314-ERP_i)*Q314*Ramure*Pc/MaxiM</f>
        <v>1.2566756749794105E-3</v>
      </c>
      <c r="Q314" s="305">
        <f t="shared" si="102"/>
        <v>0.7</v>
      </c>
      <c r="R314" s="177">
        <f t="shared" si="103"/>
        <v>0.19810254673064898</v>
      </c>
      <c r="S314" s="810">
        <f t="shared" si="104"/>
        <v>-1</v>
      </c>
      <c r="T314" s="176">
        <f t="shared" si="105"/>
        <v>5</v>
      </c>
      <c r="U314" s="251">
        <f t="shared" si="106"/>
        <v>-0.80189745326935102</v>
      </c>
      <c r="V314" s="383">
        <f t="shared" si="107"/>
        <v>27.717526835426565</v>
      </c>
      <c r="W314" s="58"/>
      <c r="X314" s="157">
        <f t="shared" si="108"/>
        <v>43765</v>
      </c>
      <c r="Y314" s="385">
        <f t="shared" si="109"/>
        <v>19.507000000000001</v>
      </c>
      <c r="Z314" s="385">
        <f t="shared" si="110"/>
        <v>19.713273650927249</v>
      </c>
      <c r="AA314" s="386">
        <f t="shared" si="111"/>
        <v>21.15567787588218</v>
      </c>
      <c r="AB314" s="197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6.8180477761920183E-2</v>
      </c>
      <c r="AD314" s="231">
        <f>(INDEX(Models!$BJ314:$BT314,,AH314)*(1-AF314)+INDEX(Models!$BJ314:$BT314,,AH314+1)*AF314-ERP_i)*AE314*Ramure*Pc/MaxiM</f>
        <v>1.2566756749794105E-3</v>
      </c>
      <c r="AE314" s="305">
        <f t="shared" si="113"/>
        <v>0.7</v>
      </c>
      <c r="AF314" s="177">
        <f t="shared" si="114"/>
        <v>0.19810254673064898</v>
      </c>
      <c r="AG314" s="176">
        <f t="shared" si="115"/>
        <v>-1</v>
      </c>
      <c r="AH314" s="176">
        <f t="shared" si="116"/>
        <v>5</v>
      </c>
      <c r="AI314" s="225">
        <f t="shared" si="117"/>
        <v>-0.80189745326935102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6">
        <v>9.0120000000000005</v>
      </c>
      <c r="C315" s="390"/>
      <c r="D315" s="393">
        <f t="shared" si="99"/>
        <v>9.1075078973468049</v>
      </c>
      <c r="E315" s="385">
        <f t="shared" si="121"/>
        <v>9.7746225499423343</v>
      </c>
      <c r="F315" s="385">
        <f t="shared" si="100"/>
        <v>9.7751327672534156</v>
      </c>
      <c r="G315" s="110">
        <f t="shared" si="122"/>
        <v>0.32860125072723789</v>
      </c>
      <c r="H315" s="414" t="b">
        <f>Wh_hp&gt;='2018'!Maxi_hp</f>
        <v>1</v>
      </c>
      <c r="I315" s="390">
        <f>IF(H315,Wh_hp,'2018'!Maxi_hp)</f>
        <v>9.7751327672534156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1.0486721331817717E-2</v>
      </c>
      <c r="M315" s="844"/>
      <c r="N315" s="844"/>
      <c r="O315" s="48">
        <f>IF(t&lt;Tnet,'2018'!Resal+('2018'!Salim-'2018'!Resal)*(1-EXP(('2018'!Tnet-t)/('2018'!Tau_j))),Resal+(Salim-Resal)*(1-EXP((Tnet-t)/(Tau_j))))*Salcycl</f>
        <v>6.8249658663235638E-2</v>
      </c>
      <c r="P315" s="169">
        <f>(INDEX(Models!$BJ315:$BT315,,T315)*(1-R315)+INDEX(Models!$BJ315:$BT315,,T315+1)*R315-ERP_i)*Q315*Ramure*Pc/MaxiM</f>
        <v>1.2599497347126646E-3</v>
      </c>
      <c r="Q315" s="305">
        <f t="shared" si="102"/>
        <v>0.7</v>
      </c>
      <c r="R315" s="177">
        <f t="shared" si="103"/>
        <v>0.19815552183367469</v>
      </c>
      <c r="S315" s="810">
        <f t="shared" si="104"/>
        <v>-1</v>
      </c>
      <c r="T315" s="176">
        <f t="shared" si="105"/>
        <v>5</v>
      </c>
      <c r="U315" s="251">
        <f t="shared" si="106"/>
        <v>-0.80184447816632531</v>
      </c>
      <c r="V315" s="383">
        <f t="shared" si="107"/>
        <v>27.392212081343711</v>
      </c>
      <c r="W315" s="58"/>
      <c r="X315" s="157">
        <f t="shared" si="108"/>
        <v>43766</v>
      </c>
      <c r="Y315" s="385">
        <f t="shared" si="109"/>
        <v>9.0120000000000005</v>
      </c>
      <c r="Z315" s="385">
        <f t="shared" si="110"/>
        <v>9.1075078973468049</v>
      </c>
      <c r="AA315" s="386">
        <f t="shared" si="111"/>
        <v>9.7746225499423343</v>
      </c>
      <c r="AB315" s="197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6.8249658663235638E-2</v>
      </c>
      <c r="AD315" s="231">
        <f>(INDEX(Models!$BJ315:$BT315,,AH315)*(1-AF315)+INDEX(Models!$BJ315:$BT315,,AH315+1)*AF315-ERP_i)*AE315*Ramure*Pc/MaxiM</f>
        <v>1.2599497347126646E-3</v>
      </c>
      <c r="AE315" s="305">
        <f t="shared" si="113"/>
        <v>0.7</v>
      </c>
      <c r="AF315" s="177">
        <f t="shared" si="114"/>
        <v>0.19815552183367469</v>
      </c>
      <c r="AG315" s="176">
        <f t="shared" si="115"/>
        <v>-1</v>
      </c>
      <c r="AH315" s="176">
        <f t="shared" si="116"/>
        <v>5</v>
      </c>
      <c r="AI315" s="225">
        <f t="shared" si="117"/>
        <v>-0.80184447816632531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6">
        <v>24.687000000000001</v>
      </c>
      <c r="C316" s="390"/>
      <c r="D316" s="393">
        <f t="shared" si="99"/>
        <v>24.949209927887996</v>
      </c>
      <c r="E316" s="385">
        <f t="shared" si="121"/>
        <v>26.778682744920761</v>
      </c>
      <c r="F316" s="385">
        <f t="shared" si="100"/>
        <v>26.808132600527212</v>
      </c>
      <c r="G316" s="110">
        <f t="shared" si="122"/>
        <v>0.91184124493899954</v>
      </c>
      <c r="H316" s="414" t="b">
        <f>Wh_hp&gt;='2018'!Maxi_hp</f>
        <v>1</v>
      </c>
      <c r="I316" s="390">
        <f>IF(H316,Wh_hp,'2018'!Maxi_hp)</f>
        <v>26.808132600527212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1.0509748751398207E-2</v>
      </c>
      <c r="M316" s="844"/>
      <c r="N316" s="844"/>
      <c r="O316" s="48">
        <f>IF(t&lt;Tnet,'2018'!Resal+('2018'!Salim-'2018'!Resal)*(1-EXP(('2018'!Tnet-t)/('2018'!Tau_j))),Resal+(Salim-Resal)*(1-EXP((Tnet-t)/(Tau_j))))*Salcycl</f>
        <v>6.831825278559564E-2</v>
      </c>
      <c r="P316" s="169">
        <f>(INDEX(Models!$BJ316:$BT316,,T316)*(1-R316)+INDEX(Models!$BJ316:$BT316,,T316+1)*R316-ERP_i)*Q316*Ramure*Pc/MaxiM</f>
        <v>1.2565319123846051E-3</v>
      </c>
      <c r="Q316" s="305">
        <f t="shared" si="102"/>
        <v>0.7</v>
      </c>
      <c r="R316" s="177">
        <f t="shared" si="103"/>
        <v>0.19820637722346368</v>
      </c>
      <c r="S316" s="810">
        <f t="shared" si="104"/>
        <v>-1</v>
      </c>
      <c r="T316" s="176">
        <f t="shared" si="105"/>
        <v>5</v>
      </c>
      <c r="U316" s="251">
        <f t="shared" si="106"/>
        <v>-0.80179362277653632</v>
      </c>
      <c r="V316" s="383">
        <f t="shared" si="107"/>
        <v>27.069509683835506</v>
      </c>
      <c r="W316" s="58"/>
      <c r="X316" s="157">
        <f t="shared" si="108"/>
        <v>43767</v>
      </c>
      <c r="Y316" s="385">
        <f t="shared" si="109"/>
        <v>24.687000000000001</v>
      </c>
      <c r="Z316" s="385">
        <f t="shared" si="110"/>
        <v>24.949209927887996</v>
      </c>
      <c r="AA316" s="386">
        <f t="shared" si="111"/>
        <v>26.778682744920761</v>
      </c>
      <c r="AB316" s="197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6.831825278559564E-2</v>
      </c>
      <c r="AD316" s="231">
        <f>(INDEX(Models!$BJ316:$BT316,,AH316)*(1-AF316)+INDEX(Models!$BJ316:$BT316,,AH316+1)*AF316-ERP_i)*AE316*Ramure*Pc/MaxiM</f>
        <v>1.2565319123846051E-3</v>
      </c>
      <c r="AE316" s="305">
        <f t="shared" si="113"/>
        <v>0.7</v>
      </c>
      <c r="AF316" s="177">
        <f t="shared" si="114"/>
        <v>0.19820637722346368</v>
      </c>
      <c r="AG316" s="176">
        <f t="shared" si="115"/>
        <v>-1</v>
      </c>
      <c r="AH316" s="176">
        <f t="shared" si="116"/>
        <v>5</v>
      </c>
      <c r="AI316" s="225">
        <f t="shared" si="117"/>
        <v>-0.80179362277653632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6">
        <v>20.13</v>
      </c>
      <c r="C317" s="390"/>
      <c r="D317" s="393">
        <f t="shared" si="99"/>
        <v>20.344281755184557</v>
      </c>
      <c r="E317" s="385">
        <f t="shared" si="121"/>
        <v>21.837680447248875</v>
      </c>
      <c r="F317" s="385">
        <f t="shared" si="100"/>
        <v>21.855291251140141</v>
      </c>
      <c r="G317" s="110">
        <f t="shared" si="122"/>
        <v>0.75223876590771144</v>
      </c>
      <c r="H317" s="414" t="b">
        <f>Wh_hp&gt;='2018'!Maxi_hp</f>
        <v>0</v>
      </c>
      <c r="I317" s="390">
        <f>IF(H317,Wh_hp,'2018'!Maxi_hp)</f>
        <v>25.646872317786048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1.0532775635097025E-2</v>
      </c>
      <c r="M317" s="844"/>
      <c r="N317" s="844"/>
      <c r="O317" s="48">
        <f>IF(t&lt;Tnet,'2018'!Resal+('2018'!Salim-'2018'!Resal)*(1-EXP(('2018'!Tnet-t)/('2018'!Tau_j))),Resal+(Salim-Resal)*(1-EXP((Tnet-t)/(Tau_j))))*Salcycl</f>
        <v>6.8386324072823315E-2</v>
      </c>
      <c r="P317" s="169">
        <f>(INDEX(Models!$BJ317:$BT317,,T317)*(1-R317)+INDEX(Models!$BJ317:$BT317,,T317+1)*R317-ERP_i)*Q317*Ramure*Pc/MaxiM</f>
        <v>1.2463336224091278E-3</v>
      </c>
      <c r="Q317" s="305">
        <f t="shared" si="102"/>
        <v>0.7</v>
      </c>
      <c r="R317" s="177">
        <f t="shared" si="103"/>
        <v>0.19825519720749774</v>
      </c>
      <c r="S317" s="810">
        <f t="shared" si="104"/>
        <v>-1</v>
      </c>
      <c r="T317" s="176">
        <f t="shared" si="105"/>
        <v>5</v>
      </c>
      <c r="U317" s="251">
        <f t="shared" si="106"/>
        <v>-0.80174480279250226</v>
      </c>
      <c r="V317" s="383">
        <f t="shared" si="107"/>
        <v>26.748322000490351</v>
      </c>
      <c r="W317" s="58"/>
      <c r="X317" s="157">
        <f t="shared" si="108"/>
        <v>43768</v>
      </c>
      <c r="Y317" s="385">
        <f t="shared" si="109"/>
        <v>20.13</v>
      </c>
      <c r="Z317" s="385">
        <f t="shared" si="110"/>
        <v>20.344281755184557</v>
      </c>
      <c r="AA317" s="386">
        <f t="shared" si="111"/>
        <v>21.837680447248875</v>
      </c>
      <c r="AB317" s="197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6.8386324072823315E-2</v>
      </c>
      <c r="AD317" s="231">
        <f>(INDEX(Models!$BJ317:$BT317,,AH317)*(1-AF317)+INDEX(Models!$BJ317:$BT317,,AH317+1)*AF317-ERP_i)*AE317*Ramure*Pc/MaxiM</f>
        <v>1.2463336224091278E-3</v>
      </c>
      <c r="AE317" s="305">
        <f t="shared" si="113"/>
        <v>0.7</v>
      </c>
      <c r="AF317" s="177">
        <f t="shared" si="114"/>
        <v>0.19825519720749774</v>
      </c>
      <c r="AG317" s="176">
        <f t="shared" si="115"/>
        <v>-1</v>
      </c>
      <c r="AH317" s="176">
        <f t="shared" si="116"/>
        <v>5</v>
      </c>
      <c r="AI317" s="225">
        <f t="shared" si="117"/>
        <v>-0.80174480279250226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6">
        <v>16.042999999999999</v>
      </c>
      <c r="C318" s="390"/>
      <c r="D318" s="393">
        <f t="shared" si="99"/>
        <v>16.214153392532367</v>
      </c>
      <c r="E318" s="385">
        <f t="shared" si="121"/>
        <v>17.405637858232822</v>
      </c>
      <c r="F318" s="385">
        <f t="shared" si="100"/>
        <v>17.415024792805241</v>
      </c>
      <c r="G318" s="110">
        <f t="shared" si="122"/>
        <v>0.60662890522855273</v>
      </c>
      <c r="H318" s="414" t="b">
        <f>Wh_hp&gt;='2018'!Maxi_hp</f>
        <v>1</v>
      </c>
      <c r="I318" s="390">
        <f>IF(H318,Wh_hp,'2018'!Maxi_hp)</f>
        <v>17.415024792805241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1.0555801982926605E-2</v>
      </c>
      <c r="M318" s="844"/>
      <c r="N318" s="844"/>
      <c r="O318" s="48">
        <f>IF(t&lt;Tnet,'2018'!Resal+('2018'!Salim-'2018'!Resal)*(1-EXP(('2018'!Tnet-t)/('2018'!Tau_j))),Resal+(Salim-Resal)*(1-EXP((Tnet-t)/(Tau_j))))*Salcycl</f>
        <v>6.8453938626379371E-2</v>
      </c>
      <c r="P318" s="169">
        <f>(INDEX(Models!$BJ318:$BT318,,T318)*(1-R318)+INDEX(Models!$BJ318:$BT318,,T318+1)*R318-ERP_i)*Q318*Ramure*Pc/MaxiM</f>
        <v>1.2288294957831616E-3</v>
      </c>
      <c r="Q318" s="305">
        <f t="shared" si="102"/>
        <v>0.7</v>
      </c>
      <c r="R318" s="177">
        <f t="shared" si="103"/>
        <v>0.19830206278018647</v>
      </c>
      <c r="S318" s="810">
        <f t="shared" si="104"/>
        <v>-1</v>
      </c>
      <c r="T318" s="176">
        <f t="shared" si="105"/>
        <v>5</v>
      </c>
      <c r="U318" s="251">
        <f t="shared" si="106"/>
        <v>-0.80169793721981353</v>
      </c>
      <c r="V318" s="383">
        <f t="shared" si="107"/>
        <v>26.427898796927604</v>
      </c>
      <c r="W318" s="58"/>
      <c r="X318" s="157">
        <f t="shared" si="108"/>
        <v>43769</v>
      </c>
      <c r="Y318" s="385">
        <f t="shared" si="109"/>
        <v>16.042999999999999</v>
      </c>
      <c r="Z318" s="385">
        <f t="shared" si="110"/>
        <v>16.214153392532367</v>
      </c>
      <c r="AA318" s="386">
        <f t="shared" si="111"/>
        <v>17.405637858232822</v>
      </c>
      <c r="AB318" s="197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6.8453938626379371E-2</v>
      </c>
      <c r="AD318" s="231">
        <f>(INDEX(Models!$BJ318:$BT318,,AH318)*(1-AF318)+INDEX(Models!$BJ318:$BT318,,AH318+1)*AF318-ERP_i)*AE318*Ramure*Pc/MaxiM</f>
        <v>1.2288294957831616E-3</v>
      </c>
      <c r="AE318" s="305">
        <f t="shared" si="113"/>
        <v>0.7</v>
      </c>
      <c r="AF318" s="177">
        <f t="shared" si="114"/>
        <v>0.19830206278018647</v>
      </c>
      <c r="AG318" s="176">
        <f t="shared" si="115"/>
        <v>-1</v>
      </c>
      <c r="AH318" s="176">
        <f t="shared" si="116"/>
        <v>5</v>
      </c>
      <c r="AI318" s="225">
        <f t="shared" si="117"/>
        <v>-0.80169793721981353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6">
        <v>6.9610000000000003</v>
      </c>
      <c r="C319" s="390"/>
      <c r="D319" s="393">
        <f t="shared" si="99"/>
        <v>7.0354265661065014</v>
      </c>
      <c r="E319" s="385">
        <f t="shared" si="121"/>
        <v>7.552964487787003</v>
      </c>
      <c r="F319" s="385">
        <f t="shared" si="100"/>
        <v>7.552964487787003</v>
      </c>
      <c r="G319" s="110">
        <f t="shared" si="122"/>
        <v>0.26629475372387545</v>
      </c>
      <c r="H319" s="414" t="b">
        <f>Wh_hp&gt;='2018'!Maxi_hp</f>
        <v>0</v>
      </c>
      <c r="I319" s="390">
        <f>IF(H319,Wh_hp,'2018'!Maxi_hp)</f>
        <v>19.098552150285446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1.0578827794899381E-2</v>
      </c>
      <c r="M319" s="844"/>
      <c r="N319" s="844"/>
      <c r="O319" s="48">
        <f>IF(t&lt;Tnet,'2018'!Resal+('2018'!Salim-'2018'!Resal)*(1-EXP(('2018'!Tnet-t)/('2018'!Tau_j))),Resal+(Salim-Resal)*(1-EXP((Tnet-t)/(Tau_j))))*Salcycl</f>
        <v>6.852116444044587E-2</v>
      </c>
      <c r="P319" s="169">
        <f>(INDEX(Models!$BJ319:$BT319,,T319)*(1-R319)+INDEX(Models!$BJ319:$BT319,,T319+1)*R319-ERP_i)*Q319*Ramure*Pc/MaxiM</f>
        <v>1.2074226371498356E-3</v>
      </c>
      <c r="Q319" s="305">
        <f t="shared" si="102"/>
        <v>0.7</v>
      </c>
      <c r="R319" s="177">
        <f t="shared" si="103"/>
        <v>0.19834705174989986</v>
      </c>
      <c r="S319" s="810">
        <f t="shared" si="104"/>
        <v>-1</v>
      </c>
      <c r="T319" s="176">
        <f t="shared" si="105"/>
        <v>5</v>
      </c>
      <c r="U319" s="251">
        <f t="shared" si="106"/>
        <v>-0.80165294825010014</v>
      </c>
      <c r="V319" s="383">
        <f t="shared" si="107"/>
        <v>26.10864477725325</v>
      </c>
      <c r="W319" s="58"/>
      <c r="X319" s="157">
        <f t="shared" si="108"/>
        <v>43770</v>
      </c>
      <c r="Y319" s="385">
        <f t="shared" si="109"/>
        <v>6.9610000000000003</v>
      </c>
      <c r="Z319" s="385">
        <f t="shared" si="110"/>
        <v>7.0354265661065014</v>
      </c>
      <c r="AA319" s="386">
        <f t="shared" si="111"/>
        <v>7.552964487787003</v>
      </c>
      <c r="AB319" s="197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6.852116444044587E-2</v>
      </c>
      <c r="AD319" s="231">
        <f>(INDEX(Models!$BJ319:$BT319,,AH319)*(1-AF319)+INDEX(Models!$BJ319:$BT319,,AH319+1)*AF319-ERP_i)*AE319*Ramure*Pc/MaxiM</f>
        <v>1.2074226371498356E-3</v>
      </c>
      <c r="AE319" s="305">
        <f t="shared" si="113"/>
        <v>0.7</v>
      </c>
      <c r="AF319" s="177">
        <f t="shared" si="114"/>
        <v>0.19834705174989986</v>
      </c>
      <c r="AG319" s="176">
        <f t="shared" si="115"/>
        <v>-1</v>
      </c>
      <c r="AH319" s="176">
        <f t="shared" si="116"/>
        <v>5</v>
      </c>
      <c r="AI319" s="225">
        <f t="shared" si="117"/>
        <v>-0.80165294825010014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6">
        <v>5.2050000000000001</v>
      </c>
      <c r="C320" s="390"/>
      <c r="D320" s="393">
        <f t="shared" si="99"/>
        <v>5.2607739524841275</v>
      </c>
      <c r="E320" s="385">
        <f t="shared" si="121"/>
        <v>5.6481711145971678</v>
      </c>
      <c r="F320" s="385">
        <f t="shared" si="100"/>
        <v>5.6481711145971678</v>
      </c>
      <c r="G320" s="110">
        <f t="shared" si="122"/>
        <v>0.20157557485462152</v>
      </c>
      <c r="H320" s="414" t="b">
        <f>Wh_hp&gt;='2018'!Maxi_hp</f>
        <v>0</v>
      </c>
      <c r="I320" s="390">
        <f>IF(H320,Wh_hp,'2018'!Maxi_hp)</f>
        <v>8.4900467914903555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1.06018530710279E-2</v>
      </c>
      <c r="M320" s="844"/>
      <c r="N320" s="844"/>
      <c r="O320" s="48">
        <f>IF(t&lt;Tnet,'2018'!Resal+('2018'!Salim-'2018'!Resal)*(1-EXP(('2018'!Tnet-t)/('2018'!Tau_j))),Resal+(Salim-Resal)*(1-EXP((Tnet-t)/(Tau_j))))*Salcycl</f>
        <v>6.8588071121260641E-2</v>
      </c>
      <c r="P320" s="169">
        <f>(INDEX(Models!$BJ320:$BT320,,T320)*(1-R320)+INDEX(Models!$BJ320:$BT320,,T320+1)*R320-ERP_i)*Q320*Ramure*Pc/MaxiM</f>
        <v>1.1820097080440985E-3</v>
      </c>
      <c r="Q320" s="305">
        <f t="shared" si="102"/>
        <v>0.7</v>
      </c>
      <c r="R320" s="177">
        <f t="shared" si="103"/>
        <v>0.19839023886138318</v>
      </c>
      <c r="S320" s="810">
        <f t="shared" si="104"/>
        <v>-1</v>
      </c>
      <c r="T320" s="176">
        <f t="shared" si="105"/>
        <v>5</v>
      </c>
      <c r="U320" s="251">
        <f t="shared" si="106"/>
        <v>-0.80160976113861682</v>
      </c>
      <c r="V320" s="383">
        <f t="shared" si="107"/>
        <v>25.791059473446104</v>
      </c>
      <c r="W320" s="58"/>
      <c r="X320" s="157">
        <f t="shared" si="108"/>
        <v>43771</v>
      </c>
      <c r="Y320" s="385">
        <f t="shared" si="109"/>
        <v>5.2050000000000001</v>
      </c>
      <c r="Z320" s="385">
        <f t="shared" si="110"/>
        <v>5.2607739524841275</v>
      </c>
      <c r="AA320" s="386">
        <f t="shared" si="111"/>
        <v>5.6481711145971678</v>
      </c>
      <c r="AB320" s="197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6.8588071121260641E-2</v>
      </c>
      <c r="AD320" s="231">
        <f>(INDEX(Models!$BJ320:$BT320,,AH320)*(1-AF320)+INDEX(Models!$BJ320:$BT320,,AH320+1)*AF320-ERP_i)*AE320*Ramure*Pc/MaxiM</f>
        <v>1.1820097080440985E-3</v>
      </c>
      <c r="AE320" s="305">
        <f t="shared" si="113"/>
        <v>0.7</v>
      </c>
      <c r="AF320" s="177">
        <f t="shared" si="114"/>
        <v>0.19839023886138318</v>
      </c>
      <c r="AG320" s="176">
        <f t="shared" si="115"/>
        <v>-1</v>
      </c>
      <c r="AH320" s="176">
        <f t="shared" si="116"/>
        <v>5</v>
      </c>
      <c r="AI320" s="225">
        <f t="shared" si="117"/>
        <v>-0.80160976113861682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6">
        <v>12.432</v>
      </c>
      <c r="C321" s="390"/>
      <c r="D321" s="393">
        <f t="shared" si="99"/>
        <v>12.56550697626011</v>
      </c>
      <c r="E321" s="385">
        <f t="shared" si="121"/>
        <v>13.491781593266341</v>
      </c>
      <c r="F321" s="385">
        <f t="shared" si="100"/>
        <v>13.495958824844875</v>
      </c>
      <c r="G321" s="110">
        <f t="shared" si="122"/>
        <v>0.48758405511305497</v>
      </c>
      <c r="H321" s="414" t="b">
        <f>Wh_hp&gt;='2018'!Maxi_hp</f>
        <v>0</v>
      </c>
      <c r="I321" s="390">
        <f>IF(H321,Wh_hp,'2018'!Maxi_hp)</f>
        <v>25.62517790632015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1.0624877811324596E-2</v>
      </c>
      <c r="M321" s="844"/>
      <c r="N321" s="844"/>
      <c r="O321" s="48">
        <f>IF(t&lt;Tnet,'2018'!Resal+('2018'!Salim-'2018'!Resal)*(1-EXP(('2018'!Tnet-t)/('2018'!Tau_j))),Resal+(Salim-Resal)*(1-EXP((Tnet-t)/(Tau_j))))*Salcycl</f>
        <v>6.8654729592459968E-2</v>
      </c>
      <c r="P321" s="169">
        <f>(INDEX(Models!$BJ321:$BT321,,T321)*(1-R321)+INDEX(Models!$BJ321:$BT321,,T321+1)*R321-ERP_i)*Q321*Ramure*Pc/MaxiM</f>
        <v>1.1524850103862528E-3</v>
      </c>
      <c r="Q321" s="305">
        <f t="shared" si="102"/>
        <v>0.7</v>
      </c>
      <c r="R321" s="177">
        <f t="shared" si="103"/>
        <v>0.19843169591369769</v>
      </c>
      <c r="S321" s="810">
        <f t="shared" si="104"/>
        <v>-1</v>
      </c>
      <c r="T321" s="176">
        <f t="shared" si="105"/>
        <v>5</v>
      </c>
      <c r="U321" s="251">
        <f t="shared" si="106"/>
        <v>-0.80156830408630231</v>
      </c>
      <c r="V321" s="383">
        <f t="shared" si="107"/>
        <v>25.475642300900351</v>
      </c>
      <c r="W321" s="58"/>
      <c r="X321" s="157">
        <f t="shared" si="108"/>
        <v>43772</v>
      </c>
      <c r="Y321" s="385">
        <f t="shared" si="109"/>
        <v>12.432</v>
      </c>
      <c r="Z321" s="385">
        <f t="shared" si="110"/>
        <v>12.56550697626011</v>
      </c>
      <c r="AA321" s="386">
        <f t="shared" si="111"/>
        <v>13.491781593266341</v>
      </c>
      <c r="AB321" s="197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6.8654729592459968E-2</v>
      </c>
      <c r="AD321" s="231">
        <f>(INDEX(Models!$BJ321:$BT321,,AH321)*(1-AF321)+INDEX(Models!$BJ321:$BT321,,AH321+1)*AF321-ERP_i)*AE321*Ramure*Pc/MaxiM</f>
        <v>1.1524850103862528E-3</v>
      </c>
      <c r="AE321" s="305">
        <f t="shared" si="113"/>
        <v>0.7</v>
      </c>
      <c r="AF321" s="177">
        <f t="shared" si="114"/>
        <v>0.19843169591369769</v>
      </c>
      <c r="AG321" s="176">
        <f t="shared" si="115"/>
        <v>-1</v>
      </c>
      <c r="AH321" s="176">
        <f t="shared" si="116"/>
        <v>5</v>
      </c>
      <c r="AI321" s="225">
        <f t="shared" si="117"/>
        <v>-0.80156830408630231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6">
        <v>8.6859999999999999</v>
      </c>
      <c r="C322" s="390"/>
      <c r="D322" s="393">
        <f t="shared" si="99"/>
        <v>8.7794830755377173</v>
      </c>
      <c r="E322" s="385">
        <f t="shared" si="121"/>
        <v>9.4273414005239324</v>
      </c>
      <c r="F322" s="385">
        <f t="shared" si="100"/>
        <v>9.4280223305527002</v>
      </c>
      <c r="G322" s="110">
        <f t="shared" si="122"/>
        <v>0.34482956488133565</v>
      </c>
      <c r="H322" s="414" t="b">
        <f>Wh_hp&gt;='2018'!Maxi_hp</f>
        <v>0</v>
      </c>
      <c r="I322" s="390">
        <f>IF(H322,Wh_hp,'2018'!Maxi_hp)</f>
        <v>21.931273937161258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1.0647902015801902E-2</v>
      </c>
      <c r="M322" s="844"/>
      <c r="N322" s="844"/>
      <c r="O322" s="48">
        <f>IF(t&lt;Tnet,'2018'!Resal+('2018'!Salim-'2018'!Resal)*(1-EXP(('2018'!Tnet-t)/('2018'!Tau_j))),Resal+(Salim-Resal)*(1-EXP((Tnet-t)/(Tau_j))))*Salcycl</f>
        <v>6.8721211788321399E-2</v>
      </c>
      <c r="P322" s="169">
        <f>(INDEX(Models!$BJ322:$BT322,,T322)*(1-R322)+INDEX(Models!$BJ322:$BT322,,T322+1)*R322-ERP_i)*Q322*Ramure*Pc/MaxiM</f>
        <v>1.1187409107995105E-3</v>
      </c>
      <c r="Q322" s="305">
        <f t="shared" si="102"/>
        <v>0.7</v>
      </c>
      <c r="R322" s="177">
        <f t="shared" si="103"/>
        <v>0.19847149187383561</v>
      </c>
      <c r="S322" s="810">
        <f t="shared" si="104"/>
        <v>-1</v>
      </c>
      <c r="T322" s="176">
        <f t="shared" si="105"/>
        <v>5</v>
      </c>
      <c r="U322" s="251">
        <f t="shared" si="106"/>
        <v>-0.80152850812616439</v>
      </c>
      <c r="V322" s="383">
        <f t="shared" si="107"/>
        <v>25.162892575735221</v>
      </c>
      <c r="W322" s="58"/>
      <c r="X322" s="157">
        <f t="shared" si="108"/>
        <v>43773</v>
      </c>
      <c r="Y322" s="385">
        <f t="shared" si="109"/>
        <v>8.6859999999999999</v>
      </c>
      <c r="Z322" s="385">
        <f t="shared" si="110"/>
        <v>8.7794830755377173</v>
      </c>
      <c r="AA322" s="386">
        <f t="shared" si="111"/>
        <v>9.4273414005239324</v>
      </c>
      <c r="AB322" s="197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6.8721211788321399E-2</v>
      </c>
      <c r="AD322" s="231">
        <f>(INDEX(Models!$BJ322:$BT322,,AH322)*(1-AF322)+INDEX(Models!$BJ322:$BT322,,AH322+1)*AF322-ERP_i)*AE322*Ramure*Pc/MaxiM</f>
        <v>1.1187409107995105E-3</v>
      </c>
      <c r="AE322" s="305">
        <f t="shared" si="113"/>
        <v>0.7</v>
      </c>
      <c r="AF322" s="177">
        <f t="shared" si="114"/>
        <v>0.19847149187383561</v>
      </c>
      <c r="AG322" s="176">
        <f t="shared" si="115"/>
        <v>-1</v>
      </c>
      <c r="AH322" s="176">
        <f t="shared" si="116"/>
        <v>5</v>
      </c>
      <c r="AI322" s="225">
        <f t="shared" si="117"/>
        <v>-0.80152850812616439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6">
        <v>11.724</v>
      </c>
      <c r="C323" s="390"/>
      <c r="D323" s="393">
        <f t="shared" si="99"/>
        <v>11.850455328133675</v>
      </c>
      <c r="E323" s="385">
        <f t="shared" si="121"/>
        <v>12.725834841936059</v>
      </c>
      <c r="F323" s="385">
        <f t="shared" si="100"/>
        <v>12.729209554081038</v>
      </c>
      <c r="G323" s="110">
        <f t="shared" si="122"/>
        <v>0.47134309852423084</v>
      </c>
      <c r="H323" s="414" t="b">
        <f>Wh_hp&gt;='2018'!Maxi_hp</f>
        <v>1</v>
      </c>
      <c r="I323" s="390">
        <f>IF(H323,Wh_hp,'2018'!Maxi_hp)</f>
        <v>12.729209554081038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1.0670925684472365E-2</v>
      </c>
      <c r="M323" s="844"/>
      <c r="N323" s="844"/>
      <c r="O323" s="48">
        <f>IF(t&lt;Tnet,'2018'!Resal+('2018'!Salim-'2018'!Resal)*(1-EXP(('2018'!Tnet-t)/('2018'!Tau_j))),Resal+(Salim-Resal)*(1-EXP((Tnet-t)/(Tau_j))))*Salcycl</f>
        <v>6.8787590336918683E-2</v>
      </c>
      <c r="P323" s="169">
        <f>(INDEX(Models!$BJ323:$BT323,,T323)*(1-R323)+INDEX(Models!$BJ323:$BT323,,T323+1)*R323-ERP_i)*Q323*Ramure*Pc/MaxiM</f>
        <v>1.0806683438762297E-3</v>
      </c>
      <c r="Q323" s="305">
        <f t="shared" si="102"/>
        <v>0.7</v>
      </c>
      <c r="R323" s="177">
        <f t="shared" si="103"/>
        <v>0.19850969298614718</v>
      </c>
      <c r="S323" s="810">
        <f t="shared" si="104"/>
        <v>-1</v>
      </c>
      <c r="T323" s="176">
        <f t="shared" si="105"/>
        <v>5</v>
      </c>
      <c r="U323" s="251">
        <f t="shared" si="106"/>
        <v>-0.80149030701385282</v>
      </c>
      <c r="V323" s="383">
        <f t="shared" si="107"/>
        <v>24.853309533607408</v>
      </c>
      <c r="W323" s="58"/>
      <c r="X323" s="157">
        <f t="shared" si="108"/>
        <v>43774</v>
      </c>
      <c r="Y323" s="385">
        <f t="shared" si="109"/>
        <v>11.724</v>
      </c>
      <c r="Z323" s="385">
        <f t="shared" si="110"/>
        <v>11.850455328133675</v>
      </c>
      <c r="AA323" s="386">
        <f t="shared" si="111"/>
        <v>12.725834841936059</v>
      </c>
      <c r="AB323" s="197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6.8787590336918683E-2</v>
      </c>
      <c r="AD323" s="231">
        <f>(INDEX(Models!$BJ323:$BT323,,AH323)*(1-AF323)+INDEX(Models!$BJ323:$BT323,,AH323+1)*AF323-ERP_i)*AE323*Ramure*Pc/MaxiM</f>
        <v>1.0806683438762297E-3</v>
      </c>
      <c r="AE323" s="305">
        <f t="shared" si="113"/>
        <v>0.7</v>
      </c>
      <c r="AF323" s="177">
        <f t="shared" si="114"/>
        <v>0.19850969298614718</v>
      </c>
      <c r="AG323" s="176">
        <f t="shared" si="115"/>
        <v>-1</v>
      </c>
      <c r="AH323" s="176">
        <f t="shared" si="116"/>
        <v>5</v>
      </c>
      <c r="AI323" s="225">
        <f t="shared" si="117"/>
        <v>-0.80149030701385282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6">
        <v>11.922000000000001</v>
      </c>
      <c r="C324" s="390"/>
      <c r="D324" s="393">
        <f t="shared" si="99"/>
        <v>12.050871401977194</v>
      </c>
      <c r="E324" s="385">
        <f t="shared" si="121"/>
        <v>12.941977522987701</v>
      </c>
      <c r="F324" s="385">
        <f t="shared" si="100"/>
        <v>12.945546923442814</v>
      </c>
      <c r="G324" s="110">
        <f t="shared" si="122"/>
        <v>0.48530237332364151</v>
      </c>
      <c r="H324" s="414" t="b">
        <f>Wh_hp&gt;='2018'!Maxi_hp</f>
        <v>0</v>
      </c>
      <c r="I324" s="390">
        <f>IF(H324,Wh_hp,'2018'!Maxi_hp)</f>
        <v>18.093121508891922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1.0693948817348531E-2</v>
      </c>
      <c r="M324" s="844"/>
      <c r="N324" s="844"/>
      <c r="O324" s="48">
        <f>IF(t&lt;Tnet,'2018'!Resal+('2018'!Salim-'2018'!Resal)*(1-EXP(('2018'!Tnet-t)/('2018'!Tau_j))),Resal+(Salim-Resal)*(1-EXP((Tnet-t)/(Tau_j))))*Salcycl</f>
        <v>6.8853938235305501E-2</v>
      </c>
      <c r="P324" s="169">
        <f>(INDEX(Models!$BJ324:$BT324,,T324)*(1-R324)+INDEX(Models!$BJ324:$BT324,,T324+1)*R324-ERP_i)*Q324*Ramure*Pc/MaxiM</f>
        <v>1.0394968442202235E-3</v>
      </c>
      <c r="Q324" s="305">
        <f t="shared" si="102"/>
        <v>0.7</v>
      </c>
      <c r="R324" s="177">
        <f t="shared" si="103"/>
        <v>0.19854636287772243</v>
      </c>
      <c r="S324" s="810">
        <f t="shared" si="104"/>
        <v>-1</v>
      </c>
      <c r="T324" s="176">
        <f t="shared" si="105"/>
        <v>5</v>
      </c>
      <c r="U324" s="251">
        <f t="shared" si="106"/>
        <v>-0.80145363712227757</v>
      </c>
      <c r="V324" s="383">
        <f t="shared" si="107"/>
        <v>24.547359431792053</v>
      </c>
      <c r="W324" s="58"/>
      <c r="X324" s="157">
        <f t="shared" si="108"/>
        <v>43775</v>
      </c>
      <c r="Y324" s="385">
        <f t="shared" si="109"/>
        <v>11.922000000000001</v>
      </c>
      <c r="Z324" s="385">
        <f t="shared" si="110"/>
        <v>12.050871401977194</v>
      </c>
      <c r="AA324" s="386">
        <f t="shared" si="111"/>
        <v>12.941977522987701</v>
      </c>
      <c r="AB324" s="197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6.8853938235305501E-2</v>
      </c>
      <c r="AD324" s="231">
        <f>(INDEX(Models!$BJ324:$BT324,,AH324)*(1-AF324)+INDEX(Models!$BJ324:$BT324,,AH324+1)*AF324-ERP_i)*AE324*Ramure*Pc/MaxiM</f>
        <v>1.0394968442202235E-3</v>
      </c>
      <c r="AE324" s="305">
        <f t="shared" si="113"/>
        <v>0.7</v>
      </c>
      <c r="AF324" s="177">
        <f t="shared" si="114"/>
        <v>0.19854636287772243</v>
      </c>
      <c r="AG324" s="176">
        <f t="shared" si="115"/>
        <v>-1</v>
      </c>
      <c r="AH324" s="176">
        <f t="shared" si="116"/>
        <v>5</v>
      </c>
      <c r="AI324" s="225">
        <f t="shared" si="117"/>
        <v>-0.80145363712227757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6">
        <v>4.024</v>
      </c>
      <c r="C325" s="390"/>
      <c r="D325" s="393">
        <f t="shared" si="99"/>
        <v>4.0675922700840994</v>
      </c>
      <c r="E325" s="385">
        <f t="shared" si="121"/>
        <v>4.3686833626318702</v>
      </c>
      <c r="F325" s="385">
        <f t="shared" si="100"/>
        <v>4.3686833626318702</v>
      </c>
      <c r="G325" s="110">
        <f t="shared" si="122"/>
        <v>0.16580349289158389</v>
      </c>
      <c r="H325" s="414" t="b">
        <f>Wh_hp&gt;='2018'!Maxi_hp</f>
        <v>0</v>
      </c>
      <c r="I325" s="390">
        <f>IF(H325,Wh_hp,'2018'!Maxi_hp)</f>
        <v>9.9359879328924468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1.0716971414442611E-2</v>
      </c>
      <c r="M325" s="844"/>
      <c r="N325" s="844"/>
      <c r="O325" s="48">
        <f>IF(t&lt;Tnet,'2018'!Resal+('2018'!Salim-'2018'!Resal)*(1-EXP(('2018'!Tnet-t)/('2018'!Tau_j))),Resal+(Salim-Resal)*(1-EXP((Tnet-t)/(Tau_j))))*Salcycl</f>
        <v>6.8920328518929624E-2</v>
      </c>
      <c r="P325" s="169">
        <f>(INDEX(Models!$BJ325:$BT325,,T325)*(1-R325)+INDEX(Models!$BJ325:$BT325,,T325+1)*R325-ERP_i)*Q325*Ramure*Pc/MaxiM</f>
        <v>9.9853042891755693E-4</v>
      </c>
      <c r="Q325" s="305">
        <f t="shared" si="102"/>
        <v>0.7</v>
      </c>
      <c r="R325" s="177">
        <f t="shared" si="103"/>
        <v>0.19858156265985938</v>
      </c>
      <c r="S325" s="810">
        <f t="shared" si="104"/>
        <v>-1</v>
      </c>
      <c r="T325" s="176">
        <f t="shared" si="105"/>
        <v>5</v>
      </c>
      <c r="U325" s="251">
        <f t="shared" si="106"/>
        <v>-0.80141843734014062</v>
      </c>
      <c r="V325" s="383">
        <f t="shared" si="107"/>
        <v>24.245459751457918</v>
      </c>
      <c r="W325" s="58"/>
      <c r="X325" s="157">
        <f t="shared" si="108"/>
        <v>43776</v>
      </c>
      <c r="Y325" s="385">
        <f t="shared" si="109"/>
        <v>4.024</v>
      </c>
      <c r="Z325" s="385">
        <f t="shared" si="110"/>
        <v>4.0675922700840994</v>
      </c>
      <c r="AA325" s="386">
        <f t="shared" si="111"/>
        <v>4.3686833626318702</v>
      </c>
      <c r="AB325" s="197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6.8920328518929624E-2</v>
      </c>
      <c r="AD325" s="231">
        <f>(INDEX(Models!$BJ325:$BT325,,AH325)*(1-AF325)+INDEX(Models!$BJ325:$BT325,,AH325+1)*AF325-ERP_i)*AE325*Ramure*Pc/MaxiM</f>
        <v>9.9853042891755693E-4</v>
      </c>
      <c r="AE325" s="305">
        <f t="shared" si="113"/>
        <v>0.7</v>
      </c>
      <c r="AF325" s="177">
        <f t="shared" si="114"/>
        <v>0.19858156265985938</v>
      </c>
      <c r="AG325" s="176">
        <f t="shared" si="115"/>
        <v>-1</v>
      </c>
      <c r="AH325" s="176">
        <f t="shared" si="116"/>
        <v>5</v>
      </c>
      <c r="AI325" s="225">
        <f t="shared" si="117"/>
        <v>-0.80141843734014062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6">
        <v>11.849</v>
      </c>
      <c r="C326" s="390"/>
      <c r="D326" s="393">
        <f t="shared" si="99"/>
        <v>11.977639773017296</v>
      </c>
      <c r="E326" s="385">
        <f t="shared" si="121"/>
        <v>12.865166905797766</v>
      </c>
      <c r="F326" s="385">
        <f t="shared" si="100"/>
        <v>12.86859642596267</v>
      </c>
      <c r="G326" s="110">
        <f t="shared" si="122"/>
        <v>0.49443594568158561</v>
      </c>
      <c r="H326" s="414" t="b">
        <f>Wh_hp&gt;='2018'!Maxi_hp</f>
        <v>0</v>
      </c>
      <c r="I326" s="390">
        <f>IF(H326,Wh_hp,'2018'!Maxi_hp)</f>
        <v>13.427151249755362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1.0739993475767262E-2</v>
      </c>
      <c r="M326" s="844"/>
      <c r="N326" s="844"/>
      <c r="O326" s="48">
        <f>IF(t&lt;Tnet,'2018'!Resal+('2018'!Salim-'2018'!Resal)*(1-EXP(('2018'!Tnet-t)/('2018'!Tau_j))),Resal+(Salim-Resal)*(1-EXP((Tnet-t)/(Tau_j))))*Salcycl</f>
        <v>6.8986833927549063E-2</v>
      </c>
      <c r="P326" s="169">
        <f>(INDEX(Models!$BJ326:$BT326,,T326)*(1-R326)+INDEX(Models!$BJ326:$BT326,,T326+1)*R326-ERP_i)*Q326*Ramure*Pc/MaxiM</f>
        <v>9.5776769625473723E-4</v>
      </c>
      <c r="Q326" s="305">
        <f t="shared" si="102"/>
        <v>0.7</v>
      </c>
      <c r="R326" s="177">
        <f t="shared" si="103"/>
        <v>0.19861535102575223</v>
      </c>
      <c r="S326" s="810">
        <f t="shared" si="104"/>
        <v>-1</v>
      </c>
      <c r="T326" s="176">
        <f t="shared" si="105"/>
        <v>5</v>
      </c>
      <c r="U326" s="251">
        <f t="shared" si="106"/>
        <v>-0.80138464897424777</v>
      </c>
      <c r="V326" s="383">
        <f t="shared" si="107"/>
        <v>23.94811122682605</v>
      </c>
      <c r="W326" s="58"/>
      <c r="X326" s="157">
        <f t="shared" si="108"/>
        <v>43777</v>
      </c>
      <c r="Y326" s="385">
        <f t="shared" si="109"/>
        <v>11.849</v>
      </c>
      <c r="Z326" s="385">
        <f t="shared" si="110"/>
        <v>11.977639773017296</v>
      </c>
      <c r="AA326" s="386">
        <f t="shared" si="111"/>
        <v>12.865166905797766</v>
      </c>
      <c r="AB326" s="197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6.8986833927549063E-2</v>
      </c>
      <c r="AD326" s="231">
        <f>(INDEX(Models!$BJ326:$BT326,,AH326)*(1-AF326)+INDEX(Models!$BJ326:$BT326,,AH326+1)*AF326-ERP_i)*AE326*Ramure*Pc/MaxiM</f>
        <v>9.5776769625473723E-4</v>
      </c>
      <c r="AE326" s="305">
        <f t="shared" si="113"/>
        <v>0.7</v>
      </c>
      <c r="AF326" s="177">
        <f t="shared" si="114"/>
        <v>0.19861535102575223</v>
      </c>
      <c r="AG326" s="176">
        <f t="shared" si="115"/>
        <v>-1</v>
      </c>
      <c r="AH326" s="176">
        <f t="shared" si="116"/>
        <v>5</v>
      </c>
      <c r="AI326" s="225">
        <f t="shared" si="117"/>
        <v>-0.80138464897424777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6">
        <v>15.496</v>
      </c>
      <c r="C327" s="390"/>
      <c r="D327" s="393">
        <f t="shared" si="99"/>
        <v>15.66459830656343</v>
      </c>
      <c r="E327" s="385">
        <f t="shared" si="121"/>
        <v>16.826529509100485</v>
      </c>
      <c r="F327" s="385">
        <f t="shared" si="100"/>
        <v>16.834361458141387</v>
      </c>
      <c r="G327" s="110">
        <f t="shared" si="122"/>
        <v>0.65476472763525717</v>
      </c>
      <c r="H327" s="414" t="b">
        <f>Wh_hp&gt;='2018'!Maxi_hp</f>
        <v>1</v>
      </c>
      <c r="I327" s="390">
        <f>IF(H327,Wh_hp,'2018'!Maxi_hp)</f>
        <v>16.834361458141387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1.076301500133503E-2</v>
      </c>
      <c r="M327" s="844"/>
      <c r="N327" s="844"/>
      <c r="O327" s="48">
        <f>IF(t&lt;Tnet,'2018'!Resal+('2018'!Salim-'2018'!Resal)*(1-EXP(('2018'!Tnet-t)/('2018'!Tau_j))),Resal+(Salim-Resal)*(1-EXP((Tnet-t)/(Tau_j))))*Salcycl</f>
        <v>6.9053526569970033E-2</v>
      </c>
      <c r="P327" s="169">
        <f>(INDEX(Models!$BJ327:$BT327,,T327)*(1-R327)+INDEX(Models!$BJ327:$BT327,,T327+1)*R327-ERP_i)*Q327*Ramure*Pc/MaxiM</f>
        <v>9.1720909444615434E-4</v>
      </c>
      <c r="Q327" s="305">
        <f t="shared" si="102"/>
        <v>0.7</v>
      </c>
      <c r="R327" s="177">
        <f t="shared" si="103"/>
        <v>0.19864778434452779</v>
      </c>
      <c r="S327" s="810">
        <f t="shared" si="104"/>
        <v>-1</v>
      </c>
      <c r="T327" s="176">
        <f t="shared" si="105"/>
        <v>5</v>
      </c>
      <c r="U327" s="251">
        <f t="shared" si="106"/>
        <v>-0.80135221565547221</v>
      </c>
      <c r="V327" s="383">
        <f t="shared" si="107"/>
        <v>23.655814538378895</v>
      </c>
      <c r="W327" s="58"/>
      <c r="X327" s="157">
        <f t="shared" si="108"/>
        <v>43778</v>
      </c>
      <c r="Y327" s="385">
        <f t="shared" si="109"/>
        <v>15.496</v>
      </c>
      <c r="Z327" s="385">
        <f t="shared" si="110"/>
        <v>15.66459830656343</v>
      </c>
      <c r="AA327" s="386">
        <f t="shared" si="111"/>
        <v>16.826529509100485</v>
      </c>
      <c r="AB327" s="197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6.9053526569970033E-2</v>
      </c>
      <c r="AD327" s="231">
        <f>(INDEX(Models!$BJ327:$BT327,,AH327)*(1-AF327)+INDEX(Models!$BJ327:$BT327,,AH327+1)*AF327-ERP_i)*AE327*Ramure*Pc/MaxiM</f>
        <v>9.1720909444615434E-4</v>
      </c>
      <c r="AE327" s="305">
        <f t="shared" si="113"/>
        <v>0.7</v>
      </c>
      <c r="AF327" s="177">
        <f t="shared" si="114"/>
        <v>0.19864778434452779</v>
      </c>
      <c r="AG327" s="176">
        <f t="shared" si="115"/>
        <v>-1</v>
      </c>
      <c r="AH327" s="176">
        <f t="shared" si="116"/>
        <v>5</v>
      </c>
      <c r="AI327" s="225">
        <f t="shared" si="117"/>
        <v>-0.80135221565547221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6">
        <v>14.773</v>
      </c>
      <c r="C328" s="390"/>
      <c r="D328" s="393">
        <f t="shared" si="99"/>
        <v>14.934079519188787</v>
      </c>
      <c r="E328" s="385">
        <f t="shared" si="121"/>
        <v>16.042977807186602</v>
      </c>
      <c r="F328" s="385">
        <f t="shared" si="100"/>
        <v>16.049655774491121</v>
      </c>
      <c r="G328" s="110">
        <f t="shared" si="122"/>
        <v>0.63186895892762307</v>
      </c>
      <c r="H328" s="414" t="b">
        <f>Wh_hp&gt;='2018'!Maxi_hp</f>
        <v>0</v>
      </c>
      <c r="I328" s="390">
        <f>IF(H328,Wh_hp,'2018'!Maxi_hp)</f>
        <v>17.160118945788746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1.0786035991158127E-2</v>
      </c>
      <c r="M328" s="844"/>
      <c r="N328" s="844"/>
      <c r="O328" s="48">
        <f>IF(t&lt;Tnet,'2018'!Resal+('2018'!Salim-'2018'!Resal)*(1-EXP(('2018'!Tnet-t)/('2018'!Tau_j))),Resal+(Salim-Resal)*(1-EXP((Tnet-t)/(Tau_j))))*Salcycl</f>
        <v>6.9120477589956847E-2</v>
      </c>
      <c r="P328" s="169">
        <f>(INDEX(Models!$BJ328:$BT328,,T328)*(1-R328)+INDEX(Models!$BJ328:$BT328,,T328+1)*R328-ERP_i)*Q328*Ramure*Pc/MaxiM</f>
        <v>8.7685705024842964E-4</v>
      </c>
      <c r="Q328" s="305">
        <f t="shared" si="102"/>
        <v>0.7</v>
      </c>
      <c r="R328" s="177">
        <f t="shared" si="103"/>
        <v>0.19867891675175597</v>
      </c>
      <c r="S328" s="810">
        <f t="shared" si="104"/>
        <v>-1</v>
      </c>
      <c r="T328" s="176">
        <f t="shared" si="105"/>
        <v>5</v>
      </c>
      <c r="U328" s="251">
        <f t="shared" si="106"/>
        <v>-0.80132108324824403</v>
      </c>
      <c r="V328" s="383">
        <f t="shared" si="107"/>
        <v>23.369070315869614</v>
      </c>
      <c r="W328" s="58"/>
      <c r="X328" s="157">
        <f t="shared" si="108"/>
        <v>43779</v>
      </c>
      <c r="Y328" s="385">
        <f t="shared" si="109"/>
        <v>14.772999999999998</v>
      </c>
      <c r="Z328" s="385">
        <f t="shared" si="110"/>
        <v>14.934079519188785</v>
      </c>
      <c r="AA328" s="386">
        <f t="shared" si="111"/>
        <v>16.042977807186602</v>
      </c>
      <c r="AB328" s="197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6.9120477589956847E-2</v>
      </c>
      <c r="AD328" s="231">
        <f>(INDEX(Models!$BJ328:$BT328,,AH328)*(1-AF328)+INDEX(Models!$BJ328:$BT328,,AH328+1)*AF328-ERP_i)*AE328*Ramure*Pc/MaxiM</f>
        <v>8.7685705024842964E-4</v>
      </c>
      <c r="AE328" s="305">
        <f t="shared" si="113"/>
        <v>0.7</v>
      </c>
      <c r="AF328" s="177">
        <f t="shared" si="114"/>
        <v>0.19867891675175597</v>
      </c>
      <c r="AG328" s="176">
        <f t="shared" si="115"/>
        <v>-1</v>
      </c>
      <c r="AH328" s="176">
        <f t="shared" si="116"/>
        <v>5</v>
      </c>
      <c r="AI328" s="225">
        <f t="shared" si="117"/>
        <v>-0.80132108324824403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6">
        <v>18.356999999999999</v>
      </c>
      <c r="C329" s="390"/>
      <c r="D329" s="393">
        <f t="shared" si="99"/>
        <v>18.557590038210815</v>
      </c>
      <c r="E329" s="385">
        <f t="shared" si="121"/>
        <v>19.936985331352837</v>
      </c>
      <c r="F329" s="385">
        <f t="shared" si="100"/>
        <v>19.948790383729861</v>
      </c>
      <c r="G329" s="110">
        <f t="shared" si="122"/>
        <v>0.794880433777995</v>
      </c>
      <c r="H329" s="414" t="b">
        <f>Wh_hp&gt;='2018'!Maxi_hp</f>
        <v>1</v>
      </c>
      <c r="I329" s="390">
        <f>IF(H329,Wh_hp,'2018'!Maxi_hp)</f>
        <v>19.948790383729861</v>
      </c>
      <c r="J329" s="85">
        <f>IF(H329,An,'2018'!An_max)</f>
        <v>2019</v>
      </c>
      <c r="K329" s="197">
        <f t="shared" si="101"/>
        <v>43780</v>
      </c>
      <c r="L329" s="147">
        <f>IF(t&lt;Tvie,1-EXP((T0-t)*PertePVj)+'2018'!Pspv,1-EXP((T0-t)*PertePVj)+Pspv)</f>
        <v>1.080905644524921E-2</v>
      </c>
      <c r="M329" s="844"/>
      <c r="N329" s="844"/>
      <c r="O329" s="48">
        <f>IF(t&lt;Tnet,'2018'!Resal+('2018'!Salim-'2018'!Resal)*(1-EXP(('2018'!Tnet-t)/('2018'!Tau_j))),Resal+(Salim-Resal)*(1-EXP((Tnet-t)/(Tau_j))))*Salcycl</f>
        <v>6.9187756835673145E-2</v>
      </c>
      <c r="P329" s="169">
        <f>(INDEX(Models!$BJ329:$BT329,,T329)*(1-R329)+INDEX(Models!$BJ329:$BT329,,T329+1)*R329-ERP_i)*Q329*Ramure*Pc/MaxiM</f>
        <v>8.3671610990499802E-4</v>
      </c>
      <c r="Q329" s="305">
        <f t="shared" si="102"/>
        <v>0.7</v>
      </c>
      <c r="R329" s="177">
        <f t="shared" si="103"/>
        <v>0.19870880023655357</v>
      </c>
      <c r="S329" s="810">
        <f t="shared" si="104"/>
        <v>-1</v>
      </c>
      <c r="T329" s="176">
        <f t="shared" si="105"/>
        <v>5</v>
      </c>
      <c r="U329" s="251">
        <f t="shared" si="106"/>
        <v>-0.80129119976344643</v>
      </c>
      <c r="V329" s="383">
        <f t="shared" si="107"/>
        <v>23.088379134848299</v>
      </c>
      <c r="W329" s="58"/>
      <c r="X329" s="157">
        <f t="shared" si="108"/>
        <v>43780</v>
      </c>
      <c r="Y329" s="385">
        <f t="shared" si="109"/>
        <v>18.356999999999999</v>
      </c>
      <c r="Z329" s="385">
        <f t="shared" si="110"/>
        <v>18.557590038210815</v>
      </c>
      <c r="AA329" s="386">
        <f t="shared" si="111"/>
        <v>19.936985331352837</v>
      </c>
      <c r="AB329" s="197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6.9187756835673145E-2</v>
      </c>
      <c r="AD329" s="231">
        <f>(INDEX(Models!$BJ329:$BT329,,AH329)*(1-AF329)+INDEX(Models!$BJ329:$BT329,,AH329+1)*AF329-ERP_i)*AE329*Ramure*Pc/MaxiM</f>
        <v>8.3671610990499802E-4</v>
      </c>
      <c r="AE329" s="305">
        <f t="shared" si="113"/>
        <v>0.7</v>
      </c>
      <c r="AF329" s="177">
        <f t="shared" si="114"/>
        <v>0.19870880023655357</v>
      </c>
      <c r="AG329" s="176">
        <f t="shared" si="115"/>
        <v>-1</v>
      </c>
      <c r="AH329" s="176">
        <f t="shared" si="116"/>
        <v>5</v>
      </c>
      <c r="AI329" s="225">
        <f t="shared" si="117"/>
        <v>-0.80129119976344643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6">
        <v>15.753</v>
      </c>
      <c r="C330" s="390"/>
      <c r="D330" s="393">
        <f t="shared" si="99"/>
        <v>15.925506300374984</v>
      </c>
      <c r="E330" s="385">
        <f t="shared" si="121"/>
        <v>17.110501481357208</v>
      </c>
      <c r="F330" s="385">
        <f t="shared" si="100"/>
        <v>17.118110225491211</v>
      </c>
      <c r="G330" s="110">
        <f t="shared" si="122"/>
        <v>0.69024638010160322</v>
      </c>
      <c r="H330" s="414" t="b">
        <f>Wh_hp&gt;='2018'!Maxi_hp</f>
        <v>0</v>
      </c>
      <c r="I330" s="390">
        <f>IF(H330,Wh_hp,'2018'!Maxi_hp)</f>
        <v>21.746437222180582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1.0832076363620713E-2</v>
      </c>
      <c r="M330" s="844"/>
      <c r="N330" s="844"/>
      <c r="O330" s="48">
        <f>IF(t&lt;Tnet,'2018'!Resal+('2018'!Salim-'2018'!Resal)*(1-EXP(('2018'!Tnet-t)/('2018'!Tau_j))),Resal+(Salim-Resal)*(1-EXP((Tnet-t)/(Tau_j))))*Salcycl</f>
        <v>6.9255432535004255E-2</v>
      </c>
      <c r="P330" s="169">
        <f>(INDEX(Models!$BJ330:$BT330,,T330)*(1-R330)+INDEX(Models!$BJ330:$BT330,,T330+1)*R330-ERP_i)*Q330*Ramure*Pc/MaxiM</f>
        <v>7.9679309007929695E-4</v>
      </c>
      <c r="Q330" s="305">
        <f t="shared" si="102"/>
        <v>0.7</v>
      </c>
      <c r="R330" s="177">
        <f t="shared" si="103"/>
        <v>0.1987374847254042</v>
      </c>
      <c r="S330" s="810">
        <f t="shared" si="104"/>
        <v>-1</v>
      </c>
      <c r="T330" s="176">
        <f t="shared" si="105"/>
        <v>5</v>
      </c>
      <c r="U330" s="251">
        <f t="shared" si="106"/>
        <v>-0.8012625152745958</v>
      </c>
      <c r="V330" s="383">
        <f t="shared" si="107"/>
        <v>22.814241519424495</v>
      </c>
      <c r="W330" s="58"/>
      <c r="X330" s="157">
        <f t="shared" si="108"/>
        <v>43781</v>
      </c>
      <c r="Y330" s="385">
        <f t="shared" si="109"/>
        <v>15.753</v>
      </c>
      <c r="Z330" s="385">
        <f t="shared" si="110"/>
        <v>15.925506300374984</v>
      </c>
      <c r="AA330" s="386">
        <f t="shared" si="111"/>
        <v>17.110501481357208</v>
      </c>
      <c r="AB330" s="197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6.9255432535004255E-2</v>
      </c>
      <c r="AD330" s="231">
        <f>(INDEX(Models!$BJ330:$BT330,,AH330)*(1-AF330)+INDEX(Models!$BJ330:$BT330,,AH330+1)*AF330-ERP_i)*AE330*Ramure*Pc/MaxiM</f>
        <v>7.9679309007929695E-4</v>
      </c>
      <c r="AE330" s="305">
        <f t="shared" si="113"/>
        <v>0.7</v>
      </c>
      <c r="AF330" s="177">
        <f t="shared" si="114"/>
        <v>0.1987374847254042</v>
      </c>
      <c r="AG330" s="176">
        <f t="shared" si="115"/>
        <v>-1</v>
      </c>
      <c r="AH330" s="176">
        <f t="shared" si="116"/>
        <v>5</v>
      </c>
      <c r="AI330" s="225">
        <f t="shared" si="117"/>
        <v>-0.8012625152745958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6">
        <v>16.699000000000002</v>
      </c>
      <c r="C331" s="390"/>
      <c r="D331" s="393">
        <f t="shared" si="99"/>
        <v>16.882258532786942</v>
      </c>
      <c r="E331" s="385">
        <f t="shared" si="121"/>
        <v>18.139772327260093</v>
      </c>
      <c r="F331" s="385">
        <f t="shared" si="100"/>
        <v>18.148423891772005</v>
      </c>
      <c r="G331" s="110">
        <f t="shared" si="122"/>
        <v>0.74050196001028157</v>
      </c>
      <c r="H331" s="414" t="b">
        <f>Wh_hp&gt;='2018'!Maxi_hp</f>
        <v>1</v>
      </c>
      <c r="I331" s="390">
        <f>IF(H331,Wh_hp,'2018'!Maxi_hp)</f>
        <v>18.148423891772005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1.0855095746285071E-2</v>
      </c>
      <c r="M331" s="844"/>
      <c r="N331" s="844"/>
      <c r="O331" s="48">
        <f>IF(t&lt;Tnet,'2018'!Resal+('2018'!Salim-'2018'!Resal)*(1-EXP(('2018'!Tnet-t)/('2018'!Tau_j))),Resal+(Salim-Resal)*(1-EXP((Tnet-t)/(Tau_j))))*Salcycl</f>
        <v>6.9323570979079138E-2</v>
      </c>
      <c r="P331" s="169">
        <f>(INDEX(Models!$BJ331:$BT331,,T331)*(1-R331)+INDEX(Models!$BJ331:$BT331,,T331+1)*R331-ERP_i)*Q331*Ramure*Pc/MaxiM</f>
        <v>7.571833593925302E-4</v>
      </c>
      <c r="Q331" s="305">
        <f t="shared" si="102"/>
        <v>0.7</v>
      </c>
      <c r="R331" s="177">
        <f t="shared" si="103"/>
        <v>0.19876501816280479</v>
      </c>
      <c r="S331" s="810">
        <f t="shared" si="104"/>
        <v>-1</v>
      </c>
      <c r="T331" s="176">
        <f t="shared" si="105"/>
        <v>5</v>
      </c>
      <c r="U331" s="251">
        <f t="shared" si="106"/>
        <v>-0.80123498183719521</v>
      </c>
      <c r="V331" s="383">
        <f t="shared" si="107"/>
        <v>22.544591466527908</v>
      </c>
      <c r="W331" s="58"/>
      <c r="X331" s="157">
        <f t="shared" si="108"/>
        <v>43782</v>
      </c>
      <c r="Y331" s="385">
        <f t="shared" si="109"/>
        <v>16.699000000000002</v>
      </c>
      <c r="Z331" s="385">
        <f t="shared" si="110"/>
        <v>16.882258532786942</v>
      </c>
      <c r="AA331" s="386">
        <f t="shared" si="111"/>
        <v>18.139772327260093</v>
      </c>
      <c r="AB331" s="197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6.9323570979079138E-2</v>
      </c>
      <c r="AD331" s="231">
        <f>(INDEX(Models!$BJ331:$BT331,,AH331)*(1-AF331)+INDEX(Models!$BJ331:$BT331,,AH331+1)*AF331-ERP_i)*AE331*Ramure*Pc/MaxiM</f>
        <v>7.571833593925302E-4</v>
      </c>
      <c r="AE331" s="305">
        <f t="shared" si="113"/>
        <v>0.7</v>
      </c>
      <c r="AF331" s="177">
        <f t="shared" si="114"/>
        <v>0.19876501816280479</v>
      </c>
      <c r="AG331" s="176">
        <f t="shared" si="115"/>
        <v>-1</v>
      </c>
      <c r="AH331" s="176">
        <f t="shared" si="116"/>
        <v>5</v>
      </c>
      <c r="AI331" s="225">
        <f t="shared" si="117"/>
        <v>-0.80123498183719521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6">
        <v>5.73</v>
      </c>
      <c r="C332" s="390"/>
      <c r="D332" s="393">
        <f t="shared" si="99"/>
        <v>5.793017103896875</v>
      </c>
      <c r="E332" s="385">
        <f t="shared" si="121"/>
        <v>6.2249825644513859</v>
      </c>
      <c r="F332" s="385">
        <f t="shared" si="100"/>
        <v>6.2249825644513859</v>
      </c>
      <c r="G332" s="110">
        <f t="shared" si="122"/>
        <v>0.25702631689408889</v>
      </c>
      <c r="H332" s="414" t="b">
        <f>Wh_hp&gt;='2018'!Maxi_hp</f>
        <v>0</v>
      </c>
      <c r="I332" s="390">
        <f>IF(H332,Wh_hp,'2018'!Maxi_hp)</f>
        <v>17.041403423677032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1.0878114593254717E-2</v>
      </c>
      <c r="M332" s="844"/>
      <c r="N332" s="844"/>
      <c r="O332" s="48">
        <f>IF(t&lt;Tnet,'2018'!Resal+('2018'!Salim-'2018'!Resal)*(1-EXP(('2018'!Tnet-t)/('2018'!Tau_j))),Resal+(Salim-Resal)*(1-EXP((Tnet-t)/(Tau_j))))*Salcycl</f>
        <v>6.9392236216259978E-2</v>
      </c>
      <c r="P332" s="169">
        <f>(INDEX(Models!$BJ332:$BT332,,T332)*(1-R332)+INDEX(Models!$BJ332:$BT332,,T332+1)*R332-ERP_i)*Q332*Ramure*Pc/MaxiM</f>
        <v>7.1947609099828186E-4</v>
      </c>
      <c r="Q332" s="305">
        <f t="shared" si="102"/>
        <v>0.7</v>
      </c>
      <c r="R332" s="177">
        <f t="shared" si="103"/>
        <v>0.19879144658885406</v>
      </c>
      <c r="S332" s="810">
        <f t="shared" si="104"/>
        <v>-1</v>
      </c>
      <c r="T332" s="176">
        <f t="shared" si="105"/>
        <v>5</v>
      </c>
      <c r="U332" s="251">
        <f t="shared" si="106"/>
        <v>-0.80120855341114594</v>
      </c>
      <c r="V332" s="383">
        <f t="shared" si="107"/>
        <v>22.277397393349428</v>
      </c>
      <c r="W332" s="58"/>
      <c r="X332" s="157">
        <f t="shared" si="108"/>
        <v>43783</v>
      </c>
      <c r="Y332" s="385">
        <f t="shared" si="109"/>
        <v>5.73</v>
      </c>
      <c r="Z332" s="385">
        <f t="shared" si="110"/>
        <v>5.793017103896875</v>
      </c>
      <c r="AA332" s="386">
        <f t="shared" si="111"/>
        <v>6.2249825644513859</v>
      </c>
      <c r="AB332" s="197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6.9392236216259978E-2</v>
      </c>
      <c r="AD332" s="231">
        <f>(INDEX(Models!$BJ332:$BT332,,AH332)*(1-AF332)+INDEX(Models!$BJ332:$BT332,,AH332+1)*AF332-ERP_i)*AE332*Ramure*Pc/MaxiM</f>
        <v>7.1947609099828186E-4</v>
      </c>
      <c r="AE332" s="305">
        <f t="shared" si="113"/>
        <v>0.7</v>
      </c>
      <c r="AF332" s="177">
        <f t="shared" si="114"/>
        <v>0.19879144658885406</v>
      </c>
      <c r="AG332" s="176">
        <f t="shared" si="115"/>
        <v>-1</v>
      </c>
      <c r="AH332" s="176">
        <f t="shared" si="116"/>
        <v>5</v>
      </c>
      <c r="AI332" s="225">
        <f t="shared" si="117"/>
        <v>-0.80120855341114594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6">
        <v>9.6639999999999997</v>
      </c>
      <c r="C333" s="390"/>
      <c r="D333" s="393">
        <f t="shared" si="99"/>
        <v>9.7705096239558511</v>
      </c>
      <c r="E333" s="385">
        <f t="shared" si="121"/>
        <v>10.499844462560993</v>
      </c>
      <c r="F333" s="385">
        <f t="shared" si="100"/>
        <v>10.501271200221407</v>
      </c>
      <c r="G333" s="110">
        <f t="shared" si="122"/>
        <v>0.43876754582756444</v>
      </c>
      <c r="H333" s="414" t="b">
        <f>Wh_hp&gt;='2018'!Maxi_hp</f>
        <v>0</v>
      </c>
      <c r="I333" s="390">
        <f>IF(H333,Wh_hp,'2018'!Maxi_hp)</f>
        <v>15.543705853836657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1.0901132904542199E-2</v>
      </c>
      <c r="M333" s="844"/>
      <c r="N333" s="844"/>
      <c r="O333" s="48">
        <f>IF(t&lt;Tnet,'2018'!Resal+('2018'!Salim-'2018'!Resal)*(1-EXP(('2018'!Tnet-t)/('2018'!Tau_j))),Resal+(Salim-Resal)*(1-EXP((Tnet-t)/(Tau_j))))*Salcycl</f>
        <v>6.9461489758797068E-2</v>
      </c>
      <c r="P333" s="169">
        <f>(INDEX(Models!$BJ333:$BT333,,T333)*(1-R333)+INDEX(Models!$BJ333:$BT333,,T333+1)*R333-ERP_i)*Q333*Ramure*Pc/MaxiM</f>
        <v>6.8416302621828503E-4</v>
      </c>
      <c r="Q333" s="305">
        <f t="shared" si="102"/>
        <v>0.7</v>
      </c>
      <c r="R333" s="177">
        <f t="shared" si="103"/>
        <v>0.19881681421389019</v>
      </c>
      <c r="S333" s="810">
        <f t="shared" si="104"/>
        <v>-1</v>
      </c>
      <c r="T333" s="176">
        <f t="shared" si="105"/>
        <v>5</v>
      </c>
      <c r="U333" s="251">
        <f t="shared" si="106"/>
        <v>-0.80118318578610981</v>
      </c>
      <c r="V333" s="383">
        <f t="shared" si="107"/>
        <v>22.013251899703025</v>
      </c>
      <c r="W333" s="58"/>
      <c r="X333" s="157">
        <f t="shared" si="108"/>
        <v>43784</v>
      </c>
      <c r="Y333" s="385">
        <f t="shared" si="109"/>
        <v>9.6639999999999997</v>
      </c>
      <c r="Z333" s="385">
        <f t="shared" si="110"/>
        <v>9.7705096239558511</v>
      </c>
      <c r="AA333" s="386">
        <f t="shared" si="111"/>
        <v>10.499844462560993</v>
      </c>
      <c r="AB333" s="197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6.9461489758797068E-2</v>
      </c>
      <c r="AD333" s="231">
        <f>(INDEX(Models!$BJ333:$BT333,,AH333)*(1-AF333)+INDEX(Models!$BJ333:$BT333,,AH333+1)*AF333-ERP_i)*AE333*Ramure*Pc/MaxiM</f>
        <v>6.8416302621828503E-4</v>
      </c>
      <c r="AE333" s="305">
        <f t="shared" si="113"/>
        <v>0.7</v>
      </c>
      <c r="AF333" s="177">
        <f t="shared" si="114"/>
        <v>0.19881681421389019</v>
      </c>
      <c r="AG333" s="176">
        <f t="shared" si="115"/>
        <v>-1</v>
      </c>
      <c r="AH333" s="176">
        <f t="shared" si="116"/>
        <v>5</v>
      </c>
      <c r="AI333" s="225">
        <f t="shared" si="117"/>
        <v>-0.80118318578610981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6">
        <v>11.891999999999999</v>
      </c>
      <c r="C334" s="390"/>
      <c r="D334" s="393">
        <f t="shared" si="99"/>
        <v>12.023344830609096</v>
      </c>
      <c r="E334" s="385">
        <f t="shared" si="121"/>
        <v>12.921816711840131</v>
      </c>
      <c r="F334" s="385">
        <f t="shared" si="100"/>
        <v>12.924783212773347</v>
      </c>
      <c r="G334" s="110">
        <f t="shared" si="122"/>
        <v>0.54645867441644225</v>
      </c>
      <c r="H334" s="414" t="b">
        <f>Wh_hp&gt;='2018'!Maxi_hp</f>
        <v>0</v>
      </c>
      <c r="I334" s="390">
        <f>IF(H334,Wh_hp,'2018'!Maxi_hp)</f>
        <v>20.338950705107482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1.092415068015995E-2</v>
      </c>
      <c r="M334" s="844"/>
      <c r="N334" s="844"/>
      <c r="O334" s="48">
        <f>IF(t&lt;Tnet,'2018'!Resal+('2018'!Salim-'2018'!Resal)*(1-EXP(('2018'!Tnet-t)/('2018'!Tau_j))),Resal+(Salim-Resal)*(1-EXP((Tnet-t)/(Tau_j))))*Salcycl</f>
        <v>6.9531390304257729E-2</v>
      </c>
      <c r="P334" s="169">
        <f>(INDEX(Models!$BJ334:$BT334,,T334)*(1-R334)+INDEX(Models!$BJ334:$BT334,,T334+1)*R334-ERP_i)*Q334*Ramure*Pc/MaxiM</f>
        <v>6.5128181131831958E-4</v>
      </c>
      <c r="Q334" s="305">
        <f t="shared" si="102"/>
        <v>0.7</v>
      </c>
      <c r="R334" s="177">
        <f t="shared" si="103"/>
        <v>0.1988411634902818</v>
      </c>
      <c r="S334" s="810">
        <f t="shared" si="104"/>
        <v>-1</v>
      </c>
      <c r="T334" s="176">
        <f t="shared" si="105"/>
        <v>5</v>
      </c>
      <c r="U334" s="251">
        <f t="shared" si="106"/>
        <v>-0.8011588365097182</v>
      </c>
      <c r="V334" s="383">
        <f t="shared" si="107"/>
        <v>21.752757926490176</v>
      </c>
      <c r="W334" s="58"/>
      <c r="X334" s="157">
        <f t="shared" si="108"/>
        <v>43785</v>
      </c>
      <c r="Y334" s="385">
        <f t="shared" si="109"/>
        <v>11.891999999999999</v>
      </c>
      <c r="Z334" s="385">
        <f t="shared" si="110"/>
        <v>12.023344830609096</v>
      </c>
      <c r="AA334" s="386">
        <f t="shared" si="111"/>
        <v>12.921816711840131</v>
      </c>
      <c r="AB334" s="197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6.9531390304257729E-2</v>
      </c>
      <c r="AD334" s="231">
        <f>(INDEX(Models!$BJ334:$BT334,,AH334)*(1-AF334)+INDEX(Models!$BJ334:$BT334,,AH334+1)*AF334-ERP_i)*AE334*Ramure*Pc/MaxiM</f>
        <v>6.5128181131831958E-4</v>
      </c>
      <c r="AE334" s="305">
        <f t="shared" si="113"/>
        <v>0.7</v>
      </c>
      <c r="AF334" s="177">
        <f t="shared" si="114"/>
        <v>0.1988411634902818</v>
      </c>
      <c r="AG334" s="176">
        <f t="shared" si="115"/>
        <v>-1</v>
      </c>
      <c r="AH334" s="176">
        <f t="shared" si="116"/>
        <v>5</v>
      </c>
      <c r="AI334" s="225">
        <f t="shared" si="117"/>
        <v>-0.8011588365097182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6">
        <v>11.552</v>
      </c>
      <c r="C335" s="390"/>
      <c r="D335" s="393">
        <f t="shared" ref="D335:D379" si="123">Wh/(1-Ppv)</f>
        <v>11.679861404074133</v>
      </c>
      <c r="E335" s="385">
        <f t="shared" si="121"/>
        <v>12.553618260299157</v>
      </c>
      <c r="F335" s="385">
        <f t="shared" ref="F335:F379" si="124">Wh_sa/(1-Pvg*MEDIAN((-Sdif+Wh/Env_an)/Csdif,0,1))</f>
        <v>12.556262049264053</v>
      </c>
      <c r="G335" s="110">
        <f t="shared" si="122"/>
        <v>0.53716880333829176</v>
      </c>
      <c r="H335" s="414" t="b">
        <f>Wh_hp&gt;='2018'!Maxi_hp</f>
        <v>0</v>
      </c>
      <c r="I335" s="390">
        <f>IF(H335,Wh_hp,'2018'!Maxi_hp)</f>
        <v>21.890995839338444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1.0947167920120404E-2</v>
      </c>
      <c r="M335" s="844"/>
      <c r="N335" s="844"/>
      <c r="O335" s="48">
        <f>IF(t&lt;Tnet,'2018'!Resal+('2018'!Salim-'2018'!Resal)*(1-EXP(('2018'!Tnet-t)/('2018'!Tau_j))),Resal+(Salim-Resal)*(1-EXP((Tnet-t)/(Tau_j))))*Salcycl</f>
        <v>6.9601993473728793E-2</v>
      </c>
      <c r="P335" s="169">
        <f>(INDEX(Models!$BJ335:$BT335,,T335)*(1-R335)+INDEX(Models!$BJ335:$BT335,,T335+1)*R335-ERP_i)*Q335*Ramure*Pc/MaxiM</f>
        <v>6.2087364130687271E-4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0.19886453518147729</v>
      </c>
      <c r="S335" s="810">
        <f t="shared" ref="S335:S379" si="128">INDEX(Echel_vg,T335)</f>
        <v>-1</v>
      </c>
      <c r="T335" s="176">
        <f t="shared" ref="T335:T379" si="129">MIN(MATCH(Hp_vg,Echel_vg),10)</f>
        <v>5</v>
      </c>
      <c r="U335" s="251">
        <f t="shared" ref="U335:U379" si="130">IF(OR(t&lt;Ttai,Notai),Hdd+PousH*Croivg,Hdtf+PousH*(Croivg-Croi_tai))</f>
        <v>-0.80113546481852271</v>
      </c>
      <c r="V335" s="383">
        <f t="shared" ref="V335:V379" si="131">MaxiM*(1-Ppv)*(1-Pvg)*(1-Psa)</f>
        <v>21.496518289678058</v>
      </c>
      <c r="W335" s="58"/>
      <c r="X335" s="157">
        <f t="shared" ref="X335:X379" si="132">t</f>
        <v>43786</v>
      </c>
      <c r="Y335" s="385">
        <f t="shared" ref="Y335:Y379" si="133">Wh_pvt_s*(1-Ppv)</f>
        <v>11.552</v>
      </c>
      <c r="Z335" s="385">
        <f t="shared" ref="Z335:Z379" si="134">Wh_sa_s*(1-Psa_s)</f>
        <v>11.679861404074133</v>
      </c>
      <c r="AA335" s="386">
        <f t="shared" ref="AA335:AA379" si="135">Wh_hp*(1-Pvg_s*MEDIAN((-Sdif+Wh/Env_an)/Csdif,0,1))</f>
        <v>12.553618260299157</v>
      </c>
      <c r="AB335" s="197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6.9601993473728793E-2</v>
      </c>
      <c r="AD335" s="231">
        <f>(INDEX(Models!$BJ335:$BT335,,AH335)*(1-AF335)+INDEX(Models!$BJ335:$BT335,,AH335+1)*AF335-ERP_i)*AE335*Ramure*Pc/MaxiM</f>
        <v>6.2087364130687271E-4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0.19886453518147729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5">
        <f t="shared" ref="AI335:AI379" si="141">IF(OR(t&lt;Ttai,Notai),Hdd_s+PousH*Croivg,Hdtai_s+PousH*(Croivg-Croi_tai))</f>
        <v>-0.80113546481852271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10.215999999999999</v>
      </c>
      <c r="C336" s="390"/>
      <c r="D336" s="393">
        <f t="shared" si="123"/>
        <v>10.329314486965878</v>
      </c>
      <c r="E336" s="385">
        <f t="shared" si="121"/>
        <v>11.102890048761504</v>
      </c>
      <c r="F336" s="385">
        <f t="shared" si="124"/>
        <v>11.104591409832299</v>
      </c>
      <c r="G336" s="110">
        <f t="shared" si="122"/>
        <v>0.48065151349551127</v>
      </c>
      <c r="H336" s="414" t="b">
        <f>Wh_hp&gt;='2018'!Maxi_hp</f>
        <v>0</v>
      </c>
      <c r="I336" s="390">
        <f>IF(H336,Wh_hp,'2018'!Maxi_hp)</f>
        <v>21.851835276639576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1.0970184624436108E-2</v>
      </c>
      <c r="M336" s="844"/>
      <c r="N336" s="844"/>
      <c r="O336" s="48">
        <f>IF(t&lt;Tnet,'2018'!Resal+('2018'!Salim-'2018'!Resal)*(1-EXP(('2018'!Tnet-t)/('2018'!Tau_j))),Resal+(Salim-Resal)*(1-EXP((Tnet-t)/(Tau_j))))*Salcycl</f>
        <v>6.967335156866801E-2</v>
      </c>
      <c r="P336" s="169">
        <f>(INDEX(Models!$BJ336:$BT336,,T336)*(1-R336)+INDEX(Models!$BJ336:$BT336,,T336+1)*R336-ERP_i)*Q336*Ramure*Pc/MaxiM</f>
        <v>5.9298291547551423E-4</v>
      </c>
      <c r="Q336" s="305">
        <f t="shared" si="126"/>
        <v>0.7</v>
      </c>
      <c r="R336" s="177">
        <f t="shared" si="127"/>
        <v>0.19888696842840792</v>
      </c>
      <c r="S336" s="810">
        <f t="shared" si="128"/>
        <v>-1</v>
      </c>
      <c r="T336" s="176">
        <f t="shared" si="129"/>
        <v>5</v>
      </c>
      <c r="U336" s="251">
        <f t="shared" si="130"/>
        <v>-0.80111303157159208</v>
      </c>
      <c r="V336" s="383">
        <f t="shared" si="131"/>
        <v>21.245135673622318</v>
      </c>
      <c r="W336" s="58"/>
      <c r="X336" s="157">
        <f t="shared" si="132"/>
        <v>43787</v>
      </c>
      <c r="Y336" s="385">
        <f t="shared" si="133"/>
        <v>10.215999999999999</v>
      </c>
      <c r="Z336" s="385">
        <f t="shared" si="134"/>
        <v>10.329314486965878</v>
      </c>
      <c r="AA336" s="386">
        <f t="shared" si="135"/>
        <v>11.102890048761504</v>
      </c>
      <c r="AB336" s="197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6.967335156866801E-2</v>
      </c>
      <c r="AD336" s="231">
        <f>(INDEX(Models!$BJ336:$BT336,,AH336)*(1-AF336)+INDEX(Models!$BJ336:$BT336,,AH336+1)*AF336-ERP_i)*AE336*Ramure*Pc/MaxiM</f>
        <v>5.9298291547551423E-4</v>
      </c>
      <c r="AE336" s="305">
        <f t="shared" si="137"/>
        <v>0.7</v>
      </c>
      <c r="AF336" s="177">
        <f t="shared" si="138"/>
        <v>0.19888696842840792</v>
      </c>
      <c r="AG336" s="176">
        <f t="shared" si="139"/>
        <v>-1</v>
      </c>
      <c r="AH336" s="176">
        <f t="shared" si="140"/>
        <v>5</v>
      </c>
      <c r="AI336" s="225">
        <f t="shared" si="141"/>
        <v>-0.80111303157159208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6">
        <v>16.994</v>
      </c>
      <c r="C337" s="390"/>
      <c r="D337" s="393">
        <f t="shared" si="123"/>
        <v>17.182895015108176</v>
      </c>
      <c r="E337" s="385">
        <f t="shared" si="121"/>
        <v>18.471176717407957</v>
      </c>
      <c r="F337" s="385">
        <f t="shared" si="124"/>
        <v>18.478808193386499</v>
      </c>
      <c r="G337" s="110">
        <f t="shared" si="122"/>
        <v>0.8091432158854357</v>
      </c>
      <c r="H337" s="414" t="b">
        <f>Wh_hp&gt;='2018'!Maxi_hp</f>
        <v>1</v>
      </c>
      <c r="I337" s="390">
        <f>IF(H337,Wh_hp,'2018'!Maxi_hp)</f>
        <v>18.478808193386499</v>
      </c>
      <c r="J337" s="85">
        <f>IF(H337,An,'2018'!An_max)</f>
        <v>2019</v>
      </c>
      <c r="K337" s="197">
        <f t="shared" si="125"/>
        <v>43788</v>
      </c>
      <c r="L337" s="147">
        <f>IF(t&lt;Tvie,1-EXP((T0-t)*PertePVj)+'2018'!Pspv,1-EXP((T0-t)*PertePVj)+Pspv)</f>
        <v>1.0993200793119495E-2</v>
      </c>
      <c r="M337" s="844"/>
      <c r="N337" s="844"/>
      <c r="O337" s="48">
        <f>IF(t&lt;Tnet,'2018'!Resal+('2018'!Salim-'2018'!Resal)*(1-EXP(('2018'!Tnet-t)/('2018'!Tau_j))),Resal+(Salim-Resal)*(1-EXP((Tnet-t)/(Tau_j))))*Salcycl</f>
        <v>6.974551334813732E-2</v>
      </c>
      <c r="P337" s="169">
        <f>(INDEX(Models!$BJ337:$BT337,,T337)*(1-R337)+INDEX(Models!$BJ337:$BT337,,T337+1)*R337-ERP_i)*Q337*Ramure*Pc/MaxiM</f>
        <v>5.6765682278259687E-4</v>
      </c>
      <c r="Q337" s="305">
        <f t="shared" si="126"/>
        <v>0.7</v>
      </c>
      <c r="R337" s="177">
        <f t="shared" si="127"/>
        <v>0.19890850081334432</v>
      </c>
      <c r="S337" s="810">
        <f t="shared" si="128"/>
        <v>-1</v>
      </c>
      <c r="T337" s="176">
        <f t="shared" si="129"/>
        <v>5</v>
      </c>
      <c r="U337" s="251">
        <f t="shared" si="130"/>
        <v>-0.80109149918665568</v>
      </c>
      <c r="V337" s="383">
        <f t="shared" si="131"/>
        <v>20.999212614567327</v>
      </c>
      <c r="W337" s="58"/>
      <c r="X337" s="157">
        <f t="shared" si="132"/>
        <v>43788</v>
      </c>
      <c r="Y337" s="385">
        <f t="shared" si="133"/>
        <v>16.994</v>
      </c>
      <c r="Z337" s="385">
        <f t="shared" si="134"/>
        <v>17.182895015108176</v>
      </c>
      <c r="AA337" s="386">
        <f t="shared" si="135"/>
        <v>18.471176717407957</v>
      </c>
      <c r="AB337" s="197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6.974551334813732E-2</v>
      </c>
      <c r="AD337" s="231">
        <f>(INDEX(Models!$BJ337:$BT337,,AH337)*(1-AF337)+INDEX(Models!$BJ337:$BT337,,AH337+1)*AF337-ERP_i)*AE337*Ramure*Pc/MaxiM</f>
        <v>5.6765682278259687E-4</v>
      </c>
      <c r="AE337" s="305">
        <f t="shared" si="137"/>
        <v>0.7</v>
      </c>
      <c r="AF337" s="177">
        <f t="shared" si="138"/>
        <v>0.19890850081334432</v>
      </c>
      <c r="AG337" s="176">
        <f t="shared" si="139"/>
        <v>-1</v>
      </c>
      <c r="AH337" s="176">
        <f t="shared" si="140"/>
        <v>5</v>
      </c>
      <c r="AI337" s="225">
        <f t="shared" si="141"/>
        <v>-0.80109149918665568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6">
        <v>21.222000000000001</v>
      </c>
      <c r="C338" s="390"/>
      <c r="D338" s="393">
        <f t="shared" si="123"/>
        <v>21.458390271387103</v>
      </c>
      <c r="E338" s="385">
        <f t="shared" si="121"/>
        <v>23.06903633438845</v>
      </c>
      <c r="F338" s="385">
        <f t="shared" si="124"/>
        <v>23.081621560560357</v>
      </c>
      <c r="G338" s="110">
        <f t="shared" si="122"/>
        <v>1.0222865806772785</v>
      </c>
      <c r="H338" s="414" t="b">
        <f>Wh_hp&gt;='2018'!Maxi_hp</f>
        <v>1</v>
      </c>
      <c r="I338" s="390">
        <f>IF(H338,Wh_hp,'2018'!Maxi_hp)</f>
        <v>23.081621560560357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1.1016216426183001E-2</v>
      </c>
      <c r="M338" s="844"/>
      <c r="N338" s="844"/>
      <c r="O338" s="48">
        <f>IF(t&lt;Tnet,'2018'!Resal+('2018'!Salim-'2018'!Resal)*(1-EXP(('2018'!Tnet-t)/('2018'!Tau_j))),Resal+(Salim-Resal)*(1-EXP((Tnet-t)/(Tau_j))))*Salcycl</f>
        <v>6.9818523827993445E-2</v>
      </c>
      <c r="P338" s="169">
        <f>(INDEX(Models!$BJ338:$BT338,,T338)*(1-R338)+INDEX(Models!$BJ338:$BT338,,T338+1)*R338-ERP_i)*Q338*Ramure*Pc/MaxiM</f>
        <v>5.4524878760740651E-4</v>
      </c>
      <c r="Q338" s="305">
        <f t="shared" si="126"/>
        <v>0.7</v>
      </c>
      <c r="R338" s="177">
        <f t="shared" si="127"/>
        <v>0.1989291684212956</v>
      </c>
      <c r="S338" s="810">
        <f t="shared" si="128"/>
        <v>-1</v>
      </c>
      <c r="T338" s="176">
        <f t="shared" si="129"/>
        <v>5</v>
      </c>
      <c r="U338" s="251">
        <f t="shared" si="130"/>
        <v>-0.8010708315787044</v>
      </c>
      <c r="V338" s="383">
        <f t="shared" si="131"/>
        <v>20.759345178863782</v>
      </c>
      <c r="W338" s="58"/>
      <c r="X338" s="157">
        <f t="shared" si="132"/>
        <v>43789</v>
      </c>
      <c r="Y338" s="385">
        <f t="shared" si="133"/>
        <v>21.222000000000001</v>
      </c>
      <c r="Z338" s="385">
        <f t="shared" si="134"/>
        <v>21.458390271387103</v>
      </c>
      <c r="AA338" s="386">
        <f t="shared" si="135"/>
        <v>23.06903633438845</v>
      </c>
      <c r="AB338" s="197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6.9818523827993445E-2</v>
      </c>
      <c r="AD338" s="231">
        <f>(INDEX(Models!$BJ338:$BT338,,AH338)*(1-AF338)+INDEX(Models!$BJ338:$BT338,,AH338+1)*AF338-ERP_i)*AE338*Ramure*Pc/MaxiM</f>
        <v>5.4524878760740651E-4</v>
      </c>
      <c r="AE338" s="305">
        <f t="shared" si="137"/>
        <v>0.7</v>
      </c>
      <c r="AF338" s="177">
        <f t="shared" si="138"/>
        <v>0.1989291684212956</v>
      </c>
      <c r="AG338" s="176">
        <f t="shared" si="139"/>
        <v>-1</v>
      </c>
      <c r="AH338" s="176">
        <f t="shared" si="140"/>
        <v>5</v>
      </c>
      <c r="AI338" s="225">
        <f t="shared" si="141"/>
        <v>-0.8010708315787044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6">
        <v>20.992999999999999</v>
      </c>
      <c r="C339" s="390"/>
      <c r="D339" s="393">
        <f t="shared" si="123"/>
        <v>21.227333448568231</v>
      </c>
      <c r="E339" s="385">
        <f t="shared" si="121"/>
        <v>22.822449788247944</v>
      </c>
      <c r="F339" s="385">
        <f t="shared" si="124"/>
        <v>22.83442232679824</v>
      </c>
      <c r="G339" s="110">
        <f t="shared" si="122"/>
        <v>1.0227433409684146</v>
      </c>
      <c r="H339" s="414" t="b">
        <f>Wh_hp&gt;='2018'!Maxi_hp</f>
        <v>1</v>
      </c>
      <c r="I339" s="390">
        <f>IF(H339,Wh_hp,'2018'!Maxi_hp)</f>
        <v>22.83442232679824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1.1039231523639059E-2</v>
      </c>
      <c r="M339" s="844"/>
      <c r="N339" s="844"/>
      <c r="O339" s="48">
        <f>IF(t&lt;Tnet,'2018'!Resal+('2018'!Salim-'2018'!Resal)*(1-EXP(('2018'!Tnet-t)/('2018'!Tau_j))),Resal+(Salim-Resal)*(1-EXP((Tnet-t)/(Tau_j))))*Salcycl</f>
        <v>6.9892424103440987E-2</v>
      </c>
      <c r="P339" s="169">
        <f>(INDEX(Models!$BJ339:$BT339,,T339)*(1-R339)+INDEX(Models!$BJ339:$BT339,,T339+1)*R339-ERP_i)*Q339*Ramure*Pc/MaxiM</f>
        <v>5.2431974757000794E-4</v>
      </c>
      <c r="Q339" s="305">
        <f t="shared" si="126"/>
        <v>0.7</v>
      </c>
      <c r="R339" s="177">
        <f t="shared" si="127"/>
        <v>0.19894900589904363</v>
      </c>
      <c r="S339" s="810">
        <f t="shared" si="128"/>
        <v>-1</v>
      </c>
      <c r="T339" s="176">
        <f t="shared" si="129"/>
        <v>5</v>
      </c>
      <c r="U339" s="251">
        <f t="shared" si="130"/>
        <v>-0.80105099410095637</v>
      </c>
      <c r="V339" s="383">
        <f t="shared" si="131"/>
        <v>20.526166398817285</v>
      </c>
      <c r="W339" s="58"/>
      <c r="X339" s="157">
        <f t="shared" si="132"/>
        <v>43790</v>
      </c>
      <c r="Y339" s="385">
        <f t="shared" si="133"/>
        <v>20.992999999999999</v>
      </c>
      <c r="Z339" s="385">
        <f t="shared" si="134"/>
        <v>21.227333448568231</v>
      </c>
      <c r="AA339" s="386">
        <f t="shared" si="135"/>
        <v>22.822449788247944</v>
      </c>
      <c r="AB339" s="197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6.9892424103440987E-2</v>
      </c>
      <c r="AD339" s="231">
        <f>(INDEX(Models!$BJ339:$BT339,,AH339)*(1-AF339)+INDEX(Models!$BJ339:$BT339,,AH339+1)*AF339-ERP_i)*AE339*Ramure*Pc/MaxiM</f>
        <v>5.2431974757000794E-4</v>
      </c>
      <c r="AE339" s="305">
        <f t="shared" si="137"/>
        <v>0.7</v>
      </c>
      <c r="AF339" s="177">
        <f t="shared" si="138"/>
        <v>0.19894900589904363</v>
      </c>
      <c r="AG339" s="176">
        <f t="shared" si="139"/>
        <v>-1</v>
      </c>
      <c r="AH339" s="176">
        <f t="shared" si="140"/>
        <v>5</v>
      </c>
      <c r="AI339" s="225">
        <f t="shared" si="141"/>
        <v>-0.80105099410095637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6">
        <v>10.427</v>
      </c>
      <c r="C340" s="390"/>
      <c r="D340" s="393">
        <f t="shared" si="123"/>
        <v>10.543636299379751</v>
      </c>
      <c r="E340" s="385">
        <f t="shared" si="121"/>
        <v>11.336844119672708</v>
      </c>
      <c r="F340" s="385">
        <f t="shared" si="124"/>
        <v>11.338591318929078</v>
      </c>
      <c r="G340" s="110">
        <f t="shared" si="122"/>
        <v>0.51345807223975248</v>
      </c>
      <c r="H340" s="414" t="b">
        <f>Wh_hp&gt;='2018'!Maxi_hp</f>
        <v>0</v>
      </c>
      <c r="I340" s="390">
        <f>IF(H340,Wh_hp,'2018'!Maxi_hp)</f>
        <v>16.979621982627695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1.1062246085500216E-2</v>
      </c>
      <c r="M340" s="844"/>
      <c r="N340" s="844"/>
      <c r="O340" s="48">
        <f>IF(t&lt;Tnet,'2018'!Resal+('2018'!Salim-'2018'!Resal)*(1-EXP(('2018'!Tnet-t)/('2018'!Tau_j))),Resal+(Salim-Resal)*(1-EXP((Tnet-t)/(Tau_j))))*Salcycl</f>
        <v>6.9967251196169533E-2</v>
      </c>
      <c r="P340" s="169">
        <f>(INDEX(Models!$BJ340:$BT340,,T340)*(1-R340)+INDEX(Models!$BJ340:$BT340,,T340+1)*R340-ERP_i)*Q340*Ramure*Pc/MaxiM</f>
        <v>5.0489641737384416E-4</v>
      </c>
      <c r="Q340" s="305">
        <f t="shared" si="126"/>
        <v>0.7</v>
      </c>
      <c r="R340" s="177">
        <f t="shared" si="127"/>
        <v>0.19896804651189859</v>
      </c>
      <c r="S340" s="810">
        <f t="shared" si="128"/>
        <v>-1</v>
      </c>
      <c r="T340" s="176">
        <f t="shared" si="129"/>
        <v>5</v>
      </c>
      <c r="U340" s="251">
        <f t="shared" si="130"/>
        <v>-0.80103195348810141</v>
      </c>
      <c r="V340" s="383">
        <f t="shared" si="131"/>
        <v>20.300278005434681</v>
      </c>
      <c r="W340" s="58"/>
      <c r="X340" s="157">
        <f t="shared" si="132"/>
        <v>43791</v>
      </c>
      <c r="Y340" s="385">
        <f t="shared" si="133"/>
        <v>10.427</v>
      </c>
      <c r="Z340" s="385">
        <f t="shared" si="134"/>
        <v>10.543636299379751</v>
      </c>
      <c r="AA340" s="386">
        <f t="shared" si="135"/>
        <v>11.336844119672708</v>
      </c>
      <c r="AB340" s="197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6.9967251196169533E-2</v>
      </c>
      <c r="AD340" s="231">
        <f>(INDEX(Models!$BJ340:$BT340,,AH340)*(1-AF340)+INDEX(Models!$BJ340:$BT340,,AH340+1)*AF340-ERP_i)*AE340*Ramure*Pc/MaxiM</f>
        <v>5.0489641737384416E-4</v>
      </c>
      <c r="AE340" s="305">
        <f t="shared" si="137"/>
        <v>0.7</v>
      </c>
      <c r="AF340" s="177">
        <f t="shared" si="138"/>
        <v>0.19896804651189859</v>
      </c>
      <c r="AG340" s="176">
        <f t="shared" si="139"/>
        <v>-1</v>
      </c>
      <c r="AH340" s="176">
        <f t="shared" si="140"/>
        <v>5</v>
      </c>
      <c r="AI340" s="225">
        <f t="shared" si="141"/>
        <v>-0.80103195348810141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6">
        <v>5.9690000000000003</v>
      </c>
      <c r="C341" s="390"/>
      <c r="D341" s="393">
        <f t="shared" si="123"/>
        <v>6.0359096282402342</v>
      </c>
      <c r="E341" s="385">
        <f t="shared" si="121"/>
        <v>6.4905257709841067</v>
      </c>
      <c r="F341" s="385">
        <f t="shared" si="124"/>
        <v>6.4905257709841067</v>
      </c>
      <c r="G341" s="110">
        <f t="shared" si="122"/>
        <v>0.29708243271075307</v>
      </c>
      <c r="H341" s="414" t="b">
        <f>Wh_hp&gt;='2018'!Maxi_hp</f>
        <v>0</v>
      </c>
      <c r="I341" s="390">
        <f>IF(H341,Wh_hp,'2018'!Maxi_hp)</f>
        <v>11.289456545409543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1.1085260111778905E-2</v>
      </c>
      <c r="M341" s="844"/>
      <c r="N341" s="844"/>
      <c r="O341" s="48">
        <f>IF(t&lt;Tnet,'2018'!Resal+('2018'!Salim-'2018'!Resal)*(1-EXP(('2018'!Tnet-t)/('2018'!Tau_j))),Resal+(Salim-Resal)*(1-EXP((Tnet-t)/(Tau_j))))*Salcycl</f>
        <v>7.0043037927101981E-2</v>
      </c>
      <c r="P341" s="169">
        <f>(INDEX(Models!$BJ341:$BT341,,T341)*(1-R341)+INDEX(Models!$BJ341:$BT341,,T341+1)*R341-ERP_i)*Q341*Ramure*Pc/MaxiM</f>
        <v>4.8700358206103269E-4</v>
      </c>
      <c r="Q341" s="305">
        <f t="shared" si="126"/>
        <v>0.7</v>
      </c>
      <c r="R341" s="177">
        <f t="shared" si="127"/>
        <v>0.19898632219825829</v>
      </c>
      <c r="S341" s="810">
        <f t="shared" si="128"/>
        <v>-1</v>
      </c>
      <c r="T341" s="176">
        <f t="shared" si="129"/>
        <v>5</v>
      </c>
      <c r="U341" s="251">
        <f t="shared" si="130"/>
        <v>-0.80101367780174171</v>
      </c>
      <c r="V341" s="383">
        <f t="shared" si="131"/>
        <v>20.082281611809126</v>
      </c>
      <c r="W341" s="58"/>
      <c r="X341" s="157">
        <f t="shared" si="132"/>
        <v>43792</v>
      </c>
      <c r="Y341" s="385">
        <f t="shared" si="133"/>
        <v>5.9690000000000003</v>
      </c>
      <c r="Z341" s="385">
        <f t="shared" si="134"/>
        <v>6.0359096282402342</v>
      </c>
      <c r="AA341" s="386">
        <f t="shared" si="135"/>
        <v>6.4905257709841067</v>
      </c>
      <c r="AB341" s="197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7.0043037927101981E-2</v>
      </c>
      <c r="AD341" s="231">
        <f>(INDEX(Models!$BJ341:$BT341,,AH341)*(1-AF341)+INDEX(Models!$BJ341:$BT341,,AH341+1)*AF341-ERP_i)*AE341*Ramure*Pc/MaxiM</f>
        <v>4.8700358206103269E-4</v>
      </c>
      <c r="AE341" s="305">
        <f t="shared" si="137"/>
        <v>0.7</v>
      </c>
      <c r="AF341" s="177">
        <f t="shared" si="138"/>
        <v>0.19898632219825829</v>
      </c>
      <c r="AG341" s="176">
        <f t="shared" si="139"/>
        <v>-1</v>
      </c>
      <c r="AH341" s="176">
        <f t="shared" si="140"/>
        <v>5</v>
      </c>
      <c r="AI341" s="225">
        <f t="shared" si="141"/>
        <v>-0.80101367780174171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6">
        <v>11.785</v>
      </c>
      <c r="C342" s="390"/>
      <c r="D342" s="393">
        <f t="shared" si="123"/>
        <v>11.917381534712824</v>
      </c>
      <c r="E342" s="385">
        <f t="shared" si="121"/>
        <v>12.816039850034224</v>
      </c>
      <c r="F342" s="385">
        <f t="shared" si="124"/>
        <v>12.818565409874424</v>
      </c>
      <c r="G342" s="110">
        <f t="shared" si="122"/>
        <v>0.59285994655542607</v>
      </c>
      <c r="H342" s="414" t="b">
        <f>Wh_hp&gt;='2018'!Maxi_hp</f>
        <v>0</v>
      </c>
      <c r="I342" s="390">
        <f>IF(H342,Wh_hp,'2018'!Maxi_hp)</f>
        <v>16.157416103674155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1.1108273602487562E-2</v>
      </c>
      <c r="M342" s="844"/>
      <c r="N342" s="844"/>
      <c r="O342" s="48">
        <f>IF(t&lt;Tnet,'2018'!Resal+('2018'!Salim-'2018'!Resal)*(1-EXP(('2018'!Tnet-t)/('2018'!Tau_j))),Resal+(Salim-Resal)*(1-EXP((Tnet-t)/(Tau_j))))*Salcycl</f>
        <v>7.0119812815578941E-2</v>
      </c>
      <c r="P342" s="169">
        <f>(INDEX(Models!$BJ342:$BT342,,T342)*(1-R342)+INDEX(Models!$BJ342:$BT342,,T342+1)*R342-ERP_i)*Q342*Ramure*Pc/MaxiM</f>
        <v>4.7066908233206635E-4</v>
      </c>
      <c r="Q342" s="305">
        <f t="shared" si="126"/>
        <v>0.7</v>
      </c>
      <c r="R342" s="177">
        <f t="shared" si="127"/>
        <v>0.19900386362205669</v>
      </c>
      <c r="S342" s="810">
        <f t="shared" si="128"/>
        <v>-1</v>
      </c>
      <c r="T342" s="176">
        <f t="shared" si="129"/>
        <v>5</v>
      </c>
      <c r="U342" s="251">
        <f t="shared" si="130"/>
        <v>-0.80099613637794331</v>
      </c>
      <c r="V342" s="383">
        <f t="shared" si="131"/>
        <v>19.87277858940622</v>
      </c>
      <c r="W342" s="58"/>
      <c r="X342" s="157">
        <f t="shared" si="132"/>
        <v>43793</v>
      </c>
      <c r="Y342" s="385">
        <f t="shared" si="133"/>
        <v>11.785</v>
      </c>
      <c r="Z342" s="385">
        <f t="shared" si="134"/>
        <v>11.917381534712824</v>
      </c>
      <c r="AA342" s="386">
        <f t="shared" si="135"/>
        <v>12.816039850034224</v>
      </c>
      <c r="AB342" s="197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7.0119812815578941E-2</v>
      </c>
      <c r="AD342" s="231">
        <f>(INDEX(Models!$BJ342:$BT342,,AH342)*(1-AF342)+INDEX(Models!$BJ342:$BT342,,AH342+1)*AF342-ERP_i)*AE342*Ramure*Pc/MaxiM</f>
        <v>4.7066908233206635E-4</v>
      </c>
      <c r="AE342" s="305">
        <f t="shared" si="137"/>
        <v>0.7</v>
      </c>
      <c r="AF342" s="177">
        <f t="shared" si="138"/>
        <v>0.19900386362205669</v>
      </c>
      <c r="AG342" s="176">
        <f t="shared" si="139"/>
        <v>-1</v>
      </c>
      <c r="AH342" s="176">
        <f t="shared" si="140"/>
        <v>5</v>
      </c>
      <c r="AI342" s="225">
        <f t="shared" si="141"/>
        <v>-0.80099613637794331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6">
        <v>10.864000000000001</v>
      </c>
      <c r="C343" s="390"/>
      <c r="D343" s="393">
        <f t="shared" si="123"/>
        <v>10.986291559555175</v>
      </c>
      <c r="E343" s="385">
        <f t="shared" si="121"/>
        <v>11.815727255190204</v>
      </c>
      <c r="F343" s="385">
        <f t="shared" si="124"/>
        <v>11.817668816093903</v>
      </c>
      <c r="G343" s="110">
        <f t="shared" si="122"/>
        <v>0.55208554845824653</v>
      </c>
      <c r="H343" s="414" t="b">
        <f>Wh_hp&gt;='2018'!Maxi_hp</f>
        <v>1</v>
      </c>
      <c r="I343" s="390">
        <f>IF(H343,Wh_hp,'2018'!Maxi_hp)</f>
        <v>11.817668816093903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1.113128655763862E-2</v>
      </c>
      <c r="M343" s="844"/>
      <c r="N343" s="844"/>
      <c r="O343" s="48">
        <f>IF(t&lt;Tnet,'2018'!Resal+('2018'!Salim-'2018'!Resal)*(1-EXP(('2018'!Tnet-t)/('2018'!Tau_j))),Resal+(Salim-Resal)*(1-EXP((Tnet-t)/(Tau_j))))*Salcycl</f>
        <v>7.0197600005593316E-2</v>
      </c>
      <c r="P343" s="169">
        <f>(INDEX(Models!$BJ343:$BT343,,T343)*(1-R343)+INDEX(Models!$BJ343:$BT343,,T343+1)*R343-ERP_i)*Q343*Ramure*Pc/MaxiM</f>
        <v>4.5592339300836972E-4</v>
      </c>
      <c r="Q343" s="305">
        <f t="shared" si="126"/>
        <v>0.7</v>
      </c>
      <c r="R343" s="177">
        <f t="shared" si="127"/>
        <v>0.19902070022317453</v>
      </c>
      <c r="S343" s="810">
        <f t="shared" si="128"/>
        <v>-1</v>
      </c>
      <c r="T343" s="176">
        <f t="shared" si="129"/>
        <v>5</v>
      </c>
      <c r="U343" s="251">
        <f t="shared" si="130"/>
        <v>-0.80097929977682547</v>
      </c>
      <c r="V343" s="383">
        <f t="shared" si="131"/>
        <v>19.672370047937072</v>
      </c>
      <c r="W343" s="58"/>
      <c r="X343" s="157">
        <f t="shared" si="132"/>
        <v>43794</v>
      </c>
      <c r="Y343" s="385">
        <f t="shared" si="133"/>
        <v>10.864000000000001</v>
      </c>
      <c r="Z343" s="385">
        <f t="shared" si="134"/>
        <v>10.986291559555175</v>
      </c>
      <c r="AA343" s="386">
        <f t="shared" si="135"/>
        <v>11.815727255190204</v>
      </c>
      <c r="AB343" s="197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7.0197600005593316E-2</v>
      </c>
      <c r="AD343" s="231">
        <f>(INDEX(Models!$BJ343:$BT343,,AH343)*(1-AF343)+INDEX(Models!$BJ343:$BT343,,AH343+1)*AF343-ERP_i)*AE343*Ramure*Pc/MaxiM</f>
        <v>4.5592339300836972E-4</v>
      </c>
      <c r="AE343" s="305">
        <f t="shared" si="137"/>
        <v>0.7</v>
      </c>
      <c r="AF343" s="177">
        <f t="shared" si="138"/>
        <v>0.19902070022317453</v>
      </c>
      <c r="AG343" s="176">
        <f t="shared" si="139"/>
        <v>-1</v>
      </c>
      <c r="AH343" s="176">
        <f t="shared" si="140"/>
        <v>5</v>
      </c>
      <c r="AI343" s="225">
        <f t="shared" si="141"/>
        <v>-0.80097929977682547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6">
        <v>14.535</v>
      </c>
      <c r="C344" s="390"/>
      <c r="D344" s="393">
        <f t="shared" si="123"/>
        <v>14.698956556080047</v>
      </c>
      <c r="E344" s="385">
        <f t="shared" si="121"/>
        <v>15.810028765474478</v>
      </c>
      <c r="F344" s="385">
        <f t="shared" si="124"/>
        <v>15.814491287170839</v>
      </c>
      <c r="G344" s="110">
        <f t="shared" si="122"/>
        <v>0.74596657009713496</v>
      </c>
      <c r="H344" s="414" t="b">
        <f>Wh_hp&gt;='2018'!Maxi_hp</f>
        <v>1</v>
      </c>
      <c r="I344" s="390">
        <f>IF(H344,Wh_hp,'2018'!Maxi_hp)</f>
        <v>15.814491287170839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1.1154298977244625E-2</v>
      </c>
      <c r="M344" s="844"/>
      <c r="N344" s="844"/>
      <c r="O344" s="48">
        <f>IF(t&lt;Tnet,'2018'!Resal+('2018'!Salim-'2018'!Resal)*(1-EXP(('2018'!Tnet-t)/('2018'!Tau_j))),Resal+(Salim-Resal)*(1-EXP((Tnet-t)/(Tau_j))))*Salcycl</f>
        <v>7.0276419219474251E-2</v>
      </c>
      <c r="P344" s="169">
        <f>(INDEX(Models!$BJ344:$BT344,,T344)*(1-R344)+INDEX(Models!$BJ344:$BT344,,T344+1)*R344-ERP_i)*Q344*Ramure*Pc/MaxiM</f>
        <v>4.427964538687596E-4</v>
      </c>
      <c r="Q344" s="305">
        <f t="shared" si="126"/>
        <v>0.7</v>
      </c>
      <c r="R344" s="177">
        <f t="shared" si="127"/>
        <v>0.19903686026589329</v>
      </c>
      <c r="S344" s="810">
        <f t="shared" si="128"/>
        <v>-1</v>
      </c>
      <c r="T344" s="176">
        <f t="shared" si="129"/>
        <v>5</v>
      </c>
      <c r="U344" s="251">
        <f t="shared" si="130"/>
        <v>-0.80096313973410671</v>
      </c>
      <c r="V344" s="383">
        <f t="shared" si="131"/>
        <v>19.481656890427399</v>
      </c>
      <c r="W344" s="58"/>
      <c r="X344" s="157">
        <f t="shared" si="132"/>
        <v>43795</v>
      </c>
      <c r="Y344" s="385">
        <f t="shared" si="133"/>
        <v>14.535</v>
      </c>
      <c r="Z344" s="385">
        <f t="shared" si="134"/>
        <v>14.698956556080047</v>
      </c>
      <c r="AA344" s="386">
        <f t="shared" si="135"/>
        <v>15.810028765474478</v>
      </c>
      <c r="AB344" s="197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7.0276419219474251E-2</v>
      </c>
      <c r="AD344" s="231">
        <f>(INDEX(Models!$BJ344:$BT344,,AH344)*(1-AF344)+INDEX(Models!$BJ344:$BT344,,AH344+1)*AF344-ERP_i)*AE344*Ramure*Pc/MaxiM</f>
        <v>4.427964538687596E-4</v>
      </c>
      <c r="AE344" s="305">
        <f t="shared" si="137"/>
        <v>0.7</v>
      </c>
      <c r="AF344" s="177">
        <f t="shared" si="138"/>
        <v>0.19903686026589329</v>
      </c>
      <c r="AG344" s="176">
        <f t="shared" si="139"/>
        <v>-1</v>
      </c>
      <c r="AH344" s="176">
        <f t="shared" si="140"/>
        <v>5</v>
      </c>
      <c r="AI344" s="225">
        <f t="shared" si="141"/>
        <v>-0.80096313973410671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6">
        <v>13.795999999999999</v>
      </c>
      <c r="C345" s="390"/>
      <c r="D345" s="393">
        <f t="shared" si="123"/>
        <v>13.951945228943989</v>
      </c>
      <c r="E345" s="385">
        <f t="shared" si="121"/>
        <v>15.007841192190265</v>
      </c>
      <c r="F345" s="385">
        <f t="shared" si="124"/>
        <v>15.011679123655226</v>
      </c>
      <c r="G345" s="110">
        <f t="shared" si="122"/>
        <v>0.71474325462934507</v>
      </c>
      <c r="H345" s="414" t="b">
        <f>Wh_hp&gt;='2018'!Maxi_hp</f>
        <v>0</v>
      </c>
      <c r="I345" s="390">
        <f>IF(H345,Wh_hp,'2018'!Maxi_hp)</f>
        <v>18.227231813309963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1.1177310861318013E-2</v>
      </c>
      <c r="M345" s="844"/>
      <c r="N345" s="844"/>
      <c r="O345" s="48">
        <f>IF(t&lt;Tnet,'2018'!Resal+('2018'!Salim-'2018'!Resal)*(1-EXP(('2018'!Tnet-t)/('2018'!Tau_j))),Resal+(Salim-Resal)*(1-EXP((Tnet-t)/(Tau_j))))*Salcycl</f>
        <v>7.0356285739200095E-2</v>
      </c>
      <c r="P345" s="169">
        <f>(INDEX(Models!$BJ345:$BT345,,T345)*(1-R345)+INDEX(Models!$BJ345:$BT345,,T345+1)*R345-ERP_i)*Q345*Ramure*Pc/MaxiM</f>
        <v>4.3137513162134724E-4</v>
      </c>
      <c r="Q345" s="305">
        <f t="shared" si="126"/>
        <v>0.7</v>
      </c>
      <c r="R345" s="177">
        <f t="shared" si="127"/>
        <v>0.19905237088546168</v>
      </c>
      <c r="S345" s="810">
        <f t="shared" si="128"/>
        <v>-1</v>
      </c>
      <c r="T345" s="176">
        <f t="shared" si="129"/>
        <v>5</v>
      </c>
      <c r="U345" s="251">
        <f t="shared" si="130"/>
        <v>-0.80094762911453832</v>
      </c>
      <c r="V345" s="383">
        <f t="shared" si="131"/>
        <v>19.298643487260193</v>
      </c>
      <c r="W345" s="58"/>
      <c r="X345" s="157">
        <f t="shared" si="132"/>
        <v>43796</v>
      </c>
      <c r="Y345" s="385">
        <f t="shared" si="133"/>
        <v>13.795999999999999</v>
      </c>
      <c r="Z345" s="385">
        <f t="shared" si="134"/>
        <v>13.951945228943989</v>
      </c>
      <c r="AA345" s="386">
        <f t="shared" si="135"/>
        <v>15.007841192190265</v>
      </c>
      <c r="AB345" s="197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7.0356285739200095E-2</v>
      </c>
      <c r="AD345" s="231">
        <f>(INDEX(Models!$BJ345:$BT345,,AH345)*(1-AF345)+INDEX(Models!$BJ345:$BT345,,AH345+1)*AF345-ERP_i)*AE345*Ramure*Pc/MaxiM</f>
        <v>4.3137513162134724E-4</v>
      </c>
      <c r="AE345" s="305">
        <f t="shared" si="137"/>
        <v>0.7</v>
      </c>
      <c r="AF345" s="177">
        <f t="shared" si="138"/>
        <v>0.19905237088546168</v>
      </c>
      <c r="AG345" s="176">
        <f t="shared" si="139"/>
        <v>-1</v>
      </c>
      <c r="AH345" s="176">
        <f t="shared" si="140"/>
        <v>5</v>
      </c>
      <c r="AI345" s="225">
        <f t="shared" si="141"/>
        <v>-0.80094762911453832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6">
        <v>10.061999999999999</v>
      </c>
      <c r="C346" s="390"/>
      <c r="D346" s="393">
        <f t="shared" si="123"/>
        <v>10.175974189724245</v>
      </c>
      <c r="E346" s="385">
        <f t="shared" si="121"/>
        <v>10.947054146036301</v>
      </c>
      <c r="F346" s="385">
        <f t="shared" si="124"/>
        <v>10.948547202779611</v>
      </c>
      <c r="G346" s="110">
        <f t="shared" si="122"/>
        <v>0.52607013943981762</v>
      </c>
      <c r="H346" s="414" t="b">
        <f>Wh_hp&gt;='2018'!Maxi_hp</f>
        <v>0</v>
      </c>
      <c r="I346" s="390">
        <f>IF(H346,Wh_hp,'2018'!Maxi_hp)</f>
        <v>13.863925920515646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1.1200322209871327E-2</v>
      </c>
      <c r="M346" s="844"/>
      <c r="N346" s="844"/>
      <c r="O346" s="48">
        <f>IF(t&lt;Tnet,'2018'!Resal+('2018'!Salim-'2018'!Resal)*(1-EXP(('2018'!Tnet-t)/('2018'!Tau_j))),Resal+(Salim-Resal)*(1-EXP((Tnet-t)/(Tau_j))))*Salcycl</f>
        <v>7.0437210415301266E-2</v>
      </c>
      <c r="P346" s="169">
        <f>(INDEX(Models!$BJ346:$BT346,,T346)*(1-R346)+INDEX(Models!$BJ346:$BT346,,T346+1)*R346-ERP_i)*Q346*Ramure*Pc/MaxiM</f>
        <v>4.2197429389091658E-4</v>
      </c>
      <c r="Q346" s="305">
        <f t="shared" si="126"/>
        <v>0.7</v>
      </c>
      <c r="R346" s="177">
        <f t="shared" si="127"/>
        <v>0.19906725813284953</v>
      </c>
      <c r="S346" s="810">
        <f t="shared" si="128"/>
        <v>-1</v>
      </c>
      <c r="T346" s="176">
        <f t="shared" si="129"/>
        <v>5</v>
      </c>
      <c r="U346" s="251">
        <f t="shared" si="130"/>
        <v>-0.80093274186715047</v>
      </c>
      <c r="V346" s="383">
        <f t="shared" si="131"/>
        <v>19.121263699642984</v>
      </c>
      <c r="W346" s="58"/>
      <c r="X346" s="157">
        <f t="shared" si="132"/>
        <v>43797</v>
      </c>
      <c r="Y346" s="385">
        <f t="shared" si="133"/>
        <v>10.061999999999999</v>
      </c>
      <c r="Z346" s="385">
        <f t="shared" si="134"/>
        <v>10.175974189724245</v>
      </c>
      <c r="AA346" s="386">
        <f t="shared" si="135"/>
        <v>10.947054146036301</v>
      </c>
      <c r="AB346" s="197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7.0437210415301266E-2</v>
      </c>
      <c r="AD346" s="231">
        <f>(INDEX(Models!$BJ346:$BT346,,AH346)*(1-AF346)+INDEX(Models!$BJ346:$BT346,,AH346+1)*AF346-ERP_i)*AE346*Ramure*Pc/MaxiM</f>
        <v>4.2197429389091658E-4</v>
      </c>
      <c r="AE346" s="305">
        <f t="shared" si="137"/>
        <v>0.7</v>
      </c>
      <c r="AF346" s="177">
        <f t="shared" si="138"/>
        <v>0.19906725813284953</v>
      </c>
      <c r="AG346" s="176">
        <f t="shared" si="139"/>
        <v>-1</v>
      </c>
      <c r="AH346" s="176">
        <f t="shared" si="140"/>
        <v>5</v>
      </c>
      <c r="AI346" s="225">
        <f t="shared" si="141"/>
        <v>-0.80093274186715047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6">
        <v>13.35</v>
      </c>
      <c r="C347" s="390"/>
      <c r="D347" s="393">
        <f t="shared" si="123"/>
        <v>13.501532192111702</v>
      </c>
      <c r="E347" s="385">
        <f t="shared" si="121"/>
        <v>14.525886051437386</v>
      </c>
      <c r="F347" s="385">
        <f t="shared" si="124"/>
        <v>14.52935301009021</v>
      </c>
      <c r="G347" s="110">
        <f t="shared" si="122"/>
        <v>0.70436075930536568</v>
      </c>
      <c r="H347" s="414" t="b">
        <f>Wh_hp&gt;='2018'!Maxi_hp</f>
        <v>0</v>
      </c>
      <c r="I347" s="390">
        <f>IF(H347,Wh_hp,'2018'!Maxi_hp)</f>
        <v>20.020068183984399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1.1223333022916782E-2</v>
      </c>
      <c r="M347" s="844"/>
      <c r="N347" s="844"/>
      <c r="O347" s="48">
        <f>IF(t&lt;Tnet,'2018'!Resal+('2018'!Salim-'2018'!Resal)*(1-EXP(('2018'!Tnet-t)/('2018'!Tau_j))),Resal+(Salim-Resal)*(1-EXP((Tnet-t)/(Tau_j))))*Salcycl</f>
        <v>7.051919970309288E-2</v>
      </c>
      <c r="P347" s="169">
        <f>(INDEX(Models!$BJ347:$BT347,,T347)*(1-R347)+INDEX(Models!$BJ347:$BT347,,T347+1)*R347-ERP_i)*Q347*Ramure*Pc/MaxiM</f>
        <v>4.1295193395213205E-4</v>
      </c>
      <c r="Q347" s="305">
        <f t="shared" si="126"/>
        <v>0.7</v>
      </c>
      <c r="R347" s="177">
        <f t="shared" si="127"/>
        <v>0.19908154701775282</v>
      </c>
      <c r="S347" s="810">
        <f t="shared" si="128"/>
        <v>-1</v>
      </c>
      <c r="T347" s="176">
        <f t="shared" si="129"/>
        <v>5</v>
      </c>
      <c r="U347" s="251">
        <f t="shared" si="130"/>
        <v>-0.80091845298224718</v>
      </c>
      <c r="V347" s="383">
        <f t="shared" si="131"/>
        <v>18.950050672452029</v>
      </c>
      <c r="W347" s="58"/>
      <c r="X347" s="157">
        <f t="shared" si="132"/>
        <v>43798</v>
      </c>
      <c r="Y347" s="385">
        <f t="shared" si="133"/>
        <v>13.35</v>
      </c>
      <c r="Z347" s="385">
        <f t="shared" si="134"/>
        <v>13.501532192111702</v>
      </c>
      <c r="AA347" s="386">
        <f t="shared" si="135"/>
        <v>14.525886051437386</v>
      </c>
      <c r="AB347" s="197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7.051919970309288E-2</v>
      </c>
      <c r="AD347" s="231">
        <f>(INDEX(Models!$BJ347:$BT347,,AH347)*(1-AF347)+INDEX(Models!$BJ347:$BT347,,AH347+1)*AF347-ERP_i)*AE347*Ramure*Pc/MaxiM</f>
        <v>4.1295193395213205E-4</v>
      </c>
      <c r="AE347" s="305">
        <f t="shared" si="137"/>
        <v>0.7</v>
      </c>
      <c r="AF347" s="177">
        <f t="shared" si="138"/>
        <v>0.19908154701775282</v>
      </c>
      <c r="AG347" s="176">
        <f t="shared" si="139"/>
        <v>-1</v>
      </c>
      <c r="AH347" s="176">
        <f t="shared" si="140"/>
        <v>5</v>
      </c>
      <c r="AI347" s="225">
        <f t="shared" si="141"/>
        <v>-0.80091845298224718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6">
        <v>10.358000000000001</v>
      </c>
      <c r="C348" s="390"/>
      <c r="D348" s="393">
        <f t="shared" si="123"/>
        <v>10.475814607427175</v>
      </c>
      <c r="E348" s="385">
        <f t="shared" si="121"/>
        <v>11.271616132022874</v>
      </c>
      <c r="F348" s="385">
        <f t="shared" si="124"/>
        <v>11.273252940980646</v>
      </c>
      <c r="G348" s="110">
        <f t="shared" si="122"/>
        <v>0.55123966567763283</v>
      </c>
      <c r="H348" s="414" t="b">
        <f>Wh_hp&gt;='2018'!Maxi_hp</f>
        <v>1</v>
      </c>
      <c r="I348" s="390">
        <f>IF(H348,Wh_hp,'2018'!Maxi_hp)</f>
        <v>11.273252940980646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1.1246343300467143E-2</v>
      </c>
      <c r="M348" s="844"/>
      <c r="N348" s="844"/>
      <c r="O348" s="48">
        <f>IF(t&lt;Tnet,'2018'!Resal+('2018'!Salim-'2018'!Resal)*(1-EXP(('2018'!Tnet-t)/('2018'!Tau_j))),Resal+(Salim-Resal)*(1-EXP((Tnet-t)/(Tau_j))))*Salcycl</f>
        <v>7.0602255725761606E-2</v>
      </c>
      <c r="P348" s="169">
        <f>(INDEX(Models!$BJ348:$BT348,,T348)*(1-R348)+INDEX(Models!$BJ348:$BT348,,T348+1)*R348-ERP_i)*Q348*Ramure*Pc/MaxiM</f>
        <v>4.0430735527555004E-4</v>
      </c>
      <c r="Q348" s="305">
        <f t="shared" si="126"/>
        <v>0.7</v>
      </c>
      <c r="R348" s="177">
        <f t="shared" si="127"/>
        <v>0.19909526154992008</v>
      </c>
      <c r="S348" s="810">
        <f t="shared" si="128"/>
        <v>-1</v>
      </c>
      <c r="T348" s="176">
        <f t="shared" si="129"/>
        <v>5</v>
      </c>
      <c r="U348" s="251">
        <f t="shared" si="130"/>
        <v>-0.80090473845007992</v>
      </c>
      <c r="V348" s="383">
        <f t="shared" si="131"/>
        <v>18.78550539653649</v>
      </c>
      <c r="W348" s="58"/>
      <c r="X348" s="157">
        <f t="shared" si="132"/>
        <v>43799</v>
      </c>
      <c r="Y348" s="385">
        <f t="shared" si="133"/>
        <v>10.358000000000001</v>
      </c>
      <c r="Z348" s="385">
        <f t="shared" si="134"/>
        <v>10.475814607427175</v>
      </c>
      <c r="AA348" s="386">
        <f t="shared" si="135"/>
        <v>11.271616132022874</v>
      </c>
      <c r="AB348" s="197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7.0602255725761606E-2</v>
      </c>
      <c r="AD348" s="231">
        <f>(INDEX(Models!$BJ348:$BT348,,AH348)*(1-AF348)+INDEX(Models!$BJ348:$BT348,,AH348+1)*AF348-ERP_i)*AE348*Ramure*Pc/MaxiM</f>
        <v>4.0430735527555004E-4</v>
      </c>
      <c r="AE348" s="305">
        <f t="shared" si="137"/>
        <v>0.7</v>
      </c>
      <c r="AF348" s="177">
        <f t="shared" si="138"/>
        <v>0.19909526154992008</v>
      </c>
      <c r="AG348" s="176">
        <f t="shared" si="139"/>
        <v>-1</v>
      </c>
      <c r="AH348" s="176">
        <f t="shared" si="140"/>
        <v>5</v>
      </c>
      <c r="AI348" s="225">
        <f t="shared" si="141"/>
        <v>-0.80090473845007992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6">
        <v>7.3479999999999999</v>
      </c>
      <c r="C349" s="390"/>
      <c r="D349" s="393">
        <f t="shared" si="123"/>
        <v>7.4317510260366255</v>
      </c>
      <c r="E349" s="385">
        <f t="shared" si="121"/>
        <v>7.9970322580189448</v>
      </c>
      <c r="F349" s="385">
        <f t="shared" si="124"/>
        <v>7.9974596519981205</v>
      </c>
      <c r="G349" s="110">
        <f t="shared" si="122"/>
        <v>0.39432208023711585</v>
      </c>
      <c r="H349" s="414" t="b">
        <f>Wh_hp&gt;='2018'!Maxi_hp</f>
        <v>0</v>
      </c>
      <c r="I349" s="390">
        <f>IF(H349,Wh_hp,'2018'!Maxi_hp)</f>
        <v>15.421382510362893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1.1269353042534624E-2</v>
      </c>
      <c r="M349" s="844"/>
      <c r="N349" s="844"/>
      <c r="O349" s="48">
        <f>IF(t&lt;Tnet,'2018'!Resal+('2018'!Salim-'2018'!Resal)*(1-EXP(('2018'!Tnet-t)/('2018'!Tau_j))),Resal+(Salim-Resal)*(1-EXP((Tnet-t)/(Tau_j))))*Salcycl</f>
        <v>7.0686376363617714E-2</v>
      </c>
      <c r="P349" s="169">
        <f>(INDEX(Models!$BJ349:$BT349,,T349)*(1-R349)+INDEX(Models!$BJ349:$BT349,,T349+1)*R349-ERP_i)*Q349*Ramure*Pc/MaxiM</f>
        <v>3.9604012184801444E-4</v>
      </c>
      <c r="Q349" s="305">
        <f t="shared" si="126"/>
        <v>0.7</v>
      </c>
      <c r="R349" s="177">
        <f t="shared" si="127"/>
        <v>0.19910842477886048</v>
      </c>
      <c r="S349" s="810">
        <f t="shared" si="128"/>
        <v>-1</v>
      </c>
      <c r="T349" s="176">
        <f t="shared" si="129"/>
        <v>5</v>
      </c>
      <c r="U349" s="251">
        <f t="shared" si="130"/>
        <v>-0.80089157522113952</v>
      </c>
      <c r="V349" s="383">
        <f t="shared" si="131"/>
        <v>18.628128671596098</v>
      </c>
      <c r="W349" s="58"/>
      <c r="X349" s="157">
        <f t="shared" si="132"/>
        <v>43800</v>
      </c>
      <c r="Y349" s="385">
        <f t="shared" si="133"/>
        <v>7.3479999999999999</v>
      </c>
      <c r="Z349" s="385">
        <f t="shared" si="134"/>
        <v>7.4317510260366255</v>
      </c>
      <c r="AA349" s="386">
        <f t="shared" si="135"/>
        <v>7.9970322580189448</v>
      </c>
      <c r="AB349" s="197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7.0686376363617714E-2</v>
      </c>
      <c r="AD349" s="231">
        <f>(INDEX(Models!$BJ349:$BT349,,AH349)*(1-AF349)+INDEX(Models!$BJ349:$BT349,,AH349+1)*AF349-ERP_i)*AE349*Ramure*Pc/MaxiM</f>
        <v>3.9604012184801444E-4</v>
      </c>
      <c r="AE349" s="305">
        <f t="shared" si="137"/>
        <v>0.7</v>
      </c>
      <c r="AF349" s="177">
        <f t="shared" si="138"/>
        <v>0.19910842477886048</v>
      </c>
      <c r="AG349" s="176">
        <f t="shared" si="139"/>
        <v>-1</v>
      </c>
      <c r="AH349" s="176">
        <f t="shared" si="140"/>
        <v>5</v>
      </c>
      <c r="AI349" s="225">
        <f t="shared" si="141"/>
        <v>-0.80089157522113952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6">
        <v>4.08</v>
      </c>
      <c r="C350" s="390"/>
      <c r="D350" s="393">
        <f t="shared" si="123"/>
        <v>4.1265990513447086</v>
      </c>
      <c r="E350" s="385">
        <f t="shared" si="121"/>
        <v>4.4408875720347805</v>
      </c>
      <c r="F350" s="385">
        <f t="shared" si="124"/>
        <v>4.4408875720347805</v>
      </c>
      <c r="G350" s="110">
        <f t="shared" si="122"/>
        <v>0.2207123826097275</v>
      </c>
      <c r="H350" s="414" t="b">
        <f>Wh_hp&gt;='2018'!Maxi_hp</f>
        <v>0</v>
      </c>
      <c r="I350" s="390">
        <f>IF(H350,Wh_hp,'2018'!Maxi_hp)</f>
        <v>6.9031124846572887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1.1292362249131882E-2</v>
      </c>
      <c r="M350" s="844"/>
      <c r="N350" s="844"/>
      <c r="O350" s="48">
        <f>IF(t&lt;Tnet,'2018'!Resal+('2018'!Salim-'2018'!Resal)*(1-EXP(('2018'!Tnet-t)/('2018'!Tau_j))),Resal+(Salim-Resal)*(1-EXP((Tnet-t)/(Tau_j))))*Salcycl</f>
        <v>7.0771555368618955E-2</v>
      </c>
      <c r="P350" s="169">
        <f>(INDEX(Models!$BJ350:$BT350,,T350)*(1-R350)+INDEX(Models!$BJ350:$BT350,,T350+1)*R350-ERP_i)*Q350*Ramure*Pc/MaxiM</f>
        <v>3.8815001359220985E-4</v>
      </c>
      <c r="Q350" s="305">
        <f t="shared" si="126"/>
        <v>0.7</v>
      </c>
      <c r="R350" s="177">
        <f t="shared" si="127"/>
        <v>0.19912105883199804</v>
      </c>
      <c r="S350" s="810">
        <f t="shared" si="128"/>
        <v>-1</v>
      </c>
      <c r="T350" s="176">
        <f t="shared" si="129"/>
        <v>5</v>
      </c>
      <c r="U350" s="251">
        <f t="shared" si="130"/>
        <v>-0.80087894116800196</v>
      </c>
      <c r="V350" s="383">
        <f t="shared" si="131"/>
        <v>18.478421100442581</v>
      </c>
      <c r="W350" s="58"/>
      <c r="X350" s="157">
        <f t="shared" si="132"/>
        <v>43801</v>
      </c>
      <c r="Y350" s="385">
        <f t="shared" si="133"/>
        <v>4.08</v>
      </c>
      <c r="Z350" s="385">
        <f t="shared" si="134"/>
        <v>4.1265990513447086</v>
      </c>
      <c r="AA350" s="386">
        <f t="shared" si="135"/>
        <v>4.4408875720347805</v>
      </c>
      <c r="AB350" s="197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7.0771555368618955E-2</v>
      </c>
      <c r="AD350" s="231">
        <f>(INDEX(Models!$BJ350:$BT350,,AH350)*(1-AF350)+INDEX(Models!$BJ350:$BT350,,AH350+1)*AF350-ERP_i)*AE350*Ramure*Pc/MaxiM</f>
        <v>3.8815001359220985E-4</v>
      </c>
      <c r="AE350" s="305">
        <f t="shared" si="137"/>
        <v>0.7</v>
      </c>
      <c r="AF350" s="177">
        <f t="shared" si="138"/>
        <v>0.19912105883199804</v>
      </c>
      <c r="AG350" s="176">
        <f t="shared" si="139"/>
        <v>-1</v>
      </c>
      <c r="AH350" s="176">
        <f t="shared" si="140"/>
        <v>5</v>
      </c>
      <c r="AI350" s="225">
        <f t="shared" si="141"/>
        <v>-0.80087894116800196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6">
        <v>4.6109999999999998</v>
      </c>
      <c r="C351" s="390"/>
      <c r="D351" s="393">
        <f t="shared" si="123"/>
        <v>4.663772313616259</v>
      </c>
      <c r="E351" s="385">
        <f t="shared" si="121"/>
        <v>5.0194386023920909</v>
      </c>
      <c r="F351" s="385">
        <f t="shared" si="124"/>
        <v>5.0194386023920909</v>
      </c>
      <c r="G351" s="110">
        <f t="shared" si="122"/>
        <v>0.25136468747187157</v>
      </c>
      <c r="H351" s="414" t="b">
        <f>Wh_hp&gt;='2018'!Maxi_hp</f>
        <v>0</v>
      </c>
      <c r="I351" s="390">
        <f>IF(H351,Wh_hp,'2018'!Maxi_hp)</f>
        <v>7.7625091154931898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1.1315370920271239E-2</v>
      </c>
      <c r="M351" s="844"/>
      <c r="N351" s="844"/>
      <c r="O351" s="48">
        <f>IF(t&lt;Tnet,'2018'!Resal+('2018'!Salim-'2018'!Resal)*(1-EXP(('2018'!Tnet-t)/('2018'!Tau_j))),Resal+(Salim-Resal)*(1-EXP((Tnet-t)/(Tau_j))))*Salcycl</f>
        <v>7.0857782503073855E-2</v>
      </c>
      <c r="P351" s="169">
        <f>(INDEX(Models!$BJ351:$BT351,,T351)*(1-R351)+INDEX(Models!$BJ351:$BT351,,T351+1)*R351-ERP_i)*Q351*Ramure*Pc/MaxiM</f>
        <v>3.8063697394173201E-4</v>
      </c>
      <c r="Q351" s="305">
        <f t="shared" si="126"/>
        <v>0.7</v>
      </c>
      <c r="R351" s="177">
        <f t="shared" si="127"/>
        <v>0.19913318495132815</v>
      </c>
      <c r="S351" s="810">
        <f t="shared" si="128"/>
        <v>-1</v>
      </c>
      <c r="T351" s="176">
        <f t="shared" si="129"/>
        <v>5</v>
      </c>
      <c r="U351" s="251">
        <f t="shared" si="130"/>
        <v>-0.80086681504867185</v>
      </c>
      <c r="V351" s="383">
        <f t="shared" si="131"/>
        <v>18.336883073239722</v>
      </c>
      <c r="W351" s="58"/>
      <c r="X351" s="157">
        <f t="shared" si="132"/>
        <v>43802</v>
      </c>
      <c r="Y351" s="385">
        <f t="shared" si="133"/>
        <v>4.6109999999999998</v>
      </c>
      <c r="Z351" s="385">
        <f t="shared" si="134"/>
        <v>4.663772313616259</v>
      </c>
      <c r="AA351" s="386">
        <f t="shared" si="135"/>
        <v>5.0194386023920909</v>
      </c>
      <c r="AB351" s="197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7.0857782503073855E-2</v>
      </c>
      <c r="AD351" s="231">
        <f>(INDEX(Models!$BJ351:$BT351,,AH351)*(1-AF351)+INDEX(Models!$BJ351:$BT351,,AH351+1)*AF351-ERP_i)*AE351*Ramure*Pc/MaxiM</f>
        <v>3.8063697394173201E-4</v>
      </c>
      <c r="AE351" s="305">
        <f t="shared" si="137"/>
        <v>0.7</v>
      </c>
      <c r="AF351" s="177">
        <f t="shared" si="138"/>
        <v>0.19913318495132815</v>
      </c>
      <c r="AG351" s="176">
        <f t="shared" si="139"/>
        <v>-1</v>
      </c>
      <c r="AH351" s="176">
        <f t="shared" si="140"/>
        <v>5</v>
      </c>
      <c r="AI351" s="225">
        <f t="shared" si="141"/>
        <v>-0.80086681504867185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6">
        <v>5.7069999999999999</v>
      </c>
      <c r="C352" s="390"/>
      <c r="D352" s="393">
        <f t="shared" si="123"/>
        <v>5.7724502287755497</v>
      </c>
      <c r="E352" s="385">
        <f t="shared" si="121"/>
        <v>6.2132494850168136</v>
      </c>
      <c r="F352" s="385">
        <f t="shared" si="124"/>
        <v>6.2132942899636729</v>
      </c>
      <c r="G352" s="110">
        <f t="shared" si="122"/>
        <v>0.31338743919784862</v>
      </c>
      <c r="H352" s="414" t="b">
        <f>Wh_hp&gt;='2018'!Maxi_hp</f>
        <v>1</v>
      </c>
      <c r="I352" s="390">
        <f>IF(H352,Wh_hp,'2018'!Maxi_hp)</f>
        <v>6.2132942899636729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1.1338379055965131E-2</v>
      </c>
      <c r="M352" s="844"/>
      <c r="N352" s="844"/>
      <c r="O352" s="48">
        <f>IF(t&lt;Tnet,'2018'!Resal+('2018'!Salim-'2018'!Resal)*(1-EXP(('2018'!Tnet-t)/('2018'!Tau_j))),Resal+(Salim-Resal)*(1-EXP((Tnet-t)/(Tau_j))))*Salcycl</f>
        <v>7.0945043701246352E-2</v>
      </c>
      <c r="P352" s="169">
        <f>(INDEX(Models!$BJ352:$BT352,,T352)*(1-R352)+INDEX(Models!$BJ352:$BT352,,T352+1)*R352-ERP_i)*Q352*Ramure*Pc/MaxiM</f>
        <v>3.7384513634534651E-4</v>
      </c>
      <c r="Q352" s="305">
        <f t="shared" si="126"/>
        <v>0.7</v>
      </c>
      <c r="R352" s="177">
        <f t="shared" si="127"/>
        <v>0.19914482352863616</v>
      </c>
      <c r="S352" s="810">
        <f t="shared" si="128"/>
        <v>-1</v>
      </c>
      <c r="T352" s="176">
        <f t="shared" si="129"/>
        <v>5</v>
      </c>
      <c r="U352" s="251">
        <f t="shared" si="130"/>
        <v>-0.80085517647136384</v>
      </c>
      <c r="V352" s="383">
        <f t="shared" si="131"/>
        <v>18.204008492834216</v>
      </c>
      <c r="W352" s="58"/>
      <c r="X352" s="157">
        <f t="shared" si="132"/>
        <v>43803</v>
      </c>
      <c r="Y352" s="385">
        <f t="shared" si="133"/>
        <v>5.7069999999999999</v>
      </c>
      <c r="Z352" s="385">
        <f t="shared" si="134"/>
        <v>5.7724502287755497</v>
      </c>
      <c r="AA352" s="386">
        <f t="shared" si="135"/>
        <v>6.2132494850168136</v>
      </c>
      <c r="AB352" s="197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7.0945043701246352E-2</v>
      </c>
      <c r="AD352" s="231">
        <f>(INDEX(Models!$BJ352:$BT352,,AH352)*(1-AF352)+INDEX(Models!$BJ352:$BT352,,AH352+1)*AF352-ERP_i)*AE352*Ramure*Pc/MaxiM</f>
        <v>3.7384513634534651E-4</v>
      </c>
      <c r="AE352" s="305">
        <f t="shared" si="137"/>
        <v>0.7</v>
      </c>
      <c r="AF352" s="177">
        <f t="shared" si="138"/>
        <v>0.19914482352863616</v>
      </c>
      <c r="AG352" s="176">
        <f t="shared" si="139"/>
        <v>-1</v>
      </c>
      <c r="AH352" s="176">
        <f t="shared" si="140"/>
        <v>5</v>
      </c>
      <c r="AI352" s="225">
        <f t="shared" si="141"/>
        <v>-0.80085517647136384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6">
        <v>7.3949999999999996</v>
      </c>
      <c r="C353" s="390"/>
      <c r="D353" s="393">
        <f t="shared" si="123"/>
        <v>7.4799829788041849</v>
      </c>
      <c r="E353" s="385">
        <f t="shared" si="121"/>
        <v>8.0519389445577225</v>
      </c>
      <c r="F353" s="385">
        <f t="shared" si="124"/>
        <v>8.0523997133229734</v>
      </c>
      <c r="G353" s="110">
        <f t="shared" si="122"/>
        <v>0.40888173226408753</v>
      </c>
      <c r="H353" s="414" t="b">
        <f>Wh_hp&gt;='2018'!Maxi_hp</f>
        <v>0</v>
      </c>
      <c r="I353" s="390">
        <f>IF(H353,Wh_hp,'2018'!Maxi_hp)</f>
        <v>15.29208578158242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1.1361386656226213E-2</v>
      </c>
      <c r="M353" s="844"/>
      <c r="N353" s="844"/>
      <c r="O353" s="48">
        <f>IF(t&lt;Tnet,'2018'!Resal+('2018'!Salim-'2018'!Resal)*(1-EXP(('2018'!Tnet-t)/('2018'!Tau_j))),Resal+(Salim-Resal)*(1-EXP((Tnet-t)/(Tau_j))))*Salcycl</f>
        <v>7.1033321252407272E-2</v>
      </c>
      <c r="P353" s="169">
        <f>(INDEX(Models!$BJ353:$BT353,,T353)*(1-R353)+INDEX(Models!$BJ353:$BT353,,T353+1)*R353-ERP_i)*Q353*Ramure*Pc/MaxiM</f>
        <v>3.674471529083029E-4</v>
      </c>
      <c r="Q353" s="305">
        <f t="shared" si="126"/>
        <v>0.7</v>
      </c>
      <c r="R353" s="177">
        <f t="shared" si="127"/>
        <v>0.19915599413933127</v>
      </c>
      <c r="S353" s="810">
        <f t="shared" si="128"/>
        <v>-1</v>
      </c>
      <c r="T353" s="176">
        <f t="shared" si="129"/>
        <v>5</v>
      </c>
      <c r="U353" s="251">
        <f t="shared" si="130"/>
        <v>-0.80084400586066873</v>
      </c>
      <c r="V353" s="383">
        <f t="shared" si="131"/>
        <v>18.08030333756664</v>
      </c>
      <c r="W353" s="58"/>
      <c r="X353" s="157">
        <f t="shared" si="132"/>
        <v>43804</v>
      </c>
      <c r="Y353" s="385">
        <f t="shared" si="133"/>
        <v>7.3949999999999996</v>
      </c>
      <c r="Z353" s="385">
        <f t="shared" si="134"/>
        <v>7.4799829788041849</v>
      </c>
      <c r="AA353" s="386">
        <f t="shared" si="135"/>
        <v>8.0519389445577225</v>
      </c>
      <c r="AB353" s="197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7.1033321252407272E-2</v>
      </c>
      <c r="AD353" s="231">
        <f>(INDEX(Models!$BJ353:$BT353,,AH353)*(1-AF353)+INDEX(Models!$BJ353:$BT353,,AH353+1)*AF353-ERP_i)*AE353*Ramure*Pc/MaxiM</f>
        <v>3.674471529083029E-4</v>
      </c>
      <c r="AE353" s="305">
        <f t="shared" si="137"/>
        <v>0.7</v>
      </c>
      <c r="AF353" s="177">
        <f t="shared" si="138"/>
        <v>0.19915599413933127</v>
      </c>
      <c r="AG353" s="176">
        <f t="shared" si="139"/>
        <v>-1</v>
      </c>
      <c r="AH353" s="176">
        <f t="shared" si="140"/>
        <v>5</v>
      </c>
      <c r="AI353" s="225">
        <f t="shared" si="141"/>
        <v>-0.80084400586066873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6">
        <v>8.7959999999999994</v>
      </c>
      <c r="C354" s="390"/>
      <c r="D354" s="393">
        <f t="shared" si="123"/>
        <v>8.8972902553171416</v>
      </c>
      <c r="E354" s="385">
        <f t="shared" si="121"/>
        <v>9.5785409332614755</v>
      </c>
      <c r="F354" s="385">
        <f t="shared" si="124"/>
        <v>9.5794786799841667</v>
      </c>
      <c r="G354" s="110">
        <f t="shared" si="122"/>
        <v>0.48945512318252338</v>
      </c>
      <c r="H354" s="414" t="b">
        <f>Wh_hp&gt;='2018'!Maxi_hp</f>
        <v>0</v>
      </c>
      <c r="I354" s="390">
        <f>IF(H354,Wh_hp,'2018'!Maxi_hp)</f>
        <v>11.96873115049803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1.138439372106681E-2</v>
      </c>
      <c r="M354" s="844"/>
      <c r="N354" s="844"/>
      <c r="O354" s="48">
        <f>IF(t&lt;Tnet,'2018'!Resal+('2018'!Salim-'2018'!Resal)*(1-EXP(('2018'!Tnet-t)/('2018'!Tau_j))),Resal+(Salim-Resal)*(1-EXP((Tnet-t)/(Tau_j))))*Salcycl</f>
        <v>7.1122594003716219E-2</v>
      </c>
      <c r="P354" s="169">
        <f>(INDEX(Models!$BJ354:$BT354,,T354)*(1-R354)+INDEX(Models!$BJ354:$BT354,,T354+1)*R354-ERP_i)*Q354*Ramure*Pc/MaxiM</f>
        <v>3.6144286513139443E-4</v>
      </c>
      <c r="Q354" s="305">
        <f t="shared" si="126"/>
        <v>0.7</v>
      </c>
      <c r="R354" s="177">
        <f t="shared" si="127"/>
        <v>0.19916671557494969</v>
      </c>
      <c r="S354" s="810">
        <f t="shared" si="128"/>
        <v>-1</v>
      </c>
      <c r="T354" s="176">
        <f t="shared" si="129"/>
        <v>5</v>
      </c>
      <c r="U354" s="251">
        <f t="shared" si="130"/>
        <v>-0.80083328442505031</v>
      </c>
      <c r="V354" s="383">
        <f t="shared" si="131"/>
        <v>17.966267296327946</v>
      </c>
      <c r="W354" s="58"/>
      <c r="X354" s="157">
        <f t="shared" si="132"/>
        <v>43805</v>
      </c>
      <c r="Y354" s="385">
        <f t="shared" si="133"/>
        <v>8.7959999999999994</v>
      </c>
      <c r="Z354" s="385">
        <f t="shared" si="134"/>
        <v>8.8972902553171416</v>
      </c>
      <c r="AA354" s="386">
        <f t="shared" si="135"/>
        <v>9.5785409332614755</v>
      </c>
      <c r="AB354" s="197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7.1122594003716219E-2</v>
      </c>
      <c r="AD354" s="231">
        <f>(INDEX(Models!$BJ354:$BT354,,AH354)*(1-AF354)+INDEX(Models!$BJ354:$BT354,,AH354+1)*AF354-ERP_i)*AE354*Ramure*Pc/MaxiM</f>
        <v>3.6144286513139443E-4</v>
      </c>
      <c r="AE354" s="305">
        <f t="shared" si="137"/>
        <v>0.7</v>
      </c>
      <c r="AF354" s="177">
        <f t="shared" si="138"/>
        <v>0.19916671557494969</v>
      </c>
      <c r="AG354" s="176">
        <f t="shared" si="139"/>
        <v>-1</v>
      </c>
      <c r="AH354" s="176">
        <f t="shared" si="140"/>
        <v>5</v>
      </c>
      <c r="AI354" s="225">
        <f t="shared" si="141"/>
        <v>-0.80083328442505031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6">
        <v>12.816000000000001</v>
      </c>
      <c r="C355" s="390"/>
      <c r="D355" s="393">
        <f t="shared" si="123"/>
        <v>12.963884216053655</v>
      </c>
      <c r="E355" s="385">
        <f t="shared" si="121"/>
        <v>13.957863265779821</v>
      </c>
      <c r="F355" s="385">
        <f t="shared" si="124"/>
        <v>13.960826040272964</v>
      </c>
      <c r="G355" s="110">
        <f t="shared" si="122"/>
        <v>0.71738171973928422</v>
      </c>
      <c r="H355" s="414" t="b">
        <f>Wh_hp&gt;='2018'!Maxi_hp</f>
        <v>0</v>
      </c>
      <c r="I355" s="390">
        <f>IF(H355,Wh_hp,'2018'!Maxi_hp)</f>
        <v>15.59423743287989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1.1407400250499355E-2</v>
      </c>
      <c r="M355" s="844"/>
      <c r="N355" s="844"/>
      <c r="O355" s="48">
        <f>IF(t&lt;Tnet,'2018'!Resal+('2018'!Salim-'2018'!Resal)*(1-EXP(('2018'!Tnet-t)/('2018'!Tau_j))),Resal+(Salim-Resal)*(1-EXP((Tnet-t)/(Tau_j))))*Salcycl</f>
        <v>7.1212837581170543E-2</v>
      </c>
      <c r="P355" s="169">
        <f>(INDEX(Models!$BJ355:$BT355,,T355)*(1-R355)+INDEX(Models!$BJ355:$BT355,,T355+1)*R355-ERP_i)*Q355*Ramure*Pc/MaxiM</f>
        <v>3.5583189516379582E-4</v>
      </c>
      <c r="Q355" s="305">
        <f t="shared" si="126"/>
        <v>0.7</v>
      </c>
      <c r="R355" s="177">
        <f t="shared" si="127"/>
        <v>0.1991770058743777</v>
      </c>
      <c r="S355" s="810">
        <f t="shared" si="128"/>
        <v>-1</v>
      </c>
      <c r="T355" s="176">
        <f t="shared" si="129"/>
        <v>5</v>
      </c>
      <c r="U355" s="251">
        <f t="shared" si="130"/>
        <v>-0.8008229941256223</v>
      </c>
      <c r="V355" s="383">
        <f t="shared" si="131"/>
        <v>17.862399799181532</v>
      </c>
      <c r="W355" s="58"/>
      <c r="X355" s="157">
        <f t="shared" si="132"/>
        <v>43806</v>
      </c>
      <c r="Y355" s="385">
        <f t="shared" si="133"/>
        <v>12.816000000000001</v>
      </c>
      <c r="Z355" s="385">
        <f t="shared" si="134"/>
        <v>12.963884216053655</v>
      </c>
      <c r="AA355" s="386">
        <f t="shared" si="135"/>
        <v>13.957863265779821</v>
      </c>
      <c r="AB355" s="197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7.1212837581170543E-2</v>
      </c>
      <c r="AD355" s="231">
        <f>(INDEX(Models!$BJ355:$BT355,,AH355)*(1-AF355)+INDEX(Models!$BJ355:$BT355,,AH355+1)*AF355-ERP_i)*AE355*Ramure*Pc/MaxiM</f>
        <v>3.5583189516379582E-4</v>
      </c>
      <c r="AE355" s="305">
        <f t="shared" si="137"/>
        <v>0.7</v>
      </c>
      <c r="AF355" s="177">
        <f t="shared" si="138"/>
        <v>0.1991770058743777</v>
      </c>
      <c r="AG355" s="176">
        <f t="shared" si="139"/>
        <v>-1</v>
      </c>
      <c r="AH355" s="176">
        <f t="shared" si="140"/>
        <v>5</v>
      </c>
      <c r="AI355" s="225">
        <f t="shared" si="141"/>
        <v>-0.8008229941256223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6">
        <v>13.061999999999999</v>
      </c>
      <c r="C356" s="390"/>
      <c r="D356" s="393">
        <f t="shared" si="123"/>
        <v>13.213030304097199</v>
      </c>
      <c r="E356" s="385">
        <f t="shared" si="121"/>
        <v>14.22750895284805</v>
      </c>
      <c r="F356" s="385">
        <f t="shared" si="124"/>
        <v>14.230610193408706</v>
      </c>
      <c r="G356" s="110">
        <f t="shared" si="122"/>
        <v>0.73499462386380965</v>
      </c>
      <c r="H356" s="414" t="b">
        <f>Wh_hp&gt;='2018'!Maxi_hp</f>
        <v>1</v>
      </c>
      <c r="I356" s="390">
        <f>IF(H356,Wh_hp,'2018'!Maxi_hp)</f>
        <v>14.230610193408706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1.1430406244536284E-2</v>
      </c>
      <c r="M356" s="844"/>
      <c r="N356" s="844"/>
      <c r="O356" s="48">
        <f>IF(t&lt;Tnet,'2018'!Resal+('2018'!Salim-'2018'!Resal)*(1-EXP(('2018'!Tnet-t)/('2018'!Tau_j))),Resal+(Salim-Resal)*(1-EXP((Tnet-t)/(Tau_j))))*Salcycl</f>
        <v>7.1304024626726567E-2</v>
      </c>
      <c r="P356" s="169">
        <f>(INDEX(Models!$BJ356:$BT356,,T356)*(1-R356)+INDEX(Models!$BJ356:$BT356,,T356+1)*R356-ERP_i)*Q356*Ramure*Pc/MaxiM</f>
        <v>3.5061354794597348E-4</v>
      </c>
      <c r="Q356" s="305">
        <f t="shared" si="126"/>
        <v>0.7</v>
      </c>
      <c r="R356" s="177">
        <f t="shared" si="127"/>
        <v>0.19918688235384496</v>
      </c>
      <c r="S356" s="810">
        <f t="shared" si="128"/>
        <v>-1</v>
      </c>
      <c r="T356" s="176">
        <f t="shared" si="129"/>
        <v>5</v>
      </c>
      <c r="U356" s="251">
        <f t="shared" si="130"/>
        <v>-0.80081311764615504</v>
      </c>
      <c r="V356" s="383">
        <f t="shared" si="131"/>
        <v>17.769200008186768</v>
      </c>
      <c r="W356" s="58"/>
      <c r="X356" s="157">
        <f t="shared" si="132"/>
        <v>43807</v>
      </c>
      <c r="Y356" s="385">
        <f t="shared" si="133"/>
        <v>13.061999999999999</v>
      </c>
      <c r="Z356" s="385">
        <f t="shared" si="134"/>
        <v>13.213030304097199</v>
      </c>
      <c r="AA356" s="386">
        <f t="shared" si="135"/>
        <v>14.22750895284805</v>
      </c>
      <c r="AB356" s="197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7.1304024626726567E-2</v>
      </c>
      <c r="AD356" s="231">
        <f>(INDEX(Models!$BJ356:$BT356,,AH356)*(1-AF356)+INDEX(Models!$BJ356:$BT356,,AH356+1)*AF356-ERP_i)*AE356*Ramure*Pc/MaxiM</f>
        <v>3.5061354794597348E-4</v>
      </c>
      <c r="AE356" s="305">
        <f t="shared" si="137"/>
        <v>0.7</v>
      </c>
      <c r="AF356" s="177">
        <f t="shared" si="138"/>
        <v>0.19918688235384496</v>
      </c>
      <c r="AG356" s="176">
        <f t="shared" si="139"/>
        <v>-1</v>
      </c>
      <c r="AH356" s="176">
        <f t="shared" si="140"/>
        <v>5</v>
      </c>
      <c r="AI356" s="225">
        <f t="shared" si="141"/>
        <v>-0.80081311764615504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6">
        <v>9.4390000000000001</v>
      </c>
      <c r="C357" s="390"/>
      <c r="D357" s="393">
        <f t="shared" si="123"/>
        <v>9.5483613132110197</v>
      </c>
      <c r="E357" s="385">
        <f t="shared" si="121"/>
        <v>10.282491351568897</v>
      </c>
      <c r="F357" s="385">
        <f t="shared" si="124"/>
        <v>10.283678349894517</v>
      </c>
      <c r="G357" s="110">
        <f t="shared" si="122"/>
        <v>0.53354081325341074</v>
      </c>
      <c r="H357" s="414" t="b">
        <f>Wh_hp&gt;='2018'!Maxi_hp</f>
        <v>1</v>
      </c>
      <c r="I357" s="390">
        <f>IF(H357,Wh_hp,'2018'!Maxi_hp)</f>
        <v>10.283678349894517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1.1453411703190253E-2</v>
      </c>
      <c r="M357" s="844"/>
      <c r="N357" s="844"/>
      <c r="O357" s="48">
        <f>IF(t&lt;Tnet,'2018'!Resal+('2018'!Salim-'2018'!Resal)*(1-EXP(('2018'!Tnet-t)/('2018'!Tau_j))),Resal+(Salim-Resal)*(1-EXP((Tnet-t)/(Tau_j))))*Salcycl</f>
        <v>7.139612504958387E-2</v>
      </c>
      <c r="P357" s="169">
        <f>(INDEX(Models!$BJ357:$BT357,,T357)*(1-R357)+INDEX(Models!$BJ357:$BT357,,T357+1)*R357-ERP_i)*Q357*Ramure*Pc/MaxiM</f>
        <v>3.4578670851163483E-4</v>
      </c>
      <c r="Q357" s="305">
        <f t="shared" si="126"/>
        <v>0.7</v>
      </c>
      <c r="R357" s="177">
        <f t="shared" si="127"/>
        <v>0.19919636163573295</v>
      </c>
      <c r="S357" s="810">
        <f t="shared" si="128"/>
        <v>-1</v>
      </c>
      <c r="T357" s="176">
        <f t="shared" si="129"/>
        <v>5</v>
      </c>
      <c r="U357" s="251">
        <f t="shared" si="130"/>
        <v>-0.80080363836426705</v>
      </c>
      <c r="V357" s="383">
        <f t="shared" si="131"/>
        <v>17.687166819804716</v>
      </c>
      <c r="W357" s="58"/>
      <c r="X357" s="157">
        <f t="shared" si="132"/>
        <v>43808</v>
      </c>
      <c r="Y357" s="385">
        <f t="shared" si="133"/>
        <v>9.4390000000000001</v>
      </c>
      <c r="Z357" s="385">
        <f t="shared" si="134"/>
        <v>9.5483613132110197</v>
      </c>
      <c r="AA357" s="386">
        <f t="shared" si="135"/>
        <v>10.282491351568897</v>
      </c>
      <c r="AB357" s="197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7.139612504958387E-2</v>
      </c>
      <c r="AD357" s="231">
        <f>(INDEX(Models!$BJ357:$BT357,,AH357)*(1-AF357)+INDEX(Models!$BJ357:$BT357,,AH357+1)*AF357-ERP_i)*AE357*Ramure*Pc/MaxiM</f>
        <v>3.4578670851163483E-4</v>
      </c>
      <c r="AE357" s="305">
        <f t="shared" si="137"/>
        <v>0.7</v>
      </c>
      <c r="AF357" s="177">
        <f t="shared" si="138"/>
        <v>0.19919636163573295</v>
      </c>
      <c r="AG357" s="176">
        <f t="shared" si="139"/>
        <v>-1</v>
      </c>
      <c r="AH357" s="176">
        <f t="shared" si="140"/>
        <v>5</v>
      </c>
      <c r="AI357" s="225">
        <f t="shared" si="141"/>
        <v>-0.80080363836426705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6">
        <v>15.12</v>
      </c>
      <c r="C358" s="390"/>
      <c r="D358" s="393">
        <f t="shared" si="123"/>
        <v>15.295537966226458</v>
      </c>
      <c r="E358" s="385">
        <f t="shared" si="121"/>
        <v>16.473191720027277</v>
      </c>
      <c r="F358" s="385">
        <f t="shared" si="124"/>
        <v>16.477677553533571</v>
      </c>
      <c r="G358" s="110">
        <f t="shared" si="122"/>
        <v>0.85821237264647954</v>
      </c>
      <c r="H358" s="414" t="b">
        <f>Wh_hp&gt;='2018'!Maxi_hp</f>
        <v>1</v>
      </c>
      <c r="I358" s="390">
        <f>IF(H358,Wh_hp,'2018'!Maxi_hp)</f>
        <v>16.477677553533571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1.1476416626473585E-2</v>
      </c>
      <c r="M358" s="844"/>
      <c r="N358" s="844"/>
      <c r="O358" s="48">
        <f>IF(t&lt;Tnet,'2018'!Resal+('2018'!Salim-'2018'!Resal)*(1-EXP(('2018'!Tnet-t)/('2018'!Tau_j))),Resal+(Salim-Resal)*(1-EXP((Tnet-t)/(Tau_j))))*Salcycl</f>
        <v>7.148910628952887E-2</v>
      </c>
      <c r="P358" s="169">
        <f>(INDEX(Models!$BJ358:$BT358,,T358)*(1-R358)+INDEX(Models!$BJ358:$BT358,,T358+1)*R358-ERP_i)*Q358*Ramure*Pc/MaxiM</f>
        <v>3.4134973694506743E-4</v>
      </c>
      <c r="Q358" s="305">
        <f t="shared" si="126"/>
        <v>0.7</v>
      </c>
      <c r="R358" s="177">
        <f t="shared" si="127"/>
        <v>0.19920545967624859</v>
      </c>
      <c r="S358" s="810">
        <f t="shared" si="128"/>
        <v>-1</v>
      </c>
      <c r="T358" s="176">
        <f t="shared" si="129"/>
        <v>5</v>
      </c>
      <c r="U358" s="251">
        <f t="shared" si="130"/>
        <v>-0.80079454032375141</v>
      </c>
      <c r="V358" s="383">
        <f t="shared" si="131"/>
        <v>17.61679883993741</v>
      </c>
      <c r="W358" s="58"/>
      <c r="X358" s="157">
        <f t="shared" si="132"/>
        <v>43809</v>
      </c>
      <c r="Y358" s="385">
        <f t="shared" si="133"/>
        <v>15.120000000000001</v>
      </c>
      <c r="Z358" s="385">
        <f t="shared" si="134"/>
        <v>15.29553796622646</v>
      </c>
      <c r="AA358" s="386">
        <f t="shared" si="135"/>
        <v>16.473191720027277</v>
      </c>
      <c r="AB358" s="197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7.148910628952887E-2</v>
      </c>
      <c r="AD358" s="231">
        <f>(INDEX(Models!$BJ358:$BT358,,AH358)*(1-AF358)+INDEX(Models!$BJ358:$BT358,,AH358+1)*AF358-ERP_i)*AE358*Ramure*Pc/MaxiM</f>
        <v>3.4134973694506743E-4</v>
      </c>
      <c r="AE358" s="305">
        <f t="shared" si="137"/>
        <v>0.7</v>
      </c>
      <c r="AF358" s="177">
        <f t="shared" si="138"/>
        <v>0.19920545967624859</v>
      </c>
      <c r="AG358" s="176">
        <f t="shared" si="139"/>
        <v>-1</v>
      </c>
      <c r="AH358" s="176">
        <f t="shared" si="140"/>
        <v>5</v>
      </c>
      <c r="AI358" s="225">
        <f t="shared" si="141"/>
        <v>-0.80079454032375141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6">
        <v>1.7410000000000001</v>
      </c>
      <c r="C359" s="390"/>
      <c r="D359" s="393">
        <f t="shared" si="123"/>
        <v>1.7612533942940256</v>
      </c>
      <c r="E359" s="385">
        <f t="shared" si="121"/>
        <v>1.8970497829221624</v>
      </c>
      <c r="F359" s="385">
        <f t="shared" si="124"/>
        <v>1.8970497829221624</v>
      </c>
      <c r="G359" s="110">
        <f t="shared" si="122"/>
        <v>9.9115886164706957E-2</v>
      </c>
      <c r="H359" s="414" t="b">
        <f>Wh_hp&gt;='2018'!Maxi_hp</f>
        <v>0</v>
      </c>
      <c r="I359" s="390">
        <f>IF(H359,Wh_hp,'2018'!Maxi_hp)</f>
        <v>16.479573454056037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1.1499421014398603E-2</v>
      </c>
      <c r="M359" s="844"/>
      <c r="N359" s="844"/>
      <c r="O359" s="48">
        <f>IF(t&lt;Tnet,'2018'!Resal+('2018'!Salim-'2018'!Resal)*(1-EXP(('2018'!Tnet-t)/('2018'!Tau_j))),Resal+(Salim-Resal)*(1-EXP((Tnet-t)/(Tau_j))))*Salcycl</f>
        <v>7.1582933590155925E-2</v>
      </c>
      <c r="P359" s="169">
        <f>(INDEX(Models!$BJ359:$BT359,,T359)*(1-R359)+INDEX(Models!$BJ359:$BT359,,T359+1)*R359-ERP_i)*Q359*Ramure*Pc/MaxiM</f>
        <v>3.3728541619770135E-4</v>
      </c>
      <c r="Q359" s="305">
        <f t="shared" si="126"/>
        <v>0.7</v>
      </c>
      <c r="R359" s="177">
        <f t="shared" si="127"/>
        <v>0.19921419179200162</v>
      </c>
      <c r="S359" s="810">
        <f t="shared" si="128"/>
        <v>-1</v>
      </c>
      <c r="T359" s="176">
        <f t="shared" si="129"/>
        <v>5</v>
      </c>
      <c r="U359" s="251">
        <f t="shared" si="130"/>
        <v>-0.80078580820799838</v>
      </c>
      <c r="V359" s="383">
        <f t="shared" si="131"/>
        <v>17.559372704374042</v>
      </c>
      <c r="W359" s="58"/>
      <c r="X359" s="157">
        <f t="shared" si="132"/>
        <v>43810</v>
      </c>
      <c r="Y359" s="385">
        <f t="shared" si="133"/>
        <v>1.7410000000000001</v>
      </c>
      <c r="Z359" s="385">
        <f t="shared" si="134"/>
        <v>1.7612533942940256</v>
      </c>
      <c r="AA359" s="386">
        <f t="shared" si="135"/>
        <v>1.8970497829221624</v>
      </c>
      <c r="AB359" s="197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7.1582933590155925E-2</v>
      </c>
      <c r="AD359" s="231">
        <f>(INDEX(Models!$BJ359:$BT359,,AH359)*(1-AF359)+INDEX(Models!$BJ359:$BT359,,AH359+1)*AF359-ERP_i)*AE359*Ramure*Pc/MaxiM</f>
        <v>3.3728541619770135E-4</v>
      </c>
      <c r="AE359" s="305">
        <f t="shared" si="137"/>
        <v>0.7</v>
      </c>
      <c r="AF359" s="177">
        <f t="shared" si="138"/>
        <v>0.19921419179200162</v>
      </c>
      <c r="AG359" s="176">
        <f t="shared" si="139"/>
        <v>-1</v>
      </c>
      <c r="AH359" s="176">
        <f t="shared" si="140"/>
        <v>5</v>
      </c>
      <c r="AI359" s="225">
        <f t="shared" si="141"/>
        <v>-0.80078580820799838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6">
        <v>4.5389999999999997</v>
      </c>
      <c r="C360" s="390"/>
      <c r="D360" s="393">
        <f t="shared" si="123"/>
        <v>4.591909937247868</v>
      </c>
      <c r="E360" s="385">
        <f t="shared" si="121"/>
        <v>4.9464601847781804</v>
      </c>
      <c r="F360" s="385">
        <f t="shared" si="124"/>
        <v>4.9464601847781804</v>
      </c>
      <c r="G360" s="110">
        <f t="shared" si="122"/>
        <v>0.25905982303594288</v>
      </c>
      <c r="H360" s="414" t="b">
        <f>Wh_hp&gt;='2018'!Maxi_hp</f>
        <v>1</v>
      </c>
      <c r="I360" s="390">
        <f>IF(H360,Wh_hp,'2018'!Maxi_hp)</f>
        <v>4.9464601847781804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1.1522424866978076E-2</v>
      </c>
      <c r="M360" s="844"/>
      <c r="N360" s="844"/>
      <c r="O360" s="48">
        <f>IF(t&lt;Tnet,'2018'!Resal+('2018'!Salim-'2018'!Resal)*(1-EXP(('2018'!Tnet-t)/('2018'!Tau_j))),Resal+(Salim-Resal)*(1-EXP((Tnet-t)/(Tau_j))))*Salcycl</f>
        <v>7.1677570279727584E-2</v>
      </c>
      <c r="P360" s="169">
        <f>(INDEX(Models!$BJ360:$BT360,,T360)*(1-R360)+INDEX(Models!$BJ360:$BT360,,T360+1)*R360-ERP_i)*Q360*Ramure*Pc/MaxiM</f>
        <v>3.3359457585202648E-4</v>
      </c>
      <c r="Q360" s="305">
        <f t="shared" si="126"/>
        <v>0.7</v>
      </c>
      <c r="R360" s="177">
        <f t="shared" si="127"/>
        <v>0.19922257268553345</v>
      </c>
      <c r="S360" s="810">
        <f t="shared" si="128"/>
        <v>-1</v>
      </c>
      <c r="T360" s="176">
        <f t="shared" si="129"/>
        <v>5</v>
      </c>
      <c r="U360" s="251">
        <f t="shared" si="130"/>
        <v>-0.80077742731446655</v>
      </c>
      <c r="V360" s="383">
        <f t="shared" si="131"/>
        <v>17.515204639009809</v>
      </c>
      <c r="W360" s="58"/>
      <c r="X360" s="157">
        <f t="shared" si="132"/>
        <v>43811</v>
      </c>
      <c r="Y360" s="385">
        <f t="shared" si="133"/>
        <v>4.5389999999999997</v>
      </c>
      <c r="Z360" s="385">
        <f t="shared" si="134"/>
        <v>4.591909937247868</v>
      </c>
      <c r="AA360" s="386">
        <f t="shared" si="135"/>
        <v>4.9464601847781804</v>
      </c>
      <c r="AB360" s="197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7.1677570279727584E-2</v>
      </c>
      <c r="AD360" s="231">
        <f>(INDEX(Models!$BJ360:$BT360,,AH360)*(1-AF360)+INDEX(Models!$BJ360:$BT360,,AH360+1)*AF360-ERP_i)*AE360*Ramure*Pc/MaxiM</f>
        <v>3.3359457585202648E-4</v>
      </c>
      <c r="AE360" s="305">
        <f t="shared" si="137"/>
        <v>0.7</v>
      </c>
      <c r="AF360" s="177">
        <f t="shared" si="138"/>
        <v>0.19922257268553345</v>
      </c>
      <c r="AG360" s="176">
        <f t="shared" si="139"/>
        <v>-1</v>
      </c>
      <c r="AH360" s="176">
        <f t="shared" si="140"/>
        <v>5</v>
      </c>
      <c r="AI360" s="225">
        <f t="shared" si="141"/>
        <v>-0.80077742731446655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6">
        <v>2.2669999999999999</v>
      </c>
      <c r="C361" s="390"/>
      <c r="D361" s="393">
        <f t="shared" si="123"/>
        <v>2.2934791993885524</v>
      </c>
      <c r="E361" s="385">
        <f t="shared" ref="E361:E379" si="145">Wh_pvt/(1-Psa)</f>
        <v>2.4708171009595685</v>
      </c>
      <c r="F361" s="385">
        <f t="shared" si="124"/>
        <v>2.4708171009595685</v>
      </c>
      <c r="G361" s="110">
        <f t="shared" ref="G361:G379" si="146">+Wh_hp/MaxiM</f>
        <v>0.12962337610942357</v>
      </c>
      <c r="H361" s="414" t="b">
        <f>Wh_hp&gt;='2018'!Maxi_hp</f>
        <v>1</v>
      </c>
      <c r="I361" s="390">
        <f>IF(H361,Wh_hp,'2018'!Maxi_hp)</f>
        <v>2.4708171009595685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1.1545428184224216E-2</v>
      </c>
      <c r="M361" s="844"/>
      <c r="N361" s="844"/>
      <c r="O361" s="48">
        <f>IF(t&lt;Tnet,'2018'!Resal+('2018'!Salim-'2018'!Resal)*(1-EXP(('2018'!Tnet-t)/('2018'!Tau_j))),Resal+(Salim-Resal)*(1-EXP((Tnet-t)/(Tau_j))))*Salcycl</f>
        <v>7.1772978057398421E-2</v>
      </c>
      <c r="P361" s="169">
        <f>(INDEX(Models!$BJ361:$BT361,,T361)*(1-R361)+INDEX(Models!$BJ361:$BT361,,T361+1)*R361-ERP_i)*Q361*Ramure*Pc/MaxiM</f>
        <v>3.3018133139586157E-4</v>
      </c>
      <c r="Q361" s="305">
        <f t="shared" si="126"/>
        <v>0.7</v>
      </c>
      <c r="R361" s="177">
        <f t="shared" si="127"/>
        <v>0.1992306164698342</v>
      </c>
      <c r="S361" s="810">
        <f t="shared" si="128"/>
        <v>-1</v>
      </c>
      <c r="T361" s="176">
        <f t="shared" si="129"/>
        <v>5</v>
      </c>
      <c r="U361" s="251">
        <f t="shared" si="130"/>
        <v>-0.8007693835301658</v>
      </c>
      <c r="V361" s="383">
        <f t="shared" si="131"/>
        <v>17.483354831065611</v>
      </c>
      <c r="W361" s="58"/>
      <c r="X361" s="157">
        <f t="shared" si="132"/>
        <v>43812</v>
      </c>
      <c r="Y361" s="385">
        <f t="shared" si="133"/>
        <v>2.2669999999999999</v>
      </c>
      <c r="Z361" s="385">
        <f t="shared" si="134"/>
        <v>2.2934791993885524</v>
      </c>
      <c r="AA361" s="386">
        <f t="shared" si="135"/>
        <v>2.4708171009595685</v>
      </c>
      <c r="AB361" s="197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7.1772978057398421E-2</v>
      </c>
      <c r="AD361" s="231">
        <f>(INDEX(Models!$BJ361:$BT361,,AH361)*(1-AF361)+INDEX(Models!$BJ361:$BT361,,AH361+1)*AF361-ERP_i)*AE361*Ramure*Pc/MaxiM</f>
        <v>3.3018133139586157E-4</v>
      </c>
      <c r="AE361" s="305">
        <f t="shared" si="137"/>
        <v>0.7</v>
      </c>
      <c r="AF361" s="177">
        <f t="shared" si="138"/>
        <v>0.1992306164698342</v>
      </c>
      <c r="AG361" s="176">
        <f t="shared" si="139"/>
        <v>-1</v>
      </c>
      <c r="AH361" s="176">
        <f t="shared" si="140"/>
        <v>5</v>
      </c>
      <c r="AI361" s="225">
        <f t="shared" si="141"/>
        <v>-0.8007693835301658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6">
        <v>14.742000000000001</v>
      </c>
      <c r="C362" s="390"/>
      <c r="D362" s="393">
        <f t="shared" si="123"/>
        <v>14.914537800942229</v>
      </c>
      <c r="E362" s="385">
        <f t="shared" si="145"/>
        <v>16.069433825188224</v>
      </c>
      <c r="F362" s="385">
        <f t="shared" si="124"/>
        <v>16.073520795364072</v>
      </c>
      <c r="G362" s="110">
        <f t="shared" si="146"/>
        <v>0.84412908989421076</v>
      </c>
      <c r="H362" s="414" t="b">
        <f>Wh_hp&gt;='2018'!Maxi_hp</f>
        <v>1</v>
      </c>
      <c r="I362" s="390">
        <f>IF(H362,Wh_hp,'2018'!Maxi_hp)</f>
        <v>16.073520795364072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1.1568430966149568E-2</v>
      </c>
      <c r="M362" s="844"/>
      <c r="N362" s="844"/>
      <c r="O362" s="48">
        <f>IF(t&lt;Tnet,'2018'!Resal+('2018'!Salim-'2018'!Resal)*(1-EXP(('2018'!Tnet-t)/('2018'!Tau_j))),Resal+(Salim-Resal)*(1-EXP((Tnet-t)/(Tau_j))))*Salcycl</f>
        <v>7.1869117282510456E-2</v>
      </c>
      <c r="P362" s="169">
        <f>(INDEX(Models!$BJ362:$BT362,,T362)*(1-R362)+INDEX(Models!$BJ362:$BT362,,T362+1)*R362-ERP_i)*Q362*Ramure*Pc/MaxiM</f>
        <v>3.2706757124327328E-4</v>
      </c>
      <c r="Q362" s="305">
        <f t="shared" si="126"/>
        <v>0.7</v>
      </c>
      <c r="R362" s="177">
        <f t="shared" si="127"/>
        <v>0.19923833669188962</v>
      </c>
      <c r="S362" s="810">
        <f t="shared" si="128"/>
        <v>-1</v>
      </c>
      <c r="T362" s="176">
        <f t="shared" si="129"/>
        <v>5</v>
      </c>
      <c r="U362" s="251">
        <f t="shared" si="130"/>
        <v>-0.80076166330811038</v>
      </c>
      <c r="V362" s="383">
        <f t="shared" si="131"/>
        <v>17.462881781247496</v>
      </c>
      <c r="W362" s="58"/>
      <c r="X362" s="157">
        <f t="shared" si="132"/>
        <v>43813</v>
      </c>
      <c r="Y362" s="385">
        <f t="shared" si="133"/>
        <v>14.742000000000003</v>
      </c>
      <c r="Z362" s="385">
        <f t="shared" si="134"/>
        <v>14.914537800942231</v>
      </c>
      <c r="AA362" s="386">
        <f t="shared" si="135"/>
        <v>16.069433825188224</v>
      </c>
      <c r="AB362" s="197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7.1869117282510456E-2</v>
      </c>
      <c r="AD362" s="231">
        <f>(INDEX(Models!$BJ362:$BT362,,AH362)*(1-AF362)+INDEX(Models!$BJ362:$BT362,,AH362+1)*AF362-ERP_i)*AE362*Ramure*Pc/MaxiM</f>
        <v>3.2706757124327328E-4</v>
      </c>
      <c r="AE362" s="305">
        <f t="shared" si="137"/>
        <v>0.7</v>
      </c>
      <c r="AF362" s="177">
        <f t="shared" si="138"/>
        <v>0.19923833669188962</v>
      </c>
      <c r="AG362" s="176">
        <f t="shared" si="139"/>
        <v>-1</v>
      </c>
      <c r="AH362" s="176">
        <f t="shared" si="140"/>
        <v>5</v>
      </c>
      <c r="AI362" s="225">
        <f t="shared" si="141"/>
        <v>-0.80076166330811038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6">
        <v>17.167999999999999</v>
      </c>
      <c r="C363" s="390"/>
      <c r="D363" s="393">
        <f t="shared" si="123"/>
        <v>17.369335492309236</v>
      </c>
      <c r="E363" s="385">
        <f t="shared" si="145"/>
        <v>18.716269560490883</v>
      </c>
      <c r="F363" s="385">
        <f t="shared" si="124"/>
        <v>18.722199127908961</v>
      </c>
      <c r="G363" s="110">
        <f t="shared" si="146"/>
        <v>0.98367175795967177</v>
      </c>
      <c r="H363" s="414" t="b">
        <f>Wh_hp&gt;='2018'!Maxi_hp</f>
        <v>1</v>
      </c>
      <c r="I363" s="390">
        <f>IF(H363,Wh_hp,'2018'!Maxi_hp)</f>
        <v>18.722199127908961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1.1591433212766566E-2</v>
      </c>
      <c r="M363" s="844"/>
      <c r="N363" s="844"/>
      <c r="O363" s="48">
        <f>IF(t&lt;Tnet,'2018'!Resal+('2018'!Salim-'2018'!Resal)*(1-EXP(('2018'!Tnet-t)/('2018'!Tau_j))),Resal+(Salim-Resal)*(1-EXP((Tnet-t)/(Tau_j))))*Salcycl</f>
        <v>7.1965947264670566E-2</v>
      </c>
      <c r="P363" s="169">
        <f>(INDEX(Models!$BJ363:$BT363,,T363)*(1-R363)+INDEX(Models!$BJ363:$BT363,,T363+1)*R363-ERP_i)*Q363*Ramure*Pc/MaxiM</f>
        <v>3.2427377361450902E-4</v>
      </c>
      <c r="Q363" s="305">
        <f t="shared" si="126"/>
        <v>0.7</v>
      </c>
      <c r="R363" s="177">
        <f t="shared" si="127"/>
        <v>0.19924574635529479</v>
      </c>
      <c r="S363" s="810">
        <f t="shared" si="128"/>
        <v>-1</v>
      </c>
      <c r="T363" s="176">
        <f t="shared" si="129"/>
        <v>5</v>
      </c>
      <c r="U363" s="251">
        <f t="shared" si="130"/>
        <v>-0.80075425364470521</v>
      </c>
      <c r="V363" s="383">
        <f t="shared" si="131"/>
        <v>17.452844426880134</v>
      </c>
      <c r="W363" s="58"/>
      <c r="X363" s="157">
        <f t="shared" si="132"/>
        <v>43814</v>
      </c>
      <c r="Y363" s="385">
        <f t="shared" si="133"/>
        <v>17.167999999999999</v>
      </c>
      <c r="Z363" s="385">
        <f t="shared" si="134"/>
        <v>17.369335492309236</v>
      </c>
      <c r="AA363" s="386">
        <f t="shared" si="135"/>
        <v>18.716269560490883</v>
      </c>
      <c r="AB363" s="197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7.1965947264670566E-2</v>
      </c>
      <c r="AD363" s="231">
        <f>(INDEX(Models!$BJ363:$BT363,,AH363)*(1-AF363)+INDEX(Models!$BJ363:$BT363,,AH363+1)*AF363-ERP_i)*AE363*Ramure*Pc/MaxiM</f>
        <v>3.2427377361450902E-4</v>
      </c>
      <c r="AE363" s="305">
        <f t="shared" si="137"/>
        <v>0.7</v>
      </c>
      <c r="AF363" s="177">
        <f t="shared" si="138"/>
        <v>0.19924574635529479</v>
      </c>
      <c r="AG363" s="176">
        <f t="shared" si="139"/>
        <v>-1</v>
      </c>
      <c r="AH363" s="176">
        <f t="shared" si="140"/>
        <v>5</v>
      </c>
      <c r="AI363" s="225">
        <f t="shared" si="141"/>
        <v>-0.80075425364470521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6">
        <v>11.65</v>
      </c>
      <c r="C364" s="390"/>
      <c r="D364" s="393">
        <f t="shared" si="123"/>
        <v>11.786898161655396</v>
      </c>
      <c r="E364" s="385">
        <f t="shared" si="145"/>
        <v>12.702267050281639</v>
      </c>
      <c r="F364" s="385">
        <f t="shared" si="124"/>
        <v>12.704413721310386</v>
      </c>
      <c r="G364" s="110">
        <f t="shared" si="146"/>
        <v>0.66743166144541521</v>
      </c>
      <c r="H364" s="414" t="b">
        <f>Wh_hp&gt;='2018'!Maxi_hp</f>
        <v>1</v>
      </c>
      <c r="I364" s="390">
        <f>IF(H364,Wh_hp,'2018'!Maxi_hp)</f>
        <v>12.704413721310386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1.1614434924087647E-2</v>
      </c>
      <c r="M364" s="844"/>
      <c r="N364" s="844"/>
      <c r="O364" s="48">
        <f>IF(t&lt;Tnet,'2018'!Resal+('2018'!Salim-'2018'!Resal)*(1-EXP(('2018'!Tnet-t)/('2018'!Tau_j))),Resal+(Salim-Resal)*(1-EXP((Tnet-t)/(Tau_j))))*Salcycl</f>
        <v>7.2063426552345142E-2</v>
      </c>
      <c r="P364" s="169">
        <f>(INDEX(Models!$BJ364:$BT364,,T364)*(1-R364)+INDEX(Models!$BJ364:$BT364,,T364+1)*R364-ERP_i)*Q364*Ramure*Pc/MaxiM</f>
        <v>3.2181903494881846E-4</v>
      </c>
      <c r="Q364" s="305">
        <f t="shared" si="126"/>
        <v>0.7</v>
      </c>
      <c r="R364" s="177">
        <f t="shared" si="127"/>
        <v>0.19925285794197101</v>
      </c>
      <c r="S364" s="810">
        <f t="shared" si="128"/>
        <v>-1</v>
      </c>
      <c r="T364" s="176">
        <f t="shared" si="129"/>
        <v>5</v>
      </c>
      <c r="U364" s="251">
        <f t="shared" si="130"/>
        <v>-0.80074714205802899</v>
      </c>
      <c r="V364" s="383">
        <f t="shared" si="131"/>
        <v>17.452302140277617</v>
      </c>
      <c r="W364" s="58"/>
      <c r="X364" s="157">
        <f t="shared" si="132"/>
        <v>43815</v>
      </c>
      <c r="Y364" s="385">
        <f t="shared" si="133"/>
        <v>11.65</v>
      </c>
      <c r="Z364" s="385">
        <f t="shared" si="134"/>
        <v>11.786898161655396</v>
      </c>
      <c r="AA364" s="386">
        <f t="shared" si="135"/>
        <v>12.702267050281639</v>
      </c>
      <c r="AB364" s="197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7.2063426552345142E-2</v>
      </c>
      <c r="AD364" s="231">
        <f>(INDEX(Models!$BJ364:$BT364,,AH364)*(1-AF364)+INDEX(Models!$BJ364:$BT364,,AH364+1)*AF364-ERP_i)*AE364*Ramure*Pc/MaxiM</f>
        <v>3.2181903494881846E-4</v>
      </c>
      <c r="AE364" s="305">
        <f t="shared" si="137"/>
        <v>0.7</v>
      </c>
      <c r="AF364" s="177">
        <f t="shared" si="138"/>
        <v>0.19925285794197101</v>
      </c>
      <c r="AG364" s="176">
        <f t="shared" si="139"/>
        <v>-1</v>
      </c>
      <c r="AH364" s="176">
        <f t="shared" si="140"/>
        <v>5</v>
      </c>
      <c r="AI364" s="225">
        <f t="shared" si="141"/>
        <v>-0.80074714205802899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6">
        <v>10.029</v>
      </c>
      <c r="C365" s="390"/>
      <c r="D365" s="393">
        <f t="shared" si="123"/>
        <v>10.147086065691962</v>
      </c>
      <c r="E365" s="385">
        <f t="shared" si="145"/>
        <v>10.936263380151564</v>
      </c>
      <c r="F365" s="385">
        <f t="shared" si="124"/>
        <v>10.937634142717942</v>
      </c>
      <c r="G365" s="110">
        <f t="shared" si="146"/>
        <v>0.57427659867268754</v>
      </c>
      <c r="H365" s="414" t="b">
        <f>Wh_hp&gt;='2018'!Maxi_hp</f>
        <v>0</v>
      </c>
      <c r="I365" s="390">
        <f>IF(H365,Wh_hp,'2018'!Maxi_hp)</f>
        <v>14.903195959899517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1.1637436100125353E-2</v>
      </c>
      <c r="M365" s="844"/>
      <c r="N365" s="844"/>
      <c r="O365" s="48">
        <f>IF(t&lt;Tnet,'2018'!Resal+('2018'!Salim-'2018'!Resal)*(1-EXP(('2018'!Tnet-t)/('2018'!Tau_j))),Resal+(Salim-Resal)*(1-EXP((Tnet-t)/(Tau_j))))*Salcycl</f>
        <v>7.216151321774994E-2</v>
      </c>
      <c r="P365" s="169">
        <f>(INDEX(Models!$BJ365:$BT365,,T365)*(1-R365)+INDEX(Models!$BJ365:$BT365,,T365+1)*R365-ERP_i)*Q365*Ramure*Pc/MaxiM</f>
        <v>3.1972113051957624E-4</v>
      </c>
      <c r="Q365" s="305">
        <f t="shared" si="126"/>
        <v>0.7</v>
      </c>
      <c r="R365" s="177">
        <f t="shared" si="127"/>
        <v>0.19925968343302092</v>
      </c>
      <c r="S365" s="810">
        <f t="shared" si="128"/>
        <v>-1</v>
      </c>
      <c r="T365" s="176">
        <f t="shared" si="129"/>
        <v>5</v>
      </c>
      <c r="U365" s="251">
        <f t="shared" si="130"/>
        <v>-0.80074031656697908</v>
      </c>
      <c r="V365" s="383">
        <f t="shared" si="131"/>
        <v>17.460314739080559</v>
      </c>
      <c r="W365" s="58"/>
      <c r="X365" s="157">
        <f t="shared" si="132"/>
        <v>43816</v>
      </c>
      <c r="Y365" s="385">
        <f t="shared" si="133"/>
        <v>10.029</v>
      </c>
      <c r="Z365" s="385">
        <f t="shared" si="134"/>
        <v>10.147086065691962</v>
      </c>
      <c r="AA365" s="386">
        <f t="shared" si="135"/>
        <v>10.936263380151564</v>
      </c>
      <c r="AB365" s="197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7.216151321774994E-2</v>
      </c>
      <c r="AD365" s="231">
        <f>(INDEX(Models!$BJ365:$BT365,,AH365)*(1-AF365)+INDEX(Models!$BJ365:$BT365,,AH365+1)*AF365-ERP_i)*AE365*Ramure*Pc/MaxiM</f>
        <v>3.1972113051957624E-4</v>
      </c>
      <c r="AE365" s="305">
        <f t="shared" si="137"/>
        <v>0.7</v>
      </c>
      <c r="AF365" s="177">
        <f t="shared" si="138"/>
        <v>0.19925968343302092</v>
      </c>
      <c r="AG365" s="176">
        <f t="shared" si="139"/>
        <v>-1</v>
      </c>
      <c r="AH365" s="176">
        <f t="shared" si="140"/>
        <v>5</v>
      </c>
      <c r="AI365" s="225">
        <f t="shared" si="141"/>
        <v>-0.80074031656697908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6">
        <v>14.544</v>
      </c>
      <c r="C366" s="390"/>
      <c r="D366" s="393">
        <f t="shared" si="123"/>
        <v>14.715590208733833</v>
      </c>
      <c r="E366" s="385">
        <f t="shared" si="145"/>
        <v>15.86176388652005</v>
      </c>
      <c r="F366" s="385">
        <f t="shared" si="124"/>
        <v>15.865601395805921</v>
      </c>
      <c r="G366" s="110">
        <f t="shared" si="146"/>
        <v>0.8321664281389598</v>
      </c>
      <c r="H366" s="414" t="b">
        <f>Wh_hp&gt;='2018'!Maxi_hp</f>
        <v>1</v>
      </c>
      <c r="I366" s="390">
        <f>IF(H366,Wh_hp,'2018'!Maxi_hp)</f>
        <v>15.865601395805921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1.1660436740892122E-2</v>
      </c>
      <c r="M366" s="844"/>
      <c r="N366" s="844"/>
      <c r="O366" s="48">
        <f>IF(t&lt;Tnet,'2018'!Resal+('2018'!Salim-'2018'!Resal)*(1-EXP(('2018'!Tnet-t)/('2018'!Tau_j))),Resal+(Salim-Resal)*(1-EXP((Tnet-t)/(Tau_j))))*Salcycl</f>
        <v>7.2260165135876242E-2</v>
      </c>
      <c r="P366" s="169">
        <f>(INDEX(Models!$BJ366:$BT366,,T366)*(1-R366)+INDEX(Models!$BJ366:$BT366,,T366+1)*R366-ERP_i)*Q366*Ramure*Pc/MaxiM</f>
        <v>3.1812051317266948E-4</v>
      </c>
      <c r="Q366" s="305">
        <f t="shared" si="126"/>
        <v>0.7</v>
      </c>
      <c r="R366" s="177">
        <f t="shared" si="127"/>
        <v>0.19926623432875634</v>
      </c>
      <c r="S366" s="810">
        <f t="shared" si="128"/>
        <v>-1</v>
      </c>
      <c r="T366" s="176">
        <f t="shared" si="129"/>
        <v>5</v>
      </c>
      <c r="U366" s="251">
        <f t="shared" si="130"/>
        <v>-0.80073376567124366</v>
      </c>
      <c r="V366" s="383">
        <f t="shared" si="131"/>
        <v>17.475940317654061</v>
      </c>
      <c r="W366" s="58"/>
      <c r="X366" s="157">
        <f t="shared" si="132"/>
        <v>43817</v>
      </c>
      <c r="Y366" s="385">
        <f t="shared" si="133"/>
        <v>14.544</v>
      </c>
      <c r="Z366" s="385">
        <f t="shared" si="134"/>
        <v>14.715590208733833</v>
      </c>
      <c r="AA366" s="386">
        <f t="shared" si="135"/>
        <v>15.86176388652005</v>
      </c>
      <c r="AB366" s="197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7.2260165135876242E-2</v>
      </c>
      <c r="AD366" s="231">
        <f>(INDEX(Models!$BJ366:$BT366,,AH366)*(1-AF366)+INDEX(Models!$BJ366:$BT366,,AH366+1)*AF366-ERP_i)*AE366*Ramure*Pc/MaxiM</f>
        <v>3.1812051317266948E-4</v>
      </c>
      <c r="AE366" s="305">
        <f t="shared" si="137"/>
        <v>0.7</v>
      </c>
      <c r="AF366" s="177">
        <f t="shared" si="138"/>
        <v>0.19926623432875634</v>
      </c>
      <c r="AG366" s="176">
        <f t="shared" si="139"/>
        <v>-1</v>
      </c>
      <c r="AH366" s="176">
        <f t="shared" si="140"/>
        <v>5</v>
      </c>
      <c r="AI366" s="225">
        <f t="shared" si="141"/>
        <v>-0.80073376567124366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6">
        <v>8.2850000000000001</v>
      </c>
      <c r="C367" s="390"/>
      <c r="D367" s="393">
        <f t="shared" si="123"/>
        <v>8.382941568401483</v>
      </c>
      <c r="E367" s="385">
        <f t="shared" si="145"/>
        <v>9.0368414540077158</v>
      </c>
      <c r="F367" s="385">
        <f t="shared" si="124"/>
        <v>9.037550732256042</v>
      </c>
      <c r="G367" s="110">
        <f t="shared" si="146"/>
        <v>0.47336324357814835</v>
      </c>
      <c r="H367" s="414" t="b">
        <f>Wh_hp&gt;='2018'!Maxi_hp</f>
        <v>0</v>
      </c>
      <c r="I367" s="390">
        <f>IF(H367,Wh_hp,'2018'!Maxi_hp)</f>
        <v>17.161974278687861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1.1683436846400275E-2</v>
      </c>
      <c r="M367" s="844"/>
      <c r="N367" s="844"/>
      <c r="O367" s="48">
        <f>IF(t&lt;Tnet,'2018'!Resal+('2018'!Salim-'2018'!Resal)*(1-EXP(('2018'!Tnet-t)/('2018'!Tau_j))),Resal+(Salim-Resal)*(1-EXP((Tnet-t)/(Tau_j))))*Salcycl</f>
        <v>7.2359340255575361E-2</v>
      </c>
      <c r="P367" s="169">
        <f>(INDEX(Models!$BJ367:$BT367,,T367)*(1-R367)+INDEX(Models!$BJ367:$BT367,,T367+1)*R367-ERP_i)*Q367*Ramure*Pc/MaxiM</f>
        <v>3.1668277767474788E-4</v>
      </c>
      <c r="Q367" s="305">
        <f t="shared" si="126"/>
        <v>0.7</v>
      </c>
      <c r="R367" s="177">
        <f t="shared" si="127"/>
        <v>0.19927252166792941</v>
      </c>
      <c r="S367" s="810">
        <f t="shared" si="128"/>
        <v>-1</v>
      </c>
      <c r="T367" s="176">
        <f t="shared" si="129"/>
        <v>5</v>
      </c>
      <c r="U367" s="251">
        <f t="shared" si="130"/>
        <v>-0.80072747833207059</v>
      </c>
      <c r="V367" s="383">
        <f t="shared" si="131"/>
        <v>17.498245708326337</v>
      </c>
      <c r="W367" s="58"/>
      <c r="X367" s="157">
        <f t="shared" si="132"/>
        <v>43818</v>
      </c>
      <c r="Y367" s="385">
        <f t="shared" si="133"/>
        <v>8.2850000000000001</v>
      </c>
      <c r="Z367" s="385">
        <f t="shared" si="134"/>
        <v>8.382941568401483</v>
      </c>
      <c r="AA367" s="386">
        <f t="shared" si="135"/>
        <v>9.0368414540077158</v>
      </c>
      <c r="AB367" s="197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7.2359340255575361E-2</v>
      </c>
      <c r="AD367" s="231">
        <f>(INDEX(Models!$BJ367:$BT367,,AH367)*(1-AF367)+INDEX(Models!$BJ367:$BT367,,AH367+1)*AF367-ERP_i)*AE367*Ramure*Pc/MaxiM</f>
        <v>3.1668277767474788E-4</v>
      </c>
      <c r="AE367" s="305">
        <f t="shared" si="137"/>
        <v>0.7</v>
      </c>
      <c r="AF367" s="177">
        <f t="shared" si="138"/>
        <v>0.19927252166792941</v>
      </c>
      <c r="AG367" s="176">
        <f t="shared" si="139"/>
        <v>-1</v>
      </c>
      <c r="AH367" s="176">
        <f t="shared" si="140"/>
        <v>5</v>
      </c>
      <c r="AI367" s="225">
        <f t="shared" si="141"/>
        <v>-0.80072747833207059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6">
        <v>7.718</v>
      </c>
      <c r="C368" s="390"/>
      <c r="D368" s="393">
        <f t="shared" si="123"/>
        <v>7.8094204843510369</v>
      </c>
      <c r="E368" s="385">
        <f t="shared" si="145"/>
        <v>8.4194881497636569</v>
      </c>
      <c r="F368" s="385">
        <f t="shared" si="124"/>
        <v>8.420020717264002</v>
      </c>
      <c r="G368" s="110">
        <f t="shared" si="146"/>
        <v>0.44025590625261729</v>
      </c>
      <c r="H368" s="414" t="b">
        <f>Wh_hp&gt;='2018'!Maxi_hp</f>
        <v>0</v>
      </c>
      <c r="I368" s="390">
        <f>IF(H368,Wh_hp,'2018'!Maxi_hp)</f>
        <v>9.1084056250579977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1.1706436416662469E-2</v>
      </c>
      <c r="M368" s="844"/>
      <c r="N368" s="844"/>
      <c r="O368" s="48">
        <f>IF(t&lt;Tnet,'2018'!Resal+('2018'!Salim-'2018'!Resal)*(1-EXP(('2018'!Tnet-t)/('2018'!Tau_j))),Resal+(Salim-Resal)*(1-EXP((Tnet-t)/(Tau_j))))*Salcycl</f>
        <v>7.2458996860723018E-2</v>
      </c>
      <c r="P368" s="169">
        <f>(INDEX(Models!$BJ368:$BT368,,T368)*(1-R368)+INDEX(Models!$BJ368:$BT368,,T368+1)*R368-ERP_i)*Q368*Ramure*Pc/MaxiM</f>
        <v>3.1542393031166251E-4</v>
      </c>
      <c r="Q368" s="305">
        <f t="shared" si="126"/>
        <v>0.7</v>
      </c>
      <c r="R368" s="177">
        <f t="shared" si="127"/>
        <v>0.19927855604620004</v>
      </c>
      <c r="S368" s="810">
        <f t="shared" si="128"/>
        <v>-1</v>
      </c>
      <c r="T368" s="176">
        <f t="shared" si="129"/>
        <v>5</v>
      </c>
      <c r="U368" s="251">
        <f t="shared" si="130"/>
        <v>-0.80072144395379996</v>
      </c>
      <c r="V368" s="383">
        <f t="shared" si="131"/>
        <v>17.52629207240907</v>
      </c>
      <c r="W368" s="58"/>
      <c r="X368" s="157">
        <f t="shared" si="132"/>
        <v>43819</v>
      </c>
      <c r="Y368" s="385">
        <f t="shared" si="133"/>
        <v>7.7180000000000009</v>
      </c>
      <c r="Z368" s="385">
        <f t="shared" si="134"/>
        <v>7.8094204843510378</v>
      </c>
      <c r="AA368" s="386">
        <f t="shared" si="135"/>
        <v>8.4194881497636569</v>
      </c>
      <c r="AB368" s="197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7.2458996860723018E-2</v>
      </c>
      <c r="AD368" s="231">
        <f>(INDEX(Models!$BJ368:$BT368,,AH368)*(1-AF368)+INDEX(Models!$BJ368:$BT368,,AH368+1)*AF368-ERP_i)*AE368*Ramure*Pc/MaxiM</f>
        <v>3.1542393031166251E-4</v>
      </c>
      <c r="AE368" s="305">
        <f t="shared" si="137"/>
        <v>0.7</v>
      </c>
      <c r="AF368" s="177">
        <f t="shared" si="138"/>
        <v>0.19927855604620004</v>
      </c>
      <c r="AG368" s="176">
        <f t="shared" si="139"/>
        <v>-1</v>
      </c>
      <c r="AH368" s="176">
        <f t="shared" si="140"/>
        <v>5</v>
      </c>
      <c r="AI368" s="225">
        <f t="shared" si="141"/>
        <v>-0.80072144395379996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6">
        <v>13.731</v>
      </c>
      <c r="C369" s="390"/>
      <c r="D369" s="393">
        <f t="shared" si="123"/>
        <v>13.893968405581099</v>
      </c>
      <c r="E369" s="385">
        <f t="shared" si="145"/>
        <v>14.980974327305054</v>
      </c>
      <c r="F369" s="385">
        <f t="shared" si="124"/>
        <v>14.984217699680633</v>
      </c>
      <c r="G369" s="110">
        <f t="shared" si="146"/>
        <v>0.78190928157516471</v>
      </c>
      <c r="H369" s="414" t="b">
        <f>Wh_hp&gt;='2018'!Maxi_hp</f>
        <v>1</v>
      </c>
      <c r="I369" s="390">
        <f>IF(H369,Wh_hp,'2018'!Maxi_hp)</f>
        <v>14.984217699680633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1.1729435451691028E-2</v>
      </c>
      <c r="M369" s="844"/>
      <c r="N369" s="844"/>
      <c r="O369" s="48">
        <f>IF(t&lt;Tnet,'2018'!Resal+('2018'!Salim-'2018'!Resal)*(1-EXP(('2018'!Tnet-t)/('2018'!Tau_j))),Resal+(Salim-Resal)*(1-EXP((Tnet-t)/(Tau_j))))*Salcycl</f>
        <v>7.2559093819600559E-2</v>
      </c>
      <c r="P369" s="169">
        <f>(INDEX(Models!$BJ369:$BT369,,T369)*(1-R369)+INDEX(Models!$BJ369:$BT369,,T369+1)*R369-ERP_i)*Q369*Ramure*Pc/MaxiM</f>
        <v>3.1435942219425038E-4</v>
      </c>
      <c r="Q369" s="305">
        <f t="shared" si="126"/>
        <v>0.7</v>
      </c>
      <c r="R369" s="177">
        <f t="shared" si="127"/>
        <v>0.1992843476338696</v>
      </c>
      <c r="S369" s="810">
        <f t="shared" si="128"/>
        <v>-1</v>
      </c>
      <c r="T369" s="176">
        <f t="shared" si="129"/>
        <v>5</v>
      </c>
      <c r="U369" s="251">
        <f t="shared" si="130"/>
        <v>-0.8007156523661304</v>
      </c>
      <c r="V369" s="383">
        <f t="shared" si="131"/>
        <v>17.559141032640845</v>
      </c>
      <c r="W369" s="58"/>
      <c r="X369" s="157">
        <f t="shared" si="132"/>
        <v>43820</v>
      </c>
      <c r="Y369" s="385">
        <f t="shared" si="133"/>
        <v>13.731</v>
      </c>
      <c r="Z369" s="385">
        <f t="shared" si="134"/>
        <v>13.893968405581099</v>
      </c>
      <c r="AA369" s="386">
        <f t="shared" si="135"/>
        <v>14.980974327305054</v>
      </c>
      <c r="AB369" s="197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7.2559093819600559E-2</v>
      </c>
      <c r="AD369" s="231">
        <f>(INDEX(Models!$BJ369:$BT369,,AH369)*(1-AF369)+INDEX(Models!$BJ369:$BT369,,AH369+1)*AF369-ERP_i)*AE369*Ramure*Pc/MaxiM</f>
        <v>3.1435942219425038E-4</v>
      </c>
      <c r="AE369" s="305">
        <f t="shared" si="137"/>
        <v>0.7</v>
      </c>
      <c r="AF369" s="177">
        <f t="shared" si="138"/>
        <v>0.1992843476338696</v>
      </c>
      <c r="AG369" s="176">
        <f t="shared" si="139"/>
        <v>-1</v>
      </c>
      <c r="AH369" s="176">
        <f t="shared" si="140"/>
        <v>5</v>
      </c>
      <c r="AI369" s="225">
        <f t="shared" si="141"/>
        <v>-0.8007156523661304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6">
        <v>5.6050000000000004</v>
      </c>
      <c r="C370" s="390"/>
      <c r="D370" s="393">
        <f t="shared" si="123"/>
        <v>5.6716557597116468</v>
      </c>
      <c r="E370" s="385">
        <f t="shared" si="145"/>
        <v>6.1160450936581734</v>
      </c>
      <c r="F370" s="385">
        <f t="shared" si="124"/>
        <v>6.1160958805047541</v>
      </c>
      <c r="G370" s="110">
        <f t="shared" si="146"/>
        <v>0.31844371527411575</v>
      </c>
      <c r="H370" s="414" t="b">
        <f>Wh_hp&gt;='2018'!Maxi_hp</f>
        <v>0</v>
      </c>
      <c r="I370" s="390">
        <f>IF(H370,Wh_hp,'2018'!Maxi_hp)</f>
        <v>6.2536803182998053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1.1752433951498387E-2</v>
      </c>
      <c r="M370" s="844"/>
      <c r="N370" s="844"/>
      <c r="O370" s="48">
        <f>IF(t&lt;Tnet,'2018'!Resal+('2018'!Salim-'2018'!Resal)*(1-EXP(('2018'!Tnet-t)/('2018'!Tau_j))),Resal+(Salim-Resal)*(1-EXP((Tnet-t)/(Tau_j))))*Salcycl</f>
        <v>7.2659590820761122E-2</v>
      </c>
      <c r="P370" s="169">
        <f>(INDEX(Models!$BJ370:$BT370,,T370)*(1-R370)+INDEX(Models!$BJ370:$BT370,,T370+1)*R370-ERP_i)*Q370*Ramure*Pc/MaxiM</f>
        <v>3.1350420730309693E-4</v>
      </c>
      <c r="Q370" s="305">
        <f t="shared" si="126"/>
        <v>0.7</v>
      </c>
      <c r="R370" s="177">
        <f t="shared" si="127"/>
        <v>0.19928990619290743</v>
      </c>
      <c r="S370" s="810">
        <f t="shared" si="128"/>
        <v>-1</v>
      </c>
      <c r="T370" s="176">
        <f t="shared" si="129"/>
        <v>5</v>
      </c>
      <c r="U370" s="251">
        <f t="shared" si="130"/>
        <v>-0.80071009380709257</v>
      </c>
      <c r="V370" s="383">
        <f t="shared" si="131"/>
        <v>17.595854679366397</v>
      </c>
      <c r="W370" s="58"/>
      <c r="X370" s="157">
        <f t="shared" si="132"/>
        <v>43821</v>
      </c>
      <c r="Y370" s="385">
        <f t="shared" si="133"/>
        <v>5.6050000000000004</v>
      </c>
      <c r="Z370" s="385">
        <f t="shared" si="134"/>
        <v>5.6716557597116468</v>
      </c>
      <c r="AA370" s="386">
        <f t="shared" si="135"/>
        <v>6.1160450936581734</v>
      </c>
      <c r="AB370" s="197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7.2659590820761122E-2</v>
      </c>
      <c r="AD370" s="231">
        <f>(INDEX(Models!$BJ370:$BT370,,AH370)*(1-AF370)+INDEX(Models!$BJ370:$BT370,,AH370+1)*AF370-ERP_i)*AE370*Ramure*Pc/MaxiM</f>
        <v>3.1350420730309693E-4</v>
      </c>
      <c r="AE370" s="305">
        <f t="shared" si="137"/>
        <v>0.7</v>
      </c>
      <c r="AF370" s="177">
        <f t="shared" si="138"/>
        <v>0.19928990619290743</v>
      </c>
      <c r="AG370" s="176">
        <f t="shared" si="139"/>
        <v>-1</v>
      </c>
      <c r="AH370" s="176">
        <f t="shared" si="140"/>
        <v>5</v>
      </c>
      <c r="AI370" s="225">
        <f t="shared" si="141"/>
        <v>-0.80071009380709257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6">
        <v>5.35</v>
      </c>
      <c r="C371" s="390"/>
      <c r="D371" s="393">
        <f t="shared" si="123"/>
        <v>5.4137492355338512</v>
      </c>
      <c r="E371" s="385">
        <f t="shared" si="145"/>
        <v>5.8385659103126351</v>
      </c>
      <c r="F371" s="385">
        <f t="shared" si="124"/>
        <v>5.8385746927570361</v>
      </c>
      <c r="G371" s="110">
        <f t="shared" si="146"/>
        <v>0.30327098868490093</v>
      </c>
      <c r="H371" s="414" t="b">
        <f>Wh_hp&gt;='2018'!Maxi_hp</f>
        <v>1</v>
      </c>
      <c r="I371" s="390">
        <f>IF(H371,Wh_hp,'2018'!Maxi_hp)</f>
        <v>5.8385746927570361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1.177543191609709E-2</v>
      </c>
      <c r="M371" s="844"/>
      <c r="N371" s="844"/>
      <c r="O371" s="48">
        <f>IF(t&lt;Tnet,'2018'!Resal+('2018'!Salim-'2018'!Resal)*(1-EXP(('2018'!Tnet-t)/('2018'!Tau_j))),Resal+(Salim-Resal)*(1-EXP((Tnet-t)/(Tau_j))))*Salcycl</f>
        <v>7.2760448593794477E-2</v>
      </c>
      <c r="P371" s="169">
        <f>(INDEX(Models!$BJ371:$BT371,,T371)*(1-R371)+INDEX(Models!$BJ371:$BT371,,T371+1)*R371-ERP_i)*Q371*Ramure*Pc/MaxiM</f>
        <v>3.1287000138455044E-4</v>
      </c>
      <c r="Q371" s="305">
        <f t="shared" si="126"/>
        <v>0.7</v>
      </c>
      <c r="R371" s="177">
        <f t="shared" si="127"/>
        <v>0.19928990619290743</v>
      </c>
      <c r="S371" s="810">
        <f t="shared" si="128"/>
        <v>-1</v>
      </c>
      <c r="T371" s="176">
        <f t="shared" si="129"/>
        <v>5</v>
      </c>
      <c r="U371" s="251">
        <f t="shared" si="130"/>
        <v>-0.80071009380709257</v>
      </c>
      <c r="V371" s="383">
        <f t="shared" si="131"/>
        <v>17.635495613031061</v>
      </c>
      <c r="W371" s="58"/>
      <c r="X371" s="157">
        <f t="shared" si="132"/>
        <v>43822</v>
      </c>
      <c r="Y371" s="385">
        <f t="shared" si="133"/>
        <v>5.35</v>
      </c>
      <c r="Z371" s="385">
        <f t="shared" si="134"/>
        <v>5.4137492355338512</v>
      </c>
      <c r="AA371" s="386">
        <f t="shared" si="135"/>
        <v>5.8385659103126351</v>
      </c>
      <c r="AB371" s="197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7.2760448593794477E-2</v>
      </c>
      <c r="AD371" s="231">
        <f>(INDEX(Models!$BJ371:$BT371,,AH371)*(1-AF371)+INDEX(Models!$BJ371:$BT371,,AH371+1)*AF371-ERP_i)*AE371*Ramure*Pc/MaxiM</f>
        <v>3.1287000138455044E-4</v>
      </c>
      <c r="AE371" s="305">
        <f t="shared" si="137"/>
        <v>0.7</v>
      </c>
      <c r="AF371" s="177">
        <f t="shared" si="138"/>
        <v>0.19928990619290743</v>
      </c>
      <c r="AG371" s="176">
        <f t="shared" si="139"/>
        <v>-1</v>
      </c>
      <c r="AH371" s="176">
        <f t="shared" si="140"/>
        <v>5</v>
      </c>
      <c r="AI371" s="225">
        <f t="shared" si="141"/>
        <v>-0.80071009380709257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6">
        <v>11.223000000000001</v>
      </c>
      <c r="C372" s="390"/>
      <c r="D372" s="393">
        <f t="shared" si="123"/>
        <v>11.356994699539733</v>
      </c>
      <c r="E372" s="385">
        <f t="shared" si="145"/>
        <v>12.24951426471681</v>
      </c>
      <c r="F372" s="385">
        <f t="shared" si="124"/>
        <v>12.251345730545204</v>
      </c>
      <c r="G372" s="110">
        <f t="shared" si="146"/>
        <v>0.63478475287798986</v>
      </c>
      <c r="H372" s="414" t="b">
        <f>Wh_hp&gt;='2018'!Maxi_hp</f>
        <v>1</v>
      </c>
      <c r="I372" s="390">
        <f>IF(H372,Wh_hp,'2018'!Maxi_hp)</f>
        <v>12.251345730545204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1.1798429345499573E-2</v>
      </c>
      <c r="M372" s="844"/>
      <c r="N372" s="844"/>
      <c r="O372" s="48">
        <f>IF(t&lt;Tnet,'2018'!Resal+('2018'!Salim-'2018'!Resal)*(1-EXP(('2018'!Tnet-t)/('2018'!Tau_j))),Resal+(Salim-Resal)*(1-EXP((Tnet-t)/(Tau_j))))*Salcycl</f>
        <v>7.2861629113561463E-2</v>
      </c>
      <c r="P372" s="169">
        <f>(INDEX(Models!$BJ372:$BT372,,T372)*(1-R372)+INDEX(Models!$BJ372:$BT372,,T372+1)*R372-ERP_i)*Q372*Ramure*Pc/MaxiM</f>
        <v>3.1247347846175585E-4</v>
      </c>
      <c r="Q372" s="305">
        <f t="shared" si="126"/>
        <v>0.7</v>
      </c>
      <c r="R372" s="177">
        <f t="shared" si="127"/>
        <v>0.19928990619290743</v>
      </c>
      <c r="S372" s="810">
        <f t="shared" si="128"/>
        <v>-1</v>
      </c>
      <c r="T372" s="176">
        <f t="shared" si="129"/>
        <v>5</v>
      </c>
      <c r="U372" s="251">
        <f t="shared" si="130"/>
        <v>-0.80071009380709257</v>
      </c>
      <c r="V372" s="383">
        <f t="shared" si="131"/>
        <v>17.677126810621715</v>
      </c>
      <c r="W372" s="58"/>
      <c r="X372" s="157">
        <f t="shared" si="132"/>
        <v>43823</v>
      </c>
      <c r="Y372" s="385">
        <f t="shared" si="133"/>
        <v>11.223000000000001</v>
      </c>
      <c r="Z372" s="385">
        <f t="shared" si="134"/>
        <v>11.356994699539733</v>
      </c>
      <c r="AA372" s="386">
        <f t="shared" si="135"/>
        <v>12.24951426471681</v>
      </c>
      <c r="AB372" s="197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7.2861629113561463E-2</v>
      </c>
      <c r="AD372" s="231">
        <f>(INDEX(Models!$BJ372:$BT372,,AH372)*(1-AF372)+INDEX(Models!$BJ372:$BT372,,AH372+1)*AF372-ERP_i)*AE372*Ramure*Pc/MaxiM</f>
        <v>3.1247347846175585E-4</v>
      </c>
      <c r="AE372" s="305">
        <f t="shared" si="137"/>
        <v>0.7</v>
      </c>
      <c r="AF372" s="177">
        <f t="shared" si="138"/>
        <v>0.19928990619290743</v>
      </c>
      <c r="AG372" s="176">
        <f t="shared" si="139"/>
        <v>-1</v>
      </c>
      <c r="AH372" s="176">
        <f t="shared" si="140"/>
        <v>5</v>
      </c>
      <c r="AI372" s="225">
        <f t="shared" si="141"/>
        <v>-0.80071009380709257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6">
        <v>9.984</v>
      </c>
      <c r="C373" s="390"/>
      <c r="D373" s="393">
        <f t="shared" si="123"/>
        <v>10.103437035684989</v>
      </c>
      <c r="E373" s="385">
        <f t="shared" si="145"/>
        <v>10.898635199704671</v>
      </c>
      <c r="F373" s="385">
        <f t="shared" si="124"/>
        <v>10.899916133940593</v>
      </c>
      <c r="G373" s="110">
        <f t="shared" si="146"/>
        <v>0.563292228935107</v>
      </c>
      <c r="H373" s="414" t="b">
        <f>Wh_hp&gt;='2018'!Maxi_hp</f>
        <v>0</v>
      </c>
      <c r="I373" s="390">
        <f>IF(H373,Wh_hp,'2018'!Maxi_hp)</f>
        <v>15.376095224212161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1.182142623971838E-2</v>
      </c>
      <c r="M373" s="844"/>
      <c r="N373" s="844"/>
      <c r="O373" s="48">
        <f>IF(t&lt;Tnet,'2018'!Resal+('2018'!Salim-'2018'!Resal)*(1-EXP(('2018'!Tnet-t)/('2018'!Tau_j))),Resal+(Salim-Resal)*(1-EXP((Tnet-t)/(Tau_j))))*Salcycl</f>
        <v>7.2963095786638552E-2</v>
      </c>
      <c r="P373" s="169">
        <f>(INDEX(Models!$BJ373:$BT373,,T373)*(1-R373)+INDEX(Models!$BJ373:$BT373,,T373+1)*R373-ERP_i)*Q373*Ramure*Pc/MaxiM</f>
        <v>3.1230768450416261E-4</v>
      </c>
      <c r="Q373" s="305">
        <f t="shared" si="126"/>
        <v>0.7</v>
      </c>
      <c r="R373" s="177">
        <f t="shared" si="127"/>
        <v>0.19928990619290743</v>
      </c>
      <c r="S373" s="810">
        <f t="shared" si="128"/>
        <v>-1</v>
      </c>
      <c r="T373" s="176">
        <f t="shared" si="129"/>
        <v>5</v>
      </c>
      <c r="U373" s="251">
        <f t="shared" si="130"/>
        <v>-0.80071009380709257</v>
      </c>
      <c r="V373" s="383">
        <f t="shared" si="131"/>
        <v>17.720917272649494</v>
      </c>
      <c r="W373" s="58"/>
      <c r="X373" s="157">
        <f t="shared" si="132"/>
        <v>43824</v>
      </c>
      <c r="Y373" s="385">
        <f t="shared" si="133"/>
        <v>9.984</v>
      </c>
      <c r="Z373" s="385">
        <f t="shared" si="134"/>
        <v>10.103437035684989</v>
      </c>
      <c r="AA373" s="386">
        <f t="shared" si="135"/>
        <v>10.898635199704671</v>
      </c>
      <c r="AB373" s="197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7.2963095786638552E-2</v>
      </c>
      <c r="AD373" s="231">
        <f>(INDEX(Models!$BJ373:$BT373,,AH373)*(1-AF373)+INDEX(Models!$BJ373:$BT373,,AH373+1)*AF373-ERP_i)*AE373*Ramure*Pc/MaxiM</f>
        <v>3.1230768450416261E-4</v>
      </c>
      <c r="AE373" s="305">
        <f t="shared" si="137"/>
        <v>0.7</v>
      </c>
      <c r="AF373" s="177">
        <f t="shared" si="138"/>
        <v>0.19928990619290743</v>
      </c>
      <c r="AG373" s="176">
        <f t="shared" si="139"/>
        <v>-1</v>
      </c>
      <c r="AH373" s="176">
        <f t="shared" si="140"/>
        <v>5</v>
      </c>
      <c r="AI373" s="225">
        <f t="shared" si="141"/>
        <v>-0.80071009380709257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6">
        <v>7.141</v>
      </c>
      <c r="C374" s="390"/>
      <c r="D374" s="393">
        <f t="shared" si="123"/>
        <v>7.2265948432737961</v>
      </c>
      <c r="E374" s="385">
        <f t="shared" si="145"/>
        <v>7.7962245359219624</v>
      </c>
      <c r="F374" s="385">
        <f t="shared" si="124"/>
        <v>7.7965790457544077</v>
      </c>
      <c r="G374" s="110">
        <f t="shared" si="146"/>
        <v>0.40179473827852508</v>
      </c>
      <c r="H374" s="414" t="b">
        <f>Wh_hp&gt;='2018'!Maxi_hp</f>
        <v>0</v>
      </c>
      <c r="I374" s="390">
        <f>IF(H374,Wh_hp,'2018'!Maxi_hp)</f>
        <v>17.449780292795875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1.1844422598765725E-2</v>
      </c>
      <c r="M374" s="844"/>
      <c r="N374" s="844"/>
      <c r="O374" s="48">
        <f>IF(t&lt;Tnet,'2018'!Resal+('2018'!Salim-'2018'!Resal)*(1-EXP(('2018'!Tnet-t)/('2018'!Tau_j))),Resal+(Salim-Resal)*(1-EXP((Tnet-t)/(Tau_j))))*Salcycl</f>
        <v>7.3064813618891333E-2</v>
      </c>
      <c r="P374" s="169">
        <f>(INDEX(Models!$BJ374:$BT374,,T374)*(1-R374)+INDEX(Models!$BJ374:$BT374,,T374+1)*R374-ERP_i)*Q374*Ramure*Pc/MaxiM</f>
        <v>3.1234856952641133E-4</v>
      </c>
      <c r="Q374" s="305">
        <f t="shared" si="126"/>
        <v>0.7</v>
      </c>
      <c r="R374" s="177">
        <f t="shared" si="127"/>
        <v>0.19928990619290743</v>
      </c>
      <c r="S374" s="810">
        <f t="shared" si="128"/>
        <v>-1</v>
      </c>
      <c r="T374" s="176">
        <f t="shared" si="129"/>
        <v>5</v>
      </c>
      <c r="U374" s="251">
        <f t="shared" si="130"/>
        <v>-0.80071009380709257</v>
      </c>
      <c r="V374" s="383">
        <f t="shared" si="131"/>
        <v>17.768012999616847</v>
      </c>
      <c r="W374" s="58"/>
      <c r="X374" s="157">
        <f t="shared" si="132"/>
        <v>43825</v>
      </c>
      <c r="Y374" s="385">
        <f t="shared" si="133"/>
        <v>7.141</v>
      </c>
      <c r="Z374" s="385">
        <f t="shared" si="134"/>
        <v>7.2265948432737961</v>
      </c>
      <c r="AA374" s="386">
        <f t="shared" si="135"/>
        <v>7.7962245359219624</v>
      </c>
      <c r="AB374" s="197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7.3064813618891333E-2</v>
      </c>
      <c r="AD374" s="231">
        <f>(INDEX(Models!$BJ374:$BT374,,AH374)*(1-AF374)+INDEX(Models!$BJ374:$BT374,,AH374+1)*AF374-ERP_i)*AE374*Ramure*Pc/MaxiM</f>
        <v>3.1234856952641133E-4</v>
      </c>
      <c r="AE374" s="305">
        <f t="shared" si="137"/>
        <v>0.7</v>
      </c>
      <c r="AF374" s="177">
        <f t="shared" si="138"/>
        <v>0.19928990619290743</v>
      </c>
      <c r="AG374" s="176">
        <f t="shared" si="139"/>
        <v>-1</v>
      </c>
      <c r="AH374" s="176">
        <f t="shared" si="140"/>
        <v>5</v>
      </c>
      <c r="AI374" s="225">
        <f t="shared" si="141"/>
        <v>-0.80071009380709257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6">
        <v>15.382999999999999</v>
      </c>
      <c r="C375" s="390"/>
      <c r="D375" s="393">
        <f t="shared" si="123"/>
        <v>15.567748991177153</v>
      </c>
      <c r="E375" s="385">
        <f t="shared" si="145"/>
        <v>16.796709635182349</v>
      </c>
      <c r="F375" s="385">
        <f t="shared" si="124"/>
        <v>16.800940322434052</v>
      </c>
      <c r="G375" s="110">
        <f t="shared" si="146"/>
        <v>0.8632422940670148</v>
      </c>
      <c r="H375" s="414" t="b">
        <f>Wh_hp&gt;='2018'!Maxi_hp</f>
        <v>0</v>
      </c>
      <c r="I375" s="390">
        <f>IF(H375,Wh_hp,'2018'!Maxi_hp)</f>
        <v>18.041116002865003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1.1867418422654263E-2</v>
      </c>
      <c r="M375" s="844"/>
      <c r="N375" s="844"/>
      <c r="O375" s="48">
        <f>IF(t&lt;Tnet,'2018'!Resal+('2018'!Salim-'2018'!Resal)*(1-EXP(('2018'!Tnet-t)/('2018'!Tau_j))),Resal+(Salim-Resal)*(1-EXP((Tnet-t)/(Tau_j))))*Salcycl</f>
        <v>7.3166749363281186E-2</v>
      </c>
      <c r="P375" s="169">
        <f>(INDEX(Models!$BJ375:$BT375,,T375)*(1-R375)+INDEX(Models!$BJ375:$BT375,,T375+1)*R375-ERP_i)*Q375*Ramure*Pc/MaxiM</f>
        <v>3.1292439863382876E-4</v>
      </c>
      <c r="Q375" s="305">
        <f t="shared" si="126"/>
        <v>0.7</v>
      </c>
      <c r="R375" s="177">
        <f t="shared" si="127"/>
        <v>0.19928990619290743</v>
      </c>
      <c r="S375" s="810">
        <f t="shared" si="128"/>
        <v>-1</v>
      </c>
      <c r="T375" s="176">
        <f t="shared" si="129"/>
        <v>5</v>
      </c>
      <c r="U375" s="251">
        <f t="shared" si="130"/>
        <v>-0.80071009380709257</v>
      </c>
      <c r="V375" s="383">
        <f t="shared" si="131"/>
        <v>17.818936566275351</v>
      </c>
      <c r="W375" s="58"/>
      <c r="X375" s="157">
        <f t="shared" si="132"/>
        <v>43826</v>
      </c>
      <c r="Y375" s="385">
        <f t="shared" si="133"/>
        <v>15.382999999999999</v>
      </c>
      <c r="Z375" s="385">
        <f t="shared" si="134"/>
        <v>15.567748991177153</v>
      </c>
      <c r="AA375" s="386">
        <f t="shared" si="135"/>
        <v>16.796709635182349</v>
      </c>
      <c r="AB375" s="197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7.3166749363281186E-2</v>
      </c>
      <c r="AD375" s="231">
        <f>(INDEX(Models!$BJ375:$BT375,,AH375)*(1-AF375)+INDEX(Models!$BJ375:$BT375,,AH375+1)*AF375-ERP_i)*AE375*Ramure*Pc/MaxiM</f>
        <v>3.1292439863382876E-4</v>
      </c>
      <c r="AE375" s="305">
        <f t="shared" si="137"/>
        <v>0.7</v>
      </c>
      <c r="AF375" s="177">
        <f t="shared" si="138"/>
        <v>0.19928990619290743</v>
      </c>
      <c r="AG375" s="176">
        <f t="shared" si="139"/>
        <v>-1</v>
      </c>
      <c r="AH375" s="176">
        <f t="shared" si="140"/>
        <v>5</v>
      </c>
      <c r="AI375" s="225">
        <f t="shared" si="141"/>
        <v>-0.80071009380709257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6">
        <v>4.0910000000000002</v>
      </c>
      <c r="C376" s="390"/>
      <c r="D376" s="393">
        <f t="shared" si="123"/>
        <v>4.1402290360991545</v>
      </c>
      <c r="E376" s="385">
        <f t="shared" si="145"/>
        <v>4.4675622836346625</v>
      </c>
      <c r="F376" s="385">
        <f t="shared" si="124"/>
        <v>4.4675622836346625</v>
      </c>
      <c r="G376" s="110">
        <f t="shared" si="146"/>
        <v>0.22880529564910956</v>
      </c>
      <c r="H376" s="414" t="b">
        <f>Wh_hp&gt;='2018'!Maxi_hp</f>
        <v>1</v>
      </c>
      <c r="I376" s="390">
        <f>IF(H376,Wh_hp,'2018'!Maxi_hp)</f>
        <v>4.4675622836346625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1.1890413711396319E-2</v>
      </c>
      <c r="M376" s="844"/>
      <c r="N376" s="844"/>
      <c r="O376" s="48">
        <f>IF(t&lt;Tnet,'2018'!Resal+('2018'!Salim-'2018'!Resal)*(1-EXP(('2018'!Tnet-t)/('2018'!Tau_j))),Resal+(Salim-Resal)*(1-EXP((Tnet-t)/(Tau_j))))*Salcycl</f>
        <v>7.3268871647201708E-2</v>
      </c>
      <c r="P376" s="169">
        <f>(INDEX(Models!$BJ376:$BT376,,T376)*(1-R376)+INDEX(Models!$BJ376:$BT376,,T376+1)*R376-ERP_i)*Q376*Ramure*Pc/MaxiM</f>
        <v>3.1389828204622113E-4</v>
      </c>
      <c r="Q376" s="305">
        <f t="shared" si="126"/>
        <v>0.7</v>
      </c>
      <c r="R376" s="177">
        <f t="shared" si="127"/>
        <v>0.19928990619290743</v>
      </c>
      <c r="S376" s="810">
        <f t="shared" si="128"/>
        <v>-1</v>
      </c>
      <c r="T376" s="176">
        <f t="shared" si="129"/>
        <v>5</v>
      </c>
      <c r="U376" s="251">
        <f t="shared" si="130"/>
        <v>-0.80071009380709257</v>
      </c>
      <c r="V376" s="383">
        <f t="shared" si="131"/>
        <v>17.874218472635533</v>
      </c>
      <c r="W376" s="58"/>
      <c r="X376" s="157">
        <f t="shared" si="132"/>
        <v>43827</v>
      </c>
      <c r="Y376" s="385">
        <f t="shared" si="133"/>
        <v>4.0910000000000002</v>
      </c>
      <c r="Z376" s="385">
        <f t="shared" si="134"/>
        <v>4.1402290360991545</v>
      </c>
      <c r="AA376" s="386">
        <f t="shared" si="135"/>
        <v>4.4675622836346625</v>
      </c>
      <c r="AB376" s="197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7.3268871647201708E-2</v>
      </c>
      <c r="AD376" s="231">
        <f>(INDEX(Models!$BJ376:$BT376,,AH376)*(1-AF376)+INDEX(Models!$BJ376:$BT376,,AH376+1)*AF376-ERP_i)*AE376*Ramure*Pc/MaxiM</f>
        <v>3.1389828204622113E-4</v>
      </c>
      <c r="AE376" s="305">
        <f t="shared" si="137"/>
        <v>0.7</v>
      </c>
      <c r="AF376" s="177">
        <f t="shared" si="138"/>
        <v>0.19928990619290743</v>
      </c>
      <c r="AG376" s="176">
        <f t="shared" si="139"/>
        <v>-1</v>
      </c>
      <c r="AH376" s="176">
        <f t="shared" si="140"/>
        <v>5</v>
      </c>
      <c r="AI376" s="225">
        <f t="shared" si="141"/>
        <v>-0.80071009380709257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6">
        <v>18.736999999999998</v>
      </c>
      <c r="C377" s="390"/>
      <c r="D377" s="393">
        <f t="shared" si="123"/>
        <v>18.962912927390313</v>
      </c>
      <c r="E377" s="385">
        <f t="shared" si="145"/>
        <v>20.464410264657825</v>
      </c>
      <c r="F377" s="385">
        <f t="shared" si="124"/>
        <v>20.470863800267029</v>
      </c>
      <c r="G377" s="110">
        <f t="shared" si="146"/>
        <v>1.0447527574692459</v>
      </c>
      <c r="H377" s="414" t="b">
        <f>Wh_hp&gt;='2018'!Maxi_hp</f>
        <v>1</v>
      </c>
      <c r="I377" s="390">
        <f>IF(H377,Wh_hp,'2018'!Maxi_hp)</f>
        <v>20.470863800267029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1.1913408465004438E-2</v>
      </c>
      <c r="M377" s="844"/>
      <c r="N377" s="844"/>
      <c r="O377" s="48">
        <f>IF(t&lt;Tnet,'2018'!Resal+('2018'!Salim-'2018'!Resal)*(1-EXP(('2018'!Tnet-t)/('2018'!Tau_j))),Resal+(Salim-Resal)*(1-EXP((Tnet-t)/(Tau_j))))*Salcycl</f>
        <v>7.3371151078836988E-2</v>
      </c>
      <c r="P377" s="169">
        <f>(INDEX(Models!$BJ377:$BT377,,T377)*(1-R377)+INDEX(Models!$BJ377:$BT377,,T377+1)*R377-ERP_i)*Q377*Ramure*Pc/MaxiM</f>
        <v>3.1525467963495416E-4</v>
      </c>
      <c r="Q377" s="305">
        <f t="shared" si="126"/>
        <v>0.7</v>
      </c>
      <c r="R377" s="177">
        <f t="shared" si="127"/>
        <v>0.19928990619290743</v>
      </c>
      <c r="S377" s="810">
        <f t="shared" si="128"/>
        <v>-1</v>
      </c>
      <c r="T377" s="176">
        <f t="shared" si="129"/>
        <v>5</v>
      </c>
      <c r="U377" s="251">
        <f t="shared" si="130"/>
        <v>-0.80071009380709257</v>
      </c>
      <c r="V377" s="383">
        <f t="shared" si="131"/>
        <v>17.934386739870899</v>
      </c>
      <c r="W377" s="58"/>
      <c r="X377" s="157">
        <f t="shared" si="132"/>
        <v>43828</v>
      </c>
      <c r="Y377" s="385">
        <f t="shared" si="133"/>
        <v>18.736999999999998</v>
      </c>
      <c r="Z377" s="385">
        <f t="shared" si="134"/>
        <v>18.962912927390313</v>
      </c>
      <c r="AA377" s="386">
        <f t="shared" si="135"/>
        <v>20.464410264657825</v>
      </c>
      <c r="AB377" s="197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7.3371151078836988E-2</v>
      </c>
      <c r="AD377" s="231">
        <f>(INDEX(Models!$BJ377:$BT377,,AH377)*(1-AF377)+INDEX(Models!$BJ377:$BT377,,AH377+1)*AF377-ERP_i)*AE377*Ramure*Pc/MaxiM</f>
        <v>3.1525467963495416E-4</v>
      </c>
      <c r="AE377" s="305">
        <f t="shared" si="137"/>
        <v>0.7</v>
      </c>
      <c r="AF377" s="177">
        <f t="shared" si="138"/>
        <v>0.19928990619290743</v>
      </c>
      <c r="AG377" s="176">
        <f t="shared" si="139"/>
        <v>-1</v>
      </c>
      <c r="AH377" s="176">
        <f t="shared" si="140"/>
        <v>5</v>
      </c>
      <c r="AI377" s="225">
        <f t="shared" si="141"/>
        <v>-0.80071009380709257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6">
        <v>17.282</v>
      </c>
      <c r="C378" s="390"/>
      <c r="D378" s="393">
        <f t="shared" si="123"/>
        <v>17.490776957005949</v>
      </c>
      <c r="E378" s="385">
        <f t="shared" si="145"/>
        <v>18.877795827691379</v>
      </c>
      <c r="F378" s="385">
        <f t="shared" si="124"/>
        <v>18.88344038484756</v>
      </c>
      <c r="G378" s="110">
        <f t="shared" si="146"/>
        <v>0.9600954145534083</v>
      </c>
      <c r="H378" s="414" t="b">
        <f>Wh_hp&gt;='2018'!Maxi_hp</f>
        <v>1</v>
      </c>
      <c r="I378" s="390">
        <f>IF(H378,Wh_hp,'2018'!Maxi_hp)</f>
        <v>18.88344038484756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1.1936402683491054E-2</v>
      </c>
      <c r="M378" s="844"/>
      <c r="N378" s="844"/>
      <c r="O378" s="48">
        <f>IF(t&lt;Tnet,'2018'!Resal+('2018'!Salim-'2018'!Resal)*(1-EXP(('2018'!Tnet-t)/('2018'!Tau_j))),Resal+(Salim-Resal)*(1-EXP((Tnet-t)/(Tau_j))))*Salcycl</f>
        <v>7.3473560332231541E-2</v>
      </c>
      <c r="P378" s="169">
        <f>(INDEX(Models!$BJ378:$BT378,,T378)*(1-R378)+INDEX(Models!$BJ378:$BT378,,T378+1)*R378-ERP_i)*Q378*Ramure*Pc/MaxiM</f>
        <v>3.1697766722438769E-4</v>
      </c>
      <c r="Q378" s="305">
        <f t="shared" si="126"/>
        <v>0.7</v>
      </c>
      <c r="R378" s="177">
        <f t="shared" si="127"/>
        <v>0.19928990619290743</v>
      </c>
      <c r="S378" s="810">
        <f t="shared" si="128"/>
        <v>-1</v>
      </c>
      <c r="T378" s="176">
        <f t="shared" si="129"/>
        <v>5</v>
      </c>
      <c r="U378" s="251">
        <f t="shared" si="130"/>
        <v>-0.80071009380709257</v>
      </c>
      <c r="V378" s="383">
        <f t="shared" si="131"/>
        <v>17.999969063608809</v>
      </c>
      <c r="W378" s="58"/>
      <c r="X378" s="157">
        <f t="shared" si="132"/>
        <v>43829</v>
      </c>
      <c r="Y378" s="385">
        <f t="shared" si="133"/>
        <v>17.282</v>
      </c>
      <c r="Z378" s="385">
        <f t="shared" si="134"/>
        <v>17.490776957005949</v>
      </c>
      <c r="AA378" s="386">
        <f t="shared" si="135"/>
        <v>18.877795827691379</v>
      </c>
      <c r="AB378" s="197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7.3473560332231541E-2</v>
      </c>
      <c r="AD378" s="231">
        <f>(INDEX(Models!$BJ378:$BT378,,AH378)*(1-AF378)+INDEX(Models!$BJ378:$BT378,,AH378+1)*AF378-ERP_i)*AE378*Ramure*Pc/MaxiM</f>
        <v>3.1697766722438769E-4</v>
      </c>
      <c r="AE378" s="305">
        <f t="shared" si="137"/>
        <v>0.7</v>
      </c>
      <c r="AF378" s="177">
        <f t="shared" si="138"/>
        <v>0.19928990619290743</v>
      </c>
      <c r="AG378" s="176">
        <f t="shared" si="139"/>
        <v>-1</v>
      </c>
      <c r="AH378" s="176">
        <f t="shared" si="140"/>
        <v>5</v>
      </c>
      <c r="AI378" s="225">
        <f t="shared" si="141"/>
        <v>-0.80071009380709257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6">
        <v>11.547000000000001</v>
      </c>
      <c r="C379" s="390"/>
      <c r="D379" s="393">
        <f t="shared" si="123"/>
        <v>11.68676667491239</v>
      </c>
      <c r="E379" s="385">
        <f t="shared" si="145"/>
        <v>12.614923200476179</v>
      </c>
      <c r="F379" s="385">
        <f t="shared" si="124"/>
        <v>12.616872438165586</v>
      </c>
      <c r="G379" s="110">
        <f t="shared" si="146"/>
        <v>0.63885699363656201</v>
      </c>
      <c r="H379" s="414" t="b">
        <f>Wh_hp&gt;='2018'!Maxi_hp</f>
        <v>1</v>
      </c>
      <c r="I379" s="390">
        <f>IF(H379,Wh_hp,'2018'!Maxi_hp)</f>
        <v>12.616872438165586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1.1959396366868713E-2</v>
      </c>
      <c r="M379" s="844"/>
      <c r="N379" s="844"/>
      <c r="O379" s="48">
        <f>IF(t&lt;Tnet,'2018'!Resal+('2018'!Salim-'2018'!Resal)*(1-EXP(('2018'!Tnet-t)/('2018'!Tau_j))),Resal+(Salim-Resal)*(1-EXP((Tnet-t)/(Tau_j))))*Salcycl</f>
        <v>7.3576074210959477E-2</v>
      </c>
      <c r="P379" s="169">
        <f>(INDEX(Models!$BJ379:$BT379,,T379)*(1-R379)+INDEX(Models!$BJ379:$BT379,,T379+1)*R379-ERP_i)*Q379*Ramure*Pc/MaxiM</f>
        <v>3.1905085707534736E-4</v>
      </c>
      <c r="Q379" s="306">
        <f t="shared" si="126"/>
        <v>0.7</v>
      </c>
      <c r="R379" s="177">
        <f t="shared" si="127"/>
        <v>0.19928990619290743</v>
      </c>
      <c r="S379" s="810">
        <f t="shared" si="128"/>
        <v>-1</v>
      </c>
      <c r="T379" s="176">
        <f t="shared" si="129"/>
        <v>5</v>
      </c>
      <c r="U379" s="307">
        <f t="shared" si="130"/>
        <v>-0.80071009380709257</v>
      </c>
      <c r="V379" s="383">
        <f t="shared" si="131"/>
        <v>18.071492821401669</v>
      </c>
      <c r="W379" s="58"/>
      <c r="X379" s="157">
        <f t="shared" si="132"/>
        <v>43830</v>
      </c>
      <c r="Y379" s="385">
        <f t="shared" si="133"/>
        <v>11.547000000000001</v>
      </c>
      <c r="Z379" s="385">
        <f t="shared" si="134"/>
        <v>11.68676667491239</v>
      </c>
      <c r="AA379" s="386">
        <f t="shared" si="135"/>
        <v>12.614923200476179</v>
      </c>
      <c r="AB379" s="197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7.3576074210959477E-2</v>
      </c>
      <c r="AD379" s="231">
        <f>(INDEX(Models!$BJ379:$BT379,,AH379)*(1-AF379)+INDEX(Models!$BJ379:$BT379,,AH379+1)*AF379-ERP_i)*AE379*Ramure*Pc/MaxiM</f>
        <v>3.1905085707534736E-4</v>
      </c>
      <c r="AE379" s="306">
        <f t="shared" si="137"/>
        <v>0.7</v>
      </c>
      <c r="AF379" s="177">
        <f t="shared" si="138"/>
        <v>0.19928990619290743</v>
      </c>
      <c r="AG379" s="176">
        <f t="shared" si="139"/>
        <v>-1</v>
      </c>
      <c r="AH379" s="176">
        <f t="shared" si="140"/>
        <v>5</v>
      </c>
      <c r="AI379" s="222">
        <f t="shared" si="141"/>
        <v>-0.80071009380709257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8"/>
      <c r="C380" s="852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9"/>
      <c r="N380" s="849"/>
      <c r="O380" s="215"/>
      <c r="P380" s="322"/>
      <c r="Q380" s="229"/>
      <c r="R380" s="229"/>
      <c r="S380" s="229"/>
      <c r="T380" s="229"/>
      <c r="U380" s="323"/>
      <c r="V380" s="383">
        <f>(V379+V15)/2</f>
        <v>18.658184079125455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1.643</v>
      </c>
      <c r="C381" s="375"/>
      <c r="D381" s="373">
        <f>MIN(D15:D380)</f>
        <v>1.6488604517380638</v>
      </c>
      <c r="E381" s="373">
        <f>MIN(E15:E380)</f>
        <v>1.6933230710286837</v>
      </c>
      <c r="F381" s="374">
        <f>MIN(F15:F380)</f>
        <v>1.6933230710286837</v>
      </c>
      <c r="G381" s="125">
        <f>+MIN(G15:G380)</f>
        <v>8.5361539393356348E-2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3.5542436183039205E-3</v>
      </c>
      <c r="M381" s="846"/>
      <c r="N381" s="846"/>
      <c r="O381" s="47">
        <f t="shared" si="147"/>
        <v>2.6257611469032348E-2</v>
      </c>
      <c r="P381" s="168">
        <f t="shared" si="147"/>
        <v>2.150824615415108E-5</v>
      </c>
      <c r="Q381" s="310">
        <f t="shared" si="147"/>
        <v>0.7</v>
      </c>
      <c r="R381" s="311">
        <f t="shared" si="147"/>
        <v>3.1938229504698823E-3</v>
      </c>
      <c r="S381" s="810">
        <f t="shared" si="147"/>
        <v>-2</v>
      </c>
      <c r="T381" s="176">
        <f t="shared" si="147"/>
        <v>4</v>
      </c>
      <c r="U381" s="252">
        <f>+MIN(U15:U380)</f>
        <v>-1.200709075378156</v>
      </c>
      <c r="V381" s="373">
        <f>MIN(V15:V380)</f>
        <v>17.452302140277617</v>
      </c>
      <c r="W381" s="58"/>
      <c r="X381" s="112" t="s">
        <v>7</v>
      </c>
      <c r="Y381" s="373">
        <f>MIN(Y15:Y380)</f>
        <v>1.643</v>
      </c>
      <c r="Z381" s="373">
        <f>MIN(Z15:Z380)</f>
        <v>1.6488604517380638</v>
      </c>
      <c r="AA381" s="373">
        <f>MIN(AA15:AA380)</f>
        <v>1.6933230710286837</v>
      </c>
      <c r="AB381" s="200" t="s">
        <v>7</v>
      </c>
      <c r="AC381" s="47">
        <f t="shared" ref="AC381:AH381" si="148">MIN(AC15:AC380)</f>
        <v>2.6257611469032348E-2</v>
      </c>
      <c r="AD381" s="168">
        <f t="shared" si="148"/>
        <v>2.150824615415108E-5</v>
      </c>
      <c r="AE381" s="310">
        <f t="shared" si="148"/>
        <v>0.7</v>
      </c>
      <c r="AF381" s="311">
        <f t="shared" si="148"/>
        <v>3.1938229504698823E-3</v>
      </c>
      <c r="AG381" s="810">
        <f t="shared" si="148"/>
        <v>-2</v>
      </c>
      <c r="AH381" s="176">
        <f t="shared" si="148"/>
        <v>4</v>
      </c>
      <c r="AI381" s="226">
        <f>MIN(AI15:AI380)</f>
        <v>-1.200709075378156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29.792783561643827</v>
      </c>
      <c r="C382" s="375"/>
      <c r="D382" s="375">
        <f>AVERAGE(D15:D380)</f>
        <v>30.020223175957693</v>
      </c>
      <c r="E382" s="375">
        <f>AVERAGE(E15:E380)</f>
        <v>31.679750094222189</v>
      </c>
      <c r="F382" s="376">
        <f>AVERAGE(F15:F380)</f>
        <v>31.684462128100098</v>
      </c>
      <c r="G382" s="126">
        <f>AVERAGE(G15:G380)</f>
        <v>0.6932733146904545</v>
      </c>
      <c r="H382" s="337"/>
      <c r="I382" s="376">
        <f>AVERAGE(I15:I380)</f>
        <v>32.571935128268656</v>
      </c>
      <c r="J382" s="59">
        <f>AVERAGE(J15:J380)</f>
        <v>2018.8715846994535</v>
      </c>
      <c r="K382" s="200" t="s">
        <v>8</v>
      </c>
      <c r="L382" s="147">
        <f t="shared" ref="L382:V382" si="149">AVERAGE(L15:L380)</f>
        <v>7.7627369599123216E-3</v>
      </c>
      <c r="M382" s="844"/>
      <c r="N382" s="844"/>
      <c r="O382" s="48">
        <f t="shared" si="149"/>
        <v>5.2697603992376239E-2</v>
      </c>
      <c r="P382" s="169">
        <f t="shared" si="149"/>
        <v>2.9693847982458052E-4</v>
      </c>
      <c r="Q382" s="312">
        <f t="shared" si="149"/>
        <v>0.69999999999999529</v>
      </c>
      <c r="R382" s="177">
        <f t="shared" si="149"/>
        <v>0.46429369263211889</v>
      </c>
      <c r="S382" s="810">
        <f t="shared" si="149"/>
        <v>-1.441095890410959</v>
      </c>
      <c r="T382" s="176">
        <f t="shared" si="149"/>
        <v>4.558904109589041</v>
      </c>
      <c r="U382" s="251">
        <f t="shared" si="149"/>
        <v>-0.97680219777883981</v>
      </c>
      <c r="V382" s="375">
        <f t="shared" si="149"/>
        <v>41.11140257209815</v>
      </c>
      <c r="X382" s="112" t="s">
        <v>8</v>
      </c>
      <c r="Y382" s="375">
        <f>AVERAGE(Y15:Y380)</f>
        <v>29.792783561643827</v>
      </c>
      <c r="Z382" s="375">
        <f>AVERAGE(Z15:Z380)</f>
        <v>30.020223175957693</v>
      </c>
      <c r="AA382" s="375">
        <f>AVERAGE(AA15:AA380)</f>
        <v>31.679750094222189</v>
      </c>
      <c r="AB382" s="200" t="s">
        <v>8</v>
      </c>
      <c r="AC382" s="48">
        <f t="shared" ref="AC382:AH382" si="150">AVERAGE(AC15:AC380)</f>
        <v>5.2697603992376239E-2</v>
      </c>
      <c r="AD382" s="169">
        <f t="shared" si="150"/>
        <v>2.9693847982458052E-4</v>
      </c>
      <c r="AE382" s="312">
        <f t="shared" si="150"/>
        <v>0.69999999999999529</v>
      </c>
      <c r="AF382" s="177">
        <f t="shared" si="150"/>
        <v>0.46429369263211889</v>
      </c>
      <c r="AG382" s="810">
        <f t="shared" si="150"/>
        <v>-1.441095890410959</v>
      </c>
      <c r="AH382" s="176">
        <f t="shared" si="150"/>
        <v>4.558904109589041</v>
      </c>
      <c r="AI382" s="225">
        <f>AVERAGE(AI15:AI380)</f>
        <v>-0.97680219777883981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62.027000000000001</v>
      </c>
      <c r="C383" s="377"/>
      <c r="D383" s="377">
        <f>MAX(D15:D380)</f>
        <v>62.484819630869907</v>
      </c>
      <c r="E383" s="377">
        <f>MAX(E15:E380)</f>
        <v>65.894208148876274</v>
      </c>
      <c r="F383" s="378">
        <f>MAX(F15:F380)</f>
        <v>65.896682461422955</v>
      </c>
      <c r="G383" s="127">
        <f>+MAX(G15:G380)</f>
        <v>1.0447527574692459</v>
      </c>
      <c r="H383" s="337"/>
      <c r="I383" s="378">
        <f>MAX(I15:I380)</f>
        <v>65.896682461422955</v>
      </c>
      <c r="J383" s="60">
        <f>MAX(J15:J380)</f>
        <v>2019</v>
      </c>
      <c r="K383" s="200" t="s">
        <v>9</v>
      </c>
      <c r="L383" s="148">
        <f t="shared" ref="L383:T383" si="151">MAX(L15:L380)</f>
        <v>1.1959396366868713E-2</v>
      </c>
      <c r="M383" s="847"/>
      <c r="N383" s="847"/>
      <c r="O383" s="49">
        <f t="shared" si="151"/>
        <v>7.3576074210959477E-2</v>
      </c>
      <c r="P383" s="170">
        <f t="shared" si="151"/>
        <v>1.2599497347126646E-3</v>
      </c>
      <c r="Q383" s="313">
        <f t="shared" si="151"/>
        <v>0.7</v>
      </c>
      <c r="R383" s="314">
        <f t="shared" si="151"/>
        <v>0.99907772990166066</v>
      </c>
      <c r="S383" s="811">
        <f t="shared" si="151"/>
        <v>-1</v>
      </c>
      <c r="T383" s="233">
        <f t="shared" si="151"/>
        <v>5</v>
      </c>
      <c r="U383" s="253">
        <f>+MAX(U15:U380)</f>
        <v>-0.80071009380709257</v>
      </c>
      <c r="V383" s="377">
        <f>MAX(V15:V380)</f>
        <v>60.58921163937061</v>
      </c>
      <c r="X383" s="112" t="s">
        <v>9</v>
      </c>
      <c r="Y383" s="377">
        <f>MAX(Y15:Y380)</f>
        <v>62.027000000000001</v>
      </c>
      <c r="Z383" s="377">
        <f>MAX(Z15:Z380)</f>
        <v>62.484819630869907</v>
      </c>
      <c r="AA383" s="377">
        <f>MAX(AA15:AA380)</f>
        <v>65.894208148876274</v>
      </c>
      <c r="AB383" s="200" t="s">
        <v>9</v>
      </c>
      <c r="AC383" s="49">
        <f t="shared" ref="AC383:AH383" si="152">MAX(AC15:AC380)</f>
        <v>7.3576074210959477E-2</v>
      </c>
      <c r="AD383" s="170">
        <f t="shared" si="152"/>
        <v>1.2599497347126646E-3</v>
      </c>
      <c r="AE383" s="313">
        <f t="shared" si="152"/>
        <v>0.7</v>
      </c>
      <c r="AF383" s="314">
        <f t="shared" si="152"/>
        <v>0.99907772990166066</v>
      </c>
      <c r="AG383" s="811">
        <f t="shared" si="152"/>
        <v>-1</v>
      </c>
      <c r="AH383" s="233">
        <f t="shared" si="152"/>
        <v>5</v>
      </c>
      <c r="AI383" s="227">
        <f>MAX(AI15:AI380)</f>
        <v>-0.80071009380709257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'2019'!An+1</f>
        <v>2020</v>
      </c>
      <c r="K1" s="1274"/>
      <c r="L1" s="113" t="str">
        <f>"Calcul pertes et enveloppes en "&amp;TEXT(An,0)</f>
        <v>Calcul pertes et enveloppes en 2020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0</v>
      </c>
      <c r="AK4" s="833">
        <f>AM12-AK12</f>
        <v>0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10305.741000000004</v>
      </c>
      <c r="AK6" s="515">
        <f>SUMIF(AK15:AK380,"FAUX",Wh)</f>
        <v>10305.741000000004</v>
      </c>
      <c r="AL6" s="515">
        <f>SUMIF(AJ15:AJ380,"FAUX",Wh_s)</f>
        <v>10305.741000000004</v>
      </c>
      <c r="AM6" s="515">
        <f>SUMIF(AK15:AK380,"FAUX",Wh_s)</f>
        <v>10305.741000000004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10472.922691181722</v>
      </c>
      <c r="AK8" s="515">
        <f>SUMIF(AK15:AK380,"FAUX",Wh_sa)</f>
        <v>11542.329326829022</v>
      </c>
      <c r="AL8" s="515">
        <f>SUMIF(AJ15:AJ380,"FAUX",Wh_pvt_s)</f>
        <v>10472.922691181722</v>
      </c>
      <c r="AM8" s="515">
        <f>SUMIF(AK15:AK380,"FAUX",Wh_sa_s)</f>
        <v>11542.329326829022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10472.922691181722</v>
      </c>
      <c r="E9" s="184">
        <f>SUM(E$15:E$380)</f>
        <v>11542.329326829022</v>
      </c>
      <c r="F9" s="184">
        <f>SUM(F$15:F$380)</f>
        <v>11545.444530299657</v>
      </c>
      <c r="H9" s="1275">
        <f>+SUM(Wh)</f>
        <v>10305.741000000004</v>
      </c>
      <c r="I9" s="1276"/>
      <c r="J9" s="1277"/>
      <c r="K9" s="191"/>
      <c r="L9" s="232"/>
      <c r="M9" s="232"/>
      <c r="N9" s="232"/>
      <c r="O9" s="223">
        <f>Tnet_2020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10305.741000000004</v>
      </c>
      <c r="Y9" s="1270"/>
      <c r="Z9" s="515">
        <f>SUM(Z$15:Z$380)</f>
        <v>10472.922691181722</v>
      </c>
      <c r="AA9" s="515">
        <f>SUM(AA$15:AA$380)</f>
        <v>11542.329326829022</v>
      </c>
      <c r="AB9" s="515">
        <f>F9</f>
        <v>11545.444530299657</v>
      </c>
      <c r="AC9" s="325">
        <f>IF(An_Tnet,Tnet,'2019'!Tnet_s)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0.40000000000000013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11542.329326829022</v>
      </c>
      <c r="AK10" s="515">
        <f>SUMIF(AK15:AK380,"FAUX",Wh_hp)</f>
        <v>11545.444530299657</v>
      </c>
      <c r="AL10" s="515">
        <f>SUMIF(AJ15:AJ380,"FAUX",Wh_sa_s)</f>
        <v>11542.329326829022</v>
      </c>
      <c r="AM10" s="515">
        <f>SUMIF(AK15:AK380,"FAUX",Wh_hp)</f>
        <v>11545.444530299657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167.18169118171863</v>
      </c>
      <c r="E11" s="51">
        <f>(E$9-D$9)*Prod_an/D$9</f>
        <v>1052.335449772987</v>
      </c>
      <c r="F11" s="186">
        <f>(F$9-E$9)*Prod_an/E$9</f>
        <v>2.7814559108141137</v>
      </c>
      <c r="G11" s="185" t="s">
        <v>6</v>
      </c>
      <c r="K11" s="194"/>
      <c r="L11" s="211">
        <f>Tvie_2020</f>
        <v>43313</v>
      </c>
      <c r="M11" s="843"/>
      <c r="N11" s="843"/>
      <c r="O11" s="202">
        <f>IF(An_Tnet,Salim_2020,'2019'!Salim)</f>
        <v>0.17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-0.40071009380709244</v>
      </c>
      <c r="V11" s="427"/>
      <c r="W11" s="518"/>
      <c r="X11" s="525" t="s">
        <v>43</v>
      </c>
      <c r="Y11" s="50">
        <f>Z$9-Prod_an_s</f>
        <v>167.18169118171863</v>
      </c>
      <c r="Z11" s="51">
        <f>(AA$9-Z$9)*Prod_an_s/Z$9</f>
        <v>1052.335449772987</v>
      </c>
      <c r="AA11" s="186">
        <f>(AB$9-AA$9)*Prod_an_s/AA$9</f>
        <v>2.7814559108141137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0</v>
      </c>
      <c r="AK11" s="833">
        <f>IF($AK7=0,0,($AK9-$AK7)*$AK5/$AK7)</f>
        <v>0</v>
      </c>
      <c r="AL11" s="832">
        <f>IF($AL7=0,0,($AL9-$AL7)*$AL5/$AL7)</f>
        <v>0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4.5921663578432081E-2</v>
      </c>
      <c r="K12" s="191"/>
      <c r="L12" s="212">
        <f>Pspv_2020</f>
        <v>0</v>
      </c>
      <c r="M12" s="212"/>
      <c r="N12" s="212"/>
      <c r="O12" s="205">
        <f>IF(An_Tnet,Tau_2020*365,'2019'!Tau_j)</f>
        <v>912.5</v>
      </c>
      <c r="P12" s="456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-0.80071009380709257</v>
      </c>
      <c r="V12" s="517"/>
      <c r="W12" s="504"/>
      <c r="X12" s="505"/>
      <c r="Y12" s="504"/>
      <c r="Z12" s="427"/>
      <c r="AA12" s="427"/>
      <c r="AB12" s="531" t="s">
        <v>106</v>
      </c>
      <c r="AC12" s="318" t="b">
        <f>NOT(An_Tnet)</f>
        <v>1</v>
      </c>
      <c r="AD12" s="427"/>
      <c r="AE12" s="296">
        <f>'2019'!Df_s</f>
        <v>0.7</v>
      </c>
      <c r="AF12" s="203"/>
      <c r="AG12" s="203"/>
      <c r="AH12" s="203"/>
      <c r="AI12" s="297">
        <f>'2019'!Hdf_s</f>
        <v>-0.80071009380709257</v>
      </c>
      <c r="AJ12" s="832">
        <f>IF($AJ8=0,0,($AJ10-$AJ8)*$AJ6/$AJ8)</f>
        <v>1052.335449772987</v>
      </c>
      <c r="AK12" s="833">
        <f>IF($AK8=0,0,($AK10-$AK8)*$AK6/$AK8)</f>
        <v>2.7814559108141137</v>
      </c>
      <c r="AL12" s="832">
        <f>IF($AL8=0,0,($AL10-$AL8)*$AL6/$AL8)</f>
        <v>1052.335449772987</v>
      </c>
      <c r="AM12" s="833">
        <f>IF($AM8=0,0,($AM10-$AM8)*$AM6/$AM8)</f>
        <v>2.7814559108141137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264" t="s">
        <v>41</v>
      </c>
      <c r="W13" s="851" t="s">
        <v>46</v>
      </c>
      <c r="X13" s="532"/>
      <c r="Y13" s="264" t="s">
        <v>100</v>
      </c>
      <c r="Z13" s="264" t="s">
        <v>101</v>
      </c>
      <c r="AA13" s="264" t="s">
        <v>74</v>
      </c>
      <c r="AB13" s="503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1052.335449772987</v>
      </c>
      <c r="AK13" s="73">
        <f>+AK11+AK12</f>
        <v>2.7814559108141137</v>
      </c>
      <c r="AL13" s="73">
        <f>+AL11+AL12</f>
        <v>1052.335449772987</v>
      </c>
      <c r="AM13" s="73">
        <f>+AM11+AM12</f>
        <v>2.7814559108141137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2020</v>
      </c>
      <c r="W14" s="837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5">
        <v>12.192</v>
      </c>
      <c r="C15" s="390"/>
      <c r="D15" s="393">
        <f t="shared" ref="D15:D78" si="0">Wh/(1-Ppv)</f>
        <v>12.339861021320273</v>
      </c>
      <c r="E15" s="385">
        <f>Wh_pvt/(1-Psa)</f>
        <v>13.321361192446048</v>
      </c>
      <c r="F15" s="385">
        <f t="shared" ref="F15:F78" si="1">Wh_sa/(1-Pvg*MEDIAN((-Sdif+Wh/Env_an)/Csdif,0,1))</f>
        <v>13.323635792947995</v>
      </c>
      <c r="G15" s="110">
        <f>+Wh_hp/MaxiM</f>
        <v>0.67165331947644469</v>
      </c>
      <c r="H15" s="414" t="b">
        <f>Wh_hp&gt;='2019'!Maxi_hp</f>
        <v>1</v>
      </c>
      <c r="I15" s="379">
        <f>IF(H15,Wh_hp,'2019'!Maxi_hp)</f>
        <v>13.323635792947995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1.1982389515149627E-2</v>
      </c>
      <c r="M15" s="846"/>
      <c r="N15" s="846"/>
      <c r="O15" s="47">
        <f>IF(t&lt;Tnet,'2019'!Resal+('2019'!Salim-'2019'!Resal)*(1-EXP(('2019'!Tnet-t)/('2019'!Tau_j))),Resal+(Salim-Resal)*(1-EXP((Tnet-t)/(Tau_j))))*Salcycl</f>
        <v>7.3678669690477289E-2</v>
      </c>
      <c r="P15" s="302">
        <f>(INDEX(Models!$BJ15:$BT15,,T15)*(1-R15)+INDEX(Models!$BJ15:$BT15,,T15+1)*R15-ERP_i)*Q15*Ramure*Pc/MaxiM</f>
        <v>3.2145787650178026E-4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0.19929086259149098</v>
      </c>
      <c r="S15" s="809">
        <f t="shared" ref="S15:S78" si="4">INDEX(Echel_vg,T15)</f>
        <v>-1</v>
      </c>
      <c r="T15" s="249">
        <f t="shared" ref="T15:T78" si="5">MIN(MATCH(Hp_vg,Echel_vg),10)</f>
        <v>5</v>
      </c>
      <c r="U15" s="250">
        <f>IF(OR(t&lt;Ttai,Notai),Hdd+PousH*Croivg,Hdtf+PousH*(Croivg-Croi_tai))</f>
        <v>-0.80070913740850902</v>
      </c>
      <c r="V15" s="382">
        <f t="shared" ref="V15:V78" si="6">MaxiM*(1-Ppv)*(1-Pvg)*(1-Psa)</f>
        <v>18.149485049533226</v>
      </c>
      <c r="W15" s="402"/>
      <c r="X15" s="156">
        <f t="shared" ref="X15:X78" si="7">t</f>
        <v>43831</v>
      </c>
      <c r="Y15" s="385">
        <f t="shared" ref="Y15:Y78" si="8">Wh_pvt_s*(1-Ppv)</f>
        <v>12.192</v>
      </c>
      <c r="Z15" s="385">
        <f t="shared" ref="Z15:Z78" si="9">Wh_sa_s*(1-Psa_s)</f>
        <v>12.339861021320273</v>
      </c>
      <c r="AA15" s="386">
        <f t="shared" ref="AA15:AA78" si="10">Wh_hp*(1-Pvg_s*MEDIAN((-Sdif+Wh/Env_an)/Csdif,0,1))</f>
        <v>13.321361192446048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7.3678669690477289E-2</v>
      </c>
      <c r="AD15" s="231">
        <f>(INDEX(Models!$BJ15:$BT15,,AH15)*(1-AF15)+INDEX(Models!$BJ15:$BT15,,AH15+1)*AF15-ERP_i)*AE15*Ramure*Pc/MaxiM</f>
        <v>3.2145787650178026E-4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0.19929086259149098</v>
      </c>
      <c r="AG15" s="809">
        <f>INDEX(Echel_vg,AH15)</f>
        <v>-1</v>
      </c>
      <c r="AH15" s="249">
        <f t="shared" ref="AH15:AH78" si="13">MIN(MATCH(Hp_vg_s,Echel_vg),10)</f>
        <v>5</v>
      </c>
      <c r="AI15" s="224">
        <f>IF(OR(t&lt;Ttai,Notai),Hdd_s+PousH*Croivg,Hdtai_s+PousH*(Croivg-Croi_tai))</f>
        <v>-0.80070913740850902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16.452000000000002</v>
      </c>
      <c r="C16" s="390"/>
      <c r="D16" s="393">
        <f t="shared" si="0"/>
        <v>16.651912573614055</v>
      </c>
      <c r="E16" s="385">
        <f t="shared" ref="E16:E79" si="17">Wh_pvt/(1-Psa)</f>
        <v>17.978381390877921</v>
      </c>
      <c r="F16" s="385">
        <f t="shared" si="1"/>
        <v>17.983399088358674</v>
      </c>
      <c r="G16" s="110">
        <f t="shared" ref="G16:G79" si="18">+Wh_hp/MaxiM</f>
        <v>0.90220634545787437</v>
      </c>
      <c r="H16" s="414" t="b">
        <f>Wh_hp&gt;='2019'!Maxi_hp</f>
        <v>1</v>
      </c>
      <c r="I16" s="380">
        <f>IF(H16,Wh_hp,'2019'!Maxi_hp)</f>
        <v>17.983399088358674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1.2005382128346453E-2</v>
      </c>
      <c r="M16" s="844"/>
      <c r="N16" s="844"/>
      <c r="O16" s="48">
        <f>IF(t&lt;Tnet,'2019'!Resal+('2019'!Salim-'2019'!Resal)*(1-EXP(('2019'!Tnet-t)/('2019'!Tau_j))),Resal+(Salim-Resal)*(1-EXP((Tnet-t)/(Tau_j))))*Salcycl</f>
        <v>7.3781325939436565E-2</v>
      </c>
      <c r="P16" s="169">
        <f>(INDEX(Models!$BJ16:$BT16,,T16)*(1-R16)+INDEX(Models!$BJ16:$BT16,,T16+1)*R16-ERP_i)*Q16*Ramure*Pc/MaxiM</f>
        <v>3.2430670597084109E-4</v>
      </c>
      <c r="Q16" s="305">
        <f t="shared" si="2"/>
        <v>0.7</v>
      </c>
      <c r="R16" s="177">
        <f t="shared" si="3"/>
        <v>0.19931423428268635</v>
      </c>
      <c r="S16" s="810">
        <f t="shared" si="4"/>
        <v>-1</v>
      </c>
      <c r="T16" s="176">
        <f t="shared" si="5"/>
        <v>5</v>
      </c>
      <c r="U16" s="251">
        <f t="shared" ref="U16:U78" si="20">IF(OR(t&lt;Ttai,Notai),Hdd+PousH*Croivg,Hdtf+PousH*(Croivg-Croi_tai))</f>
        <v>-0.80068576571731365</v>
      </c>
      <c r="V16" s="383">
        <f t="shared" si="6"/>
        <v>18.23447018528908</v>
      </c>
      <c r="W16" s="402"/>
      <c r="X16" s="157">
        <f t="shared" si="7"/>
        <v>43832</v>
      </c>
      <c r="Y16" s="385">
        <f t="shared" si="8"/>
        <v>16.452000000000002</v>
      </c>
      <c r="Z16" s="385">
        <f t="shared" si="9"/>
        <v>16.651912573614055</v>
      </c>
      <c r="AA16" s="386">
        <f t="shared" si="10"/>
        <v>17.978381390877921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7.3781325939436565E-2</v>
      </c>
      <c r="AD16" s="231">
        <f>(INDEX(Models!$BJ16:$BT16,,AH16)*(1-AF16)+INDEX(Models!$BJ16:$BT16,,AH16+1)*AF16-ERP_i)*AE16*Ramure*Pc/MaxiM</f>
        <v>3.2430670597084109E-4</v>
      </c>
      <c r="AE16" s="305">
        <f t="shared" si="12"/>
        <v>0.7</v>
      </c>
      <c r="AF16" s="177">
        <f t="shared" ref="AF16:AF78" si="21">(Hp_vg_s-AG16)/(INDEX(Echel_vg,AH16+1)-AG16)</f>
        <v>0.19931423428268635</v>
      </c>
      <c r="AG16" s="810">
        <f t="shared" ref="AG16:AG79" si="22">INDEX(Echel_vg,AH16)</f>
        <v>-1</v>
      </c>
      <c r="AH16" s="176">
        <f t="shared" si="13"/>
        <v>5</v>
      </c>
      <c r="AI16" s="225">
        <f t="shared" ref="AI16:AI78" si="23">IF(OR(t&lt;Ttai,Notai),Hdd_s+PousH*Croivg,Hdtai_s+PousH*(Croivg-Croi_tai))</f>
        <v>-0.80068576571731365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6">
        <v>7.6539999999999999</v>
      </c>
      <c r="C17" s="390"/>
      <c r="D17" s="393">
        <f t="shared" si="0"/>
        <v>7.7471860528913341</v>
      </c>
      <c r="E17" s="385">
        <f t="shared" si="17"/>
        <v>8.3652439395686784</v>
      </c>
      <c r="F17" s="385">
        <f t="shared" si="1"/>
        <v>8.3657044525692896</v>
      </c>
      <c r="G17" s="110">
        <f t="shared" si="18"/>
        <v>0.41752193678319716</v>
      </c>
      <c r="H17" s="414" t="b">
        <f>Wh_hp&gt;='2019'!Maxi_hp</f>
        <v>0</v>
      </c>
      <c r="I17" s="380">
        <f>IF(H17,Wh_hp,'2019'!Maxi_hp)</f>
        <v>19.69085653968548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1.2028374206471515E-2</v>
      </c>
      <c r="M17" s="844"/>
      <c r="N17" s="844"/>
      <c r="O17" s="48">
        <f>IF(t&lt;Tnet,'2019'!Resal+('2019'!Salim-'2019'!Resal)*(1-EXP(('2019'!Tnet-t)/('2019'!Tau_j))),Resal+(Salim-Resal)*(1-EXP((Tnet-t)/(Tau_j))))*Salcycl</f>
        <v>7.3884024320420572E-2</v>
      </c>
      <c r="P17" s="169">
        <f>(INDEX(Models!$BJ17:$BT17,,T17)*(1-R17)+INDEX(Models!$BJ17:$BT17,,T17+1)*R17-ERP_i)*Q17*Ramure*Pc/MaxiM</f>
        <v>3.2756543550691312E-4</v>
      </c>
      <c r="Q17" s="305">
        <f t="shared" si="2"/>
        <v>0.7</v>
      </c>
      <c r="R17" s="177">
        <f t="shared" si="3"/>
        <v>0.19933858355907796</v>
      </c>
      <c r="S17" s="810">
        <f t="shared" si="4"/>
        <v>-1</v>
      </c>
      <c r="T17" s="176">
        <f t="shared" si="5"/>
        <v>5</v>
      </c>
      <c r="U17" s="251">
        <f t="shared" si="20"/>
        <v>-0.80066141644092204</v>
      </c>
      <c r="V17" s="383">
        <f t="shared" si="6"/>
        <v>18.326974849687328</v>
      </c>
      <c r="W17" s="402"/>
      <c r="X17" s="157">
        <f t="shared" si="7"/>
        <v>43833</v>
      </c>
      <c r="Y17" s="385">
        <f t="shared" si="8"/>
        <v>7.6540000000000008</v>
      </c>
      <c r="Z17" s="385">
        <f t="shared" si="9"/>
        <v>7.747186052891335</v>
      </c>
      <c r="AA17" s="386">
        <f t="shared" si="10"/>
        <v>8.3652439395686784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7.3884024320420572E-2</v>
      </c>
      <c r="AD17" s="231">
        <f>(INDEX(Models!$BJ17:$BT17,,AH17)*(1-AF17)+INDEX(Models!$BJ17:$BT17,,AH17+1)*AF17-ERP_i)*AE17*Ramure*Pc/MaxiM</f>
        <v>3.2756543550691312E-4</v>
      </c>
      <c r="AE17" s="305">
        <f t="shared" si="12"/>
        <v>0.7</v>
      </c>
      <c r="AF17" s="177">
        <f>(Hp_vg_s-AG17)/(INDEX(Echel_vg,AH17+1)-AG17)</f>
        <v>0.19933858355907796</v>
      </c>
      <c r="AG17" s="810">
        <f>INDEX(Echel_vg,AH17)</f>
        <v>-1</v>
      </c>
      <c r="AH17" s="176">
        <f t="shared" si="13"/>
        <v>5</v>
      </c>
      <c r="AI17" s="225">
        <f t="shared" si="23"/>
        <v>-0.80066141644092204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6">
        <v>5.8970000000000002</v>
      </c>
      <c r="C18" s="390"/>
      <c r="D18" s="393">
        <f t="shared" si="0"/>
        <v>5.9689338044117441</v>
      </c>
      <c r="E18" s="385">
        <f t="shared" si="17"/>
        <v>6.4458405901965801</v>
      </c>
      <c r="F18" s="385">
        <f t="shared" si="1"/>
        <v>6.4459016210908331</v>
      </c>
      <c r="G18" s="110">
        <f t="shared" si="18"/>
        <v>0.31990745431230072</v>
      </c>
      <c r="H18" s="414" t="b">
        <f>Wh_hp&gt;='2019'!Maxi_hp</f>
        <v>0</v>
      </c>
      <c r="I18" s="380">
        <f>IF(H18,Wh_hp,'2019'!Maxi_hp)</f>
        <v>20.019430838359703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1.2051365749537468E-2</v>
      </c>
      <c r="M18" s="844"/>
      <c r="N18" s="844"/>
      <c r="O18" s="48">
        <f>IF(t&lt;Tnet,'2019'!Resal+('2019'!Salim-'2019'!Resal)*(1-EXP(('2019'!Tnet-t)/('2019'!Tau_j))),Resal+(Salim-Resal)*(1-EXP((Tnet-t)/(Tau_j))))*Salcycl</f>
        <v>7.3986748370749186E-2</v>
      </c>
      <c r="P18" s="169">
        <f>(INDEX(Models!$BJ18:$BT18,,T18)*(1-R18)+INDEX(Models!$BJ18:$BT18,,T18+1)*R18-ERP_i)*Q18*Ramure*Pc/MaxiM</f>
        <v>3.3121344569901016E-4</v>
      </c>
      <c r="Q18" s="305">
        <f t="shared" si="2"/>
        <v>0.7</v>
      </c>
      <c r="R18" s="177">
        <f t="shared" si="3"/>
        <v>0.1993639511841141</v>
      </c>
      <c r="S18" s="810">
        <f t="shared" si="4"/>
        <v>-1</v>
      </c>
      <c r="T18" s="176">
        <f t="shared" si="5"/>
        <v>5</v>
      </c>
      <c r="U18" s="251">
        <f t="shared" si="20"/>
        <v>-0.8006360488158859</v>
      </c>
      <c r="V18" s="383">
        <f t="shared" si="6"/>
        <v>18.42752511916019</v>
      </c>
      <c r="W18" s="402"/>
      <c r="X18" s="157">
        <f t="shared" si="7"/>
        <v>43834</v>
      </c>
      <c r="Y18" s="385">
        <f t="shared" si="8"/>
        <v>5.8970000000000002</v>
      </c>
      <c r="Z18" s="385">
        <f>Wh_sa_s*(1-Psa_s)</f>
        <v>5.9689338044117441</v>
      </c>
      <c r="AA18" s="386">
        <f t="shared" si="10"/>
        <v>6.4458405901965801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7.3986748370749186E-2</v>
      </c>
      <c r="AD18" s="231">
        <f>(INDEX(Models!$BJ18:$BT18,,AH18)*(1-AF18)+INDEX(Models!$BJ18:$BT18,,AH18+1)*AF18-ERP_i)*AE18*Ramure*Pc/MaxiM</f>
        <v>3.3121344569901016E-4</v>
      </c>
      <c r="AE18" s="305">
        <f t="shared" si="12"/>
        <v>0.7</v>
      </c>
      <c r="AF18" s="177">
        <f t="shared" si="21"/>
        <v>0.1993639511841141</v>
      </c>
      <c r="AG18" s="810">
        <f t="shared" si="22"/>
        <v>-1</v>
      </c>
      <c r="AH18" s="176">
        <f t="shared" si="13"/>
        <v>5</v>
      </c>
      <c r="AI18" s="225">
        <f t="shared" si="23"/>
        <v>-0.8006360488158859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6">
        <v>12.151</v>
      </c>
      <c r="C19" s="390"/>
      <c r="D19" s="393">
        <f t="shared" si="0"/>
        <v>12.299508655448539</v>
      </c>
      <c r="E19" s="385">
        <f t="shared" si="17"/>
        <v>13.283690421241324</v>
      </c>
      <c r="F19" s="385">
        <f t="shared" si="1"/>
        <v>13.285952413680704</v>
      </c>
      <c r="G19" s="110">
        <f t="shared" si="18"/>
        <v>0.65540414164239147</v>
      </c>
      <c r="H19" s="414" t="b">
        <f>Wh_hp&gt;='2019'!Maxi_hp</f>
        <v>0</v>
      </c>
      <c r="I19" s="380">
        <f>IF(H19,Wh_hp,'2019'!Maxi_hp)</f>
        <v>19.724952113879578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1.2074356757556526E-2</v>
      </c>
      <c r="M19" s="844"/>
      <c r="N19" s="844"/>
      <c r="O19" s="48">
        <f>IF(t&lt;Tnet,'2019'!Resal+('2019'!Salim-'2019'!Resal)*(1-EXP(('2019'!Tnet-t)/('2019'!Tau_j))),Resal+(Salim-Resal)*(1-EXP((Tnet-t)/(Tau_j))))*Salcycl</f>
        <v>7.4089483764167324E-2</v>
      </c>
      <c r="P19" s="169">
        <f>(INDEX(Models!$BJ19:$BT19,,T19)*(1-R19)+INDEX(Models!$BJ19:$BT19,,T19+1)*R19-ERP_i)*Q19*Ramure*Pc/MaxiM</f>
        <v>3.3522921620841032E-4</v>
      </c>
      <c r="Q19" s="305">
        <f t="shared" si="2"/>
        <v>0.7</v>
      </c>
      <c r="R19" s="177">
        <f t="shared" si="3"/>
        <v>0.19939037961016337</v>
      </c>
      <c r="S19" s="810">
        <f t="shared" si="4"/>
        <v>-1</v>
      </c>
      <c r="T19" s="176">
        <f t="shared" si="5"/>
        <v>5</v>
      </c>
      <c r="U19" s="251">
        <f t="shared" si="20"/>
        <v>-0.80060962038983663</v>
      </c>
      <c r="V19" s="383">
        <f t="shared" si="6"/>
        <v>18.536646747066907</v>
      </c>
      <c r="W19" s="402"/>
      <c r="X19" s="157">
        <f t="shared" si="7"/>
        <v>43835</v>
      </c>
      <c r="Y19" s="385">
        <f t="shared" si="8"/>
        <v>12.151</v>
      </c>
      <c r="Z19" s="385">
        <f t="shared" si="9"/>
        <v>12.299508655448539</v>
      </c>
      <c r="AA19" s="386">
        <f t="shared" si="10"/>
        <v>13.283690421241324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7.4089483764167324E-2</v>
      </c>
      <c r="AD19" s="231">
        <f>(INDEX(Models!$BJ19:$BT19,,AH19)*(1-AF19)+INDEX(Models!$BJ19:$BT19,,AH19+1)*AF19-ERP_i)*AE19*Ramure*Pc/MaxiM</f>
        <v>3.3522921620841032E-4</v>
      </c>
      <c r="AE19" s="305">
        <f t="shared" si="12"/>
        <v>0.7</v>
      </c>
      <c r="AF19" s="177">
        <f t="shared" si="21"/>
        <v>0.19939037961016337</v>
      </c>
      <c r="AG19" s="810">
        <f t="shared" si="22"/>
        <v>-1</v>
      </c>
      <c r="AH19" s="176">
        <f t="shared" si="13"/>
        <v>5</v>
      </c>
      <c r="AI19" s="225">
        <f t="shared" si="23"/>
        <v>-0.80060962038983663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6">
        <v>17.853999999999999</v>
      </c>
      <c r="C20" s="390"/>
      <c r="D20" s="393">
        <f t="shared" si="0"/>
        <v>18.072630891260989</v>
      </c>
      <c r="E20" s="385">
        <f t="shared" si="17"/>
        <v>19.52093214985203</v>
      </c>
      <c r="F20" s="385">
        <f t="shared" si="1"/>
        <v>19.527156693189088</v>
      </c>
      <c r="G20" s="110">
        <f t="shared" si="18"/>
        <v>0.95704942795943071</v>
      </c>
      <c r="H20" s="414" t="b">
        <f>Wh_hp&gt;='2019'!Maxi_hp</f>
        <v>1</v>
      </c>
      <c r="I20" s="380">
        <f>IF(H20,Wh_hp,'2019'!Maxi_hp)</f>
        <v>19.527156693189088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1.2097347230541233E-2</v>
      </c>
      <c r="M20" s="844"/>
      <c r="N20" s="844"/>
      <c r="O20" s="48">
        <f>IF(t&lt;Tnet,'2019'!Resal+('2019'!Salim-'2019'!Resal)*(1-EXP(('2019'!Tnet-t)/('2019'!Tau_j))),Resal+(Salim-Resal)*(1-EXP((Tnet-t)/(Tau_j))))*Salcycl</f>
        <v>7.419221825439419E-2</v>
      </c>
      <c r="P20" s="169">
        <f>(INDEX(Models!$BJ20:$BT20,,T20)*(1-R20)+INDEX(Models!$BJ20:$BT20,,T20+1)*R20-ERP_i)*Q20*Ramure*Pc/MaxiM</f>
        <v>3.3959032071686053E-4</v>
      </c>
      <c r="Q20" s="305">
        <f t="shared" si="2"/>
        <v>0.7</v>
      </c>
      <c r="R20" s="177">
        <f t="shared" si="3"/>
        <v>0.19941791304756395</v>
      </c>
      <c r="S20" s="810">
        <f t="shared" si="4"/>
        <v>-1</v>
      </c>
      <c r="T20" s="176">
        <f t="shared" si="5"/>
        <v>5</v>
      </c>
      <c r="U20" s="251">
        <f t="shared" si="20"/>
        <v>-0.80058208695243605</v>
      </c>
      <c r="V20" s="383">
        <f t="shared" si="6"/>
        <v>18.65486516834612</v>
      </c>
      <c r="W20" s="402"/>
      <c r="X20" s="157">
        <f t="shared" si="7"/>
        <v>43836</v>
      </c>
      <c r="Y20" s="385">
        <f t="shared" si="8"/>
        <v>17.853999999999999</v>
      </c>
      <c r="Z20" s="385">
        <f t="shared" si="9"/>
        <v>18.072630891260989</v>
      </c>
      <c r="AA20" s="386">
        <f t="shared" si="10"/>
        <v>19.52093214985203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7.419221825439419E-2</v>
      </c>
      <c r="AD20" s="231">
        <f>(INDEX(Models!$BJ20:$BT20,,AH20)*(1-AF20)+INDEX(Models!$BJ20:$BT20,,AH20+1)*AF20-ERP_i)*AE20*Ramure*Pc/MaxiM</f>
        <v>3.3959032071686053E-4</v>
      </c>
      <c r="AE20" s="305">
        <f t="shared" si="12"/>
        <v>0.7</v>
      </c>
      <c r="AF20" s="177">
        <f t="shared" si="21"/>
        <v>0.19941791304756395</v>
      </c>
      <c r="AG20" s="810">
        <f t="shared" si="22"/>
        <v>-1</v>
      </c>
      <c r="AH20" s="176">
        <f t="shared" si="13"/>
        <v>5</v>
      </c>
      <c r="AI20" s="225">
        <f t="shared" si="23"/>
        <v>-0.80058208695243605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6">
        <v>6.6890000000000001</v>
      </c>
      <c r="C21" s="390"/>
      <c r="D21" s="393">
        <f t="shared" si="0"/>
        <v>6.7710676225763669</v>
      </c>
      <c r="E21" s="385">
        <f t="shared" si="17"/>
        <v>7.3144978102330986</v>
      </c>
      <c r="F21" s="385">
        <f t="shared" si="1"/>
        <v>7.3146997221943852</v>
      </c>
      <c r="G21" s="110">
        <f t="shared" si="18"/>
        <v>0.3560127020640021</v>
      </c>
      <c r="H21" s="414" t="b">
        <f>Wh_hp&gt;='2019'!Maxi_hp</f>
        <v>1</v>
      </c>
      <c r="I21" s="380">
        <f>IF(H21,Wh_hp,'2019'!Maxi_hp)</f>
        <v>7.3146997221943852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1.2120337168504025E-2</v>
      </c>
      <c r="M21" s="844"/>
      <c r="N21" s="844"/>
      <c r="O21" s="48">
        <f>IF(t&lt;Tnet,'2019'!Resal+('2019'!Salim-'2019'!Resal)*(1-EXP(('2019'!Tnet-t)/('2019'!Tau_j))),Resal+(Salim-Resal)*(1-EXP((Tnet-t)/(Tau_j))))*Salcycl</f>
        <v>7.4294941601659184E-2</v>
      </c>
      <c r="P21" s="169">
        <f>(INDEX(Models!$BJ21:$BT21,,T21)*(1-R21)+INDEX(Models!$BJ21:$BT21,,T21+1)*R21-ERP_i)*Q21*Ramure*Pc/MaxiM</f>
        <v>3.4427344190348302E-4</v>
      </c>
      <c r="Q21" s="305">
        <f t="shared" si="2"/>
        <v>0.7</v>
      </c>
      <c r="R21" s="177">
        <f t="shared" si="3"/>
        <v>0.19944659753641458</v>
      </c>
      <c r="S21" s="810">
        <f t="shared" si="4"/>
        <v>-1</v>
      </c>
      <c r="T21" s="176">
        <f t="shared" si="5"/>
        <v>5</v>
      </c>
      <c r="U21" s="251">
        <f t="shared" si="20"/>
        <v>-0.80055340246358542</v>
      </c>
      <c r="V21" s="383">
        <f t="shared" si="6"/>
        <v>18.782705499302466</v>
      </c>
      <c r="W21" s="402"/>
      <c r="X21" s="157">
        <f t="shared" si="7"/>
        <v>43837</v>
      </c>
      <c r="Y21" s="385">
        <f t="shared" si="8"/>
        <v>6.6890000000000001</v>
      </c>
      <c r="Z21" s="385">
        <f t="shared" si="9"/>
        <v>6.7710676225763669</v>
      </c>
      <c r="AA21" s="386">
        <f t="shared" si="10"/>
        <v>7.3144978102330986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7.4294941601659184E-2</v>
      </c>
      <c r="AD21" s="231">
        <f>(INDEX(Models!$BJ21:$BT21,,AH21)*(1-AF21)+INDEX(Models!$BJ21:$BT21,,AH21+1)*AF21-ERP_i)*AE21*Ramure*Pc/MaxiM</f>
        <v>3.4427344190348302E-4</v>
      </c>
      <c r="AE21" s="305">
        <f t="shared" si="12"/>
        <v>0.7</v>
      </c>
      <c r="AF21" s="177">
        <f t="shared" si="21"/>
        <v>0.19944659753641458</v>
      </c>
      <c r="AG21" s="810">
        <f t="shared" si="22"/>
        <v>-1</v>
      </c>
      <c r="AH21" s="176">
        <f t="shared" si="13"/>
        <v>5</v>
      </c>
      <c r="AI21" s="225">
        <f t="shared" si="23"/>
        <v>-0.80055340246358542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6">
        <v>11.448</v>
      </c>
      <c r="C22" s="390"/>
      <c r="D22" s="393">
        <f t="shared" si="0"/>
        <v>11.588725680485167</v>
      </c>
      <c r="E22" s="385">
        <f t="shared" si="17"/>
        <v>12.520199007638142</v>
      </c>
      <c r="F22" s="385">
        <f t="shared" si="1"/>
        <v>12.522104884564571</v>
      </c>
      <c r="G22" s="110">
        <f t="shared" si="18"/>
        <v>0.6049326031190615</v>
      </c>
      <c r="H22" s="414" t="b">
        <f>Wh_hp&gt;='2019'!Maxi_hp</f>
        <v>1</v>
      </c>
      <c r="I22" s="380">
        <f>IF(H22,Wh_hp,'2019'!Maxi_hp)</f>
        <v>12.522104884564571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1.2143326571457447E-2</v>
      </c>
      <c r="M22" s="844"/>
      <c r="N22" s="844"/>
      <c r="O22" s="48">
        <f>IF(t&lt;Tnet,'2019'!Resal+('2019'!Salim-'2019'!Resal)*(1-EXP(('2019'!Tnet-t)/('2019'!Tau_j))),Resal+(Salim-Resal)*(1-EXP((Tnet-t)/(Tau_j))))*Salcycl</f>
        <v>7.4397645483487637E-2</v>
      </c>
      <c r="P22" s="169">
        <f>(INDEX(Models!$BJ22:$BT22,,T22)*(1-R22)+INDEX(Models!$BJ22:$BT22,,T22+1)*R22-ERP_i)*Q22*Ramure*Pc/MaxiM</f>
        <v>3.4925440611887449E-4</v>
      </c>
      <c r="Q22" s="305">
        <f t="shared" si="2"/>
        <v>0.7</v>
      </c>
      <c r="R22" s="177">
        <f t="shared" si="3"/>
        <v>0.19947648102121229</v>
      </c>
      <c r="S22" s="810">
        <f t="shared" si="4"/>
        <v>-1</v>
      </c>
      <c r="T22" s="176">
        <f t="shared" si="5"/>
        <v>5</v>
      </c>
      <c r="U22" s="251">
        <f t="shared" si="20"/>
        <v>-0.80052351897878771</v>
      </c>
      <c r="V22" s="383">
        <f t="shared" si="6"/>
        <v>18.920692537039322</v>
      </c>
      <c r="W22" s="402"/>
      <c r="X22" s="157">
        <f t="shared" si="7"/>
        <v>43838</v>
      </c>
      <c r="Y22" s="385">
        <f t="shared" si="8"/>
        <v>11.448</v>
      </c>
      <c r="Z22" s="385">
        <f t="shared" si="9"/>
        <v>11.588725680485167</v>
      </c>
      <c r="AA22" s="386">
        <f t="shared" si="10"/>
        <v>12.520199007638142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7.4397645483487637E-2</v>
      </c>
      <c r="AD22" s="231">
        <f>(INDEX(Models!$BJ22:$BT22,,AH22)*(1-AF22)+INDEX(Models!$BJ22:$BT22,,AH22+1)*AF22-ERP_i)*AE22*Ramure*Pc/MaxiM</f>
        <v>3.4925440611887449E-4</v>
      </c>
      <c r="AE22" s="305">
        <f t="shared" si="12"/>
        <v>0.7</v>
      </c>
      <c r="AF22" s="177">
        <f t="shared" si="21"/>
        <v>0.19947648102121229</v>
      </c>
      <c r="AG22" s="810">
        <f t="shared" si="22"/>
        <v>-1</v>
      </c>
      <c r="AH22" s="176">
        <f t="shared" si="13"/>
        <v>5</v>
      </c>
      <c r="AI22" s="225">
        <f t="shared" si="23"/>
        <v>-0.80052351897878771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6">
        <v>18.021000000000001</v>
      </c>
      <c r="C23" s="390"/>
      <c r="D23" s="393">
        <f t="shared" si="0"/>
        <v>18.24294947789334</v>
      </c>
      <c r="E23" s="385">
        <f t="shared" si="17"/>
        <v>19.711459592009035</v>
      </c>
      <c r="F23" s="385">
        <f t="shared" si="1"/>
        <v>19.717901161584987</v>
      </c>
      <c r="G23" s="110">
        <f t="shared" si="18"/>
        <v>0.94502152138863782</v>
      </c>
      <c r="H23" s="414" t="b">
        <f>Wh_hp&gt;='2019'!Maxi_hp</f>
        <v>1</v>
      </c>
      <c r="I23" s="380">
        <f>IF(H23,Wh_hp,'2019'!Maxi_hp)</f>
        <v>19.717901161584987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1.2166315439413822E-2</v>
      </c>
      <c r="M23" s="844"/>
      <c r="N23" s="844"/>
      <c r="O23" s="48">
        <f>IF(t&lt;Tnet,'2019'!Resal+('2019'!Salim-'2019'!Resal)*(1-EXP(('2019'!Tnet-t)/('2019'!Tau_j))),Resal+(Salim-Resal)*(1-EXP((Tnet-t)/(Tau_j))))*Salcycl</f>
        <v>7.4500323391121323E-2</v>
      </c>
      <c r="P23" s="169">
        <f>(INDEX(Models!$BJ23:$BT23,,T23)*(1-R23)+INDEX(Models!$BJ23:$BT23,,T23+1)*R23-ERP_i)*Q23*Ramure*Pc/MaxiM</f>
        <v>3.545170585188813E-4</v>
      </c>
      <c r="Q23" s="305">
        <f t="shared" si="2"/>
        <v>0.7</v>
      </c>
      <c r="R23" s="177">
        <f t="shared" si="3"/>
        <v>0.19950761342844037</v>
      </c>
      <c r="S23" s="810">
        <f t="shared" si="4"/>
        <v>-1</v>
      </c>
      <c r="T23" s="176">
        <f t="shared" si="5"/>
        <v>5</v>
      </c>
      <c r="U23" s="251">
        <f t="shared" si="20"/>
        <v>-0.80049238657155963</v>
      </c>
      <c r="V23" s="383">
        <f t="shared" si="6"/>
        <v>19.068876095862091</v>
      </c>
      <c r="W23" s="402"/>
      <c r="X23" s="157">
        <f t="shared" si="7"/>
        <v>43839</v>
      </c>
      <c r="Y23" s="385">
        <f t="shared" si="8"/>
        <v>18.021000000000001</v>
      </c>
      <c r="Z23" s="385">
        <f t="shared" si="9"/>
        <v>18.24294947789334</v>
      </c>
      <c r="AA23" s="386">
        <f t="shared" si="10"/>
        <v>19.711459592009035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7.4500323391121323E-2</v>
      </c>
      <c r="AD23" s="231">
        <f>(INDEX(Models!$BJ23:$BT23,,AH23)*(1-AF23)+INDEX(Models!$BJ23:$BT23,,AH23+1)*AF23-ERP_i)*AE23*Ramure*Pc/MaxiM</f>
        <v>3.545170585188813E-4</v>
      </c>
      <c r="AE23" s="305">
        <f t="shared" si="12"/>
        <v>0.7</v>
      </c>
      <c r="AF23" s="177">
        <f t="shared" si="21"/>
        <v>0.19950761342844037</v>
      </c>
      <c r="AG23" s="810">
        <f t="shared" si="22"/>
        <v>-1</v>
      </c>
      <c r="AH23" s="176">
        <f t="shared" si="13"/>
        <v>5</v>
      </c>
      <c r="AI23" s="225">
        <f t="shared" si="23"/>
        <v>-0.80049238657155963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6">
        <v>8.0860000000000003</v>
      </c>
      <c r="C24" s="390"/>
      <c r="D24" s="393">
        <f t="shared" si="0"/>
        <v>8.1857789461886927</v>
      </c>
      <c r="E24" s="385">
        <f t="shared" si="17"/>
        <v>8.8456939944221737</v>
      </c>
      <c r="F24" s="385">
        <f t="shared" si="1"/>
        <v>8.8462430394879306</v>
      </c>
      <c r="G24" s="110">
        <f t="shared" si="18"/>
        <v>0.42043639852123355</v>
      </c>
      <c r="H24" s="414" t="b">
        <f>Wh_hp&gt;='2019'!Maxi_hp</f>
        <v>0</v>
      </c>
      <c r="I24" s="380">
        <f>IF(H24,Wh_hp,'2019'!Maxi_hp)</f>
        <v>10.382626561505731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1.2189303772385696E-2</v>
      </c>
      <c r="M24" s="844"/>
      <c r="N24" s="844"/>
      <c r="O24" s="48">
        <f>IF(t&lt;Tnet,'2019'!Resal+('2019'!Salim-'2019'!Resal)*(1-EXP(('2019'!Tnet-t)/('2019'!Tau_j))),Resal+(Salim-Resal)*(1-EXP((Tnet-t)/(Tau_j))))*Salcycl</f>
        <v>7.4602970513065844E-2</v>
      </c>
      <c r="P24" s="169">
        <f>(INDEX(Models!$BJ24:$BT24,,T24)*(1-R24)+INDEX(Models!$BJ24:$BT24,,T24+1)*R24-ERP_i)*Q24*Ramure*Pc/MaxiM</f>
        <v>3.6036054417298353E-4</v>
      </c>
      <c r="Q24" s="305">
        <f t="shared" si="2"/>
        <v>0.7</v>
      </c>
      <c r="R24" s="177">
        <f t="shared" si="3"/>
        <v>0.19954004674721604</v>
      </c>
      <c r="S24" s="810">
        <f t="shared" si="4"/>
        <v>-1</v>
      </c>
      <c r="T24" s="176">
        <f t="shared" si="5"/>
        <v>5</v>
      </c>
      <c r="U24" s="251">
        <f t="shared" si="20"/>
        <v>-0.80045995325278396</v>
      </c>
      <c r="V24" s="383">
        <f t="shared" si="6"/>
        <v>19.226660355012452</v>
      </c>
      <c r="W24" s="402"/>
      <c r="X24" s="157">
        <f t="shared" si="7"/>
        <v>43840</v>
      </c>
      <c r="Y24" s="385">
        <f t="shared" si="8"/>
        <v>8.0860000000000003</v>
      </c>
      <c r="Z24" s="385">
        <f t="shared" si="9"/>
        <v>8.1857789461886927</v>
      </c>
      <c r="AA24" s="386">
        <f t="shared" si="10"/>
        <v>8.8456939944221737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7.4602970513065844E-2</v>
      </c>
      <c r="AD24" s="231">
        <f>(INDEX(Models!$BJ24:$BT24,,AH24)*(1-AF24)+INDEX(Models!$BJ24:$BT24,,AH24+1)*AF24-ERP_i)*AE24*Ramure*Pc/MaxiM</f>
        <v>3.6036054417298353E-4</v>
      </c>
      <c r="AE24" s="305">
        <f t="shared" si="12"/>
        <v>0.7</v>
      </c>
      <c r="AF24" s="177">
        <f t="shared" si="21"/>
        <v>0.19954004674721604</v>
      </c>
      <c r="AG24" s="810">
        <f t="shared" si="22"/>
        <v>-1</v>
      </c>
      <c r="AH24" s="176">
        <f t="shared" si="13"/>
        <v>5</v>
      </c>
      <c r="AI24" s="225">
        <f t="shared" si="23"/>
        <v>-0.80045995325278396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6">
        <v>19.419</v>
      </c>
      <c r="C25" s="390"/>
      <c r="D25" s="393">
        <f t="shared" si="0"/>
        <v>19.659082446847144</v>
      </c>
      <c r="E25" s="385">
        <f t="shared" si="17"/>
        <v>21.246299662641384</v>
      </c>
      <c r="F25" s="385">
        <f t="shared" si="1"/>
        <v>21.254088345725958</v>
      </c>
      <c r="G25" s="110">
        <f t="shared" si="18"/>
        <v>1.001308861687626</v>
      </c>
      <c r="H25" s="414" t="b">
        <f>Wh_hp&gt;='2019'!Maxi_hp</f>
        <v>1</v>
      </c>
      <c r="I25" s="380">
        <f>IF(H25,Wh_hp,'2019'!Maxi_hp)</f>
        <v>21.254088345725958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1.2212291570385503E-2</v>
      </c>
      <c r="M25" s="844"/>
      <c r="N25" s="844"/>
      <c r="O25" s="48">
        <f>IF(t&lt;Tnet,'2019'!Resal+('2019'!Salim-'2019'!Resal)*(1-EXP(('2019'!Tnet-t)/('2019'!Tau_j))),Resal+(Salim-Resal)*(1-EXP((Tnet-t)/(Tau_j))))*Salcycl</f>
        <v>7.4705583607348719E-2</v>
      </c>
      <c r="P25" s="169">
        <f>(INDEX(Models!$BJ25:$BT25,,T25)*(1-R25)+INDEX(Models!$BJ25:$BT25,,T25+1)*R25-ERP_i)*Q25*Ramure*Pc/MaxiM</f>
        <v>3.6645575937591942E-4</v>
      </c>
      <c r="Q25" s="305">
        <f t="shared" si="2"/>
        <v>0.7</v>
      </c>
      <c r="R25" s="177">
        <f t="shared" si="3"/>
        <v>0.19957383511310878</v>
      </c>
      <c r="S25" s="810">
        <f t="shared" si="4"/>
        <v>-1</v>
      </c>
      <c r="T25" s="176">
        <f t="shared" si="5"/>
        <v>5</v>
      </c>
      <c r="U25" s="251">
        <f t="shared" si="20"/>
        <v>-0.80042616488689122</v>
      </c>
      <c r="V25" s="383">
        <f t="shared" si="6"/>
        <v>19.393616438459183</v>
      </c>
      <c r="W25" s="402"/>
      <c r="X25" s="157">
        <f t="shared" si="7"/>
        <v>43841</v>
      </c>
      <c r="Y25" s="385">
        <f t="shared" si="8"/>
        <v>19.419</v>
      </c>
      <c r="Z25" s="385">
        <f t="shared" si="9"/>
        <v>19.659082446847144</v>
      </c>
      <c r="AA25" s="386">
        <f t="shared" si="10"/>
        <v>21.246299662641384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7.4705583607348719E-2</v>
      </c>
      <c r="AD25" s="231">
        <f>(INDEX(Models!$BJ25:$BT25,,AH25)*(1-AF25)+INDEX(Models!$BJ25:$BT25,,AH25+1)*AF25-ERP_i)*AE25*Ramure*Pc/MaxiM</f>
        <v>3.6645575937591942E-4</v>
      </c>
      <c r="AE25" s="305">
        <f t="shared" si="12"/>
        <v>0.7</v>
      </c>
      <c r="AF25" s="177">
        <f t="shared" si="21"/>
        <v>0.19957383511310878</v>
      </c>
      <c r="AG25" s="810">
        <f t="shared" si="22"/>
        <v>-1</v>
      </c>
      <c r="AH25" s="176">
        <f t="shared" si="13"/>
        <v>5</v>
      </c>
      <c r="AI25" s="225">
        <f t="shared" si="23"/>
        <v>-0.80042616488689122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6">
        <v>19.135999999999999</v>
      </c>
      <c r="C26" s="390"/>
      <c r="D26" s="393">
        <f t="shared" si="0"/>
        <v>19.373034478696418</v>
      </c>
      <c r="E26" s="385">
        <f t="shared" si="17"/>
        <v>20.939478342990103</v>
      </c>
      <c r="F26" s="385">
        <f t="shared" si="1"/>
        <v>20.947040284507079</v>
      </c>
      <c r="G26" s="110">
        <f t="shared" si="18"/>
        <v>0.97784616122826029</v>
      </c>
      <c r="H26" s="414" t="b">
        <f>Wh_hp&gt;='2019'!Maxi_hp</f>
        <v>1</v>
      </c>
      <c r="I26" s="380">
        <f>IF(H26,Wh_hp,'2019'!Maxi_hp)</f>
        <v>20.947040284507079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1.2235278833425567E-2</v>
      </c>
      <c r="M26" s="844"/>
      <c r="N26" s="844"/>
      <c r="O26" s="48">
        <f>IF(t&lt;Tnet,'2019'!Resal+('2019'!Salim-'2019'!Resal)*(1-EXP(('2019'!Tnet-t)/('2019'!Tau_j))),Resal+(Salim-Resal)*(1-EXP((Tnet-t)/(Tau_j))))*Salcycl</f>
        <v>7.4808160864145101E-2</v>
      </c>
      <c r="P26" s="169">
        <f>(INDEX(Models!$BJ26:$BT26,,T26)*(1-R26)+INDEX(Models!$BJ26:$BT26,,T26+1)*R26-ERP_i)*Q26*Ramure*Pc/MaxiM</f>
        <v>3.7279506525608611E-4</v>
      </c>
      <c r="Q26" s="305">
        <f t="shared" si="2"/>
        <v>0.7</v>
      </c>
      <c r="R26" s="177">
        <f t="shared" si="3"/>
        <v>0.19960903489524573</v>
      </c>
      <c r="S26" s="810">
        <f t="shared" si="4"/>
        <v>-1</v>
      </c>
      <c r="T26" s="176">
        <f t="shared" si="5"/>
        <v>5</v>
      </c>
      <c r="U26" s="251">
        <f t="shared" si="20"/>
        <v>-0.80039096510475427</v>
      </c>
      <c r="V26" s="383">
        <f t="shared" si="6"/>
        <v>19.569309592515385</v>
      </c>
      <c r="W26" s="402"/>
      <c r="X26" s="157">
        <f t="shared" si="7"/>
        <v>43842</v>
      </c>
      <c r="Y26" s="385">
        <f t="shared" si="8"/>
        <v>19.135999999999999</v>
      </c>
      <c r="Z26" s="385">
        <f t="shared" si="9"/>
        <v>19.373034478696418</v>
      </c>
      <c r="AA26" s="386">
        <f t="shared" si="10"/>
        <v>20.939478342990103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7.4808160864145101E-2</v>
      </c>
      <c r="AD26" s="231">
        <f>(INDEX(Models!$BJ26:$BT26,,AH26)*(1-AF26)+INDEX(Models!$BJ26:$BT26,,AH26+1)*AF26-ERP_i)*AE26*Ramure*Pc/MaxiM</f>
        <v>3.7279506525608611E-4</v>
      </c>
      <c r="AE26" s="305">
        <f t="shared" si="12"/>
        <v>0.7</v>
      </c>
      <c r="AF26" s="177">
        <f t="shared" si="21"/>
        <v>0.19960903489524573</v>
      </c>
      <c r="AG26" s="810">
        <f t="shared" si="22"/>
        <v>-1</v>
      </c>
      <c r="AH26" s="176">
        <f t="shared" si="13"/>
        <v>5</v>
      </c>
      <c r="AI26" s="225">
        <f t="shared" si="23"/>
        <v>-0.80039096510475427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6">
        <v>13.289</v>
      </c>
      <c r="C27" s="390"/>
      <c r="D27" s="393">
        <f t="shared" si="0"/>
        <v>13.453921745601471</v>
      </c>
      <c r="E27" s="385">
        <f t="shared" si="17"/>
        <v>14.5433762677883</v>
      </c>
      <c r="F27" s="385">
        <f t="shared" si="1"/>
        <v>14.546314827403963</v>
      </c>
      <c r="G27" s="110">
        <f t="shared" si="18"/>
        <v>0.67262883072497548</v>
      </c>
      <c r="H27" s="414" t="b">
        <f>Wh_hp&gt;='2019'!Maxi_hp</f>
        <v>1</v>
      </c>
      <c r="I27" s="380">
        <f>IF(H27,Wh_hp,'2019'!Maxi_hp)</f>
        <v>14.546314827403963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1.2258265561518544E-2</v>
      </c>
      <c r="M27" s="844"/>
      <c r="N27" s="844"/>
      <c r="O27" s="48">
        <f>IF(t&lt;Tnet,'2019'!Resal+('2019'!Salim-'2019'!Resal)*(1-EXP(('2019'!Tnet-t)/('2019'!Tau_j))),Resal+(Salim-Resal)*(1-EXP((Tnet-t)/(Tau_j))))*Salcycl</f>
        <v>7.4910701760486656E-2</v>
      </c>
      <c r="P27" s="169">
        <f>(INDEX(Models!$BJ27:$BT27,,T27)*(1-R27)+INDEX(Models!$BJ27:$BT27,,T27+1)*R27-ERP_i)*Q27*Ramure*Pc/MaxiM</f>
        <v>3.7937092324429267E-4</v>
      </c>
      <c r="Q27" s="305">
        <f t="shared" si="2"/>
        <v>0.7</v>
      </c>
      <c r="R27" s="177">
        <f t="shared" si="3"/>
        <v>0.19964570478682098</v>
      </c>
      <c r="S27" s="810">
        <f t="shared" si="4"/>
        <v>-1</v>
      </c>
      <c r="T27" s="176">
        <f t="shared" si="5"/>
        <v>5</v>
      </c>
      <c r="U27" s="251">
        <f t="shared" si="20"/>
        <v>-0.80035429521317902</v>
      </c>
      <c r="V27" s="383">
        <f t="shared" si="6"/>
        <v>19.753305271860093</v>
      </c>
      <c r="W27" s="402"/>
      <c r="X27" s="157">
        <f t="shared" si="7"/>
        <v>43843</v>
      </c>
      <c r="Y27" s="385">
        <f t="shared" si="8"/>
        <v>13.289</v>
      </c>
      <c r="Z27" s="385">
        <f t="shared" si="9"/>
        <v>13.453921745601471</v>
      </c>
      <c r="AA27" s="386">
        <f t="shared" si="10"/>
        <v>14.5433762677883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7.4910701760486656E-2</v>
      </c>
      <c r="AD27" s="231">
        <f>(INDEX(Models!$BJ27:$BT27,,AH27)*(1-AF27)+INDEX(Models!$BJ27:$BT27,,AH27+1)*AF27-ERP_i)*AE27*Ramure*Pc/MaxiM</f>
        <v>3.7937092324429267E-4</v>
      </c>
      <c r="AE27" s="305">
        <f t="shared" si="12"/>
        <v>0.7</v>
      </c>
      <c r="AF27" s="177">
        <f t="shared" si="21"/>
        <v>0.19964570478682098</v>
      </c>
      <c r="AG27" s="810">
        <f t="shared" si="22"/>
        <v>-1</v>
      </c>
      <c r="AH27" s="176">
        <f t="shared" si="13"/>
        <v>5</v>
      </c>
      <c r="AI27" s="225">
        <f t="shared" si="23"/>
        <v>-0.80035429521317902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6">
        <v>19.198</v>
      </c>
      <c r="C28" s="390"/>
      <c r="D28" s="393">
        <f t="shared" si="0"/>
        <v>19.436707093092178</v>
      </c>
      <c r="E28" s="385">
        <f t="shared" si="17"/>
        <v>21.012956334367857</v>
      </c>
      <c r="F28" s="385">
        <f t="shared" si="1"/>
        <v>21.020639575566872</v>
      </c>
      <c r="G28" s="110">
        <f t="shared" si="18"/>
        <v>0.96251894201946597</v>
      </c>
      <c r="H28" s="414" t="b">
        <f>Wh_hp&gt;='2019'!Maxi_hp</f>
        <v>1</v>
      </c>
      <c r="I28" s="380">
        <f>IF(H28,Wh_hp,'2019'!Maxi_hp)</f>
        <v>21.020639575566872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1.2281251754676759E-2</v>
      </c>
      <c r="M28" s="844"/>
      <c r="N28" s="844"/>
      <c r="O28" s="48">
        <f>IF(t&lt;Tnet,'2019'!Resal+('2019'!Salim-'2019'!Resal)*(1-EXP(('2019'!Tnet-t)/('2019'!Tau_j))),Resal+(Salim-Resal)*(1-EXP((Tnet-t)/(Tau_j))))*Salcycl</f>
        <v>7.5013206908807736E-2</v>
      </c>
      <c r="P28" s="169">
        <f>(INDEX(Models!$BJ28:$BT28,,T28)*(1-R28)+INDEX(Models!$BJ28:$BT28,,T28+1)*R28-ERP_i)*Q28*Ramure*Pc/MaxiM</f>
        <v>3.8617596219983234E-4</v>
      </c>
      <c r="Q28" s="305">
        <f t="shared" si="2"/>
        <v>0.7</v>
      </c>
      <c r="R28" s="177">
        <f t="shared" si="3"/>
        <v>0.19968390589913254</v>
      </c>
      <c r="S28" s="810">
        <f t="shared" si="4"/>
        <v>-1</v>
      </c>
      <c r="T28" s="176">
        <f t="shared" si="5"/>
        <v>5</v>
      </c>
      <c r="U28" s="251">
        <f t="shared" si="20"/>
        <v>-0.80031609410086746</v>
      </c>
      <c r="V28" s="383">
        <f t="shared" si="6"/>
        <v>19.945169139053963</v>
      </c>
      <c r="W28" s="402"/>
      <c r="X28" s="157">
        <f t="shared" si="7"/>
        <v>43844</v>
      </c>
      <c r="Y28" s="385">
        <f t="shared" si="8"/>
        <v>19.198</v>
      </c>
      <c r="Z28" s="385">
        <f t="shared" si="9"/>
        <v>19.436707093092178</v>
      </c>
      <c r="AA28" s="386">
        <f t="shared" si="10"/>
        <v>21.012956334367857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7.5013206908807736E-2</v>
      </c>
      <c r="AD28" s="231">
        <f>(INDEX(Models!$BJ28:$BT28,,AH28)*(1-AF28)+INDEX(Models!$BJ28:$BT28,,AH28+1)*AF28-ERP_i)*AE28*Ramure*Pc/MaxiM</f>
        <v>3.8617596219983234E-4</v>
      </c>
      <c r="AE28" s="305">
        <f t="shared" si="12"/>
        <v>0.7</v>
      </c>
      <c r="AF28" s="177">
        <f t="shared" si="21"/>
        <v>0.19968390589913254</v>
      </c>
      <c r="AG28" s="810">
        <f t="shared" si="22"/>
        <v>-1</v>
      </c>
      <c r="AH28" s="176">
        <f t="shared" si="13"/>
        <v>5</v>
      </c>
      <c r="AI28" s="225">
        <f t="shared" si="23"/>
        <v>-0.80031609410086746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6">
        <v>17.149000000000001</v>
      </c>
      <c r="C29" s="390"/>
      <c r="D29" s="393">
        <f t="shared" si="0"/>
        <v>17.362633970486367</v>
      </c>
      <c r="E29" s="385">
        <f t="shared" si="17"/>
        <v>18.772762772196536</v>
      </c>
      <c r="F29" s="385">
        <f t="shared" si="1"/>
        <v>18.778578045273587</v>
      </c>
      <c r="G29" s="110">
        <f t="shared" si="18"/>
        <v>0.85122962481929931</v>
      </c>
      <c r="H29" s="414" t="b">
        <f>Wh_hp&gt;='2019'!Maxi_hp</f>
        <v>0</v>
      </c>
      <c r="I29" s="380">
        <f>IF(H29,Wh_hp,'2019'!Maxi_hp)</f>
        <v>21.52059891366666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1.2304237412912644E-2</v>
      </c>
      <c r="M29" s="844"/>
      <c r="N29" s="844"/>
      <c r="O29" s="48">
        <f>IF(t&lt;Tnet,'2019'!Resal+('2019'!Salim-'2019'!Resal)*(1-EXP(('2019'!Tnet-t)/('2019'!Tau_j))),Resal+(Salim-Resal)*(1-EXP((Tnet-t)/(Tau_j))))*Salcycl</f>
        <v>7.5115677901104919E-2</v>
      </c>
      <c r="P29" s="169">
        <f>(INDEX(Models!$BJ29:$BT29,,T29)*(1-R29)+INDEX(Models!$BJ29:$BT29,,T29+1)*R29-ERP_i)*Q29*Ramure*Pc/MaxiM</f>
        <v>3.9320303727443729E-4</v>
      </c>
      <c r="Q29" s="305">
        <f t="shared" si="2"/>
        <v>0.7</v>
      </c>
      <c r="R29" s="177">
        <f t="shared" si="3"/>
        <v>0.19972370185927046</v>
      </c>
      <c r="S29" s="810">
        <f t="shared" si="4"/>
        <v>-1</v>
      </c>
      <c r="T29" s="176">
        <f t="shared" si="5"/>
        <v>5</v>
      </c>
      <c r="U29" s="251">
        <f t="shared" si="20"/>
        <v>-0.80027629814072954</v>
      </c>
      <c r="V29" s="383">
        <f t="shared" si="6"/>
        <v>20.144467073807633</v>
      </c>
      <c r="W29" s="402"/>
      <c r="X29" s="157">
        <f t="shared" si="7"/>
        <v>43845</v>
      </c>
      <c r="Y29" s="385">
        <f t="shared" si="8"/>
        <v>17.149000000000001</v>
      </c>
      <c r="Z29" s="385">
        <f t="shared" si="9"/>
        <v>17.362633970486367</v>
      </c>
      <c r="AA29" s="386">
        <f t="shared" si="10"/>
        <v>18.772762772196536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7.5115677901104919E-2</v>
      </c>
      <c r="AD29" s="231">
        <f>(INDEX(Models!$BJ29:$BT29,,AH29)*(1-AF29)+INDEX(Models!$BJ29:$BT29,,AH29+1)*AF29-ERP_i)*AE29*Ramure*Pc/MaxiM</f>
        <v>3.9320303727443729E-4</v>
      </c>
      <c r="AE29" s="305">
        <f t="shared" si="12"/>
        <v>0.7</v>
      </c>
      <c r="AF29" s="177">
        <f t="shared" si="21"/>
        <v>0.19972370185927046</v>
      </c>
      <c r="AG29" s="810">
        <f t="shared" si="22"/>
        <v>-1</v>
      </c>
      <c r="AH29" s="176">
        <f t="shared" si="13"/>
        <v>5</v>
      </c>
      <c r="AI29" s="225">
        <f t="shared" si="23"/>
        <v>-0.80027629814072954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6">
        <v>19.166</v>
      </c>
      <c r="C30" s="390"/>
      <c r="D30" s="393">
        <f t="shared" si="0"/>
        <v>19.405212371263538</v>
      </c>
      <c r="E30" s="385">
        <f t="shared" si="17"/>
        <v>20.983555940207985</v>
      </c>
      <c r="F30" s="385">
        <f t="shared" si="1"/>
        <v>20.99129138275644</v>
      </c>
      <c r="G30" s="110">
        <f t="shared" si="18"/>
        <v>0.94175268059480355</v>
      </c>
      <c r="H30" s="414" t="b">
        <f>Wh_hp&gt;='2019'!Maxi_hp</f>
        <v>0</v>
      </c>
      <c r="I30" s="380">
        <f>IF(H30,Wh_hp,'2019'!Maxi_hp)</f>
        <v>21.236104947240008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1.2327222536238636E-2</v>
      </c>
      <c r="M30" s="844"/>
      <c r="N30" s="844"/>
      <c r="O30" s="48">
        <f>IF(t&lt;Tnet,'2019'!Resal+('2019'!Salim-'2019'!Resal)*(1-EXP(('2019'!Tnet-t)/('2019'!Tau_j))),Resal+(Salim-Resal)*(1-EXP((Tnet-t)/(Tau_j))))*Salcycl</f>
        <v>7.5218117150491037E-2</v>
      </c>
      <c r="P30" s="169">
        <f>(INDEX(Models!$BJ30:$BT30,,T30)*(1-R30)+INDEX(Models!$BJ30:$BT30,,T30+1)*R30-ERP_i)*Q30*Ramure*Pc/MaxiM</f>
        <v>4.0193427734548442E-4</v>
      </c>
      <c r="Q30" s="305">
        <f t="shared" si="2"/>
        <v>0.7</v>
      </c>
      <c r="R30" s="177">
        <f t="shared" si="3"/>
        <v>0.19976515891158508</v>
      </c>
      <c r="S30" s="810">
        <f t="shared" si="4"/>
        <v>-1</v>
      </c>
      <c r="T30" s="176">
        <f t="shared" si="5"/>
        <v>5</v>
      </c>
      <c r="U30" s="251">
        <f t="shared" si="20"/>
        <v>-0.80023484108841492</v>
      </c>
      <c r="V30" s="383">
        <f t="shared" si="6"/>
        <v>20.350734854128504</v>
      </c>
      <c r="W30" s="402"/>
      <c r="X30" s="157">
        <f t="shared" si="7"/>
        <v>43846</v>
      </c>
      <c r="Y30" s="385">
        <f t="shared" si="8"/>
        <v>19.166</v>
      </c>
      <c r="Z30" s="385">
        <f t="shared" si="9"/>
        <v>19.405212371263538</v>
      </c>
      <c r="AA30" s="386">
        <f t="shared" si="10"/>
        <v>20.983555940207985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7.5218117150491037E-2</v>
      </c>
      <c r="AD30" s="231">
        <f>(INDEX(Models!$BJ30:$BT30,,AH30)*(1-AF30)+INDEX(Models!$BJ30:$BT30,,AH30+1)*AF30-ERP_i)*AE30*Ramure*Pc/MaxiM</f>
        <v>4.0193427734548442E-4</v>
      </c>
      <c r="AE30" s="305">
        <f t="shared" si="12"/>
        <v>0.7</v>
      </c>
      <c r="AF30" s="177">
        <f t="shared" si="21"/>
        <v>0.19976515891158508</v>
      </c>
      <c r="AG30" s="810">
        <f t="shared" si="22"/>
        <v>-1</v>
      </c>
      <c r="AH30" s="176">
        <f t="shared" si="13"/>
        <v>5</v>
      </c>
      <c r="AI30" s="225">
        <f t="shared" si="23"/>
        <v>-0.80023484108841492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6">
        <v>4.3360000000000003</v>
      </c>
      <c r="C31" s="390"/>
      <c r="D31" s="393">
        <f t="shared" si="0"/>
        <v>4.3902201279024791</v>
      </c>
      <c r="E31" s="385">
        <f t="shared" si="17"/>
        <v>4.7478291230300336</v>
      </c>
      <c r="F31" s="385">
        <f t="shared" si="1"/>
        <v>4.7478291230300336</v>
      </c>
      <c r="G31" s="110">
        <f t="shared" si="18"/>
        <v>0.21077170800947015</v>
      </c>
      <c r="H31" s="414" t="b">
        <f>Wh_hp&gt;='2019'!Maxi_hp</f>
        <v>0</v>
      </c>
      <c r="I31" s="380">
        <f>IF(H31,Wh_hp,'2019'!Maxi_hp)</f>
        <v>10.408297971270743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1.2350207124667278E-2</v>
      </c>
      <c r="M31" s="844"/>
      <c r="N31" s="844"/>
      <c r="O31" s="48">
        <f>IF(t&lt;Tnet,'2019'!Resal+('2019'!Salim-'2019'!Resal)*(1-EXP(('2019'!Tnet-t)/('2019'!Tau_j))),Resal+(Salim-Resal)*(1-EXP((Tnet-t)/(Tau_j))))*Salcycl</f>
        <v>7.5320527731910156E-2</v>
      </c>
      <c r="P31" s="169">
        <f>(INDEX(Models!$BJ31:$BT31,,T31)*(1-R31)+INDEX(Models!$BJ31:$BT31,,T31+1)*R31-ERP_i)*Q31*Ramure*Pc/MaxiM</f>
        <v>4.1211163977719406E-4</v>
      </c>
      <c r="Q31" s="305">
        <f t="shared" si="2"/>
        <v>0.7</v>
      </c>
      <c r="R31" s="177">
        <f t="shared" si="3"/>
        <v>0.19980834602306841</v>
      </c>
      <c r="S31" s="810">
        <f t="shared" si="4"/>
        <v>-1</v>
      </c>
      <c r="T31" s="176">
        <f t="shared" si="5"/>
        <v>5</v>
      </c>
      <c r="U31" s="251">
        <f t="shared" si="20"/>
        <v>-0.80019165397693159</v>
      </c>
      <c r="V31" s="383">
        <f t="shared" si="6"/>
        <v>20.563543014678171</v>
      </c>
      <c r="W31" s="402"/>
      <c r="X31" s="157">
        <f t="shared" si="7"/>
        <v>43847</v>
      </c>
      <c r="Y31" s="385">
        <f t="shared" si="8"/>
        <v>4.3360000000000003</v>
      </c>
      <c r="Z31" s="385">
        <f t="shared" si="9"/>
        <v>4.3902201279024791</v>
      </c>
      <c r="AA31" s="386">
        <f t="shared" si="10"/>
        <v>4.7478291230300336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7.5320527731910156E-2</v>
      </c>
      <c r="AD31" s="231">
        <f>(INDEX(Models!$BJ31:$BT31,,AH31)*(1-AF31)+INDEX(Models!$BJ31:$BT31,,AH31+1)*AF31-ERP_i)*AE31*Ramure*Pc/MaxiM</f>
        <v>4.1211163977719406E-4</v>
      </c>
      <c r="AE31" s="305">
        <f t="shared" si="12"/>
        <v>0.7</v>
      </c>
      <c r="AF31" s="177">
        <f t="shared" si="21"/>
        <v>0.19980834602306841</v>
      </c>
      <c r="AG31" s="810">
        <f t="shared" si="22"/>
        <v>-1</v>
      </c>
      <c r="AH31" s="176">
        <f t="shared" si="13"/>
        <v>5</v>
      </c>
      <c r="AI31" s="225">
        <f t="shared" si="23"/>
        <v>-0.80019165397693159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6">
        <v>15.961</v>
      </c>
      <c r="C32" s="390"/>
      <c r="D32" s="393">
        <f t="shared" si="0"/>
        <v>16.160962680874391</v>
      </c>
      <c r="E32" s="385">
        <f t="shared" si="17"/>
        <v>17.479302604419175</v>
      </c>
      <c r="F32" s="385">
        <f t="shared" si="1"/>
        <v>17.484255336184773</v>
      </c>
      <c r="G32" s="110">
        <f t="shared" si="18"/>
        <v>0.76789559969962873</v>
      </c>
      <c r="H32" s="414" t="b">
        <f>Wh_hp&gt;='2019'!Maxi_hp</f>
        <v>1</v>
      </c>
      <c r="I32" s="380">
        <f>IF(H32,Wh_hp,'2019'!Maxi_hp)</f>
        <v>17.484255336184773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1.2373191178211007E-2</v>
      </c>
      <c r="M32" s="844"/>
      <c r="N32" s="844"/>
      <c r="O32" s="48">
        <f>IF(t&lt;Tnet,'2019'!Resal+('2019'!Salim-'2019'!Resal)*(1-EXP(('2019'!Tnet-t)/('2019'!Tau_j))),Resal+(Salim-Resal)*(1-EXP((Tnet-t)/(Tau_j))))*Salcycl</f>
        <v>7.5422913223750512E-2</v>
      </c>
      <c r="P32" s="169">
        <f>(INDEX(Models!$BJ32:$BT32,,T32)*(1-R32)+INDEX(Models!$BJ32:$BT32,,T32+1)*R32-ERP_i)*Q32*Ramure*Pc/MaxiM</f>
        <v>4.2368845587171638E-4</v>
      </c>
      <c r="Q32" s="305">
        <f t="shared" si="2"/>
        <v>0.7</v>
      </c>
      <c r="R32" s="177">
        <f t="shared" si="3"/>
        <v>0.19985333499278168</v>
      </c>
      <c r="S32" s="810">
        <f t="shared" si="4"/>
        <v>-1</v>
      </c>
      <c r="T32" s="176">
        <f t="shared" si="5"/>
        <v>5</v>
      </c>
      <c r="U32" s="251">
        <f t="shared" si="20"/>
        <v>-0.80014666500721832</v>
      </c>
      <c r="V32" s="383">
        <f t="shared" si="6"/>
        <v>20.782458086576742</v>
      </c>
      <c r="W32" s="402"/>
      <c r="X32" s="157">
        <f t="shared" si="7"/>
        <v>43848</v>
      </c>
      <c r="Y32" s="385">
        <f t="shared" si="8"/>
        <v>15.960999999999999</v>
      </c>
      <c r="Z32" s="385">
        <f t="shared" si="9"/>
        <v>16.160962680874391</v>
      </c>
      <c r="AA32" s="386">
        <f t="shared" si="10"/>
        <v>17.479302604419175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7.5422913223750512E-2</v>
      </c>
      <c r="AD32" s="231">
        <f>(INDEX(Models!$BJ32:$BT32,,AH32)*(1-AF32)+INDEX(Models!$BJ32:$BT32,,AH32+1)*AF32-ERP_i)*AE32*Ramure*Pc/MaxiM</f>
        <v>4.2368845587171638E-4</v>
      </c>
      <c r="AE32" s="305">
        <f t="shared" si="12"/>
        <v>0.7</v>
      </c>
      <c r="AF32" s="177">
        <f t="shared" si="21"/>
        <v>0.19985333499278168</v>
      </c>
      <c r="AG32" s="810">
        <f t="shared" si="22"/>
        <v>-1</v>
      </c>
      <c r="AH32" s="176">
        <f t="shared" si="13"/>
        <v>5</v>
      </c>
      <c r="AI32" s="225">
        <f t="shared" si="23"/>
        <v>-0.80014666500721832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6">
        <v>21.565999999999999</v>
      </c>
      <c r="C33" s="390"/>
      <c r="D33" s="393">
        <f t="shared" si="0"/>
        <v>21.8366914419159</v>
      </c>
      <c r="E33" s="385">
        <f t="shared" si="17"/>
        <v>23.620647392168415</v>
      </c>
      <c r="F33" s="385">
        <f t="shared" si="1"/>
        <v>23.630965099383026</v>
      </c>
      <c r="G33" s="110">
        <f t="shared" si="18"/>
        <v>1.0266078889181824</v>
      </c>
      <c r="H33" s="414" t="b">
        <f>Wh_hp&gt;='2019'!Maxi_hp</f>
        <v>1</v>
      </c>
      <c r="I33" s="380">
        <f>IF(H33,Wh_hp,'2019'!Maxi_hp)</f>
        <v>23.630965099383026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1.2396174696882145E-2</v>
      </c>
      <c r="M33" s="844"/>
      <c r="N33" s="844"/>
      <c r="O33" s="48">
        <f>IF(t&lt;Tnet,'2019'!Resal+('2019'!Salim-'2019'!Resal)*(1-EXP(('2019'!Tnet-t)/('2019'!Tau_j))),Resal+(Salim-Resal)*(1-EXP((Tnet-t)/(Tau_j))))*Salcycl</f>
        <v>7.5525277552045259E-2</v>
      </c>
      <c r="P33" s="169">
        <f>(INDEX(Models!$BJ33:$BT33,,T33)*(1-R33)+INDEX(Models!$BJ33:$BT33,,T33+1)*R33-ERP_i)*Q33*Ramure*Pc/MaxiM</f>
        <v>4.3661810557539277E-4</v>
      </c>
      <c r="Q33" s="305">
        <f t="shared" si="2"/>
        <v>0.7</v>
      </c>
      <c r="R33" s="177">
        <f t="shared" si="3"/>
        <v>0.19990020056547042</v>
      </c>
      <c r="S33" s="810">
        <f t="shared" si="4"/>
        <v>-1</v>
      </c>
      <c r="T33" s="176">
        <f t="shared" si="5"/>
        <v>5</v>
      </c>
      <c r="U33" s="251">
        <f t="shared" si="20"/>
        <v>-0.80009979943452958</v>
      </c>
      <c r="V33" s="383">
        <f t="shared" si="6"/>
        <v>21.007046831410765</v>
      </c>
      <c r="W33" s="402"/>
      <c r="X33" s="157">
        <f t="shared" si="7"/>
        <v>43849</v>
      </c>
      <c r="Y33" s="385">
        <f t="shared" si="8"/>
        <v>21.565999999999999</v>
      </c>
      <c r="Z33" s="385">
        <f t="shared" si="9"/>
        <v>21.8366914419159</v>
      </c>
      <c r="AA33" s="386">
        <f t="shared" si="10"/>
        <v>23.620647392168415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7.5525277552045259E-2</v>
      </c>
      <c r="AD33" s="231">
        <f>(INDEX(Models!$BJ33:$BT33,,AH33)*(1-AF33)+INDEX(Models!$BJ33:$BT33,,AH33+1)*AF33-ERP_i)*AE33*Ramure*Pc/MaxiM</f>
        <v>4.3661810557539277E-4</v>
      </c>
      <c r="AE33" s="305">
        <f t="shared" si="12"/>
        <v>0.7</v>
      </c>
      <c r="AF33" s="177">
        <f t="shared" si="21"/>
        <v>0.19990020056547042</v>
      </c>
      <c r="AG33" s="810">
        <f t="shared" si="22"/>
        <v>-1</v>
      </c>
      <c r="AH33" s="176">
        <f t="shared" si="13"/>
        <v>5</v>
      </c>
      <c r="AI33" s="225">
        <f t="shared" si="23"/>
        <v>-0.80009979943452958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6">
        <v>10.503</v>
      </c>
      <c r="C34" s="390"/>
      <c r="D34" s="393">
        <f t="shared" si="0"/>
        <v>10.635078719564863</v>
      </c>
      <c r="E34" s="385">
        <f t="shared" si="17"/>
        <v>11.505188823618008</v>
      </c>
      <c r="F34" s="385">
        <f t="shared" si="1"/>
        <v>11.506630779358042</v>
      </c>
      <c r="G34" s="110">
        <f t="shared" si="18"/>
        <v>0.49440324063596414</v>
      </c>
      <c r="H34" s="414" t="b">
        <f>Wh_hp&gt;='2019'!Maxi_hp</f>
        <v>1</v>
      </c>
      <c r="I34" s="380">
        <f>IF(H34,Wh_hp,'2019'!Maxi_hp)</f>
        <v>11.506630779358042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1.2419157680693349E-2</v>
      </c>
      <c r="M34" s="844"/>
      <c r="N34" s="844"/>
      <c r="O34" s="48">
        <f>IF(t&lt;Tnet,'2019'!Resal+('2019'!Salim-'2019'!Resal)*(1-EXP(('2019'!Tnet-t)/('2019'!Tau_j))),Resal+(Salim-Resal)*(1-EXP((Tnet-t)/(Tau_j))))*Salcycl</f>
        <v>7.5627624838887617E-2</v>
      </c>
      <c r="P34" s="169">
        <f>(INDEX(Models!$BJ34:$BT34,,T34)*(1-R34)+INDEX(Models!$BJ34:$BT34,,T34+1)*R34-ERP_i)*Q34*Ramure*Pc/MaxiM</f>
        <v>4.5085690048435545E-4</v>
      </c>
      <c r="Q34" s="305">
        <f t="shared" si="2"/>
        <v>0.7</v>
      </c>
      <c r="R34" s="177">
        <f t="shared" si="3"/>
        <v>0.19994902054950447</v>
      </c>
      <c r="S34" s="810">
        <f t="shared" si="4"/>
        <v>-1</v>
      </c>
      <c r="T34" s="176">
        <f t="shared" si="5"/>
        <v>5</v>
      </c>
      <c r="U34" s="251">
        <f t="shared" si="20"/>
        <v>-0.80005097945049553</v>
      </c>
      <c r="V34" s="383">
        <f t="shared" si="6"/>
        <v>21.23687618529625</v>
      </c>
      <c r="W34" s="402"/>
      <c r="X34" s="157">
        <f t="shared" si="7"/>
        <v>43850</v>
      </c>
      <c r="Y34" s="385">
        <f t="shared" si="8"/>
        <v>10.503</v>
      </c>
      <c r="Z34" s="385">
        <f t="shared" si="9"/>
        <v>10.635078719564863</v>
      </c>
      <c r="AA34" s="386">
        <f t="shared" si="10"/>
        <v>11.505188823618008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7.5627624838887617E-2</v>
      </c>
      <c r="AD34" s="231">
        <f>(INDEX(Models!$BJ34:$BT34,,AH34)*(1-AF34)+INDEX(Models!$BJ34:$BT34,,AH34+1)*AF34-ERP_i)*AE34*Ramure*Pc/MaxiM</f>
        <v>4.5085690048435545E-4</v>
      </c>
      <c r="AE34" s="305">
        <f t="shared" si="12"/>
        <v>0.7</v>
      </c>
      <c r="AF34" s="177">
        <f t="shared" si="21"/>
        <v>0.19994902054950447</v>
      </c>
      <c r="AG34" s="810">
        <f t="shared" si="22"/>
        <v>-1</v>
      </c>
      <c r="AH34" s="176">
        <f t="shared" si="13"/>
        <v>5</v>
      </c>
      <c r="AI34" s="225">
        <f t="shared" si="23"/>
        <v>-0.80005097945049553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6">
        <v>3.3170000000000002</v>
      </c>
      <c r="C35" s="390"/>
      <c r="D35" s="393">
        <f t="shared" si="0"/>
        <v>3.35879054259716</v>
      </c>
      <c r="E35" s="385">
        <f t="shared" si="17"/>
        <v>3.6339926585694418</v>
      </c>
      <c r="F35" s="385">
        <f t="shared" si="1"/>
        <v>3.6339926585694418</v>
      </c>
      <c r="G35" s="110">
        <f t="shared" si="18"/>
        <v>0.15441170950736585</v>
      </c>
      <c r="H35" s="414" t="b">
        <f>Wh_hp&gt;='2019'!Maxi_hp</f>
        <v>0</v>
      </c>
      <c r="I35" s="380">
        <f>IF(H35,Wh_hp,'2019'!Maxi_hp)</f>
        <v>6.2560822241985727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1.2442140129656831E-2</v>
      </c>
      <c r="M35" s="844"/>
      <c r="N35" s="844"/>
      <c r="O35" s="48">
        <f>IF(t&lt;Tnet,'2019'!Resal+('2019'!Salim-'2019'!Resal)*(1-EXP(('2019'!Tnet-t)/('2019'!Tau_j))),Resal+(Salim-Resal)*(1-EXP((Tnet-t)/(Tau_j))))*Salcycl</f>
        <v>7.5729959256609358E-2</v>
      </c>
      <c r="P35" s="169">
        <f>(INDEX(Models!$BJ35:$BT35,,T35)*(1-R35)+INDEX(Models!$BJ35:$BT35,,T35+1)*R35-ERP_i)*Q35*Ramure*Pc/MaxiM</f>
        <v>4.663634137594036E-4</v>
      </c>
      <c r="Q35" s="305">
        <f t="shared" si="2"/>
        <v>0.7</v>
      </c>
      <c r="R35" s="177">
        <f t="shared" si="3"/>
        <v>0.19999987593929347</v>
      </c>
      <c r="S35" s="810">
        <f t="shared" si="4"/>
        <v>-1</v>
      </c>
      <c r="T35" s="176">
        <f t="shared" si="5"/>
        <v>5</v>
      </c>
      <c r="U35" s="251">
        <f t="shared" si="20"/>
        <v>-0.80000012406070653</v>
      </c>
      <c r="V35" s="383">
        <f t="shared" si="6"/>
        <v>21.47151328830023</v>
      </c>
      <c r="W35" s="402"/>
      <c r="X35" s="157">
        <f t="shared" si="7"/>
        <v>43851</v>
      </c>
      <c r="Y35" s="385">
        <f t="shared" si="8"/>
        <v>3.3170000000000002</v>
      </c>
      <c r="Z35" s="385">
        <f t="shared" si="9"/>
        <v>3.35879054259716</v>
      </c>
      <c r="AA35" s="386">
        <f t="shared" si="10"/>
        <v>3.6339926585694418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7.5729959256609358E-2</v>
      </c>
      <c r="AD35" s="231">
        <f>(INDEX(Models!$BJ35:$BT35,,AH35)*(1-AF35)+INDEX(Models!$BJ35:$BT35,,AH35+1)*AF35-ERP_i)*AE35*Ramure*Pc/MaxiM</f>
        <v>4.663634137594036E-4</v>
      </c>
      <c r="AE35" s="305">
        <f t="shared" si="12"/>
        <v>0.7</v>
      </c>
      <c r="AF35" s="177">
        <f t="shared" si="21"/>
        <v>0.19999987593929347</v>
      </c>
      <c r="AG35" s="810">
        <f t="shared" si="22"/>
        <v>-1</v>
      </c>
      <c r="AH35" s="176">
        <f t="shared" si="13"/>
        <v>5</v>
      </c>
      <c r="AI35" s="225">
        <f t="shared" si="23"/>
        <v>-0.80000012406070653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6">
        <v>1.095</v>
      </c>
      <c r="C36" s="390"/>
      <c r="D36" s="393">
        <f t="shared" si="0"/>
        <v>1.1088215965254746</v>
      </c>
      <c r="E36" s="385">
        <f t="shared" si="17"/>
        <v>1.1998055963170191</v>
      </c>
      <c r="F36" s="385">
        <f t="shared" si="1"/>
        <v>1.1998055963170191</v>
      </c>
      <c r="G36" s="110">
        <f t="shared" si="18"/>
        <v>5.0411999845252901E-2</v>
      </c>
      <c r="H36" s="414" t="b">
        <f>Wh_hp&gt;='2019'!Maxi_hp</f>
        <v>0</v>
      </c>
      <c r="I36" s="380">
        <f>IF(H36,Wh_hp,'2019'!Maxi_hp)</f>
        <v>9.7513802293931189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1.2465122043785137E-2</v>
      </c>
      <c r="M36" s="844"/>
      <c r="N36" s="844"/>
      <c r="O36" s="48">
        <f>IF(t&lt;Tnet,'2019'!Resal+('2019'!Salim-'2019'!Resal)*(1-EXP(('2019'!Tnet-t)/('2019'!Tau_j))),Resal+(Salim-Resal)*(1-EXP((Tnet-t)/(Tau_j))))*Salcycl</f>
        <v>7.5832284889179771E-2</v>
      </c>
      <c r="P36" s="169">
        <f>(INDEX(Models!$BJ36:$BT36,,T36)*(1-R36)+INDEX(Models!$BJ36:$BT36,,T36+1)*R36-ERP_i)*Q36*Ramure*Pc/MaxiM</f>
        <v>4.8309573735081876E-4</v>
      </c>
      <c r="Q36" s="305">
        <f t="shared" si="2"/>
        <v>0.7</v>
      </c>
      <c r="R36" s="177">
        <f t="shared" si="3"/>
        <v>0.20005285104231918</v>
      </c>
      <c r="S36" s="810">
        <f t="shared" si="4"/>
        <v>-1</v>
      </c>
      <c r="T36" s="176">
        <f t="shared" si="5"/>
        <v>5</v>
      </c>
      <c r="U36" s="251">
        <f t="shared" si="20"/>
        <v>-0.79994714895768082</v>
      </c>
      <c r="V36" s="383">
        <f t="shared" si="6"/>
        <v>21.710525540094451</v>
      </c>
      <c r="W36" s="402"/>
      <c r="X36" s="157">
        <f t="shared" si="7"/>
        <v>43852</v>
      </c>
      <c r="Y36" s="385">
        <f t="shared" si="8"/>
        <v>1.095</v>
      </c>
      <c r="Z36" s="385">
        <f t="shared" si="9"/>
        <v>1.1088215965254746</v>
      </c>
      <c r="AA36" s="386">
        <f t="shared" si="10"/>
        <v>1.1998055963170191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7.5832284889179771E-2</v>
      </c>
      <c r="AD36" s="231">
        <f>(INDEX(Models!$BJ36:$BT36,,AH36)*(1-AF36)+INDEX(Models!$BJ36:$BT36,,AH36+1)*AF36-ERP_i)*AE36*Ramure*Pc/MaxiM</f>
        <v>4.8309573735081876E-4</v>
      </c>
      <c r="AE36" s="305">
        <f t="shared" si="12"/>
        <v>0.7</v>
      </c>
      <c r="AF36" s="177">
        <f t="shared" si="21"/>
        <v>0.20005285104231918</v>
      </c>
      <c r="AG36" s="810">
        <f t="shared" si="22"/>
        <v>-1</v>
      </c>
      <c r="AH36" s="176">
        <f t="shared" si="13"/>
        <v>5</v>
      </c>
      <c r="AI36" s="225">
        <f t="shared" si="23"/>
        <v>-0.79994714895768082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6">
        <v>12.343</v>
      </c>
      <c r="C37" s="390"/>
      <c r="D37" s="393">
        <f t="shared" si="0"/>
        <v>12.499089927711777</v>
      </c>
      <c r="E37" s="385">
        <f t="shared" si="17"/>
        <v>13.526196309793571</v>
      </c>
      <c r="F37" s="385">
        <f t="shared" si="1"/>
        <v>13.528734811569544</v>
      </c>
      <c r="G37" s="110">
        <f t="shared" si="18"/>
        <v>0.56200842526310035</v>
      </c>
      <c r="H37" s="414" t="b">
        <f>Wh_hp&gt;='2019'!Maxi_hp</f>
        <v>1</v>
      </c>
      <c r="I37" s="380">
        <f>IF(H37,Wh_hp,'2019'!Maxi_hp)</f>
        <v>13.528734811569544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1.2488103423090813E-2</v>
      </c>
      <c r="M37" s="844"/>
      <c r="N37" s="844"/>
      <c r="O37" s="48">
        <f>IF(t&lt;Tnet,'2019'!Resal+('2019'!Salim-'2019'!Resal)*(1-EXP(('2019'!Tnet-t)/('2019'!Tau_j))),Resal+(Salim-Resal)*(1-EXP((Tnet-t)/(Tau_j))))*Salcycl</f>
        <v>7.5934605602176852E-2</v>
      </c>
      <c r="P37" s="169">
        <f>(INDEX(Models!$BJ37:$BT37,,T37)*(1-R37)+INDEX(Models!$BJ37:$BT37,,T37+1)*R37-ERP_i)*Q37*Ramure*Pc/MaxiM</f>
        <v>5.0096932561253843E-4</v>
      </c>
      <c r="Q37" s="305">
        <f t="shared" si="2"/>
        <v>0.7</v>
      </c>
      <c r="R37" s="177">
        <f t="shared" si="3"/>
        <v>0.20010803361094098</v>
      </c>
      <c r="S37" s="810">
        <f t="shared" si="4"/>
        <v>-1</v>
      </c>
      <c r="T37" s="176">
        <f t="shared" si="5"/>
        <v>5</v>
      </c>
      <c r="U37" s="251">
        <f t="shared" si="20"/>
        <v>-0.79989196638905902</v>
      </c>
      <c r="V37" s="383">
        <f t="shared" si="6"/>
        <v>21.9554214283331</v>
      </c>
      <c r="W37" s="402"/>
      <c r="X37" s="157">
        <f t="shared" si="7"/>
        <v>43853</v>
      </c>
      <c r="Y37" s="385">
        <f t="shared" si="8"/>
        <v>12.343</v>
      </c>
      <c r="Z37" s="385">
        <f t="shared" si="9"/>
        <v>12.499089927711777</v>
      </c>
      <c r="AA37" s="386">
        <f t="shared" si="10"/>
        <v>13.526196309793571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7.5934605602176852E-2</v>
      </c>
      <c r="AD37" s="231">
        <f>(INDEX(Models!$BJ37:$BT37,,AH37)*(1-AF37)+INDEX(Models!$BJ37:$BT37,,AH37+1)*AF37-ERP_i)*AE37*Ramure*Pc/MaxiM</f>
        <v>5.0096932561253843E-4</v>
      </c>
      <c r="AE37" s="305">
        <f t="shared" si="12"/>
        <v>0.7</v>
      </c>
      <c r="AF37" s="177">
        <f t="shared" si="21"/>
        <v>0.20010803361094098</v>
      </c>
      <c r="AG37" s="810">
        <f t="shared" si="22"/>
        <v>-1</v>
      </c>
      <c r="AH37" s="176">
        <f t="shared" si="13"/>
        <v>5</v>
      </c>
      <c r="AI37" s="225">
        <f t="shared" si="23"/>
        <v>-0.79989196638905902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6">
        <v>14.760999999999999</v>
      </c>
      <c r="C38" s="390"/>
      <c r="D38" s="393">
        <f t="shared" si="0"/>
        <v>14.948015886387815</v>
      </c>
      <c r="E38" s="385">
        <f t="shared" si="17"/>
        <v>16.178152882500303</v>
      </c>
      <c r="F38" s="385">
        <f t="shared" si="1"/>
        <v>16.182546783871064</v>
      </c>
      <c r="G38" s="110">
        <f t="shared" si="18"/>
        <v>0.66451334829137554</v>
      </c>
      <c r="H38" s="414" t="b">
        <f>Wh_hp&gt;='2019'!Maxi_hp</f>
        <v>1</v>
      </c>
      <c r="I38" s="380">
        <f>IF(H38,Wh_hp,'2019'!Maxi_hp)</f>
        <v>16.182546783871064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1.2511084267586181E-2</v>
      </c>
      <c r="M38" s="844"/>
      <c r="N38" s="844"/>
      <c r="O38" s="48">
        <f>IF(t&lt;Tnet,'2019'!Resal+('2019'!Salim-'2019'!Resal)*(1-EXP(('2019'!Tnet-t)/('2019'!Tau_j))),Resal+(Salim-Resal)*(1-EXP((Tnet-t)/(Tau_j))))*Salcycl</f>
        <v>7.6036924922567084E-2</v>
      </c>
      <c r="P38" s="169">
        <f>(INDEX(Models!$BJ38:$BT38,,T38)*(1-R38)+INDEX(Models!$BJ38:$BT38,,T38+1)*R38-ERP_i)*Q38*Ramure*Pc/MaxiM</f>
        <v>5.2118308767386571E-4</v>
      </c>
      <c r="Q38" s="305">
        <f t="shared" si="2"/>
        <v>0.7</v>
      </c>
      <c r="R38" s="177">
        <f t="shared" si="3"/>
        <v>0.2001655149791246</v>
      </c>
      <c r="S38" s="810">
        <f t="shared" si="4"/>
        <v>-1</v>
      </c>
      <c r="T38" s="176">
        <f t="shared" si="5"/>
        <v>5</v>
      </c>
      <c r="U38" s="251">
        <f t="shared" si="20"/>
        <v>-0.7998344850208754</v>
      </c>
      <c r="V38" s="383">
        <f t="shared" si="6"/>
        <v>22.207700981550801</v>
      </c>
      <c r="W38" s="402"/>
      <c r="X38" s="157">
        <f t="shared" si="7"/>
        <v>43854</v>
      </c>
      <c r="Y38" s="385">
        <f t="shared" si="8"/>
        <v>14.760999999999999</v>
      </c>
      <c r="Z38" s="385">
        <f t="shared" si="9"/>
        <v>14.948015886387815</v>
      </c>
      <c r="AA38" s="386">
        <f t="shared" si="10"/>
        <v>16.178152882500303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7.6036924922567084E-2</v>
      </c>
      <c r="AD38" s="231">
        <f>(INDEX(Models!$BJ38:$BT38,,AH38)*(1-AF38)+INDEX(Models!$BJ38:$BT38,,AH38+1)*AF38-ERP_i)*AE38*Ramure*Pc/MaxiM</f>
        <v>5.2118308767386571E-4</v>
      </c>
      <c r="AE38" s="305">
        <f t="shared" si="12"/>
        <v>0.7</v>
      </c>
      <c r="AF38" s="177">
        <f t="shared" si="21"/>
        <v>0.2001655149791246</v>
      </c>
      <c r="AG38" s="810">
        <f t="shared" si="22"/>
        <v>-1</v>
      </c>
      <c r="AH38" s="176">
        <f t="shared" si="13"/>
        <v>5</v>
      </c>
      <c r="AI38" s="225">
        <f t="shared" si="23"/>
        <v>-0.7998344850208754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6">
        <v>13.605</v>
      </c>
      <c r="C39" s="390"/>
      <c r="D39" s="393">
        <f t="shared" si="0"/>
        <v>13.777690461976238</v>
      </c>
      <c r="E39" s="385">
        <f t="shared" si="17"/>
        <v>14.913167813732455</v>
      </c>
      <c r="F39" s="385">
        <f t="shared" si="1"/>
        <v>14.91670595346323</v>
      </c>
      <c r="G39" s="110">
        <f t="shared" si="18"/>
        <v>0.6053702143631583</v>
      </c>
      <c r="H39" s="414" t="b">
        <f>Wh_hp&gt;='2019'!Maxi_hp</f>
        <v>1</v>
      </c>
      <c r="I39" s="380">
        <f>IF(H39,Wh_hp,'2019'!Maxi_hp)</f>
        <v>14.91670595346323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1.2534064577283788E-2</v>
      </c>
      <c r="M39" s="844"/>
      <c r="N39" s="844"/>
      <c r="O39" s="48">
        <f>IF(t&lt;Tnet,'2019'!Resal+('2019'!Salim-'2019'!Resal)*(1-EXP(('2019'!Tnet-t)/('2019'!Tau_j))),Resal+(Salim-Resal)*(1-EXP((Tnet-t)/(Tau_j))))*Salcycl</f>
        <v>7.6139245929401952E-2</v>
      </c>
      <c r="P39" s="169">
        <f>(INDEX(Models!$BJ39:$BT39,,T39)*(1-R39)+INDEX(Models!$BJ39:$BT39,,T39+1)*R39-ERP_i)*Q39*Ramure*Pc/MaxiM</f>
        <v>5.4338761517400635E-4</v>
      </c>
      <c r="Q39" s="305">
        <f t="shared" si="2"/>
        <v>0.7</v>
      </c>
      <c r="R39" s="177">
        <f t="shared" si="3"/>
        <v>0.20022539020425112</v>
      </c>
      <c r="S39" s="810">
        <f t="shared" si="4"/>
        <v>-1</v>
      </c>
      <c r="T39" s="176">
        <f t="shared" si="5"/>
        <v>5</v>
      </c>
      <c r="U39" s="251">
        <f t="shared" si="20"/>
        <v>-0.79977460979574888</v>
      </c>
      <c r="V39" s="383">
        <f t="shared" si="6"/>
        <v>22.46696800172877</v>
      </c>
      <c r="W39" s="402"/>
      <c r="X39" s="157">
        <f t="shared" si="7"/>
        <v>43855</v>
      </c>
      <c r="Y39" s="385">
        <f t="shared" si="8"/>
        <v>13.605</v>
      </c>
      <c r="Z39" s="385">
        <f t="shared" si="9"/>
        <v>13.777690461976238</v>
      </c>
      <c r="AA39" s="386">
        <f t="shared" si="10"/>
        <v>14.913167813732455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7.6139245929401952E-2</v>
      </c>
      <c r="AD39" s="231">
        <f>(INDEX(Models!$BJ39:$BT39,,AH39)*(1-AF39)+INDEX(Models!$BJ39:$BT39,,AH39+1)*AF39-ERP_i)*AE39*Ramure*Pc/MaxiM</f>
        <v>5.4338761517400635E-4</v>
      </c>
      <c r="AE39" s="305">
        <f t="shared" si="12"/>
        <v>0.7</v>
      </c>
      <c r="AF39" s="177">
        <f t="shared" si="21"/>
        <v>0.20022539020425112</v>
      </c>
      <c r="AG39" s="810">
        <f t="shared" si="22"/>
        <v>-1</v>
      </c>
      <c r="AH39" s="176">
        <f t="shared" si="13"/>
        <v>5</v>
      </c>
      <c r="AI39" s="225">
        <f t="shared" si="23"/>
        <v>-0.79977460979574888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6">
        <v>6.4950000000000001</v>
      </c>
      <c r="C40" s="390"/>
      <c r="D40" s="393">
        <f t="shared" si="0"/>
        <v>6.577595154080579</v>
      </c>
      <c r="E40" s="385">
        <f t="shared" si="17"/>
        <v>7.1204710546616896</v>
      </c>
      <c r="F40" s="385">
        <f t="shared" si="1"/>
        <v>7.1204710546616896</v>
      </c>
      <c r="G40" s="110">
        <f t="shared" si="18"/>
        <v>0.28554811375634376</v>
      </c>
      <c r="H40" s="414" t="b">
        <f>Wh_hp&gt;='2019'!Maxi_hp</f>
        <v>0</v>
      </c>
      <c r="I40" s="380">
        <f>IF(H40,Wh_hp,'2019'!Maxi_hp)</f>
        <v>12.61251316956573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1.2557044352195956E-2</v>
      </c>
      <c r="M40" s="844"/>
      <c r="N40" s="844"/>
      <c r="O40" s="48">
        <f>IF(t&lt;Tnet,'2019'!Resal+('2019'!Salim-'2019'!Resal)*(1-EXP(('2019'!Tnet-t)/('2019'!Tau_j))),Resal+(Salim-Resal)*(1-EXP((Tnet-t)/(Tau_j))))*Salcycl</f>
        <v>7.62415711564048E-2</v>
      </c>
      <c r="P40" s="169">
        <f>(INDEX(Models!$BJ40:$BT40,,T40)*(1-R40)+INDEX(Models!$BJ40:$BT40,,T40+1)*R40-ERP_i)*Q40*Ramure*Pc/MaxiM</f>
        <v>5.6750413250233867E-4</v>
      </c>
      <c r="Q40" s="305">
        <f t="shared" si="2"/>
        <v>0.7</v>
      </c>
      <c r="R40" s="177">
        <f t="shared" si="3"/>
        <v>0.20028775821416533</v>
      </c>
      <c r="S40" s="810">
        <f t="shared" si="4"/>
        <v>-1</v>
      </c>
      <c r="T40" s="176">
        <f t="shared" si="5"/>
        <v>5</v>
      </c>
      <c r="U40" s="251">
        <f t="shared" si="20"/>
        <v>-0.79971224178583467</v>
      </c>
      <c r="V40" s="383">
        <f t="shared" si="6"/>
        <v>22.732820662924748</v>
      </c>
      <c r="W40" s="402"/>
      <c r="X40" s="157">
        <f t="shared" si="7"/>
        <v>43856</v>
      </c>
      <c r="Y40" s="385">
        <f t="shared" si="8"/>
        <v>6.4950000000000001</v>
      </c>
      <c r="Z40" s="385">
        <f t="shared" si="9"/>
        <v>6.577595154080579</v>
      </c>
      <c r="AA40" s="386">
        <f t="shared" si="10"/>
        <v>7.1204710546616896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7.62415711564048E-2</v>
      </c>
      <c r="AD40" s="231">
        <f>(INDEX(Models!$BJ40:$BT40,,AH40)*(1-AF40)+INDEX(Models!$BJ40:$BT40,,AH40+1)*AF40-ERP_i)*AE40*Ramure*Pc/MaxiM</f>
        <v>5.6750413250233867E-4</v>
      </c>
      <c r="AE40" s="305">
        <f t="shared" si="12"/>
        <v>0.7</v>
      </c>
      <c r="AF40" s="177">
        <f t="shared" si="21"/>
        <v>0.20028775821416533</v>
      </c>
      <c r="AG40" s="810">
        <f t="shared" si="22"/>
        <v>-1</v>
      </c>
      <c r="AH40" s="176">
        <f t="shared" si="13"/>
        <v>5</v>
      </c>
      <c r="AI40" s="225">
        <f t="shared" si="23"/>
        <v>-0.79971224178583467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6">
        <v>10.119999999999999</v>
      </c>
      <c r="C41" s="390"/>
      <c r="D41" s="393">
        <f t="shared" si="0"/>
        <v>10.248931803889159</v>
      </c>
      <c r="E41" s="385">
        <f t="shared" si="17"/>
        <v>11.096047361902377</v>
      </c>
      <c r="F41" s="385">
        <f t="shared" si="1"/>
        <v>11.097363646923537</v>
      </c>
      <c r="G41" s="110">
        <f t="shared" si="18"/>
        <v>0.43969818435491043</v>
      </c>
      <c r="H41" s="414" t="b">
        <f>Wh_hp&gt;='2019'!Maxi_hp</f>
        <v>0</v>
      </c>
      <c r="I41" s="380">
        <f>IF(H41,Wh_hp,'2019'!Maxi_hp)</f>
        <v>13.988346832149588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1.2580023592335121E-2</v>
      </c>
      <c r="M41" s="844"/>
      <c r="N41" s="844"/>
      <c r="O41" s="48">
        <f>IF(t&lt;Tnet,'2019'!Resal+('2019'!Salim-'2019'!Resal)*(1-EXP(('2019'!Tnet-t)/('2019'!Tau_j))),Resal+(Salim-Resal)*(1-EXP((Tnet-t)/(Tau_j))))*Salcycl</f>
        <v>7.6343902507278419E-2</v>
      </c>
      <c r="P41" s="169">
        <f>(INDEX(Models!$BJ41:$BT41,,T41)*(1-R41)+INDEX(Models!$BJ41:$BT41,,T41+1)*R41-ERP_i)*Q41*Ramure*Pc/MaxiM</f>
        <v>5.9345585517029363E-4</v>
      </c>
      <c r="Q41" s="305">
        <f t="shared" si="2"/>
        <v>0.7</v>
      </c>
      <c r="R41" s="177">
        <f t="shared" si="3"/>
        <v>0.20035272195962273</v>
      </c>
      <c r="S41" s="810">
        <f t="shared" si="4"/>
        <v>-1</v>
      </c>
      <c r="T41" s="176">
        <f t="shared" si="5"/>
        <v>5</v>
      </c>
      <c r="U41" s="251">
        <f t="shared" si="20"/>
        <v>-0.79964727804037727</v>
      </c>
      <c r="V41" s="383">
        <f t="shared" si="6"/>
        <v>23.004857363925982</v>
      </c>
      <c r="W41" s="402"/>
      <c r="X41" s="157">
        <f t="shared" si="7"/>
        <v>43857</v>
      </c>
      <c r="Y41" s="385">
        <f t="shared" si="8"/>
        <v>10.119999999999999</v>
      </c>
      <c r="Z41" s="385">
        <f t="shared" si="9"/>
        <v>10.248931803889159</v>
      </c>
      <c r="AA41" s="386">
        <f t="shared" si="10"/>
        <v>11.096047361902377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7.6343902507278419E-2</v>
      </c>
      <c r="AD41" s="231">
        <f>(INDEX(Models!$BJ41:$BT41,,AH41)*(1-AF41)+INDEX(Models!$BJ41:$BT41,,AH41+1)*AF41-ERP_i)*AE41*Ramure*Pc/MaxiM</f>
        <v>5.9345585517029363E-4</v>
      </c>
      <c r="AE41" s="305">
        <f t="shared" si="12"/>
        <v>0.7</v>
      </c>
      <c r="AF41" s="177">
        <f t="shared" si="21"/>
        <v>0.20035272195962273</v>
      </c>
      <c r="AG41" s="810">
        <f t="shared" si="22"/>
        <v>-1</v>
      </c>
      <c r="AH41" s="176">
        <f t="shared" si="13"/>
        <v>5</v>
      </c>
      <c r="AI41" s="225">
        <f t="shared" si="23"/>
        <v>-0.79964727804037727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6">
        <v>15.744999999999999</v>
      </c>
      <c r="C42" s="390"/>
      <c r="D42" s="393">
        <f t="shared" si="0"/>
        <v>15.945967059490023</v>
      </c>
      <c r="E42" s="385">
        <f t="shared" si="17"/>
        <v>17.265878577485275</v>
      </c>
      <c r="F42" s="385">
        <f t="shared" si="1"/>
        <v>17.271645259588524</v>
      </c>
      <c r="G42" s="110">
        <f t="shared" si="18"/>
        <v>0.67605951567561762</v>
      </c>
      <c r="H42" s="414" t="b">
        <f>Wh_hp&gt;='2019'!Maxi_hp</f>
        <v>1</v>
      </c>
      <c r="I42" s="380">
        <f>IF(H42,Wh_hp,'2019'!Maxi_hp)</f>
        <v>17.271645259588524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1.2603002297713939E-2</v>
      </c>
      <c r="M42" s="844"/>
      <c r="N42" s="844"/>
      <c r="O42" s="48">
        <f>IF(t&lt;Tnet,'2019'!Resal+('2019'!Salim-'2019'!Resal)*(1-EXP(('2019'!Tnet-t)/('2019'!Tau_j))),Resal+(Salim-Resal)*(1-EXP((Tnet-t)/(Tau_j))))*Salcycl</f>
        <v>7.6446241184414343E-2</v>
      </c>
      <c r="P42" s="169">
        <f>(INDEX(Models!$BJ42:$BT42,,T42)*(1-R42)+INDEX(Models!$BJ42:$BT42,,T42+1)*R42-ERP_i)*Q42*Ramure*Pc/MaxiM</f>
        <v>6.211684339792917E-4</v>
      </c>
      <c r="Q42" s="305">
        <f t="shared" si="2"/>
        <v>0.7</v>
      </c>
      <c r="R42" s="177">
        <f t="shared" si="3"/>
        <v>0.20042038857229949</v>
      </c>
      <c r="S42" s="810">
        <f t="shared" si="4"/>
        <v>-1</v>
      </c>
      <c r="T42" s="176">
        <f t="shared" si="5"/>
        <v>5</v>
      </c>
      <c r="U42" s="251">
        <f t="shared" si="20"/>
        <v>-0.79957961142770051</v>
      </c>
      <c r="V42" s="383">
        <f t="shared" si="6"/>
        <v>23.2826767330879</v>
      </c>
      <c r="W42" s="402"/>
      <c r="X42" s="157">
        <f t="shared" si="7"/>
        <v>43858</v>
      </c>
      <c r="Y42" s="385">
        <f t="shared" si="8"/>
        <v>15.744999999999999</v>
      </c>
      <c r="Z42" s="385">
        <f t="shared" si="9"/>
        <v>15.945967059490023</v>
      </c>
      <c r="AA42" s="386">
        <f t="shared" si="10"/>
        <v>17.265878577485275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7.6446241184414343E-2</v>
      </c>
      <c r="AD42" s="231">
        <f>(INDEX(Models!$BJ42:$BT42,,AH42)*(1-AF42)+INDEX(Models!$BJ42:$BT42,,AH42+1)*AF42-ERP_i)*AE42*Ramure*Pc/MaxiM</f>
        <v>6.211684339792917E-4</v>
      </c>
      <c r="AE42" s="305">
        <f t="shared" si="12"/>
        <v>0.7</v>
      </c>
      <c r="AF42" s="177">
        <f t="shared" si="21"/>
        <v>0.20042038857229949</v>
      </c>
      <c r="AG42" s="810">
        <f t="shared" si="22"/>
        <v>-1</v>
      </c>
      <c r="AH42" s="176">
        <f t="shared" si="13"/>
        <v>5</v>
      </c>
      <c r="AI42" s="225">
        <f t="shared" si="23"/>
        <v>-0.79957961142770051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6">
        <v>14.798999999999999</v>
      </c>
      <c r="C43" s="390"/>
      <c r="D43" s="393">
        <f t="shared" si="0"/>
        <v>14.988241241165797</v>
      </c>
      <c r="E43" s="385">
        <f t="shared" si="17"/>
        <v>16.230676612128377</v>
      </c>
      <c r="F43" s="385">
        <f t="shared" si="1"/>
        <v>16.235625620989971</v>
      </c>
      <c r="G43" s="110">
        <f t="shared" si="18"/>
        <v>0.62776706124534343</v>
      </c>
      <c r="H43" s="414" t="b">
        <f>Wh_hp&gt;='2019'!Maxi_hp</f>
        <v>1</v>
      </c>
      <c r="I43" s="380">
        <f>IF(H43,Wh_hp,'2019'!Maxi_hp)</f>
        <v>16.235625620989971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1.2625980468344622E-2</v>
      </c>
      <c r="M43" s="844"/>
      <c r="N43" s="844"/>
      <c r="O43" s="48">
        <f>IF(t&lt;Tnet,'2019'!Resal+('2019'!Salim-'2019'!Resal)*(1-EXP(('2019'!Tnet-t)/('2019'!Tau_j))),Resal+(Salim-Resal)*(1-EXP((Tnet-t)/(Tau_j))))*Salcycl</f>
        <v>7.65485876315328E-2</v>
      </c>
      <c r="P43" s="169">
        <f>(INDEX(Models!$BJ43:$BT43,,T43)*(1-R43)+INDEX(Models!$BJ43:$BT43,,T43+1)*R43-ERP_i)*Q43*Ramure*Pc/MaxiM</f>
        <v>6.5057033031617193E-4</v>
      </c>
      <c r="Q43" s="305">
        <f t="shared" si="2"/>
        <v>0.7</v>
      </c>
      <c r="R43" s="177">
        <f t="shared" si="3"/>
        <v>0.20049086952852768</v>
      </c>
      <c r="S43" s="810">
        <f t="shared" si="4"/>
        <v>-1</v>
      </c>
      <c r="T43" s="176">
        <f t="shared" si="5"/>
        <v>5</v>
      </c>
      <c r="U43" s="251">
        <f t="shared" si="20"/>
        <v>-0.79950913047147232</v>
      </c>
      <c r="V43" s="383">
        <f t="shared" si="6"/>
        <v>23.565877621888973</v>
      </c>
      <c r="W43" s="402"/>
      <c r="X43" s="157">
        <f t="shared" si="7"/>
        <v>43859</v>
      </c>
      <c r="Y43" s="385">
        <f t="shared" si="8"/>
        <v>14.798999999999999</v>
      </c>
      <c r="Z43" s="385">
        <f t="shared" si="9"/>
        <v>14.988241241165797</v>
      </c>
      <c r="AA43" s="386">
        <f t="shared" si="10"/>
        <v>16.230676612128377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7.65485876315328E-2</v>
      </c>
      <c r="AD43" s="231">
        <f>(INDEX(Models!$BJ43:$BT43,,AH43)*(1-AF43)+INDEX(Models!$BJ43:$BT43,,AH43+1)*AF43-ERP_i)*AE43*Ramure*Pc/MaxiM</f>
        <v>6.5057033031617193E-4</v>
      </c>
      <c r="AE43" s="305">
        <f t="shared" si="12"/>
        <v>0.7</v>
      </c>
      <c r="AF43" s="177">
        <f t="shared" si="21"/>
        <v>0.20049086952852768</v>
      </c>
      <c r="AG43" s="810">
        <f t="shared" si="22"/>
        <v>-1</v>
      </c>
      <c r="AH43" s="176">
        <f t="shared" si="13"/>
        <v>5</v>
      </c>
      <c r="AI43" s="225">
        <f t="shared" si="23"/>
        <v>-0.79950913047147232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6">
        <v>10.307</v>
      </c>
      <c r="C44" s="390"/>
      <c r="D44" s="393">
        <f t="shared" si="0"/>
        <v>10.439043017780259</v>
      </c>
      <c r="E44" s="385">
        <f t="shared" si="17"/>
        <v>11.305630218146021</v>
      </c>
      <c r="F44" s="385">
        <f t="shared" si="1"/>
        <v>11.307083616802787</v>
      </c>
      <c r="G44" s="110">
        <f t="shared" si="18"/>
        <v>0.431846793216631</v>
      </c>
      <c r="H44" s="414" t="b">
        <f>Wh_hp&gt;='2019'!Maxi_hp</f>
        <v>1</v>
      </c>
      <c r="I44" s="380">
        <f>IF(H44,Wh_hp,'2019'!Maxi_hp)</f>
        <v>11.307083616802787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1.2648958104239716E-2</v>
      </c>
      <c r="M44" s="844"/>
      <c r="N44" s="844"/>
      <c r="O44" s="48">
        <f>IF(t&lt;Tnet,'2019'!Resal+('2019'!Salim-'2019'!Resal)*(1-EXP(('2019'!Tnet-t)/('2019'!Tau_j))),Resal+(Salim-Resal)*(1-EXP((Tnet-t)/(Tau_j))))*Salcycl</f>
        <v>7.6650941490625873E-2</v>
      </c>
      <c r="P44" s="169">
        <f>(INDEX(Models!$BJ44:$BT44,,T44)*(1-R44)+INDEX(Models!$BJ44:$BT44,,T44+1)*R44-ERP_i)*Q44*Ramure*Pc/MaxiM</f>
        <v>6.8120314477093365E-4</v>
      </c>
      <c r="Q44" s="305">
        <f t="shared" si="2"/>
        <v>0.7</v>
      </c>
      <c r="R44" s="177">
        <f t="shared" si="3"/>
        <v>0.20056428081892241</v>
      </c>
      <c r="S44" s="810">
        <f t="shared" si="4"/>
        <v>-1</v>
      </c>
      <c r="T44" s="176">
        <f t="shared" si="5"/>
        <v>5</v>
      </c>
      <c r="U44" s="251">
        <f t="shared" si="20"/>
        <v>-0.79943571918107759</v>
      </c>
      <c r="V44" s="383">
        <f t="shared" si="6"/>
        <v>23.854068428531367</v>
      </c>
      <c r="W44" s="402"/>
      <c r="X44" s="157">
        <f t="shared" si="7"/>
        <v>43860</v>
      </c>
      <c r="Y44" s="385">
        <f t="shared" si="8"/>
        <v>10.307</v>
      </c>
      <c r="Z44" s="385">
        <f t="shared" si="9"/>
        <v>10.439043017780259</v>
      </c>
      <c r="AA44" s="386">
        <f t="shared" si="10"/>
        <v>11.305630218146021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7.6650941490625873E-2</v>
      </c>
      <c r="AD44" s="231">
        <f>(INDEX(Models!$BJ44:$BT44,,AH44)*(1-AF44)+INDEX(Models!$BJ44:$BT44,,AH44+1)*AF44-ERP_i)*AE44*Ramure*Pc/MaxiM</f>
        <v>6.8120314477093365E-4</v>
      </c>
      <c r="AE44" s="305">
        <f t="shared" si="12"/>
        <v>0.7</v>
      </c>
      <c r="AF44" s="177">
        <f t="shared" si="21"/>
        <v>0.20056428081892241</v>
      </c>
      <c r="AG44" s="810">
        <f t="shared" si="22"/>
        <v>-1</v>
      </c>
      <c r="AH44" s="176">
        <f t="shared" si="13"/>
        <v>5</v>
      </c>
      <c r="AI44" s="225">
        <f t="shared" si="23"/>
        <v>-0.79943571918107759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6">
        <v>18.97</v>
      </c>
      <c r="C45" s="390"/>
      <c r="D45" s="393">
        <f t="shared" si="0"/>
        <v>19.213471870615436</v>
      </c>
      <c r="E45" s="385">
        <f t="shared" si="17"/>
        <v>20.810766941663076</v>
      </c>
      <c r="F45" s="385">
        <f t="shared" si="1"/>
        <v>20.821047723853216</v>
      </c>
      <c r="G45" s="110">
        <f t="shared" si="18"/>
        <v>0.78543743915443442</v>
      </c>
      <c r="H45" s="414" t="b">
        <f>Wh_hp&gt;='2019'!Maxi_hp</f>
        <v>1</v>
      </c>
      <c r="I45" s="380">
        <f>IF(H45,Wh_hp,'2019'!Maxi_hp)</f>
        <v>20.821047723853216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1.2671935205411655E-2</v>
      </c>
      <c r="M45" s="844"/>
      <c r="N45" s="844"/>
      <c r="O45" s="48">
        <f>IF(t&lt;Tnet,'2019'!Resal+('2019'!Salim-'2019'!Resal)*(1-EXP(('2019'!Tnet-t)/('2019'!Tau_j))),Resal+(Salim-Resal)*(1-EXP((Tnet-t)/(Tau_j))))*Salcycl</f>
        <v>7.6753301573420599E-2</v>
      </c>
      <c r="P45" s="169">
        <f>(INDEX(Models!$BJ45:$BT45,,T45)*(1-R45)+INDEX(Models!$BJ45:$BT45,,T45+1)*R45-ERP_i)*Q45*Ramure*Pc/MaxiM</f>
        <v>7.1176247362835052E-4</v>
      </c>
      <c r="Q45" s="305">
        <f t="shared" si="2"/>
        <v>0.7</v>
      </c>
      <c r="R45" s="177">
        <f t="shared" si="3"/>
        <v>0.20064074312406655</v>
      </c>
      <c r="S45" s="810">
        <f t="shared" si="4"/>
        <v>-1</v>
      </c>
      <c r="T45" s="176">
        <f t="shared" si="5"/>
        <v>5</v>
      </c>
      <c r="U45" s="251">
        <f t="shared" si="20"/>
        <v>-0.79935925687593345</v>
      </c>
      <c r="V45" s="383">
        <f t="shared" si="6"/>
        <v>24.146878758539273</v>
      </c>
      <c r="W45" s="402"/>
      <c r="X45" s="157">
        <f t="shared" si="7"/>
        <v>43861</v>
      </c>
      <c r="Y45" s="385">
        <f t="shared" si="8"/>
        <v>18.97</v>
      </c>
      <c r="Z45" s="385">
        <f t="shared" si="9"/>
        <v>19.213471870615436</v>
      </c>
      <c r="AA45" s="386">
        <f t="shared" si="10"/>
        <v>20.810766941663076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7.6753301573420599E-2</v>
      </c>
      <c r="AD45" s="231">
        <f>(INDEX(Models!$BJ45:$BT45,,AH45)*(1-AF45)+INDEX(Models!$BJ45:$BT45,,AH45+1)*AF45-ERP_i)*AE45*Ramure*Pc/MaxiM</f>
        <v>7.1176247362835052E-4</v>
      </c>
      <c r="AE45" s="305">
        <f t="shared" si="12"/>
        <v>0.7</v>
      </c>
      <c r="AF45" s="177">
        <f t="shared" si="21"/>
        <v>0.20064074312406655</v>
      </c>
      <c r="AG45" s="810">
        <f t="shared" si="22"/>
        <v>-1</v>
      </c>
      <c r="AH45" s="176">
        <f t="shared" si="13"/>
        <v>5</v>
      </c>
      <c r="AI45" s="225">
        <f t="shared" si="23"/>
        <v>-0.79935925687593345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6">
        <v>11.407</v>
      </c>
      <c r="C46" s="390"/>
      <c r="D46" s="393">
        <f t="shared" si="0"/>
        <v>11.553672857567907</v>
      </c>
      <c r="E46" s="385">
        <f t="shared" si="17"/>
        <v>12.515564934029387</v>
      </c>
      <c r="F46" s="385">
        <f t="shared" si="1"/>
        <v>12.51777705891811</v>
      </c>
      <c r="G46" s="110">
        <f t="shared" si="18"/>
        <v>0.46639628187723753</v>
      </c>
      <c r="H46" s="414" t="b">
        <f>Wh_hp&gt;='2019'!Maxi_hp</f>
        <v>0</v>
      </c>
      <c r="I46" s="380">
        <f>IF(H46,Wh_hp,'2019'!Maxi_hp)</f>
        <v>21.147132908302876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1.2694911771872874E-2</v>
      </c>
      <c r="M46" s="844"/>
      <c r="N46" s="844"/>
      <c r="O46" s="48">
        <f>IF(t&lt;Tnet,'2019'!Resal+('2019'!Salim-'2019'!Resal)*(1-EXP(('2019'!Tnet-t)/('2019'!Tau_j))),Resal+(Salim-Resal)*(1-EXP((Tnet-t)/(Tau_j))))*Salcycl</f>
        <v>7.6855665847422386E-2</v>
      </c>
      <c r="P46" s="169">
        <f>(INDEX(Models!$BJ46:$BT46,,T46)*(1-R46)+INDEX(Models!$BJ46:$BT46,,T46+1)*R46-ERP_i)*Q46*Ramure*Pc/MaxiM</f>
        <v>7.4224703517766961E-4</v>
      </c>
      <c r="Q46" s="305">
        <f t="shared" si="2"/>
        <v>0.7</v>
      </c>
      <c r="R46" s="177">
        <f t="shared" si="3"/>
        <v>0.20072038199641884</v>
      </c>
      <c r="S46" s="810">
        <f t="shared" si="4"/>
        <v>-1</v>
      </c>
      <c r="T46" s="176">
        <f t="shared" si="5"/>
        <v>5</v>
      </c>
      <c r="U46" s="251">
        <f t="shared" si="20"/>
        <v>-0.79927961800358116</v>
      </c>
      <c r="V46" s="383">
        <f t="shared" si="6"/>
        <v>24.443908154281647</v>
      </c>
      <c r="W46" s="402"/>
      <c r="X46" s="157">
        <f t="shared" si="7"/>
        <v>43862</v>
      </c>
      <c r="Y46" s="385">
        <f t="shared" si="8"/>
        <v>11.407</v>
      </c>
      <c r="Z46" s="385">
        <f t="shared" si="9"/>
        <v>11.553672857567907</v>
      </c>
      <c r="AA46" s="386">
        <f t="shared" si="10"/>
        <v>12.515564934029387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7.6855665847422386E-2</v>
      </c>
      <c r="AD46" s="231">
        <f>(INDEX(Models!$BJ46:$BT46,,AH46)*(1-AF46)+INDEX(Models!$BJ46:$BT46,,AH46+1)*AF46-ERP_i)*AE46*Ramure*Pc/MaxiM</f>
        <v>7.4224703517766961E-4</v>
      </c>
      <c r="AE46" s="305">
        <f t="shared" si="12"/>
        <v>0.7</v>
      </c>
      <c r="AF46" s="177">
        <f t="shared" si="21"/>
        <v>0.20072038199641884</v>
      </c>
      <c r="AG46" s="810">
        <f t="shared" si="22"/>
        <v>-1</v>
      </c>
      <c r="AH46" s="176">
        <f t="shared" si="13"/>
        <v>5</v>
      </c>
      <c r="AI46" s="225">
        <f t="shared" si="23"/>
        <v>-0.79927961800358116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6">
        <v>22.423999999999999</v>
      </c>
      <c r="C47" s="390"/>
      <c r="D47" s="393">
        <f t="shared" si="0"/>
        <v>22.712859600093726</v>
      </c>
      <c r="E47" s="385">
        <f t="shared" si="17"/>
        <v>24.606529685144963</v>
      </c>
      <c r="F47" s="385">
        <f t="shared" si="1"/>
        <v>24.623005802832068</v>
      </c>
      <c r="G47" s="110">
        <f t="shared" si="18"/>
        <v>0.906118318465997</v>
      </c>
      <c r="H47" s="414" t="b">
        <f>Wh_hp&gt;='2019'!Maxi_hp</f>
        <v>1</v>
      </c>
      <c r="I47" s="380">
        <f>IF(H47,Wh_hp,'2019'!Maxi_hp)</f>
        <v>24.623005802832068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1.2717887803635919E-2</v>
      </c>
      <c r="M47" s="844"/>
      <c r="N47" s="844"/>
      <c r="O47" s="48">
        <f>IF(t&lt;Tnet,'2019'!Resal+('2019'!Salim-'2019'!Resal)*(1-EXP(('2019'!Tnet-t)/('2019'!Tau_j))),Resal+(Salim-Resal)*(1-EXP((Tnet-t)/(Tau_j))))*Salcycl</f>
        <v>7.6958031436446458E-2</v>
      </c>
      <c r="P47" s="169">
        <f>(INDEX(Models!$BJ47:$BT47,,T47)*(1-R47)+INDEX(Models!$BJ47:$BT47,,T47+1)*R47-ERP_i)*Q47*Ramure*Pc/MaxiM</f>
        <v>7.7265779334874407E-4</v>
      </c>
      <c r="Q47" s="305">
        <f t="shared" si="2"/>
        <v>0.7</v>
      </c>
      <c r="R47" s="177">
        <f t="shared" si="3"/>
        <v>0.20080332804861478</v>
      </c>
      <c r="S47" s="810">
        <f t="shared" si="4"/>
        <v>-1</v>
      </c>
      <c r="T47" s="176">
        <f t="shared" si="5"/>
        <v>5</v>
      </c>
      <c r="U47" s="251">
        <f t="shared" si="20"/>
        <v>-0.79919667195138522</v>
      </c>
      <c r="V47" s="383">
        <f t="shared" si="6"/>
        <v>24.744756392226162</v>
      </c>
      <c r="W47" s="402"/>
      <c r="X47" s="157">
        <f t="shared" si="7"/>
        <v>43863</v>
      </c>
      <c r="Y47" s="385">
        <f t="shared" si="8"/>
        <v>22.423999999999999</v>
      </c>
      <c r="Z47" s="385">
        <f t="shared" si="9"/>
        <v>22.712859600093726</v>
      </c>
      <c r="AA47" s="386">
        <f t="shared" si="10"/>
        <v>24.606529685144963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7.6958031436446458E-2</v>
      </c>
      <c r="AD47" s="231">
        <f>(INDEX(Models!$BJ47:$BT47,,AH47)*(1-AF47)+INDEX(Models!$BJ47:$BT47,,AH47+1)*AF47-ERP_i)*AE47*Ramure*Pc/MaxiM</f>
        <v>7.7265779334874407E-4</v>
      </c>
      <c r="AE47" s="305">
        <f t="shared" si="12"/>
        <v>0.7</v>
      </c>
      <c r="AF47" s="177">
        <f t="shared" si="21"/>
        <v>0.20080332804861478</v>
      </c>
      <c r="AG47" s="810">
        <f t="shared" si="22"/>
        <v>-1</v>
      </c>
      <c r="AH47" s="176">
        <f t="shared" si="13"/>
        <v>5</v>
      </c>
      <c r="AI47" s="225">
        <f t="shared" si="23"/>
        <v>-0.79919667195138522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6">
        <v>21.064</v>
      </c>
      <c r="C48" s="390"/>
      <c r="D48" s="393">
        <f t="shared" si="0"/>
        <v>21.335836982399044</v>
      </c>
      <c r="E48" s="385">
        <f t="shared" si="17"/>
        <v>23.117262341310358</v>
      </c>
      <c r="F48" s="385">
        <f t="shared" si="1"/>
        <v>23.131615520800864</v>
      </c>
      <c r="G48" s="110">
        <f t="shared" si="18"/>
        <v>0.8407574652353843</v>
      </c>
      <c r="H48" s="414" t="b">
        <f>Wh_hp&gt;='2019'!Maxi_hp</f>
        <v>1</v>
      </c>
      <c r="I48" s="380">
        <f>IF(H48,Wh_hp,'2019'!Maxi_hp)</f>
        <v>23.131615520800864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1.2740863300713001E-2</v>
      </c>
      <c r="M48" s="844"/>
      <c r="N48" s="844"/>
      <c r="O48" s="48">
        <f>IF(t&lt;Tnet,'2019'!Resal+('2019'!Salim-'2019'!Resal)*(1-EXP(('2019'!Tnet-t)/('2019'!Tau_j))),Resal+(Salim-Resal)*(1-EXP((Tnet-t)/(Tau_j))))*Salcycl</f>
        <v>7.7060394635394228E-2</v>
      </c>
      <c r="P48" s="169">
        <f>(INDEX(Models!$BJ48:$BT48,,T48)*(1-R48)+INDEX(Models!$BJ48:$BT48,,T48+1)*R48-ERP_i)*Q48*Ramure*Pc/MaxiM</f>
        <v>8.0299780422315298E-4</v>
      </c>
      <c r="Q48" s="305">
        <f t="shared" si="2"/>
        <v>0.7</v>
      </c>
      <c r="R48" s="177">
        <f t="shared" si="3"/>
        <v>0.20088971714832116</v>
      </c>
      <c r="S48" s="810">
        <f t="shared" si="4"/>
        <v>-1</v>
      </c>
      <c r="T48" s="176">
        <f t="shared" si="5"/>
        <v>5</v>
      </c>
      <c r="U48" s="251">
        <f t="shared" si="20"/>
        <v>-0.79911028285167884</v>
      </c>
      <c r="V48" s="383">
        <f t="shared" si="6"/>
        <v>25.049023483337624</v>
      </c>
      <c r="W48" s="402"/>
      <c r="X48" s="157">
        <f t="shared" si="7"/>
        <v>43864</v>
      </c>
      <c r="Y48" s="385">
        <f t="shared" si="8"/>
        <v>21.064</v>
      </c>
      <c r="Z48" s="385">
        <f t="shared" si="9"/>
        <v>21.335836982399044</v>
      </c>
      <c r="AA48" s="386">
        <f t="shared" si="10"/>
        <v>23.117262341310358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7.7060394635394228E-2</v>
      </c>
      <c r="AD48" s="231">
        <f>(INDEX(Models!$BJ48:$BT48,,AH48)*(1-AF48)+INDEX(Models!$BJ48:$BT48,,AH48+1)*AF48-ERP_i)*AE48*Ramure*Pc/MaxiM</f>
        <v>8.0299780422315298E-4</v>
      </c>
      <c r="AE48" s="305">
        <f t="shared" si="12"/>
        <v>0.7</v>
      </c>
      <c r="AF48" s="177">
        <f t="shared" si="21"/>
        <v>0.20088971714832116</v>
      </c>
      <c r="AG48" s="810">
        <f t="shared" si="22"/>
        <v>-1</v>
      </c>
      <c r="AH48" s="176">
        <f t="shared" si="13"/>
        <v>5</v>
      </c>
      <c r="AI48" s="225">
        <f t="shared" si="23"/>
        <v>-0.79911028285167884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6">
        <v>15.041</v>
      </c>
      <c r="C49" s="390"/>
      <c r="D49" s="393">
        <f t="shared" si="0"/>
        <v>15.23546298540947</v>
      </c>
      <c r="E49" s="385">
        <f t="shared" si="17"/>
        <v>16.50937150717521</v>
      </c>
      <c r="F49" s="385">
        <f t="shared" si="1"/>
        <v>16.515135370700101</v>
      </c>
      <c r="G49" s="110">
        <f t="shared" si="18"/>
        <v>0.59289832728654934</v>
      </c>
      <c r="H49" s="414" t="b">
        <f>Wh_hp&gt;='2019'!Maxi_hp</f>
        <v>0</v>
      </c>
      <c r="I49" s="380">
        <f>IF(H49,Wh_hp,'2019'!Maxi_hp)</f>
        <v>21.711002332701614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1.2763838263116778E-2</v>
      </c>
      <c r="M49" s="844"/>
      <c r="N49" s="844"/>
      <c r="O49" s="48">
        <f>IF(t&lt;Tnet,'2019'!Resal+('2019'!Salim-'2019'!Resal)*(1-EXP(('2019'!Tnet-t)/('2019'!Tau_j))),Resal+(Salim-Resal)*(1-EXP((Tnet-t)/(Tau_j))))*Salcycl</f>
        <v>7.7162750938888316E-2</v>
      </c>
      <c r="P49" s="169">
        <f>(INDEX(Models!$BJ49:$BT49,,T49)*(1-R49)+INDEX(Models!$BJ49:$BT49,,T49+1)*R49-ERP_i)*Q49*Ramure*Pc/MaxiM</f>
        <v>8.3327207012968594E-4</v>
      </c>
      <c r="Q49" s="305">
        <f t="shared" si="2"/>
        <v>0.7</v>
      </c>
      <c r="R49" s="177">
        <f t="shared" si="3"/>
        <v>0.20097969061981391</v>
      </c>
      <c r="S49" s="810">
        <f t="shared" si="4"/>
        <v>-1</v>
      </c>
      <c r="T49" s="176">
        <f t="shared" si="5"/>
        <v>5</v>
      </c>
      <c r="U49" s="251">
        <f t="shared" si="20"/>
        <v>-0.79902030938018609</v>
      </c>
      <c r="V49" s="383">
        <f t="shared" si="6"/>
        <v>25.356309678980633</v>
      </c>
      <c r="W49" s="402"/>
      <c r="X49" s="157">
        <f t="shared" si="7"/>
        <v>43865</v>
      </c>
      <c r="Y49" s="385">
        <f t="shared" si="8"/>
        <v>15.041</v>
      </c>
      <c r="Z49" s="385">
        <f t="shared" si="9"/>
        <v>15.23546298540947</v>
      </c>
      <c r="AA49" s="386">
        <f t="shared" si="10"/>
        <v>16.50937150717521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7.7162750938888316E-2</v>
      </c>
      <c r="AD49" s="231">
        <f>(INDEX(Models!$BJ49:$BT49,,AH49)*(1-AF49)+INDEX(Models!$BJ49:$BT49,,AH49+1)*AF49-ERP_i)*AE49*Ramure*Pc/MaxiM</f>
        <v>8.3327207012968594E-4</v>
      </c>
      <c r="AE49" s="305">
        <f t="shared" si="12"/>
        <v>0.7</v>
      </c>
      <c r="AF49" s="177">
        <f t="shared" si="21"/>
        <v>0.20097969061981391</v>
      </c>
      <c r="AG49" s="810">
        <f t="shared" si="22"/>
        <v>-1</v>
      </c>
      <c r="AH49" s="176">
        <f t="shared" si="13"/>
        <v>5</v>
      </c>
      <c r="AI49" s="225">
        <f t="shared" si="23"/>
        <v>-0.79902030938018609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6">
        <v>26.059000000000001</v>
      </c>
      <c r="C50" s="390"/>
      <c r="D50" s="393">
        <f t="shared" si="0"/>
        <v>26.396527452220681</v>
      </c>
      <c r="E50" s="385">
        <f t="shared" si="17"/>
        <v>28.606837469318407</v>
      </c>
      <c r="F50" s="385">
        <f t="shared" si="1"/>
        <v>28.631560461107572</v>
      </c>
      <c r="G50" s="110">
        <f t="shared" si="18"/>
        <v>1.0153035625042728</v>
      </c>
      <c r="H50" s="414" t="b">
        <f>Wh_hp&gt;='2019'!Maxi_hp</f>
        <v>1</v>
      </c>
      <c r="I50" s="380">
        <f>IF(H50,Wh_hp,'2019'!Maxi_hp)</f>
        <v>28.631560461107572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1.2786812690859684E-2</v>
      </c>
      <c r="M50" s="844"/>
      <c r="N50" s="844"/>
      <c r="O50" s="48">
        <f>IF(t&lt;Tnet,'2019'!Resal+('2019'!Salim-'2019'!Resal)*(1-EXP(('2019'!Tnet-t)/('2019'!Tau_j))),Resal+(Salim-Resal)*(1-EXP((Tnet-t)/(Tau_j))))*Salcycl</f>
        <v>7.7265095083241683E-2</v>
      </c>
      <c r="P50" s="169">
        <f>(INDEX(Models!$BJ50:$BT50,,T50)*(1-R50)+INDEX(Models!$BJ50:$BT50,,T50+1)*R50-ERP_i)*Q50*Ramure*Pc/MaxiM</f>
        <v>8.6348740309655887E-4</v>
      </c>
      <c r="Q50" s="305">
        <f t="shared" si="2"/>
        <v>0.7</v>
      </c>
      <c r="R50" s="177">
        <f t="shared" si="3"/>
        <v>0.20107339545243863</v>
      </c>
      <c r="S50" s="810">
        <f t="shared" si="4"/>
        <v>-1</v>
      </c>
      <c r="T50" s="176">
        <f t="shared" si="5"/>
        <v>5</v>
      </c>
      <c r="U50" s="251">
        <f t="shared" si="20"/>
        <v>-0.79892660454756137</v>
      </c>
      <c r="V50" s="383">
        <f t="shared" si="6"/>
        <v>25.666215467347318</v>
      </c>
      <c r="W50" s="402"/>
      <c r="X50" s="157">
        <f t="shared" si="7"/>
        <v>43866</v>
      </c>
      <c r="Y50" s="385">
        <f t="shared" si="8"/>
        <v>26.059000000000001</v>
      </c>
      <c r="Z50" s="385">
        <f t="shared" si="9"/>
        <v>26.396527452220681</v>
      </c>
      <c r="AA50" s="386">
        <f t="shared" si="10"/>
        <v>28.606837469318407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7.7265095083241683E-2</v>
      </c>
      <c r="AD50" s="231">
        <f>(INDEX(Models!$BJ50:$BT50,,AH50)*(1-AF50)+INDEX(Models!$BJ50:$BT50,,AH50+1)*AF50-ERP_i)*AE50*Ramure*Pc/MaxiM</f>
        <v>8.6348740309655887E-4</v>
      </c>
      <c r="AE50" s="305">
        <f t="shared" si="12"/>
        <v>0.7</v>
      </c>
      <c r="AF50" s="177">
        <f t="shared" si="21"/>
        <v>0.20107339545243863</v>
      </c>
      <c r="AG50" s="810">
        <f t="shared" si="22"/>
        <v>-1</v>
      </c>
      <c r="AH50" s="176">
        <f t="shared" si="13"/>
        <v>5</v>
      </c>
      <c r="AI50" s="225">
        <f t="shared" si="23"/>
        <v>-0.79892660454756137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6">
        <v>26.838000000000001</v>
      </c>
      <c r="C51" s="390"/>
      <c r="D51" s="393">
        <f t="shared" si="0"/>
        <v>27.186250061303301</v>
      </c>
      <c r="E51" s="385">
        <f t="shared" si="17"/>
        <v>29.46595501076763</v>
      </c>
      <c r="F51" s="385">
        <f t="shared" si="1"/>
        <v>29.492309215343429</v>
      </c>
      <c r="G51" s="110">
        <f t="shared" si="18"/>
        <v>1.0330260154252258</v>
      </c>
      <c r="H51" s="414" t="b">
        <f>Wh_hp&gt;='2019'!Maxi_hp</f>
        <v>1</v>
      </c>
      <c r="I51" s="380">
        <f>IF(H51,Wh_hp,'2019'!Maxi_hp)</f>
        <v>29.492309215343429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1.280978658395393E-2</v>
      </c>
      <c r="M51" s="844"/>
      <c r="N51" s="844"/>
      <c r="O51" s="48">
        <f>IF(t&lt;Tnet,'2019'!Resal+('2019'!Salim-'2019'!Resal)*(1-EXP(('2019'!Tnet-t)/('2019'!Tau_j))),Resal+(Salim-Resal)*(1-EXP((Tnet-t)/(Tau_j))))*Salcycl</f>
        <v>7.7367421101106892E-2</v>
      </c>
      <c r="P51" s="169">
        <f>(INDEX(Models!$BJ51:$BT51,,T51)*(1-R51)+INDEX(Models!$BJ51:$BT51,,T51+1)*R51-ERP_i)*Q51*Ramure*Pc/MaxiM</f>
        <v>8.9359583148843687E-4</v>
      </c>
      <c r="Q51" s="305">
        <f t="shared" si="2"/>
        <v>0.7</v>
      </c>
      <c r="R51" s="177">
        <f t="shared" si="3"/>
        <v>0.20117098451611393</v>
      </c>
      <c r="S51" s="810">
        <f t="shared" si="4"/>
        <v>-1</v>
      </c>
      <c r="T51" s="176">
        <f t="shared" si="5"/>
        <v>5</v>
      </c>
      <c r="U51" s="251">
        <f t="shared" si="20"/>
        <v>-0.79882901548388607</v>
      </c>
      <c r="V51" s="383">
        <f t="shared" si="6"/>
        <v>25.9799846269628</v>
      </c>
      <c r="W51" s="402"/>
      <c r="X51" s="157">
        <f t="shared" si="7"/>
        <v>43867</v>
      </c>
      <c r="Y51" s="385">
        <f t="shared" si="8"/>
        <v>26.838000000000001</v>
      </c>
      <c r="Z51" s="385">
        <f t="shared" si="9"/>
        <v>27.186250061303301</v>
      </c>
      <c r="AA51" s="386">
        <f t="shared" si="10"/>
        <v>29.46595501076763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7.7367421101106892E-2</v>
      </c>
      <c r="AD51" s="231">
        <f>(INDEX(Models!$BJ51:$BT51,,AH51)*(1-AF51)+INDEX(Models!$BJ51:$BT51,,AH51+1)*AF51-ERP_i)*AE51*Ramure*Pc/MaxiM</f>
        <v>8.9359583148843687E-4</v>
      </c>
      <c r="AE51" s="305">
        <f t="shared" si="12"/>
        <v>0.7</v>
      </c>
      <c r="AF51" s="177">
        <f t="shared" si="21"/>
        <v>0.20117098451611393</v>
      </c>
      <c r="AG51" s="810">
        <f t="shared" si="22"/>
        <v>-1</v>
      </c>
      <c r="AH51" s="176">
        <f t="shared" si="13"/>
        <v>5</v>
      </c>
      <c r="AI51" s="225">
        <f t="shared" si="23"/>
        <v>-0.79882901548388607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6">
        <v>18.613</v>
      </c>
      <c r="C52" s="390"/>
      <c r="D52" s="393">
        <f t="shared" si="0"/>
        <v>18.854961190683539</v>
      </c>
      <c r="E52" s="385">
        <f t="shared" si="17"/>
        <v>20.438311509396591</v>
      </c>
      <c r="F52" s="385">
        <f t="shared" si="1"/>
        <v>20.449279964874634</v>
      </c>
      <c r="G52" s="110">
        <f t="shared" si="18"/>
        <v>0.70747334942143225</v>
      </c>
      <c r="H52" s="414" t="b">
        <f>Wh_hp&gt;='2019'!Maxi_hp</f>
        <v>1</v>
      </c>
      <c r="I52" s="380">
        <f>IF(H52,Wh_hp,'2019'!Maxi_hp)</f>
        <v>20.449279964874634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1.2832759942412175E-2</v>
      </c>
      <c r="M52" s="844"/>
      <c r="N52" s="844"/>
      <c r="O52" s="48">
        <f>IF(t&lt;Tnet,'2019'!Resal+('2019'!Salim-'2019'!Resal)*(1-EXP(('2019'!Tnet-t)/('2019'!Tau_j))),Resal+(Salim-Resal)*(1-EXP((Tnet-t)/(Tau_j))))*Salcycl</f>
        <v>7.7469722388030959E-2</v>
      </c>
      <c r="P52" s="169">
        <f>(INDEX(Models!$BJ52:$BT52,,T52)*(1-R52)+INDEX(Models!$BJ52:$BT52,,T52+1)*R52-ERP_i)*Q52*Ramure*Pc/MaxiM</f>
        <v>9.2082314262555652E-4</v>
      </c>
      <c r="Q52" s="305">
        <f t="shared" si="2"/>
        <v>0.7</v>
      </c>
      <c r="R52" s="177">
        <f t="shared" si="3"/>
        <v>0.20127261678403507</v>
      </c>
      <c r="S52" s="810">
        <f t="shared" si="4"/>
        <v>-1</v>
      </c>
      <c r="T52" s="176">
        <f t="shared" si="5"/>
        <v>5</v>
      </c>
      <c r="U52" s="251">
        <f t="shared" si="20"/>
        <v>-0.79872738321596493</v>
      </c>
      <c r="V52" s="383">
        <f t="shared" si="6"/>
        <v>26.298998283234493</v>
      </c>
      <c r="W52" s="402"/>
      <c r="X52" s="157">
        <f t="shared" si="7"/>
        <v>43868</v>
      </c>
      <c r="Y52" s="385">
        <f t="shared" si="8"/>
        <v>18.613</v>
      </c>
      <c r="Z52" s="385">
        <f t="shared" si="9"/>
        <v>18.854961190683539</v>
      </c>
      <c r="AA52" s="386">
        <f t="shared" si="10"/>
        <v>20.438311509396591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7.7469722388030959E-2</v>
      </c>
      <c r="AD52" s="231">
        <f>(INDEX(Models!$BJ52:$BT52,,AH52)*(1-AF52)+INDEX(Models!$BJ52:$BT52,,AH52+1)*AF52-ERP_i)*AE52*Ramure*Pc/MaxiM</f>
        <v>9.2082314262555652E-4</v>
      </c>
      <c r="AE52" s="305">
        <f t="shared" si="12"/>
        <v>0.7</v>
      </c>
      <c r="AF52" s="177">
        <f t="shared" si="21"/>
        <v>0.20127261678403507</v>
      </c>
      <c r="AG52" s="810">
        <f t="shared" si="22"/>
        <v>-1</v>
      </c>
      <c r="AH52" s="176">
        <f t="shared" si="13"/>
        <v>5</v>
      </c>
      <c r="AI52" s="225">
        <f t="shared" si="23"/>
        <v>-0.79872738321596493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6">
        <v>21.748000000000001</v>
      </c>
      <c r="C53" s="390"/>
      <c r="D53" s="393">
        <f t="shared" si="0"/>
        <v>22.031227574206365</v>
      </c>
      <c r="E53" s="385">
        <f t="shared" si="17"/>
        <v>23.883953411953058</v>
      </c>
      <c r="F53" s="385">
        <f t="shared" si="1"/>
        <v>23.900617075792184</v>
      </c>
      <c r="G53" s="110">
        <f t="shared" si="18"/>
        <v>0.81668622677827096</v>
      </c>
      <c r="H53" s="414" t="b">
        <f>Wh_hp&gt;='2019'!Maxi_hp</f>
        <v>0</v>
      </c>
      <c r="I53" s="380">
        <f>IF(H53,Wh_hp,'2019'!Maxi_hp)</f>
        <v>24.349491627953295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1.2855732766246852E-2</v>
      </c>
      <c r="M53" s="844"/>
      <c r="N53" s="844"/>
      <c r="O53" s="48">
        <f>IF(t&lt;Tnet,'2019'!Resal+('2019'!Salim-'2019'!Resal)*(1-EXP(('2019'!Tnet-t)/('2019'!Tau_j))),Resal+(Salim-Resal)*(1-EXP((Tnet-t)/(Tau_j))))*Salcycl</f>
        <v>7.7571991780032143E-2</v>
      </c>
      <c r="P53" s="169">
        <f>(INDEX(Models!$BJ53:$BT53,,T53)*(1-R53)+INDEX(Models!$BJ53:$BT53,,T53+1)*R53-ERP_i)*Q53*Ramure*Pc/MaxiM</f>
        <v>9.4419753356741738E-4</v>
      </c>
      <c r="Q53" s="305">
        <f t="shared" si="2"/>
        <v>0.7</v>
      </c>
      <c r="R53" s="177">
        <f t="shared" si="3"/>
        <v>0.2013784575627281</v>
      </c>
      <c r="S53" s="810">
        <f t="shared" si="4"/>
        <v>-1</v>
      </c>
      <c r="T53" s="176">
        <f t="shared" si="5"/>
        <v>5</v>
      </c>
      <c r="U53" s="251">
        <f t="shared" si="20"/>
        <v>-0.7986215424372719</v>
      </c>
      <c r="V53" s="383">
        <f t="shared" si="6"/>
        <v>26.622984417760705</v>
      </c>
      <c r="W53" s="402"/>
      <c r="X53" s="157">
        <f t="shared" si="7"/>
        <v>43869</v>
      </c>
      <c r="Y53" s="385">
        <f t="shared" si="8"/>
        <v>21.748000000000001</v>
      </c>
      <c r="Z53" s="385">
        <f t="shared" si="9"/>
        <v>22.031227574206365</v>
      </c>
      <c r="AA53" s="386">
        <f t="shared" si="10"/>
        <v>23.883953411953058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7.7571991780032143E-2</v>
      </c>
      <c r="AD53" s="231">
        <f>(INDEX(Models!$BJ53:$BT53,,AH53)*(1-AF53)+INDEX(Models!$BJ53:$BT53,,AH53+1)*AF53-ERP_i)*AE53*Ramure*Pc/MaxiM</f>
        <v>9.4419753356741738E-4</v>
      </c>
      <c r="AE53" s="305">
        <f t="shared" si="12"/>
        <v>0.7</v>
      </c>
      <c r="AF53" s="177">
        <f t="shared" si="21"/>
        <v>0.2013784575627281</v>
      </c>
      <c r="AG53" s="810">
        <f t="shared" si="22"/>
        <v>-1</v>
      </c>
      <c r="AH53" s="176">
        <f t="shared" si="13"/>
        <v>5</v>
      </c>
      <c r="AI53" s="225">
        <f t="shared" si="23"/>
        <v>-0.7986215424372719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6">
        <v>23.239000000000001</v>
      </c>
      <c r="C54" s="390"/>
      <c r="D54" s="393">
        <f t="shared" si="0"/>
        <v>23.542192959484169</v>
      </c>
      <c r="E54" s="385">
        <f t="shared" si="17"/>
        <v>25.52481293689511</v>
      </c>
      <c r="F54" s="385">
        <f t="shared" si="1"/>
        <v>25.544589093345703</v>
      </c>
      <c r="G54" s="110">
        <f t="shared" si="18"/>
        <v>0.86208432716443739</v>
      </c>
      <c r="H54" s="414" t="b">
        <f>Wh_hp&gt;='2019'!Maxi_hp</f>
        <v>0</v>
      </c>
      <c r="I54" s="380">
        <f>IF(H54,Wh_hp,'2019'!Maxi_hp)</f>
        <v>26.172012335297985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1.2878705055470396E-2</v>
      </c>
      <c r="M54" s="844"/>
      <c r="N54" s="844"/>
      <c r="O54" s="48">
        <f>IF(t&lt;Tnet,'2019'!Resal+('2019'!Salim-'2019'!Resal)*(1-EXP(('2019'!Tnet-t)/('2019'!Tau_j))),Resal+(Salim-Resal)*(1-EXP((Tnet-t)/(Tau_j))))*Salcycl</f>
        <v>7.7674221641214972E-2</v>
      </c>
      <c r="P54" s="169">
        <f>(INDEX(Models!$BJ54:$BT54,,T54)*(1-R54)+INDEX(Models!$BJ54:$BT54,,T54+1)*R54-ERP_i)*Q54*Ramure*Pc/MaxiM</f>
        <v>9.6385806893033968E-4</v>
      </c>
      <c r="Q54" s="305">
        <f t="shared" si="2"/>
        <v>0.7</v>
      </c>
      <c r="R54" s="177">
        <f t="shared" si="3"/>
        <v>0.20148867872960108</v>
      </c>
      <c r="S54" s="810">
        <f t="shared" si="4"/>
        <v>-1</v>
      </c>
      <c r="T54" s="176">
        <f t="shared" si="5"/>
        <v>5</v>
      </c>
      <c r="U54" s="251">
        <f t="shared" si="20"/>
        <v>-0.79851132127039892</v>
      </c>
      <c r="V54" s="383">
        <f t="shared" si="6"/>
        <v>26.951642625150303</v>
      </c>
      <c r="W54" s="402"/>
      <c r="X54" s="157">
        <f t="shared" si="7"/>
        <v>43870</v>
      </c>
      <c r="Y54" s="385">
        <f t="shared" si="8"/>
        <v>23.239000000000001</v>
      </c>
      <c r="Z54" s="385">
        <f t="shared" si="9"/>
        <v>23.542192959484169</v>
      </c>
      <c r="AA54" s="386">
        <f t="shared" si="10"/>
        <v>25.52481293689511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7.7674221641214972E-2</v>
      </c>
      <c r="AD54" s="231">
        <f>(INDEX(Models!$BJ54:$BT54,,AH54)*(1-AF54)+INDEX(Models!$BJ54:$BT54,,AH54+1)*AF54-ERP_i)*AE54*Ramure*Pc/MaxiM</f>
        <v>9.6385806893033968E-4</v>
      </c>
      <c r="AE54" s="305">
        <f t="shared" si="12"/>
        <v>0.7</v>
      </c>
      <c r="AF54" s="177">
        <f t="shared" si="21"/>
        <v>0.20148867872960108</v>
      </c>
      <c r="AG54" s="810">
        <f t="shared" si="22"/>
        <v>-1</v>
      </c>
      <c r="AH54" s="176">
        <f t="shared" si="13"/>
        <v>5</v>
      </c>
      <c r="AI54" s="225">
        <f t="shared" si="23"/>
        <v>-0.79851132127039892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6">
        <v>8.6560000000000006</v>
      </c>
      <c r="C55" s="390"/>
      <c r="D55" s="393">
        <f t="shared" si="0"/>
        <v>8.7691365658765275</v>
      </c>
      <c r="E55" s="385">
        <f t="shared" si="17"/>
        <v>9.5086881354308268</v>
      </c>
      <c r="F55" s="385">
        <f t="shared" si="1"/>
        <v>9.5089177316888485</v>
      </c>
      <c r="G55" s="110">
        <f t="shared" si="18"/>
        <v>0.31694448113014023</v>
      </c>
      <c r="H55" s="414" t="b">
        <f>Wh_hp&gt;='2019'!Maxi_hp</f>
        <v>1</v>
      </c>
      <c r="I55" s="380">
        <f>IF(H55,Wh_hp,'2019'!Maxi_hp)</f>
        <v>9.5089177316888485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1.2901676810095131E-2</v>
      </c>
      <c r="M55" s="844"/>
      <c r="N55" s="844"/>
      <c r="O55" s="48">
        <f>IF(t&lt;Tnet,'2019'!Resal+('2019'!Salim-'2019'!Resal)*(1-EXP(('2019'!Tnet-t)/('2019'!Tau_j))),Resal+(Salim-Resal)*(1-EXP((Tnet-t)/(Tau_j))))*Salcycl</f>
        <v>7.7776403960354706E-2</v>
      </c>
      <c r="P55" s="169">
        <f>(INDEX(Models!$BJ55:$BT55,,T55)*(1-R55)+INDEX(Models!$BJ55:$BT55,,T55+1)*R55-ERP_i)*Q55*Ramure*Pc/MaxiM</f>
        <v>9.7994171890143362E-4</v>
      </c>
      <c r="Q55" s="305">
        <f t="shared" si="2"/>
        <v>0.7</v>
      </c>
      <c r="R55" s="177">
        <f t="shared" si="3"/>
        <v>0.20160345897813103</v>
      </c>
      <c r="S55" s="810">
        <f t="shared" si="4"/>
        <v>-1</v>
      </c>
      <c r="T55" s="176">
        <f t="shared" si="5"/>
        <v>5</v>
      </c>
      <c r="U55" s="251">
        <f t="shared" si="20"/>
        <v>-0.79839654102186897</v>
      </c>
      <c r="V55" s="383">
        <f t="shared" si="6"/>
        <v>27.284672685033534</v>
      </c>
      <c r="W55" s="402"/>
      <c r="X55" s="157">
        <f t="shared" si="7"/>
        <v>43871</v>
      </c>
      <c r="Y55" s="385">
        <f t="shared" si="8"/>
        <v>8.6560000000000006</v>
      </c>
      <c r="Z55" s="385">
        <f t="shared" si="9"/>
        <v>8.7691365658765275</v>
      </c>
      <c r="AA55" s="386">
        <f t="shared" si="10"/>
        <v>9.5086881354308268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7.7776403960354706E-2</v>
      </c>
      <c r="AD55" s="231">
        <f>(INDEX(Models!$BJ55:$BT55,,AH55)*(1-AF55)+INDEX(Models!$BJ55:$BT55,,AH55+1)*AF55-ERP_i)*AE55*Ramure*Pc/MaxiM</f>
        <v>9.7994171890143362E-4</v>
      </c>
      <c r="AE55" s="305">
        <f t="shared" si="12"/>
        <v>0.7</v>
      </c>
      <c r="AF55" s="177">
        <f t="shared" si="21"/>
        <v>0.20160345897813103</v>
      </c>
      <c r="AG55" s="810">
        <f t="shared" si="22"/>
        <v>-1</v>
      </c>
      <c r="AH55" s="176">
        <f t="shared" si="13"/>
        <v>5</v>
      </c>
      <c r="AI55" s="225">
        <f t="shared" si="23"/>
        <v>-0.79839654102186897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6">
        <v>8.2390000000000008</v>
      </c>
      <c r="C56" s="390"/>
      <c r="D56" s="393">
        <f t="shared" si="0"/>
        <v>8.3468804925153499</v>
      </c>
      <c r="E56" s="385">
        <f t="shared" si="17"/>
        <v>9.0518231796909756</v>
      </c>
      <c r="F56" s="385">
        <f t="shared" si="1"/>
        <v>9.0518231796909756</v>
      </c>
      <c r="G56" s="110">
        <f t="shared" si="18"/>
        <v>0.29798310353940838</v>
      </c>
      <c r="H56" s="414" t="b">
        <f>Wh_hp&gt;='2019'!Maxi_hp</f>
        <v>0</v>
      </c>
      <c r="I56" s="380">
        <f>IF(H56,Wh_hp,'2019'!Maxi_hp)</f>
        <v>19.014089469988399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1.2924648030133601E-2</v>
      </c>
      <c r="M56" s="844"/>
      <c r="N56" s="844"/>
      <c r="O56" s="48">
        <f>IF(t&lt;Tnet,'2019'!Resal+('2019'!Salim-'2019'!Resal)*(1-EXP(('2019'!Tnet-t)/('2019'!Tau_j))),Resal+(Salim-Resal)*(1-EXP((Tnet-t)/(Tau_j))))*Salcycl</f>
        <v>7.7878530455307932E-2</v>
      </c>
      <c r="P56" s="169">
        <f>(INDEX(Models!$BJ56:$BT56,,T56)*(1-R56)+INDEX(Models!$BJ56:$BT56,,T56+1)*R56-ERP_i)*Q56*Ramure*Pc/MaxiM</f>
        <v>9.9258286076574849E-4</v>
      </c>
      <c r="Q56" s="305">
        <f t="shared" si="2"/>
        <v>0.7</v>
      </c>
      <c r="R56" s="177">
        <f t="shared" si="3"/>
        <v>0.20172298407082001</v>
      </c>
      <c r="S56" s="810">
        <f t="shared" si="4"/>
        <v>-1</v>
      </c>
      <c r="T56" s="176">
        <f t="shared" si="5"/>
        <v>5</v>
      </c>
      <c r="U56" s="251">
        <f t="shared" si="20"/>
        <v>-0.79827701592917999</v>
      </c>
      <c r="V56" s="383">
        <f t="shared" si="6"/>
        <v>27.621774563877658</v>
      </c>
      <c r="W56" s="402"/>
      <c r="X56" s="157">
        <f t="shared" si="7"/>
        <v>43872</v>
      </c>
      <c r="Y56" s="385">
        <f t="shared" si="8"/>
        <v>8.2390000000000008</v>
      </c>
      <c r="Z56" s="385">
        <f t="shared" si="9"/>
        <v>8.3468804925153499</v>
      </c>
      <c r="AA56" s="386">
        <f t="shared" si="10"/>
        <v>9.0518231796909756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7.7878530455307932E-2</v>
      </c>
      <c r="AD56" s="231">
        <f>(INDEX(Models!$BJ56:$BT56,,AH56)*(1-AF56)+INDEX(Models!$BJ56:$BT56,,AH56+1)*AF56-ERP_i)*AE56*Ramure*Pc/MaxiM</f>
        <v>9.9258286076574849E-4</v>
      </c>
      <c r="AE56" s="305">
        <f t="shared" si="12"/>
        <v>0.7</v>
      </c>
      <c r="AF56" s="177">
        <f t="shared" si="21"/>
        <v>0.20172298407082001</v>
      </c>
      <c r="AG56" s="810">
        <f t="shared" si="22"/>
        <v>-1</v>
      </c>
      <c r="AH56" s="176">
        <f t="shared" si="13"/>
        <v>5</v>
      </c>
      <c r="AI56" s="225">
        <f t="shared" si="23"/>
        <v>-0.79827701592917999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6">
        <v>16.835999999999999</v>
      </c>
      <c r="C57" s="390"/>
      <c r="D57" s="393">
        <f t="shared" si="0"/>
        <v>17.056845532444949</v>
      </c>
      <c r="E57" s="385">
        <f t="shared" si="17"/>
        <v>18.499443067145737</v>
      </c>
      <c r="F57" s="385">
        <f t="shared" si="1"/>
        <v>18.507445336037907</v>
      </c>
      <c r="G57" s="110">
        <f t="shared" si="18"/>
        <v>0.60174583495628242</v>
      </c>
      <c r="H57" s="414" t="b">
        <f>Wh_hp&gt;='2019'!Maxi_hp</f>
        <v>0</v>
      </c>
      <c r="I57" s="380">
        <f>IF(H57,Wh_hp,'2019'!Maxi_hp)</f>
        <v>31.080312640486358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1.2947618715598241E-2</v>
      </c>
      <c r="M57" s="844"/>
      <c r="N57" s="844"/>
      <c r="O57" s="48">
        <f>IF(t&lt;Tnet,'2019'!Resal+('2019'!Salim-'2019'!Resal)*(1-EXP(('2019'!Tnet-t)/('2019'!Tau_j))),Resal+(Salim-Resal)*(1-EXP((Tnet-t)/(Tau_j))))*Salcycl</f>
        <v>7.7980592684045766E-2</v>
      </c>
      <c r="P57" s="169">
        <f>(INDEX(Models!$BJ57:$BT57,,T57)*(1-R57)+INDEX(Models!$BJ57:$BT57,,T57+1)*R57-ERP_i)*Q57*Ramure*Pc/MaxiM</f>
        <v>1.0019128548815562E-3</v>
      </c>
      <c r="Q57" s="305">
        <f t="shared" si="2"/>
        <v>0.7</v>
      </c>
      <c r="R57" s="177">
        <f t="shared" si="3"/>
        <v>0.20184744710003821</v>
      </c>
      <c r="S57" s="810">
        <f t="shared" si="4"/>
        <v>-1</v>
      </c>
      <c r="T57" s="176">
        <f t="shared" si="5"/>
        <v>5</v>
      </c>
      <c r="U57" s="251">
        <f t="shared" si="20"/>
        <v>-0.79815255289996179</v>
      </c>
      <c r="V57" s="383">
        <f t="shared" si="6"/>
        <v>27.96264840992167</v>
      </c>
      <c r="W57" s="402"/>
      <c r="X57" s="157">
        <f t="shared" si="7"/>
        <v>43873</v>
      </c>
      <c r="Y57" s="385">
        <f t="shared" si="8"/>
        <v>16.835999999999999</v>
      </c>
      <c r="Z57" s="385">
        <f t="shared" si="9"/>
        <v>17.056845532444949</v>
      </c>
      <c r="AA57" s="386">
        <f t="shared" si="10"/>
        <v>18.499443067145737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7.7980592684045766E-2</v>
      </c>
      <c r="AD57" s="231">
        <f>(INDEX(Models!$BJ57:$BT57,,AH57)*(1-AF57)+INDEX(Models!$BJ57:$BT57,,AH57+1)*AF57-ERP_i)*AE57*Ramure*Pc/MaxiM</f>
        <v>1.0019128548815562E-3</v>
      </c>
      <c r="AE57" s="305">
        <f t="shared" si="12"/>
        <v>0.7</v>
      </c>
      <c r="AF57" s="177">
        <f t="shared" si="21"/>
        <v>0.20184744710003821</v>
      </c>
      <c r="AG57" s="810">
        <f t="shared" si="22"/>
        <v>-1</v>
      </c>
      <c r="AH57" s="176">
        <f t="shared" si="13"/>
        <v>5</v>
      </c>
      <c r="AI57" s="225">
        <f t="shared" si="23"/>
        <v>-0.79815255289996179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6">
        <v>15.148999999999999</v>
      </c>
      <c r="C58" s="390"/>
      <c r="D58" s="393">
        <f t="shared" si="0"/>
        <v>15.348073551934974</v>
      </c>
      <c r="E58" s="385">
        <f t="shared" si="17"/>
        <v>16.647991734348928</v>
      </c>
      <c r="F58" s="385">
        <f t="shared" si="1"/>
        <v>16.653615953705348</v>
      </c>
      <c r="G58" s="110">
        <f t="shared" si="18"/>
        <v>0.53480921581013907</v>
      </c>
      <c r="H58" s="414" t="b">
        <f>Wh_hp&gt;='2019'!Maxi_hp</f>
        <v>0</v>
      </c>
      <c r="I58" s="380">
        <f>IF(H58,Wh_hp,'2019'!Maxi_hp)</f>
        <v>32.091869543727995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1.2970588866501487E-2</v>
      </c>
      <c r="M58" s="844"/>
      <c r="N58" s="844"/>
      <c r="O58" s="48">
        <f>IF(t&lt;Tnet,'2019'!Resal+('2019'!Salim-'2019'!Resal)*(1-EXP(('2019'!Tnet-t)/('2019'!Tau_j))),Resal+(Salim-Resal)*(1-EXP((Tnet-t)/(Tau_j))))*Salcycl</f>
        <v>7.8082582161060496E-2</v>
      </c>
      <c r="P58" s="169">
        <f>(INDEX(Models!$BJ58:$BT58,,T58)*(1-R58)+INDEX(Models!$BJ58:$BT58,,T58+1)*R58-ERP_i)*Q58*Ramure*Pc/MaxiM</f>
        <v>1.0052547688785662E-3</v>
      </c>
      <c r="Q58" s="305">
        <f t="shared" si="2"/>
        <v>0.7</v>
      </c>
      <c r="R58" s="177">
        <f t="shared" si="3"/>
        <v>0.20197704875686961</v>
      </c>
      <c r="S58" s="810">
        <f t="shared" si="4"/>
        <v>-1</v>
      </c>
      <c r="T58" s="176">
        <f t="shared" si="5"/>
        <v>5</v>
      </c>
      <c r="U58" s="251">
        <f t="shared" si="20"/>
        <v>-0.79802295124313039</v>
      </c>
      <c r="V58" s="383">
        <f t="shared" si="6"/>
        <v>28.307074028816253</v>
      </c>
      <c r="W58" s="402"/>
      <c r="X58" s="157">
        <f t="shared" si="7"/>
        <v>43874</v>
      </c>
      <c r="Y58" s="385">
        <f t="shared" si="8"/>
        <v>15.148999999999997</v>
      </c>
      <c r="Z58" s="385">
        <f t="shared" si="9"/>
        <v>15.348073551934972</v>
      </c>
      <c r="AA58" s="386">
        <f t="shared" si="10"/>
        <v>16.647991734348928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7.8082582161060496E-2</v>
      </c>
      <c r="AD58" s="231">
        <f>(INDEX(Models!$BJ58:$BT58,,AH58)*(1-AF58)+INDEX(Models!$BJ58:$BT58,,AH58+1)*AF58-ERP_i)*AE58*Ramure*Pc/MaxiM</f>
        <v>1.0052547688785662E-3</v>
      </c>
      <c r="AE58" s="305">
        <f t="shared" si="12"/>
        <v>0.7</v>
      </c>
      <c r="AF58" s="177">
        <f t="shared" si="21"/>
        <v>0.20197704875686961</v>
      </c>
      <c r="AG58" s="810">
        <f t="shared" si="22"/>
        <v>-1</v>
      </c>
      <c r="AH58" s="176">
        <f t="shared" si="13"/>
        <v>5</v>
      </c>
      <c r="AI58" s="225">
        <f t="shared" si="23"/>
        <v>-0.79802295124313039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6">
        <v>25.794</v>
      </c>
      <c r="C59" s="390"/>
      <c r="D59" s="393">
        <f t="shared" si="0"/>
        <v>26.133568044755215</v>
      </c>
      <c r="E59" s="385">
        <f t="shared" si="17"/>
        <v>28.350106691416666</v>
      </c>
      <c r="F59" s="385">
        <f t="shared" si="1"/>
        <v>28.37451120966761</v>
      </c>
      <c r="G59" s="110">
        <f t="shared" si="18"/>
        <v>0.90003622541984607</v>
      </c>
      <c r="H59" s="414" t="b">
        <f>Wh_hp&gt;='2019'!Maxi_hp</f>
        <v>0</v>
      </c>
      <c r="I59" s="380">
        <f>IF(H59,Wh_hp,'2019'!Maxi_hp)</f>
        <v>32.218134869509122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1.2993558482855661E-2</v>
      </c>
      <c r="M59" s="844"/>
      <c r="N59" s="844"/>
      <c r="O59" s="48">
        <f>IF(t&lt;Tnet,'2019'!Resal+('2019'!Salim-'2019'!Resal)*(1-EXP(('2019'!Tnet-t)/('2019'!Tau_j))),Resal+(Salim-Resal)*(1-EXP((Tnet-t)/(Tau_j))))*Salcycl</f>
        <v>7.8184490477862481E-2</v>
      </c>
      <c r="P59" s="169">
        <f>(INDEX(Models!$BJ59:$BT59,,T59)*(1-R59)+INDEX(Models!$BJ59:$BT59,,T59+1)*R59-ERP_i)*Q59*Ramure*Pc/MaxiM</f>
        <v>1.0031575247965946E-3</v>
      </c>
      <c r="Q59" s="305">
        <f t="shared" si="2"/>
        <v>0.7</v>
      </c>
      <c r="R59" s="177">
        <f t="shared" si="3"/>
        <v>0.20211199760805498</v>
      </c>
      <c r="S59" s="810">
        <f t="shared" si="4"/>
        <v>-1</v>
      </c>
      <c r="T59" s="176">
        <f t="shared" si="5"/>
        <v>5</v>
      </c>
      <c r="U59" s="251">
        <f t="shared" si="20"/>
        <v>-0.79788800239194502</v>
      </c>
      <c r="V59" s="383">
        <f t="shared" si="6"/>
        <v>28.654742671966659</v>
      </c>
      <c r="W59" s="402"/>
      <c r="X59" s="157">
        <f t="shared" si="7"/>
        <v>43875</v>
      </c>
      <c r="Y59" s="385">
        <f t="shared" si="8"/>
        <v>25.794</v>
      </c>
      <c r="Z59" s="385">
        <f t="shared" si="9"/>
        <v>26.133568044755215</v>
      </c>
      <c r="AA59" s="386">
        <f t="shared" si="10"/>
        <v>28.350106691416666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7.8184490477862481E-2</v>
      </c>
      <c r="AD59" s="231">
        <f>(INDEX(Models!$BJ59:$BT59,,AH59)*(1-AF59)+INDEX(Models!$BJ59:$BT59,,AH59+1)*AF59-ERP_i)*AE59*Ramure*Pc/MaxiM</f>
        <v>1.0031575247965946E-3</v>
      </c>
      <c r="AE59" s="305">
        <f t="shared" si="12"/>
        <v>0.7</v>
      </c>
      <c r="AF59" s="177">
        <f t="shared" si="21"/>
        <v>0.20211199760805498</v>
      </c>
      <c r="AG59" s="810">
        <f t="shared" si="22"/>
        <v>-1</v>
      </c>
      <c r="AH59" s="176">
        <f t="shared" si="13"/>
        <v>5</v>
      </c>
      <c r="AI59" s="225">
        <f t="shared" si="23"/>
        <v>-0.79788800239194502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6">
        <v>28.437999999999999</v>
      </c>
      <c r="C60" s="390"/>
      <c r="D60" s="393">
        <f t="shared" si="0"/>
        <v>28.813045804942227</v>
      </c>
      <c r="E60" s="385">
        <f t="shared" si="17"/>
        <v>31.260299266041276</v>
      </c>
      <c r="F60" s="385">
        <f t="shared" si="1"/>
        <v>31.290588566756593</v>
      </c>
      <c r="G60" s="110">
        <f t="shared" si="18"/>
        <v>0.98041233555223595</v>
      </c>
      <c r="H60" s="414" t="b">
        <f>Wh_hp&gt;='2019'!Maxi_hp</f>
        <v>0</v>
      </c>
      <c r="I60" s="380">
        <f>IF(H60,Wh_hp,'2019'!Maxi_hp)</f>
        <v>32.495097407012501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1.3016527564673419E-2</v>
      </c>
      <c r="M60" s="844"/>
      <c r="N60" s="844"/>
      <c r="O60" s="48">
        <f>IF(t&lt;Tnet,'2019'!Resal+('2019'!Salim-'2019'!Resal)*(1-EXP(('2019'!Tnet-t)/('2019'!Tau_j))),Resal+(Salim-Resal)*(1-EXP((Tnet-t)/(Tau_j))))*Salcycl</f>
        <v>7.8286309426268116E-2</v>
      </c>
      <c r="P60" s="169">
        <f>(INDEX(Models!$BJ60:$BT60,,T60)*(1-R60)+INDEX(Models!$BJ60:$BT60,,T60+1)*R60-ERP_i)*Q60*Ramure*Pc/MaxiM</f>
        <v>9.9582711152070426E-4</v>
      </c>
      <c r="Q60" s="305">
        <f t="shared" si="2"/>
        <v>0.7</v>
      </c>
      <c r="R60" s="177">
        <f t="shared" si="3"/>
        <v>0.20225251038111935</v>
      </c>
      <c r="S60" s="810">
        <f t="shared" si="4"/>
        <v>-1</v>
      </c>
      <c r="T60" s="176">
        <f t="shared" si="5"/>
        <v>5</v>
      </c>
      <c r="U60" s="251">
        <f t="shared" si="20"/>
        <v>-0.79774748961888065</v>
      </c>
      <c r="V60" s="383">
        <f t="shared" si="6"/>
        <v>29.005355057889105</v>
      </c>
      <c r="W60" s="402"/>
      <c r="X60" s="157">
        <f t="shared" si="7"/>
        <v>43876</v>
      </c>
      <c r="Y60" s="385">
        <f t="shared" si="8"/>
        <v>28.437999999999999</v>
      </c>
      <c r="Z60" s="385">
        <f t="shared" si="9"/>
        <v>28.813045804942227</v>
      </c>
      <c r="AA60" s="386">
        <f t="shared" si="10"/>
        <v>31.260299266041276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7.8286309426268116E-2</v>
      </c>
      <c r="AD60" s="231">
        <f>(INDEX(Models!$BJ60:$BT60,,AH60)*(1-AF60)+INDEX(Models!$BJ60:$BT60,,AH60+1)*AF60-ERP_i)*AE60*Ramure*Pc/MaxiM</f>
        <v>9.9582711152070426E-4</v>
      </c>
      <c r="AE60" s="305">
        <f t="shared" si="12"/>
        <v>0.7</v>
      </c>
      <c r="AF60" s="177">
        <f t="shared" si="21"/>
        <v>0.20225251038111935</v>
      </c>
      <c r="AG60" s="810">
        <f t="shared" si="22"/>
        <v>-1</v>
      </c>
      <c r="AH60" s="176">
        <f t="shared" si="13"/>
        <v>5</v>
      </c>
      <c r="AI60" s="225">
        <f t="shared" si="23"/>
        <v>-0.79774748961888065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6">
        <v>17.327000000000002</v>
      </c>
      <c r="C61" s="390"/>
      <c r="D61" s="393">
        <f t="shared" si="0"/>
        <v>17.555920355213814</v>
      </c>
      <c r="E61" s="385">
        <f t="shared" si="17"/>
        <v>19.049145354100915</v>
      </c>
      <c r="F61" s="385">
        <f t="shared" si="1"/>
        <v>19.056914736795029</v>
      </c>
      <c r="G61" s="110">
        <f t="shared" si="18"/>
        <v>0.58984462699415696</v>
      </c>
      <c r="H61" s="414" t="b">
        <f>Wh_hp&gt;='2019'!Maxi_hp</f>
        <v>0</v>
      </c>
      <c r="I61" s="380">
        <f>IF(H61,Wh_hp,'2019'!Maxi_hp)</f>
        <v>33.091277518761402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1.3039496111966975E-2</v>
      </c>
      <c r="M61" s="844"/>
      <c r="N61" s="844"/>
      <c r="O61" s="48">
        <f>IF(t&lt;Tnet,'2019'!Resal+('2019'!Salim-'2019'!Resal)*(1-EXP(('2019'!Tnet-t)/('2019'!Tau_j))),Resal+(Salim-Resal)*(1-EXP((Tnet-t)/(Tau_j))))*Salcycl</f>
        <v>7.838803112317265E-2</v>
      </c>
      <c r="P61" s="169">
        <f>(INDEX(Models!$BJ61:$BT61,,T61)*(1-R61)+INDEX(Models!$BJ61:$BT61,,T61+1)*R61-ERP_i)*Q61*Ramure*Pc/MaxiM</f>
        <v>9.8346212522309648E-4</v>
      </c>
      <c r="Q61" s="305">
        <f t="shared" si="2"/>
        <v>0.7</v>
      </c>
      <c r="R61" s="177">
        <f t="shared" si="3"/>
        <v>0.2023988122577498</v>
      </c>
      <c r="S61" s="810">
        <f t="shared" si="4"/>
        <v>-1</v>
      </c>
      <c r="T61" s="176">
        <f t="shared" si="5"/>
        <v>5</v>
      </c>
      <c r="U61" s="251">
        <f t="shared" si="20"/>
        <v>-0.7976011877422502</v>
      </c>
      <c r="V61" s="383">
        <f t="shared" si="6"/>
        <v>29.358612078123627</v>
      </c>
      <c r="W61" s="402"/>
      <c r="X61" s="157">
        <f t="shared" si="7"/>
        <v>43877</v>
      </c>
      <c r="Y61" s="385">
        <f t="shared" si="8"/>
        <v>17.327000000000002</v>
      </c>
      <c r="Z61" s="385">
        <f t="shared" si="9"/>
        <v>17.555920355213814</v>
      </c>
      <c r="AA61" s="386">
        <f t="shared" si="10"/>
        <v>19.049145354100915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7.838803112317265E-2</v>
      </c>
      <c r="AD61" s="231">
        <f>(INDEX(Models!$BJ61:$BT61,,AH61)*(1-AF61)+INDEX(Models!$BJ61:$BT61,,AH61+1)*AF61-ERP_i)*AE61*Ramure*Pc/MaxiM</f>
        <v>9.8346212522309648E-4</v>
      </c>
      <c r="AE61" s="305">
        <f t="shared" si="12"/>
        <v>0.7</v>
      </c>
      <c r="AF61" s="177">
        <f t="shared" si="21"/>
        <v>0.2023988122577498</v>
      </c>
      <c r="AG61" s="810">
        <f t="shared" si="22"/>
        <v>-1</v>
      </c>
      <c r="AH61" s="176">
        <f t="shared" si="13"/>
        <v>5</v>
      </c>
      <c r="AI61" s="225">
        <f t="shared" si="23"/>
        <v>-0.7976011877422502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6">
        <v>5.3440000000000003</v>
      </c>
      <c r="C62" s="390"/>
      <c r="D62" s="393">
        <f t="shared" si="0"/>
        <v>5.4147297126162623</v>
      </c>
      <c r="E62" s="385">
        <f t="shared" si="17"/>
        <v>5.8759293388952951</v>
      </c>
      <c r="F62" s="385">
        <f t="shared" si="1"/>
        <v>5.8759293388952951</v>
      </c>
      <c r="G62" s="110">
        <f t="shared" si="18"/>
        <v>0.17967280569164246</v>
      </c>
      <c r="H62" s="414" t="b">
        <f>Wh_hp&gt;='2019'!Maxi_hp</f>
        <v>0</v>
      </c>
      <c r="I62" s="380">
        <f>IF(H62,Wh_hp,'2019'!Maxi_hp)</f>
        <v>33.499351483700778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1.3062464124748985E-2</v>
      </c>
      <c r="M62" s="844"/>
      <c r="N62" s="844"/>
      <c r="O62" s="48">
        <f>IF(t&lt;Tnet,'2019'!Resal+('2019'!Salim-'2019'!Resal)*(1-EXP(('2019'!Tnet-t)/('2019'!Tau_j))),Resal+(Salim-Resal)*(1-EXP((Tnet-t)/(Tau_j))))*Salcycl</f>
        <v>7.8489648135513623E-2</v>
      </c>
      <c r="P62" s="169">
        <f>(INDEX(Models!$BJ62:$BT62,,T62)*(1-R62)+INDEX(Models!$BJ62:$BT62,,T62+1)*R62-ERP_i)*Q62*Ramure*Pc/MaxiM</f>
        <v>9.6625349166167039E-4</v>
      </c>
      <c r="Q62" s="305">
        <f t="shared" si="2"/>
        <v>0.7</v>
      </c>
      <c r="R62" s="177">
        <f t="shared" si="3"/>
        <v>0.2025511371754749</v>
      </c>
      <c r="S62" s="810">
        <f t="shared" si="4"/>
        <v>-1</v>
      </c>
      <c r="T62" s="176">
        <f t="shared" si="5"/>
        <v>5</v>
      </c>
      <c r="U62" s="251">
        <f t="shared" si="20"/>
        <v>-0.7974488628245251</v>
      </c>
      <c r="V62" s="383">
        <f t="shared" si="6"/>
        <v>29.714214796106443</v>
      </c>
      <c r="W62" s="402"/>
      <c r="X62" s="157">
        <f t="shared" si="7"/>
        <v>43878</v>
      </c>
      <c r="Y62" s="385">
        <f t="shared" si="8"/>
        <v>5.3440000000000003</v>
      </c>
      <c r="Z62" s="385">
        <f t="shared" si="9"/>
        <v>5.4147297126162623</v>
      </c>
      <c r="AA62" s="386">
        <f t="shared" si="10"/>
        <v>5.8759293388952951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7.8489648135513623E-2</v>
      </c>
      <c r="AD62" s="231">
        <f>(INDEX(Models!$BJ62:$BT62,,AH62)*(1-AF62)+INDEX(Models!$BJ62:$BT62,,AH62+1)*AF62-ERP_i)*AE62*Ramure*Pc/MaxiM</f>
        <v>9.6625349166167039E-4</v>
      </c>
      <c r="AE62" s="305">
        <f t="shared" si="12"/>
        <v>0.7</v>
      </c>
      <c r="AF62" s="177">
        <f t="shared" si="21"/>
        <v>0.2025511371754749</v>
      </c>
      <c r="AG62" s="810">
        <f t="shared" si="22"/>
        <v>-1</v>
      </c>
      <c r="AH62" s="176">
        <f t="shared" si="13"/>
        <v>5</v>
      </c>
      <c r="AI62" s="225">
        <f t="shared" si="23"/>
        <v>-0.7974488628245251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6">
        <v>23.588999999999999</v>
      </c>
      <c r="C63" s="390"/>
      <c r="D63" s="393">
        <f t="shared" si="0"/>
        <v>23.901764909920509</v>
      </c>
      <c r="E63" s="385">
        <f t="shared" si="17"/>
        <v>25.940455209881971</v>
      </c>
      <c r="F63" s="385">
        <f t="shared" si="1"/>
        <v>25.957419477483317</v>
      </c>
      <c r="G63" s="110">
        <f t="shared" si="18"/>
        <v>0.78419264238352271</v>
      </c>
      <c r="H63" s="414" t="b">
        <f>Wh_hp&gt;='2019'!Maxi_hp</f>
        <v>0</v>
      </c>
      <c r="I63" s="380">
        <f>IF(H63,Wh_hp,'2019'!Maxi_hp)</f>
        <v>33.359346298317604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1.3085431603031772E-2</v>
      </c>
      <c r="M63" s="844"/>
      <c r="N63" s="844"/>
      <c r="O63" s="48">
        <f>IF(t&lt;Tnet,'2019'!Resal+('2019'!Salim-'2019'!Resal)*(1-EXP(('2019'!Tnet-t)/('2019'!Tau_j))),Resal+(Salim-Resal)*(1-EXP((Tnet-t)/(Tau_j))))*Salcycl</f>
        <v>7.8591153604152197E-2</v>
      </c>
      <c r="P63" s="169">
        <f>(INDEX(Models!$BJ63:$BT63,,T63)*(1-R63)+INDEX(Models!$BJ63:$BT63,,T63+1)*R63-ERP_i)*Q63*Ramure*Pc/MaxiM</f>
        <v>9.4438425161499115E-4</v>
      </c>
      <c r="Q63" s="305">
        <f t="shared" si="2"/>
        <v>0.7</v>
      </c>
      <c r="R63" s="177">
        <f t="shared" si="3"/>
        <v>0.20270972813767352</v>
      </c>
      <c r="S63" s="810">
        <f t="shared" si="4"/>
        <v>-1</v>
      </c>
      <c r="T63" s="176">
        <f t="shared" si="5"/>
        <v>5</v>
      </c>
      <c r="U63" s="251">
        <f t="shared" si="20"/>
        <v>-0.79729027186232648</v>
      </c>
      <c r="V63" s="383">
        <f t="shared" si="6"/>
        <v>30.071864442894498</v>
      </c>
      <c r="W63" s="402"/>
      <c r="X63" s="157">
        <f t="shared" si="7"/>
        <v>43879</v>
      </c>
      <c r="Y63" s="385">
        <f t="shared" si="8"/>
        <v>23.588999999999999</v>
      </c>
      <c r="Z63" s="385">
        <f t="shared" si="9"/>
        <v>23.901764909920509</v>
      </c>
      <c r="AA63" s="386">
        <f t="shared" si="10"/>
        <v>25.940455209881971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7.8591153604152197E-2</v>
      </c>
      <c r="AD63" s="231">
        <f>(INDEX(Models!$BJ63:$BT63,,AH63)*(1-AF63)+INDEX(Models!$BJ63:$BT63,,AH63+1)*AF63-ERP_i)*AE63*Ramure*Pc/MaxiM</f>
        <v>9.4438425161499115E-4</v>
      </c>
      <c r="AE63" s="305">
        <f t="shared" si="12"/>
        <v>0.7</v>
      </c>
      <c r="AF63" s="177">
        <f t="shared" si="21"/>
        <v>0.20270972813767352</v>
      </c>
      <c r="AG63" s="810">
        <f t="shared" si="22"/>
        <v>-1</v>
      </c>
      <c r="AH63" s="176">
        <f t="shared" si="13"/>
        <v>5</v>
      </c>
      <c r="AI63" s="225">
        <f t="shared" si="23"/>
        <v>-0.79729027186232648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6">
        <v>22.483000000000001</v>
      </c>
      <c r="C64" s="390"/>
      <c r="D64" s="393">
        <f t="shared" si="0"/>
        <v>22.781630694692677</v>
      </c>
      <c r="E64" s="385">
        <f t="shared" si="17"/>
        <v>24.727500554979223</v>
      </c>
      <c r="F64" s="385">
        <f t="shared" si="1"/>
        <v>24.741739173683801</v>
      </c>
      <c r="G64" s="110">
        <f t="shared" si="18"/>
        <v>0.73855937832713248</v>
      </c>
      <c r="H64" s="414" t="b">
        <f>Wh_hp&gt;='2019'!Maxi_hp</f>
        <v>0</v>
      </c>
      <c r="I64" s="380">
        <f>IF(H64,Wh_hp,'2019'!Maxi_hp)</f>
        <v>28.437487767642203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1.3108398546827771E-2</v>
      </c>
      <c r="M64" s="844"/>
      <c r="N64" s="844"/>
      <c r="O64" s="48">
        <f>IF(t&lt;Tnet,'2019'!Resal+('2019'!Salim-'2019'!Resal)*(1-EXP(('2019'!Tnet-t)/('2019'!Tau_j))),Resal+(Salim-Resal)*(1-EXP((Tnet-t)/(Tau_j))))*Salcycl</f>
        <v>7.8692541365436131E-2</v>
      </c>
      <c r="P64" s="169">
        <f>(INDEX(Models!$BJ64:$BT64,,T64)*(1-R64)+INDEX(Models!$BJ64:$BT64,,T64+1)*R64-ERP_i)*Q64*Ramure*Pc/MaxiM</f>
        <v>9.1802940043269926E-4</v>
      </c>
      <c r="Q64" s="305">
        <f t="shared" si="2"/>
        <v>0.7</v>
      </c>
      <c r="R64" s="177">
        <f t="shared" si="3"/>
        <v>0.2028748375319207</v>
      </c>
      <c r="S64" s="810">
        <f t="shared" si="4"/>
        <v>-1</v>
      </c>
      <c r="T64" s="176">
        <f t="shared" si="5"/>
        <v>5</v>
      </c>
      <c r="U64" s="251">
        <f t="shared" si="20"/>
        <v>-0.7971251624680793</v>
      </c>
      <c r="V64" s="383">
        <f t="shared" si="6"/>
        <v>30.431262410679654</v>
      </c>
      <c r="W64" s="402"/>
      <c r="X64" s="157">
        <f t="shared" si="7"/>
        <v>43880</v>
      </c>
      <c r="Y64" s="385">
        <f t="shared" si="8"/>
        <v>22.483000000000001</v>
      </c>
      <c r="Z64" s="385">
        <f t="shared" si="9"/>
        <v>22.781630694692677</v>
      </c>
      <c r="AA64" s="386">
        <f t="shared" si="10"/>
        <v>24.727500554979223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7.8692541365436131E-2</v>
      </c>
      <c r="AD64" s="231">
        <f>(INDEX(Models!$BJ64:$BT64,,AH64)*(1-AF64)+INDEX(Models!$BJ64:$BT64,,AH64+1)*AF64-ERP_i)*AE64*Ramure*Pc/MaxiM</f>
        <v>9.1802940043269926E-4</v>
      </c>
      <c r="AE64" s="305">
        <f t="shared" si="12"/>
        <v>0.7</v>
      </c>
      <c r="AF64" s="177">
        <f t="shared" si="21"/>
        <v>0.2028748375319207</v>
      </c>
      <c r="AG64" s="810">
        <f t="shared" si="22"/>
        <v>-1</v>
      </c>
      <c r="AH64" s="176">
        <f t="shared" si="13"/>
        <v>5</v>
      </c>
      <c r="AI64" s="225">
        <f t="shared" si="23"/>
        <v>-0.7971251624680793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6">
        <v>31.225999999999999</v>
      </c>
      <c r="C65" s="390"/>
      <c r="D65" s="393">
        <f t="shared" si="0"/>
        <v>31.641496032156805</v>
      </c>
      <c r="E65" s="385">
        <f t="shared" si="17"/>
        <v>34.347897615781335</v>
      </c>
      <c r="F65" s="385">
        <f t="shared" si="1"/>
        <v>34.378402325425711</v>
      </c>
      <c r="G65" s="110">
        <f t="shared" si="18"/>
        <v>1.0140522060990689</v>
      </c>
      <c r="H65" s="414" t="b">
        <f>Wh_hp&gt;='2019'!Maxi_hp</f>
        <v>1</v>
      </c>
      <c r="I65" s="380">
        <f>IF(H65,Wh_hp,'2019'!Maxi_hp)</f>
        <v>34.378402325425711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1.3131364956149416E-2</v>
      </c>
      <c r="M65" s="844"/>
      <c r="N65" s="844"/>
      <c r="O65" s="48">
        <f>IF(t&lt;Tnet,'2019'!Resal+('2019'!Salim-'2019'!Resal)*(1-EXP(('2019'!Tnet-t)/('2019'!Tau_j))),Resal+(Salim-Resal)*(1-EXP((Tnet-t)/(Tau_j))))*Salcycl</f>
        <v>7.8793806069255942E-2</v>
      </c>
      <c r="P65" s="169">
        <f>(INDEX(Models!$BJ65:$BT65,,T65)*(1-R65)+INDEX(Models!$BJ65:$BT65,,T65+1)*R65-ERP_i)*Q65*Ramure*Pc/MaxiM</f>
        <v>8.8732191087922431E-4</v>
      </c>
      <c r="Q65" s="305">
        <f t="shared" si="2"/>
        <v>0.7</v>
      </c>
      <c r="R65" s="177">
        <f t="shared" si="3"/>
        <v>0.20304672745664887</v>
      </c>
      <c r="S65" s="810">
        <f t="shared" si="4"/>
        <v>-1</v>
      </c>
      <c r="T65" s="176">
        <f t="shared" si="5"/>
        <v>5</v>
      </c>
      <c r="U65" s="251">
        <f t="shared" si="20"/>
        <v>-0.79695327254335113</v>
      </c>
      <c r="V65" s="383">
        <f t="shared" si="6"/>
        <v>30.793286393135997</v>
      </c>
      <c r="W65" s="402"/>
      <c r="X65" s="157">
        <f t="shared" si="7"/>
        <v>43881</v>
      </c>
      <c r="Y65" s="385">
        <f t="shared" si="8"/>
        <v>31.225999999999996</v>
      </c>
      <c r="Z65" s="385">
        <f t="shared" si="9"/>
        <v>31.641496032156802</v>
      </c>
      <c r="AA65" s="386">
        <f t="shared" si="10"/>
        <v>34.347897615781335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7.8793806069255942E-2</v>
      </c>
      <c r="AD65" s="231">
        <f>(INDEX(Models!$BJ65:$BT65,,AH65)*(1-AF65)+INDEX(Models!$BJ65:$BT65,,AH65+1)*AF65-ERP_i)*AE65*Ramure*Pc/MaxiM</f>
        <v>8.8732191087922431E-4</v>
      </c>
      <c r="AE65" s="305">
        <f t="shared" si="12"/>
        <v>0.7</v>
      </c>
      <c r="AF65" s="177">
        <f t="shared" si="21"/>
        <v>0.20304672745664887</v>
      </c>
      <c r="AG65" s="810">
        <f t="shared" si="22"/>
        <v>-1</v>
      </c>
      <c r="AH65" s="176">
        <f t="shared" si="13"/>
        <v>5</v>
      </c>
      <c r="AI65" s="225">
        <f t="shared" si="23"/>
        <v>-0.79695327254335113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6">
        <v>13.266</v>
      </c>
      <c r="C66" s="390"/>
      <c r="D66" s="393">
        <f t="shared" si="0"/>
        <v>13.442831452228104</v>
      </c>
      <c r="E66" s="385">
        <f t="shared" si="17"/>
        <v>14.594243462606924</v>
      </c>
      <c r="F66" s="385">
        <f t="shared" si="1"/>
        <v>14.596482018376202</v>
      </c>
      <c r="G66" s="110">
        <f t="shared" si="18"/>
        <v>0.4254557711290512</v>
      </c>
      <c r="H66" s="414" t="b">
        <f>Wh_hp&gt;='2019'!Maxi_hp</f>
        <v>0</v>
      </c>
      <c r="I66" s="380">
        <f>IF(H66,Wh_hp,'2019'!Maxi_hp)</f>
        <v>33.562567282376634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1.3154330831009142E-2</v>
      </c>
      <c r="M66" s="844"/>
      <c r="N66" s="844"/>
      <c r="O66" s="48">
        <f>IF(t&lt;Tnet,'2019'!Resal+('2019'!Salim-'2019'!Resal)*(1-EXP(('2019'!Tnet-t)/('2019'!Tau_j))),Resal+(Salim-Resal)*(1-EXP((Tnet-t)/(Tau_j))))*Salcycl</f>
        <v>7.889494329246631E-2</v>
      </c>
      <c r="P66" s="169">
        <f>(INDEX(Models!$BJ66:$BT66,,T66)*(1-R66)+INDEX(Models!$BJ66:$BT66,,T66+1)*R66-ERP_i)*Q66*Ramure*Pc/MaxiM</f>
        <v>8.5368179710104632E-4</v>
      </c>
      <c r="Q66" s="305">
        <f t="shared" si="2"/>
        <v>0.7</v>
      </c>
      <c r="R66" s="177">
        <f t="shared" si="3"/>
        <v>0.20322567005607817</v>
      </c>
      <c r="S66" s="810">
        <f t="shared" si="4"/>
        <v>-1</v>
      </c>
      <c r="T66" s="176">
        <f t="shared" si="5"/>
        <v>5</v>
      </c>
      <c r="U66" s="251">
        <f t="shared" si="20"/>
        <v>-0.79677432994392183</v>
      </c>
      <c r="V66" s="383">
        <f t="shared" si="6"/>
        <v>31.158839628714496</v>
      </c>
      <c r="W66" s="402"/>
      <c r="X66" s="157">
        <f t="shared" si="7"/>
        <v>43882</v>
      </c>
      <c r="Y66" s="385">
        <f t="shared" si="8"/>
        <v>13.266</v>
      </c>
      <c r="Z66" s="385">
        <f t="shared" si="9"/>
        <v>13.442831452228104</v>
      </c>
      <c r="AA66" s="386">
        <f t="shared" si="10"/>
        <v>14.594243462606924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7.889494329246631E-2</v>
      </c>
      <c r="AD66" s="231">
        <f>(INDEX(Models!$BJ66:$BT66,,AH66)*(1-AF66)+INDEX(Models!$BJ66:$BT66,,AH66+1)*AF66-ERP_i)*AE66*Ramure*Pc/MaxiM</f>
        <v>8.5368179710104632E-4</v>
      </c>
      <c r="AE66" s="305">
        <f t="shared" si="12"/>
        <v>0.7</v>
      </c>
      <c r="AF66" s="177">
        <f t="shared" si="21"/>
        <v>0.20322567005607817</v>
      </c>
      <c r="AG66" s="810">
        <f t="shared" si="22"/>
        <v>-1</v>
      </c>
      <c r="AH66" s="176">
        <f t="shared" si="13"/>
        <v>5</v>
      </c>
      <c r="AI66" s="225">
        <f t="shared" si="23"/>
        <v>-0.79677432994392183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6">
        <v>30.603999999999999</v>
      </c>
      <c r="C67" s="390"/>
      <c r="D67" s="393">
        <f t="shared" si="0"/>
        <v>31.012663046021864</v>
      </c>
      <c r="E67" s="385">
        <f t="shared" si="17"/>
        <v>33.672667383083059</v>
      </c>
      <c r="F67" s="385">
        <f t="shared" si="1"/>
        <v>33.699127773015512</v>
      </c>
      <c r="G67" s="110">
        <f t="shared" si="18"/>
        <v>0.97067015111273436</v>
      </c>
      <c r="H67" s="414" t="b">
        <f>Wh_hp&gt;='2019'!Maxi_hp</f>
        <v>0</v>
      </c>
      <c r="I67" s="380">
        <f>IF(H67,Wh_hp,'2019'!Maxi_hp)</f>
        <v>34.11239789666849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1.3177296171419384E-2</v>
      </c>
      <c r="M67" s="844"/>
      <c r="N67" s="844"/>
      <c r="O67" s="48">
        <f>IF(t&lt;Tnet,'2019'!Resal+('2019'!Salim-'2019'!Resal)*(1-EXP(('2019'!Tnet-t)/('2019'!Tau_j))),Resal+(Salim-Resal)*(1-EXP((Tnet-t)/(Tau_j))))*Salcycl</f>
        <v>7.8995949646613633E-2</v>
      </c>
      <c r="P67" s="169">
        <f>(INDEX(Models!$BJ67:$BT67,,T67)*(1-R67)+INDEX(Models!$BJ67:$BT67,,T67+1)*R67-ERP_i)*Q67*Ramure*Pc/MaxiM</f>
        <v>8.1949265676965787E-4</v>
      </c>
      <c r="Q67" s="305">
        <f t="shared" si="2"/>
        <v>0.7</v>
      </c>
      <c r="R67" s="177">
        <f t="shared" si="3"/>
        <v>0.20341194786333361</v>
      </c>
      <c r="S67" s="810">
        <f t="shared" si="4"/>
        <v>-1</v>
      </c>
      <c r="T67" s="176">
        <f t="shared" si="5"/>
        <v>5</v>
      </c>
      <c r="U67" s="251">
        <f t="shared" si="20"/>
        <v>-0.79658805213666639</v>
      </c>
      <c r="V67" s="383">
        <f t="shared" si="6"/>
        <v>31.527650765407898</v>
      </c>
      <c r="W67" s="402"/>
      <c r="X67" s="157">
        <f t="shared" si="7"/>
        <v>43883</v>
      </c>
      <c r="Y67" s="385">
        <f t="shared" si="8"/>
        <v>30.603999999999996</v>
      </c>
      <c r="Z67" s="385">
        <f t="shared" si="9"/>
        <v>31.01266304602186</v>
      </c>
      <c r="AA67" s="386">
        <f t="shared" si="10"/>
        <v>33.672667383083059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7.8995949646613633E-2</v>
      </c>
      <c r="AD67" s="231">
        <f>(INDEX(Models!$BJ67:$BT67,,AH67)*(1-AF67)+INDEX(Models!$BJ67:$BT67,,AH67+1)*AF67-ERP_i)*AE67*Ramure*Pc/MaxiM</f>
        <v>8.1949265676965787E-4</v>
      </c>
      <c r="AE67" s="305">
        <f t="shared" si="12"/>
        <v>0.7</v>
      </c>
      <c r="AF67" s="177">
        <f t="shared" si="21"/>
        <v>0.20341194786333361</v>
      </c>
      <c r="AG67" s="810">
        <f t="shared" si="22"/>
        <v>-1</v>
      </c>
      <c r="AH67" s="176">
        <f t="shared" si="13"/>
        <v>5</v>
      </c>
      <c r="AI67" s="225">
        <f t="shared" si="23"/>
        <v>-0.79658805213666639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6">
        <v>31.928999999999998</v>
      </c>
      <c r="C68" s="390"/>
      <c r="D68" s="393">
        <f t="shared" si="0"/>
        <v>32.35610908412341</v>
      </c>
      <c r="E68" s="385">
        <f t="shared" si="17"/>
        <v>35.135191068921451</v>
      </c>
      <c r="F68" s="385">
        <f t="shared" si="1"/>
        <v>35.162786198923072</v>
      </c>
      <c r="G68" s="110">
        <f t="shared" si="18"/>
        <v>1.0009241446952433</v>
      </c>
      <c r="H68" s="414" t="b">
        <f>Wh_hp&gt;='2019'!Maxi_hp</f>
        <v>1</v>
      </c>
      <c r="I68" s="380">
        <f>IF(H68,Wh_hp,'2019'!Maxi_hp)</f>
        <v>35.162786198923072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1.3200260977392686E-2</v>
      </c>
      <c r="M68" s="844"/>
      <c r="N68" s="844"/>
      <c r="O68" s="48">
        <f>IF(t&lt;Tnet,'2019'!Resal+('2019'!Salim-'2019'!Resal)*(1-EXP(('2019'!Tnet-t)/('2019'!Tau_j))),Resal+(Salim-Resal)*(1-EXP((Tnet-t)/(Tau_j))))*Salcycl</f>
        <v>7.9096822878992487E-2</v>
      </c>
      <c r="P68" s="169">
        <f>(INDEX(Models!$BJ68:$BT68,,T68)*(1-R68)+INDEX(Models!$BJ68:$BT68,,T68+1)*R68-ERP_i)*Q68*Ramure*Pc/MaxiM</f>
        <v>7.8478223669504056E-4</v>
      </c>
      <c r="Q68" s="305">
        <f t="shared" si="2"/>
        <v>0.7</v>
      </c>
      <c r="R68" s="177">
        <f t="shared" si="3"/>
        <v>0.2036058541516359</v>
      </c>
      <c r="S68" s="810">
        <f t="shared" si="4"/>
        <v>-1</v>
      </c>
      <c r="T68" s="176">
        <f t="shared" si="5"/>
        <v>5</v>
      </c>
      <c r="U68" s="251">
        <f t="shared" si="20"/>
        <v>-0.7963941458483641</v>
      </c>
      <c r="V68" s="383">
        <f t="shared" si="6"/>
        <v>31.899520227600849</v>
      </c>
      <c r="W68" s="402"/>
      <c r="X68" s="157">
        <f t="shared" si="7"/>
        <v>43884</v>
      </c>
      <c r="Y68" s="385">
        <f t="shared" si="8"/>
        <v>31.928999999999995</v>
      </c>
      <c r="Z68" s="385">
        <f t="shared" si="9"/>
        <v>32.35610908412341</v>
      </c>
      <c r="AA68" s="386">
        <f t="shared" si="10"/>
        <v>35.135191068921451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7.9096822878992487E-2</v>
      </c>
      <c r="AD68" s="231">
        <f>(INDEX(Models!$BJ68:$BT68,,AH68)*(1-AF68)+INDEX(Models!$BJ68:$BT68,,AH68+1)*AF68-ERP_i)*AE68*Ramure*Pc/MaxiM</f>
        <v>7.8478223669504056E-4</v>
      </c>
      <c r="AE68" s="305">
        <f t="shared" si="12"/>
        <v>0.7</v>
      </c>
      <c r="AF68" s="177">
        <f t="shared" si="21"/>
        <v>0.2036058541516359</v>
      </c>
      <c r="AG68" s="810">
        <f t="shared" si="22"/>
        <v>-1</v>
      </c>
      <c r="AH68" s="176">
        <f t="shared" si="13"/>
        <v>5</v>
      </c>
      <c r="AI68" s="225">
        <f t="shared" si="23"/>
        <v>-0.7963941458483641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6">
        <v>33.265000000000001</v>
      </c>
      <c r="C69" s="390"/>
      <c r="D69" s="393">
        <f t="shared" si="0"/>
        <v>33.710765039430527</v>
      </c>
      <c r="E69" s="385">
        <f t="shared" si="17"/>
        <v>36.610203934093967</v>
      </c>
      <c r="F69" s="385">
        <f t="shared" si="1"/>
        <v>36.637666820783267</v>
      </c>
      <c r="G69" s="110">
        <f t="shared" si="18"/>
        <v>1.0306978993916138</v>
      </c>
      <c r="H69" s="414" t="b">
        <f>Wh_hp&gt;='2019'!Maxi_hp</f>
        <v>1</v>
      </c>
      <c r="I69" s="380">
        <f>IF(H69,Wh_hp,'2019'!Maxi_hp)</f>
        <v>36.637666820783267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1.3223225248941373E-2</v>
      </c>
      <c r="M69" s="844"/>
      <c r="N69" s="844"/>
      <c r="O69" s="48">
        <f>IF(t&lt;Tnet,'2019'!Resal+('2019'!Salim-'2019'!Resal)*(1-EXP(('2019'!Tnet-t)/('2019'!Tau_j))),Resal+(Salim-Resal)*(1-EXP((Tnet-t)/(Tau_j))))*Salcycl</f>
        <v>7.9197561966140209E-2</v>
      </c>
      <c r="P69" s="169">
        <f>(INDEX(Models!$BJ69:$BT69,,T69)*(1-R69)+INDEX(Models!$BJ69:$BT69,,T69+1)*R69-ERP_i)*Q69*Ramure*Pc/MaxiM</f>
        <v>7.4958066581131853E-4</v>
      </c>
      <c r="Q69" s="305">
        <f t="shared" si="2"/>
        <v>0.7</v>
      </c>
      <c r="R69" s="177">
        <f t="shared" si="3"/>
        <v>0.20380769329341053</v>
      </c>
      <c r="S69" s="810">
        <f t="shared" si="4"/>
        <v>-1</v>
      </c>
      <c r="T69" s="176">
        <f t="shared" si="5"/>
        <v>5</v>
      </c>
      <c r="U69" s="251">
        <f t="shared" si="20"/>
        <v>-0.79619230670658947</v>
      </c>
      <c r="V69" s="383">
        <f t="shared" si="6"/>
        <v>32.274248370579983</v>
      </c>
      <c r="W69" s="402"/>
      <c r="X69" s="157">
        <f t="shared" si="7"/>
        <v>43885</v>
      </c>
      <c r="Y69" s="385">
        <f t="shared" si="8"/>
        <v>33.265000000000001</v>
      </c>
      <c r="Z69" s="385">
        <f t="shared" si="9"/>
        <v>33.710765039430527</v>
      </c>
      <c r="AA69" s="386">
        <f t="shared" si="10"/>
        <v>36.610203934093967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7.9197561966140209E-2</v>
      </c>
      <c r="AD69" s="231">
        <f>(INDEX(Models!$BJ69:$BT69,,AH69)*(1-AF69)+INDEX(Models!$BJ69:$BT69,,AH69+1)*AF69-ERP_i)*AE69*Ramure*Pc/MaxiM</f>
        <v>7.4958066581131853E-4</v>
      </c>
      <c r="AE69" s="305">
        <f t="shared" si="12"/>
        <v>0.7</v>
      </c>
      <c r="AF69" s="177">
        <f t="shared" si="21"/>
        <v>0.20380769329341053</v>
      </c>
      <c r="AG69" s="810">
        <f t="shared" si="22"/>
        <v>-1</v>
      </c>
      <c r="AH69" s="176">
        <f t="shared" si="13"/>
        <v>5</v>
      </c>
      <c r="AI69" s="225">
        <f t="shared" si="23"/>
        <v>-0.79619230670658947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6">
        <v>15.448</v>
      </c>
      <c r="C70" s="390"/>
      <c r="D70" s="393">
        <f t="shared" si="0"/>
        <v>15.65537404322429</v>
      </c>
      <c r="E70" s="385">
        <f t="shared" si="17"/>
        <v>17.003739414307898</v>
      </c>
      <c r="F70" s="385">
        <f t="shared" si="1"/>
        <v>17.006742077410717</v>
      </c>
      <c r="G70" s="110">
        <f t="shared" si="18"/>
        <v>0.47286137810613649</v>
      </c>
      <c r="H70" s="414" t="b">
        <f>Wh_hp&gt;='2019'!Maxi_hp</f>
        <v>0</v>
      </c>
      <c r="I70" s="380">
        <f>IF(H70,Wh_hp,'2019'!Maxi_hp)</f>
        <v>35.339882745455832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1.3246188986077989E-2</v>
      </c>
      <c r="M70" s="844"/>
      <c r="N70" s="844"/>
      <c r="O70" s="48">
        <f>IF(t&lt;Tnet,'2019'!Resal+('2019'!Salim-'2019'!Resal)*(1-EXP(('2019'!Tnet-t)/('2019'!Tau_j))),Resal+(Salim-Resal)*(1-EXP((Tnet-t)/(Tau_j))))*Salcycl</f>
        <v>7.9298167198976116E-2</v>
      </c>
      <c r="P70" s="169">
        <f>(INDEX(Models!$BJ70:$BT70,,T70)*(1-R70)+INDEX(Models!$BJ70:$BT70,,T70+1)*R70-ERP_i)*Q70*Ramure*Pc/MaxiM</f>
        <v>7.1391610061424858E-4</v>
      </c>
      <c r="Q70" s="305">
        <f t="shared" si="2"/>
        <v>0.7</v>
      </c>
      <c r="R70" s="177">
        <f t="shared" si="3"/>
        <v>0.20401778112711932</v>
      </c>
      <c r="S70" s="810">
        <f t="shared" si="4"/>
        <v>-1</v>
      </c>
      <c r="T70" s="176">
        <f t="shared" si="5"/>
        <v>5</v>
      </c>
      <c r="U70" s="251">
        <f t="shared" si="20"/>
        <v>-0.79598221887288068</v>
      </c>
      <c r="V70" s="383">
        <f t="shared" si="6"/>
        <v>32.651635614583022</v>
      </c>
      <c r="W70" s="402"/>
      <c r="X70" s="157">
        <f t="shared" si="7"/>
        <v>43886</v>
      </c>
      <c r="Y70" s="385">
        <f t="shared" si="8"/>
        <v>15.448</v>
      </c>
      <c r="Z70" s="385">
        <f t="shared" si="9"/>
        <v>15.65537404322429</v>
      </c>
      <c r="AA70" s="386">
        <f t="shared" si="10"/>
        <v>17.003739414307898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7.9298167198976116E-2</v>
      </c>
      <c r="AD70" s="231">
        <f>(INDEX(Models!$BJ70:$BT70,,AH70)*(1-AF70)+INDEX(Models!$BJ70:$BT70,,AH70+1)*AF70-ERP_i)*AE70*Ramure*Pc/MaxiM</f>
        <v>7.1391610061424858E-4</v>
      </c>
      <c r="AE70" s="305">
        <f t="shared" si="12"/>
        <v>0.7</v>
      </c>
      <c r="AF70" s="177">
        <f t="shared" si="21"/>
        <v>0.20401778112711932</v>
      </c>
      <c r="AG70" s="810">
        <f t="shared" si="22"/>
        <v>-1</v>
      </c>
      <c r="AH70" s="176">
        <f t="shared" si="13"/>
        <v>5</v>
      </c>
      <c r="AI70" s="225">
        <f t="shared" si="23"/>
        <v>-0.79598221887288068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6">
        <v>18.324000000000002</v>
      </c>
      <c r="C71" s="390"/>
      <c r="D71" s="393">
        <f t="shared" si="0"/>
        <v>18.570413644862931</v>
      </c>
      <c r="E71" s="385">
        <f t="shared" si="17"/>
        <v>20.172046726158797</v>
      </c>
      <c r="F71" s="385">
        <f t="shared" si="1"/>
        <v>20.177023789804448</v>
      </c>
      <c r="G71" s="110">
        <f t="shared" si="18"/>
        <v>0.55450426080131177</v>
      </c>
      <c r="H71" s="414" t="b">
        <f>Wh_hp&gt;='2019'!Maxi_hp</f>
        <v>0</v>
      </c>
      <c r="I71" s="380">
        <f>IF(H71,Wh_hp,'2019'!Maxi_hp)</f>
        <v>31.970796845433078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1.3269152188814748E-2</v>
      </c>
      <c r="M71" s="844"/>
      <c r="N71" s="844"/>
      <c r="O71" s="48">
        <f>IF(t&lt;Tnet,'2019'!Resal+('2019'!Salim-'2019'!Resal)*(1-EXP(('2019'!Tnet-t)/('2019'!Tau_j))),Resal+(Salim-Resal)*(1-EXP((Tnet-t)/(Tau_j))))*Salcycl</f>
        <v>7.9398640258893163E-2</v>
      </c>
      <c r="P71" s="169">
        <f>(INDEX(Models!$BJ71:$BT71,,T71)*(1-R71)+INDEX(Models!$BJ71:$BT71,,T71+1)*R71-ERP_i)*Q71*Ramure*Pc/MaxiM</f>
        <v>6.7781476682633398E-4</v>
      </c>
      <c r="Q71" s="305">
        <f t="shared" si="2"/>
        <v>0.7</v>
      </c>
      <c r="R71" s="177">
        <f t="shared" si="3"/>
        <v>0.20423644533157159</v>
      </c>
      <c r="S71" s="810">
        <f t="shared" si="4"/>
        <v>-1</v>
      </c>
      <c r="T71" s="176">
        <f t="shared" si="5"/>
        <v>5</v>
      </c>
      <c r="U71" s="251">
        <f t="shared" si="20"/>
        <v>-0.79576355466842841</v>
      </c>
      <c r="V71" s="383">
        <f t="shared" si="6"/>
        <v>33.031482436263595</v>
      </c>
      <c r="W71" s="402"/>
      <c r="X71" s="157">
        <f t="shared" si="7"/>
        <v>43887</v>
      </c>
      <c r="Y71" s="385">
        <f t="shared" si="8"/>
        <v>18.324000000000002</v>
      </c>
      <c r="Z71" s="385">
        <f t="shared" si="9"/>
        <v>18.570413644862931</v>
      </c>
      <c r="AA71" s="386">
        <f t="shared" si="10"/>
        <v>20.172046726158797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7.9398640258893163E-2</v>
      </c>
      <c r="AD71" s="231">
        <f>(INDEX(Models!$BJ71:$BT71,,AH71)*(1-AF71)+INDEX(Models!$BJ71:$BT71,,AH71+1)*AF71-ERP_i)*AE71*Ramure*Pc/MaxiM</f>
        <v>6.7781476682633398E-4</v>
      </c>
      <c r="AE71" s="305">
        <f t="shared" si="12"/>
        <v>0.7</v>
      </c>
      <c r="AF71" s="177">
        <f t="shared" si="21"/>
        <v>0.20423644533157159</v>
      </c>
      <c r="AG71" s="810">
        <f t="shared" si="22"/>
        <v>-1</v>
      </c>
      <c r="AH71" s="176">
        <f t="shared" si="13"/>
        <v>5</v>
      </c>
      <c r="AI71" s="225">
        <f t="shared" si="23"/>
        <v>-0.79576355466842841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6">
        <v>7.8390000000000004</v>
      </c>
      <c r="C72" s="390"/>
      <c r="D72" s="393">
        <f t="shared" si="0"/>
        <v>7.944600542910659</v>
      </c>
      <c r="E72" s="385">
        <f t="shared" si="17"/>
        <v>8.6307352270903479</v>
      </c>
      <c r="F72" s="385">
        <f t="shared" si="1"/>
        <v>8.6307352270903479</v>
      </c>
      <c r="G72" s="110">
        <f t="shared" si="18"/>
        <v>0.23445469313922182</v>
      </c>
      <c r="H72" s="414" t="b">
        <f>Wh_hp&gt;='2019'!Maxi_hp</f>
        <v>0</v>
      </c>
      <c r="I72" s="380">
        <f>IF(H72,Wh_hp,'2019'!Maxi_hp)</f>
        <v>35.905271243448688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1.3292114857164306E-2</v>
      </c>
      <c r="M72" s="844"/>
      <c r="N72" s="844"/>
      <c r="O72" s="48">
        <f>IF(t&lt;Tnet,'2019'!Resal+('2019'!Salim-'2019'!Resal)*(1-EXP(('2019'!Tnet-t)/('2019'!Tau_j))),Resal+(Salim-Resal)*(1-EXP((Tnet-t)/(Tau_j))))*Salcycl</f>
        <v>7.9498984284216548E-2</v>
      </c>
      <c r="P72" s="169">
        <f>(INDEX(Models!$BJ72:$BT72,,T72)*(1-R72)+INDEX(Models!$BJ72:$BT72,,T72+1)*R72-ERP_i)*Q72*Ramure*Pc/MaxiM</f>
        <v>6.4312668288678688E-4</v>
      </c>
      <c r="Q72" s="305">
        <f t="shared" si="2"/>
        <v>0.7</v>
      </c>
      <c r="R72" s="177">
        <f t="shared" si="3"/>
        <v>0.20446402580741974</v>
      </c>
      <c r="S72" s="810">
        <f t="shared" si="4"/>
        <v>-1</v>
      </c>
      <c r="T72" s="176">
        <f t="shared" si="5"/>
        <v>5</v>
      </c>
      <c r="U72" s="251">
        <f t="shared" si="20"/>
        <v>-0.79553597419258026</v>
      </c>
      <c r="V72" s="383">
        <f t="shared" si="6"/>
        <v>33.413528324131093</v>
      </c>
      <c r="W72" s="402"/>
      <c r="X72" s="157">
        <f t="shared" si="7"/>
        <v>43888</v>
      </c>
      <c r="Y72" s="385">
        <f t="shared" si="8"/>
        <v>7.8389999999999995</v>
      </c>
      <c r="Z72" s="385">
        <f t="shared" si="9"/>
        <v>7.9446005429106581</v>
      </c>
      <c r="AA72" s="386">
        <f t="shared" si="10"/>
        <v>8.6307352270903479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7.9498984284216548E-2</v>
      </c>
      <c r="AD72" s="231">
        <f>(INDEX(Models!$BJ72:$BT72,,AH72)*(1-AF72)+INDEX(Models!$BJ72:$BT72,,AH72+1)*AF72-ERP_i)*AE72*Ramure*Pc/MaxiM</f>
        <v>6.4312668288678688E-4</v>
      </c>
      <c r="AE72" s="305">
        <f t="shared" si="12"/>
        <v>0.7</v>
      </c>
      <c r="AF72" s="177">
        <f t="shared" si="21"/>
        <v>0.20446402580741974</v>
      </c>
      <c r="AG72" s="810">
        <f t="shared" si="22"/>
        <v>-1</v>
      </c>
      <c r="AH72" s="176">
        <f t="shared" si="13"/>
        <v>5</v>
      </c>
      <c r="AI72" s="225">
        <f t="shared" si="23"/>
        <v>-0.79553597419258026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6">
        <v>17.399000000000001</v>
      </c>
      <c r="C73" s="390"/>
      <c r="D73" s="393">
        <f t="shared" si="0"/>
        <v>17.633795342633153</v>
      </c>
      <c r="E73" s="385">
        <f t="shared" si="17"/>
        <v>19.158822349851626</v>
      </c>
      <c r="F73" s="385">
        <f t="shared" si="1"/>
        <v>19.162422030548441</v>
      </c>
      <c r="G73" s="110">
        <f t="shared" si="18"/>
        <v>0.51458299907086991</v>
      </c>
      <c r="H73" s="414" t="b">
        <f>Wh_hp&gt;='2019'!Maxi_hp</f>
        <v>0</v>
      </c>
      <c r="I73" s="380">
        <f>IF(H73,Wh_hp,'2019'!Maxi_hp)</f>
        <v>29.953158968418784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1.3315076991139096E-2</v>
      </c>
      <c r="M73" s="844"/>
      <c r="N73" s="844"/>
      <c r="O73" s="48">
        <f>IF(t&lt;Tnet,'2019'!Resal+('2019'!Salim-'2019'!Resal)*(1-EXP(('2019'!Tnet-t)/('2019'!Tau_j))),Resal+(Salim-Resal)*(1-EXP((Tnet-t)/(Tau_j))))*Salcycl</f>
        <v>7.9599203926554729E-2</v>
      </c>
      <c r="P73" s="169">
        <f>(INDEX(Models!$BJ73:$BT73,,T73)*(1-R73)+INDEX(Models!$BJ73:$BT73,,T73+1)*R73-ERP_i)*Q73*Ramure*Pc/MaxiM</f>
        <v>6.1217324571236466E-4</v>
      </c>
      <c r="Q73" s="305">
        <f t="shared" si="2"/>
        <v>0.7</v>
      </c>
      <c r="R73" s="177">
        <f t="shared" si="3"/>
        <v>0.20470087506548984</v>
      </c>
      <c r="S73" s="810">
        <f t="shared" si="4"/>
        <v>-1</v>
      </c>
      <c r="T73" s="176">
        <f t="shared" si="5"/>
        <v>5</v>
      </c>
      <c r="U73" s="251">
        <f t="shared" si="20"/>
        <v>-0.79529912493451016</v>
      </c>
      <c r="V73" s="383">
        <f t="shared" si="6"/>
        <v>33.797494013657854</v>
      </c>
      <c r="W73" s="402"/>
      <c r="X73" s="157">
        <f t="shared" si="7"/>
        <v>43889</v>
      </c>
      <c r="Y73" s="385">
        <f t="shared" si="8"/>
        <v>17.399000000000001</v>
      </c>
      <c r="Z73" s="385">
        <f t="shared" si="9"/>
        <v>17.633795342633153</v>
      </c>
      <c r="AA73" s="386">
        <f t="shared" si="10"/>
        <v>19.158822349851626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7.9599203926554729E-2</v>
      </c>
      <c r="AD73" s="231">
        <f>(INDEX(Models!$BJ73:$BT73,,AH73)*(1-AF73)+INDEX(Models!$BJ73:$BT73,,AH73+1)*AF73-ERP_i)*AE73*Ramure*Pc/MaxiM</f>
        <v>6.1217324571236466E-4</v>
      </c>
      <c r="AE73" s="305">
        <f t="shared" si="12"/>
        <v>0.7</v>
      </c>
      <c r="AF73" s="177">
        <f t="shared" si="21"/>
        <v>0.20470087506548984</v>
      </c>
      <c r="AG73" s="810">
        <f t="shared" si="22"/>
        <v>-1</v>
      </c>
      <c r="AH73" s="176">
        <f t="shared" si="13"/>
        <v>5</v>
      </c>
      <c r="AI73" s="225">
        <f t="shared" si="23"/>
        <v>-0.79529912493451016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6">
        <v>13.473000000000001</v>
      </c>
      <c r="C74" s="390"/>
      <c r="D74" s="393">
        <f t="shared" si="0"/>
        <v>13.655132686737536</v>
      </c>
      <c r="E74" s="385">
        <f t="shared" si="17"/>
        <v>14.837685950702609</v>
      </c>
      <c r="F74" s="385">
        <f t="shared" si="1"/>
        <v>14.838853081007091</v>
      </c>
      <c r="G74" s="110">
        <f t="shared" si="18"/>
        <v>0.39394168783393885</v>
      </c>
      <c r="H74" s="414" t="b">
        <f>Wh_hp&gt;='2019'!Maxi_hp</f>
        <v>0</v>
      </c>
      <c r="I74" s="380">
        <f>IF(H74,Wh_hp,'2019'!Maxi_hp)</f>
        <v>15.153805806372244</v>
      </c>
      <c r="J74" s="85">
        <f>IF(H74,An,'2019'!An_max)</f>
        <v>2019</v>
      </c>
      <c r="K74" s="197">
        <f t="shared" si="19"/>
        <v>43890</v>
      </c>
      <c r="L74" s="147">
        <f>IF(t&lt;Tvie,1-EXP((T0-t)*PertePVj)+'2019'!Pspv,1-EXP((T0-t)*PertePVj)+Pspv)</f>
        <v>1.3338038590751333E-2</v>
      </c>
      <c r="M74" s="844"/>
      <c r="N74" s="844"/>
      <c r="O74" s="48">
        <f>IF(t&lt;Tnet,'2019'!Resal+('2019'!Salim-'2019'!Resal)*(1-EXP(('2019'!Tnet-t)/('2019'!Tau_j))),Resal+(Salim-Resal)*(1-EXP((Tnet-t)/(Tau_j))))*Salcycl</f>
        <v>7.969930539667984E-2</v>
      </c>
      <c r="P74" s="169">
        <f>(INDEX(Models!$BJ74:$BT74,,T74)*(1-R74)+INDEX(Models!$BJ74:$BT74,,T74+1)*R74-ERP_i)*Q74*Ramure*Pc/MaxiM</f>
        <v>5.8484026212871976E-4</v>
      </c>
      <c r="Q74" s="305">
        <f t="shared" si="2"/>
        <v>0.7</v>
      </c>
      <c r="R74" s="177">
        <f t="shared" si="3"/>
        <v>0.2049473586215369</v>
      </c>
      <c r="S74" s="810">
        <f t="shared" si="4"/>
        <v>-1</v>
      </c>
      <c r="T74" s="176">
        <f t="shared" si="5"/>
        <v>5</v>
      </c>
      <c r="U74" s="251">
        <f t="shared" si="20"/>
        <v>-0.7950526413784631</v>
      </c>
      <c r="V74" s="383">
        <f t="shared" si="6"/>
        <v>34.183179966773459</v>
      </c>
      <c r="W74" s="402"/>
      <c r="X74" s="157">
        <f t="shared" si="7"/>
        <v>43890</v>
      </c>
      <c r="Y74" s="385">
        <f t="shared" si="8"/>
        <v>13.473000000000001</v>
      </c>
      <c r="Z74" s="385">
        <f t="shared" si="9"/>
        <v>13.655132686737536</v>
      </c>
      <c r="AA74" s="386">
        <f t="shared" si="10"/>
        <v>14.837685950702609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7.969930539667984E-2</v>
      </c>
      <c r="AD74" s="231">
        <f>(INDEX(Models!$BJ74:$BT74,,AH74)*(1-AF74)+INDEX(Models!$BJ74:$BT74,,AH74+1)*AF74-ERP_i)*AE74*Ramure*Pc/MaxiM</f>
        <v>5.8484026212871976E-4</v>
      </c>
      <c r="AE74" s="305">
        <f t="shared" si="12"/>
        <v>0.7</v>
      </c>
      <c r="AF74" s="177">
        <f t="shared" si="21"/>
        <v>0.2049473586215369</v>
      </c>
      <c r="AG74" s="810">
        <f t="shared" si="22"/>
        <v>-1</v>
      </c>
      <c r="AH74" s="176">
        <f t="shared" si="13"/>
        <v>5</v>
      </c>
      <c r="AI74" s="225">
        <f t="shared" si="23"/>
        <v>-0.7950526413784631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6">
        <v>25.024000000000001</v>
      </c>
      <c r="C75" s="390"/>
      <c r="D75" s="393">
        <f t="shared" si="0"/>
        <v>25.362873341997954</v>
      </c>
      <c r="E75" s="385">
        <f t="shared" si="17"/>
        <v>27.562327702555809</v>
      </c>
      <c r="F75" s="385">
        <f t="shared" si="1"/>
        <v>27.571693836230367</v>
      </c>
      <c r="G75" s="110">
        <f t="shared" si="18"/>
        <v>0.72369627057006658</v>
      </c>
      <c r="H75" s="414" t="b">
        <f>Wh_hp&gt;='2019'!Maxi_hp</f>
        <v>1</v>
      </c>
      <c r="I75" s="380">
        <f>IF(H75,Wh_hp,'2019'!Maxi_hp)</f>
        <v>27.571693836230367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1.3360999656013672E-2</v>
      </c>
      <c r="M75" s="844"/>
      <c r="N75" s="844"/>
      <c r="O75" s="48">
        <f>IF(t&lt;Tnet,'2019'!Resal+('2019'!Salim-'2019'!Resal)*(1-EXP(('2019'!Tnet-t)/('2019'!Tau_j))),Resal+(Salim-Resal)*(1-EXP((Tnet-t)/(Tau_j))))*Salcycl</f>
        <v>7.9799296499689393E-2</v>
      </c>
      <c r="P75" s="169">
        <f>(INDEX(Models!$BJ75:$BT75,,T75)*(1-R75)+INDEX(Models!$BJ75:$BT75,,T75+1)*R75-ERP_i)*Q75*Ramure*Pc/MaxiM</f>
        <v>5.6101706289965155E-4</v>
      </c>
      <c r="Q75" s="305">
        <f t="shared" si="2"/>
        <v>0.7</v>
      </c>
      <c r="R75" s="177">
        <f t="shared" si="3"/>
        <v>0.20520385539694608</v>
      </c>
      <c r="S75" s="810">
        <f t="shared" si="4"/>
        <v>-1</v>
      </c>
      <c r="T75" s="176">
        <f t="shared" si="5"/>
        <v>5</v>
      </c>
      <c r="U75" s="251">
        <f t="shared" si="20"/>
        <v>-0.79479614460305392</v>
      </c>
      <c r="V75" s="383">
        <f t="shared" si="6"/>
        <v>34.57038667161833</v>
      </c>
      <c r="W75" s="402"/>
      <c r="X75" s="157">
        <f t="shared" si="7"/>
        <v>43891</v>
      </c>
      <c r="Y75" s="385">
        <f t="shared" si="8"/>
        <v>25.024000000000001</v>
      </c>
      <c r="Z75" s="385">
        <f t="shared" si="9"/>
        <v>25.362873341997954</v>
      </c>
      <c r="AA75" s="386">
        <f t="shared" si="10"/>
        <v>27.562327702555809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7.9799296499689393E-2</v>
      </c>
      <c r="AD75" s="231">
        <f>(INDEX(Models!$BJ75:$BT75,,AH75)*(1-AF75)+INDEX(Models!$BJ75:$BT75,,AH75+1)*AF75-ERP_i)*AE75*Ramure*Pc/MaxiM</f>
        <v>5.6101706289965155E-4</v>
      </c>
      <c r="AE75" s="305">
        <f t="shared" si="12"/>
        <v>0.7</v>
      </c>
      <c r="AF75" s="177">
        <f t="shared" si="21"/>
        <v>0.20520385539694608</v>
      </c>
      <c r="AG75" s="810">
        <f t="shared" si="22"/>
        <v>-1</v>
      </c>
      <c r="AH75" s="176">
        <f t="shared" si="13"/>
        <v>5</v>
      </c>
      <c r="AI75" s="225">
        <f t="shared" si="23"/>
        <v>-0.79479614460305392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6">
        <v>21.192</v>
      </c>
      <c r="C76" s="390"/>
      <c r="D76" s="393">
        <f t="shared" si="0"/>
        <v>21.479480512008848</v>
      </c>
      <c r="E76" s="385">
        <f t="shared" si="17"/>
        <v>23.344703320086726</v>
      </c>
      <c r="F76" s="385">
        <f t="shared" si="1"/>
        <v>23.350224955045149</v>
      </c>
      <c r="G76" s="110">
        <f t="shared" si="18"/>
        <v>0.6060129054395289</v>
      </c>
      <c r="H76" s="414" t="b">
        <f>Wh_hp&gt;='2019'!Maxi_hp</f>
        <v>0</v>
      </c>
      <c r="I76" s="380">
        <f>IF(H76,Wh_hp,'2019'!Maxi_hp)</f>
        <v>33.909920443692066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1.3383960186938548E-2</v>
      </c>
      <c r="M76" s="844"/>
      <c r="N76" s="844"/>
      <c r="O76" s="48">
        <f>IF(t&lt;Tnet,'2019'!Resal+('2019'!Salim-'2019'!Resal)*(1-EXP(('2019'!Tnet-t)/('2019'!Tau_j))),Resal+(Salim-Resal)*(1-EXP((Tnet-t)/(Tau_j))))*Salcycl</f>
        <v>7.9899186659312449E-2</v>
      </c>
      <c r="P76" s="169">
        <f>(INDEX(Models!$BJ76:$BT76,,T76)*(1-R76)+INDEX(Models!$BJ76:$BT76,,T76+1)*R76-ERP_i)*Q76*Ramure*Pc/MaxiM</f>
        <v>5.4059657798344221E-4</v>
      </c>
      <c r="Q76" s="305">
        <f t="shared" si="2"/>
        <v>0.7</v>
      </c>
      <c r="R76" s="177">
        <f t="shared" si="3"/>
        <v>0.2054707581248324</v>
      </c>
      <c r="S76" s="810">
        <f t="shared" si="4"/>
        <v>-1</v>
      </c>
      <c r="T76" s="176">
        <f t="shared" si="5"/>
        <v>5</v>
      </c>
      <c r="U76" s="251">
        <f t="shared" si="20"/>
        <v>-0.7945292418751676</v>
      </c>
      <c r="V76" s="383">
        <f t="shared" si="6"/>
        <v>34.958914639555218</v>
      </c>
      <c r="W76" s="402"/>
      <c r="X76" s="157">
        <f t="shared" si="7"/>
        <v>43892</v>
      </c>
      <c r="Y76" s="385">
        <f t="shared" si="8"/>
        <v>21.192</v>
      </c>
      <c r="Z76" s="385">
        <f t="shared" si="9"/>
        <v>21.479480512008848</v>
      </c>
      <c r="AA76" s="386">
        <f t="shared" si="10"/>
        <v>23.344703320086726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7.9899186659312449E-2</v>
      </c>
      <c r="AD76" s="231">
        <f>(INDEX(Models!$BJ76:$BT76,,AH76)*(1-AF76)+INDEX(Models!$BJ76:$BT76,,AH76+1)*AF76-ERP_i)*AE76*Ramure*Pc/MaxiM</f>
        <v>5.4059657798344221E-4</v>
      </c>
      <c r="AE76" s="305">
        <f t="shared" si="12"/>
        <v>0.7</v>
      </c>
      <c r="AF76" s="177">
        <f t="shared" si="21"/>
        <v>0.2054707581248324</v>
      </c>
      <c r="AG76" s="810">
        <f t="shared" si="22"/>
        <v>-1</v>
      </c>
      <c r="AH76" s="176">
        <f t="shared" si="13"/>
        <v>5</v>
      </c>
      <c r="AI76" s="225">
        <f t="shared" si="23"/>
        <v>-0.7945292418751676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6">
        <v>5.0839999999999996</v>
      </c>
      <c r="C77" s="390"/>
      <c r="D77" s="393">
        <f t="shared" si="0"/>
        <v>5.1530870264626101</v>
      </c>
      <c r="E77" s="385">
        <f t="shared" si="17"/>
        <v>5.601175382703639</v>
      </c>
      <c r="F77" s="385">
        <f t="shared" si="1"/>
        <v>5.601175382703639</v>
      </c>
      <c r="G77" s="110">
        <f t="shared" si="18"/>
        <v>0.14374950547122936</v>
      </c>
      <c r="H77" s="414" t="b">
        <f>Wh_hp&gt;='2019'!Maxi_hp</f>
        <v>0</v>
      </c>
      <c r="I77" s="380">
        <f>IF(H77,Wh_hp,'2019'!Maxi_hp)</f>
        <v>13.608550542591447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1.3406920183538285E-2</v>
      </c>
      <c r="M77" s="844"/>
      <c r="N77" s="844"/>
      <c r="O77" s="48">
        <f>IF(t&lt;Tnet,'2019'!Resal+('2019'!Salim-'2019'!Resal)*(1-EXP(('2019'!Tnet-t)/('2019'!Tau_j))),Resal+(Salim-Resal)*(1-EXP((Tnet-t)/(Tau_j))))*Salcycl</f>
        <v>7.9998986931335891E-2</v>
      </c>
      <c r="P77" s="169">
        <f>(INDEX(Models!$BJ77:$BT77,,T77)*(1-R77)+INDEX(Models!$BJ77:$BT77,,T77+1)*R77-ERP_i)*Q77*Ramure*Pc/MaxiM</f>
        <v>5.234753993385746E-4</v>
      </c>
      <c r="Q77" s="305">
        <f t="shared" si="2"/>
        <v>0.7</v>
      </c>
      <c r="R77" s="177">
        <f t="shared" si="3"/>
        <v>0.2057484737609111</v>
      </c>
      <c r="S77" s="810">
        <f t="shared" si="4"/>
        <v>-1</v>
      </c>
      <c r="T77" s="176">
        <f t="shared" si="5"/>
        <v>5</v>
      </c>
      <c r="U77" s="251">
        <f t="shared" si="20"/>
        <v>-0.7942515262390889</v>
      </c>
      <c r="V77" s="383">
        <f t="shared" si="6"/>
        <v>35.348564396186823</v>
      </c>
      <c r="W77" s="402"/>
      <c r="X77" s="157">
        <f t="shared" si="7"/>
        <v>43893</v>
      </c>
      <c r="Y77" s="385">
        <f t="shared" si="8"/>
        <v>5.0839999999999996</v>
      </c>
      <c r="Z77" s="385">
        <f t="shared" si="9"/>
        <v>5.1530870264626101</v>
      </c>
      <c r="AA77" s="386">
        <f t="shared" si="10"/>
        <v>5.601175382703639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7.9998986931335891E-2</v>
      </c>
      <c r="AD77" s="231">
        <f>(INDEX(Models!$BJ77:$BT77,,AH77)*(1-AF77)+INDEX(Models!$BJ77:$BT77,,AH77+1)*AF77-ERP_i)*AE77*Ramure*Pc/MaxiM</f>
        <v>5.234753993385746E-4</v>
      </c>
      <c r="AE77" s="305">
        <f t="shared" si="12"/>
        <v>0.7</v>
      </c>
      <c r="AF77" s="177">
        <f t="shared" si="21"/>
        <v>0.2057484737609111</v>
      </c>
      <c r="AG77" s="810">
        <f t="shared" si="22"/>
        <v>-1</v>
      </c>
      <c r="AH77" s="176">
        <f t="shared" si="13"/>
        <v>5</v>
      </c>
      <c r="AI77" s="225">
        <f t="shared" si="23"/>
        <v>-0.7942515262390889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6">
        <v>8.5619999999999994</v>
      </c>
      <c r="C78" s="390"/>
      <c r="D78" s="393">
        <f t="shared" si="0"/>
        <v>8.6785519076193758</v>
      </c>
      <c r="E78" s="385">
        <f t="shared" si="17"/>
        <v>9.4342208256694473</v>
      </c>
      <c r="F78" s="385">
        <f t="shared" si="1"/>
        <v>9.4342208256694473</v>
      </c>
      <c r="G78" s="110">
        <f t="shared" si="18"/>
        <v>0.23944722907790475</v>
      </c>
      <c r="H78" s="414" t="b">
        <f>Wh_hp&gt;='2019'!Maxi_hp</f>
        <v>0</v>
      </c>
      <c r="I78" s="380">
        <f>IF(H78,Wh_hp,'2019'!Maxi_hp)</f>
        <v>38.571800708819332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1.3429879645825316E-2</v>
      </c>
      <c r="M78" s="844"/>
      <c r="N78" s="844"/>
      <c r="O78" s="48">
        <f>IF(t&lt;Tnet,'2019'!Resal+('2019'!Salim-'2019'!Resal)*(1-EXP(('2019'!Tnet-t)/('2019'!Tau_j))),Resal+(Salim-Resal)*(1-EXP((Tnet-t)/(Tau_j))))*Salcycl</f>
        <v>8.0098710006234114E-2</v>
      </c>
      <c r="P78" s="169">
        <f>(INDEX(Models!$BJ78:$BT78,,T78)*(1-R78)+INDEX(Models!$BJ78:$BT78,,T78+1)*R78-ERP_i)*Q78*Ramure*Pc/MaxiM</f>
        <v>5.0955383287114037E-4</v>
      </c>
      <c r="Q78" s="305">
        <f t="shared" si="2"/>
        <v>0.7</v>
      </c>
      <c r="R78" s="177">
        <f t="shared" si="3"/>
        <v>0.20603742389842761</v>
      </c>
      <c r="S78" s="810">
        <f t="shared" si="4"/>
        <v>-1</v>
      </c>
      <c r="T78" s="176">
        <f t="shared" si="5"/>
        <v>5</v>
      </c>
      <c r="U78" s="251">
        <f t="shared" si="20"/>
        <v>-0.79396257610157239</v>
      </c>
      <c r="V78" s="383">
        <f t="shared" si="6"/>
        <v>35.73913648129421</v>
      </c>
      <c r="W78" s="402"/>
      <c r="X78" s="157">
        <f t="shared" si="7"/>
        <v>43894</v>
      </c>
      <c r="Y78" s="385">
        <f t="shared" si="8"/>
        <v>8.5619999999999994</v>
      </c>
      <c r="Z78" s="385">
        <f t="shared" si="9"/>
        <v>8.6785519076193758</v>
      </c>
      <c r="AA78" s="386">
        <f t="shared" si="10"/>
        <v>9.4342208256694473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8.0098710006234114E-2</v>
      </c>
      <c r="AD78" s="231">
        <f>(INDEX(Models!$BJ78:$BT78,,AH78)*(1-AF78)+INDEX(Models!$BJ78:$BT78,,AH78+1)*AF78-ERP_i)*AE78*Ramure*Pc/MaxiM</f>
        <v>5.0955383287114037E-4</v>
      </c>
      <c r="AE78" s="305">
        <f t="shared" si="12"/>
        <v>0.7</v>
      </c>
      <c r="AF78" s="177">
        <f t="shared" si="21"/>
        <v>0.20603742389842761</v>
      </c>
      <c r="AG78" s="810">
        <f t="shared" si="22"/>
        <v>-1</v>
      </c>
      <c r="AH78" s="176">
        <f t="shared" si="13"/>
        <v>5</v>
      </c>
      <c r="AI78" s="225">
        <f t="shared" si="23"/>
        <v>-0.79396257610157239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6">
        <v>10.013999999999999</v>
      </c>
      <c r="C79" s="390"/>
      <c r="D79" s="393">
        <f t="shared" ref="D79:D142" si="24">Wh/(1-Ppv)</f>
        <v>10.15055376118401</v>
      </c>
      <c r="E79" s="385">
        <f t="shared" si="17"/>
        <v>11.035590101535542</v>
      </c>
      <c r="F79" s="385">
        <f t="shared" ref="F79:F142" si="25">Wh_sa/(1-Pvg*MEDIAN((-Sdif+Wh/Env_an)/Csdif,0,1))</f>
        <v>11.035590101535542</v>
      </c>
      <c r="G79" s="110">
        <f t="shared" si="18"/>
        <v>0.27701715380362729</v>
      </c>
      <c r="H79" s="414" t="b">
        <f>Wh_hp&gt;='2019'!Maxi_hp</f>
        <v>0</v>
      </c>
      <c r="I79" s="380">
        <f>IF(H79,Wh_hp,'2019'!Maxi_hp)</f>
        <v>22.950602771895554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1.3452838573812187E-2</v>
      </c>
      <c r="M79" s="844"/>
      <c r="N79" s="844"/>
      <c r="O79" s="48">
        <f>IF(t&lt;Tnet,'2019'!Resal+('2019'!Salim-'2019'!Resal)*(1-EXP(('2019'!Tnet-t)/('2019'!Tau_j))),Resal+(Salim-Resal)*(1-EXP((Tnet-t)/(Tau_j))))*Salcycl</f>
        <v>8.0198370201189598E-2</v>
      </c>
      <c r="P79" s="169">
        <f>(INDEX(Models!$BJ79:$BT79,,T79)*(1-R79)+INDEX(Models!$BJ79:$BT79,,T79+1)*R79-ERP_i)*Q79*Ramure*Pc/MaxiM</f>
        <v>4.9872316657732676E-4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0.20633804518634602</v>
      </c>
      <c r="S79" s="810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-0.79366195481365398</v>
      </c>
      <c r="V79" s="383">
        <f t="shared" ref="V79:V142" si="32">MaxiM*(1-Ppv)*(1-Pvg)*(1-Psa)</f>
        <v>36.131357386283405</v>
      </c>
      <c r="W79" s="402"/>
      <c r="X79" s="157">
        <f t="shared" ref="X79:X142" si="33">t</f>
        <v>43895</v>
      </c>
      <c r="Y79" s="385">
        <f t="shared" ref="Y79:Y142" si="34">Wh_pvt_s*(1-Ppv)</f>
        <v>10.013999999999999</v>
      </c>
      <c r="Z79" s="385">
        <f t="shared" ref="Z79:Z142" si="35">Wh_sa_s*(1-Psa_s)</f>
        <v>10.15055376118401</v>
      </c>
      <c r="AA79" s="386">
        <f t="shared" ref="AA79:AA142" si="36">Wh_hp*(1-Pvg_s*MEDIAN((-Sdif+Wh/Env_an)/Csdif,0,1))</f>
        <v>11.035590101535542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8.0198370201189598E-2</v>
      </c>
      <c r="AD79" s="231">
        <f>(INDEX(Models!$BJ79:$BT79,,AH79)*(1-AF79)+INDEX(Models!$BJ79:$BT79,,AH79+1)*AF79-ERP_i)*AE79*Ramure*Pc/MaxiM</f>
        <v>4.9872316657732676E-4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0.20633804518634602</v>
      </c>
      <c r="AG79" s="810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-0.79366195481365398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6">
        <v>20.055</v>
      </c>
      <c r="C80" s="390"/>
      <c r="D80" s="393">
        <f t="shared" si="24"/>
        <v>20.328948786408574</v>
      </c>
      <c r="E80" s="385">
        <f t="shared" ref="E80:E143" si="45">Wh_pvt/(1-Psa)</f>
        <v>22.103842788651662</v>
      </c>
      <c r="F80" s="385">
        <f t="shared" si="25"/>
        <v>22.107701767346693</v>
      </c>
      <c r="G80" s="110">
        <f t="shared" ref="G80:G143" si="46">+Wh_hp/MaxiM</f>
        <v>0.54888793467239061</v>
      </c>
      <c r="H80" s="414" t="b">
        <f>Wh_hp&gt;='2019'!Maxi_hp</f>
        <v>0</v>
      </c>
      <c r="I80" s="380">
        <f>IF(H80,Wh_hp,'2019'!Maxi_hp)</f>
        <v>36.508597128354168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1.3475796967511111E-2</v>
      </c>
      <c r="M80" s="844"/>
      <c r="N80" s="844"/>
      <c r="O80" s="48">
        <f>IF(t&lt;Tnet,'2019'!Resal+('2019'!Salim-'2019'!Resal)*(1-EXP(('2019'!Tnet-t)/('2019'!Tau_j))),Resal+(Salim-Resal)*(1-EXP((Tnet-t)/(Tau_j))))*Salcycl</f>
        <v>8.0297983441790288E-2</v>
      </c>
      <c r="P80" s="169">
        <f>(INDEX(Models!$BJ80:$BT80,,T80)*(1-R80)+INDEX(Models!$BJ80:$BT80,,T80+1)*R80-ERP_i)*Q80*Ramure*Pc/MaxiM</f>
        <v>4.905917524214167E-4</v>
      </c>
      <c r="Q80" s="305">
        <f t="shared" si="27"/>
        <v>0.7</v>
      </c>
      <c r="R80" s="177">
        <f t="shared" si="28"/>
        <v>0.20665078974989448</v>
      </c>
      <c r="S80" s="810">
        <f t="shared" si="29"/>
        <v>-1</v>
      </c>
      <c r="T80" s="176">
        <f t="shared" si="30"/>
        <v>5</v>
      </c>
      <c r="U80" s="251">
        <f t="shared" si="31"/>
        <v>-0.79334921025010552</v>
      </c>
      <c r="V80" s="383">
        <f t="shared" si="32"/>
        <v>36.525963646961948</v>
      </c>
      <c r="W80" s="402"/>
      <c r="X80" s="157">
        <f t="shared" si="33"/>
        <v>43896</v>
      </c>
      <c r="Y80" s="385">
        <f t="shared" si="34"/>
        <v>20.055</v>
      </c>
      <c r="Z80" s="385">
        <f t="shared" si="35"/>
        <v>20.328948786408574</v>
      </c>
      <c r="AA80" s="386">
        <f t="shared" si="36"/>
        <v>22.103842788651662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8.0297983441790288E-2</v>
      </c>
      <c r="AD80" s="231">
        <f>(INDEX(Models!$BJ80:$BT80,,AH80)*(1-AF80)+INDEX(Models!$BJ80:$BT80,,AH80+1)*AF80-ERP_i)*AE80*Ramure*Pc/MaxiM</f>
        <v>4.905917524214167E-4</v>
      </c>
      <c r="AE80" s="305">
        <f t="shared" si="38"/>
        <v>0.7</v>
      </c>
      <c r="AF80" s="177">
        <f t="shared" si="39"/>
        <v>0.20665078974989448</v>
      </c>
      <c r="AG80" s="810">
        <f t="shared" ref="AG80:AG143" si="47">INDEX(Echel_vg,AH80)</f>
        <v>-1</v>
      </c>
      <c r="AH80" s="176">
        <f t="shared" si="40"/>
        <v>5</v>
      </c>
      <c r="AI80" s="225">
        <f t="shared" si="41"/>
        <v>-0.79334921025010552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6">
        <v>24.579000000000001</v>
      </c>
      <c r="C81" s="390"/>
      <c r="D81" s="393">
        <f t="shared" si="24"/>
        <v>24.915325875425555</v>
      </c>
      <c r="E81" s="385">
        <f t="shared" si="45"/>
        <v>27.093584126869686</v>
      </c>
      <c r="F81" s="385">
        <f t="shared" si="25"/>
        <v>27.100436200648318</v>
      </c>
      <c r="G81" s="110">
        <f t="shared" si="46"/>
        <v>0.66553241301571131</v>
      </c>
      <c r="H81" s="414" t="b">
        <f>Wh_hp&gt;='2019'!Maxi_hp</f>
        <v>1</v>
      </c>
      <c r="I81" s="380">
        <f>IF(H81,Wh_hp,'2019'!Maxi_hp)</f>
        <v>27.100436200648318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1.3498754826934856E-2</v>
      </c>
      <c r="M81" s="844"/>
      <c r="N81" s="844"/>
      <c r="O81" s="48">
        <f>IF(t&lt;Tnet,'2019'!Resal+('2019'!Salim-'2019'!Resal)*(1-EXP(('2019'!Tnet-t)/('2019'!Tau_j))),Resal+(Salim-Resal)*(1-EXP((Tnet-t)/(Tau_j))))*Salcycl</f>
        <v>8.03975672337819E-2</v>
      </c>
      <c r="P81" s="169">
        <f>(INDEX(Models!$BJ81:$BT81,,T81)*(1-R81)+INDEX(Models!$BJ81:$BT81,,T81+1)*R81-ERP_i)*Q81*Ramure*Pc/MaxiM</f>
        <v>4.8398853068463288E-4</v>
      </c>
      <c r="Q81" s="305">
        <f t="shared" si="27"/>
        <v>0.7</v>
      </c>
      <c r="R81" s="177">
        <f t="shared" si="28"/>
        <v>0.20697612561246259</v>
      </c>
      <c r="S81" s="810">
        <f t="shared" si="29"/>
        <v>-1</v>
      </c>
      <c r="T81" s="176">
        <f t="shared" si="30"/>
        <v>5</v>
      </c>
      <c r="U81" s="251">
        <f t="shared" si="31"/>
        <v>-0.79302387438753741</v>
      </c>
      <c r="V81" s="383">
        <f t="shared" si="32"/>
        <v>36.922795467773753</v>
      </c>
      <c r="W81" s="402"/>
      <c r="X81" s="157">
        <f t="shared" si="33"/>
        <v>43897</v>
      </c>
      <c r="Y81" s="385">
        <f t="shared" si="34"/>
        <v>24.579000000000001</v>
      </c>
      <c r="Z81" s="385">
        <f t="shared" si="35"/>
        <v>24.915325875425555</v>
      </c>
      <c r="AA81" s="386">
        <f t="shared" si="36"/>
        <v>27.093584126869686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8.03975672337819E-2</v>
      </c>
      <c r="AD81" s="231">
        <f>(INDEX(Models!$BJ81:$BT81,,AH81)*(1-AF81)+INDEX(Models!$BJ81:$BT81,,AH81+1)*AF81-ERP_i)*AE81*Ramure*Pc/MaxiM</f>
        <v>4.8398853068463288E-4</v>
      </c>
      <c r="AE81" s="305">
        <f t="shared" si="38"/>
        <v>0.7</v>
      </c>
      <c r="AF81" s="177">
        <f t="shared" si="39"/>
        <v>0.20697612561246259</v>
      </c>
      <c r="AG81" s="810">
        <f t="shared" si="47"/>
        <v>-1</v>
      </c>
      <c r="AH81" s="176">
        <f t="shared" si="40"/>
        <v>5</v>
      </c>
      <c r="AI81" s="225">
        <f t="shared" si="41"/>
        <v>-0.79302387438753741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6">
        <v>27.823</v>
      </c>
      <c r="C82" s="390"/>
      <c r="D82" s="393">
        <f t="shared" si="24"/>
        <v>28.204371391385109</v>
      </c>
      <c r="E82" s="385">
        <f t="shared" si="45"/>
        <v>30.673500472381832</v>
      </c>
      <c r="F82" s="385">
        <f t="shared" si="25"/>
        <v>30.68285146090291</v>
      </c>
      <c r="G82" s="110">
        <f t="shared" si="46"/>
        <v>0.74536233683329134</v>
      </c>
      <c r="H82" s="414" t="b">
        <f>Wh_hp&gt;='2019'!Maxi_hp</f>
        <v>1</v>
      </c>
      <c r="I82" s="380">
        <f>IF(H82,Wh_hp,'2019'!Maxi_hp)</f>
        <v>30.68285146090291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1.3521712152095522E-2</v>
      </c>
      <c r="M82" s="844"/>
      <c r="N82" s="844"/>
      <c r="O82" s="48">
        <f>IF(t&lt;Tnet,'2019'!Resal+('2019'!Salim-'2019'!Resal)*(1-EXP(('2019'!Tnet-t)/('2019'!Tau_j))),Resal+(Salim-Resal)*(1-EXP((Tnet-t)/(Tau_j))))*Salcycl</f>
        <v>8.0497140625338914E-2</v>
      </c>
      <c r="P82" s="169">
        <f>(INDEX(Models!$BJ82:$BT82,,T82)*(1-R82)+INDEX(Models!$BJ82:$BT82,,T82+1)*R82-ERP_i)*Q82*Ramure*Pc/MaxiM</f>
        <v>4.7887235623125416E-4</v>
      </c>
      <c r="Q82" s="305">
        <f t="shared" si="27"/>
        <v>0.7</v>
      </c>
      <c r="R82" s="177">
        <f t="shared" si="28"/>
        <v>0.20731453711773207</v>
      </c>
      <c r="S82" s="810">
        <f t="shared" si="29"/>
        <v>-1</v>
      </c>
      <c r="T82" s="176">
        <f t="shared" si="30"/>
        <v>5</v>
      </c>
      <c r="U82" s="251">
        <f t="shared" si="31"/>
        <v>-0.79268546288226793</v>
      </c>
      <c r="V82" s="383">
        <f t="shared" si="32"/>
        <v>37.32165269887718</v>
      </c>
      <c r="W82" s="402"/>
      <c r="X82" s="157">
        <f t="shared" si="33"/>
        <v>43898</v>
      </c>
      <c r="Y82" s="385">
        <f t="shared" si="34"/>
        <v>27.823</v>
      </c>
      <c r="Z82" s="385">
        <f t="shared" si="35"/>
        <v>28.204371391385109</v>
      </c>
      <c r="AA82" s="386">
        <f t="shared" si="36"/>
        <v>30.673500472381832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8.0497140625338914E-2</v>
      </c>
      <c r="AD82" s="231">
        <f>(INDEX(Models!$BJ82:$BT82,,AH82)*(1-AF82)+INDEX(Models!$BJ82:$BT82,,AH82+1)*AF82-ERP_i)*AE82*Ramure*Pc/MaxiM</f>
        <v>4.7887235623125416E-4</v>
      </c>
      <c r="AE82" s="305">
        <f t="shared" si="38"/>
        <v>0.7</v>
      </c>
      <c r="AF82" s="177">
        <f t="shared" si="39"/>
        <v>0.20731453711773207</v>
      </c>
      <c r="AG82" s="810">
        <f t="shared" si="47"/>
        <v>-1</v>
      </c>
      <c r="AH82" s="176">
        <f t="shared" si="40"/>
        <v>5</v>
      </c>
      <c r="AI82" s="225">
        <f t="shared" si="41"/>
        <v>-0.79268546288226793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6">
        <v>24.023</v>
      </c>
      <c r="C83" s="390"/>
      <c r="D83" s="393">
        <f t="shared" si="24"/>
        <v>24.352851308795884</v>
      </c>
      <c r="E83" s="385">
        <f t="shared" si="45"/>
        <v>26.48767080643329</v>
      </c>
      <c r="F83" s="385">
        <f t="shared" si="25"/>
        <v>26.49372902943017</v>
      </c>
      <c r="G83" s="110">
        <f t="shared" si="46"/>
        <v>0.63668052256627838</v>
      </c>
      <c r="H83" s="414" t="b">
        <f>Wh_hp&gt;='2019'!Maxi_hp</f>
        <v>1</v>
      </c>
      <c r="I83" s="380">
        <f>IF(H83,Wh_hp,'2019'!Maxi_hp)</f>
        <v>26.49372902943017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1.3544668943005767E-2</v>
      </c>
      <c r="M83" s="844"/>
      <c r="N83" s="844"/>
      <c r="O83" s="48">
        <f>IF(t&lt;Tnet,'2019'!Resal+('2019'!Salim-'2019'!Resal)*(1-EXP(('2019'!Tnet-t)/('2019'!Tau_j))),Resal+(Salim-Resal)*(1-EXP((Tnet-t)/(Tau_j))))*Salcycl</f>
        <v>8.0596724160393235E-2</v>
      </c>
      <c r="P83" s="169">
        <f>(INDEX(Models!$BJ83:$BT83,,T83)*(1-R83)+INDEX(Models!$BJ83:$BT83,,T83+1)*R83-ERP_i)*Q83*Ramure*Pc/MaxiM</f>
        <v>4.7520356371591937E-4</v>
      </c>
      <c r="Q83" s="305">
        <f t="shared" si="27"/>
        <v>0.7</v>
      </c>
      <c r="R83" s="177">
        <f t="shared" si="28"/>
        <v>0.20766652535080155</v>
      </c>
      <c r="S83" s="810">
        <f t="shared" si="29"/>
        <v>-1</v>
      </c>
      <c r="T83" s="176">
        <f t="shared" si="30"/>
        <v>5</v>
      </c>
      <c r="U83" s="251">
        <f t="shared" si="31"/>
        <v>-0.79233347464919845</v>
      </c>
      <c r="V83" s="383">
        <f t="shared" si="32"/>
        <v>37.722335189260932</v>
      </c>
      <c r="W83" s="402"/>
      <c r="X83" s="157">
        <f t="shared" si="33"/>
        <v>43899</v>
      </c>
      <c r="Y83" s="385">
        <f t="shared" si="34"/>
        <v>24.023</v>
      </c>
      <c r="Z83" s="385">
        <f t="shared" si="35"/>
        <v>24.352851308795884</v>
      </c>
      <c r="AA83" s="386">
        <f t="shared" si="36"/>
        <v>26.48767080643329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8.0596724160393235E-2</v>
      </c>
      <c r="AD83" s="231">
        <f>(INDEX(Models!$BJ83:$BT83,,AH83)*(1-AF83)+INDEX(Models!$BJ83:$BT83,,AH83+1)*AF83-ERP_i)*AE83*Ramure*Pc/MaxiM</f>
        <v>4.7520356371591937E-4</v>
      </c>
      <c r="AE83" s="305">
        <f t="shared" si="38"/>
        <v>0.7</v>
      </c>
      <c r="AF83" s="177">
        <f t="shared" si="39"/>
        <v>0.20766652535080155</v>
      </c>
      <c r="AG83" s="810">
        <f t="shared" si="47"/>
        <v>-1</v>
      </c>
      <c r="AH83" s="176">
        <f t="shared" si="40"/>
        <v>5</v>
      </c>
      <c r="AI83" s="225">
        <f t="shared" si="41"/>
        <v>-0.79233347464919845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6">
        <v>29.864000000000001</v>
      </c>
      <c r="C84" s="390"/>
      <c r="D84" s="393">
        <f t="shared" si="24"/>
        <v>30.274756549880273</v>
      </c>
      <c r="E84" s="385">
        <f t="shared" si="45"/>
        <v>32.932270218604344</v>
      </c>
      <c r="F84" s="385">
        <f t="shared" si="25"/>
        <v>32.943027804132434</v>
      </c>
      <c r="G84" s="110">
        <f t="shared" si="46"/>
        <v>0.78321066166045128</v>
      </c>
      <c r="H84" s="414" t="b">
        <f>Wh_hp&gt;='2019'!Maxi_hp</f>
        <v>1</v>
      </c>
      <c r="I84" s="380">
        <f>IF(H84,Wh_hp,'2019'!Maxi_hp)</f>
        <v>32.943027804132434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1.3567625199678024E-2</v>
      </c>
      <c r="M84" s="844"/>
      <c r="N84" s="844"/>
      <c r="O84" s="48">
        <f>IF(t&lt;Tnet,'2019'!Resal+('2019'!Salim-'2019'!Resal)*(1-EXP(('2019'!Tnet-t)/('2019'!Tau_j))),Resal+(Salim-Resal)*(1-EXP((Tnet-t)/(Tau_j))))*Salcycl</f>
        <v>8.0696339823628907E-2</v>
      </c>
      <c r="P84" s="169">
        <f>(INDEX(Models!$BJ84:$BT84,,T84)*(1-R84)+INDEX(Models!$BJ84:$BT84,,T84+1)*R84-ERP_i)*Q84*Ramure*Pc/MaxiM</f>
        <v>4.7294402231395097E-4</v>
      </c>
      <c r="Q84" s="305">
        <f t="shared" si="27"/>
        <v>0.7</v>
      </c>
      <c r="R84" s="177">
        <f t="shared" si="28"/>
        <v>0.2080326085569334</v>
      </c>
      <c r="S84" s="810">
        <f t="shared" si="29"/>
        <v>-1</v>
      </c>
      <c r="T84" s="176">
        <f t="shared" si="30"/>
        <v>5</v>
      </c>
      <c r="U84" s="251">
        <f t="shared" si="31"/>
        <v>-0.7919673914430666</v>
      </c>
      <c r="V84" s="383">
        <f t="shared" si="32"/>
        <v>38.124642779485342</v>
      </c>
      <c r="W84" s="402"/>
      <c r="X84" s="157">
        <f t="shared" si="33"/>
        <v>43900</v>
      </c>
      <c r="Y84" s="385">
        <f t="shared" si="34"/>
        <v>29.864000000000004</v>
      </c>
      <c r="Z84" s="385">
        <f t="shared" si="35"/>
        <v>30.274756549880276</v>
      </c>
      <c r="AA84" s="386">
        <f t="shared" si="36"/>
        <v>32.932270218604344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8.0696339823628907E-2</v>
      </c>
      <c r="AD84" s="231">
        <f>(INDEX(Models!$BJ84:$BT84,,AH84)*(1-AF84)+INDEX(Models!$BJ84:$BT84,,AH84+1)*AF84-ERP_i)*AE84*Ramure*Pc/MaxiM</f>
        <v>4.7294402231395097E-4</v>
      </c>
      <c r="AE84" s="305">
        <f t="shared" si="38"/>
        <v>0.7</v>
      </c>
      <c r="AF84" s="177">
        <f t="shared" si="39"/>
        <v>0.2080326085569334</v>
      </c>
      <c r="AG84" s="810">
        <f t="shared" si="47"/>
        <v>-1</v>
      </c>
      <c r="AH84" s="176">
        <f t="shared" si="40"/>
        <v>5</v>
      </c>
      <c r="AI84" s="225">
        <f t="shared" si="41"/>
        <v>-0.7919673914430666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6">
        <v>37.463999999999999</v>
      </c>
      <c r="C85" s="390"/>
      <c r="D85" s="393">
        <f t="shared" si="24"/>
        <v>37.980172609282711</v>
      </c>
      <c r="E85" s="385">
        <f t="shared" si="45"/>
        <v>41.318546332337313</v>
      </c>
      <c r="F85" s="385">
        <f t="shared" si="25"/>
        <v>41.337289787164842</v>
      </c>
      <c r="G85" s="110">
        <f t="shared" si="46"/>
        <v>0.97235612554129447</v>
      </c>
      <c r="H85" s="414" t="b">
        <f>Wh_hp&gt;='2019'!Maxi_hp</f>
        <v>1</v>
      </c>
      <c r="I85" s="380">
        <f>IF(H85,Wh_hp,'2019'!Maxi_hp)</f>
        <v>41.337289787164842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1.3590580922124507E-2</v>
      </c>
      <c r="M85" s="844"/>
      <c r="N85" s="844"/>
      <c r="O85" s="48">
        <f>IF(t&lt;Tnet,'2019'!Resal+('2019'!Salim-'2019'!Resal)*(1-EXP(('2019'!Tnet-t)/('2019'!Tau_j))),Resal+(Salim-Resal)*(1-EXP((Tnet-t)/(Tau_j))))*Salcycl</f>
        <v>8.0796010977808197E-2</v>
      </c>
      <c r="P85" s="169">
        <f>(INDEX(Models!$BJ85:$BT85,,T85)*(1-R85)+INDEX(Models!$BJ85:$BT85,,T85+1)*R85-ERP_i)*Q85*Ramure*Pc/MaxiM</f>
        <v>4.720571850273847E-4</v>
      </c>
      <c r="Q85" s="305">
        <f t="shared" si="27"/>
        <v>0.7</v>
      </c>
      <c r="R85" s="177">
        <f t="shared" si="28"/>
        <v>0.20841332255641765</v>
      </c>
      <c r="S85" s="810">
        <f t="shared" si="29"/>
        <v>-1</v>
      </c>
      <c r="T85" s="176">
        <f t="shared" si="30"/>
        <v>5</v>
      </c>
      <c r="U85" s="251">
        <f t="shared" si="31"/>
        <v>-0.79158667744358235</v>
      </c>
      <c r="V85" s="383">
        <f t="shared" si="32"/>
        <v>38.52837530254687</v>
      </c>
      <c r="W85" s="402"/>
      <c r="X85" s="157">
        <f t="shared" si="33"/>
        <v>43901</v>
      </c>
      <c r="Y85" s="385">
        <f t="shared" si="34"/>
        <v>37.463999999999999</v>
      </c>
      <c r="Z85" s="385">
        <f t="shared" si="35"/>
        <v>37.980172609282711</v>
      </c>
      <c r="AA85" s="386">
        <f t="shared" si="36"/>
        <v>41.318546332337313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8.0796010977808197E-2</v>
      </c>
      <c r="AD85" s="231">
        <f>(INDEX(Models!$BJ85:$BT85,,AH85)*(1-AF85)+INDEX(Models!$BJ85:$BT85,,AH85+1)*AF85-ERP_i)*AE85*Ramure*Pc/MaxiM</f>
        <v>4.720571850273847E-4</v>
      </c>
      <c r="AE85" s="305">
        <f t="shared" si="38"/>
        <v>0.7</v>
      </c>
      <c r="AF85" s="177">
        <f t="shared" si="39"/>
        <v>0.20841332255641765</v>
      </c>
      <c r="AG85" s="810">
        <f t="shared" si="47"/>
        <v>-1</v>
      </c>
      <c r="AH85" s="176">
        <f t="shared" si="40"/>
        <v>5</v>
      </c>
      <c r="AI85" s="225">
        <f t="shared" si="41"/>
        <v>-0.79158667744358235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6">
        <v>15.791</v>
      </c>
      <c r="C86" s="390"/>
      <c r="D86" s="393">
        <f t="shared" si="24"/>
        <v>16.008938259078455</v>
      </c>
      <c r="E86" s="385">
        <f t="shared" si="45"/>
        <v>17.417978943321806</v>
      </c>
      <c r="F86" s="385">
        <f t="shared" si="25"/>
        <v>17.419219141227959</v>
      </c>
      <c r="G86" s="110">
        <f t="shared" si="46"/>
        <v>0.40542798164061317</v>
      </c>
      <c r="H86" s="414" t="b">
        <f>Wh_hp&gt;='2019'!Maxi_hp</f>
        <v>0</v>
      </c>
      <c r="I86" s="380">
        <f>IF(H86,Wh_hp,'2019'!Maxi_hp)</f>
        <v>26.966083694629873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1.3613536110357871E-2</v>
      </c>
      <c r="M86" s="844"/>
      <c r="N86" s="844"/>
      <c r="O86" s="48">
        <f>IF(t&lt;Tnet,'2019'!Resal+('2019'!Salim-'2019'!Resal)*(1-EXP(('2019'!Tnet-t)/('2019'!Tau_j))),Resal+(Salim-Resal)*(1-EXP((Tnet-t)/(Tau_j))))*Salcycl</f>
        <v>8.0895762294143095E-2</v>
      </c>
      <c r="P86" s="169">
        <f>(INDEX(Models!$BJ86:$BT86,,T86)*(1-R86)+INDEX(Models!$BJ86:$BT86,,T86+1)*R86-ERP_i)*Q86*Ramure*Pc/MaxiM</f>
        <v>4.7199270920428603E-4</v>
      </c>
      <c r="Q86" s="305">
        <f t="shared" si="27"/>
        <v>0.7</v>
      </c>
      <c r="R86" s="177">
        <f t="shared" si="28"/>
        <v>0.20880922115389422</v>
      </c>
      <c r="S86" s="810">
        <f t="shared" si="29"/>
        <v>-1</v>
      </c>
      <c r="T86" s="176">
        <f t="shared" si="30"/>
        <v>5</v>
      </c>
      <c r="U86" s="251">
        <f t="shared" si="31"/>
        <v>-0.79119077884610578</v>
      </c>
      <c r="V86" s="383">
        <f t="shared" si="32"/>
        <v>38.933352656227143</v>
      </c>
      <c r="W86" s="402"/>
      <c r="X86" s="157">
        <f t="shared" si="33"/>
        <v>43902</v>
      </c>
      <c r="Y86" s="385">
        <f t="shared" si="34"/>
        <v>15.791</v>
      </c>
      <c r="Z86" s="385">
        <f t="shared" si="35"/>
        <v>16.008938259078455</v>
      </c>
      <c r="AA86" s="386">
        <f t="shared" si="36"/>
        <v>17.417978943321806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8.0895762294143095E-2</v>
      </c>
      <c r="AD86" s="231">
        <f>(INDEX(Models!$BJ86:$BT86,,AH86)*(1-AF86)+INDEX(Models!$BJ86:$BT86,,AH86+1)*AF86-ERP_i)*AE86*Ramure*Pc/MaxiM</f>
        <v>4.7199270920428603E-4</v>
      </c>
      <c r="AE86" s="305">
        <f t="shared" si="38"/>
        <v>0.7</v>
      </c>
      <c r="AF86" s="177">
        <f t="shared" si="39"/>
        <v>0.20880922115389422</v>
      </c>
      <c r="AG86" s="810">
        <f t="shared" si="47"/>
        <v>-1</v>
      </c>
      <c r="AH86" s="176">
        <f t="shared" si="40"/>
        <v>5</v>
      </c>
      <c r="AI86" s="225">
        <f t="shared" si="41"/>
        <v>-0.79119077884610578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6">
        <v>36.088000000000001</v>
      </c>
      <c r="C87" s="390"/>
      <c r="D87" s="393">
        <f t="shared" si="24"/>
        <v>36.586917157921519</v>
      </c>
      <c r="E87" s="385">
        <f t="shared" si="45"/>
        <v>39.811472003039924</v>
      </c>
      <c r="F87" s="385">
        <f t="shared" si="25"/>
        <v>39.828022010256511</v>
      </c>
      <c r="G87" s="110">
        <f t="shared" si="46"/>
        <v>0.91729813588253262</v>
      </c>
      <c r="H87" s="414" t="b">
        <f>Wh_hp&gt;='2019'!Maxi_hp</f>
        <v>1</v>
      </c>
      <c r="I87" s="380">
        <f>IF(H87,Wh_hp,'2019'!Maxi_hp)</f>
        <v>39.828022010256511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1.3636490764390552E-2</v>
      </c>
      <c r="M87" s="844"/>
      <c r="N87" s="844"/>
      <c r="O87" s="48">
        <f>IF(t&lt;Tnet,'2019'!Resal+('2019'!Salim-'2019'!Resal)*(1-EXP(('2019'!Tnet-t)/('2019'!Tau_j))),Resal+(Salim-Resal)*(1-EXP((Tnet-t)/(Tau_j))))*Salcycl</f>
        <v>8.0995619676463709E-2</v>
      </c>
      <c r="P87" s="169">
        <f>(INDEX(Models!$BJ87:$BT87,,T87)*(1-R87)+INDEX(Models!$BJ87:$BT87,,T87+1)*R87-ERP_i)*Q87*Ramure*Pc/MaxiM</f>
        <v>4.7116888793925283E-4</v>
      </c>
      <c r="Q87" s="305">
        <f t="shared" si="27"/>
        <v>0.7</v>
      </c>
      <c r="R87" s="177">
        <f t="shared" si="28"/>
        <v>0.20922087654032429</v>
      </c>
      <c r="S87" s="810">
        <f t="shared" si="29"/>
        <v>-1</v>
      </c>
      <c r="T87" s="176">
        <f t="shared" si="30"/>
        <v>5</v>
      </c>
      <c r="U87" s="251">
        <f t="shared" si="31"/>
        <v>-0.79077912345967571</v>
      </c>
      <c r="V87" s="383">
        <f t="shared" si="32"/>
        <v>39.339436222054836</v>
      </c>
      <c r="W87" s="402"/>
      <c r="X87" s="157">
        <f t="shared" si="33"/>
        <v>43903</v>
      </c>
      <c r="Y87" s="385">
        <f t="shared" si="34"/>
        <v>36.088000000000001</v>
      </c>
      <c r="Z87" s="385">
        <f t="shared" si="35"/>
        <v>36.586917157921519</v>
      </c>
      <c r="AA87" s="386">
        <f t="shared" si="36"/>
        <v>39.811472003039924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8.0995619676463709E-2</v>
      </c>
      <c r="AD87" s="231">
        <f>(INDEX(Models!$BJ87:$BT87,,AH87)*(1-AF87)+INDEX(Models!$BJ87:$BT87,,AH87+1)*AF87-ERP_i)*AE87*Ramure*Pc/MaxiM</f>
        <v>4.7116888793925283E-4</v>
      </c>
      <c r="AE87" s="305">
        <f t="shared" si="38"/>
        <v>0.7</v>
      </c>
      <c r="AF87" s="177">
        <f t="shared" si="39"/>
        <v>0.20922087654032429</v>
      </c>
      <c r="AG87" s="810">
        <f t="shared" si="47"/>
        <v>-1</v>
      </c>
      <c r="AH87" s="176">
        <f t="shared" si="40"/>
        <v>5</v>
      </c>
      <c r="AI87" s="225">
        <f t="shared" si="41"/>
        <v>-0.79077912345967571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6">
        <v>29.684000000000001</v>
      </c>
      <c r="C88" s="390"/>
      <c r="D88" s="393">
        <f t="shared" si="24"/>
        <v>30.095082115442406</v>
      </c>
      <c r="E88" s="385">
        <f t="shared" si="45"/>
        <v>32.751048366779877</v>
      </c>
      <c r="F88" s="385">
        <f t="shared" si="25"/>
        <v>32.760869095233581</v>
      </c>
      <c r="G88" s="110">
        <f t="shared" si="46"/>
        <v>0.74670756275625783</v>
      </c>
      <c r="H88" s="414" t="b">
        <f>Wh_hp&gt;='2019'!Maxi_hp</f>
        <v>1</v>
      </c>
      <c r="I88" s="380">
        <f>IF(H88,Wh_hp,'2019'!Maxi_hp)</f>
        <v>32.760869095233581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1.3659444884234762E-2</v>
      </c>
      <c r="M88" s="844"/>
      <c r="N88" s="844"/>
      <c r="O88" s="48">
        <f>IF(t&lt;Tnet,'2019'!Resal+('2019'!Salim-'2019'!Resal)*(1-EXP(('2019'!Tnet-t)/('2019'!Tau_j))),Resal+(Salim-Resal)*(1-EXP((Tnet-t)/(Tau_j))))*Salcycl</f>
        <v>8.1095610179962321E-2</v>
      </c>
      <c r="P88" s="169">
        <f>(INDEX(Models!$BJ88:$BT88,,T88)*(1-R88)+INDEX(Models!$BJ88:$BT88,,T88+1)*R88-ERP_i)*Q88*Ramure*Pc/MaxiM</f>
        <v>4.6961253900452222E-4</v>
      </c>
      <c r="Q88" s="305">
        <f t="shared" si="27"/>
        <v>0.7</v>
      </c>
      <c r="R88" s="177">
        <f t="shared" si="28"/>
        <v>0.20964887968562962</v>
      </c>
      <c r="S88" s="810">
        <f t="shared" si="29"/>
        <v>-1</v>
      </c>
      <c r="T88" s="176">
        <f t="shared" si="30"/>
        <v>5</v>
      </c>
      <c r="U88" s="251">
        <f t="shared" si="31"/>
        <v>-0.79035112031437038</v>
      </c>
      <c r="V88" s="383">
        <f t="shared" si="32"/>
        <v>39.746425997367439</v>
      </c>
      <c r="W88" s="402"/>
      <c r="X88" s="157">
        <f t="shared" si="33"/>
        <v>43904</v>
      </c>
      <c r="Y88" s="385">
        <f t="shared" si="34"/>
        <v>29.683999999999997</v>
      </c>
      <c r="Z88" s="385">
        <f t="shared" si="35"/>
        <v>30.095082115442402</v>
      </c>
      <c r="AA88" s="386">
        <f t="shared" si="36"/>
        <v>32.751048366779877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8.1095610179962321E-2</v>
      </c>
      <c r="AD88" s="231">
        <f>(INDEX(Models!$BJ88:$BT88,,AH88)*(1-AF88)+INDEX(Models!$BJ88:$BT88,,AH88+1)*AF88-ERP_i)*AE88*Ramure*Pc/MaxiM</f>
        <v>4.6961253900452222E-4</v>
      </c>
      <c r="AE88" s="305">
        <f t="shared" si="38"/>
        <v>0.7</v>
      </c>
      <c r="AF88" s="177">
        <f t="shared" si="39"/>
        <v>0.20964887968562962</v>
      </c>
      <c r="AG88" s="810">
        <f t="shared" si="47"/>
        <v>-1</v>
      </c>
      <c r="AH88" s="176">
        <f t="shared" si="40"/>
        <v>5</v>
      </c>
      <c r="AI88" s="225">
        <f t="shared" si="41"/>
        <v>-0.79035112031437038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6">
        <v>40.951000000000001</v>
      </c>
      <c r="C89" s="390"/>
      <c r="D89" s="393">
        <f t="shared" si="24"/>
        <v>41.519080604940825</v>
      </c>
      <c r="E89" s="385">
        <f t="shared" si="45"/>
        <v>45.188168365376676</v>
      </c>
      <c r="F89" s="385">
        <f t="shared" si="25"/>
        <v>45.209296903916872</v>
      </c>
      <c r="G89" s="110">
        <f t="shared" si="46"/>
        <v>1.0198454846338485</v>
      </c>
      <c r="H89" s="414" t="b">
        <f>Wh_hp&gt;='2019'!Maxi_hp</f>
        <v>1</v>
      </c>
      <c r="I89" s="380">
        <f>IF(H89,Wh_hp,'2019'!Maxi_hp)</f>
        <v>45.209296903916872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1.3682398469903156E-2</v>
      </c>
      <c r="M89" s="844"/>
      <c r="N89" s="844"/>
      <c r="O89" s="48">
        <f>IF(t&lt;Tnet,'2019'!Resal+('2019'!Salim-'2019'!Resal)*(1-EXP(('2019'!Tnet-t)/('2019'!Tau_j))),Resal+(Salim-Resal)*(1-EXP((Tnet-t)/(Tau_j))))*Salcycl</f>
        <v>8.1195761925307711E-2</v>
      </c>
      <c r="P89" s="169">
        <f>(INDEX(Models!$BJ89:$BT89,,T89)*(1-R89)+INDEX(Models!$BJ89:$BT89,,T89+1)*R89-ERP_i)*Q89*Ramure*Pc/MaxiM</f>
        <v>4.6734941676045361E-4</v>
      </c>
      <c r="Q89" s="305">
        <f t="shared" si="27"/>
        <v>0.7</v>
      </c>
      <c r="R89" s="177">
        <f t="shared" si="28"/>
        <v>0.21009384071984716</v>
      </c>
      <c r="S89" s="810">
        <f t="shared" si="29"/>
        <v>-1</v>
      </c>
      <c r="T89" s="176">
        <f t="shared" si="30"/>
        <v>5</v>
      </c>
      <c r="U89" s="251">
        <f t="shared" si="31"/>
        <v>-0.78990615928015284</v>
      </c>
      <c r="V89" s="383">
        <f t="shared" si="32"/>
        <v>40.154121989080039</v>
      </c>
      <c r="W89" s="402"/>
      <c r="X89" s="157">
        <f t="shared" si="33"/>
        <v>43905</v>
      </c>
      <c r="Y89" s="385">
        <f t="shared" si="34"/>
        <v>40.951000000000001</v>
      </c>
      <c r="Z89" s="385">
        <f t="shared" si="35"/>
        <v>41.519080604940825</v>
      </c>
      <c r="AA89" s="386">
        <f t="shared" si="36"/>
        <v>45.188168365376676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8.1195761925307711E-2</v>
      </c>
      <c r="AD89" s="231">
        <f>(INDEX(Models!$BJ89:$BT89,,AH89)*(1-AF89)+INDEX(Models!$BJ89:$BT89,,AH89+1)*AF89-ERP_i)*AE89*Ramure*Pc/MaxiM</f>
        <v>4.6734941676045361E-4</v>
      </c>
      <c r="AE89" s="305">
        <f t="shared" si="38"/>
        <v>0.7</v>
      </c>
      <c r="AF89" s="177">
        <f t="shared" si="39"/>
        <v>0.21009384071984716</v>
      </c>
      <c r="AG89" s="810">
        <f t="shared" si="47"/>
        <v>-1</v>
      </c>
      <c r="AH89" s="176">
        <f t="shared" si="40"/>
        <v>5</v>
      </c>
      <c r="AI89" s="225">
        <f t="shared" si="41"/>
        <v>-0.78990615928015284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6">
        <v>8.9190000000000005</v>
      </c>
      <c r="C90" s="390"/>
      <c r="D90" s="393">
        <f t="shared" si="24"/>
        <v>9.0429366252346561</v>
      </c>
      <c r="E90" s="385">
        <f t="shared" si="45"/>
        <v>9.8431460503162622</v>
      </c>
      <c r="F90" s="385">
        <f t="shared" si="25"/>
        <v>9.8431460503162622</v>
      </c>
      <c r="G90" s="110">
        <f t="shared" si="46"/>
        <v>0.21978173466571677</v>
      </c>
      <c r="H90" s="414" t="b">
        <f>Wh_hp&gt;='2019'!Maxi_hp</f>
        <v>0</v>
      </c>
      <c r="I90" s="380">
        <f>IF(H90,Wh_hp,'2019'!Maxi_hp)</f>
        <v>15.813554994495229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1.3705351521407949E-2</v>
      </c>
      <c r="M90" s="844"/>
      <c r="N90" s="844"/>
      <c r="O90" s="48">
        <f>IF(t&lt;Tnet,'2019'!Resal+('2019'!Salim-'2019'!Resal)*(1-EXP(('2019'!Tnet-t)/('2019'!Tau_j))),Resal+(Salim-Resal)*(1-EXP((Tnet-t)/(Tau_j))))*Salcycl</f>
        <v>8.1296104008930753E-2</v>
      </c>
      <c r="P90" s="169">
        <f>(INDEX(Models!$BJ90:$BT90,,T90)*(1-R90)+INDEX(Models!$BJ90:$BT90,,T90+1)*R90-ERP_i)*Q90*Ramure*Pc/MaxiM</f>
        <v>4.6440420040850757E-4</v>
      </c>
      <c r="Q90" s="305">
        <f t="shared" si="27"/>
        <v>0.7</v>
      </c>
      <c r="R90" s="177">
        <f t="shared" si="28"/>
        <v>0.2105563893004585</v>
      </c>
      <c r="S90" s="810">
        <f t="shared" si="29"/>
        <v>-1</v>
      </c>
      <c r="T90" s="176">
        <f t="shared" si="30"/>
        <v>5</v>
      </c>
      <c r="U90" s="251">
        <f t="shared" si="31"/>
        <v>-0.7894436106995415</v>
      </c>
      <c r="V90" s="383">
        <f t="shared" si="32"/>
        <v>40.562324219052428</v>
      </c>
      <c r="W90" s="402"/>
      <c r="X90" s="157">
        <f t="shared" si="33"/>
        <v>43906</v>
      </c>
      <c r="Y90" s="385">
        <f t="shared" si="34"/>
        <v>8.9190000000000005</v>
      </c>
      <c r="Z90" s="385">
        <f t="shared" si="35"/>
        <v>9.0429366252346561</v>
      </c>
      <c r="AA90" s="386">
        <f t="shared" si="36"/>
        <v>9.8431460503162622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8.1296104008930753E-2</v>
      </c>
      <c r="AD90" s="231">
        <f>(INDEX(Models!$BJ90:$BT90,,AH90)*(1-AF90)+INDEX(Models!$BJ90:$BT90,,AH90+1)*AF90-ERP_i)*AE90*Ramure*Pc/MaxiM</f>
        <v>4.6440420040850757E-4</v>
      </c>
      <c r="AE90" s="305">
        <f t="shared" si="38"/>
        <v>0.7</v>
      </c>
      <c r="AF90" s="177">
        <f t="shared" si="39"/>
        <v>0.2105563893004585</v>
      </c>
      <c r="AG90" s="810">
        <f t="shared" si="47"/>
        <v>-1</v>
      </c>
      <c r="AH90" s="176">
        <f t="shared" si="40"/>
        <v>5</v>
      </c>
      <c r="AI90" s="225">
        <f t="shared" si="41"/>
        <v>-0.7894436106995415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6">
        <v>12.635999999999999</v>
      </c>
      <c r="C91" s="390"/>
      <c r="D91" s="393">
        <f t="shared" si="24"/>
        <v>12.811885458889424</v>
      </c>
      <c r="E91" s="385">
        <f t="shared" si="45"/>
        <v>13.947135820662723</v>
      </c>
      <c r="F91" s="385">
        <f t="shared" si="25"/>
        <v>13.947213076630398</v>
      </c>
      <c r="G91" s="110">
        <f t="shared" si="46"/>
        <v>0.3082741171299816</v>
      </c>
      <c r="H91" s="414" t="b">
        <f>Wh_hp&gt;='2019'!Maxi_hp</f>
        <v>0</v>
      </c>
      <c r="I91" s="380">
        <f>IF(H91,Wh_hp,'2019'!Maxi_hp)</f>
        <v>32.389497861269035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1.3728304038761796E-2</v>
      </c>
      <c r="M91" s="844"/>
      <c r="N91" s="844"/>
      <c r="O91" s="48">
        <f>IF(t&lt;Tnet,'2019'!Resal+('2019'!Salim-'2019'!Resal)*(1-EXP(('2019'!Tnet-t)/('2019'!Tau_j))),Resal+(Salim-Resal)*(1-EXP((Tnet-t)/(Tau_j))))*Salcycl</f>
        <v>8.1396666410276292E-2</v>
      </c>
      <c r="P91" s="169">
        <f>(INDEX(Models!$BJ91:$BT91,,T91)*(1-R91)+INDEX(Models!$BJ91:$BT91,,T91+1)*R91-ERP_i)*Q91*Ramure*Pc/MaxiM</f>
        <v>4.6080048428251213E-4</v>
      </c>
      <c r="Q91" s="305">
        <f t="shared" si="27"/>
        <v>0.7</v>
      </c>
      <c r="R91" s="177">
        <f t="shared" si="28"/>
        <v>0.21103717496335894</v>
      </c>
      <c r="S91" s="810">
        <f t="shared" si="29"/>
        <v>-1</v>
      </c>
      <c r="T91" s="176">
        <f t="shared" si="30"/>
        <v>5</v>
      </c>
      <c r="U91" s="251">
        <f t="shared" si="31"/>
        <v>-0.78896282503664106</v>
      </c>
      <c r="V91" s="383">
        <f t="shared" si="32"/>
        <v>40.970832724263367</v>
      </c>
      <c r="W91" s="402"/>
      <c r="X91" s="157">
        <f t="shared" si="33"/>
        <v>43907</v>
      </c>
      <c r="Y91" s="385">
        <f t="shared" si="34"/>
        <v>12.635999999999999</v>
      </c>
      <c r="Z91" s="385">
        <f t="shared" si="35"/>
        <v>12.811885458889424</v>
      </c>
      <c r="AA91" s="386">
        <f t="shared" si="36"/>
        <v>13.947135820662723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8.1396666410276292E-2</v>
      </c>
      <c r="AD91" s="231">
        <f>(INDEX(Models!$BJ91:$BT91,,AH91)*(1-AF91)+INDEX(Models!$BJ91:$BT91,,AH91+1)*AF91-ERP_i)*AE91*Ramure*Pc/MaxiM</f>
        <v>4.6080048428251213E-4</v>
      </c>
      <c r="AE91" s="305">
        <f t="shared" si="38"/>
        <v>0.7</v>
      </c>
      <c r="AF91" s="177">
        <f t="shared" si="39"/>
        <v>0.21103717496335894</v>
      </c>
      <c r="AG91" s="810">
        <f t="shared" si="47"/>
        <v>-1</v>
      </c>
      <c r="AH91" s="176">
        <f t="shared" si="40"/>
        <v>5</v>
      </c>
      <c r="AI91" s="225">
        <f t="shared" si="41"/>
        <v>-0.78896282503664106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6">
        <v>38.738</v>
      </c>
      <c r="C92" s="390"/>
      <c r="D92" s="393">
        <f t="shared" si="24"/>
        <v>39.278123532761853</v>
      </c>
      <c r="E92" s="385">
        <f t="shared" si="45"/>
        <v>42.763218034882229</v>
      </c>
      <c r="F92" s="385">
        <f t="shared" si="25"/>
        <v>42.780968964285989</v>
      </c>
      <c r="G92" s="110">
        <f t="shared" si="46"/>
        <v>0.93612623554617846</v>
      </c>
      <c r="H92" s="414" t="b">
        <f>Wh_hp&gt;='2019'!Maxi_hp</f>
        <v>1</v>
      </c>
      <c r="I92" s="380">
        <f>IF(H92,Wh_hp,'2019'!Maxi_hp)</f>
        <v>42.780968964285989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1.3751256021977132E-2</v>
      </c>
      <c r="M92" s="844"/>
      <c r="N92" s="844"/>
      <c r="O92" s="48">
        <f>IF(t&lt;Tnet,'2019'!Resal+('2019'!Salim-'2019'!Resal)*(1-EXP(('2019'!Tnet-t)/('2019'!Tau_j))),Resal+(Salim-Resal)*(1-EXP((Tnet-t)/(Tau_j))))*Salcycl</f>
        <v>8.1497479896802033E-2</v>
      </c>
      <c r="P92" s="169">
        <f>(INDEX(Models!$BJ92:$BT92,,T92)*(1-R92)+INDEX(Models!$BJ92:$BT92,,T92+1)*R92-ERP_i)*Q92*Ramure*Pc/MaxiM</f>
        <v>4.5656076990681376E-4</v>
      </c>
      <c r="Q92" s="305">
        <f t="shared" si="27"/>
        <v>0.7</v>
      </c>
      <c r="R92" s="177">
        <f t="shared" si="28"/>
        <v>0.21153686745472422</v>
      </c>
      <c r="S92" s="810">
        <f t="shared" si="29"/>
        <v>-1</v>
      </c>
      <c r="T92" s="176">
        <f t="shared" si="30"/>
        <v>5</v>
      </c>
      <c r="U92" s="251">
        <f t="shared" si="31"/>
        <v>-0.78846313254527578</v>
      </c>
      <c r="V92" s="383">
        <f t="shared" si="32"/>
        <v>41.379447563415312</v>
      </c>
      <c r="W92" s="402"/>
      <c r="X92" s="157">
        <f t="shared" si="33"/>
        <v>43908</v>
      </c>
      <c r="Y92" s="385">
        <f t="shared" si="34"/>
        <v>38.738</v>
      </c>
      <c r="Z92" s="385">
        <f t="shared" si="35"/>
        <v>39.278123532761853</v>
      </c>
      <c r="AA92" s="386">
        <f t="shared" si="36"/>
        <v>42.763218034882229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8.1497479896802033E-2</v>
      </c>
      <c r="AD92" s="231">
        <f>(INDEX(Models!$BJ92:$BT92,,AH92)*(1-AF92)+INDEX(Models!$BJ92:$BT92,,AH92+1)*AF92-ERP_i)*AE92*Ramure*Pc/MaxiM</f>
        <v>4.5656076990681376E-4</v>
      </c>
      <c r="AE92" s="305">
        <f t="shared" si="38"/>
        <v>0.7</v>
      </c>
      <c r="AF92" s="177">
        <f t="shared" si="39"/>
        <v>0.21153686745472422</v>
      </c>
      <c r="AG92" s="810">
        <f t="shared" si="47"/>
        <v>-1</v>
      </c>
      <c r="AH92" s="176">
        <f t="shared" si="40"/>
        <v>5</v>
      </c>
      <c r="AI92" s="225">
        <f t="shared" si="41"/>
        <v>-0.78846313254527578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6">
        <v>41.091999999999999</v>
      </c>
      <c r="C93" s="390"/>
      <c r="D93" s="393">
        <f t="shared" si="24"/>
        <v>41.665914957090763</v>
      </c>
      <c r="E93" s="385">
        <f t="shared" si="45"/>
        <v>45.367868412408612</v>
      </c>
      <c r="F93" s="385">
        <f t="shared" si="25"/>
        <v>45.387878029548453</v>
      </c>
      <c r="G93" s="110">
        <f t="shared" si="46"/>
        <v>0.98324218077894321</v>
      </c>
      <c r="H93" s="414" t="b">
        <f>Wh_hp&gt;='2019'!Maxi_hp</f>
        <v>0</v>
      </c>
      <c r="I93" s="380">
        <f>IF(H93,Wh_hp,'2019'!Maxi_hp)</f>
        <v>45.417095514762579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1.3774207471066169E-2</v>
      </c>
      <c r="M93" s="844"/>
      <c r="N93" s="844"/>
      <c r="O93" s="48">
        <f>IF(t&lt;Tnet,'2019'!Resal+('2019'!Salim-'2019'!Resal)*(1-EXP(('2019'!Tnet-t)/('2019'!Tau_j))),Resal+(Salim-Resal)*(1-EXP((Tnet-t)/(Tau_j))))*Salcycl</f>
        <v>8.1598575927480085E-2</v>
      </c>
      <c r="P93" s="169">
        <f>(INDEX(Models!$BJ93:$BT93,,T93)*(1-R93)+INDEX(Models!$BJ93:$BT93,,T93+1)*R93-ERP_i)*Q93*Ramure*Pc/MaxiM</f>
        <v>4.5166403828517381E-4</v>
      </c>
      <c r="Q93" s="305">
        <f t="shared" si="27"/>
        <v>0.7</v>
      </c>
      <c r="R93" s="177">
        <f t="shared" si="28"/>
        <v>0.21205615704082137</v>
      </c>
      <c r="S93" s="810">
        <f t="shared" si="29"/>
        <v>-1</v>
      </c>
      <c r="T93" s="176">
        <f t="shared" si="30"/>
        <v>5</v>
      </c>
      <c r="U93" s="251">
        <f t="shared" si="31"/>
        <v>-0.78794384295917863</v>
      </c>
      <c r="V93" s="383">
        <f t="shared" si="32"/>
        <v>41.791896821521931</v>
      </c>
      <c r="W93" s="402"/>
      <c r="X93" s="157">
        <f t="shared" si="33"/>
        <v>43909</v>
      </c>
      <c r="Y93" s="385">
        <f t="shared" si="34"/>
        <v>41.091999999999999</v>
      </c>
      <c r="Z93" s="385">
        <f t="shared" si="35"/>
        <v>41.665914957090763</v>
      </c>
      <c r="AA93" s="386">
        <f t="shared" si="36"/>
        <v>45.367868412408612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8.1598575927480085E-2</v>
      </c>
      <c r="AD93" s="231">
        <f>(INDEX(Models!$BJ93:$BT93,,AH93)*(1-AF93)+INDEX(Models!$BJ93:$BT93,,AH93+1)*AF93-ERP_i)*AE93*Ramure*Pc/MaxiM</f>
        <v>4.5166403828517381E-4</v>
      </c>
      <c r="AE93" s="305">
        <f t="shared" si="38"/>
        <v>0.7</v>
      </c>
      <c r="AF93" s="177">
        <f t="shared" si="39"/>
        <v>0.21205615704082137</v>
      </c>
      <c r="AG93" s="810">
        <f t="shared" si="47"/>
        <v>-1</v>
      </c>
      <c r="AH93" s="176">
        <f t="shared" si="40"/>
        <v>5</v>
      </c>
      <c r="AI93" s="225">
        <f t="shared" si="41"/>
        <v>-0.78794384295917863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6">
        <v>43.631</v>
      </c>
      <c r="C94" s="390"/>
      <c r="D94" s="393">
        <f t="shared" si="24"/>
        <v>44.241405681407493</v>
      </c>
      <c r="E94" s="385">
        <f t="shared" si="45"/>
        <v>48.177507387222107</v>
      </c>
      <c r="F94" s="385">
        <f t="shared" si="25"/>
        <v>48.198985258159908</v>
      </c>
      <c r="G94" s="110">
        <f t="shared" si="46"/>
        <v>1.0336404411289688</v>
      </c>
      <c r="H94" s="414" t="b">
        <f>Wh_hp&gt;='2019'!Maxi_hp</f>
        <v>1</v>
      </c>
      <c r="I94" s="380">
        <f>IF(H94,Wh_hp,'2019'!Maxi_hp)</f>
        <v>48.198985258159908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1.3797158386041453E-2</v>
      </c>
      <c r="M94" s="844"/>
      <c r="N94" s="844"/>
      <c r="O94" s="48">
        <f>IF(t&lt;Tnet,'2019'!Resal+('2019'!Salim-'2019'!Resal)*(1-EXP(('2019'!Tnet-t)/('2019'!Tau_j))),Resal+(Salim-Resal)*(1-EXP((Tnet-t)/(Tau_j))))*Salcycl</f>
        <v>8.1699986555522075E-2</v>
      </c>
      <c r="P94" s="169">
        <f>(INDEX(Models!$BJ94:$BT94,,T94)*(1-R94)+INDEX(Models!$BJ94:$BT94,,T94+1)*R94-ERP_i)*Q94*Ramure*Pc/MaxiM</f>
        <v>4.4560836338698983E-4</v>
      </c>
      <c r="Q94" s="305">
        <f t="shared" si="27"/>
        <v>0.7</v>
      </c>
      <c r="R94" s="177">
        <f t="shared" si="28"/>
        <v>0.21259575479258153</v>
      </c>
      <c r="S94" s="810">
        <f t="shared" si="29"/>
        <v>-1</v>
      </c>
      <c r="T94" s="176">
        <f t="shared" si="30"/>
        <v>5</v>
      </c>
      <c r="U94" s="251">
        <f t="shared" si="31"/>
        <v>-0.78740424520741847</v>
      </c>
      <c r="V94" s="383">
        <f t="shared" si="32"/>
        <v>42.211003230818925</v>
      </c>
      <c r="W94" s="402"/>
      <c r="X94" s="157">
        <f t="shared" si="33"/>
        <v>43910</v>
      </c>
      <c r="Y94" s="385">
        <f t="shared" si="34"/>
        <v>43.631</v>
      </c>
      <c r="Z94" s="385">
        <f t="shared" si="35"/>
        <v>44.241405681407493</v>
      </c>
      <c r="AA94" s="386">
        <f t="shared" si="36"/>
        <v>48.177507387222107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8.1699986555522075E-2</v>
      </c>
      <c r="AD94" s="231">
        <f>(INDEX(Models!$BJ94:$BT94,,AH94)*(1-AF94)+INDEX(Models!$BJ94:$BT94,,AH94+1)*AF94-ERP_i)*AE94*Ramure*Pc/MaxiM</f>
        <v>4.4560836338698983E-4</v>
      </c>
      <c r="AE94" s="305">
        <f t="shared" si="38"/>
        <v>0.7</v>
      </c>
      <c r="AF94" s="177">
        <f t="shared" si="39"/>
        <v>0.21259575479258153</v>
      </c>
      <c r="AG94" s="810">
        <f t="shared" si="47"/>
        <v>-1</v>
      </c>
      <c r="AH94" s="176">
        <f t="shared" si="40"/>
        <v>5</v>
      </c>
      <c r="AI94" s="225">
        <f t="shared" si="41"/>
        <v>-0.78740424520741847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6">
        <v>42.006999999999998</v>
      </c>
      <c r="C95" s="390"/>
      <c r="D95" s="393">
        <f t="shared" si="24"/>
        <v>42.595676887586833</v>
      </c>
      <c r="E95" s="385">
        <f t="shared" si="45"/>
        <v>46.390500771047442</v>
      </c>
      <c r="F95" s="385">
        <f t="shared" si="25"/>
        <v>46.410432138632295</v>
      </c>
      <c r="G95" s="110">
        <f t="shared" si="46"/>
        <v>0.98525734076537663</v>
      </c>
      <c r="H95" s="414" t="b">
        <f>Wh_hp&gt;='2019'!Maxi_hp</f>
        <v>1</v>
      </c>
      <c r="I95" s="380">
        <f>IF(H95,Wh_hp,'2019'!Maxi_hp)</f>
        <v>46.410432138632295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1.3820108766915418E-2</v>
      </c>
      <c r="M95" s="844"/>
      <c r="N95" s="844"/>
      <c r="O95" s="48">
        <f>IF(t&lt;Tnet,'2019'!Resal+('2019'!Salim-'2019'!Resal)*(1-EXP(('2019'!Tnet-t)/('2019'!Tau_j))),Resal+(Salim-Resal)*(1-EXP((Tnet-t)/(Tau_j))))*Salcycl</f>
        <v>8.1801744331007065E-2</v>
      </c>
      <c r="P95" s="169">
        <f>(INDEX(Models!$BJ95:$BT95,,T95)*(1-R95)+INDEX(Models!$BJ95:$BT95,,T95+1)*R95-ERP_i)*Q95*Ramure*Pc/MaxiM</f>
        <v>4.3869235056358708E-4</v>
      </c>
      <c r="Q95" s="305">
        <f t="shared" si="27"/>
        <v>0.7</v>
      </c>
      <c r="R95" s="177">
        <f t="shared" si="28"/>
        <v>0.21315639284152132</v>
      </c>
      <c r="S95" s="810">
        <f t="shared" si="29"/>
        <v>-1</v>
      </c>
      <c r="T95" s="176">
        <f t="shared" si="30"/>
        <v>5</v>
      </c>
      <c r="U95" s="251">
        <f t="shared" si="31"/>
        <v>-0.78684360715847868</v>
      </c>
      <c r="V95" s="383">
        <f t="shared" si="32"/>
        <v>42.635167707696709</v>
      </c>
      <c r="W95" s="402"/>
      <c r="X95" s="157">
        <f t="shared" si="33"/>
        <v>43911</v>
      </c>
      <c r="Y95" s="385">
        <f t="shared" si="34"/>
        <v>42.006999999999998</v>
      </c>
      <c r="Z95" s="385">
        <f t="shared" si="35"/>
        <v>42.595676887586833</v>
      </c>
      <c r="AA95" s="386">
        <f t="shared" si="36"/>
        <v>46.390500771047442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8.1801744331007065E-2</v>
      </c>
      <c r="AD95" s="231">
        <f>(INDEX(Models!$BJ95:$BT95,,AH95)*(1-AF95)+INDEX(Models!$BJ95:$BT95,,AH95+1)*AF95-ERP_i)*AE95*Ramure*Pc/MaxiM</f>
        <v>4.3869235056358708E-4</v>
      </c>
      <c r="AE95" s="305">
        <f t="shared" si="38"/>
        <v>0.7</v>
      </c>
      <c r="AF95" s="177">
        <f t="shared" si="39"/>
        <v>0.21315639284152132</v>
      </c>
      <c r="AG95" s="810">
        <f t="shared" si="47"/>
        <v>-1</v>
      </c>
      <c r="AH95" s="176">
        <f t="shared" si="40"/>
        <v>5</v>
      </c>
      <c r="AI95" s="225">
        <f t="shared" si="41"/>
        <v>-0.78684360715847868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6">
        <v>41.121000000000002</v>
      </c>
      <c r="C96" s="390"/>
      <c r="D96" s="393">
        <f t="shared" si="24"/>
        <v>41.6982310566042</v>
      </c>
      <c r="E96" s="385">
        <f t="shared" si="45"/>
        <v>45.418154208850829</v>
      </c>
      <c r="F96" s="385">
        <f t="shared" si="25"/>
        <v>45.436473995624183</v>
      </c>
      <c r="G96" s="110">
        <f t="shared" si="46"/>
        <v>0.95488114038645866</v>
      </c>
      <c r="H96" s="414" t="b">
        <f>Wh_hp&gt;='2019'!Maxi_hp</f>
        <v>1</v>
      </c>
      <c r="I96" s="380">
        <f>IF(H96,Wh_hp,'2019'!Maxi_hp)</f>
        <v>45.436473995624183</v>
      </c>
      <c r="J96" s="85">
        <f>IF(H96,An,'2019'!An_max)</f>
        <v>2020</v>
      </c>
      <c r="K96" s="197">
        <f t="shared" si="26"/>
        <v>43912</v>
      </c>
      <c r="L96" s="147">
        <f>IF(t&lt;Tvie,1-EXP((T0-t)*PertePVj)+'2019'!Pspv,1-EXP((T0-t)*PertePVj)+Pspv)</f>
        <v>1.3843058613700499E-2</v>
      </c>
      <c r="M96" s="844"/>
      <c r="N96" s="844"/>
      <c r="O96" s="48">
        <f>IF(t&lt;Tnet,'2019'!Resal+('2019'!Salim-'2019'!Resal)*(1-EXP(('2019'!Tnet-t)/('2019'!Tau_j))),Resal+(Salim-Resal)*(1-EXP((Tnet-t)/(Tau_j))))*Salcycl</f>
        <v>8.1903882204039713E-2</v>
      </c>
      <c r="P96" s="169">
        <f>(INDEX(Models!$BJ96:$BT96,,T96)*(1-R96)+INDEX(Models!$BJ96:$BT96,,T96+1)*R96-ERP_i)*Q96*Ramure*Pc/MaxiM</f>
        <v>4.3095682470739599E-4</v>
      </c>
      <c r="Q96" s="305">
        <f t="shared" si="27"/>
        <v>0.7</v>
      </c>
      <c r="R96" s="177">
        <f t="shared" si="28"/>
        <v>0.21373882460335702</v>
      </c>
      <c r="S96" s="810">
        <f t="shared" si="29"/>
        <v>-1</v>
      </c>
      <c r="T96" s="176">
        <f t="shared" si="30"/>
        <v>5</v>
      </c>
      <c r="U96" s="251">
        <f t="shared" si="31"/>
        <v>-0.78626117539664298</v>
      </c>
      <c r="V96" s="383">
        <f t="shared" si="32"/>
        <v>43.062802511649139</v>
      </c>
      <c r="W96" s="402"/>
      <c r="X96" s="157">
        <f t="shared" si="33"/>
        <v>43912</v>
      </c>
      <c r="Y96" s="385">
        <f t="shared" si="34"/>
        <v>41.121000000000002</v>
      </c>
      <c r="Z96" s="385">
        <f t="shared" si="35"/>
        <v>41.6982310566042</v>
      </c>
      <c r="AA96" s="386">
        <f t="shared" si="36"/>
        <v>45.418154208850829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8.1903882204039713E-2</v>
      </c>
      <c r="AD96" s="231">
        <f>(INDEX(Models!$BJ96:$BT96,,AH96)*(1-AF96)+INDEX(Models!$BJ96:$BT96,,AH96+1)*AF96-ERP_i)*AE96*Ramure*Pc/MaxiM</f>
        <v>4.3095682470739599E-4</v>
      </c>
      <c r="AE96" s="305">
        <f t="shared" si="38"/>
        <v>0.7</v>
      </c>
      <c r="AF96" s="177">
        <f t="shared" si="39"/>
        <v>0.21373882460335702</v>
      </c>
      <c r="AG96" s="810">
        <f t="shared" si="47"/>
        <v>-1</v>
      </c>
      <c r="AH96" s="176">
        <f t="shared" si="40"/>
        <v>5</v>
      </c>
      <c r="AI96" s="225">
        <f t="shared" si="41"/>
        <v>-0.78626117539664298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6">
        <v>31.699000000000002</v>
      </c>
      <c r="C97" s="390"/>
      <c r="D97" s="393">
        <f t="shared" si="24"/>
        <v>32.144718927440081</v>
      </c>
      <c r="E97" s="385">
        <f t="shared" si="45"/>
        <v>35.016279087348359</v>
      </c>
      <c r="F97" s="385">
        <f t="shared" si="25"/>
        <v>35.025343627520158</v>
      </c>
      <c r="G97" s="110">
        <f t="shared" si="46"/>
        <v>0.7287220115387032</v>
      </c>
      <c r="H97" s="414" t="b">
        <f>Wh_hp&gt;='2019'!Maxi_hp</f>
        <v>0</v>
      </c>
      <c r="I97" s="380">
        <f>IF(H97,Wh_hp,'2019'!Maxi_hp)</f>
        <v>47.269574696306101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1.386600792640913E-2</v>
      </c>
      <c r="M97" s="844"/>
      <c r="N97" s="844"/>
      <c r="O97" s="48">
        <f>IF(t&lt;Tnet,'2019'!Resal+('2019'!Salim-'2019'!Resal)*(1-EXP(('2019'!Tnet-t)/('2019'!Tau_j))),Resal+(Salim-Resal)*(1-EXP((Tnet-t)/(Tau_j))))*Salcycl</f>
        <v>8.2006433429010317E-2</v>
      </c>
      <c r="P97" s="169">
        <f>(INDEX(Models!$BJ97:$BT97,,T97)*(1-R97)+INDEX(Models!$BJ97:$BT97,,T97+1)*R97-ERP_i)*Q97*Ramure*Pc/MaxiM</f>
        <v>4.2243977147329983E-4</v>
      </c>
      <c r="Q97" s="305">
        <f t="shared" si="27"/>
        <v>0.7</v>
      </c>
      <c r="R97" s="177">
        <f t="shared" si="28"/>
        <v>0.21434382496540483</v>
      </c>
      <c r="S97" s="810">
        <f t="shared" si="29"/>
        <v>-1</v>
      </c>
      <c r="T97" s="176">
        <f t="shared" si="30"/>
        <v>5</v>
      </c>
      <c r="U97" s="251">
        <f t="shared" si="31"/>
        <v>-0.78565617503459517</v>
      </c>
      <c r="V97" s="383">
        <f t="shared" si="32"/>
        <v>43.492320694669168</v>
      </c>
      <c r="W97" s="402"/>
      <c r="X97" s="157">
        <f t="shared" si="33"/>
        <v>43913</v>
      </c>
      <c r="Y97" s="385">
        <f t="shared" si="34"/>
        <v>31.699000000000005</v>
      </c>
      <c r="Z97" s="385">
        <f t="shared" si="35"/>
        <v>32.144718927440081</v>
      </c>
      <c r="AA97" s="386">
        <f t="shared" si="36"/>
        <v>35.016279087348359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8.2006433429010317E-2</v>
      </c>
      <c r="AD97" s="231">
        <f>(INDEX(Models!$BJ97:$BT97,,AH97)*(1-AF97)+INDEX(Models!$BJ97:$BT97,,AH97+1)*AF97-ERP_i)*AE97*Ramure*Pc/MaxiM</f>
        <v>4.2243977147329983E-4</v>
      </c>
      <c r="AE97" s="305">
        <f t="shared" si="38"/>
        <v>0.7</v>
      </c>
      <c r="AF97" s="177">
        <f t="shared" si="39"/>
        <v>0.21434382496540483</v>
      </c>
      <c r="AG97" s="810">
        <f t="shared" si="47"/>
        <v>-1</v>
      </c>
      <c r="AH97" s="176">
        <f t="shared" si="40"/>
        <v>5</v>
      </c>
      <c r="AI97" s="225">
        <f t="shared" si="41"/>
        <v>-0.78565617503459517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6">
        <v>36.631999999999998</v>
      </c>
      <c r="C98" s="390"/>
      <c r="D98" s="393">
        <f t="shared" si="24"/>
        <v>37.147946216685206</v>
      </c>
      <c r="E98" s="385">
        <f t="shared" si="45"/>
        <v>40.470996750948558</v>
      </c>
      <c r="F98" s="385">
        <f t="shared" si="25"/>
        <v>40.483757513181779</v>
      </c>
      <c r="G98" s="110">
        <f t="shared" si="46"/>
        <v>0.83393963286786343</v>
      </c>
      <c r="H98" s="414" t="b">
        <f>Wh_hp&gt;='2019'!Maxi_hp</f>
        <v>0</v>
      </c>
      <c r="I98" s="380">
        <f>IF(H98,Wh_hp,'2019'!Maxi_hp)</f>
        <v>41.637984914064219</v>
      </c>
      <c r="J98" s="85">
        <f>IF(H98,An,'2019'!An_max)</f>
        <v>2019</v>
      </c>
      <c r="K98" s="197">
        <f t="shared" si="26"/>
        <v>43914</v>
      </c>
      <c r="L98" s="147">
        <f>IF(t&lt;Tvie,1-EXP((T0-t)*PertePVj)+'2019'!Pspv,1-EXP((T0-t)*PertePVj)+Pspv)</f>
        <v>1.3888956705053745E-2</v>
      </c>
      <c r="M98" s="844"/>
      <c r="N98" s="844"/>
      <c r="O98" s="48">
        <f>IF(t&lt;Tnet,'2019'!Resal+('2019'!Salim-'2019'!Resal)*(1-EXP(('2019'!Tnet-t)/('2019'!Tau_j))),Resal+(Salim-Resal)*(1-EXP((Tnet-t)/(Tau_j))))*Salcycl</f>
        <v>8.2109431470463234E-2</v>
      </c>
      <c r="P98" s="169">
        <f>(INDEX(Models!$BJ98:$BT98,,T98)*(1-R98)+INDEX(Models!$BJ98:$BT98,,T98+1)*R98-ERP_i)*Q98*Ramure*Pc/MaxiM</f>
        <v>4.1317611491279284E-4</v>
      </c>
      <c r="Q98" s="305">
        <f t="shared" si="27"/>
        <v>0.7</v>
      </c>
      <c r="R98" s="177">
        <f t="shared" si="28"/>
        <v>0.21497219043360261</v>
      </c>
      <c r="S98" s="810">
        <f t="shared" si="29"/>
        <v>-1</v>
      </c>
      <c r="T98" s="176">
        <f t="shared" si="30"/>
        <v>5</v>
      </c>
      <c r="U98" s="251">
        <f t="shared" si="31"/>
        <v>-0.78502780956639739</v>
      </c>
      <c r="V98" s="383">
        <f t="shared" si="32"/>
        <v>43.922136110104283</v>
      </c>
      <c r="W98" s="402"/>
      <c r="X98" s="157">
        <f t="shared" si="33"/>
        <v>43914</v>
      </c>
      <c r="Y98" s="385">
        <f t="shared" si="34"/>
        <v>36.631999999999998</v>
      </c>
      <c r="Z98" s="385">
        <f t="shared" si="35"/>
        <v>37.147946216685206</v>
      </c>
      <c r="AA98" s="386">
        <f t="shared" si="36"/>
        <v>40.470996750948558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8.2109431470463234E-2</v>
      </c>
      <c r="AD98" s="231">
        <f>(INDEX(Models!$BJ98:$BT98,,AH98)*(1-AF98)+INDEX(Models!$BJ98:$BT98,,AH98+1)*AF98-ERP_i)*AE98*Ramure*Pc/MaxiM</f>
        <v>4.1317611491279284E-4</v>
      </c>
      <c r="AE98" s="305">
        <f t="shared" si="38"/>
        <v>0.7</v>
      </c>
      <c r="AF98" s="177">
        <f t="shared" si="39"/>
        <v>0.21497219043360261</v>
      </c>
      <c r="AG98" s="810">
        <f t="shared" si="47"/>
        <v>-1</v>
      </c>
      <c r="AH98" s="176">
        <f t="shared" si="40"/>
        <v>5</v>
      </c>
      <c r="AI98" s="225">
        <f t="shared" si="41"/>
        <v>-0.78502780956639739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6">
        <v>45.250999999999998</v>
      </c>
      <c r="C99" s="390"/>
      <c r="D99" s="393">
        <f t="shared" si="24"/>
        <v>45.889409097560716</v>
      </c>
      <c r="E99" s="385">
        <f t="shared" si="45"/>
        <v>50.000059483416102</v>
      </c>
      <c r="F99" s="385">
        <f t="shared" si="25"/>
        <v>50.020227515864548</v>
      </c>
      <c r="G99" s="110">
        <f t="shared" si="46"/>
        <v>1.020300408270973</v>
      </c>
      <c r="H99" s="414" t="b">
        <f>Wh_hp&gt;='2019'!Maxi_hp</f>
        <v>0</v>
      </c>
      <c r="I99" s="380">
        <f>IF(H99,Wh_hp,'2019'!Maxi_hp)</f>
        <v>50.66707986781163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1.391190494964667E-2</v>
      </c>
      <c r="M99" s="844"/>
      <c r="N99" s="844"/>
      <c r="O99" s="48">
        <f>IF(t&lt;Tnet,'2019'!Resal+('2019'!Salim-'2019'!Resal)*(1-EXP(('2019'!Tnet-t)/('2019'!Tau_j))),Resal+(Salim-Resal)*(1-EXP((Tnet-t)/(Tau_j))))*Salcycl</f>
        <v>8.2212909911013182E-2</v>
      </c>
      <c r="P99" s="169">
        <f>(INDEX(Models!$BJ99:$BT99,,T99)*(1-R99)+INDEX(Models!$BJ99:$BT99,,T99+1)*R99-ERP_i)*Q99*Ramure*Pc/MaxiM</f>
        <v>4.0319753527812136E-4</v>
      </c>
      <c r="Q99" s="305">
        <f t="shared" si="27"/>
        <v>0.7</v>
      </c>
      <c r="R99" s="177">
        <f t="shared" si="28"/>
        <v>0.21562473923472558</v>
      </c>
      <c r="S99" s="810">
        <f t="shared" si="29"/>
        <v>-1</v>
      </c>
      <c r="T99" s="176">
        <f t="shared" si="30"/>
        <v>5</v>
      </c>
      <c r="U99" s="251">
        <f t="shared" si="31"/>
        <v>-0.78437526076527442</v>
      </c>
      <c r="V99" s="383">
        <f t="shared" si="32"/>
        <v>44.350663425376347</v>
      </c>
      <c r="W99" s="402"/>
      <c r="X99" s="157">
        <f t="shared" si="33"/>
        <v>43915</v>
      </c>
      <c r="Y99" s="385">
        <f t="shared" si="34"/>
        <v>45.250999999999998</v>
      </c>
      <c r="Z99" s="385">
        <f t="shared" si="35"/>
        <v>45.889409097560716</v>
      </c>
      <c r="AA99" s="386">
        <f t="shared" si="36"/>
        <v>50.000059483416102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8.2212909911013182E-2</v>
      </c>
      <c r="AD99" s="231">
        <f>(INDEX(Models!$BJ99:$BT99,,AH99)*(1-AF99)+INDEX(Models!$BJ99:$BT99,,AH99+1)*AF99-ERP_i)*AE99*Ramure*Pc/MaxiM</f>
        <v>4.0319753527812136E-4</v>
      </c>
      <c r="AE99" s="305">
        <f t="shared" si="38"/>
        <v>0.7</v>
      </c>
      <c r="AF99" s="177">
        <f t="shared" si="39"/>
        <v>0.21562473923472558</v>
      </c>
      <c r="AG99" s="810">
        <f t="shared" si="47"/>
        <v>-1</v>
      </c>
      <c r="AH99" s="176">
        <f t="shared" si="40"/>
        <v>5</v>
      </c>
      <c r="AI99" s="225">
        <f t="shared" si="41"/>
        <v>-0.78437526076527442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6">
        <v>26.661000000000001</v>
      </c>
      <c r="C100" s="390"/>
      <c r="D100" s="393">
        <f t="shared" si="24"/>
        <v>27.037767303636972</v>
      </c>
      <c r="E100" s="385">
        <f t="shared" si="45"/>
        <v>29.463076494728096</v>
      </c>
      <c r="F100" s="385">
        <f t="shared" si="25"/>
        <v>29.467954814886067</v>
      </c>
      <c r="G100" s="110">
        <f t="shared" si="46"/>
        <v>0.59529118159827121</v>
      </c>
      <c r="H100" s="414" t="b">
        <f>Wh_hp&gt;='2019'!Maxi_hp</f>
        <v>0</v>
      </c>
      <c r="I100" s="380">
        <f>IF(H100,Wh_hp,'2019'!Maxi_hp)</f>
        <v>49.81019451356466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1.3934852660200558E-2</v>
      </c>
      <c r="M100" s="844"/>
      <c r="N100" s="844"/>
      <c r="O100" s="48">
        <f>IF(t&lt;Tnet,'2019'!Resal+('2019'!Salim-'2019'!Resal)*(1-EXP(('2019'!Tnet-t)/('2019'!Tau_j))),Resal+(Salim-Resal)*(1-EXP((Tnet-t)/(Tau_j))))*Salcycl</f>
        <v>8.2316902361676034E-2</v>
      </c>
      <c r="P100" s="169">
        <f>(INDEX(Models!$BJ100:$BT100,,T100)*(1-R100)+INDEX(Models!$BJ100:$BT100,,T100+1)*R100-ERP_i)*Q100*Ramure*Pc/MaxiM</f>
        <v>3.9225577533127433E-4</v>
      </c>
      <c r="Q100" s="305">
        <f t="shared" si="27"/>
        <v>0.7</v>
      </c>
      <c r="R100" s="177">
        <f t="shared" si="28"/>
        <v>0.21630231136909717</v>
      </c>
      <c r="S100" s="810">
        <f t="shared" si="29"/>
        <v>-1</v>
      </c>
      <c r="T100" s="176">
        <f t="shared" si="30"/>
        <v>5</v>
      </c>
      <c r="U100" s="251">
        <f t="shared" si="31"/>
        <v>-0.78369768863090283</v>
      </c>
      <c r="V100" s="383">
        <f t="shared" si="32"/>
        <v>44.776330525714116</v>
      </c>
      <c r="W100" s="402"/>
      <c r="X100" s="157">
        <f t="shared" si="33"/>
        <v>43916</v>
      </c>
      <c r="Y100" s="385">
        <f t="shared" si="34"/>
        <v>26.661000000000001</v>
      </c>
      <c r="Z100" s="385">
        <f t="shared" si="35"/>
        <v>27.037767303636972</v>
      </c>
      <c r="AA100" s="386">
        <f t="shared" si="36"/>
        <v>29.463076494728096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8.2316902361676034E-2</v>
      </c>
      <c r="AD100" s="231">
        <f>(INDEX(Models!$BJ100:$BT100,,AH100)*(1-AF100)+INDEX(Models!$BJ100:$BT100,,AH100+1)*AF100-ERP_i)*AE100*Ramure*Pc/MaxiM</f>
        <v>3.9225577533127433E-4</v>
      </c>
      <c r="AE100" s="305">
        <f t="shared" si="38"/>
        <v>0.7</v>
      </c>
      <c r="AF100" s="177">
        <f t="shared" si="39"/>
        <v>0.21630231136909717</v>
      </c>
      <c r="AG100" s="810">
        <f t="shared" si="47"/>
        <v>-1</v>
      </c>
      <c r="AH100" s="176">
        <f t="shared" si="40"/>
        <v>5</v>
      </c>
      <c r="AI100" s="225">
        <f t="shared" si="41"/>
        <v>-0.78369768863090283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6">
        <v>43.91</v>
      </c>
      <c r="C101" s="390"/>
      <c r="D101" s="393">
        <f t="shared" si="24"/>
        <v>44.531562637713904</v>
      </c>
      <c r="E101" s="385">
        <f t="shared" si="45"/>
        <v>48.531607749173972</v>
      </c>
      <c r="F101" s="385">
        <f t="shared" si="25"/>
        <v>48.549344574646973</v>
      </c>
      <c r="G101" s="110">
        <f t="shared" si="46"/>
        <v>0.9714981317559388</v>
      </c>
      <c r="H101" s="414" t="b">
        <f>Wh_hp&gt;='2019'!Maxi_hp</f>
        <v>0</v>
      </c>
      <c r="I101" s="380">
        <f>IF(H101,Wh_hp,'2019'!Maxi_hp)</f>
        <v>48.878439061474175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1.3957799836727625E-2</v>
      </c>
      <c r="M101" s="844"/>
      <c r="N101" s="844"/>
      <c r="O101" s="48">
        <f>IF(t&lt;Tnet,'2019'!Resal+('2019'!Salim-'2019'!Resal)*(1-EXP(('2019'!Tnet-t)/('2019'!Tau_j))),Resal+(Salim-Resal)*(1-EXP((Tnet-t)/(Tau_j))))*Salcycl</f>
        <v>8.2421442374905646E-2</v>
      </c>
      <c r="P101" s="169">
        <f>(INDEX(Models!$BJ101:$BT101,,T101)*(1-R101)+INDEX(Models!$BJ101:$BT101,,T101+1)*R101-ERP_i)*Q101*Ramure*Pc/MaxiM</f>
        <v>3.8083426045732805E-4</v>
      </c>
      <c r="Q101" s="305">
        <f t="shared" si="27"/>
        <v>0.7</v>
      </c>
      <c r="R101" s="177">
        <f t="shared" si="28"/>
        <v>0.21700576860882859</v>
      </c>
      <c r="S101" s="810">
        <f t="shared" si="29"/>
        <v>-1</v>
      </c>
      <c r="T101" s="176">
        <f t="shared" si="30"/>
        <v>5</v>
      </c>
      <c r="U101" s="251">
        <f t="shared" si="31"/>
        <v>-0.78299423139117141</v>
      </c>
      <c r="V101" s="383">
        <f t="shared" si="32"/>
        <v>45.197533365533062</v>
      </c>
      <c r="W101" s="402"/>
      <c r="X101" s="157">
        <f t="shared" si="33"/>
        <v>43917</v>
      </c>
      <c r="Y101" s="385">
        <f t="shared" si="34"/>
        <v>43.91</v>
      </c>
      <c r="Z101" s="385">
        <f t="shared" si="35"/>
        <v>44.531562637713904</v>
      </c>
      <c r="AA101" s="386">
        <f t="shared" si="36"/>
        <v>48.531607749173972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8.2421442374905646E-2</v>
      </c>
      <c r="AD101" s="231">
        <f>(INDEX(Models!$BJ101:$BT101,,AH101)*(1-AF101)+INDEX(Models!$BJ101:$BT101,,AH101+1)*AF101-ERP_i)*AE101*Ramure*Pc/MaxiM</f>
        <v>3.8083426045732805E-4</v>
      </c>
      <c r="AE101" s="305">
        <f t="shared" si="38"/>
        <v>0.7</v>
      </c>
      <c r="AF101" s="177">
        <f t="shared" si="39"/>
        <v>0.21700576860882859</v>
      </c>
      <c r="AG101" s="810">
        <f t="shared" si="47"/>
        <v>-1</v>
      </c>
      <c r="AH101" s="176">
        <f t="shared" si="40"/>
        <v>5</v>
      </c>
      <c r="AI101" s="225">
        <f t="shared" si="41"/>
        <v>-0.78299423139117141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6">
        <v>44.927999999999997</v>
      </c>
      <c r="C102" s="390"/>
      <c r="D102" s="393">
        <f t="shared" si="24"/>
        <v>45.565033177168161</v>
      </c>
      <c r="E102" s="385">
        <f t="shared" si="45"/>
        <v>49.663599356146221</v>
      </c>
      <c r="F102" s="385">
        <f t="shared" si="25"/>
        <v>49.681536277933169</v>
      </c>
      <c r="G102" s="110">
        <f t="shared" si="46"/>
        <v>0.98498126903887906</v>
      </c>
      <c r="H102" s="414" t="b">
        <f>Wh_hp&gt;='2019'!Maxi_hp</f>
        <v>0</v>
      </c>
      <c r="I102" s="380">
        <f>IF(H102,Wh_hp,'2019'!Maxi_hp)</f>
        <v>49.683662086047121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1.3980746479240302E-2</v>
      </c>
      <c r="M102" s="844"/>
      <c r="N102" s="844"/>
      <c r="O102" s="48">
        <f>IF(t&lt;Tnet,'2019'!Resal+('2019'!Salim-'2019'!Resal)*(1-EXP(('2019'!Tnet-t)/('2019'!Tau_j))),Resal+(Salim-Resal)*(1-EXP((Tnet-t)/(Tau_j))))*Salcycl</f>
        <v>8.2526563360551808E-2</v>
      </c>
      <c r="P102" s="169">
        <f>(INDEX(Models!$BJ102:$BT102,,T102)*(1-R102)+INDEX(Models!$BJ102:$BT102,,T102+1)*R102-ERP_i)*Q102*Ramure*Pc/MaxiM</f>
        <v>3.6894981682244338E-4</v>
      </c>
      <c r="Q102" s="305">
        <f t="shared" si="27"/>
        <v>0.7</v>
      </c>
      <c r="R102" s="177">
        <f t="shared" si="28"/>
        <v>0.21773599443633773</v>
      </c>
      <c r="S102" s="810">
        <f t="shared" si="29"/>
        <v>-1</v>
      </c>
      <c r="T102" s="176">
        <f t="shared" si="30"/>
        <v>5</v>
      </c>
      <c r="U102" s="251">
        <f t="shared" si="31"/>
        <v>-0.78226400556366227</v>
      </c>
      <c r="V102" s="383">
        <f t="shared" si="32"/>
        <v>45.61268911510485</v>
      </c>
      <c r="W102" s="402"/>
      <c r="X102" s="157">
        <f t="shared" si="33"/>
        <v>43918</v>
      </c>
      <c r="Y102" s="385">
        <f t="shared" si="34"/>
        <v>44.927999999999997</v>
      </c>
      <c r="Z102" s="385">
        <f t="shared" si="35"/>
        <v>45.565033177168161</v>
      </c>
      <c r="AA102" s="386">
        <f t="shared" si="36"/>
        <v>49.663599356146221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8.2526563360551808E-2</v>
      </c>
      <c r="AD102" s="231">
        <f>(INDEX(Models!$BJ102:$BT102,,AH102)*(1-AF102)+INDEX(Models!$BJ102:$BT102,,AH102+1)*AF102-ERP_i)*AE102*Ramure*Pc/MaxiM</f>
        <v>3.6894981682244338E-4</v>
      </c>
      <c r="AE102" s="305">
        <f t="shared" si="38"/>
        <v>0.7</v>
      </c>
      <c r="AF102" s="177">
        <f t="shared" si="39"/>
        <v>0.21773599443633773</v>
      </c>
      <c r="AG102" s="810">
        <f t="shared" si="47"/>
        <v>-1</v>
      </c>
      <c r="AH102" s="176">
        <f t="shared" si="40"/>
        <v>5</v>
      </c>
      <c r="AI102" s="225">
        <f t="shared" si="41"/>
        <v>-0.78226400556366227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6">
        <v>24.864999999999998</v>
      </c>
      <c r="C103" s="390"/>
      <c r="D103" s="393">
        <f t="shared" si="24"/>
        <v>25.21814718075191</v>
      </c>
      <c r="E103" s="385">
        <f t="shared" si="45"/>
        <v>27.489682860701841</v>
      </c>
      <c r="F103" s="385">
        <f t="shared" si="25"/>
        <v>27.493048676296016</v>
      </c>
      <c r="G103" s="110">
        <f t="shared" si="46"/>
        <v>0.54017947691142387</v>
      </c>
      <c r="H103" s="414" t="b">
        <f>Wh_hp&gt;='2019'!Maxi_hp</f>
        <v>0</v>
      </c>
      <c r="I103" s="380">
        <f>IF(H103,Wh_hp,'2019'!Maxi_hp)</f>
        <v>50.64313114829168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1.4003692587751138E-2</v>
      </c>
      <c r="M103" s="844"/>
      <c r="N103" s="844"/>
      <c r="O103" s="48">
        <f>IF(t&lt;Tnet,'2019'!Resal+('2019'!Salim-'2019'!Resal)*(1-EXP(('2019'!Tnet-t)/('2019'!Tau_j))),Resal+(Salim-Resal)*(1-EXP((Tnet-t)/(Tau_j))))*Salcycl</f>
        <v>8.2632298504877549E-2</v>
      </c>
      <c r="P103" s="169">
        <f>(INDEX(Models!$BJ103:$BT103,,T103)*(1-R103)+INDEX(Models!$BJ103:$BT103,,T103+1)*R103-ERP_i)*Q103*Ramure*Pc/MaxiM</f>
        <v>3.5661597410584429E-4</v>
      </c>
      <c r="Q103" s="305">
        <f t="shared" si="27"/>
        <v>0.7</v>
      </c>
      <c r="R103" s="177">
        <f t="shared" si="28"/>
        <v>0.21849389391763241</v>
      </c>
      <c r="S103" s="810">
        <f t="shared" si="29"/>
        <v>-1</v>
      </c>
      <c r="T103" s="176">
        <f t="shared" si="30"/>
        <v>5</v>
      </c>
      <c r="U103" s="251">
        <f t="shared" si="31"/>
        <v>-0.78150610608236759</v>
      </c>
      <c r="V103" s="383">
        <f t="shared" si="32"/>
        <v>46.020215821021715</v>
      </c>
      <c r="W103" s="402"/>
      <c r="X103" s="157">
        <f t="shared" si="33"/>
        <v>43919</v>
      </c>
      <c r="Y103" s="385">
        <f t="shared" si="34"/>
        <v>24.864999999999998</v>
      </c>
      <c r="Z103" s="385">
        <f t="shared" si="35"/>
        <v>25.21814718075191</v>
      </c>
      <c r="AA103" s="386">
        <f t="shared" si="36"/>
        <v>27.489682860701841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8.2632298504877549E-2</v>
      </c>
      <c r="AD103" s="231">
        <f>(INDEX(Models!$BJ103:$BT103,,AH103)*(1-AF103)+INDEX(Models!$BJ103:$BT103,,AH103+1)*AF103-ERP_i)*AE103*Ramure*Pc/MaxiM</f>
        <v>3.5661597410584429E-4</v>
      </c>
      <c r="AE103" s="305">
        <f t="shared" si="38"/>
        <v>0.7</v>
      </c>
      <c r="AF103" s="177">
        <f t="shared" si="39"/>
        <v>0.21849389391763241</v>
      </c>
      <c r="AG103" s="810">
        <f t="shared" si="47"/>
        <v>-1</v>
      </c>
      <c r="AH103" s="176">
        <f t="shared" si="40"/>
        <v>5</v>
      </c>
      <c r="AI103" s="225">
        <f t="shared" si="41"/>
        <v>-0.78150610608236759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6">
        <v>18.661000000000001</v>
      </c>
      <c r="C104" s="390"/>
      <c r="D104" s="393">
        <f t="shared" si="24"/>
        <v>18.926474813901969</v>
      </c>
      <c r="E104" s="385">
        <f t="shared" si="45"/>
        <v>20.633678119333368</v>
      </c>
      <c r="F104" s="385">
        <f t="shared" si="25"/>
        <v>20.634712140523337</v>
      </c>
      <c r="G104" s="110">
        <f t="shared" si="46"/>
        <v>0.4018980656121342</v>
      </c>
      <c r="H104" s="414" t="b">
        <f>Wh_hp&gt;='2019'!Maxi_hp</f>
        <v>0</v>
      </c>
      <c r="I104" s="380">
        <f>IF(H104,Wh_hp,'2019'!Maxi_hp)</f>
        <v>42.48832905912257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1.4026638162272564E-2</v>
      </c>
      <c r="M104" s="844"/>
      <c r="N104" s="844"/>
      <c r="O104" s="48">
        <f>IF(t&lt;Tnet,'2019'!Resal+('2019'!Salim-'2019'!Resal)*(1-EXP(('2019'!Tnet-t)/('2019'!Tau_j))),Resal+(Salim-Resal)*(1-EXP((Tnet-t)/(Tau_j))))*Salcycl</f>
        <v>8.2738680692696298E-2</v>
      </c>
      <c r="P104" s="169">
        <f>(INDEX(Models!$BJ104:$BT104,,T104)*(1-R104)+INDEX(Models!$BJ104:$BT104,,T104+1)*R104-ERP_i)*Q104*Ramure*Pc/MaxiM</f>
        <v>3.4384293582067103E-4</v>
      </c>
      <c r="Q104" s="305">
        <f t="shared" si="27"/>
        <v>0.7</v>
      </c>
      <c r="R104" s="177">
        <f t="shared" si="28"/>
        <v>0.21928039350456374</v>
      </c>
      <c r="S104" s="810">
        <f t="shared" si="29"/>
        <v>-1</v>
      </c>
      <c r="T104" s="176">
        <f t="shared" si="30"/>
        <v>5</v>
      </c>
      <c r="U104" s="251">
        <f t="shared" si="31"/>
        <v>-0.78071960649543626</v>
      </c>
      <c r="V104" s="383">
        <f t="shared" si="32"/>
        <v>46.418532422740832</v>
      </c>
      <c r="W104" s="402"/>
      <c r="X104" s="157">
        <f t="shared" si="33"/>
        <v>43920</v>
      </c>
      <c r="Y104" s="385">
        <f t="shared" si="34"/>
        <v>18.661000000000001</v>
      </c>
      <c r="Z104" s="385">
        <f t="shared" si="35"/>
        <v>18.926474813901969</v>
      </c>
      <c r="AA104" s="386">
        <f t="shared" si="36"/>
        <v>20.633678119333368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8.2738680692696298E-2</v>
      </c>
      <c r="AD104" s="231">
        <f>(INDEX(Models!$BJ104:$BT104,,AH104)*(1-AF104)+INDEX(Models!$BJ104:$BT104,,AH104+1)*AF104-ERP_i)*AE104*Ramure*Pc/MaxiM</f>
        <v>3.4384293582067103E-4</v>
      </c>
      <c r="AE104" s="305">
        <f t="shared" si="38"/>
        <v>0.7</v>
      </c>
      <c r="AF104" s="177">
        <f t="shared" si="39"/>
        <v>0.21928039350456374</v>
      </c>
      <c r="AG104" s="810">
        <f t="shared" si="47"/>
        <v>-1</v>
      </c>
      <c r="AH104" s="176">
        <f t="shared" si="40"/>
        <v>5</v>
      </c>
      <c r="AI104" s="225">
        <f t="shared" si="41"/>
        <v>-0.78071960649543626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6">
        <v>42.231999999999999</v>
      </c>
      <c r="C105" s="390"/>
      <c r="D105" s="393">
        <f t="shared" si="24"/>
        <v>42.833796994770594</v>
      </c>
      <c r="E105" s="385">
        <f t="shared" si="45"/>
        <v>46.70293643773833</v>
      </c>
      <c r="F105" s="385">
        <f t="shared" si="25"/>
        <v>46.716226214933535</v>
      </c>
      <c r="G105" s="110">
        <f t="shared" si="46"/>
        <v>0.90223469297755632</v>
      </c>
      <c r="H105" s="414" t="b">
        <f>Wh_hp&gt;='2019'!Maxi_hp</f>
        <v>1</v>
      </c>
      <c r="I105" s="380">
        <f>IF(H105,Wh_hp,'2019'!Maxi_hp)</f>
        <v>46.716226214933535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1.4049583202816907E-2</v>
      </c>
      <c r="M105" s="844"/>
      <c r="N105" s="844"/>
      <c r="O105" s="48">
        <f>IF(t&lt;Tnet,'2019'!Resal+('2019'!Salim-'2019'!Resal)*(1-EXP(('2019'!Tnet-t)/('2019'!Tau_j))),Resal+(Salim-Resal)*(1-EXP((Tnet-t)/(Tau_j))))*Salcycl</f>
        <v>8.2845742432616637E-2</v>
      </c>
      <c r="P105" s="169">
        <f>(INDEX(Models!$BJ105:$BT105,,T105)*(1-R105)+INDEX(Models!$BJ105:$BT105,,T105+1)*R105-ERP_i)*Q105*Ramure*Pc/MaxiM</f>
        <v>3.3063755099374363E-4</v>
      </c>
      <c r="Q105" s="305">
        <f t="shared" si="27"/>
        <v>0.7</v>
      </c>
      <c r="R105" s="177">
        <f t="shared" si="28"/>
        <v>0.22009644075999191</v>
      </c>
      <c r="S105" s="810">
        <f t="shared" si="29"/>
        <v>-1</v>
      </c>
      <c r="T105" s="176">
        <f t="shared" si="30"/>
        <v>5</v>
      </c>
      <c r="U105" s="251">
        <f t="shared" si="31"/>
        <v>-0.77990355924000809</v>
      </c>
      <c r="V105" s="383">
        <f t="shared" si="32"/>
        <v>46.806058776847081</v>
      </c>
      <c r="W105" s="402"/>
      <c r="X105" s="157">
        <f t="shared" si="33"/>
        <v>43921</v>
      </c>
      <c r="Y105" s="385">
        <f t="shared" si="34"/>
        <v>42.231999999999999</v>
      </c>
      <c r="Z105" s="385">
        <f t="shared" si="35"/>
        <v>42.833796994770594</v>
      </c>
      <c r="AA105" s="386">
        <f t="shared" si="36"/>
        <v>46.70293643773833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8.2845742432616637E-2</v>
      </c>
      <c r="AD105" s="231">
        <f>(INDEX(Models!$BJ105:$BT105,,AH105)*(1-AF105)+INDEX(Models!$BJ105:$BT105,,AH105+1)*AF105-ERP_i)*AE105*Ramure*Pc/MaxiM</f>
        <v>3.3063755099374363E-4</v>
      </c>
      <c r="AE105" s="305">
        <f t="shared" si="38"/>
        <v>0.7</v>
      </c>
      <c r="AF105" s="177">
        <f t="shared" si="39"/>
        <v>0.22009644075999191</v>
      </c>
      <c r="AG105" s="810">
        <f t="shared" si="47"/>
        <v>-1</v>
      </c>
      <c r="AH105" s="176">
        <f t="shared" si="40"/>
        <v>5</v>
      </c>
      <c r="AI105" s="225">
        <f t="shared" si="41"/>
        <v>-0.77990355924000809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6">
        <v>38.584000000000003</v>
      </c>
      <c r="C106" s="390"/>
      <c r="D106" s="393">
        <f t="shared" si="24"/>
        <v>39.13472449485343</v>
      </c>
      <c r="E106" s="385">
        <f t="shared" si="45"/>
        <v>42.674744594180837</v>
      </c>
      <c r="F106" s="385">
        <f t="shared" si="25"/>
        <v>42.684753494288096</v>
      </c>
      <c r="G106" s="110">
        <f t="shared" si="46"/>
        <v>0.81771558418176427</v>
      </c>
      <c r="H106" s="414" t="b">
        <f>Wh_hp&gt;='2019'!Maxi_hp</f>
        <v>1</v>
      </c>
      <c r="I106" s="380">
        <f>IF(H106,Wh_hp,'2019'!Maxi_hp)</f>
        <v>42.684753494288096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1.4072527709396598E-2</v>
      </c>
      <c r="M106" s="844"/>
      <c r="N106" s="844"/>
      <c r="O106" s="48">
        <f>IF(t&lt;Tnet,'2019'!Resal+('2019'!Salim-'2019'!Resal)*(1-EXP(('2019'!Tnet-t)/('2019'!Tau_j))),Resal+(Salim-Resal)*(1-EXP((Tnet-t)/(Tau_j))))*Salcycl</f>
        <v>8.2953515785308976E-2</v>
      </c>
      <c r="P106" s="169">
        <f>(INDEX(Models!$BJ106:$BT106,,T106)*(1-R106)+INDEX(Models!$BJ106:$BT106,,T106+1)*R106-ERP_i)*Q106*Ramure*Pc/MaxiM</f>
        <v>3.170032832688802E-4</v>
      </c>
      <c r="Q106" s="305">
        <f t="shared" si="27"/>
        <v>0.7</v>
      </c>
      <c r="R106" s="177">
        <f t="shared" si="28"/>
        <v>0.22094300399954347</v>
      </c>
      <c r="S106" s="810">
        <f t="shared" si="29"/>
        <v>-1</v>
      </c>
      <c r="T106" s="176">
        <f t="shared" si="30"/>
        <v>5</v>
      </c>
      <c r="U106" s="251">
        <f t="shared" si="31"/>
        <v>-0.77905699600045653</v>
      </c>
      <c r="V106" s="383">
        <f t="shared" si="32"/>
        <v>47.181215673407301</v>
      </c>
      <c r="W106" s="402"/>
      <c r="X106" s="157">
        <f t="shared" si="33"/>
        <v>43922</v>
      </c>
      <c r="Y106" s="385">
        <f t="shared" si="34"/>
        <v>38.584000000000003</v>
      </c>
      <c r="Z106" s="385">
        <f t="shared" si="35"/>
        <v>39.13472449485343</v>
      </c>
      <c r="AA106" s="386">
        <f t="shared" si="36"/>
        <v>42.674744594180837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8.2953515785308976E-2</v>
      </c>
      <c r="AD106" s="231">
        <f>(INDEX(Models!$BJ106:$BT106,,AH106)*(1-AF106)+INDEX(Models!$BJ106:$BT106,,AH106+1)*AF106-ERP_i)*AE106*Ramure*Pc/MaxiM</f>
        <v>3.170032832688802E-4</v>
      </c>
      <c r="AE106" s="305">
        <f t="shared" si="38"/>
        <v>0.7</v>
      </c>
      <c r="AF106" s="177">
        <f t="shared" si="39"/>
        <v>0.22094300399954347</v>
      </c>
      <c r="AG106" s="810">
        <f t="shared" si="47"/>
        <v>-1</v>
      </c>
      <c r="AH106" s="176">
        <f t="shared" si="40"/>
        <v>5</v>
      </c>
      <c r="AI106" s="225">
        <f t="shared" si="41"/>
        <v>-0.77905699600045653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6">
        <v>26.047999999999998</v>
      </c>
      <c r="C107" s="390"/>
      <c r="D107" s="393">
        <f t="shared" si="24"/>
        <v>26.420408114404104</v>
      </c>
      <c r="E107" s="385">
        <f t="shared" si="45"/>
        <v>28.813735546932694</v>
      </c>
      <c r="F107" s="385">
        <f t="shared" si="25"/>
        <v>28.81682613466571</v>
      </c>
      <c r="G107" s="110">
        <f t="shared" si="46"/>
        <v>0.54773436890877558</v>
      </c>
      <c r="H107" s="414" t="b">
        <f>Wh_hp&gt;='2019'!Maxi_hp</f>
        <v>1</v>
      </c>
      <c r="I107" s="380">
        <f>IF(H107,Wh_hp,'2019'!Maxi_hp)</f>
        <v>28.81682613466571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1.4095471682024185E-2</v>
      </c>
      <c r="M107" s="844"/>
      <c r="N107" s="844"/>
      <c r="O107" s="48">
        <f>IF(t&lt;Tnet,'2019'!Resal+('2019'!Salim-'2019'!Resal)*(1-EXP(('2019'!Tnet-t)/('2019'!Tau_j))),Resal+(Salim-Resal)*(1-EXP((Tnet-t)/(Tau_j))))*Salcycl</f>
        <v>8.3062032294641666E-2</v>
      </c>
      <c r="P107" s="169">
        <f>(INDEX(Models!$BJ107:$BT107,,T107)*(1-R107)+INDEX(Models!$BJ107:$BT107,,T107+1)*R107-ERP_i)*Q107*Ramure*Pc/MaxiM</f>
        <v>3.0291362815987484E-4</v>
      </c>
      <c r="Q107" s="305">
        <f t="shared" si="27"/>
        <v>0.7</v>
      </c>
      <c r="R107" s="177">
        <f t="shared" si="28"/>
        <v>0.22182107184339428</v>
      </c>
      <c r="S107" s="810">
        <f t="shared" si="29"/>
        <v>-1</v>
      </c>
      <c r="T107" s="176">
        <f t="shared" si="30"/>
        <v>5</v>
      </c>
      <c r="U107" s="251">
        <f t="shared" si="31"/>
        <v>-0.77817892815660572</v>
      </c>
      <c r="V107" s="383">
        <f t="shared" si="32"/>
        <v>47.546592418102421</v>
      </c>
      <c r="W107" s="402"/>
      <c r="X107" s="157">
        <f t="shared" si="33"/>
        <v>43923</v>
      </c>
      <c r="Y107" s="385">
        <f t="shared" si="34"/>
        <v>26.047999999999998</v>
      </c>
      <c r="Z107" s="385">
        <f t="shared" si="35"/>
        <v>26.420408114404104</v>
      </c>
      <c r="AA107" s="386">
        <f t="shared" si="36"/>
        <v>28.813735546932694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8.3062032294641666E-2</v>
      </c>
      <c r="AD107" s="231">
        <f>(INDEX(Models!$BJ107:$BT107,,AH107)*(1-AF107)+INDEX(Models!$BJ107:$BT107,,AH107+1)*AF107-ERP_i)*AE107*Ramure*Pc/MaxiM</f>
        <v>3.0291362815987484E-4</v>
      </c>
      <c r="AE107" s="305">
        <f t="shared" si="38"/>
        <v>0.7</v>
      </c>
      <c r="AF107" s="177">
        <f t="shared" si="39"/>
        <v>0.22182107184339428</v>
      </c>
      <c r="AG107" s="810">
        <f t="shared" si="47"/>
        <v>-1</v>
      </c>
      <c r="AH107" s="176">
        <f t="shared" si="40"/>
        <v>5</v>
      </c>
      <c r="AI107" s="225">
        <f t="shared" si="41"/>
        <v>-0.77817892815660572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6">
        <v>49.508000000000003</v>
      </c>
      <c r="C108" s="390"/>
      <c r="D108" s="393">
        <f t="shared" si="24"/>
        <v>50.216984229461794</v>
      </c>
      <c r="E108" s="385">
        <f t="shared" si="45"/>
        <v>54.772484200077621</v>
      </c>
      <c r="F108" s="385">
        <f t="shared" si="25"/>
        <v>54.788293499905031</v>
      </c>
      <c r="G108" s="110">
        <f t="shared" si="46"/>
        <v>1.0334457754499038</v>
      </c>
      <c r="H108" s="414" t="b">
        <f>Wh_hp&gt;='2019'!Maxi_hp</f>
        <v>1</v>
      </c>
      <c r="I108" s="380">
        <f>IF(H108,Wh_hp,'2019'!Maxi_hp)</f>
        <v>54.788293499905031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1.4118415120711991E-2</v>
      </c>
      <c r="M108" s="844"/>
      <c r="N108" s="844"/>
      <c r="O108" s="48">
        <f>IF(t&lt;Tnet,'2019'!Resal+('2019'!Salim-'2019'!Resal)*(1-EXP(('2019'!Tnet-t)/('2019'!Tau_j))),Resal+(Salim-Resal)*(1-EXP((Tnet-t)/(Tau_j))))*Salcycl</f>
        <v>8.31713229214711E-2</v>
      </c>
      <c r="P108" s="169">
        <f>(INDEX(Models!$BJ108:$BT108,,T108)*(1-R108)+INDEX(Models!$BJ108:$BT108,,T108+1)*R108-ERP_i)*Q108*Ramure*Pc/MaxiM</f>
        <v>2.8855251400434942E-4</v>
      </c>
      <c r="Q108" s="305">
        <f t="shared" si="27"/>
        <v>0.7</v>
      </c>
      <c r="R108" s="177">
        <f t="shared" si="28"/>
        <v>0.22273165267127648</v>
      </c>
      <c r="S108" s="810">
        <f t="shared" si="29"/>
        <v>-1</v>
      </c>
      <c r="T108" s="176">
        <f t="shared" si="30"/>
        <v>5</v>
      </c>
      <c r="U108" s="251">
        <f t="shared" si="31"/>
        <v>-0.77726834732872352</v>
      </c>
      <c r="V108" s="383">
        <f t="shared" si="32"/>
        <v>47.905754879540744</v>
      </c>
      <c r="W108" s="402"/>
      <c r="X108" s="157">
        <f t="shared" si="33"/>
        <v>43924</v>
      </c>
      <c r="Y108" s="385">
        <f t="shared" si="34"/>
        <v>49.508000000000003</v>
      </c>
      <c r="Z108" s="385">
        <f t="shared" si="35"/>
        <v>50.216984229461794</v>
      </c>
      <c r="AA108" s="386">
        <f t="shared" si="36"/>
        <v>54.772484200077621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8.31713229214711E-2</v>
      </c>
      <c r="AD108" s="231">
        <f>(INDEX(Models!$BJ108:$BT108,,AH108)*(1-AF108)+INDEX(Models!$BJ108:$BT108,,AH108+1)*AF108-ERP_i)*AE108*Ramure*Pc/MaxiM</f>
        <v>2.8855251400434942E-4</v>
      </c>
      <c r="AE108" s="305">
        <f t="shared" si="38"/>
        <v>0.7</v>
      </c>
      <c r="AF108" s="177">
        <f t="shared" si="39"/>
        <v>0.22273165267127648</v>
      </c>
      <c r="AG108" s="810">
        <f t="shared" si="47"/>
        <v>-1</v>
      </c>
      <c r="AH108" s="176">
        <f t="shared" si="40"/>
        <v>5</v>
      </c>
      <c r="AI108" s="225">
        <f t="shared" si="41"/>
        <v>-0.77726834732872352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6">
        <v>50.384999999999998</v>
      </c>
      <c r="C109" s="390"/>
      <c r="D109" s="393">
        <f t="shared" si="24"/>
        <v>51.107732746640394</v>
      </c>
      <c r="E109" s="385">
        <f t="shared" si="45"/>
        <v>55.750732830148955</v>
      </c>
      <c r="F109" s="385">
        <f t="shared" si="25"/>
        <v>55.766032914356472</v>
      </c>
      <c r="G109" s="110">
        <f t="shared" si="46"/>
        <v>1.0440629794441556</v>
      </c>
      <c r="H109" s="414" t="b">
        <f>Wh_hp&gt;='2019'!Maxi_hp</f>
        <v>1</v>
      </c>
      <c r="I109" s="380">
        <f>IF(H109,Wh_hp,'2019'!Maxi_hp)</f>
        <v>55.766032914356472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1.4141358025472339E-2</v>
      </c>
      <c r="M109" s="844"/>
      <c r="N109" s="844"/>
      <c r="O109" s="48">
        <f>IF(t&lt;Tnet,'2019'!Resal+('2019'!Salim-'2019'!Resal)*(1-EXP(('2019'!Tnet-t)/('2019'!Tau_j))),Resal+(Salim-Resal)*(1-EXP((Tnet-t)/(Tau_j))))*Salcycl</f>
        <v>8.3281417979813852E-2</v>
      </c>
      <c r="P109" s="169">
        <f>(INDEX(Models!$BJ109:$BT109,,T109)*(1-R109)+INDEX(Models!$BJ109:$BT109,,T109+1)*R109-ERP_i)*Q109*Ramure*Pc/MaxiM</f>
        <v>2.7436206966733923E-4</v>
      </c>
      <c r="Q109" s="305">
        <f t="shared" si="27"/>
        <v>0.7</v>
      </c>
      <c r="R109" s="177">
        <f t="shared" si="28"/>
        <v>0.22367577397369143</v>
      </c>
      <c r="S109" s="810">
        <f t="shared" si="29"/>
        <v>-1</v>
      </c>
      <c r="T109" s="176">
        <f t="shared" si="30"/>
        <v>5</v>
      </c>
      <c r="U109" s="251">
        <f t="shared" si="31"/>
        <v>-0.77632422602630857</v>
      </c>
      <c r="V109" s="383">
        <f t="shared" si="32"/>
        <v>48.258583047187678</v>
      </c>
      <c r="W109" s="402"/>
      <c r="X109" s="157">
        <f t="shared" si="33"/>
        <v>43925</v>
      </c>
      <c r="Y109" s="385">
        <f t="shared" si="34"/>
        <v>50.384999999999998</v>
      </c>
      <c r="Z109" s="385">
        <f t="shared" si="35"/>
        <v>51.107732746640394</v>
      </c>
      <c r="AA109" s="386">
        <f t="shared" si="36"/>
        <v>55.750732830148955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8.3281417979813852E-2</v>
      </c>
      <c r="AD109" s="231">
        <f>(INDEX(Models!$BJ109:$BT109,,AH109)*(1-AF109)+INDEX(Models!$BJ109:$BT109,,AH109+1)*AF109-ERP_i)*AE109*Ramure*Pc/MaxiM</f>
        <v>2.7436206966733923E-4</v>
      </c>
      <c r="AE109" s="305">
        <f t="shared" si="38"/>
        <v>0.7</v>
      </c>
      <c r="AF109" s="177">
        <f t="shared" si="39"/>
        <v>0.22367577397369143</v>
      </c>
      <c r="AG109" s="810">
        <f t="shared" si="47"/>
        <v>-1</v>
      </c>
      <c r="AH109" s="176">
        <f t="shared" si="40"/>
        <v>5</v>
      </c>
      <c r="AI109" s="225">
        <f t="shared" si="41"/>
        <v>-0.77632422602630857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6">
        <v>50.837000000000003</v>
      </c>
      <c r="C110" s="390"/>
      <c r="D110" s="393">
        <f t="shared" si="24"/>
        <v>51.567416376214709</v>
      </c>
      <c r="E110" s="385">
        <f t="shared" si="45"/>
        <v>56.258985195750434</v>
      </c>
      <c r="F110" s="385">
        <f t="shared" si="25"/>
        <v>56.273634835365598</v>
      </c>
      <c r="G110" s="110">
        <f t="shared" si="46"/>
        <v>1.0459216635784321</v>
      </c>
      <c r="H110" s="414" t="b">
        <f>Wh_hp&gt;='2019'!Maxi_hp</f>
        <v>1</v>
      </c>
      <c r="I110" s="380">
        <f>IF(H110,Wh_hp,'2019'!Maxi_hp)</f>
        <v>56.273634835365598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1.4164300396317886E-2</v>
      </c>
      <c r="M110" s="844"/>
      <c r="N110" s="844"/>
      <c r="O110" s="48">
        <f>IF(t&lt;Tnet,'2019'!Resal+('2019'!Salim-'2019'!Resal)*(1-EXP(('2019'!Tnet-t)/('2019'!Tau_j))),Resal+(Salim-Resal)*(1-EXP((Tnet-t)/(Tau_j))))*Salcycl</f>
        <v>8.3392347075078477E-2</v>
      </c>
      <c r="P110" s="169">
        <f>(INDEX(Models!$BJ110:$BT110,,T110)*(1-R110)+INDEX(Models!$BJ110:$BT110,,T110+1)*R110-ERP_i)*Q110*Ramure*Pc/MaxiM</f>
        <v>2.6032865404957122E-4</v>
      </c>
      <c r="Q110" s="305">
        <f t="shared" si="27"/>
        <v>0.7</v>
      </c>
      <c r="R110" s="177">
        <f t="shared" si="28"/>
        <v>0.22465448159212364</v>
      </c>
      <c r="S110" s="810">
        <f t="shared" si="29"/>
        <v>-1</v>
      </c>
      <c r="T110" s="176">
        <f t="shared" si="30"/>
        <v>5</v>
      </c>
      <c r="U110" s="251">
        <f t="shared" si="31"/>
        <v>-0.77534551840787636</v>
      </c>
      <c r="V110" s="383">
        <f t="shared" si="32"/>
        <v>48.604978527809045</v>
      </c>
      <c r="W110" s="402"/>
      <c r="X110" s="157">
        <f t="shared" si="33"/>
        <v>43926</v>
      </c>
      <c r="Y110" s="385">
        <f t="shared" si="34"/>
        <v>50.837000000000003</v>
      </c>
      <c r="Z110" s="385">
        <f t="shared" si="35"/>
        <v>51.567416376214709</v>
      </c>
      <c r="AA110" s="386">
        <f t="shared" si="36"/>
        <v>56.258985195750434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8.3392347075078477E-2</v>
      </c>
      <c r="AD110" s="231">
        <f>(INDEX(Models!$BJ110:$BT110,,AH110)*(1-AF110)+INDEX(Models!$BJ110:$BT110,,AH110+1)*AF110-ERP_i)*AE110*Ramure*Pc/MaxiM</f>
        <v>2.6032865404957122E-4</v>
      </c>
      <c r="AE110" s="305">
        <f t="shared" si="38"/>
        <v>0.7</v>
      </c>
      <c r="AF110" s="177">
        <f t="shared" si="39"/>
        <v>0.22465448159212364</v>
      </c>
      <c r="AG110" s="810">
        <f t="shared" si="47"/>
        <v>-1</v>
      </c>
      <c r="AH110" s="176">
        <f t="shared" si="40"/>
        <v>5</v>
      </c>
      <c r="AI110" s="225">
        <f t="shared" si="41"/>
        <v>-0.77534551840787636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6">
        <v>30.234000000000002</v>
      </c>
      <c r="C111" s="390"/>
      <c r="D111" s="393">
        <f t="shared" si="24"/>
        <v>30.669110093981871</v>
      </c>
      <c r="E111" s="385">
        <f t="shared" si="45"/>
        <v>33.463446372786201</v>
      </c>
      <c r="F111" s="385">
        <f t="shared" si="25"/>
        <v>33.467189795690622</v>
      </c>
      <c r="G111" s="110">
        <f t="shared" si="46"/>
        <v>0.61763259678621985</v>
      </c>
      <c r="H111" s="414" t="b">
        <f>Wh_hp&gt;='2019'!Maxi_hp</f>
        <v>0</v>
      </c>
      <c r="I111" s="380">
        <f>IF(H111,Wh_hp,'2019'!Maxi_hp)</f>
        <v>35.080604547772175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1.4187242233260955E-2</v>
      </c>
      <c r="M111" s="844"/>
      <c r="N111" s="844"/>
      <c r="O111" s="48">
        <f>IF(t&lt;Tnet,'2019'!Resal+('2019'!Salim-'2019'!Resal)*(1-EXP(('2019'!Tnet-t)/('2019'!Tau_j))),Resal+(Salim-Resal)*(1-EXP((Tnet-t)/(Tau_j))))*Salcycl</f>
        <v>8.3504139043992676E-2</v>
      </c>
      <c r="P111" s="169">
        <f>(INDEX(Models!$BJ111:$BT111,,T111)*(1-R111)+INDEX(Models!$BJ111:$BT111,,T111+1)*R111-ERP_i)*Q111*Ramure*Pc/MaxiM</f>
        <v>2.464387253413867E-4</v>
      </c>
      <c r="Q111" s="305">
        <f t="shared" si="27"/>
        <v>0.7</v>
      </c>
      <c r="R111" s="177">
        <f t="shared" si="28"/>
        <v>0.22566883884088285</v>
      </c>
      <c r="S111" s="810">
        <f t="shared" si="29"/>
        <v>-1</v>
      </c>
      <c r="T111" s="176">
        <f t="shared" si="30"/>
        <v>5</v>
      </c>
      <c r="U111" s="251">
        <f t="shared" si="31"/>
        <v>-0.77433116115911715</v>
      </c>
      <c r="V111" s="383">
        <f t="shared" si="32"/>
        <v>48.944843023085518</v>
      </c>
      <c r="W111" s="402"/>
      <c r="X111" s="157">
        <f t="shared" si="33"/>
        <v>43927</v>
      </c>
      <c r="Y111" s="385">
        <f t="shared" si="34"/>
        <v>30.234000000000002</v>
      </c>
      <c r="Z111" s="385">
        <f t="shared" si="35"/>
        <v>30.669110093981871</v>
      </c>
      <c r="AA111" s="386">
        <f t="shared" si="36"/>
        <v>33.463446372786201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8.3504139043992676E-2</v>
      </c>
      <c r="AD111" s="231">
        <f>(INDEX(Models!$BJ111:$BT111,,AH111)*(1-AF111)+INDEX(Models!$BJ111:$BT111,,AH111+1)*AF111-ERP_i)*AE111*Ramure*Pc/MaxiM</f>
        <v>2.464387253413867E-4</v>
      </c>
      <c r="AE111" s="305">
        <f t="shared" si="38"/>
        <v>0.7</v>
      </c>
      <c r="AF111" s="177">
        <f t="shared" si="39"/>
        <v>0.22566883884088285</v>
      </c>
      <c r="AG111" s="810">
        <f t="shared" si="47"/>
        <v>-1</v>
      </c>
      <c r="AH111" s="176">
        <f t="shared" si="40"/>
        <v>5</v>
      </c>
      <c r="AI111" s="225">
        <f t="shared" si="41"/>
        <v>-0.77433116115911715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6">
        <v>31.606000000000002</v>
      </c>
      <c r="C112" s="390"/>
      <c r="D112" s="393">
        <f t="shared" si="24"/>
        <v>32.061601238060959</v>
      </c>
      <c r="E112" s="385">
        <f t="shared" si="45"/>
        <v>34.98711238282494</v>
      </c>
      <c r="F112" s="385">
        <f t="shared" si="25"/>
        <v>34.991082971895864</v>
      </c>
      <c r="G112" s="110">
        <f t="shared" si="46"/>
        <v>0.64130406571211396</v>
      </c>
      <c r="H112" s="414" t="b">
        <f>Wh_hp&gt;='2019'!Maxi_hp</f>
        <v>1</v>
      </c>
      <c r="I112" s="380">
        <f>IF(H112,Wh_hp,'2019'!Maxi_hp)</f>
        <v>34.991082971895864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1.4210183536313981E-2</v>
      </c>
      <c r="M112" s="844"/>
      <c r="N112" s="844"/>
      <c r="O112" s="48">
        <f>IF(t&lt;Tnet,'2019'!Resal+('2019'!Salim-'2019'!Resal)*(1-EXP(('2019'!Tnet-t)/('2019'!Tau_j))),Resal+(Salim-Resal)*(1-EXP((Tnet-t)/(Tau_j))))*Salcycl</f>
        <v>8.3616821895827684E-2</v>
      </c>
      <c r="P112" s="169">
        <f>(INDEX(Models!$BJ112:$BT112,,T112)*(1-R112)+INDEX(Models!$BJ112:$BT112,,T112+1)*R112-ERP_i)*Q112*Ramure*Pc/MaxiM</f>
        <v>2.3267881893734589E-4</v>
      </c>
      <c r="Q112" s="305">
        <f t="shared" si="27"/>
        <v>0.7</v>
      </c>
      <c r="R112" s="177">
        <f t="shared" si="28"/>
        <v>0.22671992550307762</v>
      </c>
      <c r="S112" s="810">
        <f t="shared" si="29"/>
        <v>-1</v>
      </c>
      <c r="T112" s="176">
        <f t="shared" si="30"/>
        <v>5</v>
      </c>
      <c r="U112" s="251">
        <f t="shared" si="31"/>
        <v>-0.77328007449692238</v>
      </c>
      <c r="V112" s="383">
        <f t="shared" si="32"/>
        <v>49.27807834758454</v>
      </c>
      <c r="W112" s="402"/>
      <c r="X112" s="157">
        <f t="shared" si="33"/>
        <v>43928</v>
      </c>
      <c r="Y112" s="385">
        <f t="shared" si="34"/>
        <v>31.606000000000002</v>
      </c>
      <c r="Z112" s="385">
        <f t="shared" si="35"/>
        <v>32.061601238060959</v>
      </c>
      <c r="AA112" s="386">
        <f t="shared" si="36"/>
        <v>34.98711238282494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8.3616821895827684E-2</v>
      </c>
      <c r="AD112" s="231">
        <f>(INDEX(Models!$BJ112:$BT112,,AH112)*(1-AF112)+INDEX(Models!$BJ112:$BT112,,AH112+1)*AF112-ERP_i)*AE112*Ramure*Pc/MaxiM</f>
        <v>2.3267881893734589E-4</v>
      </c>
      <c r="AE112" s="305">
        <f t="shared" si="38"/>
        <v>0.7</v>
      </c>
      <c r="AF112" s="177">
        <f t="shared" si="39"/>
        <v>0.22671992550307762</v>
      </c>
      <c r="AG112" s="810">
        <f t="shared" si="47"/>
        <v>-1</v>
      </c>
      <c r="AH112" s="176">
        <f t="shared" si="40"/>
        <v>5</v>
      </c>
      <c r="AI112" s="225">
        <f t="shared" si="41"/>
        <v>-0.77328007449692238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6">
        <v>41.834000000000003</v>
      </c>
      <c r="C113" s="390"/>
      <c r="D113" s="393">
        <f t="shared" si="24"/>
        <v>42.438025694996433</v>
      </c>
      <c r="E113" s="385">
        <f t="shared" si="45"/>
        <v>46.316091627284955</v>
      </c>
      <c r="F113" s="385">
        <f t="shared" si="25"/>
        <v>46.323967550802834</v>
      </c>
      <c r="G113" s="110">
        <f t="shared" si="46"/>
        <v>0.84330809059380851</v>
      </c>
      <c r="H113" s="414" t="b">
        <f>Wh_hp&gt;='2019'!Maxi_hp</f>
        <v>1</v>
      </c>
      <c r="I113" s="380">
        <f>IF(H113,Wh_hp,'2019'!Maxi_hp)</f>
        <v>46.323967550802834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1.4233124305489286E-2</v>
      </c>
      <c r="M113" s="844"/>
      <c r="N113" s="844"/>
      <c r="O113" s="48">
        <f>IF(t&lt;Tnet,'2019'!Resal+('2019'!Salim-'2019'!Resal)*(1-EXP(('2019'!Tnet-t)/('2019'!Tau_j))),Resal+(Salim-Resal)*(1-EXP((Tnet-t)/(Tau_j))))*Salcycl</f>
        <v>8.3730422754495604E-2</v>
      </c>
      <c r="P113" s="169">
        <f>(INDEX(Models!$BJ113:$BT113,,T113)*(1-R113)+INDEX(Models!$BJ113:$BT113,,T113+1)*R113-ERP_i)*Q113*Ramure*Pc/MaxiM</f>
        <v>2.1903552629201655E-4</v>
      </c>
      <c r="Q113" s="305">
        <f t="shared" si="27"/>
        <v>0.7</v>
      </c>
      <c r="R113" s="177">
        <f t="shared" si="28"/>
        <v>0.22780883669313046</v>
      </c>
      <c r="S113" s="810">
        <f t="shared" si="29"/>
        <v>-1</v>
      </c>
      <c r="T113" s="176">
        <f t="shared" si="30"/>
        <v>5</v>
      </c>
      <c r="U113" s="251">
        <f t="shared" si="31"/>
        <v>-0.77219116330686954</v>
      </c>
      <c r="V113" s="383">
        <f t="shared" si="32"/>
        <v>49.604586428647174</v>
      </c>
      <c r="W113" s="402"/>
      <c r="X113" s="157">
        <f t="shared" si="33"/>
        <v>43929</v>
      </c>
      <c r="Y113" s="385">
        <f t="shared" si="34"/>
        <v>41.834000000000003</v>
      </c>
      <c r="Z113" s="385">
        <f t="shared" si="35"/>
        <v>42.438025694996433</v>
      </c>
      <c r="AA113" s="386">
        <f t="shared" si="36"/>
        <v>46.316091627284955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8.3730422754495604E-2</v>
      </c>
      <c r="AD113" s="231">
        <f>(INDEX(Models!$BJ113:$BT113,,AH113)*(1-AF113)+INDEX(Models!$BJ113:$BT113,,AH113+1)*AF113-ERP_i)*AE113*Ramure*Pc/MaxiM</f>
        <v>2.1903552629201655E-4</v>
      </c>
      <c r="AE113" s="305">
        <f t="shared" si="38"/>
        <v>0.7</v>
      </c>
      <c r="AF113" s="177">
        <f t="shared" si="39"/>
        <v>0.22780883669313046</v>
      </c>
      <c r="AG113" s="810">
        <f t="shared" si="47"/>
        <v>-1</v>
      </c>
      <c r="AH113" s="176">
        <f t="shared" si="40"/>
        <v>5</v>
      </c>
      <c r="AI113" s="225">
        <f t="shared" si="41"/>
        <v>-0.77219116330686954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6">
        <v>50.148000000000003</v>
      </c>
      <c r="C114" s="390"/>
      <c r="D114" s="393">
        <f t="shared" si="24"/>
        <v>50.873252369175347</v>
      </c>
      <c r="E114" s="385">
        <f t="shared" si="45"/>
        <v>55.529086869796885</v>
      </c>
      <c r="F114" s="385">
        <f t="shared" si="25"/>
        <v>55.540517907478055</v>
      </c>
      <c r="G114" s="110">
        <f t="shared" si="46"/>
        <v>1.0044817215900752</v>
      </c>
      <c r="H114" s="414" t="b">
        <f>Wh_hp&gt;='2019'!Maxi_hp</f>
        <v>1</v>
      </c>
      <c r="I114" s="380">
        <f>IF(H114,Wh_hp,'2019'!Maxi_hp)</f>
        <v>55.540517907478055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1.4256064540799418E-2</v>
      </c>
      <c r="M114" s="844"/>
      <c r="N114" s="844"/>
      <c r="O114" s="48">
        <f>IF(t&lt;Tnet,'2019'!Resal+('2019'!Salim-'2019'!Resal)*(1-EXP(('2019'!Tnet-t)/('2019'!Tau_j))),Resal+(Salim-Resal)*(1-EXP((Tnet-t)/(Tau_j))))*Salcycl</f>
        <v>8.3844967801080708E-2</v>
      </c>
      <c r="P114" s="169">
        <f>(INDEX(Models!$BJ114:$BT114,,T114)*(1-R114)+INDEX(Models!$BJ114:$BT114,,T114+1)*R114-ERP_i)*Q114*Ramure*Pc/MaxiM</f>
        <v>2.0581438761901037E-4</v>
      </c>
      <c r="Q114" s="305">
        <f t="shared" si="27"/>
        <v>0.7</v>
      </c>
      <c r="R114" s="177">
        <f t="shared" si="28"/>
        <v>0.22893668157820457</v>
      </c>
      <c r="S114" s="810">
        <f t="shared" si="29"/>
        <v>-1</v>
      </c>
      <c r="T114" s="176">
        <f t="shared" si="30"/>
        <v>5</v>
      </c>
      <c r="U114" s="251">
        <f t="shared" si="31"/>
        <v>-0.77106331842179543</v>
      </c>
      <c r="V114" s="383">
        <f t="shared" si="32"/>
        <v>49.924253395688162</v>
      </c>
      <c r="W114" s="402"/>
      <c r="X114" s="157">
        <f t="shared" si="33"/>
        <v>43930</v>
      </c>
      <c r="Y114" s="385">
        <f t="shared" si="34"/>
        <v>50.148000000000003</v>
      </c>
      <c r="Z114" s="385">
        <f t="shared" si="35"/>
        <v>50.873252369175347</v>
      </c>
      <c r="AA114" s="386">
        <f t="shared" si="36"/>
        <v>55.529086869796885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8.3844967801080708E-2</v>
      </c>
      <c r="AD114" s="231">
        <f>(INDEX(Models!$BJ114:$BT114,,AH114)*(1-AF114)+INDEX(Models!$BJ114:$BT114,,AH114+1)*AF114-ERP_i)*AE114*Ramure*Pc/MaxiM</f>
        <v>2.0581438761901037E-4</v>
      </c>
      <c r="AE114" s="305">
        <f t="shared" si="38"/>
        <v>0.7</v>
      </c>
      <c r="AF114" s="177">
        <f t="shared" si="39"/>
        <v>0.22893668157820457</v>
      </c>
      <c r="AG114" s="810">
        <f t="shared" si="47"/>
        <v>-1</v>
      </c>
      <c r="AH114" s="176">
        <f t="shared" si="40"/>
        <v>5</v>
      </c>
      <c r="AI114" s="225">
        <f t="shared" si="41"/>
        <v>-0.77106331842179543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6">
        <v>51.167999999999999</v>
      </c>
      <c r="C115" s="390"/>
      <c r="D115" s="393">
        <f t="shared" si="24"/>
        <v>51.909211856308431</v>
      </c>
      <c r="E115" s="385">
        <f t="shared" si="45"/>
        <v>56.667000548079827</v>
      </c>
      <c r="F115" s="385">
        <f t="shared" si="25"/>
        <v>56.677954021859833</v>
      </c>
      <c r="G115" s="110">
        <f t="shared" si="46"/>
        <v>1.0185328008790857</v>
      </c>
      <c r="H115" s="414" t="b">
        <f>Wh_hp&gt;='2019'!Maxi_hp</f>
        <v>1</v>
      </c>
      <c r="I115" s="380">
        <f>IF(H115,Wh_hp,'2019'!Maxi_hp)</f>
        <v>56.677954021859833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1.4279004242256699E-2</v>
      </c>
      <c r="M115" s="844"/>
      <c r="N115" s="844"/>
      <c r="O115" s="48">
        <f>IF(t&lt;Tnet,'2019'!Resal+('2019'!Salim-'2019'!Resal)*(1-EXP(('2019'!Tnet-t)/('2019'!Tau_j))),Resal+(Salim-Resal)*(1-EXP((Tnet-t)/(Tau_j))))*Salcycl</f>
        <v>8.3960482216357837E-2</v>
      </c>
      <c r="P115" s="169">
        <f>(INDEX(Models!$BJ115:$BT115,,T115)*(1-R115)+INDEX(Models!$BJ115:$BT115,,T115+1)*R115-ERP_i)*Q115*Ramure*Pc/MaxiM</f>
        <v>1.9325810130304993E-4</v>
      </c>
      <c r="Q115" s="305">
        <f t="shared" si="27"/>
        <v>0.7</v>
      </c>
      <c r="R115" s="177">
        <f t="shared" si="28"/>
        <v>0.2301045819509222</v>
      </c>
      <c r="S115" s="810">
        <f t="shared" si="29"/>
        <v>-1</v>
      </c>
      <c r="T115" s="176">
        <f t="shared" si="30"/>
        <v>5</v>
      </c>
      <c r="U115" s="251">
        <f t="shared" si="31"/>
        <v>-0.7698954180490778</v>
      </c>
      <c r="V115" s="383">
        <f t="shared" si="32"/>
        <v>50.236968270277991</v>
      </c>
      <c r="W115" s="402"/>
      <c r="X115" s="157">
        <f t="shared" si="33"/>
        <v>43931</v>
      </c>
      <c r="Y115" s="385">
        <f t="shared" si="34"/>
        <v>51.167999999999999</v>
      </c>
      <c r="Z115" s="385">
        <f t="shared" si="35"/>
        <v>51.909211856308431</v>
      </c>
      <c r="AA115" s="386">
        <f t="shared" si="36"/>
        <v>56.667000548079827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8.3960482216357837E-2</v>
      </c>
      <c r="AD115" s="231">
        <f>(INDEX(Models!$BJ115:$BT115,,AH115)*(1-AF115)+INDEX(Models!$BJ115:$BT115,,AH115+1)*AF115-ERP_i)*AE115*Ramure*Pc/MaxiM</f>
        <v>1.9325810130304993E-4</v>
      </c>
      <c r="AE115" s="305">
        <f t="shared" si="38"/>
        <v>0.7</v>
      </c>
      <c r="AF115" s="177">
        <f t="shared" si="39"/>
        <v>0.2301045819509222</v>
      </c>
      <c r="AG115" s="810">
        <f t="shared" si="47"/>
        <v>-1</v>
      </c>
      <c r="AH115" s="176">
        <f t="shared" si="40"/>
        <v>5</v>
      </c>
      <c r="AI115" s="225">
        <f t="shared" si="41"/>
        <v>-0.7698954180490778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6">
        <v>50.191000000000003</v>
      </c>
      <c r="C116" s="390"/>
      <c r="D116" s="393">
        <f t="shared" si="24"/>
        <v>50.919244148282274</v>
      </c>
      <c r="E116" s="385">
        <f t="shared" si="45"/>
        <v>55.593367127125944</v>
      </c>
      <c r="F116" s="385">
        <f t="shared" si="25"/>
        <v>55.603350592951564</v>
      </c>
      <c r="G116" s="110">
        <f t="shared" si="46"/>
        <v>0.99304105333411175</v>
      </c>
      <c r="H116" s="414" t="b">
        <f>Wh_hp&gt;='2019'!Maxi_hp</f>
        <v>0</v>
      </c>
      <c r="I116" s="380">
        <f>IF(H116,Wh_hp,'2019'!Maxi_hp)</f>
        <v>57.166150894542305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1.4301943409873674E-2</v>
      </c>
      <c r="M116" s="844"/>
      <c r="N116" s="844"/>
      <c r="O116" s="48">
        <f>IF(t&lt;Tnet,'2019'!Resal+('2019'!Salim-'2019'!Resal)*(1-EXP(('2019'!Tnet-t)/('2019'!Tau_j))),Resal+(Salim-Resal)*(1-EXP((Tnet-t)/(Tau_j))))*Salcycl</f>
        <v>8.4076990122855855E-2</v>
      </c>
      <c r="P116" s="169">
        <f>(INDEX(Models!$BJ116:$BT116,,T116)*(1-R116)+INDEX(Models!$BJ116:$BT116,,T116+1)*R116-ERP_i)*Q116*Ramure*Pc/MaxiM</f>
        <v>1.8135032153499279E-4</v>
      </c>
      <c r="Q116" s="305">
        <f t="shared" si="27"/>
        <v>0.7</v>
      </c>
      <c r="R116" s="177">
        <f t="shared" si="28"/>
        <v>0.23131367064582486</v>
      </c>
      <c r="S116" s="810">
        <f t="shared" si="29"/>
        <v>-1</v>
      </c>
      <c r="T116" s="176">
        <f t="shared" si="30"/>
        <v>5</v>
      </c>
      <c r="U116" s="251">
        <f t="shared" si="31"/>
        <v>-0.76868632935417514</v>
      </c>
      <c r="V116" s="383">
        <f t="shared" si="32"/>
        <v>50.542633006759701</v>
      </c>
      <c r="W116" s="402"/>
      <c r="X116" s="157">
        <f t="shared" si="33"/>
        <v>43932</v>
      </c>
      <c r="Y116" s="385">
        <f t="shared" si="34"/>
        <v>50.191000000000003</v>
      </c>
      <c r="Z116" s="385">
        <f t="shared" si="35"/>
        <v>50.919244148282274</v>
      </c>
      <c r="AA116" s="386">
        <f t="shared" si="36"/>
        <v>55.593367127125944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8.4076990122855855E-2</v>
      </c>
      <c r="AD116" s="231">
        <f>(INDEX(Models!$BJ116:$BT116,,AH116)*(1-AF116)+INDEX(Models!$BJ116:$BT116,,AH116+1)*AF116-ERP_i)*AE116*Ramure*Pc/MaxiM</f>
        <v>1.8135032153499279E-4</v>
      </c>
      <c r="AE116" s="305">
        <f t="shared" si="38"/>
        <v>0.7</v>
      </c>
      <c r="AF116" s="177">
        <f t="shared" si="39"/>
        <v>0.23131367064582486</v>
      </c>
      <c r="AG116" s="810">
        <f t="shared" si="47"/>
        <v>-1</v>
      </c>
      <c r="AH116" s="176">
        <f t="shared" si="40"/>
        <v>5</v>
      </c>
      <c r="AI116" s="225">
        <f t="shared" si="41"/>
        <v>-0.76868632935417514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6">
        <v>41.280999999999999</v>
      </c>
      <c r="C117" s="390"/>
      <c r="D117" s="393">
        <f t="shared" si="24"/>
        <v>41.880939518479998</v>
      </c>
      <c r="E117" s="385">
        <f t="shared" si="45"/>
        <v>45.731260822056562</v>
      </c>
      <c r="F117" s="385">
        <f t="shared" si="25"/>
        <v>45.736949983316627</v>
      </c>
      <c r="G117" s="110">
        <f t="shared" si="46"/>
        <v>0.81192329469670355</v>
      </c>
      <c r="H117" s="414" t="b">
        <f>Wh_hp&gt;='2019'!Maxi_hp</f>
        <v>0</v>
      </c>
      <c r="I117" s="380">
        <f>IF(H117,Wh_hp,'2019'!Maxi_hp)</f>
        <v>56.753271585996224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1.4324882043662779E-2</v>
      </c>
      <c r="M117" s="844"/>
      <c r="N117" s="844"/>
      <c r="O117" s="48">
        <f>IF(t&lt;Tnet,'2019'!Resal+('2019'!Salim-'2019'!Resal)*(1-EXP(('2019'!Tnet-t)/('2019'!Tau_j))),Resal+(Salim-Resal)*(1-EXP((Tnet-t)/(Tau_j))))*Salcycl</f>
        <v>8.4194514526035588E-2</v>
      </c>
      <c r="P117" s="169">
        <f>(INDEX(Models!$BJ117:$BT117,,T117)*(1-R117)+INDEX(Models!$BJ117:$BT117,,T117+1)*R117-ERP_i)*Q117*Ramure*Pc/MaxiM</f>
        <v>1.7007587672226743E-4</v>
      </c>
      <c r="Q117" s="305">
        <f t="shared" si="27"/>
        <v>0.7</v>
      </c>
      <c r="R117" s="177">
        <f t="shared" si="28"/>
        <v>0.23256508979216206</v>
      </c>
      <c r="S117" s="810">
        <f t="shared" si="29"/>
        <v>-1</v>
      </c>
      <c r="T117" s="176">
        <f t="shared" si="30"/>
        <v>5</v>
      </c>
      <c r="U117" s="251">
        <f t="shared" si="31"/>
        <v>-0.76743491020783794</v>
      </c>
      <c r="V117" s="383">
        <f t="shared" si="32"/>
        <v>50.841149680047742</v>
      </c>
      <c r="W117" s="402"/>
      <c r="X117" s="157">
        <f t="shared" si="33"/>
        <v>43933</v>
      </c>
      <c r="Y117" s="385">
        <f t="shared" si="34"/>
        <v>41.280999999999999</v>
      </c>
      <c r="Z117" s="385">
        <f t="shared" si="35"/>
        <v>41.880939518479998</v>
      </c>
      <c r="AA117" s="386">
        <f t="shared" si="36"/>
        <v>45.731260822056562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8.4194514526035588E-2</v>
      </c>
      <c r="AD117" s="231">
        <f>(INDEX(Models!$BJ117:$BT117,,AH117)*(1-AF117)+INDEX(Models!$BJ117:$BT117,,AH117+1)*AF117-ERP_i)*AE117*Ramure*Pc/MaxiM</f>
        <v>1.7007587672226743E-4</v>
      </c>
      <c r="AE117" s="305">
        <f t="shared" si="38"/>
        <v>0.7</v>
      </c>
      <c r="AF117" s="177">
        <f t="shared" si="39"/>
        <v>0.23256508979216206</v>
      </c>
      <c r="AG117" s="810">
        <f t="shared" si="47"/>
        <v>-1</v>
      </c>
      <c r="AH117" s="176">
        <f t="shared" si="40"/>
        <v>5</v>
      </c>
      <c r="AI117" s="225">
        <f t="shared" si="41"/>
        <v>-0.76743491020783794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6">
        <v>15.186</v>
      </c>
      <c r="C118" s="390"/>
      <c r="D118" s="393">
        <f t="shared" si="24"/>
        <v>15.407057692717741</v>
      </c>
      <c r="E118" s="385">
        <f t="shared" si="45"/>
        <v>16.825682785244307</v>
      </c>
      <c r="F118" s="385">
        <f t="shared" si="25"/>
        <v>16.825682785244307</v>
      </c>
      <c r="G118" s="110">
        <f t="shared" si="46"/>
        <v>0.29694622106360363</v>
      </c>
      <c r="H118" s="414" t="b">
        <f>Wh_hp&gt;='2019'!Maxi_hp</f>
        <v>0</v>
      </c>
      <c r="I118" s="380">
        <f>IF(H118,Wh_hp,'2019'!Maxi_hp)</f>
        <v>29.546242965684154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1.4347820143636225E-2</v>
      </c>
      <c r="M118" s="844"/>
      <c r="N118" s="844"/>
      <c r="O118" s="48">
        <f>IF(t&lt;Tnet,'2019'!Resal+('2019'!Salim-'2019'!Resal)*(1-EXP(('2019'!Tnet-t)/('2019'!Tau_j))),Resal+(Salim-Resal)*(1-EXP((Tnet-t)/(Tau_j))))*Salcycl</f>
        <v>8.4313077254176291E-2</v>
      </c>
      <c r="P118" s="169">
        <f>(INDEX(Models!$BJ118:$BT118,,T118)*(1-R118)+INDEX(Models!$BJ118:$BT118,,T118+1)*R118-ERP_i)*Q118*Ramure*Pc/MaxiM</f>
        <v>1.5942075048522978E-4</v>
      </c>
      <c r="Q118" s="305">
        <f t="shared" si="27"/>
        <v>0.7</v>
      </c>
      <c r="R118" s="177">
        <f t="shared" si="28"/>
        <v>0.23385998889581294</v>
      </c>
      <c r="S118" s="810">
        <f t="shared" si="29"/>
        <v>-1</v>
      </c>
      <c r="T118" s="176">
        <f t="shared" si="30"/>
        <v>5</v>
      </c>
      <c r="U118" s="251">
        <f t="shared" si="31"/>
        <v>-0.76614001110418706</v>
      </c>
      <c r="V118" s="383">
        <f t="shared" si="32"/>
        <v>51.132420483744504</v>
      </c>
      <c r="W118" s="402"/>
      <c r="X118" s="157">
        <f t="shared" si="33"/>
        <v>43934</v>
      </c>
      <c r="Y118" s="385">
        <f t="shared" si="34"/>
        <v>15.186</v>
      </c>
      <c r="Z118" s="385">
        <f t="shared" si="35"/>
        <v>15.407057692717741</v>
      </c>
      <c r="AA118" s="386">
        <f t="shared" si="36"/>
        <v>16.825682785244307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8.4313077254176291E-2</v>
      </c>
      <c r="AD118" s="231">
        <f>(INDEX(Models!$BJ118:$BT118,,AH118)*(1-AF118)+INDEX(Models!$BJ118:$BT118,,AH118+1)*AF118-ERP_i)*AE118*Ramure*Pc/MaxiM</f>
        <v>1.5942075048522978E-4</v>
      </c>
      <c r="AE118" s="305">
        <f t="shared" si="38"/>
        <v>0.7</v>
      </c>
      <c r="AF118" s="177">
        <f t="shared" si="39"/>
        <v>0.23385998889581294</v>
      </c>
      <c r="AG118" s="810">
        <f t="shared" si="47"/>
        <v>-1</v>
      </c>
      <c r="AH118" s="176">
        <f t="shared" si="40"/>
        <v>5</v>
      </c>
      <c r="AI118" s="225">
        <f t="shared" si="41"/>
        <v>-0.76614001110418706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6">
        <v>50.722000000000001</v>
      </c>
      <c r="C119" s="390"/>
      <c r="D119" s="393">
        <f t="shared" si="24"/>
        <v>51.461541341999066</v>
      </c>
      <c r="E119" s="385">
        <f t="shared" si="45"/>
        <v>56.207273108137123</v>
      </c>
      <c r="F119" s="385">
        <f t="shared" si="25"/>
        <v>56.215508139050847</v>
      </c>
      <c r="G119" s="110">
        <f t="shared" si="46"/>
        <v>0.9864927409022447</v>
      </c>
      <c r="H119" s="414" t="b">
        <f>Wh_hp&gt;='2019'!Maxi_hp</f>
        <v>1</v>
      </c>
      <c r="I119" s="380">
        <f>IF(H119,Wh_hp,'2019'!Maxi_hp)</f>
        <v>56.215508139050847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1.437075770980667E-2</v>
      </c>
      <c r="M119" s="844"/>
      <c r="N119" s="844"/>
      <c r="O119" s="48">
        <f>IF(t&lt;Tnet,'2019'!Resal+('2019'!Salim-'2019'!Resal)*(1-EXP(('2019'!Tnet-t)/('2019'!Tau_j))),Resal+(Salim-Resal)*(1-EXP((Tnet-t)/(Tau_j))))*Salcycl</f>
        <v>8.4432698896595507E-2</v>
      </c>
      <c r="P119" s="169">
        <f>(INDEX(Models!$BJ119:$BT119,,T119)*(1-R119)+INDEX(Models!$BJ119:$BT119,,T119+1)*R119-ERP_i)*Q119*Ramure*Pc/MaxiM</f>
        <v>1.4937206508557511E-4</v>
      </c>
      <c r="Q119" s="305">
        <f t="shared" si="27"/>
        <v>0.7</v>
      </c>
      <c r="R119" s="177">
        <f t="shared" si="28"/>
        <v>0.23519952274343814</v>
      </c>
      <c r="S119" s="810">
        <f t="shared" si="29"/>
        <v>-1</v>
      </c>
      <c r="T119" s="176">
        <f t="shared" si="30"/>
        <v>5</v>
      </c>
      <c r="U119" s="251">
        <f t="shared" si="31"/>
        <v>-0.76480047725656186</v>
      </c>
      <c r="V119" s="383">
        <f t="shared" si="32"/>
        <v>51.416347744385433</v>
      </c>
      <c r="W119" s="402"/>
      <c r="X119" s="157">
        <f t="shared" si="33"/>
        <v>43935</v>
      </c>
      <c r="Y119" s="385">
        <f t="shared" si="34"/>
        <v>50.722000000000001</v>
      </c>
      <c r="Z119" s="385">
        <f t="shared" si="35"/>
        <v>51.461541341999066</v>
      </c>
      <c r="AA119" s="386">
        <f t="shared" si="36"/>
        <v>56.207273108137123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8.4432698896595507E-2</v>
      </c>
      <c r="AD119" s="231">
        <f>(INDEX(Models!$BJ119:$BT119,,AH119)*(1-AF119)+INDEX(Models!$BJ119:$BT119,,AH119+1)*AF119-ERP_i)*AE119*Ramure*Pc/MaxiM</f>
        <v>1.4937206508557511E-4</v>
      </c>
      <c r="AE119" s="305">
        <f t="shared" si="38"/>
        <v>0.7</v>
      </c>
      <c r="AF119" s="177">
        <f t="shared" si="39"/>
        <v>0.23519952274343814</v>
      </c>
      <c r="AG119" s="810">
        <f t="shared" si="47"/>
        <v>-1</v>
      </c>
      <c r="AH119" s="176">
        <f t="shared" si="40"/>
        <v>5</v>
      </c>
      <c r="AI119" s="225">
        <f t="shared" si="41"/>
        <v>-0.76480047725656186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6">
        <v>43.192</v>
      </c>
      <c r="C120" s="390"/>
      <c r="D120" s="393">
        <f t="shared" si="24"/>
        <v>43.82277159712558</v>
      </c>
      <c r="E120" s="385">
        <f t="shared" si="45"/>
        <v>47.870374456361141</v>
      </c>
      <c r="F120" s="385">
        <f t="shared" si="25"/>
        <v>47.875499409797314</v>
      </c>
      <c r="G120" s="110">
        <f t="shared" si="46"/>
        <v>0.83552354995265909</v>
      </c>
      <c r="H120" s="414" t="b">
        <f>Wh_hp&gt;='2019'!Maxi_hp</f>
        <v>1</v>
      </c>
      <c r="I120" s="380">
        <f>IF(H120,Wh_hp,'2019'!Maxi_hp)</f>
        <v>47.875499409797314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1.4393694742186436E-2</v>
      </c>
      <c r="M120" s="844"/>
      <c r="N120" s="844"/>
      <c r="O120" s="48">
        <f>IF(t&lt;Tnet,'2019'!Resal+('2019'!Salim-'2019'!Resal)*(1-EXP(('2019'!Tnet-t)/('2019'!Tau_j))),Resal+(Salim-Resal)*(1-EXP((Tnet-t)/(Tau_j))))*Salcycl</f>
        <v>8.4553398739869334E-2</v>
      </c>
      <c r="P120" s="169">
        <f>(INDEX(Models!$BJ120:$BT120,,T120)*(1-R120)+INDEX(Models!$BJ120:$BT120,,T120+1)*R120-ERP_i)*Q120*Ramure*Pc/MaxiM</f>
        <v>1.3991806726968662E-4</v>
      </c>
      <c r="Q120" s="305">
        <f t="shared" si="27"/>
        <v>0.7</v>
      </c>
      <c r="R120" s="177">
        <f t="shared" si="28"/>
        <v>0.23658484912235211</v>
      </c>
      <c r="S120" s="810">
        <f t="shared" si="29"/>
        <v>-1</v>
      </c>
      <c r="T120" s="176">
        <f t="shared" si="30"/>
        <v>5</v>
      </c>
      <c r="U120" s="251">
        <f t="shared" si="31"/>
        <v>-0.76341515087764789</v>
      </c>
      <c r="V120" s="383">
        <f t="shared" si="32"/>
        <v>51.692833919203146</v>
      </c>
      <c r="W120" s="402"/>
      <c r="X120" s="157">
        <f t="shared" si="33"/>
        <v>43936</v>
      </c>
      <c r="Y120" s="385">
        <f t="shared" si="34"/>
        <v>43.192</v>
      </c>
      <c r="Z120" s="385">
        <f t="shared" si="35"/>
        <v>43.82277159712558</v>
      </c>
      <c r="AA120" s="386">
        <f t="shared" si="36"/>
        <v>47.870374456361141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8.4553398739869334E-2</v>
      </c>
      <c r="AD120" s="231">
        <f>(INDEX(Models!$BJ120:$BT120,,AH120)*(1-AF120)+INDEX(Models!$BJ120:$BT120,,AH120+1)*AF120-ERP_i)*AE120*Ramure*Pc/MaxiM</f>
        <v>1.3991806726968662E-4</v>
      </c>
      <c r="AE120" s="305">
        <f t="shared" si="38"/>
        <v>0.7</v>
      </c>
      <c r="AF120" s="177">
        <f t="shared" si="39"/>
        <v>0.23658484912235211</v>
      </c>
      <c r="AG120" s="810">
        <f t="shared" si="47"/>
        <v>-1</v>
      </c>
      <c r="AH120" s="176">
        <f t="shared" si="40"/>
        <v>5</v>
      </c>
      <c r="AI120" s="225">
        <f t="shared" si="41"/>
        <v>-0.76341515087764789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6">
        <v>40.182000000000002</v>
      </c>
      <c r="C121" s="390"/>
      <c r="D121" s="393">
        <f t="shared" si="24"/>
        <v>40.769762633663994</v>
      </c>
      <c r="E121" s="385">
        <f t="shared" si="45"/>
        <v>44.541306427700789</v>
      </c>
      <c r="F121" s="385">
        <f t="shared" si="25"/>
        <v>44.545253446094634</v>
      </c>
      <c r="G121" s="110">
        <f t="shared" si="46"/>
        <v>0.77326580821951829</v>
      </c>
      <c r="H121" s="414" t="b">
        <f>Wh_hp&gt;='2019'!Maxi_hp</f>
        <v>1</v>
      </c>
      <c r="I121" s="380">
        <f>IF(H121,Wh_hp,'2019'!Maxi_hp)</f>
        <v>44.545253446094634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1.4416631240787958E-2</v>
      </c>
      <c r="M121" s="844"/>
      <c r="N121" s="844"/>
      <c r="O121" s="48">
        <f>IF(t&lt;Tnet,'2019'!Resal+('2019'!Salim-'2019'!Resal)*(1-EXP(('2019'!Tnet-t)/('2019'!Tau_j))),Resal+(Salim-Resal)*(1-EXP((Tnet-t)/(Tau_j))))*Salcycl</f>
        <v>8.4675194701770623E-2</v>
      </c>
      <c r="P121" s="169">
        <f>(INDEX(Models!$BJ121:$BT121,,T121)*(1-R121)+INDEX(Models!$BJ121:$BT121,,T121+1)*R121-ERP_i)*Q121*Ramure*Pc/MaxiM</f>
        <v>1.3104803339315674E-4</v>
      </c>
      <c r="Q121" s="305">
        <f t="shared" si="27"/>
        <v>0.7</v>
      </c>
      <c r="R121" s="177">
        <f t="shared" si="28"/>
        <v>0.23801712635009353</v>
      </c>
      <c r="S121" s="810">
        <f t="shared" si="29"/>
        <v>-1</v>
      </c>
      <c r="T121" s="176">
        <f t="shared" si="30"/>
        <v>5</v>
      </c>
      <c r="U121" s="251">
        <f t="shared" si="31"/>
        <v>-0.76198287364990647</v>
      </c>
      <c r="V121" s="383">
        <f t="shared" si="32"/>
        <v>51.961814493254394</v>
      </c>
      <c r="W121" s="402"/>
      <c r="X121" s="157">
        <f t="shared" si="33"/>
        <v>43937</v>
      </c>
      <c r="Y121" s="385">
        <f t="shared" si="34"/>
        <v>40.182000000000002</v>
      </c>
      <c r="Z121" s="385">
        <f t="shared" si="35"/>
        <v>40.769762633663994</v>
      </c>
      <c r="AA121" s="386">
        <f t="shared" si="36"/>
        <v>44.541306427700789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8.4675194701770623E-2</v>
      </c>
      <c r="AD121" s="231">
        <f>(INDEX(Models!$BJ121:$BT121,,AH121)*(1-AF121)+INDEX(Models!$BJ121:$BT121,,AH121+1)*AF121-ERP_i)*AE121*Ramure*Pc/MaxiM</f>
        <v>1.3104803339315674E-4</v>
      </c>
      <c r="AE121" s="305">
        <f t="shared" si="38"/>
        <v>0.7</v>
      </c>
      <c r="AF121" s="177">
        <f t="shared" si="39"/>
        <v>0.23801712635009353</v>
      </c>
      <c r="AG121" s="810">
        <f t="shared" si="47"/>
        <v>-1</v>
      </c>
      <c r="AH121" s="176">
        <f t="shared" si="40"/>
        <v>5</v>
      </c>
      <c r="AI121" s="225">
        <f t="shared" si="41"/>
        <v>-0.76198287364990647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6">
        <v>32.545000000000002</v>
      </c>
      <c r="C122" s="390"/>
      <c r="D122" s="393">
        <f t="shared" si="24"/>
        <v>33.021820800703821</v>
      </c>
      <c r="E122" s="385">
        <f t="shared" si="45"/>
        <v>36.08146018755729</v>
      </c>
      <c r="F122" s="385">
        <f t="shared" si="25"/>
        <v>36.083508265801605</v>
      </c>
      <c r="G122" s="110">
        <f t="shared" si="46"/>
        <v>0.62314746296742696</v>
      </c>
      <c r="H122" s="414" t="b">
        <f>Wh_hp&gt;='2019'!Maxi_hp</f>
        <v>1</v>
      </c>
      <c r="I122" s="380">
        <f>IF(H122,Wh_hp,'2019'!Maxi_hp)</f>
        <v>36.083508265801605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1.443956720562356E-2</v>
      </c>
      <c r="M122" s="844"/>
      <c r="N122" s="844"/>
      <c r="O122" s="48">
        <f>IF(t&lt;Tnet,'2019'!Resal+('2019'!Salim-'2019'!Resal)*(1-EXP(('2019'!Tnet-t)/('2019'!Tau_j))),Resal+(Salim-Resal)*(1-EXP((Tnet-t)/(Tau_j))))*Salcycl</f>
        <v>8.4798103262699681E-2</v>
      </c>
      <c r="P122" s="169">
        <f>(INDEX(Models!$BJ122:$BT122,,T122)*(1-R122)+INDEX(Models!$BJ122:$BT122,,T122+1)*R122-ERP_i)*Q122*Ramure*Pc/MaxiM</f>
        <v>1.2293616267555182E-4</v>
      </c>
      <c r="Q122" s="305">
        <f t="shared" si="27"/>
        <v>0.7</v>
      </c>
      <c r="R122" s="177">
        <f t="shared" si="28"/>
        <v>0.23949751060827185</v>
      </c>
      <c r="S122" s="810">
        <f t="shared" si="29"/>
        <v>-1</v>
      </c>
      <c r="T122" s="176">
        <f t="shared" si="30"/>
        <v>5</v>
      </c>
      <c r="U122" s="251">
        <f t="shared" si="31"/>
        <v>-0.76050248939172815</v>
      </c>
      <c r="V122" s="383">
        <f t="shared" si="32"/>
        <v>52.223346942644149</v>
      </c>
      <c r="W122" s="402"/>
      <c r="X122" s="157">
        <f t="shared" si="33"/>
        <v>43938</v>
      </c>
      <c r="Y122" s="385">
        <f t="shared" si="34"/>
        <v>32.545000000000002</v>
      </c>
      <c r="Z122" s="385">
        <f t="shared" si="35"/>
        <v>33.021820800703821</v>
      </c>
      <c r="AA122" s="386">
        <f t="shared" si="36"/>
        <v>36.08146018755729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8.4798103262699681E-2</v>
      </c>
      <c r="AD122" s="231">
        <f>(INDEX(Models!$BJ122:$BT122,,AH122)*(1-AF122)+INDEX(Models!$BJ122:$BT122,,AH122+1)*AF122-ERP_i)*AE122*Ramure*Pc/MaxiM</f>
        <v>1.2293616267555182E-4</v>
      </c>
      <c r="AE122" s="305">
        <f t="shared" si="38"/>
        <v>0.7</v>
      </c>
      <c r="AF122" s="177">
        <f t="shared" si="39"/>
        <v>0.23949751060827185</v>
      </c>
      <c r="AG122" s="810">
        <f t="shared" si="47"/>
        <v>-1</v>
      </c>
      <c r="AH122" s="176">
        <f t="shared" si="40"/>
        <v>5</v>
      </c>
      <c r="AI122" s="225">
        <f t="shared" si="41"/>
        <v>-0.76050248939172815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6">
        <v>41.25</v>
      </c>
      <c r="C123" s="390"/>
      <c r="D123" s="393">
        <f t="shared" si="24"/>
        <v>41.85533286187507</v>
      </c>
      <c r="E123" s="385">
        <f t="shared" si="45"/>
        <v>45.739641033580916</v>
      </c>
      <c r="F123" s="385">
        <f t="shared" si="25"/>
        <v>45.743305316989783</v>
      </c>
      <c r="G123" s="110">
        <f t="shared" si="46"/>
        <v>0.78602281611783387</v>
      </c>
      <c r="H123" s="414" t="b">
        <f>Wh_hp&gt;='2019'!Maxi_hp</f>
        <v>0</v>
      </c>
      <c r="I123" s="380">
        <f>IF(H123,Wh_hp,'2019'!Maxi_hp)</f>
        <v>50.570081295451367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1.4462502636705787E-2</v>
      </c>
      <c r="M123" s="844"/>
      <c r="N123" s="844"/>
      <c r="O123" s="48">
        <f>IF(t&lt;Tnet,'2019'!Resal+('2019'!Salim-'2019'!Resal)*(1-EXP(('2019'!Tnet-t)/('2019'!Tau_j))),Resal+(Salim-Resal)*(1-EXP((Tnet-t)/(Tau_j))))*Salcycl</f>
        <v>8.492213939444955E-2</v>
      </c>
      <c r="P123" s="169">
        <f>(INDEX(Models!$BJ123:$BT123,,T123)*(1-R123)+INDEX(Models!$BJ123:$BT123,,T123+1)*R123-ERP_i)*Q123*Ramure*Pc/MaxiM</f>
        <v>1.153660778624122E-4</v>
      </c>
      <c r="Q123" s="305">
        <f t="shared" si="27"/>
        <v>0.7</v>
      </c>
      <c r="R123" s="177">
        <f t="shared" si="28"/>
        <v>0.24102715307598133</v>
      </c>
      <c r="S123" s="810">
        <f t="shared" si="29"/>
        <v>-1</v>
      </c>
      <c r="T123" s="176">
        <f t="shared" si="30"/>
        <v>5</v>
      </c>
      <c r="U123" s="251">
        <f t="shared" si="31"/>
        <v>-0.75897284692401867</v>
      </c>
      <c r="V123" s="383">
        <f t="shared" si="32"/>
        <v>52.477542041480142</v>
      </c>
      <c r="W123" s="402"/>
      <c r="X123" s="157">
        <f t="shared" si="33"/>
        <v>43939</v>
      </c>
      <c r="Y123" s="385">
        <f t="shared" si="34"/>
        <v>41.25</v>
      </c>
      <c r="Z123" s="385">
        <f t="shared" si="35"/>
        <v>41.85533286187507</v>
      </c>
      <c r="AA123" s="386">
        <f t="shared" si="36"/>
        <v>45.739641033580916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8.492213939444955E-2</v>
      </c>
      <c r="AD123" s="231">
        <f>(INDEX(Models!$BJ123:$BT123,,AH123)*(1-AF123)+INDEX(Models!$BJ123:$BT123,,AH123+1)*AF123-ERP_i)*AE123*Ramure*Pc/MaxiM</f>
        <v>1.153660778624122E-4</v>
      </c>
      <c r="AE123" s="305">
        <f t="shared" si="38"/>
        <v>0.7</v>
      </c>
      <c r="AF123" s="177">
        <f t="shared" si="39"/>
        <v>0.24102715307598133</v>
      </c>
      <c r="AG123" s="810">
        <f t="shared" si="47"/>
        <v>-1</v>
      </c>
      <c r="AH123" s="176">
        <f t="shared" si="40"/>
        <v>5</v>
      </c>
      <c r="AI123" s="225">
        <f t="shared" si="41"/>
        <v>-0.75897284692401867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6">
        <v>18.059000000000001</v>
      </c>
      <c r="C124" s="390"/>
      <c r="D124" s="393">
        <f t="shared" si="24"/>
        <v>18.324437494675674</v>
      </c>
      <c r="E124" s="385">
        <f t="shared" si="45"/>
        <v>20.02774331925291</v>
      </c>
      <c r="F124" s="385">
        <f t="shared" si="25"/>
        <v>20.027875096778018</v>
      </c>
      <c r="G124" s="110">
        <f t="shared" si="46"/>
        <v>0.34248143694115579</v>
      </c>
      <c r="H124" s="414" t="b">
        <f>Wh_hp&gt;='2019'!Maxi_hp</f>
        <v>0</v>
      </c>
      <c r="I124" s="380">
        <f>IF(H124,Wh_hp,'2019'!Maxi_hp)</f>
        <v>49.816269691728465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1.4485437534047074E-2</v>
      </c>
      <c r="M124" s="844"/>
      <c r="N124" s="844"/>
      <c r="O124" s="48">
        <f>IF(t&lt;Tnet,'2019'!Resal+('2019'!Salim-'2019'!Resal)*(1-EXP(('2019'!Tnet-t)/('2019'!Tau_j))),Resal+(Salim-Resal)*(1-EXP((Tnet-t)/(Tau_j))))*Salcycl</f>
        <v>8.5047316486217814E-2</v>
      </c>
      <c r="P124" s="169">
        <f>(INDEX(Models!$BJ124:$BT124,,T124)*(1-R124)+INDEX(Models!$BJ124:$BT124,,T124+1)*R124-ERP_i)*Q124*Ramure*Pc/MaxiM</f>
        <v>1.0833010620027434E-4</v>
      </c>
      <c r="Q124" s="305">
        <f t="shared" si="27"/>
        <v>0.7</v>
      </c>
      <c r="R124" s="177">
        <f t="shared" si="28"/>
        <v>0.24260719685891674</v>
      </c>
      <c r="S124" s="810">
        <f t="shared" si="29"/>
        <v>-1</v>
      </c>
      <c r="T124" s="176">
        <f t="shared" si="30"/>
        <v>5</v>
      </c>
      <c r="U124" s="251">
        <f t="shared" si="31"/>
        <v>-0.75739280314108326</v>
      </c>
      <c r="V124" s="383">
        <f t="shared" si="32"/>
        <v>52.724499869844337</v>
      </c>
      <c r="W124" s="402"/>
      <c r="X124" s="157">
        <f t="shared" si="33"/>
        <v>43940</v>
      </c>
      <c r="Y124" s="385">
        <f t="shared" si="34"/>
        <v>18.059000000000001</v>
      </c>
      <c r="Z124" s="385">
        <f t="shared" si="35"/>
        <v>18.324437494675674</v>
      </c>
      <c r="AA124" s="386">
        <f t="shared" si="36"/>
        <v>20.02774331925291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8.5047316486217814E-2</v>
      </c>
      <c r="AD124" s="231">
        <f>(INDEX(Models!$BJ124:$BT124,,AH124)*(1-AF124)+INDEX(Models!$BJ124:$BT124,,AH124+1)*AF124-ERP_i)*AE124*Ramure*Pc/MaxiM</f>
        <v>1.0833010620027434E-4</v>
      </c>
      <c r="AE124" s="305">
        <f t="shared" si="38"/>
        <v>0.7</v>
      </c>
      <c r="AF124" s="177">
        <f t="shared" si="39"/>
        <v>0.24260719685891674</v>
      </c>
      <c r="AG124" s="810">
        <f t="shared" si="47"/>
        <v>-1</v>
      </c>
      <c r="AH124" s="176">
        <f t="shared" si="40"/>
        <v>5</v>
      </c>
      <c r="AI124" s="225">
        <f t="shared" si="41"/>
        <v>-0.75739280314108326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6">
        <v>14.41</v>
      </c>
      <c r="C125" s="390"/>
      <c r="D125" s="393">
        <f t="shared" si="24"/>
        <v>14.622143495777689</v>
      </c>
      <c r="E125" s="385">
        <f t="shared" si="45"/>
        <v>15.983518004400411</v>
      </c>
      <c r="F125" s="385">
        <f t="shared" si="25"/>
        <v>15.983518004400411</v>
      </c>
      <c r="G125" s="110">
        <f t="shared" si="46"/>
        <v>0.27204224652321524</v>
      </c>
      <c r="H125" s="414" t="b">
        <f>Wh_hp&gt;='2019'!Maxi_hp</f>
        <v>0</v>
      </c>
      <c r="I125" s="380">
        <f>IF(H125,Wh_hp,'2019'!Maxi_hp)</f>
        <v>19.911902337622525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1.4508371897659744E-2</v>
      </c>
      <c r="M125" s="844"/>
      <c r="N125" s="844"/>
      <c r="O125" s="48">
        <f>IF(t&lt;Tnet,'2019'!Resal+('2019'!Salim-'2019'!Resal)*(1-EXP(('2019'!Tnet-t)/('2019'!Tau_j))),Resal+(Salim-Resal)*(1-EXP((Tnet-t)/(Tau_j))))*Salcycl</f>
        <v>8.5173646267856798E-2</v>
      </c>
      <c r="P125" s="169">
        <f>(INDEX(Models!$BJ125:$BT125,,T125)*(1-R125)+INDEX(Models!$BJ125:$BT125,,T125+1)*R125-ERP_i)*Q125*Ramure*Pc/MaxiM</f>
        <v>1.018219665732008E-4</v>
      </c>
      <c r="Q125" s="305">
        <f t="shared" si="27"/>
        <v>0.7</v>
      </c>
      <c r="R125" s="177">
        <f t="shared" si="28"/>
        <v>0.2442387737112951</v>
      </c>
      <c r="S125" s="810">
        <f t="shared" si="29"/>
        <v>-1</v>
      </c>
      <c r="T125" s="176">
        <f t="shared" si="30"/>
        <v>5</v>
      </c>
      <c r="U125" s="251">
        <f t="shared" si="31"/>
        <v>-0.7557612262887049</v>
      </c>
      <c r="V125" s="383">
        <f t="shared" si="32"/>
        <v>52.964320540677868</v>
      </c>
      <c r="W125" s="402"/>
      <c r="X125" s="157">
        <f t="shared" si="33"/>
        <v>43941</v>
      </c>
      <c r="Y125" s="385">
        <f t="shared" si="34"/>
        <v>14.41</v>
      </c>
      <c r="Z125" s="385">
        <f t="shared" si="35"/>
        <v>14.622143495777689</v>
      </c>
      <c r="AA125" s="386">
        <f t="shared" si="36"/>
        <v>15.983518004400411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8.5173646267856798E-2</v>
      </c>
      <c r="AD125" s="231">
        <f>(INDEX(Models!$BJ125:$BT125,,AH125)*(1-AF125)+INDEX(Models!$BJ125:$BT125,,AH125+1)*AF125-ERP_i)*AE125*Ramure*Pc/MaxiM</f>
        <v>1.018219665732008E-4</v>
      </c>
      <c r="AE125" s="305">
        <f t="shared" si="38"/>
        <v>0.7</v>
      </c>
      <c r="AF125" s="177">
        <f t="shared" si="39"/>
        <v>0.2442387737112951</v>
      </c>
      <c r="AG125" s="810">
        <f t="shared" si="47"/>
        <v>-1</v>
      </c>
      <c r="AH125" s="176">
        <f t="shared" si="40"/>
        <v>5</v>
      </c>
      <c r="AI125" s="225">
        <f t="shared" si="41"/>
        <v>-0.7557612262887049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6">
        <v>14.87</v>
      </c>
      <c r="C126" s="390"/>
      <c r="D126" s="393">
        <f t="shared" si="24"/>
        <v>15.089266748324553</v>
      </c>
      <c r="E126" s="385">
        <f t="shared" si="45"/>
        <v>16.496431106715558</v>
      </c>
      <c r="F126" s="385">
        <f t="shared" si="25"/>
        <v>16.496431106715558</v>
      </c>
      <c r="G126" s="110">
        <f t="shared" si="46"/>
        <v>0.2794997045852684</v>
      </c>
      <c r="H126" s="414" t="b">
        <f>Wh_hp&gt;='2019'!Maxi_hp</f>
        <v>0</v>
      </c>
      <c r="I126" s="380">
        <f>IF(H126,Wh_hp,'2019'!Maxi_hp)</f>
        <v>34.414939531127118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1.4531305727556343E-2</v>
      </c>
      <c r="M126" s="844"/>
      <c r="N126" s="844"/>
      <c r="O126" s="48">
        <f>IF(t&lt;Tnet,'2019'!Resal+('2019'!Salim-'2019'!Resal)*(1-EXP(('2019'!Tnet-t)/('2019'!Tau_j))),Resal+(Salim-Resal)*(1-EXP((Tnet-t)/(Tau_j))))*Salcycl</f>
        <v>8.5301138730434989E-2</v>
      </c>
      <c r="P126" s="169">
        <f>(INDEX(Models!$BJ126:$BT126,,T126)*(1-R126)+INDEX(Models!$BJ126:$BT126,,T126+1)*R126-ERP_i)*Q126*Ramure*Pc/MaxiM</f>
        <v>9.5836393797348553E-5</v>
      </c>
      <c r="Q126" s="305">
        <f t="shared" si="27"/>
        <v>0.7</v>
      </c>
      <c r="R126" s="177">
        <f t="shared" si="28"/>
        <v>0.24592300054880112</v>
      </c>
      <c r="S126" s="810">
        <f t="shared" si="29"/>
        <v>-1</v>
      </c>
      <c r="T126" s="176">
        <f t="shared" si="30"/>
        <v>5</v>
      </c>
      <c r="U126" s="251">
        <f t="shared" si="31"/>
        <v>-0.75407699945119888</v>
      </c>
      <c r="V126" s="383">
        <f t="shared" si="32"/>
        <v>53.197104214785305</v>
      </c>
      <c r="W126" s="402"/>
      <c r="X126" s="157">
        <f t="shared" si="33"/>
        <v>43942</v>
      </c>
      <c r="Y126" s="385">
        <f t="shared" si="34"/>
        <v>14.869999999999997</v>
      </c>
      <c r="Z126" s="385">
        <f t="shared" si="35"/>
        <v>15.089266748324551</v>
      </c>
      <c r="AA126" s="386">
        <f t="shared" si="36"/>
        <v>16.496431106715558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8.5301138730434989E-2</v>
      </c>
      <c r="AD126" s="231">
        <f>(INDEX(Models!$BJ126:$BT126,,AH126)*(1-AF126)+INDEX(Models!$BJ126:$BT126,,AH126+1)*AF126-ERP_i)*AE126*Ramure*Pc/MaxiM</f>
        <v>9.5836393797348553E-5</v>
      </c>
      <c r="AE126" s="305">
        <f t="shared" si="38"/>
        <v>0.7</v>
      </c>
      <c r="AF126" s="177">
        <f t="shared" si="39"/>
        <v>0.24592300054880112</v>
      </c>
      <c r="AG126" s="810">
        <f t="shared" si="47"/>
        <v>-1</v>
      </c>
      <c r="AH126" s="176">
        <f t="shared" si="40"/>
        <v>5</v>
      </c>
      <c r="AI126" s="225">
        <f t="shared" si="41"/>
        <v>-0.75407699945119888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6">
        <v>9.3510000000000009</v>
      </c>
      <c r="C127" s="390"/>
      <c r="D127" s="393">
        <f t="shared" si="24"/>
        <v>9.4891067274329259</v>
      </c>
      <c r="E127" s="385">
        <f t="shared" si="45"/>
        <v>10.375482110223148</v>
      </c>
      <c r="F127" s="385">
        <f t="shared" si="25"/>
        <v>10.375482110223148</v>
      </c>
      <c r="G127" s="110">
        <f t="shared" si="46"/>
        <v>0.17502131129637699</v>
      </c>
      <c r="H127" s="414" t="b">
        <f>Wh_hp&gt;='2019'!Maxi_hp</f>
        <v>0</v>
      </c>
      <c r="I127" s="380">
        <f>IF(H127,Wh_hp,'2019'!Maxi_hp)</f>
        <v>37.128323824017272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1.4554239023749194E-2</v>
      </c>
      <c r="M127" s="844"/>
      <c r="N127" s="844"/>
      <c r="O127" s="48">
        <f>IF(t&lt;Tnet,'2019'!Resal+('2019'!Salim-'2019'!Resal)*(1-EXP(('2019'!Tnet-t)/('2019'!Tau_j))),Resal+(Salim-Resal)*(1-EXP((Tnet-t)/(Tau_j))))*Salcycl</f>
        <v>8.5429802044269282E-2</v>
      </c>
      <c r="P127" s="169">
        <f>(INDEX(Models!$BJ127:$BT127,,T127)*(1-R127)+INDEX(Models!$BJ127:$BT127,,T127+1)*R127-ERP_i)*Q127*Ramure*Pc/MaxiM</f>
        <v>9.036886901145733E-5</v>
      </c>
      <c r="Q127" s="305">
        <f t="shared" si="27"/>
        <v>0.7</v>
      </c>
      <c r="R127" s="177">
        <f t="shared" si="28"/>
        <v>0.24766097575202783</v>
      </c>
      <c r="S127" s="810">
        <f t="shared" si="29"/>
        <v>-1</v>
      </c>
      <c r="T127" s="176">
        <f t="shared" si="30"/>
        <v>5</v>
      </c>
      <c r="U127" s="251">
        <f t="shared" si="31"/>
        <v>-0.75233902424797217</v>
      </c>
      <c r="V127" s="383">
        <f t="shared" si="32"/>
        <v>53.422951133491054</v>
      </c>
      <c r="W127" s="402"/>
      <c r="X127" s="157">
        <f t="shared" si="33"/>
        <v>43943</v>
      </c>
      <c r="Y127" s="385">
        <f t="shared" si="34"/>
        <v>9.3510000000000009</v>
      </c>
      <c r="Z127" s="385">
        <f t="shared" si="35"/>
        <v>9.4891067274329259</v>
      </c>
      <c r="AA127" s="386">
        <f t="shared" si="36"/>
        <v>10.375482110223148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8.5429802044269282E-2</v>
      </c>
      <c r="AD127" s="231">
        <f>(INDEX(Models!$BJ127:$BT127,,AH127)*(1-AF127)+INDEX(Models!$BJ127:$BT127,,AH127+1)*AF127-ERP_i)*AE127*Ramure*Pc/MaxiM</f>
        <v>9.036886901145733E-5</v>
      </c>
      <c r="AE127" s="305">
        <f t="shared" si="38"/>
        <v>0.7</v>
      </c>
      <c r="AF127" s="177">
        <f t="shared" si="39"/>
        <v>0.24766097575202783</v>
      </c>
      <c r="AG127" s="810">
        <f t="shared" si="47"/>
        <v>-1</v>
      </c>
      <c r="AH127" s="176">
        <f t="shared" si="40"/>
        <v>5</v>
      </c>
      <c r="AI127" s="225">
        <f t="shared" si="41"/>
        <v>-0.75233902424797217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6">
        <v>16.097999999999999</v>
      </c>
      <c r="C128" s="390"/>
      <c r="D128" s="393">
        <f t="shared" si="24"/>
        <v>16.336134640984955</v>
      </c>
      <c r="E128" s="385">
        <f t="shared" si="45"/>
        <v>17.864625622160975</v>
      </c>
      <c r="F128" s="385">
        <f t="shared" si="25"/>
        <v>17.864625842549192</v>
      </c>
      <c r="G128" s="110">
        <f t="shared" si="46"/>
        <v>0.30007525252133521</v>
      </c>
      <c r="H128" s="414" t="b">
        <f>Wh_hp&gt;='2019'!Maxi_hp</f>
        <v>0</v>
      </c>
      <c r="I128" s="380">
        <f>IF(H128,Wh_hp,'2019'!Maxi_hp)</f>
        <v>51.811889935644885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1.457717178625062E-2</v>
      </c>
      <c r="M128" s="844"/>
      <c r="N128" s="844"/>
      <c r="O128" s="48">
        <f>IF(t&lt;Tnet,'2019'!Resal+('2019'!Salim-'2019'!Resal)*(1-EXP(('2019'!Tnet-t)/('2019'!Tau_j))),Resal+(Salim-Resal)*(1-EXP((Tnet-t)/(Tau_j))))*Salcycl</f>
        <v>8.5559642474675471E-2</v>
      </c>
      <c r="P128" s="169">
        <f>(INDEX(Models!$BJ128:$BT128,,T128)*(1-R128)+INDEX(Models!$BJ128:$BT128,,T128+1)*R128-ERP_i)*Q128*Ramure*Pc/MaxiM</f>
        <v>8.5563297085172442E-5</v>
      </c>
      <c r="Q128" s="305">
        <f t="shared" si="27"/>
        <v>0.7</v>
      </c>
      <c r="R128" s="177">
        <f t="shared" si="28"/>
        <v>0.24945377526129298</v>
      </c>
      <c r="S128" s="810">
        <f t="shared" si="29"/>
        <v>-1</v>
      </c>
      <c r="T128" s="176">
        <f t="shared" si="30"/>
        <v>5</v>
      </c>
      <c r="U128" s="251">
        <f t="shared" si="31"/>
        <v>-0.75054622473870702</v>
      </c>
      <c r="V128" s="383">
        <f t="shared" si="32"/>
        <v>53.641953694519273</v>
      </c>
      <c r="W128" s="402"/>
      <c r="X128" s="157">
        <f t="shared" si="33"/>
        <v>43944</v>
      </c>
      <c r="Y128" s="385">
        <f t="shared" si="34"/>
        <v>16.097999999999999</v>
      </c>
      <c r="Z128" s="385">
        <f t="shared" si="35"/>
        <v>16.336134640984955</v>
      </c>
      <c r="AA128" s="386">
        <f t="shared" si="36"/>
        <v>17.864625622160975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8.5559642474675471E-2</v>
      </c>
      <c r="AD128" s="231">
        <f>(INDEX(Models!$BJ128:$BT128,,AH128)*(1-AF128)+INDEX(Models!$BJ128:$BT128,,AH128+1)*AF128-ERP_i)*AE128*Ramure*Pc/MaxiM</f>
        <v>8.5563297085172442E-5</v>
      </c>
      <c r="AE128" s="305">
        <f t="shared" si="38"/>
        <v>0.7</v>
      </c>
      <c r="AF128" s="177">
        <f t="shared" si="39"/>
        <v>0.24945377526129298</v>
      </c>
      <c r="AG128" s="810">
        <f t="shared" si="47"/>
        <v>-1</v>
      </c>
      <c r="AH128" s="176">
        <f t="shared" si="40"/>
        <v>5</v>
      </c>
      <c r="AI128" s="225">
        <f t="shared" si="41"/>
        <v>-0.75054622473870702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6">
        <v>52.927999999999997</v>
      </c>
      <c r="C129" s="390"/>
      <c r="D129" s="393">
        <f t="shared" si="24"/>
        <v>53.712203761801106</v>
      </c>
      <c r="E129" s="385">
        <f t="shared" si="45"/>
        <v>58.74620510183297</v>
      </c>
      <c r="F129" s="385">
        <f t="shared" si="25"/>
        <v>58.750852702335024</v>
      </c>
      <c r="G129" s="110">
        <f t="shared" si="46"/>
        <v>0.9827992198929083</v>
      </c>
      <c r="H129" s="414" t="b">
        <f>Wh_hp&gt;='2019'!Maxi_hp</f>
        <v>1</v>
      </c>
      <c r="I129" s="380">
        <f>IF(H129,Wh_hp,'2019'!Maxi_hp)</f>
        <v>58.750852702335024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1.4600104015073279E-2</v>
      </c>
      <c r="M129" s="844"/>
      <c r="N129" s="844"/>
      <c r="O129" s="48">
        <f>IF(t&lt;Tnet,'2019'!Resal+('2019'!Salim-'2019'!Resal)*(1-EXP(('2019'!Tnet-t)/('2019'!Tau_j))),Resal+(Salim-Resal)*(1-EXP((Tnet-t)/(Tau_j))))*Salcycl</f>
        <v>8.5690664295774141E-2</v>
      </c>
      <c r="P129" s="169">
        <f>(INDEX(Models!$BJ129:$BT129,,T129)*(1-R129)+INDEX(Models!$BJ129:$BT129,,T129+1)*R129-ERP_i)*Q129*Ramure*Pc/MaxiM</f>
        <v>8.1099540532525265E-5</v>
      </c>
      <c r="Q129" s="305">
        <f t="shared" si="27"/>
        <v>0.7</v>
      </c>
      <c r="R129" s="177">
        <f t="shared" si="28"/>
        <v>0.25130244846526573</v>
      </c>
      <c r="S129" s="810">
        <f t="shared" si="29"/>
        <v>-1</v>
      </c>
      <c r="T129" s="176">
        <f t="shared" si="30"/>
        <v>5</v>
      </c>
      <c r="U129" s="251">
        <f t="shared" si="31"/>
        <v>-0.74869755153473427</v>
      </c>
      <c r="V129" s="383">
        <f t="shared" si="32"/>
        <v>53.854229283325218</v>
      </c>
      <c r="W129" s="402"/>
      <c r="X129" s="157">
        <f t="shared" si="33"/>
        <v>43945</v>
      </c>
      <c r="Y129" s="385">
        <f t="shared" si="34"/>
        <v>52.927999999999997</v>
      </c>
      <c r="Z129" s="385">
        <f t="shared" si="35"/>
        <v>53.712203761801106</v>
      </c>
      <c r="AA129" s="386">
        <f t="shared" si="36"/>
        <v>58.74620510183297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8.5690664295774141E-2</v>
      </c>
      <c r="AD129" s="231">
        <f>(INDEX(Models!$BJ129:$BT129,,AH129)*(1-AF129)+INDEX(Models!$BJ129:$BT129,,AH129+1)*AF129-ERP_i)*AE129*Ramure*Pc/MaxiM</f>
        <v>8.1099540532525265E-5</v>
      </c>
      <c r="AE129" s="305">
        <f t="shared" si="38"/>
        <v>0.7</v>
      </c>
      <c r="AF129" s="177">
        <f t="shared" si="39"/>
        <v>0.25130244846526573</v>
      </c>
      <c r="AG129" s="810">
        <f t="shared" si="47"/>
        <v>-1</v>
      </c>
      <c r="AH129" s="176">
        <f t="shared" si="40"/>
        <v>5</v>
      </c>
      <c r="AI129" s="225">
        <f t="shared" si="41"/>
        <v>-0.74869755153473427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6">
        <v>40.968000000000004</v>
      </c>
      <c r="C130" s="390"/>
      <c r="D130" s="393">
        <f t="shared" si="24"/>
        <v>41.575966847904226</v>
      </c>
      <c r="E130" s="385">
        <f t="shared" si="45"/>
        <v>45.479115009568076</v>
      </c>
      <c r="F130" s="385">
        <f t="shared" si="25"/>
        <v>45.481404743952403</v>
      </c>
      <c r="G130" s="110">
        <f t="shared" si="46"/>
        <v>0.75780615990446698</v>
      </c>
      <c r="H130" s="414" t="b">
        <f>Wh_hp&gt;='2019'!Maxi_hp</f>
        <v>1</v>
      </c>
      <c r="I130" s="380">
        <f>IF(H130,Wh_hp,'2019'!Maxi_hp)</f>
        <v>45.481404743952403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1.4623035710229493E-2</v>
      </c>
      <c r="M130" s="844"/>
      <c r="N130" s="844"/>
      <c r="O130" s="48">
        <f>IF(t&lt;Tnet,'2019'!Resal+('2019'!Salim-'2019'!Resal)*(1-EXP(('2019'!Tnet-t)/('2019'!Tau_j))),Resal+(Salim-Resal)*(1-EXP((Tnet-t)/(Tau_j))))*Salcycl</f>
        <v>8.5822869702778706E-2</v>
      </c>
      <c r="P130" s="169">
        <f>(INDEX(Models!$BJ130:$BT130,,T130)*(1-R130)+INDEX(Models!$BJ130:$BT130,,T130+1)*R130-ERP_i)*Q130*Ramure*Pc/MaxiM</f>
        <v>7.6974787522977005E-5</v>
      </c>
      <c r="Q130" s="305">
        <f t="shared" si="27"/>
        <v>0.7</v>
      </c>
      <c r="R130" s="177">
        <f t="shared" si="28"/>
        <v>0.25320801388755287</v>
      </c>
      <c r="S130" s="810">
        <f t="shared" si="29"/>
        <v>-1</v>
      </c>
      <c r="T130" s="176">
        <f t="shared" si="30"/>
        <v>5</v>
      </c>
      <c r="U130" s="251">
        <f t="shared" si="31"/>
        <v>-0.74679198611244713</v>
      </c>
      <c r="V130" s="383">
        <f t="shared" si="32"/>
        <v>54.059878527296149</v>
      </c>
      <c r="W130" s="402"/>
      <c r="X130" s="157">
        <f t="shared" si="33"/>
        <v>43946</v>
      </c>
      <c r="Y130" s="385">
        <f t="shared" si="34"/>
        <v>40.968000000000004</v>
      </c>
      <c r="Z130" s="385">
        <f t="shared" si="35"/>
        <v>41.575966847904226</v>
      </c>
      <c r="AA130" s="386">
        <f t="shared" si="36"/>
        <v>45.479115009568076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8.5822869702778706E-2</v>
      </c>
      <c r="AD130" s="231">
        <f>(INDEX(Models!$BJ130:$BT130,,AH130)*(1-AF130)+INDEX(Models!$BJ130:$BT130,,AH130+1)*AF130-ERP_i)*AE130*Ramure*Pc/MaxiM</f>
        <v>7.6974787522977005E-5</v>
      </c>
      <c r="AE130" s="305">
        <f t="shared" si="38"/>
        <v>0.7</v>
      </c>
      <c r="AF130" s="177">
        <f t="shared" si="39"/>
        <v>0.25320801388755287</v>
      </c>
      <c r="AG130" s="810">
        <f t="shared" si="47"/>
        <v>-1</v>
      </c>
      <c r="AH130" s="176">
        <f t="shared" si="40"/>
        <v>5</v>
      </c>
      <c r="AI130" s="225">
        <f t="shared" si="41"/>
        <v>-0.74679198611244713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6">
        <v>26.625</v>
      </c>
      <c r="C131" s="390"/>
      <c r="D131" s="393">
        <f t="shared" si="24"/>
        <v>27.020744935170008</v>
      </c>
      <c r="E131" s="385">
        <f t="shared" si="45"/>
        <v>29.561763529421388</v>
      </c>
      <c r="F131" s="385">
        <f t="shared" si="25"/>
        <v>29.562352955631322</v>
      </c>
      <c r="G131" s="110">
        <f t="shared" si="46"/>
        <v>0.49067585430094118</v>
      </c>
      <c r="H131" s="414" t="b">
        <f>Wh_hp&gt;='2019'!Maxi_hp</f>
        <v>0</v>
      </c>
      <c r="I131" s="380">
        <f>IF(H131,Wh_hp,'2019'!Maxi_hp)</f>
        <v>31.850011558443278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1.4645966871731586E-2</v>
      </c>
      <c r="M131" s="844"/>
      <c r="N131" s="844"/>
      <c r="O131" s="48">
        <f>IF(t&lt;Tnet,'2019'!Resal+('2019'!Salim-'2019'!Resal)*(1-EXP(('2019'!Tnet-t)/('2019'!Tau_j))),Resal+(Salim-Resal)*(1-EXP((Tnet-t)/(Tau_j))))*Salcycl</f>
        <v>8.5956258723280388E-2</v>
      </c>
      <c r="P131" s="169">
        <f>(INDEX(Models!$BJ131:$BT131,,T131)*(1-R131)+INDEX(Models!$BJ131:$BT131,,T131+1)*R131-ERP_i)*Q131*Ramure*Pc/MaxiM</f>
        <v>7.3186886948424726E-5</v>
      </c>
      <c r="Q131" s="305">
        <f t="shared" si="27"/>
        <v>0.7</v>
      </c>
      <c r="R131" s="177">
        <f t="shared" si="28"/>
        <v>0.25517145467726088</v>
      </c>
      <c r="S131" s="810">
        <f t="shared" si="29"/>
        <v>-1</v>
      </c>
      <c r="T131" s="176">
        <f t="shared" si="30"/>
        <v>5</v>
      </c>
      <c r="U131" s="251">
        <f t="shared" si="31"/>
        <v>-0.74482854532273912</v>
      </c>
      <c r="V131" s="383">
        <f t="shared" si="32"/>
        <v>54.259002144847507</v>
      </c>
      <c r="W131" s="402"/>
      <c r="X131" s="157">
        <f t="shared" si="33"/>
        <v>43947</v>
      </c>
      <c r="Y131" s="385">
        <f t="shared" si="34"/>
        <v>26.625</v>
      </c>
      <c r="Z131" s="385">
        <f t="shared" si="35"/>
        <v>27.020744935170008</v>
      </c>
      <c r="AA131" s="386">
        <f t="shared" si="36"/>
        <v>29.561763529421388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8.5956258723280388E-2</v>
      </c>
      <c r="AD131" s="231">
        <f>(INDEX(Models!$BJ131:$BT131,,AH131)*(1-AF131)+INDEX(Models!$BJ131:$BT131,,AH131+1)*AF131-ERP_i)*AE131*Ramure*Pc/MaxiM</f>
        <v>7.3186886948424726E-5</v>
      </c>
      <c r="AE131" s="305">
        <f t="shared" si="38"/>
        <v>0.7</v>
      </c>
      <c r="AF131" s="177">
        <f t="shared" si="39"/>
        <v>0.25517145467726088</v>
      </c>
      <c r="AG131" s="810">
        <f t="shared" si="47"/>
        <v>-1</v>
      </c>
      <c r="AH131" s="176">
        <f t="shared" si="40"/>
        <v>5</v>
      </c>
      <c r="AI131" s="225">
        <f t="shared" si="41"/>
        <v>-0.74482854532273912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6">
        <v>20.462</v>
      </c>
      <c r="C132" s="390"/>
      <c r="D132" s="393">
        <f t="shared" si="24"/>
        <v>20.766623471110339</v>
      </c>
      <c r="E132" s="385">
        <f t="shared" si="45"/>
        <v>22.72285270022947</v>
      </c>
      <c r="F132" s="385">
        <f t="shared" si="25"/>
        <v>22.723024247608596</v>
      </c>
      <c r="G132" s="110">
        <f t="shared" si="46"/>
        <v>0.37575919954601783</v>
      </c>
      <c r="H132" s="414" t="b">
        <f>Wh_hp&gt;='2019'!Maxi_hp</f>
        <v>0</v>
      </c>
      <c r="I132" s="380">
        <f>IF(H132,Wh_hp,'2019'!Maxi_hp)</f>
        <v>46.447787354157064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1.4668897499592104E-2</v>
      </c>
      <c r="M132" s="844"/>
      <c r="N132" s="844"/>
      <c r="O132" s="48">
        <f>IF(t&lt;Tnet,'2019'!Resal+('2019'!Salim-'2019'!Resal)*(1-EXP(('2019'!Tnet-t)/('2019'!Tau_j))),Resal+(Salim-Resal)*(1-EXP((Tnet-t)/(Tau_j))))*Salcycl</f>
        <v>8.6090829128130375E-2</v>
      </c>
      <c r="P132" s="169">
        <f>(INDEX(Models!$BJ132:$BT132,,T132)*(1-R132)+INDEX(Models!$BJ132:$BT132,,T132+1)*R132-ERP_i)*Q132*Ramure*Pc/MaxiM</f>
        <v>6.9734337498480816E-5</v>
      </c>
      <c r="Q132" s="305">
        <f t="shared" si="27"/>
        <v>0.7</v>
      </c>
      <c r="R132" s="177">
        <f t="shared" si="28"/>
        <v>0.25719371391156265</v>
      </c>
      <c r="S132" s="810">
        <f t="shared" si="29"/>
        <v>-1</v>
      </c>
      <c r="T132" s="176">
        <f t="shared" si="30"/>
        <v>5</v>
      </c>
      <c r="U132" s="251">
        <f t="shared" si="31"/>
        <v>-0.74280628608843735</v>
      </c>
      <c r="V132" s="383">
        <f t="shared" si="32"/>
        <v>54.451700953391757</v>
      </c>
      <c r="W132" s="402"/>
      <c r="X132" s="157">
        <f t="shared" si="33"/>
        <v>43948</v>
      </c>
      <c r="Y132" s="385">
        <f t="shared" si="34"/>
        <v>20.462</v>
      </c>
      <c r="Z132" s="385">
        <f t="shared" si="35"/>
        <v>20.766623471110339</v>
      </c>
      <c r="AA132" s="386">
        <f t="shared" si="36"/>
        <v>22.72285270022947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8.6090829128130375E-2</v>
      </c>
      <c r="AD132" s="231">
        <f>(INDEX(Models!$BJ132:$BT132,,AH132)*(1-AF132)+INDEX(Models!$BJ132:$BT132,,AH132+1)*AF132-ERP_i)*AE132*Ramure*Pc/MaxiM</f>
        <v>6.9734337498480816E-5</v>
      </c>
      <c r="AE132" s="305">
        <f t="shared" si="38"/>
        <v>0.7</v>
      </c>
      <c r="AF132" s="177">
        <f t="shared" si="39"/>
        <v>0.25719371391156265</v>
      </c>
      <c r="AG132" s="810">
        <f t="shared" si="47"/>
        <v>-1</v>
      </c>
      <c r="AH132" s="176">
        <f t="shared" si="40"/>
        <v>5</v>
      </c>
      <c r="AI132" s="225">
        <f t="shared" si="41"/>
        <v>-0.74280628608843735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6">
        <v>27.815999999999999</v>
      </c>
      <c r="C133" s="390"/>
      <c r="D133" s="393">
        <f t="shared" si="24"/>
        <v>28.230761480514062</v>
      </c>
      <c r="E133" s="385">
        <f t="shared" si="45"/>
        <v>30.894706225444605</v>
      </c>
      <c r="F133" s="385">
        <f t="shared" si="25"/>
        <v>30.895321005506215</v>
      </c>
      <c r="G133" s="110">
        <f t="shared" si="46"/>
        <v>0.50907174228139573</v>
      </c>
      <c r="H133" s="414" t="b">
        <f>Wh_hp&gt;='2019'!Maxi_hp</f>
        <v>0</v>
      </c>
      <c r="I133" s="380">
        <f>IF(H133,Wh_hp,'2019'!Maxi_hp)</f>
        <v>53.503420570987252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1.469182759382337E-2</v>
      </c>
      <c r="M133" s="844"/>
      <c r="N133" s="844"/>
      <c r="O133" s="48">
        <f>IF(t&lt;Tnet,'2019'!Resal+('2019'!Salim-'2019'!Resal)*(1-EXP(('2019'!Tnet-t)/('2019'!Tau_j))),Resal+(Salim-Resal)*(1-EXP((Tnet-t)/(Tau_j))))*Salcycl</f>
        <v>8.6226576342601446E-2</v>
      </c>
      <c r="P133" s="169">
        <f>(INDEX(Models!$BJ133:$BT133,,T133)*(1-R133)+INDEX(Models!$BJ133:$BT133,,T133+1)*R133-ERP_i)*Q133*Ramure*Pc/MaxiM</f>
        <v>6.661627753514092E-5</v>
      </c>
      <c r="Q133" s="305">
        <f t="shared" si="27"/>
        <v>0.7</v>
      </c>
      <c r="R133" s="177">
        <f t="shared" si="28"/>
        <v>0.25927568972046833</v>
      </c>
      <c r="S133" s="810">
        <f t="shared" si="29"/>
        <v>-1</v>
      </c>
      <c r="T133" s="176">
        <f t="shared" si="30"/>
        <v>5</v>
      </c>
      <c r="U133" s="251">
        <f t="shared" si="31"/>
        <v>-0.74072431027953167</v>
      </c>
      <c r="V133" s="383">
        <f t="shared" si="32"/>
        <v>54.638075875824889</v>
      </c>
      <c r="W133" s="402"/>
      <c r="X133" s="157">
        <f t="shared" si="33"/>
        <v>43949</v>
      </c>
      <c r="Y133" s="385">
        <f t="shared" si="34"/>
        <v>27.815999999999999</v>
      </c>
      <c r="Z133" s="385">
        <f t="shared" si="35"/>
        <v>28.230761480514062</v>
      </c>
      <c r="AA133" s="386">
        <f t="shared" si="36"/>
        <v>30.894706225444605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8.6226576342601446E-2</v>
      </c>
      <c r="AD133" s="231">
        <f>(INDEX(Models!$BJ133:$BT133,,AH133)*(1-AF133)+INDEX(Models!$BJ133:$BT133,,AH133+1)*AF133-ERP_i)*AE133*Ramure*Pc/MaxiM</f>
        <v>6.661627753514092E-5</v>
      </c>
      <c r="AE133" s="305">
        <f t="shared" si="38"/>
        <v>0.7</v>
      </c>
      <c r="AF133" s="177">
        <f t="shared" si="39"/>
        <v>0.25927568972046833</v>
      </c>
      <c r="AG133" s="810">
        <f t="shared" si="47"/>
        <v>-1</v>
      </c>
      <c r="AH133" s="176">
        <f t="shared" si="40"/>
        <v>5</v>
      </c>
      <c r="AI133" s="225">
        <f t="shared" si="41"/>
        <v>-0.74072431027953167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6">
        <v>47.923000000000002</v>
      </c>
      <c r="C134" s="390"/>
      <c r="D134" s="393">
        <f t="shared" si="24"/>
        <v>48.638706758253619</v>
      </c>
      <c r="E134" s="385">
        <f t="shared" si="45"/>
        <v>53.236387124079243</v>
      </c>
      <c r="F134" s="385">
        <f t="shared" si="25"/>
        <v>53.23917485363804</v>
      </c>
      <c r="G134" s="110">
        <f t="shared" si="46"/>
        <v>0.87420648362868147</v>
      </c>
      <c r="H134" s="414" t="b">
        <f>Wh_hp&gt;='2019'!Maxi_hp</f>
        <v>0</v>
      </c>
      <c r="I134" s="380">
        <f>IF(H134,Wh_hp,'2019'!Maxi_hp)</f>
        <v>61.024126150933135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1.4714757154437819E-2</v>
      </c>
      <c r="M134" s="844"/>
      <c r="N134" s="844"/>
      <c r="O134" s="48">
        <f>IF(t&lt;Tnet,'2019'!Resal+('2019'!Salim-'2019'!Resal)*(1-EXP(('2019'!Tnet-t)/('2019'!Tau_j))),Resal+(Salim-Resal)*(1-EXP((Tnet-t)/(Tau_j))))*Salcycl</f>
        <v>8.6363493358587715E-2</v>
      </c>
      <c r="P134" s="169">
        <f>(INDEX(Models!$BJ134:$BT134,,T134)*(1-R134)+INDEX(Models!$BJ134:$BT134,,T134+1)*R134-ERP_i)*Q134*Ramure*Pc/MaxiM</f>
        <v>6.3832475589211941E-5</v>
      </c>
      <c r="Q134" s="305">
        <f t="shared" si="27"/>
        <v>0.7</v>
      </c>
      <c r="R134" s="177">
        <f t="shared" si="28"/>
        <v>0.26141823024629163</v>
      </c>
      <c r="S134" s="810">
        <f t="shared" si="29"/>
        <v>-1</v>
      </c>
      <c r="T134" s="176">
        <f t="shared" si="30"/>
        <v>5</v>
      </c>
      <c r="U134" s="251">
        <f t="shared" si="31"/>
        <v>-0.73858176975370837</v>
      </c>
      <c r="V134" s="383">
        <f t="shared" si="32"/>
        <v>54.818227943810022</v>
      </c>
      <c r="W134" s="402"/>
      <c r="X134" s="157">
        <f t="shared" si="33"/>
        <v>43950</v>
      </c>
      <c r="Y134" s="385">
        <f t="shared" si="34"/>
        <v>47.923000000000002</v>
      </c>
      <c r="Z134" s="385">
        <f t="shared" si="35"/>
        <v>48.638706758253619</v>
      </c>
      <c r="AA134" s="386">
        <f t="shared" si="36"/>
        <v>53.236387124079243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8.6363493358587715E-2</v>
      </c>
      <c r="AD134" s="231">
        <f>(INDEX(Models!$BJ134:$BT134,,AH134)*(1-AF134)+INDEX(Models!$BJ134:$BT134,,AH134+1)*AF134-ERP_i)*AE134*Ramure*Pc/MaxiM</f>
        <v>6.3832475589211941E-5</v>
      </c>
      <c r="AE134" s="305">
        <f t="shared" si="38"/>
        <v>0.7</v>
      </c>
      <c r="AF134" s="177">
        <f t="shared" si="39"/>
        <v>0.26141823024629163</v>
      </c>
      <c r="AG134" s="810">
        <f t="shared" si="47"/>
        <v>-1</v>
      </c>
      <c r="AH134" s="176">
        <f t="shared" si="40"/>
        <v>5</v>
      </c>
      <c r="AI134" s="225">
        <f t="shared" si="41"/>
        <v>-0.73858176975370837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6">
        <v>43.405000000000001</v>
      </c>
      <c r="C135" s="390"/>
      <c r="D135" s="393">
        <f t="shared" si="24"/>
        <v>44.054257826808097</v>
      </c>
      <c r="E135" s="385">
        <f t="shared" si="45"/>
        <v>48.225871453430841</v>
      </c>
      <c r="F135" s="385">
        <f t="shared" si="25"/>
        <v>48.227940803033164</v>
      </c>
      <c r="G135" s="110">
        <f t="shared" si="46"/>
        <v>0.78928798447508908</v>
      </c>
      <c r="H135" s="414" t="b">
        <f>Wh_hp&gt;='2019'!Maxi_hp</f>
        <v>0</v>
      </c>
      <c r="I135" s="380">
        <f>IF(H135,Wh_hp,'2019'!Maxi_hp)</f>
        <v>55.440910682526471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1.4737686181447995E-2</v>
      </c>
      <c r="M135" s="844"/>
      <c r="N135" s="844"/>
      <c r="O135" s="48">
        <f>IF(t&lt;Tnet,'2019'!Resal+('2019'!Salim-'2019'!Resal)*(1-EXP(('2019'!Tnet-t)/('2019'!Tau_j))),Resal+(Salim-Resal)*(1-EXP((Tnet-t)/(Tau_j))))*Salcycl</f>
        <v>8.6501570648672421E-2</v>
      </c>
      <c r="P135" s="169">
        <f>(INDEX(Models!$BJ135:$BT135,,T135)*(1-R135)+INDEX(Models!$BJ135:$BT135,,T135+1)*R135-ERP_i)*Q135*Ramure*Pc/MaxiM</f>
        <v>6.1384071803063841E-5</v>
      </c>
      <c r="Q135" s="305">
        <f t="shared" si="27"/>
        <v>0.7</v>
      </c>
      <c r="R135" s="177">
        <f t="shared" si="28"/>
        <v>0.26362212845273969</v>
      </c>
      <c r="S135" s="810">
        <f t="shared" si="29"/>
        <v>-1</v>
      </c>
      <c r="T135" s="176">
        <f t="shared" si="30"/>
        <v>5</v>
      </c>
      <c r="U135" s="251">
        <f t="shared" si="31"/>
        <v>-0.73637787154726031</v>
      </c>
      <c r="V135" s="383">
        <f t="shared" si="32"/>
        <v>54.991585900251081</v>
      </c>
      <c r="W135" s="402"/>
      <c r="X135" s="157">
        <f t="shared" si="33"/>
        <v>43951</v>
      </c>
      <c r="Y135" s="385">
        <f t="shared" si="34"/>
        <v>43.405000000000001</v>
      </c>
      <c r="Z135" s="385">
        <f t="shared" si="35"/>
        <v>44.054257826808097</v>
      </c>
      <c r="AA135" s="386">
        <f t="shared" si="36"/>
        <v>48.225871453430841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8.6501570648672421E-2</v>
      </c>
      <c r="AD135" s="231">
        <f>(INDEX(Models!$BJ135:$BT135,,AH135)*(1-AF135)+INDEX(Models!$BJ135:$BT135,,AH135+1)*AF135-ERP_i)*AE135*Ramure*Pc/MaxiM</f>
        <v>6.1384071803063841E-5</v>
      </c>
      <c r="AE135" s="305">
        <f t="shared" si="38"/>
        <v>0.7</v>
      </c>
      <c r="AF135" s="177">
        <f t="shared" si="39"/>
        <v>0.26362212845273969</v>
      </c>
      <c r="AG135" s="810">
        <f t="shared" si="47"/>
        <v>-1</v>
      </c>
      <c r="AH135" s="176">
        <f t="shared" si="40"/>
        <v>5</v>
      </c>
      <c r="AI135" s="225">
        <f t="shared" si="41"/>
        <v>-0.73637787154726031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6">
        <v>19.832999999999998</v>
      </c>
      <c r="C136" s="390"/>
      <c r="D136" s="393">
        <f t="shared" si="24"/>
        <v>20.130133138612816</v>
      </c>
      <c r="E136" s="385">
        <f t="shared" si="45"/>
        <v>22.03966747396036</v>
      </c>
      <c r="F136" s="385">
        <f t="shared" si="25"/>
        <v>22.039778774072776</v>
      </c>
      <c r="G136" s="110">
        <f t="shared" si="46"/>
        <v>0.35954988131446353</v>
      </c>
      <c r="H136" s="414" t="b">
        <f>Wh_hp&gt;='2019'!Maxi_hp</f>
        <v>0</v>
      </c>
      <c r="I136" s="380">
        <f>IF(H136,Wh_hp,'2019'!Maxi_hp)</f>
        <v>33.324912920597868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1.4760614674866113E-2</v>
      </c>
      <c r="M136" s="844"/>
      <c r="N136" s="844"/>
      <c r="O136" s="48">
        <f>IF(t&lt;Tnet,'2019'!Resal+('2019'!Salim-'2019'!Resal)*(1-EXP(('2019'!Tnet-t)/('2019'!Tau_j))),Resal+(Salim-Resal)*(1-EXP((Tnet-t)/(Tau_j))))*Salcycl</f>
        <v>8.6640796082955329E-2</v>
      </c>
      <c r="P136" s="169">
        <f>(INDEX(Models!$BJ136:$BT136,,T136)*(1-R136)+INDEX(Models!$BJ136:$BT136,,T136+1)*R136-ERP_i)*Q136*Ramure*Pc/MaxiM</f>
        <v>5.9342134398482735E-5</v>
      </c>
      <c r="Q136" s="305">
        <f t="shared" si="27"/>
        <v>0.7</v>
      </c>
      <c r="R136" s="177">
        <f t="shared" si="28"/>
        <v>0.2658881168010877</v>
      </c>
      <c r="S136" s="810">
        <f t="shared" si="29"/>
        <v>-1</v>
      </c>
      <c r="T136" s="176">
        <f t="shared" si="30"/>
        <v>5</v>
      </c>
      <c r="U136" s="251">
        <f t="shared" si="31"/>
        <v>-0.7341118831989123</v>
      </c>
      <c r="V136" s="383">
        <f t="shared" si="32"/>
        <v>55.157640841000415</v>
      </c>
      <c r="W136" s="402"/>
      <c r="X136" s="157">
        <f t="shared" si="33"/>
        <v>43952</v>
      </c>
      <c r="Y136" s="385">
        <f t="shared" si="34"/>
        <v>19.832999999999998</v>
      </c>
      <c r="Z136" s="385">
        <f t="shared" si="35"/>
        <v>20.130133138612816</v>
      </c>
      <c r="AA136" s="386">
        <f t="shared" si="36"/>
        <v>22.03966747396036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8.6640796082955329E-2</v>
      </c>
      <c r="AD136" s="231">
        <f>(INDEX(Models!$BJ136:$BT136,,AH136)*(1-AF136)+INDEX(Models!$BJ136:$BT136,,AH136+1)*AF136-ERP_i)*AE136*Ramure*Pc/MaxiM</f>
        <v>5.9342134398482735E-5</v>
      </c>
      <c r="AE136" s="305">
        <f t="shared" si="38"/>
        <v>0.7</v>
      </c>
      <c r="AF136" s="177">
        <f t="shared" si="39"/>
        <v>0.2658881168010877</v>
      </c>
      <c r="AG136" s="810">
        <f t="shared" si="47"/>
        <v>-1</v>
      </c>
      <c r="AH136" s="176">
        <f t="shared" si="40"/>
        <v>5</v>
      </c>
      <c r="AI136" s="225">
        <f t="shared" si="41"/>
        <v>-0.7341118831989123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6">
        <v>35.671999999999997</v>
      </c>
      <c r="C137" s="390"/>
      <c r="D137" s="393">
        <f t="shared" si="24"/>
        <v>36.207271745536474</v>
      </c>
      <c r="E137" s="385">
        <f t="shared" si="45"/>
        <v>39.64796821464293</v>
      </c>
      <c r="F137" s="385">
        <f t="shared" si="25"/>
        <v>39.649091779863831</v>
      </c>
      <c r="G137" s="110">
        <f t="shared" si="46"/>
        <v>0.64485085260961483</v>
      </c>
      <c r="H137" s="414" t="b">
        <f>Wh_hp&gt;='2019'!Maxi_hp</f>
        <v>1</v>
      </c>
      <c r="I137" s="380">
        <f>IF(H137,Wh_hp,'2019'!Maxi_hp)</f>
        <v>39.649091779863831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1.4783542634704716E-2</v>
      </c>
      <c r="M137" s="844"/>
      <c r="N137" s="844"/>
      <c r="O137" s="48">
        <f>IF(t&lt;Tnet,'2019'!Resal+('2019'!Salim-'2019'!Resal)*(1-EXP(('2019'!Tnet-t)/('2019'!Tau_j))),Resal+(Salim-Resal)*(1-EXP((Tnet-t)/(Tau_j))))*Salcycl</f>
        <v>8.6781154849587622E-2</v>
      </c>
      <c r="P137" s="169">
        <f>(INDEX(Models!$BJ137:$BT137,,T137)*(1-R137)+INDEX(Models!$BJ137:$BT137,,T137+1)*R137-ERP_i)*Q137*Ramure*Pc/MaxiM</f>
        <v>5.751857011808981E-5</v>
      </c>
      <c r="Q137" s="305">
        <f t="shared" si="27"/>
        <v>0.7</v>
      </c>
      <c r="R137" s="177">
        <f t="shared" si="28"/>
        <v>0.26821686181353876</v>
      </c>
      <c r="S137" s="810">
        <f t="shared" si="29"/>
        <v>-1</v>
      </c>
      <c r="T137" s="176">
        <f t="shared" si="30"/>
        <v>5</v>
      </c>
      <c r="U137" s="251">
        <f t="shared" si="31"/>
        <v>-0.73178313818646124</v>
      </c>
      <c r="V137" s="383">
        <f t="shared" si="32"/>
        <v>55.316603656775165</v>
      </c>
      <c r="W137" s="402"/>
      <c r="X137" s="157">
        <f t="shared" si="33"/>
        <v>43953</v>
      </c>
      <c r="Y137" s="385">
        <f t="shared" si="34"/>
        <v>35.671999999999997</v>
      </c>
      <c r="Z137" s="385">
        <f t="shared" si="35"/>
        <v>36.207271745536474</v>
      </c>
      <c r="AA137" s="386">
        <f t="shared" si="36"/>
        <v>39.64796821464293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8.6781154849587622E-2</v>
      </c>
      <c r="AD137" s="231">
        <f>(INDEX(Models!$BJ137:$BT137,,AH137)*(1-AF137)+INDEX(Models!$BJ137:$BT137,,AH137+1)*AF137-ERP_i)*AE137*Ramure*Pc/MaxiM</f>
        <v>5.751857011808981E-5</v>
      </c>
      <c r="AE137" s="305">
        <f t="shared" si="38"/>
        <v>0.7</v>
      </c>
      <c r="AF137" s="177">
        <f t="shared" si="39"/>
        <v>0.26821686181353876</v>
      </c>
      <c r="AG137" s="810">
        <f t="shared" si="47"/>
        <v>-1</v>
      </c>
      <c r="AH137" s="176">
        <f t="shared" si="40"/>
        <v>5</v>
      </c>
      <c r="AI137" s="225">
        <f t="shared" si="41"/>
        <v>-0.73178313818646124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6">
        <v>49.204999999999998</v>
      </c>
      <c r="C138" s="390"/>
      <c r="D138" s="393">
        <f t="shared" si="24"/>
        <v>49.944501770170405</v>
      </c>
      <c r="E138" s="385">
        <f t="shared" si="45"/>
        <v>54.699090545040356</v>
      </c>
      <c r="F138" s="385">
        <f t="shared" si="25"/>
        <v>54.701655711301164</v>
      </c>
      <c r="G138" s="110">
        <f t="shared" si="46"/>
        <v>0.88706925385070112</v>
      </c>
      <c r="H138" s="414" t="b">
        <f>Wh_hp&gt;='2019'!Maxi_hp</f>
        <v>1</v>
      </c>
      <c r="I138" s="380">
        <f>IF(H138,Wh_hp,'2019'!Maxi_hp)</f>
        <v>54.701655711301164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1.480647006097624E-2</v>
      </c>
      <c r="M138" s="844"/>
      <c r="N138" s="844"/>
      <c r="O138" s="48">
        <f>IF(t&lt;Tnet,'2019'!Resal+('2019'!Salim-'2019'!Resal)*(1-EXP(('2019'!Tnet-t)/('2019'!Tau_j))),Resal+(Salim-Resal)*(1-EXP((Tnet-t)/(Tau_j))))*Salcycl</f>
        <v>8.6922629380006416E-2</v>
      </c>
      <c r="P138" s="169">
        <f>(INDEX(Models!$BJ138:$BT138,,T138)*(1-R138)+INDEX(Models!$BJ138:$BT138,,T138+1)*R138-ERP_i)*Q138*Ramure*Pc/MaxiM</f>
        <v>5.5913648504361111E-5</v>
      </c>
      <c r="Q138" s="305">
        <f t="shared" si="27"/>
        <v>0.7</v>
      </c>
      <c r="R138" s="177">
        <f t="shared" si="28"/>
        <v>0.27060895854657108</v>
      </c>
      <c r="S138" s="810">
        <f t="shared" si="29"/>
        <v>-1</v>
      </c>
      <c r="T138" s="176">
        <f t="shared" si="30"/>
        <v>5</v>
      </c>
      <c r="U138" s="251">
        <f t="shared" si="31"/>
        <v>-0.72939104145342892</v>
      </c>
      <c r="V138" s="383">
        <f t="shared" si="32"/>
        <v>55.468675012611463</v>
      </c>
      <c r="W138" s="402"/>
      <c r="X138" s="157">
        <f t="shared" si="33"/>
        <v>43954</v>
      </c>
      <c r="Y138" s="385">
        <f t="shared" si="34"/>
        <v>49.204999999999998</v>
      </c>
      <c r="Z138" s="385">
        <f t="shared" si="35"/>
        <v>49.944501770170405</v>
      </c>
      <c r="AA138" s="386">
        <f t="shared" si="36"/>
        <v>54.699090545040356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8.6922629380006416E-2</v>
      </c>
      <c r="AD138" s="231">
        <f>(INDEX(Models!$BJ138:$BT138,,AH138)*(1-AF138)+INDEX(Models!$BJ138:$BT138,,AH138+1)*AF138-ERP_i)*AE138*Ramure*Pc/MaxiM</f>
        <v>5.5913648504361111E-5</v>
      </c>
      <c r="AE138" s="305">
        <f t="shared" si="38"/>
        <v>0.7</v>
      </c>
      <c r="AF138" s="177">
        <f t="shared" si="39"/>
        <v>0.27060895854657108</v>
      </c>
      <c r="AG138" s="810">
        <f t="shared" si="47"/>
        <v>-1</v>
      </c>
      <c r="AH138" s="176">
        <f t="shared" si="40"/>
        <v>5</v>
      </c>
      <c r="AI138" s="225">
        <f t="shared" si="41"/>
        <v>-0.72939104145342892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6">
        <v>52.847999999999999</v>
      </c>
      <c r="C139" s="390"/>
      <c r="D139" s="393">
        <f t="shared" si="24"/>
        <v>53.643500766857464</v>
      </c>
      <c r="E139" s="385">
        <f t="shared" si="45"/>
        <v>58.759399602846329</v>
      </c>
      <c r="F139" s="385">
        <f t="shared" si="25"/>
        <v>58.762376134897934</v>
      </c>
      <c r="G139" s="110">
        <f t="shared" si="46"/>
        <v>0.95025968912679515</v>
      </c>
      <c r="H139" s="414" t="b">
        <f>Wh_hp&gt;='2019'!Maxi_hp</f>
        <v>1</v>
      </c>
      <c r="I139" s="380">
        <f>IF(H139,Wh_hp,'2019'!Maxi_hp)</f>
        <v>58.762376134897934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1.4829396953693008E-2</v>
      </c>
      <c r="M139" s="844"/>
      <c r="N139" s="844"/>
      <c r="O139" s="48">
        <f>IF(t&lt;Tnet,'2019'!Resal+('2019'!Salim-'2019'!Resal)*(1-EXP(('2019'!Tnet-t)/('2019'!Tau_j))),Resal+(Salim-Resal)*(1-EXP((Tnet-t)/(Tau_j))))*Salcycl</f>
        <v>8.7065199279896033E-2</v>
      </c>
      <c r="P139" s="169">
        <f>(INDEX(Models!$BJ139:$BT139,,T139)*(1-R139)+INDEX(Models!$BJ139:$BT139,,T139+1)*R139-ERP_i)*Q139*Ramure*Pc/MaxiM</f>
        <v>5.4528049577945309E-5</v>
      </c>
      <c r="Q139" s="305">
        <f t="shared" si="27"/>
        <v>0.7</v>
      </c>
      <c r="R139" s="177">
        <f t="shared" si="28"/>
        <v>0.27306492499983215</v>
      </c>
      <c r="S139" s="810">
        <f t="shared" si="29"/>
        <v>-1</v>
      </c>
      <c r="T139" s="176">
        <f t="shared" si="30"/>
        <v>5</v>
      </c>
      <c r="U139" s="251">
        <f t="shared" si="31"/>
        <v>-0.72693507500016785</v>
      </c>
      <c r="V139" s="383">
        <f t="shared" si="32"/>
        <v>55.614055655476108</v>
      </c>
      <c r="W139" s="402"/>
      <c r="X139" s="157">
        <f t="shared" si="33"/>
        <v>43955</v>
      </c>
      <c r="Y139" s="385">
        <f t="shared" si="34"/>
        <v>52.847999999999999</v>
      </c>
      <c r="Z139" s="385">
        <f t="shared" si="35"/>
        <v>53.643500766857464</v>
      </c>
      <c r="AA139" s="386">
        <f t="shared" si="36"/>
        <v>58.759399602846329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8.7065199279896033E-2</v>
      </c>
      <c r="AD139" s="231">
        <f>(INDEX(Models!$BJ139:$BT139,,AH139)*(1-AF139)+INDEX(Models!$BJ139:$BT139,,AH139+1)*AF139-ERP_i)*AE139*Ramure*Pc/MaxiM</f>
        <v>5.4528049577945309E-5</v>
      </c>
      <c r="AE139" s="305">
        <f t="shared" si="38"/>
        <v>0.7</v>
      </c>
      <c r="AF139" s="177">
        <f t="shared" si="39"/>
        <v>0.27306492499983215</v>
      </c>
      <c r="AG139" s="810">
        <f t="shared" si="47"/>
        <v>-1</v>
      </c>
      <c r="AH139" s="176">
        <f t="shared" si="40"/>
        <v>5</v>
      </c>
      <c r="AI139" s="225">
        <f t="shared" si="41"/>
        <v>-0.72693507500016785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6">
        <v>49.932000000000002</v>
      </c>
      <c r="C140" s="390"/>
      <c r="D140" s="393">
        <f t="shared" si="24"/>
        <v>50.684786841209423</v>
      </c>
      <c r="E140" s="385">
        <f t="shared" si="45"/>
        <v>55.527254351979472</v>
      </c>
      <c r="F140" s="385">
        <f t="shared" si="25"/>
        <v>55.529775609323686</v>
      </c>
      <c r="G140" s="110">
        <f t="shared" si="46"/>
        <v>0.89558679447145384</v>
      </c>
      <c r="H140" s="414" t="b">
        <f>Wh_hp&gt;='2019'!Maxi_hp</f>
        <v>0</v>
      </c>
      <c r="I140" s="380">
        <f>IF(H140,Wh_hp,'2019'!Maxi_hp)</f>
        <v>63.468441538808548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1.4852323312867566E-2</v>
      </c>
      <c r="M140" s="844"/>
      <c r="N140" s="844"/>
      <c r="O140" s="48">
        <f>IF(t&lt;Tnet,'2019'!Resal+('2019'!Salim-'2019'!Resal)*(1-EXP(('2019'!Tnet-t)/('2019'!Tau_j))),Resal+(Salim-Resal)*(1-EXP((Tnet-t)/(Tau_j))))*Salcycl</f>
        <v>8.7208841266926865E-2</v>
      </c>
      <c r="P140" s="169">
        <f>(INDEX(Models!$BJ140:$BT140,,T140)*(1-R140)+INDEX(Models!$BJ140:$BT140,,T140+1)*R140-ERP_i)*Q140*Ramure*Pc/MaxiM</f>
        <v>5.3362852901000356E-5</v>
      </c>
      <c r="Q140" s="305">
        <f t="shared" si="27"/>
        <v>0.7</v>
      </c>
      <c r="R140" s="177">
        <f t="shared" si="28"/>
        <v>0.27558519648890523</v>
      </c>
      <c r="S140" s="810">
        <f t="shared" si="29"/>
        <v>-1</v>
      </c>
      <c r="T140" s="176">
        <f t="shared" si="30"/>
        <v>5</v>
      </c>
      <c r="U140" s="251">
        <f t="shared" si="31"/>
        <v>-0.72441480351109477</v>
      </c>
      <c r="V140" s="383">
        <f t="shared" si="32"/>
        <v>55.752946418849945</v>
      </c>
      <c r="W140" s="402"/>
      <c r="X140" s="157">
        <f t="shared" si="33"/>
        <v>43956</v>
      </c>
      <c r="Y140" s="385">
        <f t="shared" si="34"/>
        <v>49.932000000000002</v>
      </c>
      <c r="Z140" s="385">
        <f t="shared" si="35"/>
        <v>50.684786841209423</v>
      </c>
      <c r="AA140" s="386">
        <f t="shared" si="36"/>
        <v>55.527254351979472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8.7208841266926865E-2</v>
      </c>
      <c r="AD140" s="231">
        <f>(INDEX(Models!$BJ140:$BT140,,AH140)*(1-AF140)+INDEX(Models!$BJ140:$BT140,,AH140+1)*AF140-ERP_i)*AE140*Ramure*Pc/MaxiM</f>
        <v>5.3362852901000356E-5</v>
      </c>
      <c r="AE140" s="305">
        <f t="shared" si="38"/>
        <v>0.7</v>
      </c>
      <c r="AF140" s="177">
        <f t="shared" si="39"/>
        <v>0.27558519648890523</v>
      </c>
      <c r="AG140" s="810">
        <f t="shared" si="47"/>
        <v>-1</v>
      </c>
      <c r="AH140" s="176">
        <f t="shared" si="40"/>
        <v>5</v>
      </c>
      <c r="AI140" s="225">
        <f t="shared" si="41"/>
        <v>-0.72441480351109477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6">
        <v>54.076000000000001</v>
      </c>
      <c r="C141" s="390"/>
      <c r="D141" s="393">
        <f t="shared" si="24"/>
        <v>54.892540211491742</v>
      </c>
      <c r="E141" s="385">
        <f t="shared" si="45"/>
        <v>60.146553964474769</v>
      </c>
      <c r="F141" s="385">
        <f t="shared" si="25"/>
        <v>60.14956112877281</v>
      </c>
      <c r="G141" s="110">
        <f t="shared" si="46"/>
        <v>0.9676181158861501</v>
      </c>
      <c r="H141" s="414" t="b">
        <f>Wh_hp&gt;='2019'!Maxi_hp</f>
        <v>1</v>
      </c>
      <c r="I141" s="380">
        <f>IF(H141,Wh_hp,'2019'!Maxi_hp)</f>
        <v>60.14956112877281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1.4875249138512237E-2</v>
      </c>
      <c r="M141" s="844"/>
      <c r="N141" s="844"/>
      <c r="O141" s="48">
        <f>IF(t&lt;Tnet,'2019'!Resal+('2019'!Salim-'2019'!Resal)*(1-EXP(('2019'!Tnet-t)/('2019'!Tau_j))),Resal+(Salim-Resal)*(1-EXP((Tnet-t)/(Tau_j))))*Salcycl</f>
        <v>8.7353529116336107E-2</v>
      </c>
      <c r="P141" s="169">
        <f>(INDEX(Models!$BJ141:$BT141,,T141)*(1-R141)+INDEX(Models!$BJ141:$BT141,,T141+1)*R141-ERP_i)*Q141*Ramure*Pc/MaxiM</f>
        <v>5.2419526612553932E-5</v>
      </c>
      <c r="Q141" s="305">
        <f t="shared" si="27"/>
        <v>0.7</v>
      </c>
      <c r="R141" s="177">
        <f t="shared" si="28"/>
        <v>0.2781701200130271</v>
      </c>
      <c r="S141" s="810">
        <f t="shared" si="29"/>
        <v>-1</v>
      </c>
      <c r="T141" s="176">
        <f t="shared" si="30"/>
        <v>5</v>
      </c>
      <c r="U141" s="251">
        <f t="shared" si="31"/>
        <v>-0.7218298799869729</v>
      </c>
      <c r="V141" s="383">
        <f t="shared" si="32"/>
        <v>55.885548219116792</v>
      </c>
      <c r="W141" s="402"/>
      <c r="X141" s="157">
        <f t="shared" si="33"/>
        <v>43957</v>
      </c>
      <c r="Y141" s="385">
        <f t="shared" si="34"/>
        <v>54.076000000000001</v>
      </c>
      <c r="Z141" s="385">
        <f t="shared" si="35"/>
        <v>54.892540211491742</v>
      </c>
      <c r="AA141" s="386">
        <f t="shared" si="36"/>
        <v>60.146553964474769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8.7353529116336107E-2</v>
      </c>
      <c r="AD141" s="231">
        <f>(INDEX(Models!$BJ141:$BT141,,AH141)*(1-AF141)+INDEX(Models!$BJ141:$BT141,,AH141+1)*AF141-ERP_i)*AE141*Ramure*Pc/MaxiM</f>
        <v>5.2419526612553932E-5</v>
      </c>
      <c r="AE141" s="305">
        <f t="shared" si="38"/>
        <v>0.7</v>
      </c>
      <c r="AF141" s="177">
        <f t="shared" si="39"/>
        <v>0.2781701200130271</v>
      </c>
      <c r="AG141" s="810">
        <f t="shared" si="47"/>
        <v>-1</v>
      </c>
      <c r="AH141" s="176">
        <f t="shared" si="40"/>
        <v>5</v>
      </c>
      <c r="AI141" s="225">
        <f t="shared" si="41"/>
        <v>-0.7218298799869729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6">
        <v>47.332999999999998</v>
      </c>
      <c r="C142" s="390"/>
      <c r="D142" s="393">
        <f t="shared" si="24"/>
        <v>48.048839999502469</v>
      </c>
      <c r="E142" s="385">
        <f t="shared" si="45"/>
        <v>52.656218788589491</v>
      </c>
      <c r="F142" s="385">
        <f t="shared" si="25"/>
        <v>52.65833855196081</v>
      </c>
      <c r="G142" s="110">
        <f t="shared" si="46"/>
        <v>0.84504045230622182</v>
      </c>
      <c r="H142" s="414" t="b">
        <f>Wh_hp&gt;='2019'!Maxi_hp</f>
        <v>1</v>
      </c>
      <c r="I142" s="380">
        <f>IF(H142,Wh_hp,'2019'!Maxi_hp)</f>
        <v>52.65833855196081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1.4898174430639344E-2</v>
      </c>
      <c r="M142" s="844"/>
      <c r="N142" s="844"/>
      <c r="O142" s="48">
        <f>IF(t&lt;Tnet,'2019'!Resal+('2019'!Salim-'2019'!Resal)*(1-EXP(('2019'!Tnet-t)/('2019'!Tau_j))),Resal+(Salim-Resal)*(1-EXP((Tnet-t)/(Tau_j))))*Salcycl</f>
        <v>8.7499233615411676E-2</v>
      </c>
      <c r="P142" s="169">
        <f>(INDEX(Models!$BJ142:$BT142,,T142)*(1-R142)+INDEX(Models!$BJ142:$BT142,,T142+1)*R142-ERP_i)*Q142*Ramure*Pc/MaxiM</f>
        <v>5.1698962630011319E-5</v>
      </c>
      <c r="Q142" s="305">
        <f t="shared" si="27"/>
        <v>0.7</v>
      </c>
      <c r="R142" s="177">
        <f t="shared" si="28"/>
        <v>0.28081994865153348</v>
      </c>
      <c r="S142" s="810">
        <f t="shared" si="29"/>
        <v>-1</v>
      </c>
      <c r="T142" s="176">
        <f t="shared" si="30"/>
        <v>5</v>
      </c>
      <c r="U142" s="251">
        <f t="shared" si="31"/>
        <v>-0.71918005134846652</v>
      </c>
      <c r="V142" s="383">
        <f t="shared" si="32"/>
        <v>56.012062113346133</v>
      </c>
      <c r="W142" s="402"/>
      <c r="X142" s="157">
        <f t="shared" si="33"/>
        <v>43958</v>
      </c>
      <c r="Y142" s="385">
        <f t="shared" si="34"/>
        <v>47.332999999999998</v>
      </c>
      <c r="Z142" s="385">
        <f t="shared" si="35"/>
        <v>48.048839999502469</v>
      </c>
      <c r="AA142" s="386">
        <f t="shared" si="36"/>
        <v>52.656218788589491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8.7499233615411676E-2</v>
      </c>
      <c r="AD142" s="231">
        <f>(INDEX(Models!$BJ142:$BT142,,AH142)*(1-AF142)+INDEX(Models!$BJ142:$BT142,,AH142+1)*AF142-ERP_i)*AE142*Ramure*Pc/MaxiM</f>
        <v>5.1698962630011319E-5</v>
      </c>
      <c r="AE142" s="305">
        <f t="shared" si="38"/>
        <v>0.7</v>
      </c>
      <c r="AF142" s="177">
        <f t="shared" si="39"/>
        <v>0.28081994865153348</v>
      </c>
      <c r="AG142" s="810">
        <f t="shared" si="47"/>
        <v>-1</v>
      </c>
      <c r="AH142" s="176">
        <f t="shared" si="40"/>
        <v>5</v>
      </c>
      <c r="AI142" s="225">
        <f t="shared" si="41"/>
        <v>-0.71918005134846652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6">
        <v>49.292999999999999</v>
      </c>
      <c r="C143" s="390"/>
      <c r="D143" s="393">
        <f t="shared" ref="D143:D206" si="48">Wh/(1-Ppv)</f>
        <v>50.039646529258654</v>
      </c>
      <c r="E143" s="385">
        <f t="shared" si="45"/>
        <v>54.846739620989482</v>
      </c>
      <c r="F143" s="385">
        <f t="shared" ref="F143:F206" si="49">Wh_sa/(1-Pvg*MEDIAN((-Sdif+Wh/Env_an)/Csdif,0,1))</f>
        <v>54.849052148485967</v>
      </c>
      <c r="G143" s="110">
        <f t="shared" si="46"/>
        <v>0.8781434667485708</v>
      </c>
      <c r="H143" s="414" t="b">
        <f>Wh_hp&gt;='2019'!Maxi_hp</f>
        <v>1</v>
      </c>
      <c r="I143" s="380">
        <f>IF(H143,Wh_hp,'2019'!Maxi_hp)</f>
        <v>54.849052148485967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1.4921099189261544E-2</v>
      </c>
      <c r="M143" s="844"/>
      <c r="N143" s="844"/>
      <c r="O143" s="48">
        <f>IF(t&lt;Tnet,'2019'!Resal+('2019'!Salim-'2019'!Resal)*(1-EXP(('2019'!Tnet-t)/('2019'!Tau_j))),Resal+(Salim-Resal)*(1-EXP((Tnet-t)/(Tau_j))))*Salcycl</f>
        <v>8.7645922527930659E-2</v>
      </c>
      <c r="P143" s="169">
        <f>(INDEX(Models!$BJ143:$BT143,,T143)*(1-R143)+INDEX(Models!$BJ143:$BT143,,T143+1)*R143-ERP_i)*Q143*Ramure*Pc/MaxiM</f>
        <v>5.1047483134558328E-5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0.28353483602540985</v>
      </c>
      <c r="S143" s="810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-0.71646516397459015</v>
      </c>
      <c r="V143" s="383">
        <f t="shared" ref="V143:V206" si="56">MaxiM*(1-Ppv)*(1-Pvg)*(1-Psa)</f>
        <v>56.132697946875204</v>
      </c>
      <c r="W143" s="402"/>
      <c r="X143" s="157">
        <f t="shared" ref="X143:X206" si="57">t</f>
        <v>43959</v>
      </c>
      <c r="Y143" s="385">
        <f t="shared" ref="Y143:Y206" si="58">Wh_pvt_s*(1-Ppv)</f>
        <v>49.292999999999999</v>
      </c>
      <c r="Z143" s="385">
        <f t="shared" ref="Z143:Z206" si="59">Wh_sa_s*(1-Psa_s)</f>
        <v>50.039646529258654</v>
      </c>
      <c r="AA143" s="386">
        <f t="shared" ref="AA143:AA206" si="60">Wh_hp*(1-Pvg_s*MEDIAN((-Sdif+Wh/Env_an)/Csdif,0,1))</f>
        <v>54.846739620989482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8.7645922527930659E-2</v>
      </c>
      <c r="AD143" s="231">
        <f>(INDEX(Models!$BJ143:$BT143,,AH143)*(1-AF143)+INDEX(Models!$BJ143:$BT143,,AH143+1)*AF143-ERP_i)*AE143*Ramure*Pc/MaxiM</f>
        <v>5.1047483134558328E-5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0.28353483602540985</v>
      </c>
      <c r="AG143" s="810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-0.71646516397459015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47.188000000000002</v>
      </c>
      <c r="C144" s="390"/>
      <c r="D144" s="393">
        <f t="shared" si="48"/>
        <v>47.903876654362904</v>
      </c>
      <c r="E144" s="385">
        <f t="shared" ref="E144:E169" si="69">Wh_pvt/(1-Psa)</f>
        <v>52.514293457820564</v>
      </c>
      <c r="F144" s="385">
        <f t="shared" si="49"/>
        <v>52.51633388230136</v>
      </c>
      <c r="G144" s="110">
        <f t="shared" ref="G144:G169" si="70">+Wh_hp/MaxiM</f>
        <v>0.83892297869952082</v>
      </c>
      <c r="H144" s="414" t="b">
        <f>Wh_hp&gt;='2019'!Maxi_hp</f>
        <v>1</v>
      </c>
      <c r="I144" s="380">
        <f>IF(H144,Wh_hp,'2019'!Maxi_hp)</f>
        <v>52.51633388230136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1.494402341439105E-2</v>
      </c>
      <c r="M144" s="844"/>
      <c r="N144" s="844"/>
      <c r="O144" s="48">
        <f>IF(t&lt;Tnet,'2019'!Resal+('2019'!Salim-'2019'!Resal)*(1-EXP(('2019'!Tnet-t)/('2019'!Tau_j))),Resal+(Salim-Resal)*(1-EXP((Tnet-t)/(Tau_j))))*Salcycl</f>
        <v>8.7793560569576032E-2</v>
      </c>
      <c r="P144" s="169">
        <f>(INDEX(Models!$BJ144:$BT144,,T144)*(1-R144)+INDEX(Models!$BJ144:$BT144,,T144+1)*R144-ERP_i)*Q144*Ramure*Pc/MaxiM</f>
        <v>5.046492274513512E-5</v>
      </c>
      <c r="Q144" s="305">
        <f t="shared" si="51"/>
        <v>0.7</v>
      </c>
      <c r="R144" s="177">
        <f t="shared" si="52"/>
        <v>0.28631483086278442</v>
      </c>
      <c r="S144" s="810">
        <f t="shared" si="53"/>
        <v>-1</v>
      </c>
      <c r="T144" s="176">
        <f t="shared" si="54"/>
        <v>5</v>
      </c>
      <c r="U144" s="251">
        <f t="shared" si="55"/>
        <v>-0.71368516913721558</v>
      </c>
      <c r="V144" s="383">
        <f t="shared" si="56"/>
        <v>56.247657103232754</v>
      </c>
      <c r="W144" s="402"/>
      <c r="X144" s="157">
        <f t="shared" si="57"/>
        <v>43960</v>
      </c>
      <c r="Y144" s="385">
        <f t="shared" si="58"/>
        <v>47.188000000000002</v>
      </c>
      <c r="Z144" s="385">
        <f t="shared" si="59"/>
        <v>47.903876654362904</v>
      </c>
      <c r="AA144" s="386">
        <f t="shared" si="60"/>
        <v>52.514293457820564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8.7793560569576032E-2</v>
      </c>
      <c r="AD144" s="231">
        <f>(INDEX(Models!$BJ144:$BT144,,AH144)*(1-AF144)+INDEX(Models!$BJ144:$BT144,,AH144+1)*AF144-ERP_i)*AE144*Ramure*Pc/MaxiM</f>
        <v>5.046492274513512E-5</v>
      </c>
      <c r="AE144" s="305">
        <f t="shared" si="62"/>
        <v>0.7</v>
      </c>
      <c r="AF144" s="177">
        <f t="shared" si="63"/>
        <v>0.28631483086278442</v>
      </c>
      <c r="AG144" s="810">
        <f t="shared" ref="AG144:AG207" si="71">INDEX(Echel_vg,AH144)</f>
        <v>-1</v>
      </c>
      <c r="AH144" s="176">
        <f t="shared" si="64"/>
        <v>5</v>
      </c>
      <c r="AI144" s="225">
        <f t="shared" si="65"/>
        <v>-0.71368516913721558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6">
        <v>11.423999999999999</v>
      </c>
      <c r="C145" s="390"/>
      <c r="D145" s="393">
        <f t="shared" si="48"/>
        <v>11.597580371985558</v>
      </c>
      <c r="E145" s="385">
        <f t="shared" si="69"/>
        <v>12.715837987319533</v>
      </c>
      <c r="F145" s="385">
        <f t="shared" si="49"/>
        <v>12.715837987319533</v>
      </c>
      <c r="G145" s="110">
        <f t="shared" si="70"/>
        <v>0.20269710530409912</v>
      </c>
      <c r="H145" s="414" t="b">
        <f>Wh_hp&gt;='2019'!Maxi_hp</f>
        <v>0</v>
      </c>
      <c r="I145" s="380">
        <f>IF(H145,Wh_hp,'2019'!Maxi_hp)</f>
        <v>37.782558108883215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1.4966947106040296E-2</v>
      </c>
      <c r="M145" s="844"/>
      <c r="N145" s="844"/>
      <c r="O145" s="48">
        <f>IF(t&lt;Tnet,'2019'!Resal+('2019'!Salim-'2019'!Resal)*(1-EXP(('2019'!Tnet-t)/('2019'!Tau_j))),Resal+(Salim-Resal)*(1-EXP((Tnet-t)/(Tau_j))))*Salcycl</f>
        <v>8.7942109395316506E-2</v>
      </c>
      <c r="P145" s="169">
        <f>(INDEX(Models!$BJ145:$BT145,,T145)*(1-R145)+INDEX(Models!$BJ145:$BT145,,T145+1)*R145-ERP_i)*Q145*Ramure*Pc/MaxiM</f>
        <v>4.9951218621823529E-5</v>
      </c>
      <c r="Q145" s="305">
        <f t="shared" si="51"/>
        <v>0.7</v>
      </c>
      <c r="R145" s="177">
        <f t="shared" si="52"/>
        <v>0.28915987170947577</v>
      </c>
      <c r="S145" s="810">
        <f t="shared" si="53"/>
        <v>-1</v>
      </c>
      <c r="T145" s="176">
        <f t="shared" si="54"/>
        <v>5</v>
      </c>
      <c r="U145" s="251">
        <f t="shared" si="55"/>
        <v>-0.71084012829052423</v>
      </c>
      <c r="V145" s="383">
        <f t="shared" si="56"/>
        <v>56.357141065928417</v>
      </c>
      <c r="W145" s="402"/>
      <c r="X145" s="157">
        <f t="shared" si="57"/>
        <v>43961</v>
      </c>
      <c r="Y145" s="385">
        <f t="shared" si="58"/>
        <v>11.423999999999999</v>
      </c>
      <c r="Z145" s="385">
        <f t="shared" si="59"/>
        <v>11.597580371985558</v>
      </c>
      <c r="AA145" s="386">
        <f t="shared" si="60"/>
        <v>12.715837987319533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8.7942109395316506E-2</v>
      </c>
      <c r="AD145" s="231">
        <f>(INDEX(Models!$BJ145:$BT145,,AH145)*(1-AF145)+INDEX(Models!$BJ145:$BT145,,AH145+1)*AF145-ERP_i)*AE145*Ramure*Pc/MaxiM</f>
        <v>4.9951218621823529E-5</v>
      </c>
      <c r="AE145" s="305">
        <f t="shared" si="62"/>
        <v>0.7</v>
      </c>
      <c r="AF145" s="177">
        <f t="shared" si="63"/>
        <v>0.28915987170947577</v>
      </c>
      <c r="AG145" s="810">
        <f t="shared" si="71"/>
        <v>-1</v>
      </c>
      <c r="AH145" s="176">
        <f t="shared" si="64"/>
        <v>5</v>
      </c>
      <c r="AI145" s="225">
        <f t="shared" si="65"/>
        <v>-0.71084012829052423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6">
        <v>8.2460000000000004</v>
      </c>
      <c r="C146" s="390"/>
      <c r="D146" s="393">
        <f t="shared" si="48"/>
        <v>8.3714875117192253</v>
      </c>
      <c r="E146" s="385">
        <f t="shared" si="69"/>
        <v>9.1801839385085202</v>
      </c>
      <c r="F146" s="385">
        <f t="shared" si="49"/>
        <v>9.1801839385085202</v>
      </c>
      <c r="G146" s="110">
        <f t="shared" si="70"/>
        <v>0.14603957511709836</v>
      </c>
      <c r="H146" s="414" t="b">
        <f>Wh_hp&gt;='2019'!Maxi_hp</f>
        <v>0</v>
      </c>
      <c r="I146" s="380">
        <f>IF(H146,Wh_hp,'2019'!Maxi_hp)</f>
        <v>59.107632705662361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1.4989870264221827E-2</v>
      </c>
      <c r="M146" s="844"/>
      <c r="N146" s="844"/>
      <c r="O146" s="48">
        <f>IF(t&lt;Tnet,'2019'!Resal+('2019'!Salim-'2019'!Resal)*(1-EXP(('2019'!Tnet-t)/('2019'!Tau_j))),Resal+(Salim-Resal)*(1-EXP((Tnet-t)/(Tau_j))))*Salcycl</f>
        <v>8.8091527599683528E-2</v>
      </c>
      <c r="P146" s="169">
        <f>(INDEX(Models!$BJ146:$BT146,,T146)*(1-R146)+INDEX(Models!$BJ146:$BT146,,T146+1)*R146-ERP_i)*Q146*Ramure*Pc/MaxiM</f>
        <v>4.9506406738852705E-5</v>
      </c>
      <c r="Q146" s="305">
        <f t="shared" si="51"/>
        <v>0.7</v>
      </c>
      <c r="R146" s="177">
        <f t="shared" si="52"/>
        <v>0.29206978182773879</v>
      </c>
      <c r="S146" s="810">
        <f t="shared" si="53"/>
        <v>-1</v>
      </c>
      <c r="T146" s="176">
        <f t="shared" si="54"/>
        <v>5</v>
      </c>
      <c r="U146" s="251">
        <f t="shared" si="55"/>
        <v>-0.70793021817226121</v>
      </c>
      <c r="V146" s="383">
        <f t="shared" si="56"/>
        <v>56.461351408058412</v>
      </c>
      <c r="W146" s="402"/>
      <c r="X146" s="157">
        <f t="shared" si="57"/>
        <v>43962</v>
      </c>
      <c r="Y146" s="385">
        <f t="shared" si="58"/>
        <v>8.2460000000000004</v>
      </c>
      <c r="Z146" s="385">
        <f t="shared" si="59"/>
        <v>8.3714875117192253</v>
      </c>
      <c r="AA146" s="386">
        <f t="shared" si="60"/>
        <v>9.1801839385085202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8.8091527599683528E-2</v>
      </c>
      <c r="AD146" s="231">
        <f>(INDEX(Models!$BJ146:$BT146,,AH146)*(1-AF146)+INDEX(Models!$BJ146:$BT146,,AH146+1)*AF146-ERP_i)*AE146*Ramure*Pc/MaxiM</f>
        <v>4.9506406738852705E-5</v>
      </c>
      <c r="AE146" s="305">
        <f t="shared" si="62"/>
        <v>0.7</v>
      </c>
      <c r="AF146" s="177">
        <f t="shared" si="63"/>
        <v>0.29206978182773879</v>
      </c>
      <c r="AG146" s="810">
        <f t="shared" si="71"/>
        <v>-1</v>
      </c>
      <c r="AH146" s="176">
        <f t="shared" si="64"/>
        <v>5</v>
      </c>
      <c r="AI146" s="225">
        <f t="shared" si="65"/>
        <v>-0.70793021817226121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6">
        <v>19.718</v>
      </c>
      <c r="C147" s="390"/>
      <c r="D147" s="393">
        <f t="shared" si="48"/>
        <v>20.018534106480939</v>
      </c>
      <c r="E147" s="385">
        <f t="shared" si="69"/>
        <v>21.955967562285306</v>
      </c>
      <c r="F147" s="385">
        <f t="shared" si="49"/>
        <v>21.956042483459747</v>
      </c>
      <c r="G147" s="110">
        <f t="shared" si="70"/>
        <v>0.34860197630258039</v>
      </c>
      <c r="H147" s="414" t="b">
        <f>Wh_hp&gt;='2019'!Maxi_hp</f>
        <v>0</v>
      </c>
      <c r="I147" s="380">
        <f>IF(H147,Wh_hp,'2019'!Maxi_hp)</f>
        <v>65.445503800800012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1.5012792888947968E-2</v>
      </c>
      <c r="M147" s="844"/>
      <c r="N147" s="844"/>
      <c r="O147" s="48">
        <f>IF(t&lt;Tnet,'2019'!Resal+('2019'!Salim-'2019'!Resal)*(1-EXP(('2019'!Tnet-t)/('2019'!Tau_j))),Resal+(Salim-Resal)*(1-EXP((Tnet-t)/(Tau_j))))*Salcycl</f>
        <v>8.8241770730813809E-2</v>
      </c>
      <c r="P147" s="169">
        <f>(INDEX(Models!$BJ147:$BT147,,T147)*(1-R147)+INDEX(Models!$BJ147:$BT147,,T147+1)*R147-ERP_i)*Q147*Ramure*Pc/MaxiM</f>
        <v>4.9130618110086849E-5</v>
      </c>
      <c r="Q147" s="305">
        <f t="shared" si="51"/>
        <v>0.7</v>
      </c>
      <c r="R147" s="177">
        <f t="shared" si="52"/>
        <v>0.29504426432810049</v>
      </c>
      <c r="S147" s="810">
        <f t="shared" si="53"/>
        <v>-1</v>
      </c>
      <c r="T147" s="176">
        <f t="shared" si="54"/>
        <v>5</v>
      </c>
      <c r="U147" s="251">
        <f t="shared" si="55"/>
        <v>-0.70495573567189951</v>
      </c>
      <c r="V147" s="383">
        <f t="shared" si="56"/>
        <v>56.560489796322287</v>
      </c>
      <c r="W147" s="402"/>
      <c r="X147" s="157">
        <f t="shared" si="57"/>
        <v>43963</v>
      </c>
      <c r="Y147" s="385">
        <f t="shared" si="58"/>
        <v>19.718</v>
      </c>
      <c r="Z147" s="385">
        <f t="shared" si="59"/>
        <v>20.018534106480939</v>
      </c>
      <c r="AA147" s="386">
        <f t="shared" si="60"/>
        <v>21.955967562285306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8.8241770730813809E-2</v>
      </c>
      <c r="AD147" s="231">
        <f>(INDEX(Models!$BJ147:$BT147,,AH147)*(1-AF147)+INDEX(Models!$BJ147:$BT147,,AH147+1)*AF147-ERP_i)*AE147*Ramure*Pc/MaxiM</f>
        <v>4.9130618110086849E-5</v>
      </c>
      <c r="AE147" s="305">
        <f t="shared" si="62"/>
        <v>0.7</v>
      </c>
      <c r="AF147" s="177">
        <f t="shared" si="63"/>
        <v>0.29504426432810049</v>
      </c>
      <c r="AG147" s="810">
        <f t="shared" si="71"/>
        <v>-1</v>
      </c>
      <c r="AH147" s="176">
        <f t="shared" si="64"/>
        <v>5</v>
      </c>
      <c r="AI147" s="225">
        <f t="shared" si="65"/>
        <v>-0.70495573567189951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6">
        <v>30.373000000000001</v>
      </c>
      <c r="C148" s="390"/>
      <c r="D148" s="393">
        <f t="shared" si="48"/>
        <v>30.836651096836874</v>
      </c>
      <c r="E148" s="385">
        <f t="shared" si="69"/>
        <v>33.826686321903821</v>
      </c>
      <c r="F148" s="385">
        <f t="shared" si="49"/>
        <v>33.827243393550241</v>
      </c>
      <c r="G148" s="110">
        <f t="shared" si="70"/>
        <v>0.53608943572660972</v>
      </c>
      <c r="H148" s="414" t="b">
        <f>Wh_hp&gt;='2019'!Maxi_hp</f>
        <v>0</v>
      </c>
      <c r="I148" s="380">
        <f>IF(H148,Wh_hp,'2019'!Maxi_hp)</f>
        <v>63.25386320981476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1.5035714980231152E-2</v>
      </c>
      <c r="M148" s="844"/>
      <c r="N148" s="844"/>
      <c r="O148" s="48">
        <f>IF(t&lt;Tnet,'2019'!Resal+('2019'!Salim-'2019'!Resal)*(1-EXP(('2019'!Tnet-t)/('2019'!Tau_j))),Resal+(Salim-Resal)*(1-EXP((Tnet-t)/(Tau_j))))*Salcycl</f>
        <v>8.8392791319048231E-2</v>
      </c>
      <c r="P148" s="169">
        <f>(INDEX(Models!$BJ148:$BT148,,T148)*(1-R148)+INDEX(Models!$BJ148:$BT148,,T148+1)*R148-ERP_i)*Q148*Ramure*Pc/MaxiM</f>
        <v>4.8824074960682246E-5</v>
      </c>
      <c r="Q148" s="305">
        <f t="shared" si="51"/>
        <v>0.7</v>
      </c>
      <c r="R148" s="177">
        <f t="shared" si="52"/>
        <v>0.29808289758058237</v>
      </c>
      <c r="S148" s="810">
        <f t="shared" si="53"/>
        <v>-1</v>
      </c>
      <c r="T148" s="176">
        <f t="shared" si="54"/>
        <v>5</v>
      </c>
      <c r="U148" s="251">
        <f t="shared" si="55"/>
        <v>-0.70191710241941763</v>
      </c>
      <c r="V148" s="383">
        <f t="shared" si="56"/>
        <v>56.654757980293546</v>
      </c>
      <c r="W148" s="402"/>
      <c r="X148" s="157">
        <f t="shared" si="57"/>
        <v>43964</v>
      </c>
      <c r="Y148" s="385">
        <f t="shared" si="58"/>
        <v>30.373000000000001</v>
      </c>
      <c r="Z148" s="385">
        <f t="shared" si="59"/>
        <v>30.836651096836874</v>
      </c>
      <c r="AA148" s="386">
        <f t="shared" si="60"/>
        <v>33.826686321903821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8.8392791319048231E-2</v>
      </c>
      <c r="AD148" s="231">
        <f>(INDEX(Models!$BJ148:$BT148,,AH148)*(1-AF148)+INDEX(Models!$BJ148:$BT148,,AH148+1)*AF148-ERP_i)*AE148*Ramure*Pc/MaxiM</f>
        <v>4.8824074960682246E-5</v>
      </c>
      <c r="AE148" s="305">
        <f t="shared" si="62"/>
        <v>0.7</v>
      </c>
      <c r="AF148" s="177">
        <f t="shared" si="63"/>
        <v>0.29808289758058237</v>
      </c>
      <c r="AG148" s="810">
        <f t="shared" si="71"/>
        <v>-1</v>
      </c>
      <c r="AH148" s="176">
        <f t="shared" si="64"/>
        <v>5</v>
      </c>
      <c r="AI148" s="225">
        <f t="shared" si="65"/>
        <v>-0.70191710241941763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6">
        <v>19.288</v>
      </c>
      <c r="C149" s="390"/>
      <c r="D149" s="393">
        <f t="shared" si="48"/>
        <v>19.582891647687198</v>
      </c>
      <c r="E149" s="385">
        <f t="shared" si="69"/>
        <v>21.485297399502173</v>
      </c>
      <c r="F149" s="385">
        <f t="shared" si="49"/>
        <v>21.485356929269845</v>
      </c>
      <c r="G149" s="110">
        <f t="shared" si="70"/>
        <v>0.33990163378663929</v>
      </c>
      <c r="H149" s="414" t="b">
        <f>Wh_hp&gt;='2019'!Maxi_hp</f>
        <v>0</v>
      </c>
      <c r="I149" s="380">
        <f>IF(H149,Wh_hp,'2019'!Maxi_hp)</f>
        <v>64.201306106001624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1.5058636538083814E-2</v>
      </c>
      <c r="M149" s="844"/>
      <c r="N149" s="844"/>
      <c r="O149" s="48">
        <f>IF(t&lt;Tnet,'2019'!Resal+('2019'!Salim-'2019'!Resal)*(1-EXP(('2019'!Tnet-t)/('2019'!Tau_j))),Resal+(Salim-Resal)*(1-EXP((Tnet-t)/(Tau_j))))*Salcycl</f>
        <v>8.8544538920790283E-2</v>
      </c>
      <c r="P149" s="169">
        <f>(INDEX(Models!$BJ149:$BT149,,T149)*(1-R149)+INDEX(Models!$BJ149:$BT149,,T149+1)*R149-ERP_i)*Q149*Ramure*Pc/MaxiM</f>
        <v>4.8588053212978867E-5</v>
      </c>
      <c r="Q149" s="305">
        <f t="shared" si="51"/>
        <v>0.7</v>
      </c>
      <c r="R149" s="177">
        <f t="shared" si="52"/>
        <v>0.30118513095261412</v>
      </c>
      <c r="S149" s="810">
        <f t="shared" si="53"/>
        <v>-1</v>
      </c>
      <c r="T149" s="176">
        <f t="shared" si="54"/>
        <v>5</v>
      </c>
      <c r="U149" s="251">
        <f t="shared" si="55"/>
        <v>-0.69881486904738588</v>
      </c>
      <c r="V149" s="383">
        <f t="shared" si="56"/>
        <v>56.743229086121715</v>
      </c>
      <c r="W149" s="402"/>
      <c r="X149" s="157">
        <f t="shared" si="57"/>
        <v>43965</v>
      </c>
      <c r="Y149" s="385">
        <f t="shared" si="58"/>
        <v>19.288</v>
      </c>
      <c r="Z149" s="385">
        <f t="shared" si="59"/>
        <v>19.582891647687198</v>
      </c>
      <c r="AA149" s="386">
        <f t="shared" si="60"/>
        <v>21.485297399502173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8.8544538920790283E-2</v>
      </c>
      <c r="AD149" s="231">
        <f>(INDEX(Models!$BJ149:$BT149,,AH149)*(1-AF149)+INDEX(Models!$BJ149:$BT149,,AH149+1)*AF149-ERP_i)*AE149*Ramure*Pc/MaxiM</f>
        <v>4.8588053212978867E-5</v>
      </c>
      <c r="AE149" s="305">
        <f t="shared" si="62"/>
        <v>0.7</v>
      </c>
      <c r="AF149" s="177">
        <f t="shared" si="63"/>
        <v>0.30118513095261412</v>
      </c>
      <c r="AG149" s="810">
        <f t="shared" si="71"/>
        <v>-1</v>
      </c>
      <c r="AH149" s="176">
        <f t="shared" si="64"/>
        <v>5</v>
      </c>
      <c r="AI149" s="225">
        <f t="shared" si="65"/>
        <v>-0.69881486904738588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6">
        <v>15.422000000000001</v>
      </c>
      <c r="C150" s="390"/>
      <c r="D150" s="393">
        <f t="shared" si="48"/>
        <v>15.658149279684061</v>
      </c>
      <c r="E150" s="385">
        <f t="shared" si="69"/>
        <v>17.182154119387498</v>
      </c>
      <c r="F150" s="385">
        <f t="shared" si="49"/>
        <v>17.182154119387498</v>
      </c>
      <c r="G150" s="110">
        <f t="shared" si="70"/>
        <v>0.27138128726609689</v>
      </c>
      <c r="H150" s="414" t="b">
        <f>Wh_hp&gt;='2019'!Maxi_hp</f>
        <v>0</v>
      </c>
      <c r="I150" s="380">
        <f>IF(H150,Wh_hp,'2019'!Maxi_hp)</f>
        <v>54.266250019129309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1.5081557562518277E-2</v>
      </c>
      <c r="M150" s="844"/>
      <c r="N150" s="844"/>
      <c r="O150" s="48">
        <f>IF(t&lt;Tnet,'2019'!Resal+('2019'!Salim-'2019'!Resal)*(1-EXP(('2019'!Tnet-t)/('2019'!Tau_j))),Resal+(Salim-Resal)*(1-EXP((Tnet-t)/(Tau_j))))*Salcycl</f>
        <v>8.8696960178225065E-2</v>
      </c>
      <c r="P150" s="169">
        <f>(INDEX(Models!$BJ150:$BT150,,T150)*(1-R150)+INDEX(Models!$BJ150:$BT150,,T150+1)*R150-ERP_i)*Q150*Ramure*Pc/MaxiM</f>
        <v>4.8468833681560903E-5</v>
      </c>
      <c r="Q150" s="305">
        <f t="shared" si="51"/>
        <v>0.7</v>
      </c>
      <c r="R150" s="177">
        <f t="shared" si="52"/>
        <v>0.30435028092151495</v>
      </c>
      <c r="S150" s="810">
        <f t="shared" si="53"/>
        <v>-1</v>
      </c>
      <c r="T150" s="176">
        <f t="shared" si="54"/>
        <v>5</v>
      </c>
      <c r="U150" s="251">
        <f t="shared" si="55"/>
        <v>-0.69564971907848505</v>
      </c>
      <c r="V150" s="383">
        <f t="shared" si="56"/>
        <v>56.825040035004314</v>
      </c>
      <c r="W150" s="402"/>
      <c r="X150" s="157">
        <f t="shared" si="57"/>
        <v>43966</v>
      </c>
      <c r="Y150" s="385">
        <f t="shared" si="58"/>
        <v>15.421999999999999</v>
      </c>
      <c r="Z150" s="385">
        <f t="shared" si="59"/>
        <v>15.658149279684059</v>
      </c>
      <c r="AA150" s="386">
        <f t="shared" si="60"/>
        <v>17.182154119387498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8.8696960178225065E-2</v>
      </c>
      <c r="AD150" s="231">
        <f>(INDEX(Models!$BJ150:$BT150,,AH150)*(1-AF150)+INDEX(Models!$BJ150:$BT150,,AH150+1)*AF150-ERP_i)*AE150*Ramure*Pc/MaxiM</f>
        <v>4.8468833681560903E-5</v>
      </c>
      <c r="AE150" s="305">
        <f t="shared" si="62"/>
        <v>0.7</v>
      </c>
      <c r="AF150" s="177">
        <f t="shared" si="63"/>
        <v>0.30435028092151495</v>
      </c>
      <c r="AG150" s="810">
        <f t="shared" si="71"/>
        <v>-1</v>
      </c>
      <c r="AH150" s="176">
        <f t="shared" si="64"/>
        <v>5</v>
      </c>
      <c r="AI150" s="225">
        <f t="shared" si="65"/>
        <v>-0.69564971907848505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6">
        <v>35.691000000000003</v>
      </c>
      <c r="C151" s="390"/>
      <c r="D151" s="393">
        <f t="shared" si="48"/>
        <v>36.238361536524941</v>
      </c>
      <c r="E151" s="385">
        <f t="shared" si="69"/>
        <v>39.772113804085215</v>
      </c>
      <c r="F151" s="385">
        <f t="shared" si="49"/>
        <v>39.773013628857086</v>
      </c>
      <c r="G151" s="110">
        <f t="shared" si="70"/>
        <v>0.62723671217011145</v>
      </c>
      <c r="H151" s="414" t="b">
        <f>Wh_hp&gt;='2019'!Maxi_hp</f>
        <v>1</v>
      </c>
      <c r="I151" s="380">
        <f>IF(H151,Wh_hp,'2019'!Maxi_hp)</f>
        <v>39.773013628857086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1.5104478053546977E-2</v>
      </c>
      <c r="M151" s="844"/>
      <c r="N151" s="844"/>
      <c r="O151" s="48">
        <f>IF(t&lt;Tnet,'2019'!Resal+('2019'!Salim-'2019'!Resal)*(1-EXP(('2019'!Tnet-t)/('2019'!Tau_j))),Resal+(Salim-Resal)*(1-EXP((Tnet-t)/(Tau_j))))*Salcycl</f>
        <v>8.884999889538947E-2</v>
      </c>
      <c r="P151" s="169">
        <f>(INDEX(Models!$BJ151:$BT151,,T151)*(1-R151)+INDEX(Models!$BJ151:$BT151,,T151+1)*R151-ERP_i)*Q151*Ramure*Pc/MaxiM</f>
        <v>4.8393163541377085E-5</v>
      </c>
      <c r="Q151" s="305">
        <f t="shared" si="51"/>
        <v>0.7</v>
      </c>
      <c r="R151" s="177">
        <f t="shared" si="52"/>
        <v>0.30757752760949408</v>
      </c>
      <c r="S151" s="810">
        <f t="shared" si="53"/>
        <v>-1</v>
      </c>
      <c r="T151" s="176">
        <f t="shared" si="54"/>
        <v>5</v>
      </c>
      <c r="U151" s="251">
        <f t="shared" si="55"/>
        <v>-0.69242247239050592</v>
      </c>
      <c r="V151" s="383">
        <f t="shared" si="56"/>
        <v>56.900496351043181</v>
      </c>
      <c r="W151" s="402"/>
      <c r="X151" s="157">
        <f t="shared" si="57"/>
        <v>43967</v>
      </c>
      <c r="Y151" s="385">
        <f t="shared" si="58"/>
        <v>35.691000000000003</v>
      </c>
      <c r="Z151" s="385">
        <f t="shared" si="59"/>
        <v>36.238361536524941</v>
      </c>
      <c r="AA151" s="386">
        <f t="shared" si="60"/>
        <v>39.772113804085215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8.884999889538947E-2</v>
      </c>
      <c r="AD151" s="231">
        <f>(INDEX(Models!$BJ151:$BT151,,AH151)*(1-AF151)+INDEX(Models!$BJ151:$BT151,,AH151+1)*AF151-ERP_i)*AE151*Ramure*Pc/MaxiM</f>
        <v>4.8393163541377085E-5</v>
      </c>
      <c r="AE151" s="305">
        <f t="shared" si="62"/>
        <v>0.7</v>
      </c>
      <c r="AF151" s="177">
        <f t="shared" si="63"/>
        <v>0.30757752760949408</v>
      </c>
      <c r="AG151" s="810">
        <f t="shared" si="71"/>
        <v>-1</v>
      </c>
      <c r="AH151" s="176">
        <f t="shared" si="64"/>
        <v>5</v>
      </c>
      <c r="AI151" s="225">
        <f t="shared" si="65"/>
        <v>-0.69242247239050592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6">
        <v>59.290999999999997</v>
      </c>
      <c r="C152" s="390"/>
      <c r="D152" s="393">
        <f t="shared" si="48"/>
        <v>60.201695001231435</v>
      </c>
      <c r="E152" s="385">
        <f t="shared" si="69"/>
        <v>66.083350873343278</v>
      </c>
      <c r="F152" s="385">
        <f t="shared" si="49"/>
        <v>66.086546918529152</v>
      </c>
      <c r="G152" s="110">
        <f t="shared" si="70"/>
        <v>1.0407425789973601</v>
      </c>
      <c r="H152" s="414" t="b">
        <f>Wh_hp&gt;='2019'!Maxi_hp</f>
        <v>1</v>
      </c>
      <c r="I152" s="380">
        <f>IF(H152,Wh_hp,'2019'!Maxi_hp)</f>
        <v>66.086546918529152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1.5127398011182458E-2</v>
      </c>
      <c r="M152" s="844"/>
      <c r="N152" s="844"/>
      <c r="O152" s="48">
        <f>IF(t&lt;Tnet,'2019'!Resal+('2019'!Salim-'2019'!Resal)*(1-EXP(('2019'!Tnet-t)/('2019'!Tau_j))),Resal+(Salim-Resal)*(1-EXP((Tnet-t)/(Tau_j))))*Salcycl</f>
        <v>8.9003596130964049E-2</v>
      </c>
      <c r="P152" s="169">
        <f>(INDEX(Models!$BJ152:$BT152,,T152)*(1-R152)+INDEX(Models!$BJ152:$BT152,,T152+1)*R152-ERP_i)*Q152*Ramure*Pc/MaxiM</f>
        <v>4.8361509791285425E-5</v>
      </c>
      <c r="Q152" s="305">
        <f t="shared" si="51"/>
        <v>0.7</v>
      </c>
      <c r="R152" s="177">
        <f t="shared" si="52"/>
        <v>0.31086591178865974</v>
      </c>
      <c r="S152" s="810">
        <f t="shared" si="53"/>
        <v>-1</v>
      </c>
      <c r="T152" s="176">
        <f t="shared" si="54"/>
        <v>5</v>
      </c>
      <c r="U152" s="251">
        <f t="shared" si="55"/>
        <v>-0.68913408821134026</v>
      </c>
      <c r="V152" s="383">
        <f t="shared" si="56"/>
        <v>56.969899374272067</v>
      </c>
      <c r="W152" s="402"/>
      <c r="X152" s="157">
        <f t="shared" si="57"/>
        <v>43968</v>
      </c>
      <c r="Y152" s="385">
        <f t="shared" si="58"/>
        <v>59.291000000000004</v>
      </c>
      <c r="Z152" s="385">
        <f t="shared" si="59"/>
        <v>60.201695001231442</v>
      </c>
      <c r="AA152" s="386">
        <f t="shared" si="60"/>
        <v>66.083350873343278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8.9003596130964049E-2</v>
      </c>
      <c r="AD152" s="231">
        <f>(INDEX(Models!$BJ152:$BT152,,AH152)*(1-AF152)+INDEX(Models!$BJ152:$BT152,,AH152+1)*AF152-ERP_i)*AE152*Ramure*Pc/MaxiM</f>
        <v>4.8361509791285425E-5</v>
      </c>
      <c r="AE152" s="305">
        <f t="shared" si="62"/>
        <v>0.7</v>
      </c>
      <c r="AF152" s="177">
        <f t="shared" si="63"/>
        <v>0.31086591178865974</v>
      </c>
      <c r="AG152" s="810">
        <f t="shared" si="71"/>
        <v>-1</v>
      </c>
      <c r="AH152" s="176">
        <f t="shared" si="64"/>
        <v>5</v>
      </c>
      <c r="AI152" s="225">
        <f t="shared" si="65"/>
        <v>-0.68913408821134026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6">
        <v>58.186</v>
      </c>
      <c r="C153" s="390"/>
      <c r="D153" s="393">
        <f t="shared" si="48"/>
        <v>59.081097379736981</v>
      </c>
      <c r="E153" s="385">
        <f t="shared" si="69"/>
        <v>64.864243515122709</v>
      </c>
      <c r="F153" s="385">
        <f t="shared" si="49"/>
        <v>64.867381436850934</v>
      </c>
      <c r="G153" s="110">
        <f t="shared" si="70"/>
        <v>1.020206519905412</v>
      </c>
      <c r="H153" s="414" t="b">
        <f>Wh_hp&gt;='2019'!Maxi_hp</f>
        <v>1</v>
      </c>
      <c r="I153" s="380">
        <f>IF(H153,Wh_hp,'2019'!Maxi_hp)</f>
        <v>64.867381436850934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1.5150317435437044E-2</v>
      </c>
      <c r="M153" s="844"/>
      <c r="N153" s="844"/>
      <c r="O153" s="48">
        <f>IF(t&lt;Tnet,'2019'!Resal+('2019'!Salim-'2019'!Resal)*(1-EXP(('2019'!Tnet-t)/('2019'!Tau_j))),Resal+(Salim-Resal)*(1-EXP((Tnet-t)/(Tau_j))))*Salcycl</f>
        <v>8.9157690308026533E-2</v>
      </c>
      <c r="P153" s="169">
        <f>(INDEX(Models!$BJ153:$BT153,,T153)*(1-R153)+INDEX(Models!$BJ153:$BT153,,T153+1)*R153-ERP_i)*Q153*Ramure*Pc/MaxiM</f>
        <v>4.8374416520596484E-5</v>
      </c>
      <c r="Q153" s="305">
        <f t="shared" si="51"/>
        <v>0.7</v>
      </c>
      <c r="R153" s="177">
        <f t="shared" si="52"/>
        <v>0.31421433240249685</v>
      </c>
      <c r="S153" s="810">
        <f t="shared" si="53"/>
        <v>-1</v>
      </c>
      <c r="T153" s="176">
        <f t="shared" si="54"/>
        <v>5</v>
      </c>
      <c r="U153" s="251">
        <f t="shared" si="55"/>
        <v>-0.68578566759750315</v>
      </c>
      <c r="V153" s="383">
        <f t="shared" si="56"/>
        <v>57.033550428000282</v>
      </c>
      <c r="W153" s="402"/>
      <c r="X153" s="157">
        <f t="shared" si="57"/>
        <v>43969</v>
      </c>
      <c r="Y153" s="385">
        <f t="shared" si="58"/>
        <v>58.186</v>
      </c>
      <c r="Z153" s="385">
        <f t="shared" si="59"/>
        <v>59.081097379736981</v>
      </c>
      <c r="AA153" s="386">
        <f t="shared" si="60"/>
        <v>64.864243515122709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8.9157690308026533E-2</v>
      </c>
      <c r="AD153" s="231">
        <f>(INDEX(Models!$BJ153:$BT153,,AH153)*(1-AF153)+INDEX(Models!$BJ153:$BT153,,AH153+1)*AF153-ERP_i)*AE153*Ramure*Pc/MaxiM</f>
        <v>4.8374416520596484E-5</v>
      </c>
      <c r="AE153" s="305">
        <f t="shared" si="62"/>
        <v>0.7</v>
      </c>
      <c r="AF153" s="177">
        <f t="shared" si="63"/>
        <v>0.31421433240249685</v>
      </c>
      <c r="AG153" s="810">
        <f t="shared" si="71"/>
        <v>-1</v>
      </c>
      <c r="AH153" s="176">
        <f t="shared" si="64"/>
        <v>5</v>
      </c>
      <c r="AI153" s="225">
        <f t="shared" si="65"/>
        <v>-0.68578566759750315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6">
        <v>56.387999999999998</v>
      </c>
      <c r="C154" s="390"/>
      <c r="D154" s="393">
        <f t="shared" si="48"/>
        <v>57.256770510233821</v>
      </c>
      <c r="E154" s="385">
        <f t="shared" si="69"/>
        <v>62.87200904688661</v>
      </c>
      <c r="F154" s="385">
        <f t="shared" si="49"/>
        <v>62.875000616079284</v>
      </c>
      <c r="G154" s="110">
        <f t="shared" si="70"/>
        <v>0.98767249415207337</v>
      </c>
      <c r="H154" s="414" t="b">
        <f>Wh_hp&gt;='2019'!Maxi_hp</f>
        <v>1</v>
      </c>
      <c r="I154" s="380">
        <f>IF(H154,Wh_hp,'2019'!Maxi_hp)</f>
        <v>62.875000616079284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1.5173236326323059E-2</v>
      </c>
      <c r="M154" s="844"/>
      <c r="N154" s="844"/>
      <c r="O154" s="48">
        <f>IF(t&lt;Tnet,'2019'!Resal+('2019'!Salim-'2019'!Resal)*(1-EXP(('2019'!Tnet-t)/('2019'!Tau_j))),Resal+(Salim-Resal)*(1-EXP((Tnet-t)/(Tau_j))))*Salcycl</f>
        <v>8.9312217340871733E-2</v>
      </c>
      <c r="P154" s="169">
        <f>(INDEX(Models!$BJ154:$BT154,,T154)*(1-R154)+INDEX(Models!$BJ154:$BT154,,T154+1)*R154-ERP_i)*Q154*Ramure*Pc/MaxiM</f>
        <v>4.843250191360106E-5</v>
      </c>
      <c r="Q154" s="305">
        <f t="shared" si="51"/>
        <v>0.7</v>
      </c>
      <c r="R154" s="177">
        <f t="shared" si="52"/>
        <v>0.31762154464862546</v>
      </c>
      <c r="S154" s="810">
        <f t="shared" si="53"/>
        <v>-1</v>
      </c>
      <c r="T154" s="176">
        <f t="shared" si="54"/>
        <v>5</v>
      </c>
      <c r="U154" s="251">
        <f t="shared" si="55"/>
        <v>-0.68237845535137454</v>
      </c>
      <c r="V154" s="383">
        <f t="shared" si="56"/>
        <v>57.091750797732281</v>
      </c>
      <c r="W154" s="402"/>
      <c r="X154" s="157">
        <f t="shared" si="57"/>
        <v>43970</v>
      </c>
      <c r="Y154" s="385">
        <f t="shared" si="58"/>
        <v>56.387999999999998</v>
      </c>
      <c r="Z154" s="385">
        <f t="shared" si="59"/>
        <v>57.256770510233821</v>
      </c>
      <c r="AA154" s="386">
        <f t="shared" si="60"/>
        <v>62.87200904688661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8.9312217340871733E-2</v>
      </c>
      <c r="AD154" s="231">
        <f>(INDEX(Models!$BJ154:$BT154,,AH154)*(1-AF154)+INDEX(Models!$BJ154:$BT154,,AH154+1)*AF154-ERP_i)*AE154*Ramure*Pc/MaxiM</f>
        <v>4.843250191360106E-5</v>
      </c>
      <c r="AE154" s="305">
        <f t="shared" si="62"/>
        <v>0.7</v>
      </c>
      <c r="AF154" s="177">
        <f t="shared" si="63"/>
        <v>0.31762154464862546</v>
      </c>
      <c r="AG154" s="810">
        <f t="shared" si="71"/>
        <v>-1</v>
      </c>
      <c r="AH154" s="176">
        <f t="shared" si="64"/>
        <v>5</v>
      </c>
      <c r="AI154" s="225">
        <f t="shared" si="65"/>
        <v>-0.68237845535137454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6">
        <v>56.04</v>
      </c>
      <c r="C155" s="390"/>
      <c r="D155" s="393">
        <f t="shared" si="48"/>
        <v>56.904733126838821</v>
      </c>
      <c r="E155" s="385">
        <f t="shared" si="69"/>
        <v>62.49607652889334</v>
      </c>
      <c r="F155" s="385">
        <f t="shared" si="49"/>
        <v>62.49902622803689</v>
      </c>
      <c r="G155" s="110">
        <f t="shared" si="70"/>
        <v>0.98066531298282844</v>
      </c>
      <c r="H155" s="414" t="b">
        <f>Wh_hp&gt;='2019'!Maxi_hp</f>
        <v>1</v>
      </c>
      <c r="I155" s="380">
        <f>IF(H155,Wh_hp,'2019'!Maxi_hp)</f>
        <v>62.49902622803689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1.5196154683853047E-2</v>
      </c>
      <c r="M155" s="844"/>
      <c r="N155" s="844"/>
      <c r="O155" s="48">
        <f>IF(t&lt;Tnet,'2019'!Resal+('2019'!Salim-'2019'!Resal)*(1-EXP(('2019'!Tnet-t)/('2019'!Tau_j))),Resal+(Salim-Resal)*(1-EXP((Tnet-t)/(Tau_j))))*Salcycl</f>
        <v>8.9467110778858522E-2</v>
      </c>
      <c r="P155" s="169">
        <f>(INDEX(Models!$BJ155:$BT155,,T155)*(1-R155)+INDEX(Models!$BJ155:$BT155,,T155+1)*R155-ERP_i)*Q155*Ramure*Pc/MaxiM</f>
        <v>4.8536454992090558E-5</v>
      </c>
      <c r="Q155" s="305">
        <f t="shared" si="51"/>
        <v>0.7</v>
      </c>
      <c r="R155" s="177">
        <f t="shared" si="52"/>
        <v>0.32108615866537971</v>
      </c>
      <c r="S155" s="810">
        <f t="shared" si="53"/>
        <v>-1</v>
      </c>
      <c r="T155" s="176">
        <f t="shared" si="54"/>
        <v>5</v>
      </c>
      <c r="U155" s="251">
        <f t="shared" si="55"/>
        <v>-0.67891384133462029</v>
      </c>
      <c r="V155" s="383">
        <f t="shared" si="56"/>
        <v>57.144801729054045</v>
      </c>
      <c r="W155" s="402"/>
      <c r="X155" s="157">
        <f t="shared" si="57"/>
        <v>43971</v>
      </c>
      <c r="Y155" s="385">
        <f t="shared" si="58"/>
        <v>56.04</v>
      </c>
      <c r="Z155" s="385">
        <f t="shared" si="59"/>
        <v>56.904733126838821</v>
      </c>
      <c r="AA155" s="386">
        <f t="shared" si="60"/>
        <v>62.49607652889334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8.9467110778858522E-2</v>
      </c>
      <c r="AD155" s="231">
        <f>(INDEX(Models!$BJ155:$BT155,,AH155)*(1-AF155)+INDEX(Models!$BJ155:$BT155,,AH155+1)*AF155-ERP_i)*AE155*Ramure*Pc/MaxiM</f>
        <v>4.8536454992090558E-5</v>
      </c>
      <c r="AE155" s="305">
        <f t="shared" si="62"/>
        <v>0.7</v>
      </c>
      <c r="AF155" s="177">
        <f t="shared" si="63"/>
        <v>0.32108615866537971</v>
      </c>
      <c r="AG155" s="810">
        <f t="shared" si="71"/>
        <v>-1</v>
      </c>
      <c r="AH155" s="176">
        <f t="shared" si="64"/>
        <v>5</v>
      </c>
      <c r="AI155" s="225">
        <f t="shared" si="65"/>
        <v>-0.67891384133462029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6">
        <v>53.1</v>
      </c>
      <c r="C156" s="390"/>
      <c r="D156" s="393">
        <f t="shared" si="48"/>
        <v>53.920621853669573</v>
      </c>
      <c r="E156" s="385">
        <f t="shared" si="69"/>
        <v>59.228847510410787</v>
      </c>
      <c r="F156" s="385">
        <f t="shared" si="49"/>
        <v>59.231438349390864</v>
      </c>
      <c r="G156" s="110">
        <f t="shared" si="70"/>
        <v>0.9284306342380344</v>
      </c>
      <c r="H156" s="414" t="b">
        <f>Wh_hp&gt;='2019'!Maxi_hp</f>
        <v>0</v>
      </c>
      <c r="I156" s="380">
        <f>IF(H156,Wh_hp,'2019'!Maxi_hp)</f>
        <v>62.066231268120049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1.5219072508039444E-2</v>
      </c>
      <c r="M156" s="844"/>
      <c r="N156" s="844"/>
      <c r="O156" s="48">
        <f>IF(t&lt;Tnet,'2019'!Resal+('2019'!Salim-'2019'!Resal)*(1-EXP(('2019'!Tnet-t)/('2019'!Tau_j))),Resal+(Salim-Resal)*(1-EXP((Tnet-t)/(Tau_j))))*Salcycl</f>
        <v>8.9622301967097695E-2</v>
      </c>
      <c r="P156" s="169">
        <f>(INDEX(Models!$BJ156:$BT156,,T156)*(1-R156)+INDEX(Models!$BJ156:$BT156,,T156+1)*R156-ERP_i)*Q156*Ramure*Pc/MaxiM</f>
        <v>4.8722059738710356E-5</v>
      </c>
      <c r="Q156" s="305">
        <f t="shared" si="51"/>
        <v>0.7</v>
      </c>
      <c r="R156" s="177">
        <f t="shared" si="52"/>
        <v>0.32460663886182417</v>
      </c>
      <c r="S156" s="810">
        <f t="shared" si="53"/>
        <v>-1</v>
      </c>
      <c r="T156" s="176">
        <f t="shared" si="54"/>
        <v>5</v>
      </c>
      <c r="U156" s="251">
        <f t="shared" si="55"/>
        <v>-0.67539336113817583</v>
      </c>
      <c r="V156" s="383">
        <f t="shared" si="56"/>
        <v>57.193002398849814</v>
      </c>
      <c r="W156" s="402"/>
      <c r="X156" s="157">
        <f t="shared" si="57"/>
        <v>43972</v>
      </c>
      <c r="Y156" s="385">
        <f t="shared" si="58"/>
        <v>53.1</v>
      </c>
      <c r="Z156" s="385">
        <f t="shared" si="59"/>
        <v>53.920621853669573</v>
      </c>
      <c r="AA156" s="386">
        <f t="shared" si="60"/>
        <v>59.228847510410787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8.9622301967097695E-2</v>
      </c>
      <c r="AD156" s="231">
        <f>(INDEX(Models!$BJ156:$BT156,,AH156)*(1-AF156)+INDEX(Models!$BJ156:$BT156,,AH156+1)*AF156-ERP_i)*AE156*Ramure*Pc/MaxiM</f>
        <v>4.8722059738710356E-5</v>
      </c>
      <c r="AE156" s="305">
        <f t="shared" si="62"/>
        <v>0.7</v>
      </c>
      <c r="AF156" s="177">
        <f t="shared" si="63"/>
        <v>0.32460663886182417</v>
      </c>
      <c r="AG156" s="810">
        <f t="shared" si="71"/>
        <v>-1</v>
      </c>
      <c r="AH156" s="176">
        <f t="shared" si="64"/>
        <v>5</v>
      </c>
      <c r="AI156" s="225">
        <f t="shared" si="65"/>
        <v>-0.67539336113817583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6">
        <v>52.078000000000003</v>
      </c>
      <c r="C157" s="390"/>
      <c r="D157" s="393">
        <f t="shared" si="48"/>
        <v>52.884058276778809</v>
      </c>
      <c r="E157" s="385">
        <f t="shared" si="69"/>
        <v>58.100158007308437</v>
      </c>
      <c r="F157" s="385">
        <f t="shared" si="49"/>
        <v>58.102638040850181</v>
      </c>
      <c r="G157" s="110">
        <f t="shared" si="70"/>
        <v>0.9098657591185485</v>
      </c>
      <c r="H157" s="414" t="b">
        <f>Wh_hp&gt;='2019'!Maxi_hp</f>
        <v>1</v>
      </c>
      <c r="I157" s="380">
        <f>IF(H157,Wh_hp,'2019'!Maxi_hp)</f>
        <v>58.102638040850181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1.5241989798894462E-2</v>
      </c>
      <c r="M157" s="844"/>
      <c r="N157" s="844"/>
      <c r="O157" s="48">
        <f>IF(t&lt;Tnet,'2019'!Resal+('2019'!Salim-'2019'!Resal)*(1-EXP(('2019'!Tnet-t)/('2019'!Tau_j))),Resal+(Salim-Resal)*(1-EXP((Tnet-t)/(Tau_j))))*Salcycl</f>
        <v>8.9777720223643734E-2</v>
      </c>
      <c r="P157" s="169">
        <f>(INDEX(Models!$BJ157:$BT157,,T157)*(1-R157)+INDEX(Models!$BJ157:$BT157,,T157+1)*R157-ERP_i)*Q157*Ramure*Pc/MaxiM</f>
        <v>4.8991575453628954E-5</v>
      </c>
      <c r="Q157" s="305">
        <f t="shared" si="51"/>
        <v>0.7</v>
      </c>
      <c r="R157" s="177">
        <f t="shared" si="52"/>
        <v>0.3281813039272421</v>
      </c>
      <c r="S157" s="810">
        <f t="shared" si="53"/>
        <v>-1</v>
      </c>
      <c r="T157" s="176">
        <f t="shared" si="54"/>
        <v>5</v>
      </c>
      <c r="U157" s="251">
        <f t="shared" si="55"/>
        <v>-0.6718186960727579</v>
      </c>
      <c r="V157" s="383">
        <f t="shared" si="56"/>
        <v>57.236653825803906</v>
      </c>
      <c r="W157" s="402"/>
      <c r="X157" s="157">
        <f t="shared" si="57"/>
        <v>43973</v>
      </c>
      <c r="Y157" s="385">
        <f t="shared" si="58"/>
        <v>52.078000000000003</v>
      </c>
      <c r="Z157" s="385">
        <f t="shared" si="59"/>
        <v>52.884058276778809</v>
      </c>
      <c r="AA157" s="386">
        <f t="shared" si="60"/>
        <v>58.100158007308437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8.9777720223643734E-2</v>
      </c>
      <c r="AD157" s="231">
        <f>(INDEX(Models!$BJ157:$BT157,,AH157)*(1-AF157)+INDEX(Models!$BJ157:$BT157,,AH157+1)*AF157-ERP_i)*AE157*Ramure*Pc/MaxiM</f>
        <v>4.8991575453628954E-5</v>
      </c>
      <c r="AE157" s="305">
        <f t="shared" si="62"/>
        <v>0.7</v>
      </c>
      <c r="AF157" s="177">
        <f t="shared" si="63"/>
        <v>0.3281813039272421</v>
      </c>
      <c r="AG157" s="810">
        <f t="shared" si="71"/>
        <v>-1</v>
      </c>
      <c r="AH157" s="176">
        <f t="shared" si="64"/>
        <v>5</v>
      </c>
      <c r="AI157" s="225">
        <f t="shared" si="65"/>
        <v>-0.6718186960727579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6">
        <v>17.350000000000001</v>
      </c>
      <c r="C158" s="390"/>
      <c r="D158" s="393">
        <f t="shared" si="48"/>
        <v>17.618951650568196</v>
      </c>
      <c r="E158" s="385">
        <f t="shared" si="69"/>
        <v>19.360066153042197</v>
      </c>
      <c r="F158" s="385">
        <f t="shared" si="49"/>
        <v>19.360070136722875</v>
      </c>
      <c r="G158" s="110">
        <f t="shared" si="70"/>
        <v>0.30290401120864274</v>
      </c>
      <c r="H158" s="414" t="b">
        <f>Wh_hp&gt;='2019'!Maxi_hp</f>
        <v>1</v>
      </c>
      <c r="I158" s="380">
        <f>IF(H158,Wh_hp,'2019'!Maxi_hp)</f>
        <v>19.360070136722875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1.5264906556430757E-2</v>
      </c>
      <c r="M158" s="844"/>
      <c r="N158" s="844"/>
      <c r="O158" s="48">
        <f>IF(t&lt;Tnet,'2019'!Resal+('2019'!Salim-'2019'!Resal)*(1-EXP(('2019'!Tnet-t)/('2019'!Tau_j))),Resal+(Salim-Resal)*(1-EXP((Tnet-t)/(Tau_j))))*Salcycl</f>
        <v>8.9933293032700035E-2</v>
      </c>
      <c r="P158" s="169">
        <f>(INDEX(Models!$BJ158:$BT158,,T158)*(1-R158)+INDEX(Models!$BJ158:$BT158,,T158+1)*R158-ERP_i)*Q158*Ramure*Pc/MaxiM</f>
        <v>4.9346559638516523E-5</v>
      </c>
      <c r="Q158" s="305">
        <f t="shared" si="51"/>
        <v>0.7</v>
      </c>
      <c r="R158" s="177">
        <f t="shared" si="52"/>
        <v>0.3318083275519057</v>
      </c>
      <c r="S158" s="810">
        <f t="shared" si="53"/>
        <v>-1</v>
      </c>
      <c r="T158" s="176">
        <f t="shared" si="54"/>
        <v>5</v>
      </c>
      <c r="U158" s="251">
        <f t="shared" si="55"/>
        <v>-0.6681916724480943</v>
      </c>
      <c r="V158" s="383">
        <f t="shared" si="56"/>
        <v>57.276056985384059</v>
      </c>
      <c r="W158" s="402"/>
      <c r="X158" s="157">
        <f t="shared" si="57"/>
        <v>43974</v>
      </c>
      <c r="Y158" s="385">
        <f t="shared" si="58"/>
        <v>17.350000000000001</v>
      </c>
      <c r="Z158" s="385">
        <f t="shared" si="59"/>
        <v>17.618951650568196</v>
      </c>
      <c r="AA158" s="386">
        <f t="shared" si="60"/>
        <v>19.360066153042197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8.9933293032700035E-2</v>
      </c>
      <c r="AD158" s="231">
        <f>(INDEX(Models!$BJ158:$BT158,,AH158)*(1-AF158)+INDEX(Models!$BJ158:$BT158,,AH158+1)*AF158-ERP_i)*AE158*Ramure*Pc/MaxiM</f>
        <v>4.9346559638516523E-5</v>
      </c>
      <c r="AE158" s="305">
        <f t="shared" si="62"/>
        <v>0.7</v>
      </c>
      <c r="AF158" s="177">
        <f t="shared" si="63"/>
        <v>0.3318083275519057</v>
      </c>
      <c r="AG158" s="810">
        <f t="shared" si="71"/>
        <v>-1</v>
      </c>
      <c r="AH158" s="176">
        <f t="shared" si="64"/>
        <v>5</v>
      </c>
      <c r="AI158" s="225">
        <f t="shared" si="65"/>
        <v>-0.6681916724480943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6">
        <v>54.386000000000003</v>
      </c>
      <c r="C159" s="390"/>
      <c r="D159" s="393">
        <f t="shared" si="48"/>
        <v>55.230351830904397</v>
      </c>
      <c r="E159" s="385">
        <f t="shared" si="69"/>
        <v>60.698627193810267</v>
      </c>
      <c r="F159" s="385">
        <f t="shared" si="49"/>
        <v>60.701429062818967</v>
      </c>
      <c r="G159" s="110">
        <f t="shared" si="70"/>
        <v>0.94895074208791075</v>
      </c>
      <c r="H159" s="414" t="b">
        <f>Wh_hp&gt;='2019'!Maxi_hp</f>
        <v>1</v>
      </c>
      <c r="I159" s="380">
        <f>IF(H159,Wh_hp,'2019'!Maxi_hp)</f>
        <v>60.701429062818967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1.5287822780660543E-2</v>
      </c>
      <c r="M159" s="844"/>
      <c r="N159" s="844"/>
      <c r="O159" s="48">
        <f>IF(t&lt;Tnet,'2019'!Resal+('2019'!Salim-'2019'!Resal)*(1-EXP(('2019'!Tnet-t)/('2019'!Tau_j))),Resal+(Salim-Resal)*(1-EXP((Tnet-t)/(Tau_j))))*Salcycl</f>
        <v>9.0088946253194635E-2</v>
      </c>
      <c r="P159" s="169">
        <f>(INDEX(Models!$BJ159:$BT159,,T159)*(1-R159)+INDEX(Models!$BJ159:$BT159,,T159+1)*R159-ERP_i)*Q159*Ramure*Pc/MaxiM</f>
        <v>4.9788943719723019E-5</v>
      </c>
      <c r="Q159" s="305">
        <f t="shared" si="51"/>
        <v>0.7</v>
      </c>
      <c r="R159" s="177">
        <f t="shared" si="52"/>
        <v>0.33548573988607933</v>
      </c>
      <c r="S159" s="810">
        <f t="shared" si="53"/>
        <v>-1</v>
      </c>
      <c r="T159" s="176">
        <f t="shared" si="54"/>
        <v>5</v>
      </c>
      <c r="U159" s="251">
        <f t="shared" si="55"/>
        <v>-0.66451426011392067</v>
      </c>
      <c r="V159" s="383">
        <f t="shared" si="56"/>
        <v>57.311512723905743</v>
      </c>
      <c r="W159" s="402"/>
      <c r="X159" s="157">
        <f t="shared" si="57"/>
        <v>43975</v>
      </c>
      <c r="Y159" s="385">
        <f t="shared" si="58"/>
        <v>54.386000000000003</v>
      </c>
      <c r="Z159" s="385">
        <f t="shared" si="59"/>
        <v>55.230351830904397</v>
      </c>
      <c r="AA159" s="386">
        <f t="shared" si="60"/>
        <v>60.698627193810267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9.0088946253194635E-2</v>
      </c>
      <c r="AD159" s="231">
        <f>(INDEX(Models!$BJ159:$BT159,,AH159)*(1-AF159)+INDEX(Models!$BJ159:$BT159,,AH159+1)*AF159-ERP_i)*AE159*Ramure*Pc/MaxiM</f>
        <v>4.9788943719723019E-5</v>
      </c>
      <c r="AE159" s="305">
        <f t="shared" si="62"/>
        <v>0.7</v>
      </c>
      <c r="AF159" s="177">
        <f t="shared" si="63"/>
        <v>0.33548573988607933</v>
      </c>
      <c r="AG159" s="810">
        <f t="shared" si="71"/>
        <v>-1</v>
      </c>
      <c r="AH159" s="176">
        <f t="shared" si="64"/>
        <v>5</v>
      </c>
      <c r="AI159" s="225">
        <f t="shared" si="65"/>
        <v>-0.66451426011392067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6">
        <v>56.868000000000002</v>
      </c>
      <c r="C160" s="390"/>
      <c r="D160" s="393">
        <f t="shared" si="48"/>
        <v>57.752229278636882</v>
      </c>
      <c r="E160" s="385">
        <f t="shared" si="69"/>
        <v>63.481051669786517</v>
      </c>
      <c r="F160" s="385">
        <f t="shared" si="49"/>
        <v>63.484208413127426</v>
      </c>
      <c r="G160" s="110">
        <f t="shared" si="70"/>
        <v>0.99171035728498325</v>
      </c>
      <c r="H160" s="414" t="b">
        <f>Wh_hp&gt;='2019'!Maxi_hp</f>
        <v>1</v>
      </c>
      <c r="I160" s="380">
        <f>IF(H160,Wh_hp,'2019'!Maxi_hp)</f>
        <v>63.484208413127426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1.5310738471596363E-2</v>
      </c>
      <c r="M160" s="844"/>
      <c r="N160" s="844"/>
      <c r="O160" s="48">
        <f>IF(t&lt;Tnet,'2019'!Resal+('2019'!Salim-'2019'!Resal)*(1-EXP(('2019'!Tnet-t)/('2019'!Tau_j))),Resal+(Salim-Resal)*(1-EXP((Tnet-t)/(Tau_j))))*Salcycl</f>
        <v>9.0244604341932141E-2</v>
      </c>
      <c r="P160" s="169">
        <f>(INDEX(Models!$BJ160:$BT160,,T160)*(1-R160)+INDEX(Models!$BJ160:$BT160,,T160+1)*R160-ERP_i)*Q160*Ramure*Pc/MaxiM</f>
        <v>5.0320732534520218E-5</v>
      </c>
      <c r="Q160" s="305">
        <f t="shared" si="51"/>
        <v>0.7</v>
      </c>
      <c r="R160" s="177">
        <f t="shared" si="52"/>
        <v>0.33921142975874519</v>
      </c>
      <c r="S160" s="810">
        <f t="shared" si="53"/>
        <v>-1</v>
      </c>
      <c r="T160" s="176">
        <f t="shared" si="54"/>
        <v>5</v>
      </c>
      <c r="U160" s="251">
        <f t="shared" si="55"/>
        <v>-0.66078857024125481</v>
      </c>
      <c r="V160" s="383">
        <f t="shared" si="56"/>
        <v>57.343321761701361</v>
      </c>
      <c r="W160" s="402"/>
      <c r="X160" s="157">
        <f t="shared" si="57"/>
        <v>43976</v>
      </c>
      <c r="Y160" s="385">
        <f t="shared" si="58"/>
        <v>56.868000000000002</v>
      </c>
      <c r="Z160" s="385">
        <f t="shared" si="59"/>
        <v>57.752229278636882</v>
      </c>
      <c r="AA160" s="386">
        <f t="shared" si="60"/>
        <v>63.481051669786517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9.0244604341932141E-2</v>
      </c>
      <c r="AD160" s="231">
        <f>(INDEX(Models!$BJ160:$BT160,,AH160)*(1-AF160)+INDEX(Models!$BJ160:$BT160,,AH160+1)*AF160-ERP_i)*AE160*Ramure*Pc/MaxiM</f>
        <v>5.0320732534520218E-5</v>
      </c>
      <c r="AE160" s="305">
        <f t="shared" si="62"/>
        <v>0.7</v>
      </c>
      <c r="AF160" s="177">
        <f t="shared" si="63"/>
        <v>0.33921142975874519</v>
      </c>
      <c r="AG160" s="810">
        <f t="shared" si="71"/>
        <v>-1</v>
      </c>
      <c r="AH160" s="176">
        <f t="shared" si="64"/>
        <v>5</v>
      </c>
      <c r="AI160" s="225">
        <f t="shared" si="65"/>
        <v>-0.66078857024125481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6">
        <v>56.889000000000003</v>
      </c>
      <c r="C161" s="390"/>
      <c r="D161" s="393">
        <f t="shared" si="48"/>
        <v>57.774900309815187</v>
      </c>
      <c r="E161" s="385">
        <f t="shared" si="69"/>
        <v>63.516834229895103</v>
      </c>
      <c r="F161" s="385">
        <f t="shared" si="49"/>
        <v>63.520031293079448</v>
      </c>
      <c r="G161" s="110">
        <f t="shared" si="70"/>
        <v>0.99158437331805294</v>
      </c>
      <c r="H161" s="414" t="b">
        <f>Wh_hp&gt;='2019'!Maxi_hp</f>
        <v>1</v>
      </c>
      <c r="I161" s="380">
        <f>IF(H161,Wh_hp,'2019'!Maxi_hp)</f>
        <v>63.520031293079448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1.5333653629250543E-2</v>
      </c>
      <c r="M161" s="844"/>
      <c r="N161" s="844"/>
      <c r="O161" s="48">
        <f>IF(t&lt;Tnet,'2019'!Resal+('2019'!Salim-'2019'!Resal)*(1-EXP(('2019'!Tnet-t)/('2019'!Tau_j))),Resal+(Salim-Resal)*(1-EXP((Tnet-t)/(Tau_j))))*Salcycl</f>
        <v>9.0400190590377322E-2</v>
      </c>
      <c r="P161" s="169">
        <f>(INDEX(Models!$BJ161:$BT161,,T161)*(1-R161)+INDEX(Models!$BJ161:$BT161,,T161+1)*R161-ERP_i)*Q161*Ramure*Pc/MaxiM</f>
        <v>5.0943995467308611E-5</v>
      </c>
      <c r="Q161" s="305">
        <f t="shared" si="51"/>
        <v>0.7</v>
      </c>
      <c r="R161" s="177">
        <f t="shared" si="52"/>
        <v>0.34298314767152593</v>
      </c>
      <c r="S161" s="810">
        <f t="shared" si="53"/>
        <v>-1</v>
      </c>
      <c r="T161" s="176">
        <f t="shared" si="54"/>
        <v>5</v>
      </c>
      <c r="U161" s="251">
        <f t="shared" si="55"/>
        <v>-0.65701685232847407</v>
      </c>
      <c r="V161" s="383">
        <f t="shared" si="56"/>
        <v>57.371784680172709</v>
      </c>
      <c r="W161" s="402"/>
      <c r="X161" s="157">
        <f t="shared" si="57"/>
        <v>43977</v>
      </c>
      <c r="Y161" s="385">
        <f t="shared" si="58"/>
        <v>56.889000000000003</v>
      </c>
      <c r="Z161" s="385">
        <f t="shared" si="59"/>
        <v>57.774900309815187</v>
      </c>
      <c r="AA161" s="386">
        <f t="shared" si="60"/>
        <v>63.516834229895103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9.0400190590377322E-2</v>
      </c>
      <c r="AD161" s="231">
        <f>(INDEX(Models!$BJ161:$BT161,,AH161)*(1-AF161)+INDEX(Models!$BJ161:$BT161,,AH161+1)*AF161-ERP_i)*AE161*Ramure*Pc/MaxiM</f>
        <v>5.0943995467308611E-5</v>
      </c>
      <c r="AE161" s="305">
        <f t="shared" si="62"/>
        <v>0.7</v>
      </c>
      <c r="AF161" s="177">
        <f t="shared" si="63"/>
        <v>0.34298314767152593</v>
      </c>
      <c r="AG161" s="810">
        <f t="shared" si="71"/>
        <v>-1</v>
      </c>
      <c r="AH161" s="176">
        <f t="shared" si="64"/>
        <v>5</v>
      </c>
      <c r="AI161" s="225">
        <f t="shared" si="65"/>
        <v>-0.65701685232847407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6">
        <v>55.841000000000001</v>
      </c>
      <c r="C162" s="390"/>
      <c r="D162" s="393">
        <f t="shared" si="48"/>
        <v>56.711900165687751</v>
      </c>
      <c r="E162" s="385">
        <f t="shared" si="69"/>
        <v>62.358844446892775</v>
      </c>
      <c r="F162" s="385">
        <f t="shared" si="49"/>
        <v>62.361941334367771</v>
      </c>
      <c r="G162" s="110">
        <f t="shared" si="70"/>
        <v>0.97288520023545433</v>
      </c>
      <c r="H162" s="414" t="b">
        <f>Wh_hp&gt;='2019'!Maxi_hp</f>
        <v>1</v>
      </c>
      <c r="I162" s="380">
        <f>IF(H162,Wh_hp,'2019'!Maxi_hp)</f>
        <v>62.361941334367771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1.5356568253635516E-2</v>
      </c>
      <c r="M162" s="844"/>
      <c r="N162" s="844"/>
      <c r="O162" s="48">
        <f>IF(t&lt;Tnet,'2019'!Resal+('2019'!Salim-'2019'!Resal)*(1-EXP(('2019'!Tnet-t)/('2019'!Tau_j))),Resal+(Salim-Resal)*(1-EXP((Tnet-t)/(Tau_j))))*Salcycl</f>
        <v>9.0555627373983455E-2</v>
      </c>
      <c r="P162" s="169">
        <f>(INDEX(Models!$BJ162:$BT162,,T162)*(1-R162)+INDEX(Models!$BJ162:$BT162,,T162+1)*R162-ERP_i)*Q162*Ramure*Pc/MaxiM</f>
        <v>5.1660857004311433E-5</v>
      </c>
      <c r="Q162" s="305">
        <f t="shared" si="51"/>
        <v>0.7</v>
      </c>
      <c r="R162" s="177">
        <f t="shared" si="52"/>
        <v>0.34679850957675984</v>
      </c>
      <c r="S162" s="810">
        <f t="shared" si="53"/>
        <v>-1</v>
      </c>
      <c r="T162" s="176">
        <f t="shared" si="54"/>
        <v>5</v>
      </c>
      <c r="U162" s="251">
        <f t="shared" si="55"/>
        <v>-0.65320149042324016</v>
      </c>
      <c r="V162" s="383">
        <f t="shared" si="56"/>
        <v>57.397201895179279</v>
      </c>
      <c r="W162" s="402"/>
      <c r="X162" s="157">
        <f t="shared" si="57"/>
        <v>43978</v>
      </c>
      <c r="Y162" s="385">
        <f t="shared" si="58"/>
        <v>55.841000000000001</v>
      </c>
      <c r="Z162" s="385">
        <f t="shared" si="59"/>
        <v>56.711900165687751</v>
      </c>
      <c r="AA162" s="386">
        <f t="shared" si="60"/>
        <v>62.358844446892775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9.0555627373983455E-2</v>
      </c>
      <c r="AD162" s="231">
        <f>(INDEX(Models!$BJ162:$BT162,,AH162)*(1-AF162)+INDEX(Models!$BJ162:$BT162,,AH162+1)*AF162-ERP_i)*AE162*Ramure*Pc/MaxiM</f>
        <v>5.1660857004311433E-5</v>
      </c>
      <c r="AE162" s="305">
        <f t="shared" si="62"/>
        <v>0.7</v>
      </c>
      <c r="AF162" s="177">
        <f t="shared" si="63"/>
        <v>0.34679850957675984</v>
      </c>
      <c r="AG162" s="810">
        <f t="shared" si="71"/>
        <v>-1</v>
      </c>
      <c r="AH162" s="176">
        <f t="shared" si="64"/>
        <v>5</v>
      </c>
      <c r="AI162" s="225">
        <f t="shared" si="65"/>
        <v>-0.65320149042324016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6">
        <v>55.680999999999997</v>
      </c>
      <c r="C163" s="390"/>
      <c r="D163" s="393">
        <f t="shared" si="48"/>
        <v>56.550720812316683</v>
      </c>
      <c r="E163" s="385">
        <f t="shared" si="69"/>
        <v>62.192230015392582</v>
      </c>
      <c r="F163" s="385">
        <f t="shared" si="49"/>
        <v>62.195352614277361</v>
      </c>
      <c r="G163" s="110">
        <f t="shared" si="70"/>
        <v>0.96973746269613315</v>
      </c>
      <c r="H163" s="414" t="b">
        <f>Wh_hp&gt;='2019'!Maxi_hp</f>
        <v>1</v>
      </c>
      <c r="I163" s="380">
        <f>IF(H163,Wh_hp,'2019'!Maxi_hp)</f>
        <v>62.195352614277361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1.5379482344763717E-2</v>
      </c>
      <c r="M163" s="844"/>
      <c r="N163" s="844"/>
      <c r="O163" s="48">
        <f>IF(t&lt;Tnet,'2019'!Resal+('2019'!Salim-'2019'!Resal)*(1-EXP(('2019'!Tnet-t)/('2019'!Tau_j))),Resal+(Salim-Resal)*(1-EXP((Tnet-t)/(Tau_j))))*Salcycl</f>
        <v>9.0710836412838544E-2</v>
      </c>
      <c r="P163" s="169">
        <f>(INDEX(Models!$BJ163:$BT163,,T163)*(1-R163)+INDEX(Models!$BJ163:$BT163,,T163+1)*R163-ERP_i)*Q163*Ramure*Pc/MaxiM</f>
        <v>5.2474738967538514E-5</v>
      </c>
      <c r="Q163" s="305">
        <f t="shared" si="51"/>
        <v>0.7</v>
      </c>
      <c r="R163" s="177">
        <f t="shared" si="52"/>
        <v>0.35065500144173734</v>
      </c>
      <c r="S163" s="810">
        <f t="shared" si="53"/>
        <v>-1</v>
      </c>
      <c r="T163" s="176">
        <f t="shared" si="54"/>
        <v>5</v>
      </c>
      <c r="U163" s="251">
        <f t="shared" si="55"/>
        <v>-0.64934499855826266</v>
      </c>
      <c r="V163" s="383">
        <f t="shared" si="56"/>
        <v>57.418503282544094</v>
      </c>
      <c r="W163" s="402"/>
      <c r="X163" s="157">
        <f t="shared" si="57"/>
        <v>43979</v>
      </c>
      <c r="Y163" s="385">
        <f t="shared" si="58"/>
        <v>55.680999999999997</v>
      </c>
      <c r="Z163" s="385">
        <f t="shared" si="59"/>
        <v>56.550720812316683</v>
      </c>
      <c r="AA163" s="386">
        <f t="shared" si="60"/>
        <v>62.192230015392582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9.0710836412838544E-2</v>
      </c>
      <c r="AD163" s="231">
        <f>(INDEX(Models!$BJ163:$BT163,,AH163)*(1-AF163)+INDEX(Models!$BJ163:$BT163,,AH163+1)*AF163-ERP_i)*AE163*Ramure*Pc/MaxiM</f>
        <v>5.2474738967538514E-5</v>
      </c>
      <c r="AE163" s="305">
        <f t="shared" si="62"/>
        <v>0.7</v>
      </c>
      <c r="AF163" s="177">
        <f t="shared" si="63"/>
        <v>0.35065500144173734</v>
      </c>
      <c r="AG163" s="810">
        <f t="shared" si="71"/>
        <v>-1</v>
      </c>
      <c r="AH163" s="176">
        <f t="shared" si="64"/>
        <v>5</v>
      </c>
      <c r="AI163" s="225">
        <f t="shared" si="65"/>
        <v>-0.64934499855826266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6">
        <v>53.58</v>
      </c>
      <c r="C164" s="390"/>
      <c r="D164" s="393">
        <f t="shared" si="48"/>
        <v>54.418170201744935</v>
      </c>
      <c r="E164" s="385">
        <f t="shared" si="69"/>
        <v>59.857132811624702</v>
      </c>
      <c r="F164" s="385">
        <f t="shared" si="49"/>
        <v>59.86002152871599</v>
      </c>
      <c r="G164" s="110">
        <f t="shared" si="70"/>
        <v>0.93288203952137561</v>
      </c>
      <c r="H164" s="414" t="b">
        <f>Wh_hp&gt;='2019'!Maxi_hp</f>
        <v>1</v>
      </c>
      <c r="I164" s="380">
        <f>IF(H164,Wh_hp,'2019'!Maxi_hp)</f>
        <v>59.86002152871599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1.5402395902647581E-2</v>
      </c>
      <c r="M164" s="844"/>
      <c r="N164" s="844"/>
      <c r="O164" s="48">
        <f>IF(t&lt;Tnet,'2019'!Resal+('2019'!Salim-'2019'!Resal)*(1-EXP(('2019'!Tnet-t)/('2019'!Tau_j))),Resal+(Salim-Resal)*(1-EXP((Tnet-t)/(Tau_j))))*Salcycl</f>
        <v>9.0865739042273047E-2</v>
      </c>
      <c r="P164" s="169">
        <f>(INDEX(Models!$BJ164:$BT164,,T164)*(1-R164)+INDEX(Models!$BJ164:$BT164,,T164+1)*R164-ERP_i)*Q164*Ramure*Pc/MaxiM</f>
        <v>5.3375276166338553E-5</v>
      </c>
      <c r="Q164" s="305">
        <f t="shared" si="51"/>
        <v>0.7</v>
      </c>
      <c r="R164" s="177">
        <f t="shared" si="52"/>
        <v>0.35454998459380738</v>
      </c>
      <c r="S164" s="810">
        <f t="shared" si="53"/>
        <v>-1</v>
      </c>
      <c r="T164" s="176">
        <f t="shared" si="54"/>
        <v>5</v>
      </c>
      <c r="U164" s="251">
        <f t="shared" si="55"/>
        <v>-0.64545001540619262</v>
      </c>
      <c r="V164" s="383">
        <f t="shared" si="56"/>
        <v>57.434620376648795</v>
      </c>
      <c r="W164" s="402"/>
      <c r="X164" s="157">
        <f t="shared" si="57"/>
        <v>43980</v>
      </c>
      <c r="Y164" s="385">
        <f t="shared" si="58"/>
        <v>53.58</v>
      </c>
      <c r="Z164" s="385">
        <f t="shared" si="59"/>
        <v>54.418170201744935</v>
      </c>
      <c r="AA164" s="386">
        <f t="shared" si="60"/>
        <v>59.857132811624702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9.0865739042273047E-2</v>
      </c>
      <c r="AD164" s="231">
        <f>(INDEX(Models!$BJ164:$BT164,,AH164)*(1-AF164)+INDEX(Models!$BJ164:$BT164,,AH164+1)*AF164-ERP_i)*AE164*Ramure*Pc/MaxiM</f>
        <v>5.3375276166338553E-5</v>
      </c>
      <c r="AE164" s="305">
        <f t="shared" si="62"/>
        <v>0.7</v>
      </c>
      <c r="AF164" s="177">
        <f t="shared" si="63"/>
        <v>0.35454998459380738</v>
      </c>
      <c r="AG164" s="810">
        <f t="shared" si="71"/>
        <v>-1</v>
      </c>
      <c r="AH164" s="176">
        <f t="shared" si="64"/>
        <v>5</v>
      </c>
      <c r="AI164" s="225">
        <f t="shared" si="65"/>
        <v>-0.64545001540619262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6">
        <v>57.072000000000003</v>
      </c>
      <c r="C165" s="390"/>
      <c r="D165" s="393">
        <f t="shared" si="48"/>
        <v>57.966145704821727</v>
      </c>
      <c r="E165" s="385">
        <f t="shared" si="69"/>
        <v>63.770558275711892</v>
      </c>
      <c r="F165" s="385">
        <f t="shared" si="49"/>
        <v>63.773989714261184</v>
      </c>
      <c r="G165" s="110">
        <f t="shared" si="70"/>
        <v>0.99349149779845347</v>
      </c>
      <c r="H165" s="414" t="b">
        <f>Wh_hp&gt;='2019'!Maxi_hp</f>
        <v>0</v>
      </c>
      <c r="I165" s="380">
        <f>IF(H165,Wh_hp,'2019'!Maxi_hp)</f>
        <v>63.940669699990565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1.542530892729943E-2</v>
      </c>
      <c r="M165" s="844"/>
      <c r="N165" s="844"/>
      <c r="O165" s="48">
        <f>IF(t&lt;Tnet,'2019'!Resal+('2019'!Salim-'2019'!Resal)*(1-EXP(('2019'!Tnet-t)/('2019'!Tau_j))),Resal+(Salim-Resal)*(1-EXP((Tnet-t)/(Tau_j))))*Salcycl</f>
        <v>9.1020256491950322E-2</v>
      </c>
      <c r="P165" s="169">
        <f>(INDEX(Models!$BJ165:$BT165,,T165)*(1-R165)+INDEX(Models!$BJ165:$BT165,,T165+1)*R165-ERP_i)*Q165*Ramure*Pc/MaxiM</f>
        <v>5.4311178084446246E-5</v>
      </c>
      <c r="Q165" s="305">
        <f t="shared" si="51"/>
        <v>0.7</v>
      </c>
      <c r="R165" s="177">
        <f t="shared" si="52"/>
        <v>0.35848070183350877</v>
      </c>
      <c r="S165" s="810">
        <f t="shared" si="53"/>
        <v>-1</v>
      </c>
      <c r="T165" s="176">
        <f t="shared" si="54"/>
        <v>5</v>
      </c>
      <c r="U165" s="251">
        <f t="shared" si="55"/>
        <v>-0.64151929816649123</v>
      </c>
      <c r="V165" s="383">
        <f t="shared" si="56"/>
        <v>57.445857671706939</v>
      </c>
      <c r="W165" s="402"/>
      <c r="X165" s="157">
        <f t="shared" si="57"/>
        <v>43981</v>
      </c>
      <c r="Y165" s="385">
        <f t="shared" si="58"/>
        <v>57.072000000000003</v>
      </c>
      <c r="Z165" s="385">
        <f t="shared" si="59"/>
        <v>57.966145704821727</v>
      </c>
      <c r="AA165" s="386">
        <f t="shared" si="60"/>
        <v>63.770558275711892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9.1020256491950322E-2</v>
      </c>
      <c r="AD165" s="231">
        <f>(INDEX(Models!$BJ165:$BT165,,AH165)*(1-AF165)+INDEX(Models!$BJ165:$BT165,,AH165+1)*AF165-ERP_i)*AE165*Ramure*Pc/MaxiM</f>
        <v>5.4311178084446246E-5</v>
      </c>
      <c r="AE165" s="305">
        <f t="shared" si="62"/>
        <v>0.7</v>
      </c>
      <c r="AF165" s="177">
        <f t="shared" si="63"/>
        <v>0.35848070183350877</v>
      </c>
      <c r="AG165" s="810">
        <f t="shared" si="71"/>
        <v>-1</v>
      </c>
      <c r="AH165" s="176">
        <f t="shared" si="64"/>
        <v>5</v>
      </c>
      <c r="AI165" s="225">
        <f t="shared" si="65"/>
        <v>-0.64151929816649123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6">
        <v>56.45</v>
      </c>
      <c r="C166" s="390"/>
      <c r="D166" s="393">
        <f t="shared" si="48"/>
        <v>57.335735131517438</v>
      </c>
      <c r="E166" s="385">
        <f t="shared" si="69"/>
        <v>63.087713929344503</v>
      </c>
      <c r="F166" s="385">
        <f t="shared" si="49"/>
        <v>63.091114831739645</v>
      </c>
      <c r="G166" s="110">
        <f t="shared" si="70"/>
        <v>0.98254916717358565</v>
      </c>
      <c r="H166" s="414" t="b">
        <f>Wh_hp&gt;='2019'!Maxi_hp</f>
        <v>0</v>
      </c>
      <c r="I166" s="380">
        <f>IF(H166,Wh_hp,'2019'!Maxi_hp)</f>
        <v>65.184195459638048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1.54482214187317E-2</v>
      </c>
      <c r="M166" s="844"/>
      <c r="N166" s="844"/>
      <c r="O166" s="48">
        <f>IF(t&lt;Tnet,'2019'!Resal+('2019'!Salim-'2019'!Resal)*(1-EXP(('2019'!Tnet-t)/('2019'!Tau_j))),Resal+(Salim-Resal)*(1-EXP((Tnet-t)/(Tau_j))))*Salcycl</f>
        <v>9.1174310171851028E-2</v>
      </c>
      <c r="P166" s="169">
        <f>(INDEX(Models!$BJ166:$BT166,,T166)*(1-R166)+INDEX(Models!$BJ166:$BT166,,T166+1)*R166-ERP_i)*Q166*Ramure*Pc/MaxiM</f>
        <v>5.528269465692728E-5</v>
      </c>
      <c r="Q166" s="305">
        <f t="shared" si="51"/>
        <v>0.7</v>
      </c>
      <c r="R166" s="177">
        <f t="shared" si="52"/>
        <v>0.36244428429517461</v>
      </c>
      <c r="S166" s="810">
        <f t="shared" si="53"/>
        <v>-1</v>
      </c>
      <c r="T166" s="176">
        <f t="shared" si="54"/>
        <v>5</v>
      </c>
      <c r="U166" s="251">
        <f t="shared" si="55"/>
        <v>-0.63755571570482539</v>
      </c>
      <c r="V166" s="383">
        <f t="shared" si="56"/>
        <v>57.4525164635983</v>
      </c>
      <c r="W166" s="402"/>
      <c r="X166" s="157">
        <f t="shared" si="57"/>
        <v>43982</v>
      </c>
      <c r="Y166" s="385">
        <f t="shared" si="58"/>
        <v>56.45</v>
      </c>
      <c r="Z166" s="385">
        <f t="shared" si="59"/>
        <v>57.335735131517438</v>
      </c>
      <c r="AA166" s="386">
        <f t="shared" si="60"/>
        <v>63.087713929344503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9.1174310171851028E-2</v>
      </c>
      <c r="AD166" s="231">
        <f>(INDEX(Models!$BJ166:$BT166,,AH166)*(1-AF166)+INDEX(Models!$BJ166:$BT166,,AH166+1)*AF166-ERP_i)*AE166*Ramure*Pc/MaxiM</f>
        <v>5.528269465692728E-5</v>
      </c>
      <c r="AE166" s="305">
        <f t="shared" si="62"/>
        <v>0.7</v>
      </c>
      <c r="AF166" s="177">
        <f t="shared" si="63"/>
        <v>0.36244428429517461</v>
      </c>
      <c r="AG166" s="810">
        <f t="shared" si="71"/>
        <v>-1</v>
      </c>
      <c r="AH166" s="176">
        <f t="shared" si="64"/>
        <v>5</v>
      </c>
      <c r="AI166" s="225">
        <f t="shared" si="65"/>
        <v>-0.63755571570482539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6">
        <v>28.922999999999998</v>
      </c>
      <c r="C167" s="390"/>
      <c r="D167" s="393">
        <f t="shared" si="48"/>
        <v>29.377503271393721</v>
      </c>
      <c r="E167" s="385">
        <f t="shared" si="69"/>
        <v>32.330144997806286</v>
      </c>
      <c r="F167" s="385">
        <f t="shared" si="49"/>
        <v>32.330673816704227</v>
      </c>
      <c r="G167" s="110">
        <f t="shared" si="70"/>
        <v>0.5033834555828155</v>
      </c>
      <c r="H167" s="414" t="b">
        <f>Wh_hp&gt;='2019'!Maxi_hp</f>
        <v>0</v>
      </c>
      <c r="I167" s="380">
        <f>IF(H167,Wh_hp,'2019'!Maxi_hp)</f>
        <v>63.527913970143331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1.5471133376956936E-2</v>
      </c>
      <c r="M167" s="844"/>
      <c r="N167" s="844"/>
      <c r="O167" s="48">
        <f>IF(t&lt;Tnet,'2019'!Resal+('2019'!Salim-'2019'!Resal)*(1-EXP(('2019'!Tnet-t)/('2019'!Tau_j))),Resal+(Salim-Resal)*(1-EXP((Tnet-t)/(Tau_j))))*Salcycl</f>
        <v>9.1327821963462147E-2</v>
      </c>
      <c r="P167" s="169">
        <f>(INDEX(Models!$BJ167:$BT167,,T167)*(1-R167)+INDEX(Models!$BJ167:$BT167,,T167+1)*R167-ERP_i)*Q167*Ramure*Pc/MaxiM</f>
        <v>5.6290059026415881E-5</v>
      </c>
      <c r="Q167" s="305">
        <f t="shared" si="51"/>
        <v>0.7</v>
      </c>
      <c r="R167" s="177">
        <f t="shared" si="52"/>
        <v>0.36643775902670472</v>
      </c>
      <c r="S167" s="810">
        <f t="shared" si="53"/>
        <v>-1</v>
      </c>
      <c r="T167" s="176">
        <f t="shared" si="54"/>
        <v>5</v>
      </c>
      <c r="U167" s="251">
        <f t="shared" si="55"/>
        <v>-0.63356224097329528</v>
      </c>
      <c r="V167" s="383">
        <f t="shared" si="56"/>
        <v>57.45489778024394</v>
      </c>
      <c r="W167" s="402"/>
      <c r="X167" s="157">
        <f t="shared" si="57"/>
        <v>43983</v>
      </c>
      <c r="Y167" s="385">
        <f t="shared" si="58"/>
        <v>28.922999999999995</v>
      </c>
      <c r="Z167" s="385">
        <f t="shared" si="59"/>
        <v>29.377503271393717</v>
      </c>
      <c r="AA167" s="386">
        <f t="shared" si="60"/>
        <v>32.330144997806286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9.1327821963462147E-2</v>
      </c>
      <c r="AD167" s="231">
        <f>(INDEX(Models!$BJ167:$BT167,,AH167)*(1-AF167)+INDEX(Models!$BJ167:$BT167,,AH167+1)*AF167-ERP_i)*AE167*Ramure*Pc/MaxiM</f>
        <v>5.6290059026415881E-5</v>
      </c>
      <c r="AE167" s="305">
        <f t="shared" si="62"/>
        <v>0.7</v>
      </c>
      <c r="AF167" s="177">
        <f t="shared" si="63"/>
        <v>0.36643775902670472</v>
      </c>
      <c r="AG167" s="810">
        <f t="shared" si="71"/>
        <v>-1</v>
      </c>
      <c r="AH167" s="176">
        <f t="shared" si="64"/>
        <v>5</v>
      </c>
      <c r="AI167" s="225">
        <f t="shared" si="65"/>
        <v>-0.63356224097329528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6">
        <v>45.7</v>
      </c>
      <c r="C168" s="390"/>
      <c r="D168" s="393">
        <f t="shared" si="48"/>
        <v>46.419221497556521</v>
      </c>
      <c r="E168" s="385">
        <f t="shared" si="69"/>
        <v>51.093270378674973</v>
      </c>
      <c r="F168" s="385">
        <f t="shared" si="49"/>
        <v>51.095343729065043</v>
      </c>
      <c r="G168" s="110">
        <f t="shared" si="70"/>
        <v>0.79541527404848267</v>
      </c>
      <c r="H168" s="414" t="b">
        <f>Wh_hp&gt;='2019'!Maxi_hp</f>
        <v>0</v>
      </c>
      <c r="I168" s="380">
        <f>IF(H168,Wh_hp,'2019'!Maxi_hp)</f>
        <v>51.148217772574448</v>
      </c>
      <c r="J168" s="85">
        <f>IF(H168,An,'2019'!An_max)</f>
        <v>2019</v>
      </c>
      <c r="K168" s="197">
        <f t="shared" si="50"/>
        <v>43984</v>
      </c>
      <c r="L168" s="147">
        <f>IF(t&lt;Tvie,1-EXP((T0-t)*PertePVj)+'2019'!Pspv,1-EXP((T0-t)*PertePVj)+Pspv)</f>
        <v>1.549404480198735E-2</v>
      </c>
      <c r="M168" s="844"/>
      <c r="N168" s="844"/>
      <c r="O168" s="48">
        <f>IF(t&lt;Tnet,'2019'!Resal+('2019'!Salim-'2019'!Resal)*(1-EXP(('2019'!Tnet-t)/('2019'!Tau_j))),Resal+(Salim-Resal)*(1-EXP((Tnet-t)/(Tau_j))))*Salcycl</f>
        <v>9.1480714514396808E-2</v>
      </c>
      <c r="P168" s="169">
        <f>(INDEX(Models!$BJ168:$BT168,,T168)*(1-R168)+INDEX(Models!$BJ168:$BT168,,T168+1)*R168-ERP_i)*Q168*Ramure*Pc/MaxiM</f>
        <v>5.7333485103077006E-5</v>
      </c>
      <c r="Q168" s="305">
        <f t="shared" si="51"/>
        <v>0.7</v>
      </c>
      <c r="R168" s="177">
        <f t="shared" si="52"/>
        <v>0.37045805725252223</v>
      </c>
      <c r="S168" s="810">
        <f t="shared" si="53"/>
        <v>-1</v>
      </c>
      <c r="T168" s="176">
        <f t="shared" si="54"/>
        <v>5</v>
      </c>
      <c r="U168" s="251">
        <f t="shared" si="55"/>
        <v>-0.62954194274747777</v>
      </c>
      <c r="V168" s="383">
        <f t="shared" si="56"/>
        <v>57.453302365968597</v>
      </c>
      <c r="W168" s="402"/>
      <c r="X168" s="157">
        <f t="shared" si="57"/>
        <v>43984</v>
      </c>
      <c r="Y168" s="385">
        <f t="shared" si="58"/>
        <v>45.7</v>
      </c>
      <c r="Z168" s="385">
        <f t="shared" si="59"/>
        <v>46.419221497556521</v>
      </c>
      <c r="AA168" s="386">
        <f t="shared" si="60"/>
        <v>51.093270378674973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9.1480714514396808E-2</v>
      </c>
      <c r="AD168" s="231">
        <f>(INDEX(Models!$BJ168:$BT168,,AH168)*(1-AF168)+INDEX(Models!$BJ168:$BT168,,AH168+1)*AF168-ERP_i)*AE168*Ramure*Pc/MaxiM</f>
        <v>5.7333485103077006E-5</v>
      </c>
      <c r="AE168" s="305">
        <f t="shared" si="62"/>
        <v>0.7</v>
      </c>
      <c r="AF168" s="177">
        <f t="shared" si="63"/>
        <v>0.37045805725252223</v>
      </c>
      <c r="AG168" s="810">
        <f t="shared" si="71"/>
        <v>-1</v>
      </c>
      <c r="AH168" s="176">
        <f t="shared" si="64"/>
        <v>5</v>
      </c>
      <c r="AI168" s="225">
        <f t="shared" si="65"/>
        <v>-0.62954194274747777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6">
        <v>25.106999999999999</v>
      </c>
      <c r="C169" s="390"/>
      <c r="D169" s="393">
        <f t="shared" si="48"/>
        <v>25.502724648441955</v>
      </c>
      <c r="E169" s="385">
        <f t="shared" si="69"/>
        <v>28.07535078304776</v>
      </c>
      <c r="F169" s="385">
        <f t="shared" si="49"/>
        <v>28.075671842447971</v>
      </c>
      <c r="G169" s="110">
        <f t="shared" si="70"/>
        <v>0.4370179487126884</v>
      </c>
      <c r="H169" s="414" t="b">
        <f>Wh_hp&gt;='2019'!Maxi_hp</f>
        <v>0</v>
      </c>
      <c r="I169" s="380">
        <f>IF(H169,Wh_hp,'2019'!Maxi_hp)</f>
        <v>55.953130597510338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1.5516955693835377E-2</v>
      </c>
      <c r="M169" s="844"/>
      <c r="N169" s="844"/>
      <c r="O169" s="48">
        <f>IF(t&lt;Tnet,'2019'!Resal+('2019'!Salim-'2019'!Resal)*(1-EXP(('2019'!Tnet-t)/('2019'!Tau_j))),Resal+(Salim-Resal)*(1-EXP((Tnet-t)/(Tau_j))))*Salcycl</f>
        <v>9.1632911534597405E-2</v>
      </c>
      <c r="P169" s="169">
        <f>(INDEX(Models!$BJ169:$BT169,,T169)*(1-R169)+INDEX(Models!$BJ169:$BT169,,T169+1)*R169-ERP_i)*Q169*Ramure*Pc/MaxiM</f>
        <v>5.8413165178065654E-5</v>
      </c>
      <c r="Q169" s="305">
        <f t="shared" si="51"/>
        <v>0.7</v>
      </c>
      <c r="R169" s="177">
        <f t="shared" si="52"/>
        <v>0.37450202327625004</v>
      </c>
      <c r="S169" s="810">
        <f t="shared" si="53"/>
        <v>-1</v>
      </c>
      <c r="T169" s="176">
        <f t="shared" si="54"/>
        <v>5</v>
      </c>
      <c r="U169" s="251">
        <f t="shared" si="55"/>
        <v>-0.62549797672374996</v>
      </c>
      <c r="V169" s="383">
        <f t="shared" si="56"/>
        <v>57.448030663900603</v>
      </c>
      <c r="W169" s="402"/>
      <c r="X169" s="157">
        <f t="shared" si="57"/>
        <v>43985</v>
      </c>
      <c r="Y169" s="385">
        <f t="shared" si="58"/>
        <v>25.106999999999999</v>
      </c>
      <c r="Z169" s="385">
        <f t="shared" si="59"/>
        <v>25.502724648441955</v>
      </c>
      <c r="AA169" s="386">
        <f t="shared" si="60"/>
        <v>28.07535078304776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9.1632911534597405E-2</v>
      </c>
      <c r="AD169" s="231">
        <f>(INDEX(Models!$BJ169:$BT169,,AH169)*(1-AF169)+INDEX(Models!$BJ169:$BT169,,AH169+1)*AF169-ERP_i)*AE169*Ramure*Pc/MaxiM</f>
        <v>5.8413165178065654E-5</v>
      </c>
      <c r="AE169" s="305">
        <f t="shared" si="62"/>
        <v>0.7</v>
      </c>
      <c r="AF169" s="177">
        <f t="shared" si="63"/>
        <v>0.37450202327625004</v>
      </c>
      <c r="AG169" s="810">
        <f t="shared" si="71"/>
        <v>-1</v>
      </c>
      <c r="AH169" s="176">
        <f t="shared" si="64"/>
        <v>5</v>
      </c>
      <c r="AI169" s="225">
        <f t="shared" si="65"/>
        <v>-0.62549797672374996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6">
        <v>34.023000000000003</v>
      </c>
      <c r="C170" s="390"/>
      <c r="D170" s="393">
        <f t="shared" si="48"/>
        <v>34.560058682696109</v>
      </c>
      <c r="E170" s="385">
        <f t="shared" ref="E170:E232" si="72">Wh_pvt/(1-Psa)</f>
        <v>38.052700621898417</v>
      </c>
      <c r="F170" s="385">
        <f t="shared" si="49"/>
        <v>38.053646707638705</v>
      </c>
      <c r="G170" s="110">
        <f t="shared" ref="G170:G232" si="73">+Wh_hp/MaxiM</f>
        <v>0.59230825316570268</v>
      </c>
      <c r="H170" s="414" t="b">
        <f>Wh_hp&gt;='2019'!Maxi_hp</f>
        <v>1</v>
      </c>
      <c r="I170" s="380">
        <f>IF(H170,Wh_hp,'2019'!Maxi_hp)</f>
        <v>38.053646707638705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1.5539866052513562E-2</v>
      </c>
      <c r="M170" s="844"/>
      <c r="N170" s="844"/>
      <c r="O170" s="48">
        <f>IF(t&lt;Tnet,'2019'!Resal+('2019'!Salim-'2019'!Resal)*(1-EXP(('2019'!Tnet-t)/('2019'!Tau_j))),Resal+(Salim-Resal)*(1-EXP((Tnet-t)/(Tau_j))))*Salcycl</f>
        <v>9.1784338092218795E-2</v>
      </c>
      <c r="P170" s="169">
        <f>(INDEX(Models!$BJ170:$BT170,,T170)*(1-R170)+INDEX(Models!$BJ170:$BT170,,T170+1)*R170-ERP_i)*Q170*Ramure*Pc/MaxiM</f>
        <v>5.9533397101561676E-5</v>
      </c>
      <c r="Q170" s="305">
        <f t="shared" si="51"/>
        <v>0.7</v>
      </c>
      <c r="R170" s="177">
        <f t="shared" si="52"/>
        <v>0.37856642397246765</v>
      </c>
      <c r="S170" s="810">
        <f t="shared" si="53"/>
        <v>-1</v>
      </c>
      <c r="T170" s="176">
        <f t="shared" si="54"/>
        <v>5</v>
      </c>
      <c r="U170" s="251">
        <f t="shared" si="55"/>
        <v>-0.62143357602753235</v>
      </c>
      <c r="V170" s="383">
        <f t="shared" si="56"/>
        <v>57.439382551727022</v>
      </c>
      <c r="W170" s="402"/>
      <c r="X170" s="157">
        <f t="shared" si="57"/>
        <v>43986</v>
      </c>
      <c r="Y170" s="385">
        <f t="shared" si="58"/>
        <v>34.023000000000003</v>
      </c>
      <c r="Z170" s="385">
        <f t="shared" si="59"/>
        <v>34.560058682696109</v>
      </c>
      <c r="AA170" s="386">
        <f t="shared" si="60"/>
        <v>38.052700621898417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9.1784338092218795E-2</v>
      </c>
      <c r="AD170" s="231">
        <f>(INDEX(Models!$BJ170:$BT170,,AH170)*(1-AF170)+INDEX(Models!$BJ170:$BT170,,AH170+1)*AF170-ERP_i)*AE170*Ramure*Pc/MaxiM</f>
        <v>5.9533397101561676E-5</v>
      </c>
      <c r="AE170" s="305">
        <f t="shared" si="62"/>
        <v>0.7</v>
      </c>
      <c r="AF170" s="177">
        <f t="shared" si="63"/>
        <v>0.37856642397246765</v>
      </c>
      <c r="AG170" s="810">
        <f t="shared" si="71"/>
        <v>-1</v>
      </c>
      <c r="AH170" s="176">
        <f t="shared" si="64"/>
        <v>5</v>
      </c>
      <c r="AI170" s="225">
        <f t="shared" si="65"/>
        <v>-0.62143357602753235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6">
        <v>22.927</v>
      </c>
      <c r="C171" s="390"/>
      <c r="D171" s="393">
        <f t="shared" si="48"/>
        <v>23.289448466812022</v>
      </c>
      <c r="E171" s="385">
        <f t="shared" si="72"/>
        <v>25.647334098653477</v>
      </c>
      <c r="F171" s="385">
        <f t="shared" si="49"/>
        <v>25.647554627893701</v>
      </c>
      <c r="G171" s="110">
        <f t="shared" si="73"/>
        <v>0.39921192095276081</v>
      </c>
      <c r="H171" s="414" t="b">
        <f>Wh_hp&gt;='2019'!Maxi_hp</f>
        <v>0</v>
      </c>
      <c r="I171" s="380">
        <f>IF(H171,Wh_hp,'2019'!Maxi_hp)</f>
        <v>63.423622728283476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1.556277587803423E-2</v>
      </c>
      <c r="M171" s="844"/>
      <c r="N171" s="844"/>
      <c r="O171" s="48">
        <f>IF(t&lt;Tnet,'2019'!Resal+('2019'!Salim-'2019'!Resal)*(1-EXP(('2019'!Tnet-t)/('2019'!Tau_j))),Resal+(Salim-Resal)*(1-EXP((Tnet-t)/(Tau_j))))*Salcycl</f>
        <v>9.1934920907247322E-2</v>
      </c>
      <c r="P171" s="169">
        <f>(INDEX(Models!$BJ171:$BT171,,T171)*(1-R171)+INDEX(Models!$BJ171:$BT171,,T171+1)*R171-ERP_i)*Q171*Ramure*Pc/MaxiM</f>
        <v>6.0654556797962845E-5</v>
      </c>
      <c r="Q171" s="305">
        <f t="shared" si="51"/>
        <v>0.7</v>
      </c>
      <c r="R171" s="177">
        <f t="shared" si="52"/>
        <v>0.38264795881017954</v>
      </c>
      <c r="S171" s="810">
        <f t="shared" si="53"/>
        <v>-1</v>
      </c>
      <c r="T171" s="176">
        <f t="shared" si="54"/>
        <v>5</v>
      </c>
      <c r="U171" s="251">
        <f t="shared" si="55"/>
        <v>-0.61735204118982046</v>
      </c>
      <c r="V171" s="383">
        <f t="shared" si="56"/>
        <v>57.427660087614463</v>
      </c>
      <c r="W171" s="402"/>
      <c r="X171" s="157">
        <f t="shared" si="57"/>
        <v>43987</v>
      </c>
      <c r="Y171" s="385">
        <f t="shared" si="58"/>
        <v>22.927</v>
      </c>
      <c r="Z171" s="385">
        <f t="shared" si="59"/>
        <v>23.289448466812022</v>
      </c>
      <c r="AA171" s="386">
        <f t="shared" si="60"/>
        <v>25.647334098653477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9.1934920907247322E-2</v>
      </c>
      <c r="AD171" s="231">
        <f>(INDEX(Models!$BJ171:$BT171,,AH171)*(1-AF171)+INDEX(Models!$BJ171:$BT171,,AH171+1)*AF171-ERP_i)*AE171*Ramure*Pc/MaxiM</f>
        <v>6.0654556797962845E-5</v>
      </c>
      <c r="AE171" s="305">
        <f t="shared" si="62"/>
        <v>0.7</v>
      </c>
      <c r="AF171" s="177">
        <f t="shared" si="63"/>
        <v>0.38264795881017954</v>
      </c>
      <c r="AG171" s="810">
        <f t="shared" si="71"/>
        <v>-1</v>
      </c>
      <c r="AH171" s="176">
        <f t="shared" si="64"/>
        <v>5</v>
      </c>
      <c r="AI171" s="225">
        <f t="shared" si="65"/>
        <v>-0.61735204118982046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6">
        <v>25.449000000000002</v>
      </c>
      <c r="C172" s="390"/>
      <c r="D172" s="393">
        <f t="shared" si="48"/>
        <v>25.851919884368424</v>
      </c>
      <c r="E172" s="385">
        <f t="shared" si="72"/>
        <v>28.473930016970552</v>
      </c>
      <c r="F172" s="385">
        <f t="shared" si="49"/>
        <v>28.474290016041717</v>
      </c>
      <c r="G172" s="110">
        <f t="shared" si="73"/>
        <v>0.44323894364904581</v>
      </c>
      <c r="H172" s="414" t="b">
        <f>Wh_hp&gt;='2019'!Maxi_hp</f>
        <v>1</v>
      </c>
      <c r="I172" s="380">
        <f>IF(H172,Wh_hp,'2019'!Maxi_hp)</f>
        <v>28.474290016041717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1.5585685170409813E-2</v>
      </c>
      <c r="M172" s="844"/>
      <c r="N172" s="844"/>
      <c r="O172" s="48">
        <f>IF(t&lt;Tnet,'2019'!Resal+('2019'!Salim-'2019'!Resal)*(1-EXP(('2019'!Tnet-t)/('2019'!Tau_j))),Resal+(Salim-Resal)*(1-EXP((Tnet-t)/(Tau_j))))*Salcycl</f>
        <v>9.2084588640886603E-2</v>
      </c>
      <c r="P172" s="169">
        <f>(INDEX(Models!$BJ172:$BT172,,T172)*(1-R172)+INDEX(Models!$BJ172:$BT172,,T172+1)*R172-ERP_i)*Q172*Ramure*Pc/MaxiM</f>
        <v>6.1775942297792431E-5</v>
      </c>
      <c r="Q172" s="305">
        <f t="shared" si="51"/>
        <v>0.7</v>
      </c>
      <c r="R172" s="177">
        <f t="shared" si="52"/>
        <v>0.38674327034444034</v>
      </c>
      <c r="S172" s="810">
        <f t="shared" si="53"/>
        <v>-1</v>
      </c>
      <c r="T172" s="176">
        <f t="shared" si="54"/>
        <v>5</v>
      </c>
      <c r="U172" s="251">
        <f t="shared" si="55"/>
        <v>-0.61325672965555966</v>
      </c>
      <c r="V172" s="383">
        <f t="shared" si="56"/>
        <v>57.413162727102197</v>
      </c>
      <c r="W172" s="402"/>
      <c r="X172" s="157">
        <f t="shared" si="57"/>
        <v>43988</v>
      </c>
      <c r="Y172" s="385">
        <f t="shared" si="58"/>
        <v>25.449000000000002</v>
      </c>
      <c r="Z172" s="385">
        <f t="shared" si="59"/>
        <v>25.851919884368424</v>
      </c>
      <c r="AA172" s="386">
        <f t="shared" si="60"/>
        <v>28.473930016970552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9.2084588640886603E-2</v>
      </c>
      <c r="AD172" s="231">
        <f>(INDEX(Models!$BJ172:$BT172,,AH172)*(1-AF172)+INDEX(Models!$BJ172:$BT172,,AH172+1)*AF172-ERP_i)*AE172*Ramure*Pc/MaxiM</f>
        <v>6.1775942297792431E-5</v>
      </c>
      <c r="AE172" s="305">
        <f t="shared" si="62"/>
        <v>0.7</v>
      </c>
      <c r="AF172" s="177">
        <f t="shared" si="63"/>
        <v>0.38674327034444034</v>
      </c>
      <c r="AG172" s="810">
        <f t="shared" si="71"/>
        <v>-1</v>
      </c>
      <c r="AH172" s="176">
        <f t="shared" si="64"/>
        <v>5</v>
      </c>
      <c r="AI172" s="225">
        <f t="shared" si="65"/>
        <v>-0.61325672965555966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6">
        <v>39.497</v>
      </c>
      <c r="C173" s="390"/>
      <c r="D173" s="393">
        <f t="shared" si="48"/>
        <v>40.123267794129276</v>
      </c>
      <c r="E173" s="385">
        <f t="shared" si="72"/>
        <v>44.199976232252183</v>
      </c>
      <c r="F173" s="385">
        <f t="shared" si="49"/>
        <v>44.201517804065276</v>
      </c>
      <c r="G173" s="110">
        <f t="shared" si="73"/>
        <v>0.6881274442573887</v>
      </c>
      <c r="H173" s="414" t="b">
        <f>Wh_hp&gt;='2019'!Maxi_hp</f>
        <v>0</v>
      </c>
      <c r="I173" s="380">
        <f>IF(H173,Wh_hp,'2019'!Maxi_hp)</f>
        <v>64.288784503922017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1.5608593929652637E-2</v>
      </c>
      <c r="M173" s="844"/>
      <c r="N173" s="844"/>
      <c r="O173" s="48">
        <f>IF(t&lt;Tnet,'2019'!Resal+('2019'!Salim-'2019'!Resal)*(1-EXP(('2019'!Tnet-t)/('2019'!Tau_j))),Resal+(Salim-Resal)*(1-EXP((Tnet-t)/(Tau_j))))*Salcycl</f>
        <v>9.2233272178734463E-2</v>
      </c>
      <c r="P173" s="169">
        <f>(INDEX(Models!$BJ173:$BT173,,T173)*(1-R173)+INDEX(Models!$BJ173:$BT173,,T173+1)*R173-ERP_i)*Q173*Ramure*Pc/MaxiM</f>
        <v>6.289682014949079E-5</v>
      </c>
      <c r="Q173" s="305">
        <f t="shared" si="51"/>
        <v>0.7</v>
      </c>
      <c r="R173" s="177">
        <f t="shared" si="52"/>
        <v>0.39084895510705353</v>
      </c>
      <c r="S173" s="810">
        <f t="shared" si="53"/>
        <v>-1</v>
      </c>
      <c r="T173" s="176">
        <f t="shared" si="54"/>
        <v>5</v>
      </c>
      <c r="U173" s="251">
        <f t="shared" si="55"/>
        <v>-0.60915104489294647</v>
      </c>
      <c r="V173" s="383">
        <f t="shared" si="56"/>
        <v>57.396189546548428</v>
      </c>
      <c r="W173" s="402"/>
      <c r="X173" s="157">
        <f t="shared" si="57"/>
        <v>43989</v>
      </c>
      <c r="Y173" s="385">
        <f t="shared" si="58"/>
        <v>39.497</v>
      </c>
      <c r="Z173" s="385">
        <f t="shared" si="59"/>
        <v>40.123267794129276</v>
      </c>
      <c r="AA173" s="386">
        <f t="shared" si="60"/>
        <v>44.199976232252183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9.2233272178734463E-2</v>
      </c>
      <c r="AD173" s="231">
        <f>(INDEX(Models!$BJ173:$BT173,,AH173)*(1-AF173)+INDEX(Models!$BJ173:$BT173,,AH173+1)*AF173-ERP_i)*AE173*Ramure*Pc/MaxiM</f>
        <v>6.289682014949079E-5</v>
      </c>
      <c r="AE173" s="305">
        <f t="shared" si="62"/>
        <v>0.7</v>
      </c>
      <c r="AF173" s="177">
        <f t="shared" si="63"/>
        <v>0.39084895510705353</v>
      </c>
      <c r="AG173" s="810">
        <f t="shared" si="71"/>
        <v>-1</v>
      </c>
      <c r="AH173" s="176">
        <f t="shared" si="64"/>
        <v>5</v>
      </c>
      <c r="AI173" s="225">
        <f t="shared" si="65"/>
        <v>-0.60915104489294647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6">
        <v>41.313000000000002</v>
      </c>
      <c r="C174" s="390"/>
      <c r="D174" s="393">
        <f t="shared" si="48"/>
        <v>41.969039125567114</v>
      </c>
      <c r="E174" s="385">
        <f t="shared" si="72"/>
        <v>46.240806691281165</v>
      </c>
      <c r="F174" s="385">
        <f t="shared" si="49"/>
        <v>46.242582975159216</v>
      </c>
      <c r="G174" s="110">
        <f t="shared" si="73"/>
        <v>0.72000825997043771</v>
      </c>
      <c r="H174" s="414" t="b">
        <f>Wh_hp&gt;='2019'!Maxi_hp</f>
        <v>0</v>
      </c>
      <c r="I174" s="380">
        <f>IF(H174,Wh_hp,'2019'!Maxi_hp)</f>
        <v>51.869525861832258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1.5631502155775134E-2</v>
      </c>
      <c r="M174" s="844"/>
      <c r="N174" s="844"/>
      <c r="O174" s="48">
        <f>IF(t&lt;Tnet,'2019'!Resal+('2019'!Salim-'2019'!Resal)*(1-EXP(('2019'!Tnet-t)/('2019'!Tau_j))),Resal+(Salim-Resal)*(1-EXP((Tnet-t)/(Tau_j))))*Salcycl</f>
        <v>9.2380904905785391E-2</v>
      </c>
      <c r="P174" s="169">
        <f>(INDEX(Models!$BJ174:$BT174,,T174)*(1-R174)+INDEX(Models!$BJ174:$BT174,,T174+1)*R174-ERP_i)*Q174*Ramure*Pc/MaxiM</f>
        <v>6.4016427628160901E-5</v>
      </c>
      <c r="Q174" s="305">
        <f t="shared" si="51"/>
        <v>0.7</v>
      </c>
      <c r="R174" s="177">
        <f t="shared" si="52"/>
        <v>0.39496157482249827</v>
      </c>
      <c r="S174" s="810">
        <f t="shared" si="53"/>
        <v>-1</v>
      </c>
      <c r="T174" s="176">
        <f t="shared" si="54"/>
        <v>5</v>
      </c>
      <c r="U174" s="251">
        <f t="shared" si="55"/>
        <v>-0.60503842517750173</v>
      </c>
      <c r="V174" s="383">
        <f t="shared" si="56"/>
        <v>57.377039226822035</v>
      </c>
      <c r="W174" s="402"/>
      <c r="X174" s="157">
        <f t="shared" si="57"/>
        <v>43990</v>
      </c>
      <c r="Y174" s="385">
        <f t="shared" si="58"/>
        <v>41.313000000000002</v>
      </c>
      <c r="Z174" s="385">
        <f t="shared" si="59"/>
        <v>41.969039125567114</v>
      </c>
      <c r="AA174" s="386">
        <f t="shared" si="60"/>
        <v>46.240806691281165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9.2380904905785391E-2</v>
      </c>
      <c r="AD174" s="231">
        <f>(INDEX(Models!$BJ174:$BT174,,AH174)*(1-AF174)+INDEX(Models!$BJ174:$BT174,,AH174+1)*AF174-ERP_i)*AE174*Ramure*Pc/MaxiM</f>
        <v>6.4016427628160901E-5</v>
      </c>
      <c r="AE174" s="305">
        <f t="shared" si="62"/>
        <v>0.7</v>
      </c>
      <c r="AF174" s="177">
        <f t="shared" si="63"/>
        <v>0.39496157482249827</v>
      </c>
      <c r="AG174" s="810">
        <f t="shared" si="71"/>
        <v>-1</v>
      </c>
      <c r="AH174" s="176">
        <f t="shared" si="64"/>
        <v>5</v>
      </c>
      <c r="AI174" s="225">
        <f t="shared" si="65"/>
        <v>-0.60503842517750173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6">
        <v>24.154</v>
      </c>
      <c r="C175" s="390"/>
      <c r="D175" s="393">
        <f t="shared" si="48"/>
        <v>24.538129943051388</v>
      </c>
      <c r="E175" s="385">
        <f t="shared" si="72"/>
        <v>27.040078746397114</v>
      </c>
      <c r="F175" s="385">
        <f t="shared" si="49"/>
        <v>27.040383502963564</v>
      </c>
      <c r="G175" s="110">
        <f t="shared" si="73"/>
        <v>0.42110144951587414</v>
      </c>
      <c r="H175" s="414" t="b">
        <f>Wh_hp&gt;='2019'!Maxi_hp</f>
        <v>1</v>
      </c>
      <c r="I175" s="380">
        <f>IF(H175,Wh_hp,'2019'!Maxi_hp)</f>
        <v>27.040383502963564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1.5654409848789852E-2</v>
      </c>
      <c r="M175" s="844"/>
      <c r="N175" s="844"/>
      <c r="O175" s="48">
        <f>IF(t&lt;Tnet,'2019'!Resal+('2019'!Salim-'2019'!Resal)*(1-EXP(('2019'!Tnet-t)/('2019'!Tau_j))),Resal+(Salim-Resal)*(1-EXP((Tnet-t)/(Tau_j))))*Salcycl</f>
        <v>9.2527422971321535E-2</v>
      </c>
      <c r="P175" s="169">
        <f>(INDEX(Models!$BJ175:$BT175,,T175)*(1-R175)+INDEX(Models!$BJ175:$BT175,,T175+1)*R175-ERP_i)*Q175*Ramure*Pc/MaxiM</f>
        <v>6.5133975092664573E-5</v>
      </c>
      <c r="Q175" s="305">
        <f t="shared" si="51"/>
        <v>0.7</v>
      </c>
      <c r="R175" s="177">
        <f t="shared" si="52"/>
        <v>0.3990776678713075</v>
      </c>
      <c r="S175" s="810">
        <f t="shared" si="53"/>
        <v>-1</v>
      </c>
      <c r="T175" s="176">
        <f t="shared" si="54"/>
        <v>5</v>
      </c>
      <c r="U175" s="251">
        <f t="shared" si="55"/>
        <v>-0.6009223321286925</v>
      </c>
      <c r="V175" s="383">
        <f t="shared" si="56"/>
        <v>57.356010037183871</v>
      </c>
      <c r="W175" s="402"/>
      <c r="X175" s="157">
        <f t="shared" si="57"/>
        <v>43991</v>
      </c>
      <c r="Y175" s="385">
        <f t="shared" si="58"/>
        <v>24.154</v>
      </c>
      <c r="Z175" s="385">
        <f t="shared" si="59"/>
        <v>24.538129943051388</v>
      </c>
      <c r="AA175" s="386">
        <f t="shared" si="60"/>
        <v>27.040078746397114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9.2527422971321535E-2</v>
      </c>
      <c r="AD175" s="231">
        <f>(INDEX(Models!$BJ175:$BT175,,AH175)*(1-AF175)+INDEX(Models!$BJ175:$BT175,,AH175+1)*AF175-ERP_i)*AE175*Ramure*Pc/MaxiM</f>
        <v>6.5133975092664573E-5</v>
      </c>
      <c r="AE175" s="305">
        <f t="shared" si="62"/>
        <v>0.7</v>
      </c>
      <c r="AF175" s="177">
        <f t="shared" si="63"/>
        <v>0.3990776678713075</v>
      </c>
      <c r="AG175" s="810">
        <f t="shared" si="71"/>
        <v>-1</v>
      </c>
      <c r="AH175" s="176">
        <f t="shared" si="64"/>
        <v>5</v>
      </c>
      <c r="AI175" s="225">
        <f t="shared" si="65"/>
        <v>-0.6009223321286925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6">
        <v>38.637999999999998</v>
      </c>
      <c r="C176" s="390"/>
      <c r="D176" s="393">
        <f t="shared" si="48"/>
        <v>39.25338780427338</v>
      </c>
      <c r="E176" s="385">
        <f t="shared" si="72"/>
        <v>43.26265796233163</v>
      </c>
      <c r="F176" s="385">
        <f t="shared" si="49"/>
        <v>43.264188992387595</v>
      </c>
      <c r="G176" s="110">
        <f t="shared" si="73"/>
        <v>0.6738970248074555</v>
      </c>
      <c r="H176" s="414" t="b">
        <f>Wh_hp&gt;='2019'!Maxi_hp</f>
        <v>1</v>
      </c>
      <c r="I176" s="380">
        <f>IF(H176,Wh_hp,'2019'!Maxi_hp)</f>
        <v>43.264188992387595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1.5677317008709002E-2</v>
      </c>
      <c r="M176" s="844"/>
      <c r="N176" s="844"/>
      <c r="O176" s="48">
        <f>IF(t&lt;Tnet,'2019'!Resal+('2019'!Salim-'2019'!Resal)*(1-EXP(('2019'!Tnet-t)/('2019'!Tau_j))),Resal+(Salim-Resal)*(1-EXP((Tnet-t)/(Tau_j))))*Salcycl</f>
        <v>9.2672765541800151E-2</v>
      </c>
      <c r="P176" s="169">
        <f>(INDEX(Models!$BJ176:$BT176,,T176)*(1-R176)+INDEX(Models!$BJ176:$BT176,,T176+1)*R176-ERP_i)*Q176*Ramure*Pc/MaxiM</f>
        <v>6.6248648477134546E-5</v>
      </c>
      <c r="Q176" s="305">
        <f t="shared" si="51"/>
        <v>0.7</v>
      </c>
      <c r="R176" s="177">
        <f t="shared" si="52"/>
        <v>0.40319376092011672</v>
      </c>
      <c r="S176" s="810">
        <f t="shared" si="53"/>
        <v>-1</v>
      </c>
      <c r="T176" s="176">
        <f t="shared" si="54"/>
        <v>5</v>
      </c>
      <c r="U176" s="251">
        <f t="shared" si="55"/>
        <v>-0.59680623907988328</v>
      </c>
      <c r="V176" s="383">
        <f t="shared" si="56"/>
        <v>57.33339982079454</v>
      </c>
      <c r="W176" s="402"/>
      <c r="X176" s="157">
        <f t="shared" si="57"/>
        <v>43992</v>
      </c>
      <c r="Y176" s="385">
        <f t="shared" si="58"/>
        <v>38.637999999999998</v>
      </c>
      <c r="Z176" s="385">
        <f t="shared" si="59"/>
        <v>39.25338780427338</v>
      </c>
      <c r="AA176" s="386">
        <f t="shared" si="60"/>
        <v>43.26265796233163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9.2672765541800151E-2</v>
      </c>
      <c r="AD176" s="231">
        <f>(INDEX(Models!$BJ176:$BT176,,AH176)*(1-AF176)+INDEX(Models!$BJ176:$BT176,,AH176+1)*AF176-ERP_i)*AE176*Ramure*Pc/MaxiM</f>
        <v>6.6248648477134546E-5</v>
      </c>
      <c r="AE176" s="305">
        <f t="shared" si="62"/>
        <v>0.7</v>
      </c>
      <c r="AF176" s="177">
        <f t="shared" si="63"/>
        <v>0.40319376092011672</v>
      </c>
      <c r="AG176" s="810">
        <f t="shared" si="71"/>
        <v>-1</v>
      </c>
      <c r="AH176" s="176">
        <f t="shared" si="64"/>
        <v>5</v>
      </c>
      <c r="AI176" s="225">
        <f t="shared" si="65"/>
        <v>-0.59680623907988328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6">
        <v>26.367000000000001</v>
      </c>
      <c r="C177" s="390"/>
      <c r="D177" s="393">
        <f t="shared" si="48"/>
        <v>26.787570853045832</v>
      </c>
      <c r="E177" s="385">
        <f t="shared" si="72"/>
        <v>29.528294912038067</v>
      </c>
      <c r="F177" s="385">
        <f t="shared" si="49"/>
        <v>29.528749809368158</v>
      </c>
      <c r="G177" s="110">
        <f t="shared" si="73"/>
        <v>0.46006441306425239</v>
      </c>
      <c r="H177" s="414" t="b">
        <f>Wh_hp&gt;='2019'!Maxi_hp</f>
        <v>0</v>
      </c>
      <c r="I177" s="380">
        <f>IF(H177,Wh_hp,'2019'!Maxi_hp)</f>
        <v>55.539743241792053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1.570022363554513E-2</v>
      </c>
      <c r="M177" s="844"/>
      <c r="N177" s="844"/>
      <c r="O177" s="48">
        <f>IF(t&lt;Tnet,'2019'!Resal+('2019'!Salim-'2019'!Resal)*(1-EXP(('2019'!Tnet-t)/('2019'!Tau_j))),Resal+(Salim-Resal)*(1-EXP((Tnet-t)/(Tau_j))))*Salcycl</f>
        <v>9.2816875039909569E-2</v>
      </c>
      <c r="P177" s="169">
        <f>(INDEX(Models!$BJ177:$BT177,,T177)*(1-R177)+INDEX(Models!$BJ177:$BT177,,T177+1)*R177-ERP_i)*Q177*Ramure*Pc/MaxiM</f>
        <v>6.7360721044051606E-5</v>
      </c>
      <c r="Q177" s="305">
        <f t="shared" si="51"/>
        <v>0.7</v>
      </c>
      <c r="R177" s="177">
        <f t="shared" si="52"/>
        <v>0.40730638063556146</v>
      </c>
      <c r="S177" s="810">
        <f t="shared" si="53"/>
        <v>-1</v>
      </c>
      <c r="T177" s="176">
        <f t="shared" si="54"/>
        <v>5</v>
      </c>
      <c r="U177" s="251">
        <f t="shared" si="55"/>
        <v>-0.59269361936443854</v>
      </c>
      <c r="V177" s="383">
        <f t="shared" si="56"/>
        <v>57.30856227932842</v>
      </c>
      <c r="W177" s="402"/>
      <c r="X177" s="157">
        <f t="shared" si="57"/>
        <v>43993</v>
      </c>
      <c r="Y177" s="385">
        <f t="shared" si="58"/>
        <v>26.367000000000001</v>
      </c>
      <c r="Z177" s="385">
        <f t="shared" si="59"/>
        <v>26.787570853045832</v>
      </c>
      <c r="AA177" s="386">
        <f t="shared" si="60"/>
        <v>29.528294912038067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9.2816875039909569E-2</v>
      </c>
      <c r="AD177" s="231">
        <f>(INDEX(Models!$BJ177:$BT177,,AH177)*(1-AF177)+INDEX(Models!$BJ177:$BT177,,AH177+1)*AF177-ERP_i)*AE177*Ramure*Pc/MaxiM</f>
        <v>6.7360721044051606E-5</v>
      </c>
      <c r="AE177" s="305">
        <f t="shared" si="62"/>
        <v>0.7</v>
      </c>
      <c r="AF177" s="177">
        <f t="shared" si="63"/>
        <v>0.40730638063556146</v>
      </c>
      <c r="AG177" s="810">
        <f t="shared" si="71"/>
        <v>-1</v>
      </c>
      <c r="AH177" s="176">
        <f t="shared" si="64"/>
        <v>5</v>
      </c>
      <c r="AI177" s="225">
        <f t="shared" si="65"/>
        <v>-0.59269361936443854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6">
        <v>53.423000000000002</v>
      </c>
      <c r="C178" s="390"/>
      <c r="D178" s="393">
        <f t="shared" si="48"/>
        <v>54.27639479662664</v>
      </c>
      <c r="E178" s="385">
        <f t="shared" si="72"/>
        <v>59.839011165361718</v>
      </c>
      <c r="F178" s="385">
        <f t="shared" si="49"/>
        <v>59.842712253338817</v>
      </c>
      <c r="G178" s="110">
        <f t="shared" si="73"/>
        <v>0.93264618523171361</v>
      </c>
      <c r="H178" s="414" t="b">
        <f>Wh_hp&gt;='2019'!Maxi_hp</f>
        <v>0</v>
      </c>
      <c r="I178" s="380">
        <f>IF(H178,Wh_hp,'2019'!Maxi_hp)</f>
        <v>65.896682461422955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1.5723129729310559E-2</v>
      </c>
      <c r="M178" s="844"/>
      <c r="N178" s="844"/>
      <c r="O178" s="48">
        <f>IF(t&lt;Tnet,'2019'!Resal+('2019'!Salim-'2019'!Resal)*(1-EXP(('2019'!Tnet-t)/('2019'!Tau_j))),Resal+(Salim-Resal)*(1-EXP((Tnet-t)/(Tau_j))))*Salcycl</f>
        <v>9.2959697368044811E-2</v>
      </c>
      <c r="P178" s="169">
        <f>(INDEX(Models!$BJ178:$BT178,,T178)*(1-R178)+INDEX(Models!$BJ178:$BT178,,T178+1)*R178-ERP_i)*Q178*Ramure*Pc/MaxiM</f>
        <v>6.8430713893289543E-5</v>
      </c>
      <c r="Q178" s="305">
        <f t="shared" si="51"/>
        <v>0.7</v>
      </c>
      <c r="R178" s="177">
        <f t="shared" si="52"/>
        <v>0.41141206539817465</v>
      </c>
      <c r="S178" s="810">
        <f t="shared" si="53"/>
        <v>-1</v>
      </c>
      <c r="T178" s="176">
        <f t="shared" si="54"/>
        <v>5</v>
      </c>
      <c r="U178" s="251">
        <f t="shared" si="55"/>
        <v>-0.58858793460182535</v>
      </c>
      <c r="V178" s="383">
        <f t="shared" si="56"/>
        <v>57.280723492621703</v>
      </c>
      <c r="W178" s="402"/>
      <c r="X178" s="157">
        <f t="shared" si="57"/>
        <v>43994</v>
      </c>
      <c r="Y178" s="385">
        <f t="shared" si="58"/>
        <v>53.423000000000002</v>
      </c>
      <c r="Z178" s="385">
        <f t="shared" si="59"/>
        <v>54.27639479662664</v>
      </c>
      <c r="AA178" s="386">
        <f t="shared" si="60"/>
        <v>59.839011165361718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9.2959697368044811E-2</v>
      </c>
      <c r="AD178" s="231">
        <f>(INDEX(Models!$BJ178:$BT178,,AH178)*(1-AF178)+INDEX(Models!$BJ178:$BT178,,AH178+1)*AF178-ERP_i)*AE178*Ramure*Pc/MaxiM</f>
        <v>6.8430713893289543E-5</v>
      </c>
      <c r="AE178" s="305">
        <f t="shared" si="62"/>
        <v>0.7</v>
      </c>
      <c r="AF178" s="177">
        <f t="shared" si="63"/>
        <v>0.41141206539817465</v>
      </c>
      <c r="AG178" s="810">
        <f t="shared" si="71"/>
        <v>-1</v>
      </c>
      <c r="AH178" s="176">
        <f t="shared" si="64"/>
        <v>5</v>
      </c>
      <c r="AI178" s="225">
        <f t="shared" si="65"/>
        <v>-0.58858793460182535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6">
        <v>38.503999999999998</v>
      </c>
      <c r="C179" s="390"/>
      <c r="D179" s="393">
        <f t="shared" si="48"/>
        <v>39.119984658985331</v>
      </c>
      <c r="E179" s="385">
        <f t="shared" si="72"/>
        <v>43.135996968436537</v>
      </c>
      <c r="F179" s="385">
        <f t="shared" si="49"/>
        <v>43.137591982350678</v>
      </c>
      <c r="G179" s="110">
        <f t="shared" si="73"/>
        <v>0.67253727051071588</v>
      </c>
      <c r="H179" s="414" t="b">
        <f>Wh_hp&gt;='2019'!Maxi_hp</f>
        <v>1</v>
      </c>
      <c r="I179" s="380">
        <f>IF(H179,Wh_hp,'2019'!Maxi_hp)</f>
        <v>43.137591982350678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1.5746035290017724E-2</v>
      </c>
      <c r="M179" s="844"/>
      <c r="N179" s="844"/>
      <c r="O179" s="48">
        <f>IF(t&lt;Tnet,'2019'!Resal+('2019'!Salim-'2019'!Resal)*(1-EXP(('2019'!Tnet-t)/('2019'!Tau_j))),Resal+(Salim-Resal)*(1-EXP((Tnet-t)/(Tau_j))))*Salcycl</f>
        <v>9.3101182114552788E-2</v>
      </c>
      <c r="P179" s="169">
        <f>(INDEX(Models!$BJ179:$BT179,,T179)*(1-R179)+INDEX(Models!$BJ179:$BT179,,T179+1)*R179-ERP_i)*Q179*Ramure*Pc/MaxiM</f>
        <v>6.9472257206963791E-5</v>
      </c>
      <c r="Q179" s="305">
        <f t="shared" si="51"/>
        <v>0.7</v>
      </c>
      <c r="R179" s="177">
        <f t="shared" si="52"/>
        <v>0.41550737693243545</v>
      </c>
      <c r="S179" s="810">
        <f t="shared" si="53"/>
        <v>-1</v>
      </c>
      <c r="T179" s="176">
        <f t="shared" si="54"/>
        <v>5</v>
      </c>
      <c r="U179" s="251">
        <f t="shared" si="55"/>
        <v>-0.58449262306756455</v>
      </c>
      <c r="V179" s="383">
        <f t="shared" si="56"/>
        <v>57.249985047515985</v>
      </c>
      <c r="W179" s="402"/>
      <c r="X179" s="157">
        <f t="shared" si="57"/>
        <v>43995</v>
      </c>
      <c r="Y179" s="385">
        <f t="shared" si="58"/>
        <v>38.503999999999998</v>
      </c>
      <c r="Z179" s="385">
        <f t="shared" si="59"/>
        <v>39.119984658985331</v>
      </c>
      <c r="AA179" s="386">
        <f t="shared" si="60"/>
        <v>43.135996968436537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9.3101182114552788E-2</v>
      </c>
      <c r="AD179" s="231">
        <f>(INDEX(Models!$BJ179:$BT179,,AH179)*(1-AF179)+INDEX(Models!$BJ179:$BT179,,AH179+1)*AF179-ERP_i)*AE179*Ramure*Pc/MaxiM</f>
        <v>6.9472257206963791E-5</v>
      </c>
      <c r="AE179" s="305">
        <f t="shared" si="62"/>
        <v>0.7</v>
      </c>
      <c r="AF179" s="177">
        <f t="shared" si="63"/>
        <v>0.41550737693243545</v>
      </c>
      <c r="AG179" s="810">
        <f t="shared" si="71"/>
        <v>-1</v>
      </c>
      <c r="AH179" s="176">
        <f t="shared" si="64"/>
        <v>5</v>
      </c>
      <c r="AI179" s="225">
        <f t="shared" si="65"/>
        <v>-0.58449262306756455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6">
        <v>47.069000000000003</v>
      </c>
      <c r="C180" s="390"/>
      <c r="D180" s="393">
        <f t="shared" si="48"/>
        <v>47.823119923884946</v>
      </c>
      <c r="E180" s="385">
        <f t="shared" si="72"/>
        <v>52.740733575143594</v>
      </c>
      <c r="F180" s="385">
        <f t="shared" si="49"/>
        <v>52.743509267818936</v>
      </c>
      <c r="G180" s="110">
        <f t="shared" si="73"/>
        <v>0.82263335450757413</v>
      </c>
      <c r="H180" s="414" t="b">
        <f>Wh_hp&gt;='2019'!Maxi_hp</f>
        <v>1</v>
      </c>
      <c r="I180" s="380">
        <f>IF(H180,Wh_hp,'2019'!Maxi_hp)</f>
        <v>52.743509267818936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1.5768940317678948E-2</v>
      </c>
      <c r="M180" s="844"/>
      <c r="N180" s="844"/>
      <c r="O180" s="48">
        <f>IF(t&lt;Tnet,'2019'!Resal+('2019'!Salim-'2019'!Resal)*(1-EXP(('2019'!Tnet-t)/('2019'!Tau_j))),Resal+(Salim-Resal)*(1-EXP((Tnet-t)/(Tau_j))))*Salcycl</f>
        <v>9.3241282741207271E-2</v>
      </c>
      <c r="P180" s="169">
        <f>(INDEX(Models!$BJ180:$BT180,,T180)*(1-R180)+INDEX(Models!$BJ180:$BT180,,T180+1)*R180-ERP_i)*Q180*Ramure*Pc/MaxiM</f>
        <v>7.0484085006768509E-5</v>
      </c>
      <c r="Q180" s="305">
        <f t="shared" si="51"/>
        <v>0.7</v>
      </c>
      <c r="R180" s="177">
        <f t="shared" si="52"/>
        <v>0.41958891177014745</v>
      </c>
      <c r="S180" s="810">
        <f t="shared" si="53"/>
        <v>-1</v>
      </c>
      <c r="T180" s="176">
        <f t="shared" si="54"/>
        <v>5</v>
      </c>
      <c r="U180" s="251">
        <f t="shared" si="55"/>
        <v>-0.58041108822985255</v>
      </c>
      <c r="V180" s="383">
        <f t="shared" si="56"/>
        <v>57.21644903775934</v>
      </c>
      <c r="W180" s="402"/>
      <c r="X180" s="157">
        <f t="shared" si="57"/>
        <v>43996</v>
      </c>
      <c r="Y180" s="385">
        <f t="shared" si="58"/>
        <v>47.069000000000003</v>
      </c>
      <c r="Z180" s="385">
        <f t="shared" si="59"/>
        <v>47.823119923884946</v>
      </c>
      <c r="AA180" s="386">
        <f t="shared" si="60"/>
        <v>52.740733575143594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9.3241282741207271E-2</v>
      </c>
      <c r="AD180" s="231">
        <f>(INDEX(Models!$BJ180:$BT180,,AH180)*(1-AF180)+INDEX(Models!$BJ180:$BT180,,AH180+1)*AF180-ERP_i)*AE180*Ramure*Pc/MaxiM</f>
        <v>7.0484085006768509E-5</v>
      </c>
      <c r="AE180" s="305">
        <f t="shared" si="62"/>
        <v>0.7</v>
      </c>
      <c r="AF180" s="177">
        <f t="shared" si="63"/>
        <v>0.41958891177014745</v>
      </c>
      <c r="AG180" s="810">
        <f t="shared" si="71"/>
        <v>-1</v>
      </c>
      <c r="AH180" s="176">
        <f t="shared" si="64"/>
        <v>5</v>
      </c>
      <c r="AI180" s="225">
        <f t="shared" si="65"/>
        <v>-0.58041108822985255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6">
        <v>39.76</v>
      </c>
      <c r="C181" s="390"/>
      <c r="D181" s="393">
        <f t="shared" si="48"/>
        <v>40.39795828801843</v>
      </c>
      <c r="E181" s="385">
        <f t="shared" si="72"/>
        <v>44.558862986554509</v>
      </c>
      <c r="F181" s="385">
        <f t="shared" si="49"/>
        <v>44.560661539798332</v>
      </c>
      <c r="G181" s="110">
        <f t="shared" si="73"/>
        <v>0.69532375428227322</v>
      </c>
      <c r="H181" s="414" t="b">
        <f>Wh_hp&gt;='2019'!Maxi_hp</f>
        <v>0</v>
      </c>
      <c r="I181" s="380">
        <f>IF(H181,Wh_hp,'2019'!Maxi_hp)</f>
        <v>65.565674070131692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1.5791844812306777E-2</v>
      </c>
      <c r="M181" s="844"/>
      <c r="N181" s="844"/>
      <c r="O181" s="48">
        <f>IF(t&lt;Tnet,'2019'!Resal+('2019'!Salim-'2019'!Resal)*(1-EXP(('2019'!Tnet-t)/('2019'!Tau_j))),Resal+(Salim-Resal)*(1-EXP((Tnet-t)/(Tau_j))))*Salcycl</f>
        <v>9.3379956750503701E-2</v>
      </c>
      <c r="P181" s="169">
        <f>(INDEX(Models!$BJ181:$BT181,,T181)*(1-R181)+INDEX(Models!$BJ181:$BT181,,T181+1)*R181-ERP_i)*Q181*Ramure*Pc/MaxiM</f>
        <v>7.146494085959941E-5</v>
      </c>
      <c r="Q181" s="305">
        <f t="shared" si="51"/>
        <v>0.7</v>
      </c>
      <c r="R181" s="177">
        <f t="shared" si="52"/>
        <v>0.42365331246636495</v>
      </c>
      <c r="S181" s="810">
        <f t="shared" si="53"/>
        <v>-1</v>
      </c>
      <c r="T181" s="176">
        <f t="shared" si="54"/>
        <v>5</v>
      </c>
      <c r="U181" s="251">
        <f t="shared" si="55"/>
        <v>-0.57634668753363505</v>
      </c>
      <c r="V181" s="383">
        <f t="shared" si="56"/>
        <v>57.180217198919287</v>
      </c>
      <c r="W181" s="402"/>
      <c r="X181" s="157">
        <f t="shared" si="57"/>
        <v>43997</v>
      </c>
      <c r="Y181" s="385">
        <f t="shared" si="58"/>
        <v>39.76</v>
      </c>
      <c r="Z181" s="385">
        <f t="shared" si="59"/>
        <v>40.39795828801843</v>
      </c>
      <c r="AA181" s="386">
        <f t="shared" si="60"/>
        <v>44.558862986554509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9.3379956750503701E-2</v>
      </c>
      <c r="AD181" s="231">
        <f>(INDEX(Models!$BJ181:$BT181,,AH181)*(1-AF181)+INDEX(Models!$BJ181:$BT181,,AH181+1)*AF181-ERP_i)*AE181*Ramure*Pc/MaxiM</f>
        <v>7.146494085959941E-5</v>
      </c>
      <c r="AE181" s="305">
        <f t="shared" si="62"/>
        <v>0.7</v>
      </c>
      <c r="AF181" s="177">
        <f t="shared" si="63"/>
        <v>0.42365331246636495</v>
      </c>
      <c r="AG181" s="810">
        <f t="shared" si="71"/>
        <v>-1</v>
      </c>
      <c r="AH181" s="176">
        <f t="shared" si="64"/>
        <v>5</v>
      </c>
      <c r="AI181" s="225">
        <f t="shared" si="65"/>
        <v>-0.57634668753363505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6">
        <v>27.532</v>
      </c>
      <c r="C182" s="390"/>
      <c r="D182" s="393">
        <f t="shared" si="48"/>
        <v>27.974408238389021</v>
      </c>
      <c r="E182" s="385">
        <f t="shared" si="72"/>
        <v>30.860383874835922</v>
      </c>
      <c r="F182" s="385">
        <f t="shared" si="49"/>
        <v>30.860964343506758</v>
      </c>
      <c r="G182" s="110">
        <f t="shared" si="73"/>
        <v>0.48179653488950963</v>
      </c>
      <c r="H182" s="414" t="b">
        <f>Wh_hp&gt;='2019'!Maxi_hp</f>
        <v>0</v>
      </c>
      <c r="I182" s="380">
        <f>IF(H182,Wh_hp,'2019'!Maxi_hp)</f>
        <v>63.498775239752014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1.5814748773913645E-2</v>
      </c>
      <c r="M182" s="844"/>
      <c r="N182" s="844"/>
      <c r="O182" s="48">
        <f>IF(t&lt;Tnet,'2019'!Resal+('2019'!Salim-'2019'!Resal)*(1-EXP(('2019'!Tnet-t)/('2019'!Tau_j))),Resal+(Salim-Resal)*(1-EXP((Tnet-t)/(Tau_j))))*Salcycl</f>
        <v>9.351716583150399E-2</v>
      </c>
      <c r="P182" s="169">
        <f>(INDEX(Models!$BJ182:$BT182,,T182)*(1-R182)+INDEX(Models!$BJ182:$BT182,,T182+1)*R182-ERP_i)*Q182*Ramure*Pc/MaxiM</f>
        <v>7.2413582545463717E-5</v>
      </c>
      <c r="Q182" s="305">
        <f t="shared" si="51"/>
        <v>0.7</v>
      </c>
      <c r="R182" s="177">
        <f t="shared" si="52"/>
        <v>0.42769727849009276</v>
      </c>
      <c r="S182" s="810">
        <f t="shared" si="53"/>
        <v>-1</v>
      </c>
      <c r="T182" s="176">
        <f t="shared" si="54"/>
        <v>5</v>
      </c>
      <c r="U182" s="251">
        <f t="shared" si="55"/>
        <v>-0.57230272150990724</v>
      </c>
      <c r="V182" s="383">
        <f t="shared" si="56"/>
        <v>57.141390901581914</v>
      </c>
      <c r="W182" s="402"/>
      <c r="X182" s="157">
        <f t="shared" si="57"/>
        <v>43998</v>
      </c>
      <c r="Y182" s="385">
        <f t="shared" si="58"/>
        <v>27.532</v>
      </c>
      <c r="Z182" s="385">
        <f t="shared" si="59"/>
        <v>27.974408238389021</v>
      </c>
      <c r="AA182" s="386">
        <f t="shared" si="60"/>
        <v>30.860383874835922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9.351716583150399E-2</v>
      </c>
      <c r="AD182" s="231">
        <f>(INDEX(Models!$BJ182:$BT182,,AH182)*(1-AF182)+INDEX(Models!$BJ182:$BT182,,AH182+1)*AF182-ERP_i)*AE182*Ramure*Pc/MaxiM</f>
        <v>7.2413582545463717E-5</v>
      </c>
      <c r="AE182" s="305">
        <f t="shared" si="62"/>
        <v>0.7</v>
      </c>
      <c r="AF182" s="177">
        <f t="shared" si="63"/>
        <v>0.42769727849009276</v>
      </c>
      <c r="AG182" s="810">
        <f t="shared" si="71"/>
        <v>-1</v>
      </c>
      <c r="AH182" s="176">
        <f t="shared" si="64"/>
        <v>5</v>
      </c>
      <c r="AI182" s="225">
        <f t="shared" si="65"/>
        <v>-0.57230272150990724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6">
        <v>50.173999999999999</v>
      </c>
      <c r="C183" s="390"/>
      <c r="D183" s="393">
        <f t="shared" si="48"/>
        <v>50.981426095285187</v>
      </c>
      <c r="E183" s="385">
        <f t="shared" si="72"/>
        <v>56.249338409480643</v>
      </c>
      <c r="F183" s="385">
        <f t="shared" si="49"/>
        <v>56.252748578381457</v>
      </c>
      <c r="G183" s="110">
        <f t="shared" si="73"/>
        <v>0.87869176731106313</v>
      </c>
      <c r="H183" s="414" t="b">
        <f>Wh_hp&gt;='2019'!Maxi_hp</f>
        <v>0</v>
      </c>
      <c r="I183" s="380">
        <f>IF(H183,Wh_hp,'2019'!Maxi_hp)</f>
        <v>60.833252001548445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1.5837652202511765E-2</v>
      </c>
      <c r="M183" s="844"/>
      <c r="N183" s="844"/>
      <c r="O183" s="48">
        <f>IF(t&lt;Tnet,'2019'!Resal+('2019'!Salim-'2019'!Resal)*(1-EXP(('2019'!Tnet-t)/('2019'!Tau_j))),Resal+(Salim-Resal)*(1-EXP((Tnet-t)/(Tau_j))))*Salcycl</f>
        <v>9.3652875983116807E-2</v>
      </c>
      <c r="P183" s="169">
        <f>(INDEX(Models!$BJ183:$BT183,,T183)*(1-R183)+INDEX(Models!$BJ183:$BT183,,T183+1)*R183-ERP_i)*Q183*Ramure*Pc/MaxiM</f>
        <v>7.3328786564345422E-5</v>
      </c>
      <c r="Q183" s="305">
        <f t="shared" si="51"/>
        <v>0.7</v>
      </c>
      <c r="R183" s="177">
        <f t="shared" si="52"/>
        <v>0.43171757671591038</v>
      </c>
      <c r="S183" s="810">
        <f t="shared" si="53"/>
        <v>-1</v>
      </c>
      <c r="T183" s="176">
        <f t="shared" si="54"/>
        <v>5</v>
      </c>
      <c r="U183" s="251">
        <f t="shared" si="55"/>
        <v>-0.56828242328408962</v>
      </c>
      <c r="V183" s="383">
        <f t="shared" si="56"/>
        <v>57.100071140711655</v>
      </c>
      <c r="W183" s="402"/>
      <c r="X183" s="157">
        <f t="shared" si="57"/>
        <v>43999</v>
      </c>
      <c r="Y183" s="385">
        <f t="shared" si="58"/>
        <v>50.173999999999999</v>
      </c>
      <c r="Z183" s="385">
        <f t="shared" si="59"/>
        <v>50.981426095285187</v>
      </c>
      <c r="AA183" s="386">
        <f t="shared" si="60"/>
        <v>56.249338409480643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9.3652875983116807E-2</v>
      </c>
      <c r="AD183" s="231">
        <f>(INDEX(Models!$BJ183:$BT183,,AH183)*(1-AF183)+INDEX(Models!$BJ183:$BT183,,AH183+1)*AF183-ERP_i)*AE183*Ramure*Pc/MaxiM</f>
        <v>7.3328786564345422E-5</v>
      </c>
      <c r="AE183" s="305">
        <f t="shared" si="62"/>
        <v>0.7</v>
      </c>
      <c r="AF183" s="177">
        <f t="shared" si="63"/>
        <v>0.43171757671591038</v>
      </c>
      <c r="AG183" s="810">
        <f t="shared" si="71"/>
        <v>-1</v>
      </c>
      <c r="AH183" s="176">
        <f t="shared" si="64"/>
        <v>5</v>
      </c>
      <c r="AI183" s="225">
        <f t="shared" si="65"/>
        <v>-0.56828242328408962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6">
        <v>45.072000000000003</v>
      </c>
      <c r="C184" s="390"/>
      <c r="D184" s="393">
        <f t="shared" si="48"/>
        <v>45.798387853962559</v>
      </c>
      <c r="E184" s="385">
        <f t="shared" si="72"/>
        <v>50.538218681109839</v>
      </c>
      <c r="F184" s="385">
        <f t="shared" si="49"/>
        <v>50.540842382590704</v>
      </c>
      <c r="G184" s="110">
        <f t="shared" si="73"/>
        <v>0.78993816185727872</v>
      </c>
      <c r="H184" s="414" t="b">
        <f>Wh_hp&gt;='2019'!Maxi_hp</f>
        <v>0</v>
      </c>
      <c r="I184" s="380">
        <f>IF(H184,Wh_hp,'2019'!Maxi_hp)</f>
        <v>51.798395929733495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1.5860555098113682E-2</v>
      </c>
      <c r="M184" s="844"/>
      <c r="N184" s="844"/>
      <c r="O184" s="48">
        <f>IF(t&lt;Tnet,'2019'!Resal+('2019'!Salim-'2019'!Resal)*(1-EXP(('2019'!Tnet-t)/('2019'!Tau_j))),Resal+(Salim-Resal)*(1-EXP((Tnet-t)/(Tau_j))))*Salcycl</f>
        <v>9.3787057613863523E-2</v>
      </c>
      <c r="P184" s="169">
        <f>(INDEX(Models!$BJ184:$BT184,,T184)*(1-R184)+INDEX(Models!$BJ184:$BT184,,T184+1)*R184-ERP_i)*Q184*Ramure*Pc/MaxiM</f>
        <v>7.4167413110810395E-5</v>
      </c>
      <c r="Q184" s="305">
        <f t="shared" si="51"/>
        <v>0.7</v>
      </c>
      <c r="R184" s="177">
        <f t="shared" si="52"/>
        <v>0.43571105144744038</v>
      </c>
      <c r="S184" s="810">
        <f t="shared" si="53"/>
        <v>-1</v>
      </c>
      <c r="T184" s="176">
        <f t="shared" si="54"/>
        <v>5</v>
      </c>
      <c r="U184" s="251">
        <f t="shared" si="55"/>
        <v>-0.56428894855255962</v>
      </c>
      <c r="V184" s="383">
        <f t="shared" si="56"/>
        <v>57.056360928952408</v>
      </c>
      <c r="W184" s="402"/>
      <c r="X184" s="157">
        <f t="shared" si="57"/>
        <v>44000</v>
      </c>
      <c r="Y184" s="385">
        <f t="shared" si="58"/>
        <v>45.072000000000003</v>
      </c>
      <c r="Z184" s="385">
        <f t="shared" si="59"/>
        <v>45.798387853962559</v>
      </c>
      <c r="AA184" s="386">
        <f t="shared" si="60"/>
        <v>50.538218681109839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9.3787057613863523E-2</v>
      </c>
      <c r="AD184" s="231">
        <f>(INDEX(Models!$BJ184:$BT184,,AH184)*(1-AF184)+INDEX(Models!$BJ184:$BT184,,AH184+1)*AF184-ERP_i)*AE184*Ramure*Pc/MaxiM</f>
        <v>7.4167413110810395E-5</v>
      </c>
      <c r="AE184" s="305">
        <f t="shared" si="62"/>
        <v>0.7</v>
      </c>
      <c r="AF184" s="177">
        <f t="shared" si="63"/>
        <v>0.43571105144744038</v>
      </c>
      <c r="AG184" s="810">
        <f t="shared" si="71"/>
        <v>-1</v>
      </c>
      <c r="AH184" s="176">
        <f t="shared" si="64"/>
        <v>5</v>
      </c>
      <c r="AI184" s="225">
        <f t="shared" si="65"/>
        <v>-0.56428894855255962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6">
        <v>50.661999999999999</v>
      </c>
      <c r="C185" s="390"/>
      <c r="D185" s="393">
        <f t="shared" si="48"/>
        <v>51.479675231633941</v>
      </c>
      <c r="E185" s="385">
        <f t="shared" si="72"/>
        <v>56.815797026458434</v>
      </c>
      <c r="F185" s="385">
        <f t="shared" si="49"/>
        <v>56.819376844927362</v>
      </c>
      <c r="G185" s="110">
        <f t="shared" si="73"/>
        <v>0.88863489700001441</v>
      </c>
      <c r="H185" s="414" t="b">
        <f>Wh_hp&gt;='2019'!Maxi_hp</f>
        <v>1</v>
      </c>
      <c r="I185" s="380">
        <f>IF(H185,Wh_hp,'2019'!Maxi_hp)</f>
        <v>56.819376844927362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1.588345746073172E-2</v>
      </c>
      <c r="M185" s="844"/>
      <c r="N185" s="844"/>
      <c r="O185" s="48">
        <f>IF(t&lt;Tnet,'2019'!Resal+('2019'!Salim-'2019'!Resal)*(1-EXP(('2019'!Tnet-t)/('2019'!Tau_j))),Resal+(Salim-Resal)*(1-EXP((Tnet-t)/(Tau_j))))*Salcycl</f>
        <v>9.3919685617356113E-2</v>
      </c>
      <c r="P185" s="169">
        <f>(INDEX(Models!$BJ185:$BT185,,T185)*(1-R185)+INDEX(Models!$BJ185:$BT185,,T185+1)*R185-ERP_i)*Q185*Ramure*Pc/MaxiM</f>
        <v>7.492189574974125E-5</v>
      </c>
      <c r="Q185" s="305">
        <f t="shared" si="51"/>
        <v>0.7</v>
      </c>
      <c r="R185" s="177">
        <f t="shared" si="52"/>
        <v>0.43967463390910622</v>
      </c>
      <c r="S185" s="810">
        <f t="shared" si="53"/>
        <v>-1</v>
      </c>
      <c r="T185" s="176">
        <f t="shared" si="54"/>
        <v>5</v>
      </c>
      <c r="U185" s="251">
        <f t="shared" si="55"/>
        <v>-0.56032536609089378</v>
      </c>
      <c r="V185" s="383">
        <f t="shared" si="56"/>
        <v>57.010360860465461</v>
      </c>
      <c r="W185" s="402"/>
      <c r="X185" s="157">
        <f t="shared" si="57"/>
        <v>44001</v>
      </c>
      <c r="Y185" s="385">
        <f t="shared" si="58"/>
        <v>50.661999999999999</v>
      </c>
      <c r="Z185" s="385">
        <f t="shared" si="59"/>
        <v>51.479675231633941</v>
      </c>
      <c r="AA185" s="386">
        <f t="shared" si="60"/>
        <v>56.815797026458434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9.3919685617356113E-2</v>
      </c>
      <c r="AD185" s="231">
        <f>(INDEX(Models!$BJ185:$BT185,,AH185)*(1-AF185)+INDEX(Models!$BJ185:$BT185,,AH185+1)*AF185-ERP_i)*AE185*Ramure*Pc/MaxiM</f>
        <v>7.492189574974125E-5</v>
      </c>
      <c r="AE185" s="305">
        <f t="shared" si="62"/>
        <v>0.7</v>
      </c>
      <c r="AF185" s="177">
        <f t="shared" si="63"/>
        <v>0.43967463390910622</v>
      </c>
      <c r="AG185" s="810">
        <f t="shared" si="71"/>
        <v>-1</v>
      </c>
      <c r="AH185" s="176">
        <f t="shared" si="64"/>
        <v>5</v>
      </c>
      <c r="AI185" s="225">
        <f t="shared" si="65"/>
        <v>-0.56032536609089378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6">
        <v>46.11</v>
      </c>
      <c r="C186" s="390"/>
      <c r="D186" s="393">
        <f t="shared" si="48"/>
        <v>46.855297191790065</v>
      </c>
      <c r="E186" s="385">
        <f t="shared" si="72"/>
        <v>51.719560057858615</v>
      </c>
      <c r="F186" s="385">
        <f t="shared" si="49"/>
        <v>51.722405668054598</v>
      </c>
      <c r="G186" s="110">
        <f t="shared" si="73"/>
        <v>0.8094679441173912</v>
      </c>
      <c r="H186" s="414" t="b">
        <f>Wh_hp&gt;='2019'!Maxi_hp</f>
        <v>1</v>
      </c>
      <c r="I186" s="380">
        <f>IF(H186,Wh_hp,'2019'!Maxi_hp)</f>
        <v>51.722405668054598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1.5906359290378314E-2</v>
      </c>
      <c r="M186" s="844"/>
      <c r="N186" s="844"/>
      <c r="O186" s="48">
        <f>IF(t&lt;Tnet,'2019'!Resal+('2019'!Salim-'2019'!Resal)*(1-EXP(('2019'!Tnet-t)/('2019'!Tau_j))),Resal+(Salim-Resal)*(1-EXP((Tnet-t)/(Tau_j))))*Salcycl</f>
        <v>9.4050739422897267E-2</v>
      </c>
      <c r="P186" s="169">
        <f>(INDEX(Models!$BJ186:$BT186,,T186)*(1-R186)+INDEX(Models!$BJ186:$BT186,,T186+1)*R186-ERP_i)*Q186*Ramure*Pc/MaxiM</f>
        <v>7.5589882819472132E-5</v>
      </c>
      <c r="Q186" s="305">
        <f t="shared" si="51"/>
        <v>0.7</v>
      </c>
      <c r="R186" s="177">
        <f t="shared" si="52"/>
        <v>0.44360535114880761</v>
      </c>
      <c r="S186" s="810">
        <f t="shared" si="53"/>
        <v>-1</v>
      </c>
      <c r="T186" s="176">
        <f t="shared" si="54"/>
        <v>5</v>
      </c>
      <c r="U186" s="251">
        <f t="shared" si="55"/>
        <v>-0.55639464885119239</v>
      </c>
      <c r="V186" s="383">
        <f t="shared" si="56"/>
        <v>56.962170850644988</v>
      </c>
      <c r="W186" s="402"/>
      <c r="X186" s="157">
        <f t="shared" si="57"/>
        <v>44002</v>
      </c>
      <c r="Y186" s="385">
        <f t="shared" si="58"/>
        <v>46.11</v>
      </c>
      <c r="Z186" s="385">
        <f t="shared" si="59"/>
        <v>46.855297191790065</v>
      </c>
      <c r="AA186" s="386">
        <f t="shared" si="60"/>
        <v>51.719560057858615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9.4050739422897267E-2</v>
      </c>
      <c r="AD186" s="231">
        <f>(INDEX(Models!$BJ186:$BT186,,AH186)*(1-AF186)+INDEX(Models!$BJ186:$BT186,,AH186+1)*AF186-ERP_i)*AE186*Ramure*Pc/MaxiM</f>
        <v>7.5589882819472132E-5</v>
      </c>
      <c r="AE186" s="305">
        <f t="shared" si="62"/>
        <v>0.7</v>
      </c>
      <c r="AF186" s="177">
        <f t="shared" si="63"/>
        <v>0.44360535114880761</v>
      </c>
      <c r="AG186" s="810">
        <f t="shared" si="71"/>
        <v>-1</v>
      </c>
      <c r="AH186" s="176">
        <f t="shared" si="64"/>
        <v>5</v>
      </c>
      <c r="AI186" s="225">
        <f t="shared" si="65"/>
        <v>-0.55639464885119239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6">
        <v>58.627000000000002</v>
      </c>
      <c r="C187" s="390"/>
      <c r="D187" s="393">
        <f t="shared" si="48"/>
        <v>59.576001655099553</v>
      </c>
      <c r="E187" s="385">
        <f t="shared" si="72"/>
        <v>65.770257896524811</v>
      </c>
      <c r="F187" s="385">
        <f t="shared" si="49"/>
        <v>65.775267938024328</v>
      </c>
      <c r="G187" s="110">
        <f t="shared" si="73"/>
        <v>1.0301362256488122</v>
      </c>
      <c r="H187" s="414" t="b">
        <f>Wh_hp&gt;='2019'!Maxi_hp</f>
        <v>1</v>
      </c>
      <c r="I187" s="380">
        <f>IF(H187,Wh_hp,'2019'!Maxi_hp)</f>
        <v>65.775267938024328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1.5929260587065897E-2</v>
      </c>
      <c r="M187" s="844"/>
      <c r="N187" s="844"/>
      <c r="O187" s="48">
        <f>IF(t&lt;Tnet,'2019'!Resal+('2019'!Salim-'2019'!Resal)*(1-EXP(('2019'!Tnet-t)/('2019'!Tau_j))),Resal+(Salim-Resal)*(1-EXP((Tnet-t)/(Tau_j))))*Salcycl</f>
        <v>9.4180203020802669E-2</v>
      </c>
      <c r="P187" s="169">
        <f>(INDEX(Models!$BJ187:$BT187,,T187)*(1-R187)+INDEX(Models!$BJ187:$BT187,,T187+1)*R187-ERP_i)*Q187*Ramure*Pc/MaxiM</f>
        <v>7.6169077779075182E-5</v>
      </c>
      <c r="Q187" s="305">
        <f t="shared" si="51"/>
        <v>0.7</v>
      </c>
      <c r="R187" s="177">
        <f t="shared" si="52"/>
        <v>0.44750033430087766</v>
      </c>
      <c r="S187" s="810">
        <f t="shared" si="53"/>
        <v>-1</v>
      </c>
      <c r="T187" s="176">
        <f t="shared" si="54"/>
        <v>5</v>
      </c>
      <c r="U187" s="251">
        <f t="shared" si="55"/>
        <v>-0.55249966569912234</v>
      </c>
      <c r="V187" s="383">
        <f t="shared" si="56"/>
        <v>56.911890427962454</v>
      </c>
      <c r="W187" s="402"/>
      <c r="X187" s="157">
        <f t="shared" si="57"/>
        <v>44003</v>
      </c>
      <c r="Y187" s="385">
        <f t="shared" si="58"/>
        <v>58.627000000000002</v>
      </c>
      <c r="Z187" s="385">
        <f t="shared" si="59"/>
        <v>59.576001655099553</v>
      </c>
      <c r="AA187" s="386">
        <f t="shared" si="60"/>
        <v>65.770257896524811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9.4180203020802669E-2</v>
      </c>
      <c r="AD187" s="231">
        <f>(INDEX(Models!$BJ187:$BT187,,AH187)*(1-AF187)+INDEX(Models!$BJ187:$BT187,,AH187+1)*AF187-ERP_i)*AE187*Ramure*Pc/MaxiM</f>
        <v>7.6169077779075182E-5</v>
      </c>
      <c r="AE187" s="305">
        <f t="shared" si="62"/>
        <v>0.7</v>
      </c>
      <c r="AF187" s="177">
        <f t="shared" si="63"/>
        <v>0.44750033430087766</v>
      </c>
      <c r="AG187" s="810">
        <f t="shared" si="71"/>
        <v>-1</v>
      </c>
      <c r="AH187" s="176">
        <f t="shared" si="64"/>
        <v>5</v>
      </c>
      <c r="AI187" s="225">
        <f t="shared" si="65"/>
        <v>-0.55249966569912234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6">
        <v>50.055999999999997</v>
      </c>
      <c r="C188" s="390"/>
      <c r="D188" s="393">
        <f t="shared" si="48"/>
        <v>50.867445701331036</v>
      </c>
      <c r="E188" s="385">
        <f t="shared" si="72"/>
        <v>56.164180924510916</v>
      </c>
      <c r="F188" s="385">
        <f t="shared" si="49"/>
        <v>56.16775055231922</v>
      </c>
      <c r="G188" s="110">
        <f t="shared" si="73"/>
        <v>0.88033203741148058</v>
      </c>
      <c r="H188" s="414" t="b">
        <f>Wh_hp&gt;='2019'!Maxi_hp</f>
        <v>0</v>
      </c>
      <c r="I188" s="380">
        <f>IF(H188,Wh_hp,'2019'!Maxi_hp)</f>
        <v>56.866605968442144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1.5952161350806904E-2</v>
      </c>
      <c r="M188" s="844"/>
      <c r="N188" s="844"/>
      <c r="O188" s="48">
        <f>IF(t&lt;Tnet,'2019'!Resal+('2019'!Salim-'2019'!Resal)*(1-EXP(('2019'!Tnet-t)/('2019'!Tau_j))),Resal+(Salim-Resal)*(1-EXP((Tnet-t)/(Tau_j))))*Salcycl</f>
        <v>9.4308064962241922E-2</v>
      </c>
      <c r="P188" s="169">
        <f>(INDEX(Models!$BJ188:$BT188,,T188)*(1-R188)+INDEX(Models!$BJ188:$BT188,,T188+1)*R188-ERP_i)*Q188*Ramure*Pc/MaxiM</f>
        <v>7.6656460982148374E-5</v>
      </c>
      <c r="Q188" s="305">
        <f t="shared" si="51"/>
        <v>0.7</v>
      </c>
      <c r="R188" s="177">
        <f t="shared" si="52"/>
        <v>0.45135682616585515</v>
      </c>
      <c r="S188" s="810">
        <f t="shared" si="53"/>
        <v>-1</v>
      </c>
      <c r="T188" s="176">
        <f t="shared" si="54"/>
        <v>5</v>
      </c>
      <c r="U188" s="251">
        <f t="shared" si="55"/>
        <v>-0.54864317383414485</v>
      </c>
      <c r="V188" s="383">
        <f t="shared" si="56"/>
        <v>56.859618783776639</v>
      </c>
      <c r="W188" s="402"/>
      <c r="X188" s="157">
        <f t="shared" si="57"/>
        <v>44004</v>
      </c>
      <c r="Y188" s="385">
        <f t="shared" si="58"/>
        <v>50.055999999999997</v>
      </c>
      <c r="Z188" s="385">
        <f t="shared" si="59"/>
        <v>50.867445701331036</v>
      </c>
      <c r="AA188" s="386">
        <f t="shared" si="60"/>
        <v>56.164180924510916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9.4308064962241922E-2</v>
      </c>
      <c r="AD188" s="231">
        <f>(INDEX(Models!$BJ188:$BT188,,AH188)*(1-AF188)+INDEX(Models!$BJ188:$BT188,,AH188+1)*AF188-ERP_i)*AE188*Ramure*Pc/MaxiM</f>
        <v>7.6656460982148374E-5</v>
      </c>
      <c r="AE188" s="305">
        <f t="shared" si="62"/>
        <v>0.7</v>
      </c>
      <c r="AF188" s="177">
        <f t="shared" si="63"/>
        <v>0.45135682616585515</v>
      </c>
      <c r="AG188" s="810">
        <f t="shared" si="71"/>
        <v>-1</v>
      </c>
      <c r="AH188" s="176">
        <f t="shared" si="64"/>
        <v>5</v>
      </c>
      <c r="AI188" s="225">
        <f t="shared" si="65"/>
        <v>-0.54864317383414485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6">
        <v>57.136000000000003</v>
      </c>
      <c r="C189" s="390"/>
      <c r="D189" s="393">
        <f t="shared" si="48"/>
        <v>58.063569091891246</v>
      </c>
      <c r="E189" s="385">
        <f t="shared" si="72"/>
        <v>64.118561764667973</v>
      </c>
      <c r="F189" s="385">
        <f t="shared" si="49"/>
        <v>64.123502417734827</v>
      </c>
      <c r="G189" s="110">
        <f t="shared" si="73"/>
        <v>1.005818900091106</v>
      </c>
      <c r="H189" s="414" t="b">
        <f>Wh_hp&gt;='2019'!Maxi_hp</f>
        <v>1</v>
      </c>
      <c r="I189" s="380">
        <f>IF(H189,Wh_hp,'2019'!Maxi_hp)</f>
        <v>64.123502417734827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1.5975061581613659E-2</v>
      </c>
      <c r="M189" s="844"/>
      <c r="N189" s="844"/>
      <c r="O189" s="48">
        <f>IF(t&lt;Tnet,'2019'!Resal+('2019'!Salim-'2019'!Resal)*(1-EXP(('2019'!Tnet-t)/('2019'!Tau_j))),Resal+(Salim-Resal)*(1-EXP((Tnet-t)/(Tau_j))))*Salcycl</f>
        <v>9.4434318333591782E-2</v>
      </c>
      <c r="P189" s="169">
        <f>(INDEX(Models!$BJ189:$BT189,,T189)*(1-R189)+INDEX(Models!$BJ189:$BT189,,T189+1)*R189-ERP_i)*Q189*Ramure*Pc/MaxiM</f>
        <v>7.7049020726828579E-5</v>
      </c>
      <c r="Q189" s="305">
        <f t="shared" si="51"/>
        <v>0.7</v>
      </c>
      <c r="R189" s="177">
        <f t="shared" si="52"/>
        <v>0.45517218807108906</v>
      </c>
      <c r="S189" s="810">
        <f t="shared" si="53"/>
        <v>-1</v>
      </c>
      <c r="T189" s="176">
        <f t="shared" si="54"/>
        <v>5</v>
      </c>
      <c r="U189" s="251">
        <f t="shared" si="55"/>
        <v>-0.54482781192891094</v>
      </c>
      <c r="V189" s="383">
        <f t="shared" si="56"/>
        <v>56.805454734271429</v>
      </c>
      <c r="W189" s="402"/>
      <c r="X189" s="157">
        <f t="shared" si="57"/>
        <v>44005</v>
      </c>
      <c r="Y189" s="385">
        <f t="shared" si="58"/>
        <v>57.136000000000003</v>
      </c>
      <c r="Z189" s="385">
        <f t="shared" si="59"/>
        <v>58.063569091891246</v>
      </c>
      <c r="AA189" s="386">
        <f t="shared" si="60"/>
        <v>64.118561764667973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9.4434318333591782E-2</v>
      </c>
      <c r="AD189" s="231">
        <f>(INDEX(Models!$BJ189:$BT189,,AH189)*(1-AF189)+INDEX(Models!$BJ189:$BT189,,AH189+1)*AF189-ERP_i)*AE189*Ramure*Pc/MaxiM</f>
        <v>7.7049020726828579E-5</v>
      </c>
      <c r="AE189" s="305">
        <f t="shared" si="62"/>
        <v>0.7</v>
      </c>
      <c r="AF189" s="177">
        <f t="shared" si="63"/>
        <v>0.45517218807108906</v>
      </c>
      <c r="AG189" s="810">
        <f t="shared" si="71"/>
        <v>-1</v>
      </c>
      <c r="AH189" s="176">
        <f t="shared" si="64"/>
        <v>5</v>
      </c>
      <c r="AI189" s="225">
        <f t="shared" si="65"/>
        <v>-0.54482781192891094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6">
        <v>51.567</v>
      </c>
      <c r="C190" s="390"/>
      <c r="D190" s="393">
        <f t="shared" si="48"/>
        <v>52.405379227722548</v>
      </c>
      <c r="E190" s="385">
        <f t="shared" si="72"/>
        <v>57.878290196074445</v>
      </c>
      <c r="F190" s="385">
        <f t="shared" si="49"/>
        <v>57.882183014107071</v>
      </c>
      <c r="G190" s="110">
        <f t="shared" si="73"/>
        <v>0.90866849316241094</v>
      </c>
      <c r="H190" s="414" t="b">
        <f>Wh_hp&gt;='2019'!Maxi_hp</f>
        <v>0</v>
      </c>
      <c r="I190" s="380">
        <f>IF(H190,Wh_hp,'2019'!Maxi_hp)</f>
        <v>60.228576007833119</v>
      </c>
      <c r="J190" s="85">
        <f>IF(H190,An,'2019'!An_max)</f>
        <v>2019</v>
      </c>
      <c r="K190" s="197">
        <f t="shared" si="50"/>
        <v>44006</v>
      </c>
      <c r="L190" s="147">
        <f>IF(t&lt;Tvie,1-EXP((T0-t)*PertePVj)+'2019'!Pspv,1-EXP((T0-t)*PertePVj)+Pspv)</f>
        <v>1.5997961279498596E-2</v>
      </c>
      <c r="M190" s="844"/>
      <c r="N190" s="844"/>
      <c r="O190" s="48">
        <f>IF(t&lt;Tnet,'2019'!Resal+('2019'!Salim-'2019'!Resal)*(1-EXP(('2019'!Tnet-t)/('2019'!Tau_j))),Resal+(Salim-Resal)*(1-EXP((Tnet-t)/(Tau_j))))*Salcycl</f>
        <v>9.4558960705495951E-2</v>
      </c>
      <c r="P190" s="169">
        <f>(INDEX(Models!$BJ190:$BT190,,T190)*(1-R190)+INDEX(Models!$BJ190:$BT190,,T190+1)*R190-ERP_i)*Q190*Ramure*Pc/MaxiM</f>
        <v>7.7344578494372993E-5</v>
      </c>
      <c r="Q190" s="305">
        <f t="shared" si="51"/>
        <v>0.7</v>
      </c>
      <c r="R190" s="177">
        <f t="shared" si="52"/>
        <v>0.4589439059838698</v>
      </c>
      <c r="S190" s="810">
        <f t="shared" si="53"/>
        <v>-1</v>
      </c>
      <c r="T190" s="176">
        <f t="shared" si="54"/>
        <v>5</v>
      </c>
      <c r="U190" s="251">
        <f t="shared" si="55"/>
        <v>-0.5410560940161302</v>
      </c>
      <c r="V190" s="383">
        <f t="shared" si="56"/>
        <v>56.749496676521694</v>
      </c>
      <c r="W190" s="402"/>
      <c r="X190" s="157">
        <f t="shared" si="57"/>
        <v>44006</v>
      </c>
      <c r="Y190" s="385">
        <f t="shared" si="58"/>
        <v>51.567</v>
      </c>
      <c r="Z190" s="385">
        <f t="shared" si="59"/>
        <v>52.405379227722548</v>
      </c>
      <c r="AA190" s="386">
        <f t="shared" si="60"/>
        <v>57.878290196074445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9.4558960705495951E-2</v>
      </c>
      <c r="AD190" s="231">
        <f>(INDEX(Models!$BJ190:$BT190,,AH190)*(1-AF190)+INDEX(Models!$BJ190:$BT190,,AH190+1)*AF190-ERP_i)*AE190*Ramure*Pc/MaxiM</f>
        <v>7.7344578494372993E-5</v>
      </c>
      <c r="AE190" s="305">
        <f t="shared" si="62"/>
        <v>0.7</v>
      </c>
      <c r="AF190" s="177">
        <f t="shared" si="63"/>
        <v>0.4589439059838698</v>
      </c>
      <c r="AG190" s="810">
        <f t="shared" si="71"/>
        <v>-1</v>
      </c>
      <c r="AH190" s="176">
        <f t="shared" si="64"/>
        <v>5</v>
      </c>
      <c r="AI190" s="225">
        <f t="shared" si="65"/>
        <v>-0.5410560940161302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6">
        <v>46.753</v>
      </c>
      <c r="C191" s="390"/>
      <c r="D191" s="393">
        <f t="shared" si="48"/>
        <v>47.514218666382334</v>
      </c>
      <c r="E191" s="385">
        <f t="shared" si="72"/>
        <v>52.483457033301448</v>
      </c>
      <c r="F191" s="385">
        <f t="shared" si="49"/>
        <v>52.486507579992441</v>
      </c>
      <c r="G191" s="110">
        <f t="shared" si="73"/>
        <v>0.82466793400144034</v>
      </c>
      <c r="H191" s="414" t="b">
        <f>Wh_hp&gt;='2019'!Maxi_hp</f>
        <v>0</v>
      </c>
      <c r="I191" s="380">
        <f>IF(H191,Wh_hp,'2019'!Maxi_hp)</f>
        <v>61.391181124623479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1.6020860444474039E-2</v>
      </c>
      <c r="M191" s="844"/>
      <c r="N191" s="844"/>
      <c r="O191" s="48">
        <f>IF(t&lt;Tnet,'2019'!Resal+('2019'!Salim-'2019'!Resal)*(1-EXP(('2019'!Tnet-t)/('2019'!Tau_j))),Resal+(Salim-Resal)*(1-EXP((Tnet-t)/(Tau_j))))*Salcycl</f>
        <v>9.4681994057023877E-2</v>
      </c>
      <c r="P191" s="169">
        <f>(INDEX(Models!$BJ191:$BT191,,T191)*(1-R191)+INDEX(Models!$BJ191:$BT191,,T191+1)*R191-ERP_i)*Q191*Ramure*Pc/MaxiM</f>
        <v>7.7540797036878425E-5</v>
      </c>
      <c r="Q191" s="305">
        <f t="shared" si="51"/>
        <v>0.7</v>
      </c>
      <c r="R191" s="177">
        <f t="shared" si="52"/>
        <v>0.46266959585653566</v>
      </c>
      <c r="S191" s="810">
        <f t="shared" si="53"/>
        <v>-1</v>
      </c>
      <c r="T191" s="176">
        <f t="shared" si="54"/>
        <v>5</v>
      </c>
      <c r="U191" s="251">
        <f t="shared" si="55"/>
        <v>-0.53733040414346434</v>
      </c>
      <c r="V191" s="383">
        <f t="shared" si="56"/>
        <v>56.692021196156844</v>
      </c>
      <c r="W191" s="402"/>
      <c r="X191" s="157">
        <f t="shared" si="57"/>
        <v>44007</v>
      </c>
      <c r="Y191" s="385">
        <f t="shared" si="58"/>
        <v>46.753</v>
      </c>
      <c r="Z191" s="385">
        <f t="shared" si="59"/>
        <v>47.514218666382334</v>
      </c>
      <c r="AA191" s="386">
        <f t="shared" si="60"/>
        <v>52.483457033301448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9.4681994057023877E-2</v>
      </c>
      <c r="AD191" s="231">
        <f>(INDEX(Models!$BJ191:$BT191,,AH191)*(1-AF191)+INDEX(Models!$BJ191:$BT191,,AH191+1)*AF191-ERP_i)*AE191*Ramure*Pc/MaxiM</f>
        <v>7.7540797036878425E-5</v>
      </c>
      <c r="AE191" s="305">
        <f t="shared" si="62"/>
        <v>0.7</v>
      </c>
      <c r="AF191" s="177">
        <f t="shared" si="63"/>
        <v>0.46266959585653566</v>
      </c>
      <c r="AG191" s="810">
        <f t="shared" si="71"/>
        <v>-1</v>
      </c>
      <c r="AH191" s="176">
        <f t="shared" si="64"/>
        <v>5</v>
      </c>
      <c r="AI191" s="225">
        <f t="shared" si="65"/>
        <v>-0.53733040414346434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6">
        <v>44.85</v>
      </c>
      <c r="C192" s="390"/>
      <c r="D192" s="393">
        <f t="shared" si="48"/>
        <v>45.581295320519608</v>
      </c>
      <c r="E192" s="385">
        <f t="shared" si="72"/>
        <v>50.355134523327465</v>
      </c>
      <c r="F192" s="385">
        <f t="shared" si="49"/>
        <v>50.35788226706152</v>
      </c>
      <c r="G192" s="110">
        <f t="shared" si="73"/>
        <v>0.79192128894988301</v>
      </c>
      <c r="H192" s="414" t="b">
        <f>Wh_hp&gt;='2019'!Maxi_hp</f>
        <v>0</v>
      </c>
      <c r="I192" s="380">
        <f>IF(H192,Wh_hp,'2019'!Maxi_hp)</f>
        <v>61.300290769717577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1.6043759076552533E-2</v>
      </c>
      <c r="M192" s="844"/>
      <c r="N192" s="844"/>
      <c r="O192" s="48">
        <f>IF(t&lt;Tnet,'2019'!Resal+('2019'!Salim-'2019'!Resal)*(1-EXP(('2019'!Tnet-t)/('2019'!Tau_j))),Resal+(Salim-Resal)*(1-EXP((Tnet-t)/(Tau_j))))*Salcycl</f>
        <v>9.4803424675518097E-2</v>
      </c>
      <c r="P192" s="169">
        <f>(INDEX(Models!$BJ192:$BT192,,T192)*(1-R192)+INDEX(Models!$BJ192:$BT192,,T192+1)*R192-ERP_i)*Q192*Ramure*Pc/MaxiM</f>
        <v>7.7641703331960635E-5</v>
      </c>
      <c r="Q192" s="305">
        <f t="shared" si="51"/>
        <v>0.7</v>
      </c>
      <c r="R192" s="177">
        <f t="shared" si="52"/>
        <v>0.46634700819070929</v>
      </c>
      <c r="S192" s="810">
        <f t="shared" si="53"/>
        <v>-1</v>
      </c>
      <c r="T192" s="176">
        <f t="shared" si="54"/>
        <v>5</v>
      </c>
      <c r="U192" s="251">
        <f t="shared" si="55"/>
        <v>-0.53365299180929071</v>
      </c>
      <c r="V192" s="383">
        <f t="shared" si="56"/>
        <v>56.633109311239522</v>
      </c>
      <c r="W192" s="402"/>
      <c r="X192" s="157">
        <f t="shared" si="57"/>
        <v>44008</v>
      </c>
      <c r="Y192" s="385">
        <f t="shared" si="58"/>
        <v>44.85</v>
      </c>
      <c r="Z192" s="385">
        <f t="shared" si="59"/>
        <v>45.581295320519608</v>
      </c>
      <c r="AA192" s="386">
        <f t="shared" si="60"/>
        <v>50.355134523327465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9.4803424675518097E-2</v>
      </c>
      <c r="AD192" s="231">
        <f>(INDEX(Models!$BJ192:$BT192,,AH192)*(1-AF192)+INDEX(Models!$BJ192:$BT192,,AH192+1)*AF192-ERP_i)*AE192*Ramure*Pc/MaxiM</f>
        <v>7.7641703331960635E-5</v>
      </c>
      <c r="AE192" s="305">
        <f t="shared" si="62"/>
        <v>0.7</v>
      </c>
      <c r="AF192" s="177">
        <f t="shared" si="63"/>
        <v>0.46634700819070929</v>
      </c>
      <c r="AG192" s="810">
        <f t="shared" si="71"/>
        <v>-1</v>
      </c>
      <c r="AH192" s="176">
        <f t="shared" si="64"/>
        <v>5</v>
      </c>
      <c r="AI192" s="225">
        <f t="shared" si="65"/>
        <v>-0.53365299180929071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6">
        <v>40.122</v>
      </c>
      <c r="C193" s="390"/>
      <c r="D193" s="393">
        <f t="shared" si="48"/>
        <v>40.777152530307568</v>
      </c>
      <c r="E193" s="385">
        <f t="shared" si="72"/>
        <v>45.053806892608584</v>
      </c>
      <c r="F193" s="385">
        <f t="shared" si="49"/>
        <v>45.055853204932653</v>
      </c>
      <c r="G193" s="110">
        <f t="shared" si="73"/>
        <v>0.70919015290921772</v>
      </c>
      <c r="H193" s="414" t="b">
        <f>Wh_hp&gt;='2019'!Maxi_hp</f>
        <v>0</v>
      </c>
      <c r="I193" s="380">
        <f>IF(H193,Wh_hp,'2019'!Maxi_hp)</f>
        <v>62.435697126202129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1.6066657175746291E-2</v>
      </c>
      <c r="M193" s="844"/>
      <c r="N193" s="844"/>
      <c r="O193" s="48">
        <f>IF(t&lt;Tnet,'2019'!Resal+('2019'!Salim-'2019'!Resal)*(1-EXP(('2019'!Tnet-t)/('2019'!Tau_j))),Resal+(Salim-Resal)*(1-EXP((Tnet-t)/(Tau_j))))*Salcycl</f>
        <v>9.4923263032910016E-2</v>
      </c>
      <c r="P193" s="169">
        <f>(INDEX(Models!$BJ193:$BT193,,T193)*(1-R193)+INDEX(Models!$BJ193:$BT193,,T193+1)*R193-ERP_i)*Q193*Ramure*Pc/MaxiM</f>
        <v>7.7690742891416226E-5</v>
      </c>
      <c r="Q193" s="305">
        <f t="shared" si="51"/>
        <v>0.7</v>
      </c>
      <c r="R193" s="177">
        <f t="shared" si="52"/>
        <v>0.46997403181537289</v>
      </c>
      <c r="S193" s="810">
        <f t="shared" si="53"/>
        <v>-1</v>
      </c>
      <c r="T193" s="176">
        <f t="shared" si="54"/>
        <v>5</v>
      </c>
      <c r="U193" s="251">
        <f t="shared" si="55"/>
        <v>-0.53002596818462711</v>
      </c>
      <c r="V193" s="383">
        <f t="shared" si="56"/>
        <v>56.57256364737637</v>
      </c>
      <c r="W193" s="402"/>
      <c r="X193" s="157">
        <f t="shared" si="57"/>
        <v>44009</v>
      </c>
      <c r="Y193" s="385">
        <f t="shared" si="58"/>
        <v>40.122</v>
      </c>
      <c r="Z193" s="385">
        <f t="shared" si="59"/>
        <v>40.777152530307568</v>
      </c>
      <c r="AA193" s="386">
        <f t="shared" si="60"/>
        <v>45.053806892608584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9.4923263032910016E-2</v>
      </c>
      <c r="AD193" s="231">
        <f>(INDEX(Models!$BJ193:$BT193,,AH193)*(1-AF193)+INDEX(Models!$BJ193:$BT193,,AH193+1)*AF193-ERP_i)*AE193*Ramure*Pc/MaxiM</f>
        <v>7.7690742891416226E-5</v>
      </c>
      <c r="AE193" s="305">
        <f t="shared" si="62"/>
        <v>0.7</v>
      </c>
      <c r="AF193" s="177">
        <f t="shared" si="63"/>
        <v>0.46997403181537289</v>
      </c>
      <c r="AG193" s="810">
        <f t="shared" si="71"/>
        <v>-1</v>
      </c>
      <c r="AH193" s="176">
        <f t="shared" si="64"/>
        <v>5</v>
      </c>
      <c r="AI193" s="225">
        <f t="shared" si="65"/>
        <v>-0.53002596818462711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6">
        <v>47.424999999999997</v>
      </c>
      <c r="C194" s="390"/>
      <c r="D194" s="393">
        <f t="shared" si="48"/>
        <v>48.200524985348174</v>
      </c>
      <c r="E194" s="385">
        <f t="shared" si="72"/>
        <v>53.26269242672462</v>
      </c>
      <c r="F194" s="385">
        <f t="shared" si="49"/>
        <v>53.265880117128937</v>
      </c>
      <c r="G194" s="110">
        <f t="shared" si="73"/>
        <v>0.83921420999582963</v>
      </c>
      <c r="H194" s="414" t="b">
        <f>Wh_hp&gt;='2019'!Maxi_hp</f>
        <v>0</v>
      </c>
      <c r="I194" s="380">
        <f>IF(H194,Wh_hp,'2019'!Maxi_hp)</f>
        <v>58.422011969355658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1.6089554742067969E-2</v>
      </c>
      <c r="M194" s="844"/>
      <c r="N194" s="844"/>
      <c r="O194" s="48">
        <f>IF(t&lt;Tnet,'2019'!Resal+('2019'!Salim-'2019'!Resal)*(1-EXP(('2019'!Tnet-t)/('2019'!Tau_j))),Resal+(Salim-Resal)*(1-EXP((Tnet-t)/(Tau_j))))*Salcycl</f>
        <v>9.5041523639471437E-2</v>
      </c>
      <c r="P194" s="169">
        <f>(INDEX(Models!$BJ194:$BT194,,T194)*(1-R194)+INDEX(Models!$BJ194:$BT194,,T194+1)*R194-ERP_i)*Q194*Ramure*Pc/MaxiM</f>
        <v>7.7687595183029411E-5</v>
      </c>
      <c r="Q194" s="305">
        <f t="shared" si="51"/>
        <v>0.7</v>
      </c>
      <c r="R194" s="177">
        <f t="shared" si="52"/>
        <v>0.47354869688079082</v>
      </c>
      <c r="S194" s="810">
        <f t="shared" si="53"/>
        <v>-1</v>
      </c>
      <c r="T194" s="176">
        <f t="shared" si="54"/>
        <v>5</v>
      </c>
      <c r="U194" s="251">
        <f t="shared" si="55"/>
        <v>-0.52645130311920918</v>
      </c>
      <c r="V194" s="383">
        <f t="shared" si="56"/>
        <v>56.510189167320604</v>
      </c>
      <c r="W194" s="402"/>
      <c r="X194" s="157">
        <f t="shared" si="57"/>
        <v>44010</v>
      </c>
      <c r="Y194" s="385">
        <f t="shared" si="58"/>
        <v>47.424999999999997</v>
      </c>
      <c r="Z194" s="385">
        <f t="shared" si="59"/>
        <v>48.200524985348174</v>
      </c>
      <c r="AA194" s="386">
        <f t="shared" si="60"/>
        <v>53.26269242672462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9.5041523639471437E-2</v>
      </c>
      <c r="AD194" s="231">
        <f>(INDEX(Models!$BJ194:$BT194,,AH194)*(1-AF194)+INDEX(Models!$BJ194:$BT194,,AH194+1)*AF194-ERP_i)*AE194*Ramure*Pc/MaxiM</f>
        <v>7.7687595183029411E-5</v>
      </c>
      <c r="AE194" s="305">
        <f t="shared" si="62"/>
        <v>0.7</v>
      </c>
      <c r="AF194" s="177">
        <f t="shared" si="63"/>
        <v>0.47354869688079082</v>
      </c>
      <c r="AG194" s="810">
        <f t="shared" si="71"/>
        <v>-1</v>
      </c>
      <c r="AH194" s="176">
        <f t="shared" si="64"/>
        <v>5</v>
      </c>
      <c r="AI194" s="225">
        <f t="shared" si="65"/>
        <v>-0.52645130311920918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6">
        <v>25.440999999999999</v>
      </c>
      <c r="C195" s="390"/>
      <c r="D195" s="393">
        <f t="shared" si="48"/>
        <v>25.857629813397875</v>
      </c>
      <c r="E195" s="385">
        <f t="shared" si="72"/>
        <v>28.576962872717136</v>
      </c>
      <c r="F195" s="385">
        <f t="shared" si="49"/>
        <v>28.577440538734251</v>
      </c>
      <c r="G195" s="110">
        <f t="shared" si="73"/>
        <v>0.45068817122246313</v>
      </c>
      <c r="H195" s="414" t="b">
        <f>Wh_hp&gt;='2019'!Maxi_hp</f>
        <v>0</v>
      </c>
      <c r="I195" s="380">
        <f>IF(H195,Wh_hp,'2019'!Maxi_hp)</f>
        <v>56.806125451843101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1.6112451775529779E-2</v>
      </c>
      <c r="M195" s="844"/>
      <c r="N195" s="844"/>
      <c r="O195" s="48">
        <f>IF(t&lt;Tnet,'2019'!Resal+('2019'!Salim-'2019'!Resal)*(1-EXP(('2019'!Tnet-t)/('2019'!Tau_j))),Resal+(Salim-Resal)*(1-EXP((Tnet-t)/(Tau_j))))*Salcycl</f>
        <v>9.5158224876144851E-2</v>
      </c>
      <c r="P195" s="169">
        <f>(INDEX(Models!$BJ195:$BT195,,T195)*(1-R195)+INDEX(Models!$BJ195:$BT195,,T195+1)*R195-ERP_i)*Q195*Ramure*Pc/MaxiM</f>
        <v>7.7631998737134623E-5</v>
      </c>
      <c r="Q195" s="305">
        <f t="shared" si="51"/>
        <v>0.7</v>
      </c>
      <c r="R195" s="177">
        <f t="shared" si="52"/>
        <v>0.47706917707723528</v>
      </c>
      <c r="S195" s="810">
        <f t="shared" si="53"/>
        <v>-1</v>
      </c>
      <c r="T195" s="176">
        <f t="shared" si="54"/>
        <v>5</v>
      </c>
      <c r="U195" s="251">
        <f t="shared" si="55"/>
        <v>-0.52293082292276472</v>
      </c>
      <c r="V195" s="383">
        <f t="shared" si="56"/>
        <v>56.445790690431295</v>
      </c>
      <c r="W195" s="402"/>
      <c r="X195" s="157">
        <f t="shared" si="57"/>
        <v>44011</v>
      </c>
      <c r="Y195" s="385">
        <f t="shared" si="58"/>
        <v>25.440999999999999</v>
      </c>
      <c r="Z195" s="385">
        <f t="shared" si="59"/>
        <v>25.857629813397875</v>
      </c>
      <c r="AA195" s="386">
        <f t="shared" si="60"/>
        <v>28.576962872717136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9.5158224876144851E-2</v>
      </c>
      <c r="AD195" s="231">
        <f>(INDEX(Models!$BJ195:$BT195,,AH195)*(1-AF195)+INDEX(Models!$BJ195:$BT195,,AH195+1)*AF195-ERP_i)*AE195*Ramure*Pc/MaxiM</f>
        <v>7.7631998737134623E-5</v>
      </c>
      <c r="AE195" s="305">
        <f t="shared" si="62"/>
        <v>0.7</v>
      </c>
      <c r="AF195" s="177">
        <f t="shared" si="63"/>
        <v>0.47706917707723528</v>
      </c>
      <c r="AG195" s="810">
        <f t="shared" si="71"/>
        <v>-1</v>
      </c>
      <c r="AH195" s="176">
        <f t="shared" si="64"/>
        <v>5</v>
      </c>
      <c r="AI195" s="225">
        <f t="shared" si="65"/>
        <v>-0.52293082292276472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6">
        <v>54.787999999999997</v>
      </c>
      <c r="C196" s="390"/>
      <c r="D196" s="393">
        <f t="shared" si="48"/>
        <v>55.686521417355998</v>
      </c>
      <c r="E196" s="385">
        <f t="shared" si="72"/>
        <v>61.550661524050341</v>
      </c>
      <c r="F196" s="385">
        <f t="shared" si="49"/>
        <v>61.555241119105759</v>
      </c>
      <c r="G196" s="110">
        <f t="shared" si="73"/>
        <v>0.97177425489261804</v>
      </c>
      <c r="H196" s="414" t="b">
        <f>Wh_hp&gt;='2019'!Maxi_hp</f>
        <v>1</v>
      </c>
      <c r="I196" s="380">
        <f>IF(H196,Wh_hp,'2019'!Maxi_hp)</f>
        <v>61.555241119105759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1.6135348276144157E-2</v>
      </c>
      <c r="M196" s="844"/>
      <c r="N196" s="844"/>
      <c r="O196" s="48">
        <f>IF(t&lt;Tnet,'2019'!Resal+('2019'!Salim-'2019'!Resal)*(1-EXP(('2019'!Tnet-t)/('2019'!Tau_j))),Resal+(Salim-Resal)*(1-EXP((Tnet-t)/(Tau_j))))*Salcycl</f>
        <v>9.5273388806763351E-2</v>
      </c>
      <c r="P196" s="169">
        <f>(INDEX(Models!$BJ196:$BT196,,T196)*(1-R196)+INDEX(Models!$BJ196:$BT196,,T196+1)*R196-ERP_i)*Q196*Ramure*Pc/MaxiM</f>
        <v>7.7523748022468751E-5</v>
      </c>
      <c r="Q196" s="305">
        <f t="shared" si="51"/>
        <v>0.7</v>
      </c>
      <c r="R196" s="177">
        <f t="shared" si="52"/>
        <v>0.48053379109398953</v>
      </c>
      <c r="S196" s="810">
        <f t="shared" si="53"/>
        <v>-1</v>
      </c>
      <c r="T196" s="176">
        <f t="shared" si="54"/>
        <v>5</v>
      </c>
      <c r="U196" s="251">
        <f t="shared" si="55"/>
        <v>-0.51946620890601047</v>
      </c>
      <c r="V196" s="383">
        <f t="shared" si="56"/>
        <v>56.379172904876278</v>
      </c>
      <c r="W196" s="402"/>
      <c r="X196" s="157">
        <f t="shared" si="57"/>
        <v>44012</v>
      </c>
      <c r="Y196" s="385">
        <f t="shared" si="58"/>
        <v>54.787999999999997</v>
      </c>
      <c r="Z196" s="385">
        <f t="shared" si="59"/>
        <v>55.686521417355998</v>
      </c>
      <c r="AA196" s="386">
        <f t="shared" si="60"/>
        <v>61.550661524050341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9.5273388806763351E-2</v>
      </c>
      <c r="AD196" s="231">
        <f>(INDEX(Models!$BJ196:$BT196,,AH196)*(1-AF196)+INDEX(Models!$BJ196:$BT196,,AH196+1)*AF196-ERP_i)*AE196*Ramure*Pc/MaxiM</f>
        <v>7.7523748022468751E-5</v>
      </c>
      <c r="AE196" s="305">
        <f t="shared" si="62"/>
        <v>0.7</v>
      </c>
      <c r="AF196" s="177">
        <f t="shared" si="63"/>
        <v>0.48053379109398953</v>
      </c>
      <c r="AG196" s="810">
        <f t="shared" si="71"/>
        <v>-1</v>
      </c>
      <c r="AH196" s="176">
        <f t="shared" si="64"/>
        <v>5</v>
      </c>
      <c r="AI196" s="225">
        <f t="shared" si="65"/>
        <v>-0.51946620890601047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6">
        <v>40.500999999999998</v>
      </c>
      <c r="C197" s="390"/>
      <c r="D197" s="393">
        <f t="shared" si="48"/>
        <v>41.166173079201364</v>
      </c>
      <c r="E197" s="385">
        <f t="shared" si="72"/>
        <v>45.506946001986499</v>
      </c>
      <c r="F197" s="385">
        <f t="shared" si="49"/>
        <v>45.509054645418558</v>
      </c>
      <c r="G197" s="110">
        <f t="shared" si="73"/>
        <v>0.71922646614859775</v>
      </c>
      <c r="H197" s="414" t="b">
        <f>Wh_hp&gt;='2019'!Maxi_hp</f>
        <v>1</v>
      </c>
      <c r="I197" s="380">
        <f>IF(H197,Wh_hp,'2019'!Maxi_hp)</f>
        <v>45.509054645418558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1.6158244243923536E-2</v>
      </c>
      <c r="M197" s="844"/>
      <c r="N197" s="844"/>
      <c r="O197" s="48">
        <f>IF(t&lt;Tnet,'2019'!Resal+('2019'!Salim-'2019'!Resal)*(1-EXP(('2019'!Tnet-t)/('2019'!Tau_j))),Resal+(Salim-Resal)*(1-EXP((Tnet-t)/(Tau_j))))*Salcycl</f>
        <v>9.5387040971627632E-2</v>
      </c>
      <c r="P197" s="169">
        <f>(INDEX(Models!$BJ197:$BT197,,T197)*(1-R197)+INDEX(Models!$BJ197:$BT197,,T197+1)*R197-ERP_i)*Q197*Ramure*Pc/MaxiM</f>
        <v>7.7362689894483916E-5</v>
      </c>
      <c r="Q197" s="305">
        <f t="shared" si="51"/>
        <v>0.7</v>
      </c>
      <c r="R197" s="177">
        <f t="shared" si="52"/>
        <v>0.48394100334011814</v>
      </c>
      <c r="S197" s="810">
        <f t="shared" si="53"/>
        <v>-1</v>
      </c>
      <c r="T197" s="176">
        <f t="shared" si="54"/>
        <v>5</v>
      </c>
      <c r="U197" s="251">
        <f t="shared" si="55"/>
        <v>-0.51605899665988186</v>
      </c>
      <c r="V197" s="383">
        <f t="shared" si="56"/>
        <v>56.310140378465483</v>
      </c>
      <c r="W197" s="402"/>
      <c r="X197" s="157">
        <f t="shared" si="57"/>
        <v>44013</v>
      </c>
      <c r="Y197" s="385">
        <f t="shared" si="58"/>
        <v>40.500999999999998</v>
      </c>
      <c r="Z197" s="385">
        <f t="shared" si="59"/>
        <v>41.166173079201364</v>
      </c>
      <c r="AA197" s="386">
        <f t="shared" si="60"/>
        <v>45.506946001986499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9.5387040971627632E-2</v>
      </c>
      <c r="AD197" s="231">
        <f>(INDEX(Models!$BJ197:$BT197,,AH197)*(1-AF197)+INDEX(Models!$BJ197:$BT197,,AH197+1)*AF197-ERP_i)*AE197*Ramure*Pc/MaxiM</f>
        <v>7.7362689894483916E-5</v>
      </c>
      <c r="AE197" s="305">
        <f t="shared" si="62"/>
        <v>0.7</v>
      </c>
      <c r="AF197" s="177">
        <f t="shared" si="63"/>
        <v>0.48394100334011814</v>
      </c>
      <c r="AG197" s="810">
        <f t="shared" si="71"/>
        <v>-1</v>
      </c>
      <c r="AH197" s="176">
        <f t="shared" si="64"/>
        <v>5</v>
      </c>
      <c r="AI197" s="225">
        <f t="shared" si="65"/>
        <v>-0.51605899665988186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6">
        <v>18.727</v>
      </c>
      <c r="C198" s="390"/>
      <c r="D198" s="393">
        <f t="shared" si="48"/>
        <v>19.035008125263509</v>
      </c>
      <c r="E198" s="385">
        <f t="shared" si="72"/>
        <v>21.04476672564973</v>
      </c>
      <c r="F198" s="385">
        <f t="shared" si="49"/>
        <v>21.044843232285576</v>
      </c>
      <c r="G198" s="110">
        <f t="shared" si="73"/>
        <v>0.33296805781942579</v>
      </c>
      <c r="H198" s="414" t="b">
        <f>Wh_hp&gt;='2019'!Maxi_hp</f>
        <v>0</v>
      </c>
      <c r="I198" s="380">
        <f>IF(H198,Wh_hp,'2019'!Maxi_hp)</f>
        <v>50.673839895815256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1.6181139678880241E-2</v>
      </c>
      <c r="M198" s="844"/>
      <c r="N198" s="844"/>
      <c r="O198" s="48">
        <f>IF(t&lt;Tnet,'2019'!Resal+('2019'!Salim-'2019'!Resal)*(1-EXP(('2019'!Tnet-t)/('2019'!Tau_j))),Resal+(Salim-Resal)*(1-EXP((Tnet-t)/(Tau_j))))*Salcycl</f>
        <v>9.5499210164049442E-2</v>
      </c>
      <c r="P198" s="169">
        <f>(INDEX(Models!$BJ198:$BT198,,T198)*(1-R198)+INDEX(Models!$BJ198:$BT198,,T198+1)*R198-ERP_i)*Q198*Ramure*Pc/MaxiM</f>
        <v>7.7132215636861821E-5</v>
      </c>
      <c r="Q198" s="305">
        <f t="shared" si="51"/>
        <v>0.7</v>
      </c>
      <c r="R198" s="177">
        <f t="shared" si="52"/>
        <v>0.48728942395395536</v>
      </c>
      <c r="S198" s="810">
        <f t="shared" si="53"/>
        <v>-1</v>
      </c>
      <c r="T198" s="176">
        <f t="shared" si="54"/>
        <v>5</v>
      </c>
      <c r="U198" s="251">
        <f t="shared" si="55"/>
        <v>-0.51271057604604464</v>
      </c>
      <c r="V198" s="383">
        <f t="shared" si="56"/>
        <v>56.238498500280819</v>
      </c>
      <c r="W198" s="402"/>
      <c r="X198" s="157">
        <f t="shared" si="57"/>
        <v>44014</v>
      </c>
      <c r="Y198" s="385">
        <f t="shared" si="58"/>
        <v>18.727</v>
      </c>
      <c r="Z198" s="385">
        <f t="shared" si="59"/>
        <v>19.035008125263509</v>
      </c>
      <c r="AA198" s="386">
        <f t="shared" si="60"/>
        <v>21.04476672564973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9.5499210164049442E-2</v>
      </c>
      <c r="AD198" s="231">
        <f>(INDEX(Models!$BJ198:$BT198,,AH198)*(1-AF198)+INDEX(Models!$BJ198:$BT198,,AH198+1)*AF198-ERP_i)*AE198*Ramure*Pc/MaxiM</f>
        <v>7.7132215636861821E-5</v>
      </c>
      <c r="AE198" s="305">
        <f t="shared" si="62"/>
        <v>0.7</v>
      </c>
      <c r="AF198" s="177">
        <f t="shared" si="63"/>
        <v>0.48728942395395536</v>
      </c>
      <c r="AG198" s="810">
        <f t="shared" si="71"/>
        <v>-1</v>
      </c>
      <c r="AH198" s="176">
        <f t="shared" si="64"/>
        <v>5</v>
      </c>
      <c r="AI198" s="225">
        <f t="shared" si="65"/>
        <v>-0.51271057604604464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6">
        <v>42.734999999999999</v>
      </c>
      <c r="C199" s="390"/>
      <c r="D199" s="393">
        <f t="shared" si="48"/>
        <v>43.438885197908156</v>
      </c>
      <c r="E199" s="385">
        <f t="shared" si="72"/>
        <v>48.031138943231255</v>
      </c>
      <c r="F199" s="385">
        <f t="shared" si="49"/>
        <v>48.033570331925119</v>
      </c>
      <c r="G199" s="110">
        <f t="shared" si="73"/>
        <v>0.76087601335632016</v>
      </c>
      <c r="H199" s="414" t="b">
        <f>Wh_hp&gt;='2019'!Maxi_hp</f>
        <v>0</v>
      </c>
      <c r="I199" s="380">
        <f>IF(H199,Wh_hp,'2019'!Maxi_hp)</f>
        <v>59.251249385209874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1.6204034581026816E-2</v>
      </c>
      <c r="M199" s="844"/>
      <c r="N199" s="844"/>
      <c r="O199" s="48">
        <f>IF(t&lt;Tnet,'2019'!Resal+('2019'!Salim-'2019'!Resal)*(1-EXP(('2019'!Tnet-t)/('2019'!Tau_j))),Resal+(Salim-Resal)*(1-EXP((Tnet-t)/(Tau_j))))*Salcycl</f>
        <v>9.5609928191599969E-2</v>
      </c>
      <c r="P199" s="169">
        <f>(INDEX(Models!$BJ199:$BT199,,T199)*(1-R199)+INDEX(Models!$BJ199:$BT199,,T199+1)*R199-ERP_i)*Q199*Ramure*Pc/MaxiM</f>
        <v>7.6878451879365339E-5</v>
      </c>
      <c r="Q199" s="305">
        <f t="shared" si="51"/>
        <v>0.7</v>
      </c>
      <c r="R199" s="177">
        <f t="shared" si="52"/>
        <v>0.49057780813312091</v>
      </c>
      <c r="S199" s="810">
        <f t="shared" si="53"/>
        <v>-1</v>
      </c>
      <c r="T199" s="176">
        <f t="shared" si="54"/>
        <v>5</v>
      </c>
      <c r="U199" s="251">
        <f t="shared" si="55"/>
        <v>-0.50942219186687909</v>
      </c>
      <c r="V199" s="383">
        <f t="shared" si="56"/>
        <v>56.164049037243345</v>
      </c>
      <c r="W199" s="402"/>
      <c r="X199" s="157">
        <f t="shared" si="57"/>
        <v>44015</v>
      </c>
      <c r="Y199" s="385">
        <f t="shared" si="58"/>
        <v>42.734999999999999</v>
      </c>
      <c r="Z199" s="385">
        <f t="shared" si="59"/>
        <v>43.438885197908156</v>
      </c>
      <c r="AA199" s="386">
        <f t="shared" si="60"/>
        <v>48.031138943231255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9.5609928191599969E-2</v>
      </c>
      <c r="AD199" s="231">
        <f>(INDEX(Models!$BJ199:$BT199,,AH199)*(1-AF199)+INDEX(Models!$BJ199:$BT199,,AH199+1)*AF199-ERP_i)*AE199*Ramure*Pc/MaxiM</f>
        <v>7.6878451879365339E-5</v>
      </c>
      <c r="AE199" s="305">
        <f t="shared" si="62"/>
        <v>0.7</v>
      </c>
      <c r="AF199" s="177">
        <f t="shared" si="63"/>
        <v>0.49057780813312091</v>
      </c>
      <c r="AG199" s="810">
        <f t="shared" si="71"/>
        <v>-1</v>
      </c>
      <c r="AH199" s="176">
        <f t="shared" si="64"/>
        <v>5</v>
      </c>
      <c r="AI199" s="225">
        <f t="shared" si="65"/>
        <v>-0.50942219186687909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6">
        <v>56.484999999999999</v>
      </c>
      <c r="C200" s="390"/>
      <c r="D200" s="393">
        <f t="shared" si="48"/>
        <v>57.416696657222005</v>
      </c>
      <c r="E200" s="385">
        <f t="shared" si="72"/>
        <v>63.494324482143604</v>
      </c>
      <c r="F200" s="385">
        <f t="shared" si="49"/>
        <v>63.499188646110007</v>
      </c>
      <c r="G200" s="110">
        <f t="shared" si="73"/>
        <v>1.0071033683305601</v>
      </c>
      <c r="H200" s="414" t="b">
        <f>Wh_hp&gt;='2019'!Maxi_hp</f>
        <v>1</v>
      </c>
      <c r="I200" s="380">
        <f>IF(H200,Wh_hp,'2019'!Maxi_hp)</f>
        <v>63.499188646110007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1.6226928950375474E-2</v>
      </c>
      <c r="M200" s="844"/>
      <c r="N200" s="844"/>
      <c r="O200" s="48">
        <f>IF(t&lt;Tnet,'2019'!Resal+('2019'!Salim-'2019'!Resal)*(1-EXP(('2019'!Tnet-t)/('2019'!Tau_j))),Resal+(Salim-Resal)*(1-EXP((Tnet-t)/(Tau_j))))*Salcycl</f>
        <v>9.5719229623913923E-2</v>
      </c>
      <c r="P200" s="169">
        <f>(INDEX(Models!$BJ200:$BT200,,T200)*(1-R200)+INDEX(Models!$BJ200:$BT200,,T200+1)*R200-ERP_i)*Q200*Ramure*Pc/MaxiM</f>
        <v>7.6601986105811326E-5</v>
      </c>
      <c r="Q200" s="305">
        <f t="shared" si="51"/>
        <v>0.7</v>
      </c>
      <c r="R200" s="177">
        <f t="shared" si="52"/>
        <v>0.49380505482110004</v>
      </c>
      <c r="S200" s="810">
        <f t="shared" si="53"/>
        <v>-1</v>
      </c>
      <c r="T200" s="176">
        <f t="shared" si="54"/>
        <v>5</v>
      </c>
      <c r="U200" s="251">
        <f t="shared" si="55"/>
        <v>-0.50619494517889996</v>
      </c>
      <c r="V200" s="383">
        <f t="shared" si="56"/>
        <v>56.086596248439911</v>
      </c>
      <c r="W200" s="402"/>
      <c r="X200" s="157">
        <f t="shared" si="57"/>
        <v>44016</v>
      </c>
      <c r="Y200" s="385">
        <f t="shared" si="58"/>
        <v>56.484999999999999</v>
      </c>
      <c r="Z200" s="385">
        <f t="shared" si="59"/>
        <v>57.416696657222005</v>
      </c>
      <c r="AA200" s="386">
        <f t="shared" si="60"/>
        <v>63.494324482143604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9.5719229623913923E-2</v>
      </c>
      <c r="AD200" s="231">
        <f>(INDEX(Models!$BJ200:$BT200,,AH200)*(1-AF200)+INDEX(Models!$BJ200:$BT200,,AH200+1)*AF200-ERP_i)*AE200*Ramure*Pc/MaxiM</f>
        <v>7.6601986105811326E-5</v>
      </c>
      <c r="AE200" s="305">
        <f t="shared" si="62"/>
        <v>0.7</v>
      </c>
      <c r="AF200" s="177">
        <f t="shared" si="63"/>
        <v>0.49380505482110004</v>
      </c>
      <c r="AG200" s="810">
        <f t="shared" si="71"/>
        <v>-1</v>
      </c>
      <c r="AH200" s="176">
        <f t="shared" si="64"/>
        <v>5</v>
      </c>
      <c r="AI200" s="225">
        <f t="shared" si="65"/>
        <v>-0.50619494517889996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6">
        <v>55.860999999999997</v>
      </c>
      <c r="C201" s="390"/>
      <c r="D201" s="393">
        <f t="shared" si="48"/>
        <v>56.783725476169941</v>
      </c>
      <c r="E201" s="385">
        <f t="shared" si="72"/>
        <v>62.801847646933581</v>
      </c>
      <c r="F201" s="385">
        <f t="shared" si="49"/>
        <v>62.806622289088963</v>
      </c>
      <c r="G201" s="110">
        <f t="shared" si="73"/>
        <v>0.99741170171209559</v>
      </c>
      <c r="H201" s="414" t="b">
        <f>Wh_hp&gt;='2019'!Maxi_hp</f>
        <v>1</v>
      </c>
      <c r="I201" s="380">
        <f>IF(H201,Wh_hp,'2019'!Maxi_hp)</f>
        <v>62.806622289088963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1.6249822786938761E-2</v>
      </c>
      <c r="M201" s="844"/>
      <c r="N201" s="844"/>
      <c r="O201" s="48">
        <f>IF(t&lt;Tnet,'2019'!Resal+('2019'!Salim-'2019'!Resal)*(1-EXP(('2019'!Tnet-t)/('2019'!Tau_j))),Resal+(Salim-Resal)*(1-EXP((Tnet-t)/(Tau_j))))*Salcycl</f>
        <v>9.5827151528996221E-2</v>
      </c>
      <c r="P201" s="169">
        <f>(INDEX(Models!$BJ201:$BT201,,T201)*(1-R201)+INDEX(Models!$BJ201:$BT201,,T201+1)*R201-ERP_i)*Q201*Ramure*Pc/MaxiM</f>
        <v>7.6303423700274401E-5</v>
      </c>
      <c r="Q201" s="305">
        <f t="shared" si="51"/>
        <v>0.7</v>
      </c>
      <c r="R201" s="177">
        <f t="shared" si="52"/>
        <v>0.49697020479000087</v>
      </c>
      <c r="S201" s="810">
        <f t="shared" si="53"/>
        <v>-1</v>
      </c>
      <c r="T201" s="176">
        <f t="shared" si="54"/>
        <v>5</v>
      </c>
      <c r="U201" s="251">
        <f t="shared" si="55"/>
        <v>-0.50302979520999913</v>
      </c>
      <c r="V201" s="383">
        <f t="shared" si="56"/>
        <v>56.00594432987225</v>
      </c>
      <c r="W201" s="402"/>
      <c r="X201" s="157">
        <f t="shared" si="57"/>
        <v>44017</v>
      </c>
      <c r="Y201" s="385">
        <f t="shared" si="58"/>
        <v>55.860999999999997</v>
      </c>
      <c r="Z201" s="385">
        <f t="shared" si="59"/>
        <v>56.783725476169941</v>
      </c>
      <c r="AA201" s="386">
        <f t="shared" si="60"/>
        <v>62.801847646933581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9.5827151528996221E-2</v>
      </c>
      <c r="AD201" s="231">
        <f>(INDEX(Models!$BJ201:$BT201,,AH201)*(1-AF201)+INDEX(Models!$BJ201:$BT201,,AH201+1)*AF201-ERP_i)*AE201*Ramure*Pc/MaxiM</f>
        <v>7.6303423700274401E-5</v>
      </c>
      <c r="AE201" s="305">
        <f t="shared" si="62"/>
        <v>0.7</v>
      </c>
      <c r="AF201" s="177">
        <f t="shared" si="63"/>
        <v>0.49697020479000087</v>
      </c>
      <c r="AG201" s="810">
        <f t="shared" si="71"/>
        <v>-1</v>
      </c>
      <c r="AH201" s="176">
        <f t="shared" si="64"/>
        <v>5</v>
      </c>
      <c r="AI201" s="225">
        <f t="shared" si="65"/>
        <v>-0.50302979520999913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6">
        <v>41.524000000000001</v>
      </c>
      <c r="C202" s="390"/>
      <c r="D202" s="393">
        <f t="shared" si="48"/>
        <v>42.210885759909196</v>
      </c>
      <c r="E202" s="385">
        <f t="shared" si="72"/>
        <v>46.690035133508452</v>
      </c>
      <c r="F202" s="385">
        <f t="shared" si="49"/>
        <v>46.692278053984744</v>
      </c>
      <c r="G202" s="110">
        <f t="shared" si="73"/>
        <v>0.74251485324330102</v>
      </c>
      <c r="H202" s="414" t="b">
        <f>Wh_hp&gt;='2019'!Maxi_hp</f>
        <v>0</v>
      </c>
      <c r="I202" s="380">
        <f>IF(H202,Wh_hp,'2019'!Maxi_hp)</f>
        <v>54.138682052927066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1.6272716090729E-2</v>
      </c>
      <c r="M202" s="844"/>
      <c r="N202" s="844"/>
      <c r="O202" s="48">
        <f>IF(t&lt;Tnet,'2019'!Resal+('2019'!Salim-'2019'!Resal)*(1-EXP(('2019'!Tnet-t)/('2019'!Tau_j))),Resal+(Salim-Resal)*(1-EXP((Tnet-t)/(Tau_j))))*Salcycl</f>
        <v>9.5933733200056215E-2</v>
      </c>
      <c r="P202" s="169">
        <f>(INDEX(Models!$BJ202:$BT202,,T202)*(1-R202)+INDEX(Models!$BJ202:$BT202,,T202+1)*R202-ERP_i)*Q202*Ramure*Pc/MaxiM</f>
        <v>7.5983384331154068E-5</v>
      </c>
      <c r="Q202" s="305">
        <f t="shared" si="51"/>
        <v>0.7</v>
      </c>
      <c r="R202" s="177">
        <f t="shared" si="52"/>
        <v>0.50007243816203262</v>
      </c>
      <c r="S202" s="810">
        <f t="shared" si="53"/>
        <v>-1</v>
      </c>
      <c r="T202" s="176">
        <f t="shared" si="54"/>
        <v>5</v>
      </c>
      <c r="U202" s="251">
        <f t="shared" si="55"/>
        <v>-0.49992756183796738</v>
      </c>
      <c r="V202" s="383">
        <f t="shared" si="56"/>
        <v>55.921897433797653</v>
      </c>
      <c r="W202" s="402"/>
      <c r="X202" s="157">
        <f t="shared" si="57"/>
        <v>44018</v>
      </c>
      <c r="Y202" s="385">
        <f t="shared" si="58"/>
        <v>41.524000000000001</v>
      </c>
      <c r="Z202" s="385">
        <f t="shared" si="59"/>
        <v>42.210885759909196</v>
      </c>
      <c r="AA202" s="386">
        <f t="shared" si="60"/>
        <v>46.690035133508452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9.5933733200056215E-2</v>
      </c>
      <c r="AD202" s="231">
        <f>(INDEX(Models!$BJ202:$BT202,,AH202)*(1-AF202)+INDEX(Models!$BJ202:$BT202,,AH202+1)*AF202-ERP_i)*AE202*Ramure*Pc/MaxiM</f>
        <v>7.5983384331154068E-5</v>
      </c>
      <c r="AE202" s="305">
        <f t="shared" si="62"/>
        <v>0.7</v>
      </c>
      <c r="AF202" s="177">
        <f t="shared" si="63"/>
        <v>0.50007243816203262</v>
      </c>
      <c r="AG202" s="810">
        <f t="shared" si="71"/>
        <v>-1</v>
      </c>
      <c r="AH202" s="176">
        <f t="shared" si="64"/>
        <v>5</v>
      </c>
      <c r="AI202" s="225">
        <f t="shared" si="65"/>
        <v>-0.49992756183796738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6">
        <v>57.17</v>
      </c>
      <c r="C203" s="390"/>
      <c r="D203" s="393">
        <f t="shared" si="48"/>
        <v>58.11705275997474</v>
      </c>
      <c r="E203" s="385">
        <f t="shared" si="72"/>
        <v>64.291549945849582</v>
      </c>
      <c r="F203" s="385">
        <f t="shared" si="49"/>
        <v>64.296413487200894</v>
      </c>
      <c r="G203" s="110">
        <f t="shared" si="73"/>
        <v>1.0239233102795018</v>
      </c>
      <c r="H203" s="414" t="b">
        <f>Wh_hp&gt;='2019'!Maxi_hp</f>
        <v>1</v>
      </c>
      <c r="I203" s="380">
        <f>IF(H203,Wh_hp,'2019'!Maxi_hp)</f>
        <v>64.296413487200894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1.6295608861758626E-2</v>
      </c>
      <c r="M203" s="844"/>
      <c r="N203" s="844"/>
      <c r="O203" s="48">
        <f>IF(t&lt;Tnet,'2019'!Resal+('2019'!Salim-'2019'!Resal)*(1-EXP(('2019'!Tnet-t)/('2019'!Tau_j))),Resal+(Salim-Resal)*(1-EXP((Tnet-t)/(Tau_j))))*Salcycl</f>
        <v>9.6039015874953906E-2</v>
      </c>
      <c r="P203" s="169">
        <f>(INDEX(Models!$BJ203:$BT203,,T203)*(1-R203)+INDEX(Models!$BJ203:$BT203,,T203+1)*R203-ERP_i)*Q203*Ramure*Pc/MaxiM</f>
        <v>7.5642498352968232E-5</v>
      </c>
      <c r="Q203" s="305">
        <f t="shared" si="51"/>
        <v>0.7</v>
      </c>
      <c r="R203" s="177">
        <f t="shared" si="52"/>
        <v>0.50311107141451461</v>
      </c>
      <c r="S203" s="810">
        <f t="shared" si="53"/>
        <v>-1</v>
      </c>
      <c r="T203" s="176">
        <f t="shared" si="54"/>
        <v>5</v>
      </c>
      <c r="U203" s="251">
        <f t="shared" si="55"/>
        <v>-0.49688892858548545</v>
      </c>
      <c r="V203" s="383">
        <f t="shared" si="56"/>
        <v>55.834259681415233</v>
      </c>
      <c r="W203" s="402"/>
      <c r="X203" s="157">
        <f t="shared" si="57"/>
        <v>44019</v>
      </c>
      <c r="Y203" s="385">
        <f t="shared" si="58"/>
        <v>57.17</v>
      </c>
      <c r="Z203" s="385">
        <f t="shared" si="59"/>
        <v>58.11705275997474</v>
      </c>
      <c r="AA203" s="386">
        <f t="shared" si="60"/>
        <v>64.291549945849582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9.6039015874953906E-2</v>
      </c>
      <c r="AD203" s="231">
        <f>(INDEX(Models!$BJ203:$BT203,,AH203)*(1-AF203)+INDEX(Models!$BJ203:$BT203,,AH203+1)*AF203-ERP_i)*AE203*Ramure*Pc/MaxiM</f>
        <v>7.5642498352968232E-5</v>
      </c>
      <c r="AE203" s="305">
        <f t="shared" si="62"/>
        <v>0.7</v>
      </c>
      <c r="AF203" s="177">
        <f t="shared" si="63"/>
        <v>0.50311107141451461</v>
      </c>
      <c r="AG203" s="810">
        <f t="shared" si="71"/>
        <v>-1</v>
      </c>
      <c r="AH203" s="176">
        <f t="shared" si="64"/>
        <v>5</v>
      </c>
      <c r="AI203" s="225">
        <f t="shared" si="65"/>
        <v>-0.49688892858548545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6">
        <v>55.052999999999997</v>
      </c>
      <c r="C204" s="390"/>
      <c r="D204" s="393">
        <f t="shared" si="48"/>
        <v>55.966285897991533</v>
      </c>
      <c r="E204" s="385">
        <f t="shared" si="72"/>
        <v>61.919405975164217</v>
      </c>
      <c r="F204" s="385">
        <f t="shared" si="49"/>
        <v>61.923985284937821</v>
      </c>
      <c r="G204" s="110">
        <f t="shared" si="73"/>
        <v>0.98762336976985499</v>
      </c>
      <c r="H204" s="414" t="b">
        <f>Wh_hp&gt;='2019'!Maxi_hp</f>
        <v>1</v>
      </c>
      <c r="I204" s="380">
        <f>IF(H204,Wh_hp,'2019'!Maxi_hp)</f>
        <v>61.923985284937821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1.6318501100040073E-2</v>
      </c>
      <c r="M204" s="844"/>
      <c r="N204" s="844"/>
      <c r="O204" s="48">
        <f>IF(t&lt;Tnet,'2019'!Resal+('2019'!Salim-'2019'!Resal)*(1-EXP(('2019'!Tnet-t)/('2019'!Tau_j))),Resal+(Salim-Resal)*(1-EXP((Tnet-t)/(Tau_j))))*Salcycl</f>
        <v>9.6143042450382493E-2</v>
      </c>
      <c r="P204" s="169">
        <f>(INDEX(Models!$BJ204:$BT204,,T204)*(1-R204)+INDEX(Models!$BJ204:$BT204,,T204+1)*R204-ERP_i)*Q204*Ramure*Pc/MaxiM</f>
        <v>7.5281403227783967E-5</v>
      </c>
      <c r="Q204" s="305">
        <f t="shared" si="51"/>
        <v>0.7</v>
      </c>
      <c r="R204" s="177">
        <f t="shared" si="52"/>
        <v>0.5060855539148762</v>
      </c>
      <c r="S204" s="810">
        <f t="shared" si="53"/>
        <v>-1</v>
      </c>
      <c r="T204" s="176">
        <f t="shared" si="54"/>
        <v>5</v>
      </c>
      <c r="U204" s="251">
        <f t="shared" si="55"/>
        <v>-0.4939144460851238</v>
      </c>
      <c r="V204" s="383">
        <f t="shared" si="56"/>
        <v>55.742835183500667</v>
      </c>
      <c r="W204" s="402"/>
      <c r="X204" s="157">
        <f t="shared" si="57"/>
        <v>44020</v>
      </c>
      <c r="Y204" s="385">
        <f t="shared" si="58"/>
        <v>55.052999999999997</v>
      </c>
      <c r="Z204" s="385">
        <f t="shared" si="59"/>
        <v>55.966285897991533</v>
      </c>
      <c r="AA204" s="386">
        <f t="shared" si="60"/>
        <v>61.919405975164217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9.6143042450382493E-2</v>
      </c>
      <c r="AD204" s="231">
        <f>(INDEX(Models!$BJ204:$BT204,,AH204)*(1-AF204)+INDEX(Models!$BJ204:$BT204,,AH204+1)*AF204-ERP_i)*AE204*Ramure*Pc/MaxiM</f>
        <v>7.5281403227783967E-5</v>
      </c>
      <c r="AE204" s="305">
        <f t="shared" si="62"/>
        <v>0.7</v>
      </c>
      <c r="AF204" s="177">
        <f t="shared" si="63"/>
        <v>0.5060855539148762</v>
      </c>
      <c r="AG204" s="810">
        <f t="shared" si="71"/>
        <v>-1</v>
      </c>
      <c r="AH204" s="176">
        <f t="shared" si="64"/>
        <v>5</v>
      </c>
      <c r="AI204" s="225">
        <f t="shared" si="65"/>
        <v>-0.4939144460851238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6">
        <v>51.597999999999999</v>
      </c>
      <c r="C205" s="390"/>
      <c r="D205" s="393">
        <f t="shared" si="48"/>
        <v>52.455190878843148</v>
      </c>
      <c r="E205" s="385">
        <f t="shared" si="72"/>
        <v>58.041438920453494</v>
      </c>
      <c r="F205" s="385">
        <f t="shared" si="49"/>
        <v>58.045334473978784</v>
      </c>
      <c r="G205" s="110">
        <f t="shared" si="73"/>
        <v>0.92721180671484149</v>
      </c>
      <c r="H205" s="414" t="b">
        <f>Wh_hp&gt;='2019'!Maxi_hp</f>
        <v>0</v>
      </c>
      <c r="I205" s="380">
        <f>IF(H205,Wh_hp,'2019'!Maxi_hp)</f>
        <v>63.53664171225423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1.6341392805585664E-2</v>
      </c>
      <c r="M205" s="844"/>
      <c r="N205" s="844"/>
      <c r="O205" s="48">
        <f>IF(t&lt;Tnet,'2019'!Resal+('2019'!Salim-'2019'!Resal)*(1-EXP(('2019'!Tnet-t)/('2019'!Tau_j))),Resal+(Salim-Resal)*(1-EXP((Tnet-t)/(Tau_j))))*Salcycl</f>
        <v>9.6245857192933659E-2</v>
      </c>
      <c r="P205" s="169">
        <f>(INDEX(Models!$BJ205:$BT205,,T205)*(1-R205)+INDEX(Models!$BJ205:$BT205,,T205+1)*R205-ERP_i)*Q205*Ramure*Pc/MaxiM</f>
        <v>7.489980255413555E-5</v>
      </c>
      <c r="Q205" s="305">
        <f t="shared" si="51"/>
        <v>0.7</v>
      </c>
      <c r="R205" s="177">
        <f t="shared" si="52"/>
        <v>0.50899546403313911</v>
      </c>
      <c r="S205" s="810">
        <f t="shared" si="53"/>
        <v>-1</v>
      </c>
      <c r="T205" s="176">
        <f t="shared" si="54"/>
        <v>5</v>
      </c>
      <c r="U205" s="251">
        <f t="shared" si="55"/>
        <v>-0.49100453596686083</v>
      </c>
      <c r="V205" s="383">
        <f t="shared" si="56"/>
        <v>55.648124600759218</v>
      </c>
      <c r="W205" s="402"/>
      <c r="X205" s="157">
        <f t="shared" si="57"/>
        <v>44021</v>
      </c>
      <c r="Y205" s="385">
        <f t="shared" si="58"/>
        <v>51.597999999999999</v>
      </c>
      <c r="Z205" s="385">
        <f t="shared" si="59"/>
        <v>52.455190878843148</v>
      </c>
      <c r="AA205" s="386">
        <f t="shared" si="60"/>
        <v>58.041438920453494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9.6245857192933659E-2</v>
      </c>
      <c r="AD205" s="231">
        <f>(INDEX(Models!$BJ205:$BT205,,AH205)*(1-AF205)+INDEX(Models!$BJ205:$BT205,,AH205+1)*AF205-ERP_i)*AE205*Ramure*Pc/MaxiM</f>
        <v>7.489980255413555E-5</v>
      </c>
      <c r="AE205" s="305">
        <f t="shared" si="62"/>
        <v>0.7</v>
      </c>
      <c r="AF205" s="177">
        <f t="shared" si="63"/>
        <v>0.50899546403313911</v>
      </c>
      <c r="AG205" s="810">
        <f t="shared" si="71"/>
        <v>-1</v>
      </c>
      <c r="AH205" s="176">
        <f t="shared" si="64"/>
        <v>5</v>
      </c>
      <c r="AI205" s="225">
        <f t="shared" si="65"/>
        <v>-0.49100453596686083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6">
        <v>43.006999999999998</v>
      </c>
      <c r="C206" s="390"/>
      <c r="D206" s="393">
        <f t="shared" si="48"/>
        <v>43.722487196729581</v>
      </c>
      <c r="E206" s="385">
        <f t="shared" si="72"/>
        <v>48.384182482076085</v>
      </c>
      <c r="F206" s="385">
        <f t="shared" si="49"/>
        <v>48.386626039228794</v>
      </c>
      <c r="G206" s="110">
        <f t="shared" si="73"/>
        <v>0.77417518269177321</v>
      </c>
      <c r="H206" s="414" t="b">
        <f>Wh_hp&gt;='2019'!Maxi_hp</f>
        <v>0</v>
      </c>
      <c r="I206" s="380">
        <f>IF(H206,Wh_hp,'2019'!Maxi_hp)</f>
        <v>62.742397262991474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1.6364283978407834E-2</v>
      </c>
      <c r="M206" s="844"/>
      <c r="N206" s="844"/>
      <c r="O206" s="48">
        <f>IF(t&lt;Tnet,'2019'!Resal+('2019'!Salim-'2019'!Resal)*(1-EXP(('2019'!Tnet-t)/('2019'!Tau_j))),Resal+(Salim-Resal)*(1-EXP((Tnet-t)/(Tau_j))))*Salcycl</f>
        <v>9.6347505449191573E-2</v>
      </c>
      <c r="P206" s="169">
        <f>(INDEX(Models!$BJ206:$BT206,,T206)*(1-R206)+INDEX(Models!$BJ206:$BT206,,T206+1)*R206-ERP_i)*Q206*Ramure*Pc/MaxiM</f>
        <v>7.454857194503508E-5</v>
      </c>
      <c r="Q206" s="305">
        <f t="shared" si="51"/>
        <v>0.7</v>
      </c>
      <c r="R206" s="177">
        <f t="shared" si="52"/>
        <v>0.51184050487983068</v>
      </c>
      <c r="S206" s="810">
        <f t="shared" si="53"/>
        <v>-1</v>
      </c>
      <c r="T206" s="176">
        <f t="shared" si="54"/>
        <v>5</v>
      </c>
      <c r="U206" s="251">
        <f t="shared" si="55"/>
        <v>-0.48815949512016937</v>
      </c>
      <c r="V206" s="383">
        <f t="shared" si="56"/>
        <v>55.550690181290541</v>
      </c>
      <c r="W206" s="402"/>
      <c r="X206" s="157">
        <f t="shared" si="57"/>
        <v>44022</v>
      </c>
      <c r="Y206" s="385">
        <f t="shared" si="58"/>
        <v>43.006999999999998</v>
      </c>
      <c r="Z206" s="385">
        <f t="shared" si="59"/>
        <v>43.722487196729581</v>
      </c>
      <c r="AA206" s="386">
        <f t="shared" si="60"/>
        <v>48.384182482076085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9.6347505449191573E-2</v>
      </c>
      <c r="AD206" s="231">
        <f>(INDEX(Models!$BJ206:$BT206,,AH206)*(1-AF206)+INDEX(Models!$BJ206:$BT206,,AH206+1)*AF206-ERP_i)*AE206*Ramure*Pc/MaxiM</f>
        <v>7.454857194503508E-5</v>
      </c>
      <c r="AE206" s="305">
        <f t="shared" si="62"/>
        <v>0.7</v>
      </c>
      <c r="AF206" s="177">
        <f t="shared" si="63"/>
        <v>0.51184050487983068</v>
      </c>
      <c r="AG206" s="810">
        <f t="shared" si="71"/>
        <v>-1</v>
      </c>
      <c r="AH206" s="176">
        <f t="shared" si="64"/>
        <v>5</v>
      </c>
      <c r="AI206" s="225">
        <f t="shared" si="65"/>
        <v>-0.48815949512016937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6">
        <v>48.387</v>
      </c>
      <c r="C207" s="390"/>
      <c r="D207" s="393">
        <f t="shared" ref="D207:D270" si="74">Wh/(1-Ppv)</f>
        <v>49.193136518155654</v>
      </c>
      <c r="E207" s="385">
        <f t="shared" si="72"/>
        <v>54.444169604238546</v>
      </c>
      <c r="F207" s="385">
        <f t="shared" ref="F207:F270" si="75">Wh_sa/(1-Pvg*MEDIAN((-Sdif+Wh/Env_an)/Csdif,0,1))</f>
        <v>54.44747540160288</v>
      </c>
      <c r="G207" s="110">
        <f t="shared" si="73"/>
        <v>0.8726053838011073</v>
      </c>
      <c r="H207" s="414" t="b">
        <f>Wh_hp&gt;='2019'!Maxi_hp</f>
        <v>0</v>
      </c>
      <c r="I207" s="380">
        <f>IF(H207,Wh_hp,'2019'!Maxi_hp)</f>
        <v>63.292549815565977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1.6387174618518907E-2</v>
      </c>
      <c r="M207" s="844"/>
      <c r="N207" s="844"/>
      <c r="O207" s="48">
        <f>IF(t&lt;Tnet,'2019'!Resal+('2019'!Salim-'2019'!Resal)*(1-EXP(('2019'!Tnet-t)/('2019'!Tau_j))),Resal+(Salim-Resal)*(1-EXP((Tnet-t)/(Tau_j))))*Salcycl</f>
        <v>9.6448033356983889E-2</v>
      </c>
      <c r="P207" s="169">
        <f>(INDEX(Models!$BJ207:$BT207,,T207)*(1-R207)+INDEX(Models!$BJ207:$BT207,,T207+1)*R207-ERP_i)*Q207*Ramure*Pc/MaxiM</f>
        <v>7.4221914937244667E-5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0.51462049971720525</v>
      </c>
      <c r="S207" s="810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-0.48537950028279481</v>
      </c>
      <c r="V207" s="383">
        <f t="shared" ref="V207:V270" si="82">MaxiM*(1-Ppv)*(1-Pvg)*(1-Psa)</f>
        <v>55.450433055138326</v>
      </c>
      <c r="W207" s="402"/>
      <c r="X207" s="157">
        <f t="shared" ref="X207:X270" si="83">t</f>
        <v>44023</v>
      </c>
      <c r="Y207" s="385">
        <f t="shared" ref="Y207:Y270" si="84">Wh_pvt_s*(1-Ppv)</f>
        <v>48.387</v>
      </c>
      <c r="Z207" s="385">
        <f t="shared" ref="Z207:Z270" si="85">Wh_sa_s*(1-Psa_s)</f>
        <v>49.193136518155654</v>
      </c>
      <c r="AA207" s="386">
        <f t="shared" ref="AA207:AA270" si="86">Wh_hp*(1-Pvg_s*MEDIAN((-Sdif+Wh/Env_an)/Csdif,0,1))</f>
        <v>54.444169604238546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9.6448033356983889E-2</v>
      </c>
      <c r="AD207" s="231">
        <f>(INDEX(Models!$BJ207:$BT207,,AH207)*(1-AF207)+INDEX(Models!$BJ207:$BT207,,AH207+1)*AF207-ERP_i)*AE207*Ramure*Pc/MaxiM</f>
        <v>7.4221914937244667E-5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0.51462049971720525</v>
      </c>
      <c r="AG207" s="810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-0.48537950028279481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35.426000000000002</v>
      </c>
      <c r="C208" s="390"/>
      <c r="D208" s="393">
        <f t="shared" si="74"/>
        <v>36.017041990297372</v>
      </c>
      <c r="E208" s="385">
        <f t="shared" si="72"/>
        <v>39.866004570643703</v>
      </c>
      <c r="F208" s="385">
        <f t="shared" si="75"/>
        <v>39.867436274759221</v>
      </c>
      <c r="G208" s="110">
        <f t="shared" si="73"/>
        <v>0.64004355919699718</v>
      </c>
      <c r="H208" s="414" t="b">
        <f>Wh_hp&gt;='2019'!Maxi_hp</f>
        <v>0</v>
      </c>
      <c r="I208" s="380">
        <f>IF(H208,Wh_hp,'2019'!Maxi_hp)</f>
        <v>54.152153759681497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1.6410064725931428E-2</v>
      </c>
      <c r="M208" s="844"/>
      <c r="N208" s="844"/>
      <c r="O208" s="48">
        <f>IF(t&lt;Tnet,'2019'!Resal+('2019'!Salim-'2019'!Resal)*(1-EXP(('2019'!Tnet-t)/('2019'!Tau_j))),Resal+(Salim-Resal)*(1-EXP((Tnet-t)/(Tau_j))))*Salcycl</f>
        <v>9.6547487559879741E-2</v>
      </c>
      <c r="P208" s="169">
        <f>(INDEX(Models!$BJ208:$BT208,,T208)*(1-R208)+INDEX(Models!$BJ208:$BT208,,T208+1)*R208-ERP_i)*Q208*Ramure*Pc/MaxiM</f>
        <v>7.3920922777021675E-5</v>
      </c>
      <c r="Q208" s="305">
        <f t="shared" si="77"/>
        <v>0.7</v>
      </c>
      <c r="R208" s="177">
        <f t="shared" si="78"/>
        <v>0.51733538709108151</v>
      </c>
      <c r="S208" s="810">
        <f t="shared" si="79"/>
        <v>-1</v>
      </c>
      <c r="T208" s="176">
        <f t="shared" si="80"/>
        <v>5</v>
      </c>
      <c r="U208" s="251">
        <f t="shared" si="81"/>
        <v>-0.48266461290891849</v>
      </c>
      <c r="V208" s="383">
        <f t="shared" si="82"/>
        <v>55.347253987575407</v>
      </c>
      <c r="W208" s="402"/>
      <c r="X208" s="157">
        <f t="shared" si="83"/>
        <v>44024</v>
      </c>
      <c r="Y208" s="385">
        <f t="shared" si="84"/>
        <v>35.426000000000002</v>
      </c>
      <c r="Z208" s="385">
        <f t="shared" si="85"/>
        <v>36.017041990297372</v>
      </c>
      <c r="AA208" s="386">
        <f t="shared" si="86"/>
        <v>39.866004570643703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9.6547487559879741E-2</v>
      </c>
      <c r="AD208" s="231">
        <f>(INDEX(Models!$BJ208:$BT208,,AH208)*(1-AF208)+INDEX(Models!$BJ208:$BT208,,AH208+1)*AF208-ERP_i)*AE208*Ramure*Pc/MaxiM</f>
        <v>7.3920922777021675E-5</v>
      </c>
      <c r="AE208" s="305">
        <f t="shared" si="88"/>
        <v>0.7</v>
      </c>
      <c r="AF208" s="177">
        <f t="shared" si="89"/>
        <v>0.51733538709108151</v>
      </c>
      <c r="AG208" s="810">
        <f t="shared" ref="AG208:AG271" si="95">INDEX(Echel_vg,AH208)</f>
        <v>-1</v>
      </c>
      <c r="AH208" s="176">
        <f t="shared" si="90"/>
        <v>5</v>
      </c>
      <c r="AI208" s="225">
        <f t="shared" si="91"/>
        <v>-0.48266461290891849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6">
        <v>56.304000000000002</v>
      </c>
      <c r="C209" s="390"/>
      <c r="D209" s="393">
        <f t="shared" si="74"/>
        <v>57.244699531353611</v>
      </c>
      <c r="E209" s="385">
        <f t="shared" si="72"/>
        <v>63.369060346614333</v>
      </c>
      <c r="F209" s="385">
        <f t="shared" si="75"/>
        <v>63.373727610861152</v>
      </c>
      <c r="G209" s="110">
        <f t="shared" si="73"/>
        <v>1.0192419612752199</v>
      </c>
      <c r="H209" s="414" t="b">
        <f>Wh_hp&gt;='2019'!Maxi_hp</f>
        <v>1</v>
      </c>
      <c r="I209" s="380">
        <f>IF(H209,Wh_hp,'2019'!Maxi_hp)</f>
        <v>63.373727610861152</v>
      </c>
      <c r="J209" s="85">
        <f>IF(H209,An,'2019'!An_max)</f>
        <v>2020</v>
      </c>
      <c r="K209" s="197">
        <f t="shared" si="76"/>
        <v>44025</v>
      </c>
      <c r="L209" s="147">
        <f>IF(t&lt;Tvie,1-EXP((T0-t)*PertePVj)+'2019'!Pspv,1-EXP((T0-t)*PertePVj)+Pspv)</f>
        <v>1.643295430065761E-2</v>
      </c>
      <c r="M209" s="844"/>
      <c r="N209" s="844"/>
      <c r="O209" s="48">
        <f>IF(t&lt;Tnet,'2019'!Resal+('2019'!Salim-'2019'!Resal)*(1-EXP(('2019'!Tnet-t)/('2019'!Tau_j))),Resal+(Salim-Resal)*(1-EXP((Tnet-t)/(Tau_j))))*Salcycl</f>
        <v>9.6645914926966947E-2</v>
      </c>
      <c r="P209" s="169">
        <f>(INDEX(Models!$BJ209:$BT209,,T209)*(1-R209)+INDEX(Models!$BJ209:$BT209,,T209+1)*R209-ERP_i)*Q209*Ramure*Pc/MaxiM</f>
        <v>7.3646673831164172E-5</v>
      </c>
      <c r="Q209" s="305">
        <f t="shared" si="77"/>
        <v>0.7</v>
      </c>
      <c r="R209" s="177">
        <f t="shared" si="78"/>
        <v>0.51998521572958789</v>
      </c>
      <c r="S209" s="810">
        <f t="shared" si="79"/>
        <v>-1</v>
      </c>
      <c r="T209" s="176">
        <f t="shared" si="80"/>
        <v>5</v>
      </c>
      <c r="U209" s="251">
        <f t="shared" si="81"/>
        <v>-0.48001478427041211</v>
      </c>
      <c r="V209" s="383">
        <f t="shared" si="82"/>
        <v>55.241053782318282</v>
      </c>
      <c r="W209" s="402"/>
      <c r="X209" s="157">
        <f t="shared" si="83"/>
        <v>44025</v>
      </c>
      <c r="Y209" s="385">
        <f t="shared" si="84"/>
        <v>56.304000000000002</v>
      </c>
      <c r="Z209" s="385">
        <f t="shared" si="85"/>
        <v>57.244699531353611</v>
      </c>
      <c r="AA209" s="386">
        <f t="shared" si="86"/>
        <v>63.369060346614333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9.6645914926966947E-2</v>
      </c>
      <c r="AD209" s="231">
        <f>(INDEX(Models!$BJ209:$BT209,,AH209)*(1-AF209)+INDEX(Models!$BJ209:$BT209,,AH209+1)*AF209-ERP_i)*AE209*Ramure*Pc/MaxiM</f>
        <v>7.3646673831164172E-5</v>
      </c>
      <c r="AE209" s="305">
        <f t="shared" si="88"/>
        <v>0.7</v>
      </c>
      <c r="AF209" s="177">
        <f t="shared" si="89"/>
        <v>0.51998521572958789</v>
      </c>
      <c r="AG209" s="810">
        <f t="shared" si="95"/>
        <v>-1</v>
      </c>
      <c r="AH209" s="176">
        <f t="shared" si="90"/>
        <v>5</v>
      </c>
      <c r="AI209" s="225">
        <f t="shared" si="91"/>
        <v>-0.48001478427041211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6">
        <v>46.008000000000003</v>
      </c>
      <c r="C210" s="390"/>
      <c r="D210" s="393">
        <f t="shared" si="74"/>
        <v>46.77776761580742</v>
      </c>
      <c r="E210" s="385">
        <f t="shared" si="72"/>
        <v>51.787903528588345</v>
      </c>
      <c r="F210" s="385">
        <f t="shared" si="75"/>
        <v>51.790806268751908</v>
      </c>
      <c r="G210" s="110">
        <f t="shared" si="73"/>
        <v>0.83449583087063639</v>
      </c>
      <c r="H210" s="414" t="b">
        <f>Wh_hp&gt;='2019'!Maxi_hp</f>
        <v>0</v>
      </c>
      <c r="I210" s="380">
        <f>IF(H210,Wh_hp,'2019'!Maxi_hp)</f>
        <v>64.452290266215414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1.6455843342709997E-2</v>
      </c>
      <c r="M210" s="844"/>
      <c r="N210" s="844"/>
      <c r="O210" s="48">
        <f>IF(t&lt;Tnet,'2019'!Resal+('2019'!Salim-'2019'!Resal)*(1-EXP(('2019'!Tnet-t)/('2019'!Tau_j))),Resal+(Salim-Resal)*(1-EXP((Tnet-t)/(Tau_j))))*Salcycl</f>
        <v>9.6743362279864992E-2</v>
      </c>
      <c r="P210" s="169">
        <f>(INDEX(Models!$BJ210:$BT210,,T210)*(1-R210)+INDEX(Models!$BJ210:$BT210,,T210+1)*R210-ERP_i)*Q210*Ramure*Pc/MaxiM</f>
        <v>7.3400233437250333E-5</v>
      </c>
      <c r="Q210" s="305">
        <f t="shared" si="77"/>
        <v>0.7</v>
      </c>
      <c r="R210" s="177">
        <f t="shared" si="78"/>
        <v>0.52257013925370976</v>
      </c>
      <c r="S210" s="810">
        <f t="shared" si="79"/>
        <v>-1</v>
      </c>
      <c r="T210" s="176">
        <f t="shared" si="80"/>
        <v>5</v>
      </c>
      <c r="U210" s="251">
        <f t="shared" si="81"/>
        <v>-0.47742986074629024</v>
      </c>
      <c r="V210" s="383">
        <f t="shared" si="82"/>
        <v>55.131733298421011</v>
      </c>
      <c r="W210" s="402"/>
      <c r="X210" s="157">
        <f t="shared" si="83"/>
        <v>44026</v>
      </c>
      <c r="Y210" s="385">
        <f t="shared" si="84"/>
        <v>46.008000000000003</v>
      </c>
      <c r="Z210" s="385">
        <f t="shared" si="85"/>
        <v>46.77776761580742</v>
      </c>
      <c r="AA210" s="386">
        <f t="shared" si="86"/>
        <v>51.787903528588345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9.6743362279864992E-2</v>
      </c>
      <c r="AD210" s="231">
        <f>(INDEX(Models!$BJ210:$BT210,,AH210)*(1-AF210)+INDEX(Models!$BJ210:$BT210,,AH210+1)*AF210-ERP_i)*AE210*Ramure*Pc/MaxiM</f>
        <v>7.3400233437250333E-5</v>
      </c>
      <c r="AE210" s="305">
        <f t="shared" si="88"/>
        <v>0.7</v>
      </c>
      <c r="AF210" s="177">
        <f t="shared" si="89"/>
        <v>0.52257013925370976</v>
      </c>
      <c r="AG210" s="810">
        <f t="shared" si="95"/>
        <v>-1</v>
      </c>
      <c r="AH210" s="176">
        <f t="shared" si="90"/>
        <v>5</v>
      </c>
      <c r="AI210" s="225">
        <f t="shared" si="91"/>
        <v>-0.47742986074629024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6">
        <v>19.276</v>
      </c>
      <c r="C211" s="390"/>
      <c r="D211" s="393">
        <f t="shared" si="74"/>
        <v>19.598966107056601</v>
      </c>
      <c r="E211" s="385">
        <f t="shared" si="72"/>
        <v>21.700433388323969</v>
      </c>
      <c r="F211" s="385">
        <f t="shared" si="75"/>
        <v>21.700547619406443</v>
      </c>
      <c r="G211" s="110">
        <f t="shared" si="73"/>
        <v>0.3503266692701395</v>
      </c>
      <c r="H211" s="414" t="b">
        <f>Wh_hp&gt;='2019'!Maxi_hp</f>
        <v>0</v>
      </c>
      <c r="I211" s="380">
        <f>IF(H211,Wh_hp,'2019'!Maxi_hp)</f>
        <v>62.090421221534129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1.6478731852101025E-2</v>
      </c>
      <c r="M211" s="844"/>
      <c r="N211" s="844"/>
      <c r="O211" s="48">
        <f>IF(t&lt;Tnet,'2019'!Resal+('2019'!Salim-'2019'!Resal)*(1-EXP(('2019'!Tnet-t)/('2019'!Tau_j))),Resal+(Salim-Resal)*(1-EXP((Tnet-t)/(Tau_j))))*Salcycl</f>
        <v>9.683987612883678E-2</v>
      </c>
      <c r="P211" s="169">
        <f>(INDEX(Models!$BJ211:$BT211,,T211)*(1-R211)+INDEX(Models!$BJ211:$BT211,,T211+1)*R211-ERP_i)*Q211*Ramure*Pc/MaxiM</f>
        <v>7.3182653994714522E-5</v>
      </c>
      <c r="Q211" s="305">
        <f t="shared" si="77"/>
        <v>0.7</v>
      </c>
      <c r="R211" s="177">
        <f t="shared" si="78"/>
        <v>0.52509041074278295</v>
      </c>
      <c r="S211" s="810">
        <f t="shared" si="79"/>
        <v>-1</v>
      </c>
      <c r="T211" s="176">
        <f t="shared" si="80"/>
        <v>5</v>
      </c>
      <c r="U211" s="251">
        <f t="shared" si="81"/>
        <v>-0.4749095892572171</v>
      </c>
      <c r="V211" s="383">
        <f t="shared" si="82"/>
        <v>55.019193465222521</v>
      </c>
      <c r="W211" s="402"/>
      <c r="X211" s="157">
        <f t="shared" si="83"/>
        <v>44027</v>
      </c>
      <c r="Y211" s="385">
        <f t="shared" si="84"/>
        <v>19.276</v>
      </c>
      <c r="Z211" s="385">
        <f t="shared" si="85"/>
        <v>19.598966107056601</v>
      </c>
      <c r="AA211" s="386">
        <f t="shared" si="86"/>
        <v>21.700433388323969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9.683987612883678E-2</v>
      </c>
      <c r="AD211" s="231">
        <f>(INDEX(Models!$BJ211:$BT211,,AH211)*(1-AF211)+INDEX(Models!$BJ211:$BT211,,AH211+1)*AF211-ERP_i)*AE211*Ramure*Pc/MaxiM</f>
        <v>7.3182653994714522E-5</v>
      </c>
      <c r="AE211" s="305">
        <f t="shared" si="88"/>
        <v>0.7</v>
      </c>
      <c r="AF211" s="177">
        <f t="shared" si="89"/>
        <v>0.52509041074278295</v>
      </c>
      <c r="AG211" s="810">
        <f t="shared" si="95"/>
        <v>-1</v>
      </c>
      <c r="AH211" s="176">
        <f t="shared" si="90"/>
        <v>5</v>
      </c>
      <c r="AI211" s="225">
        <f t="shared" si="91"/>
        <v>-0.4749095892572171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6">
        <v>22.88</v>
      </c>
      <c r="C212" s="390"/>
      <c r="D212" s="393">
        <f t="shared" si="74"/>
        <v>23.263891899870966</v>
      </c>
      <c r="E212" s="385">
        <f t="shared" si="72"/>
        <v>25.761052463258515</v>
      </c>
      <c r="F212" s="385">
        <f t="shared" si="75"/>
        <v>25.761366400181014</v>
      </c>
      <c r="G212" s="110">
        <f t="shared" si="73"/>
        <v>0.41670708264051676</v>
      </c>
      <c r="H212" s="414" t="b">
        <f>Wh_hp&gt;='2019'!Maxi_hp</f>
        <v>0</v>
      </c>
      <c r="I212" s="380">
        <f>IF(H212,Wh_hp,'2019'!Maxi_hp)</f>
        <v>53.69176391675272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1.6501619828842906E-2</v>
      </c>
      <c r="M212" s="844"/>
      <c r="N212" s="844"/>
      <c r="O212" s="48">
        <f>IF(t&lt;Tnet,'2019'!Resal+('2019'!Salim-'2019'!Resal)*(1-EXP(('2019'!Tnet-t)/('2019'!Tau_j))),Resal+(Salim-Resal)*(1-EXP((Tnet-t)/(Tau_j))))*Salcycl</f>
        <v>9.6935502419751796E-2</v>
      </c>
      <c r="P212" s="169">
        <f>(INDEX(Models!$BJ212:$BT212,,T212)*(1-R212)+INDEX(Models!$BJ212:$BT212,,T212+1)*R212-ERP_i)*Q212*Ramure*Pc/MaxiM</f>
        <v>7.3076865633728492E-5</v>
      </c>
      <c r="Q212" s="305">
        <f t="shared" si="77"/>
        <v>0.7</v>
      </c>
      <c r="R212" s="177">
        <f t="shared" si="78"/>
        <v>0.52754637719604403</v>
      </c>
      <c r="S212" s="810">
        <f t="shared" si="79"/>
        <v>-1</v>
      </c>
      <c r="T212" s="176">
        <f t="shared" si="80"/>
        <v>5</v>
      </c>
      <c r="U212" s="251">
        <f t="shared" si="81"/>
        <v>-0.47245362280395603</v>
      </c>
      <c r="V212" s="383">
        <f t="shared" si="82"/>
        <v>54.903330807237587</v>
      </c>
      <c r="W212" s="402"/>
      <c r="X212" s="157">
        <f t="shared" si="83"/>
        <v>44028</v>
      </c>
      <c r="Y212" s="385">
        <f t="shared" si="84"/>
        <v>22.88</v>
      </c>
      <c r="Z212" s="385">
        <f t="shared" si="85"/>
        <v>23.263891899870966</v>
      </c>
      <c r="AA212" s="386">
        <f t="shared" si="86"/>
        <v>25.761052463258515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9.6935502419751796E-2</v>
      </c>
      <c r="AD212" s="231">
        <f>(INDEX(Models!$BJ212:$BT212,,AH212)*(1-AF212)+INDEX(Models!$BJ212:$BT212,,AH212+1)*AF212-ERP_i)*AE212*Ramure*Pc/MaxiM</f>
        <v>7.3076865633728492E-5</v>
      </c>
      <c r="AE212" s="305">
        <f t="shared" si="88"/>
        <v>0.7</v>
      </c>
      <c r="AF212" s="177">
        <f t="shared" si="89"/>
        <v>0.52754637719604403</v>
      </c>
      <c r="AG212" s="810">
        <f t="shared" si="95"/>
        <v>-1</v>
      </c>
      <c r="AH212" s="176">
        <f t="shared" si="90"/>
        <v>5</v>
      </c>
      <c r="AI212" s="225">
        <f t="shared" si="91"/>
        <v>-0.47245362280395603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6">
        <v>26.047999999999998</v>
      </c>
      <c r="C213" s="390"/>
      <c r="D213" s="393">
        <f t="shared" si="74"/>
        <v>26.485662522989994</v>
      </c>
      <c r="E213" s="385">
        <f t="shared" si="72"/>
        <v>29.331728540786507</v>
      </c>
      <c r="F213" s="385">
        <f t="shared" si="75"/>
        <v>29.332266037658993</v>
      </c>
      <c r="G213" s="110">
        <f t="shared" si="73"/>
        <v>0.47544084958999022</v>
      </c>
      <c r="H213" s="414" t="b">
        <f>Wh_hp&gt;='2019'!Maxi_hp</f>
        <v>0</v>
      </c>
      <c r="I213" s="380">
        <f>IF(H213,Wh_hp,'2019'!Maxi_hp)</f>
        <v>45.9543548863994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1.6524507272948075E-2</v>
      </c>
      <c r="M213" s="844"/>
      <c r="N213" s="844"/>
      <c r="O213" s="48">
        <f>IF(t&lt;Tnet,'2019'!Resal+('2019'!Salim-'2019'!Resal)*(1-EXP(('2019'!Tnet-t)/('2019'!Tau_j))),Resal+(Salim-Resal)*(1-EXP((Tnet-t)/(Tau_j))))*Salcycl</f>
        <v>9.7030286293526363E-2</v>
      </c>
      <c r="P213" s="169">
        <f>(INDEX(Models!$BJ213:$BT213,,T213)*(1-R213)+INDEX(Models!$BJ213:$BT213,,T213+1)*R213-ERP_i)*Q213*Ramure*Pc/MaxiM</f>
        <v>7.3102659075643242E-5</v>
      </c>
      <c r="Q213" s="305">
        <f t="shared" si="77"/>
        <v>0.7</v>
      </c>
      <c r="R213" s="177">
        <f t="shared" si="78"/>
        <v>0.52993847392907623</v>
      </c>
      <c r="S213" s="810">
        <f t="shared" si="79"/>
        <v>-1</v>
      </c>
      <c r="T213" s="176">
        <f t="shared" si="80"/>
        <v>5</v>
      </c>
      <c r="U213" s="251">
        <f t="shared" si="81"/>
        <v>-0.47006152607092372</v>
      </c>
      <c r="V213" s="383">
        <f t="shared" si="82"/>
        <v>54.78404544506715</v>
      </c>
      <c r="W213" s="402"/>
      <c r="X213" s="157">
        <f t="shared" si="83"/>
        <v>44029</v>
      </c>
      <c r="Y213" s="385">
        <f t="shared" si="84"/>
        <v>26.047999999999998</v>
      </c>
      <c r="Z213" s="385">
        <f t="shared" si="85"/>
        <v>26.485662522989994</v>
      </c>
      <c r="AA213" s="386">
        <f t="shared" si="86"/>
        <v>29.331728540786507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9.7030286293526363E-2</v>
      </c>
      <c r="AD213" s="231">
        <f>(INDEX(Models!$BJ213:$BT213,,AH213)*(1-AF213)+INDEX(Models!$BJ213:$BT213,,AH213+1)*AF213-ERP_i)*AE213*Ramure*Pc/MaxiM</f>
        <v>7.3102659075643242E-5</v>
      </c>
      <c r="AE213" s="305">
        <f t="shared" si="88"/>
        <v>0.7</v>
      </c>
      <c r="AF213" s="177">
        <f t="shared" si="89"/>
        <v>0.52993847392907623</v>
      </c>
      <c r="AG213" s="810">
        <f t="shared" si="95"/>
        <v>-1</v>
      </c>
      <c r="AH213" s="176">
        <f t="shared" si="90"/>
        <v>5</v>
      </c>
      <c r="AI213" s="225">
        <f t="shared" si="91"/>
        <v>-0.47006152607092372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6">
        <v>55.02</v>
      </c>
      <c r="C214" s="390"/>
      <c r="D214" s="393">
        <f t="shared" si="74"/>
        <v>55.945756485511851</v>
      </c>
      <c r="E214" s="385">
        <f t="shared" si="72"/>
        <v>61.963961087685426</v>
      </c>
      <c r="F214" s="385">
        <f t="shared" si="75"/>
        <v>61.968501061499985</v>
      </c>
      <c r="G214" s="110">
        <f t="shared" si="73"/>
        <v>1.0065633607826181</v>
      </c>
      <c r="H214" s="414" t="b">
        <f>Wh_hp&gt;='2019'!Maxi_hp</f>
        <v>1</v>
      </c>
      <c r="I214" s="380">
        <f>IF(H214,Wh_hp,'2019'!Maxi_hp)</f>
        <v>61.968501061499985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1.6547394184429076E-2</v>
      </c>
      <c r="M214" s="844"/>
      <c r="N214" s="844"/>
      <c r="O214" s="48">
        <f>IF(t&lt;Tnet,'2019'!Resal+('2019'!Salim-'2019'!Resal)*(1-EXP(('2019'!Tnet-t)/('2019'!Tau_j))),Resal+(Salim-Resal)*(1-EXP((Tnet-t)/(Tau_j))))*Salcycl</f>
        <v>9.7124271859527947E-2</v>
      </c>
      <c r="P214" s="169">
        <f>(INDEX(Models!$BJ214:$BT214,,T214)*(1-R214)+INDEX(Models!$BJ214:$BT214,,T214+1)*R214-ERP_i)*Q214*Ramure*Pc/MaxiM</f>
        <v>7.3262604981416625E-5</v>
      </c>
      <c r="Q214" s="305">
        <f t="shared" si="77"/>
        <v>0.7</v>
      </c>
      <c r="R214" s="177">
        <f t="shared" si="78"/>
        <v>0.53226721894152729</v>
      </c>
      <c r="S214" s="810">
        <f t="shared" si="79"/>
        <v>-1</v>
      </c>
      <c r="T214" s="176">
        <f t="shared" si="80"/>
        <v>5</v>
      </c>
      <c r="U214" s="251">
        <f t="shared" si="81"/>
        <v>-0.46773278105847271</v>
      </c>
      <c r="V214" s="383">
        <f t="shared" si="82"/>
        <v>54.661238570437469</v>
      </c>
      <c r="W214" s="402"/>
      <c r="X214" s="157">
        <f t="shared" si="83"/>
        <v>44030</v>
      </c>
      <c r="Y214" s="385">
        <f t="shared" si="84"/>
        <v>55.02</v>
      </c>
      <c r="Z214" s="385">
        <f t="shared" si="85"/>
        <v>55.945756485511851</v>
      </c>
      <c r="AA214" s="386">
        <f t="shared" si="86"/>
        <v>61.963961087685426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9.7124271859527947E-2</v>
      </c>
      <c r="AD214" s="231">
        <f>(INDEX(Models!$BJ214:$BT214,,AH214)*(1-AF214)+INDEX(Models!$BJ214:$BT214,,AH214+1)*AF214-ERP_i)*AE214*Ramure*Pc/MaxiM</f>
        <v>7.3262604981416625E-5</v>
      </c>
      <c r="AE214" s="305">
        <f t="shared" si="88"/>
        <v>0.7</v>
      </c>
      <c r="AF214" s="177">
        <f t="shared" si="89"/>
        <v>0.53226721894152729</v>
      </c>
      <c r="AG214" s="810">
        <f t="shared" si="95"/>
        <v>-1</v>
      </c>
      <c r="AH214" s="176">
        <f t="shared" si="90"/>
        <v>5</v>
      </c>
      <c r="AI214" s="225">
        <f t="shared" si="91"/>
        <v>-0.46773278105847271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6">
        <v>53.481999999999999</v>
      </c>
      <c r="C215" s="390"/>
      <c r="D215" s="393">
        <f t="shared" si="74"/>
        <v>54.383143953219076</v>
      </c>
      <c r="E215" s="385">
        <f t="shared" si="72"/>
        <v>60.239475258714876</v>
      </c>
      <c r="F215" s="385">
        <f t="shared" si="75"/>
        <v>60.24378453040314</v>
      </c>
      <c r="G215" s="110">
        <f t="shared" si="73"/>
        <v>0.98069269910039991</v>
      </c>
      <c r="H215" s="414" t="b">
        <f>Wh_hp&gt;='2019'!Maxi_hp</f>
        <v>1</v>
      </c>
      <c r="I215" s="380">
        <f>IF(H215,Wh_hp,'2019'!Maxi_hp)</f>
        <v>60.24378453040314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1.6570280563298234E-2</v>
      </c>
      <c r="M215" s="844"/>
      <c r="N215" s="844"/>
      <c r="O215" s="48">
        <f>IF(t&lt;Tnet,'2019'!Resal+('2019'!Salim-'2019'!Resal)*(1-EXP(('2019'!Tnet-t)/('2019'!Tau_j))),Resal+(Salim-Resal)*(1-EXP((Tnet-t)/(Tau_j))))*Salcycl</f>
        <v>9.7217501984275034E-2</v>
      </c>
      <c r="P215" s="169">
        <f>(INDEX(Models!$BJ215:$BT215,,T215)*(1-R215)+INDEX(Models!$BJ215:$BT215,,T215+1)*R215-ERP_i)*Q215*Ramure*Pc/MaxiM</f>
        <v>7.3559252540931382E-5</v>
      </c>
      <c r="Q215" s="305">
        <f t="shared" si="77"/>
        <v>0.7</v>
      </c>
      <c r="R215" s="177">
        <f t="shared" si="78"/>
        <v>0.53453320728987541</v>
      </c>
      <c r="S215" s="810">
        <f t="shared" si="79"/>
        <v>-1</v>
      </c>
      <c r="T215" s="176">
        <f t="shared" si="80"/>
        <v>5</v>
      </c>
      <c r="U215" s="251">
        <f t="shared" si="81"/>
        <v>-0.46546679271012459</v>
      </c>
      <c r="V215" s="383">
        <f t="shared" si="82"/>
        <v>54.534811509051565</v>
      </c>
      <c r="W215" s="402"/>
      <c r="X215" s="157">
        <f t="shared" si="83"/>
        <v>44031</v>
      </c>
      <c r="Y215" s="385">
        <f t="shared" si="84"/>
        <v>53.481999999999999</v>
      </c>
      <c r="Z215" s="385">
        <f t="shared" si="85"/>
        <v>54.383143953219076</v>
      </c>
      <c r="AA215" s="386">
        <f t="shared" si="86"/>
        <v>60.239475258714876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9.7217501984275034E-2</v>
      </c>
      <c r="AD215" s="231">
        <f>(INDEX(Models!$BJ215:$BT215,,AH215)*(1-AF215)+INDEX(Models!$BJ215:$BT215,,AH215+1)*AF215-ERP_i)*AE215*Ramure*Pc/MaxiM</f>
        <v>7.3559252540931382E-5</v>
      </c>
      <c r="AE215" s="305">
        <f t="shared" si="88"/>
        <v>0.7</v>
      </c>
      <c r="AF215" s="177">
        <f t="shared" si="89"/>
        <v>0.53453320728987541</v>
      </c>
      <c r="AG215" s="810">
        <f t="shared" si="95"/>
        <v>-1</v>
      </c>
      <c r="AH215" s="176">
        <f t="shared" si="90"/>
        <v>5</v>
      </c>
      <c r="AI215" s="225">
        <f t="shared" si="91"/>
        <v>-0.46546679271012459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6">
        <v>44.67</v>
      </c>
      <c r="C216" s="390"/>
      <c r="D216" s="393">
        <f t="shared" si="74"/>
        <v>45.423723401340631</v>
      </c>
      <c r="E216" s="385">
        <f t="shared" si="72"/>
        <v>50.32040269856639</v>
      </c>
      <c r="F216" s="385">
        <f t="shared" si="75"/>
        <v>50.323174541683194</v>
      </c>
      <c r="G216" s="110">
        <f t="shared" si="73"/>
        <v>0.82105375439748829</v>
      </c>
      <c r="H216" s="414" t="b">
        <f>Wh_hp&gt;='2019'!Maxi_hp</f>
        <v>1</v>
      </c>
      <c r="I216" s="380">
        <f>IF(H216,Wh_hp,'2019'!Maxi_hp)</f>
        <v>50.323174541683194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1.6593166409567872E-2</v>
      </c>
      <c r="M216" s="844"/>
      <c r="N216" s="844"/>
      <c r="O216" s="48">
        <f>IF(t&lt;Tnet,'2019'!Resal+('2019'!Salim-'2019'!Resal)*(1-EXP(('2019'!Tnet-t)/('2019'!Tau_j))),Resal+(Salim-Resal)*(1-EXP((Tnet-t)/(Tau_j))))*Salcycl</f>
        <v>9.7310018096601295E-2</v>
      </c>
      <c r="P216" s="169">
        <f>(INDEX(Models!$BJ216:$BT216,,T216)*(1-R216)+INDEX(Models!$BJ216:$BT216,,T216+1)*R216-ERP_i)*Q216*Ramure*Pc/MaxiM</f>
        <v>7.3995137580502599E-5</v>
      </c>
      <c r="Q216" s="305">
        <f t="shared" si="77"/>
        <v>0.7</v>
      </c>
      <c r="R216" s="177">
        <f t="shared" si="78"/>
        <v>0.53673710549632336</v>
      </c>
      <c r="S216" s="810">
        <f t="shared" si="79"/>
        <v>-1</v>
      </c>
      <c r="T216" s="176">
        <f t="shared" si="80"/>
        <v>5</v>
      </c>
      <c r="U216" s="251">
        <f t="shared" si="81"/>
        <v>-0.46326289450367664</v>
      </c>
      <c r="V216" s="383">
        <f t="shared" si="82"/>
        <v>54.404665727292944</v>
      </c>
      <c r="W216" s="402"/>
      <c r="X216" s="157">
        <f t="shared" si="83"/>
        <v>44032</v>
      </c>
      <c r="Y216" s="385">
        <f t="shared" si="84"/>
        <v>44.67</v>
      </c>
      <c r="Z216" s="385">
        <f t="shared" si="85"/>
        <v>45.423723401340631</v>
      </c>
      <c r="AA216" s="386">
        <f t="shared" si="86"/>
        <v>50.32040269856639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9.7310018096601295E-2</v>
      </c>
      <c r="AD216" s="231">
        <f>(INDEX(Models!$BJ216:$BT216,,AH216)*(1-AF216)+INDEX(Models!$BJ216:$BT216,,AH216+1)*AF216-ERP_i)*AE216*Ramure*Pc/MaxiM</f>
        <v>7.3995137580502599E-5</v>
      </c>
      <c r="AE216" s="305">
        <f t="shared" si="88"/>
        <v>0.7</v>
      </c>
      <c r="AF216" s="177">
        <f t="shared" si="89"/>
        <v>0.53673710549632336</v>
      </c>
      <c r="AG216" s="810">
        <f t="shared" si="95"/>
        <v>-1</v>
      </c>
      <c r="AH216" s="176">
        <f t="shared" si="90"/>
        <v>5</v>
      </c>
      <c r="AI216" s="225">
        <f t="shared" si="91"/>
        <v>-0.46326289450367664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6">
        <v>48.948999999999998</v>
      </c>
      <c r="C217" s="390"/>
      <c r="D217" s="393">
        <f t="shared" si="74"/>
        <v>49.776081952300167</v>
      </c>
      <c r="E217" s="385">
        <f t="shared" si="72"/>
        <v>55.147556533705</v>
      </c>
      <c r="F217" s="385">
        <f t="shared" si="75"/>
        <v>55.15109317310074</v>
      </c>
      <c r="G217" s="110">
        <f t="shared" si="73"/>
        <v>0.90193209323626189</v>
      </c>
      <c r="H217" s="414" t="b">
        <f>Wh_hp&gt;='2019'!Maxi_hp</f>
        <v>1</v>
      </c>
      <c r="I217" s="380">
        <f>IF(H217,Wh_hp,'2019'!Maxi_hp)</f>
        <v>55.15109317310074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1.6616051723250425E-2</v>
      </c>
      <c r="M217" s="844"/>
      <c r="N217" s="844"/>
      <c r="O217" s="48">
        <f>IF(t&lt;Tnet,'2019'!Resal+('2019'!Salim-'2019'!Resal)*(1-EXP(('2019'!Tnet-t)/('2019'!Tau_j))),Resal+(Salim-Resal)*(1-EXP((Tnet-t)/(Tau_j))))*Salcycl</f>
        <v>9.7401860010278049E-2</v>
      </c>
      <c r="P217" s="169">
        <f>(INDEX(Models!$BJ217:$BT217,,T217)*(1-R217)+INDEX(Models!$BJ217:$BT217,,T217+1)*R217-ERP_i)*Q217*Ramure*Pc/MaxiM</f>
        <v>7.4572791001841017E-5</v>
      </c>
      <c r="Q217" s="305">
        <f t="shared" si="77"/>
        <v>0.7</v>
      </c>
      <c r="R217" s="177">
        <f t="shared" si="78"/>
        <v>0.53887964602214666</v>
      </c>
      <c r="S217" s="810">
        <f t="shared" si="79"/>
        <v>-1</v>
      </c>
      <c r="T217" s="176">
        <f t="shared" si="80"/>
        <v>5</v>
      </c>
      <c r="U217" s="251">
        <f t="shared" si="81"/>
        <v>-0.46112035397785334</v>
      </c>
      <c r="V217" s="383">
        <f t="shared" si="82"/>
        <v>54.270702852696836</v>
      </c>
      <c r="W217" s="402"/>
      <c r="X217" s="157">
        <f t="shared" si="83"/>
        <v>44033</v>
      </c>
      <c r="Y217" s="385">
        <f t="shared" si="84"/>
        <v>48.948999999999998</v>
      </c>
      <c r="Z217" s="385">
        <f t="shared" si="85"/>
        <v>49.776081952300167</v>
      </c>
      <c r="AA217" s="386">
        <f t="shared" si="86"/>
        <v>55.147556533705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9.7401860010278049E-2</v>
      </c>
      <c r="AD217" s="231">
        <f>(INDEX(Models!$BJ217:$BT217,,AH217)*(1-AF217)+INDEX(Models!$BJ217:$BT217,,AH217+1)*AF217-ERP_i)*AE217*Ramure*Pc/MaxiM</f>
        <v>7.4572791001841017E-5</v>
      </c>
      <c r="AE217" s="305">
        <f t="shared" si="88"/>
        <v>0.7</v>
      </c>
      <c r="AF217" s="177">
        <f t="shared" si="89"/>
        <v>0.53887964602214666</v>
      </c>
      <c r="AG217" s="810">
        <f t="shared" si="95"/>
        <v>-1</v>
      </c>
      <c r="AH217" s="176">
        <f t="shared" si="90"/>
        <v>5</v>
      </c>
      <c r="AI217" s="225">
        <f t="shared" si="91"/>
        <v>-0.46112035397785334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6">
        <v>48.732999999999997</v>
      </c>
      <c r="C218" s="390"/>
      <c r="D218" s="393">
        <f t="shared" si="74"/>
        <v>49.557585518755886</v>
      </c>
      <c r="E218" s="385">
        <f t="shared" si="72"/>
        <v>54.911030196967587</v>
      </c>
      <c r="F218" s="385">
        <f t="shared" si="75"/>
        <v>54.914575761833511</v>
      </c>
      <c r="G218" s="110">
        <f t="shared" si="73"/>
        <v>0.90023894691530348</v>
      </c>
      <c r="H218" s="414" t="b">
        <f>Wh_hp&gt;='2019'!Maxi_hp</f>
        <v>0</v>
      </c>
      <c r="I218" s="380">
        <f>IF(H218,Wh_hp,'2019'!Maxi_hp)</f>
        <v>57.142071976400118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1.6638936504358326E-2</v>
      </c>
      <c r="M218" s="844"/>
      <c r="N218" s="844"/>
      <c r="O218" s="48">
        <f>IF(t&lt;Tnet,'2019'!Resal+('2019'!Salim-'2019'!Resal)*(1-EXP(('2019'!Tnet-t)/('2019'!Tau_j))),Resal+(Salim-Resal)*(1-EXP((Tnet-t)/(Tau_j))))*Salcycl</f>
        <v>9.7493065764906045E-2</v>
      </c>
      <c r="P218" s="169">
        <f>(INDEX(Models!$BJ218:$BT218,,T218)*(1-R218)+INDEX(Models!$BJ218:$BT218,,T218+1)*R218-ERP_i)*Q218*Ramure*Pc/MaxiM</f>
        <v>7.529474755840907E-5</v>
      </c>
      <c r="Q218" s="305">
        <f t="shared" si="77"/>
        <v>0.7</v>
      </c>
      <c r="R218" s="177">
        <f t="shared" si="78"/>
        <v>0.54096162183105234</v>
      </c>
      <c r="S218" s="810">
        <f t="shared" si="79"/>
        <v>-1</v>
      </c>
      <c r="T218" s="176">
        <f t="shared" si="80"/>
        <v>5</v>
      </c>
      <c r="U218" s="251">
        <f t="shared" si="81"/>
        <v>-0.45903837816894766</v>
      </c>
      <c r="V218" s="383">
        <f t="shared" si="82"/>
        <v>54.132824674071671</v>
      </c>
      <c r="W218" s="402"/>
      <c r="X218" s="157">
        <f t="shared" si="83"/>
        <v>44034</v>
      </c>
      <c r="Y218" s="385">
        <f t="shared" si="84"/>
        <v>48.732999999999997</v>
      </c>
      <c r="Z218" s="385">
        <f t="shared" si="85"/>
        <v>49.557585518755886</v>
      </c>
      <c r="AA218" s="386">
        <f t="shared" si="86"/>
        <v>54.911030196967587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9.7493065764906045E-2</v>
      </c>
      <c r="AD218" s="231">
        <f>(INDEX(Models!$BJ218:$BT218,,AH218)*(1-AF218)+INDEX(Models!$BJ218:$BT218,,AH218+1)*AF218-ERP_i)*AE218*Ramure*Pc/MaxiM</f>
        <v>7.529474755840907E-5</v>
      </c>
      <c r="AE218" s="305">
        <f t="shared" si="88"/>
        <v>0.7</v>
      </c>
      <c r="AF218" s="177">
        <f t="shared" si="89"/>
        <v>0.54096162183105234</v>
      </c>
      <c r="AG218" s="810">
        <f t="shared" si="95"/>
        <v>-1</v>
      </c>
      <c r="AH218" s="176">
        <f t="shared" si="90"/>
        <v>5</v>
      </c>
      <c r="AI218" s="225">
        <f t="shared" si="91"/>
        <v>-0.45903837816894766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6">
        <v>44.43</v>
      </c>
      <c r="C219" s="390"/>
      <c r="D219" s="393">
        <f t="shared" si="74"/>
        <v>45.182828184316335</v>
      </c>
      <c r="E219" s="385">
        <f t="shared" si="72"/>
        <v>50.068717460712968</v>
      </c>
      <c r="F219" s="385">
        <f t="shared" si="75"/>
        <v>50.071566319093769</v>
      </c>
      <c r="G219" s="110">
        <f t="shared" si="73"/>
        <v>0.82289959959288583</v>
      </c>
      <c r="H219" s="414" t="b">
        <f>Wh_hp&gt;='2019'!Maxi_hp</f>
        <v>0</v>
      </c>
      <c r="I219" s="380">
        <f>IF(H219,Wh_hp,'2019'!Maxi_hp)</f>
        <v>57.379495039905848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1.66618207529039E-2</v>
      </c>
      <c r="M219" s="844"/>
      <c r="N219" s="844"/>
      <c r="O219" s="48">
        <f>IF(t&lt;Tnet,'2019'!Resal+('2019'!Salim-'2019'!Resal)*(1-EXP(('2019'!Tnet-t)/('2019'!Tau_j))),Resal+(Salim-Resal)*(1-EXP((Tnet-t)/(Tau_j))))*Salcycl</f>
        <v>9.7583671485701629E-2</v>
      </c>
      <c r="P219" s="169">
        <f>(INDEX(Models!$BJ219:$BT219,,T219)*(1-R219)+INDEX(Models!$BJ219:$BT219,,T219+1)*R219-ERP_i)*Q219*Ramure*Pc/MaxiM</f>
        <v>7.6163386280334253E-5</v>
      </c>
      <c r="Q219" s="305">
        <f t="shared" si="77"/>
        <v>0.7</v>
      </c>
      <c r="R219" s="177">
        <f t="shared" si="78"/>
        <v>0.54298388106535422</v>
      </c>
      <c r="S219" s="810">
        <f t="shared" si="79"/>
        <v>-1</v>
      </c>
      <c r="T219" s="176">
        <f t="shared" si="80"/>
        <v>5</v>
      </c>
      <c r="U219" s="251">
        <f t="shared" si="81"/>
        <v>-0.45701611893464583</v>
      </c>
      <c r="V219" s="383">
        <f t="shared" si="82"/>
        <v>53.990965497320296</v>
      </c>
      <c r="W219" s="402"/>
      <c r="X219" s="157">
        <f t="shared" si="83"/>
        <v>44035</v>
      </c>
      <c r="Y219" s="385">
        <f t="shared" si="84"/>
        <v>44.43</v>
      </c>
      <c r="Z219" s="385">
        <f t="shared" si="85"/>
        <v>45.182828184316335</v>
      </c>
      <c r="AA219" s="386">
        <f t="shared" si="86"/>
        <v>50.068717460712968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9.7583671485701629E-2</v>
      </c>
      <c r="AD219" s="231">
        <f>(INDEX(Models!$BJ219:$BT219,,AH219)*(1-AF219)+INDEX(Models!$BJ219:$BT219,,AH219+1)*AF219-ERP_i)*AE219*Ramure*Pc/MaxiM</f>
        <v>7.6163386280334253E-5</v>
      </c>
      <c r="AE219" s="305">
        <f t="shared" si="88"/>
        <v>0.7</v>
      </c>
      <c r="AF219" s="177">
        <f t="shared" si="89"/>
        <v>0.54298388106535422</v>
      </c>
      <c r="AG219" s="810">
        <f t="shared" si="95"/>
        <v>-1</v>
      </c>
      <c r="AH219" s="176">
        <f t="shared" si="90"/>
        <v>5</v>
      </c>
      <c r="AI219" s="225">
        <f t="shared" si="91"/>
        <v>-0.45701611893464583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6">
        <v>53.741999999999997</v>
      </c>
      <c r="C220" s="390"/>
      <c r="D220" s="393">
        <f t="shared" si="74"/>
        <v>54.653883900965148</v>
      </c>
      <c r="E220" s="385">
        <f t="shared" si="72"/>
        <v>60.569978491307573</v>
      </c>
      <c r="F220" s="385">
        <f t="shared" si="75"/>
        <v>60.574640900410465</v>
      </c>
      <c r="G220" s="110">
        <f t="shared" si="73"/>
        <v>0.99808338516621675</v>
      </c>
      <c r="H220" s="414" t="b">
        <f>Wh_hp&gt;='2019'!Maxi_hp</f>
        <v>1</v>
      </c>
      <c r="I220" s="380">
        <f>IF(H220,Wh_hp,'2019'!Maxi_hp)</f>
        <v>60.574640900410465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1.668470446889958E-2</v>
      </c>
      <c r="M220" s="844"/>
      <c r="N220" s="844"/>
      <c r="O220" s="48">
        <f>IF(t&lt;Tnet,'2019'!Resal+('2019'!Salim-'2019'!Resal)*(1-EXP(('2019'!Tnet-t)/('2019'!Tau_j))),Resal+(Salim-Resal)*(1-EXP((Tnet-t)/(Tau_j))))*Salcycl</f>
        <v>9.7673711262609195E-2</v>
      </c>
      <c r="P220" s="169">
        <f>(INDEX(Models!$BJ220:$BT220,,T220)*(1-R220)+INDEX(Models!$BJ220:$BT220,,T220+1)*R220-ERP_i)*Q220*Ramure*Pc/MaxiM</f>
        <v>7.7180953031381137E-5</v>
      </c>
      <c r="Q220" s="305">
        <f t="shared" si="77"/>
        <v>0.7</v>
      </c>
      <c r="R220" s="177">
        <f t="shared" si="78"/>
        <v>0.54494732185506223</v>
      </c>
      <c r="S220" s="810">
        <f t="shared" si="79"/>
        <v>-1</v>
      </c>
      <c r="T220" s="176">
        <f t="shared" si="80"/>
        <v>5</v>
      </c>
      <c r="U220" s="251">
        <f t="shared" si="81"/>
        <v>-0.45505267814493783</v>
      </c>
      <c r="V220" s="383">
        <f t="shared" si="82"/>
        <v>53.845189131668043</v>
      </c>
      <c r="W220" s="402"/>
      <c r="X220" s="157">
        <f t="shared" si="83"/>
        <v>44036</v>
      </c>
      <c r="Y220" s="385">
        <f t="shared" si="84"/>
        <v>53.741999999999997</v>
      </c>
      <c r="Z220" s="385">
        <f t="shared" si="85"/>
        <v>54.653883900965148</v>
      </c>
      <c r="AA220" s="386">
        <f t="shared" si="86"/>
        <v>60.569978491307573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9.7673711262609195E-2</v>
      </c>
      <c r="AD220" s="231">
        <f>(INDEX(Models!$BJ220:$BT220,,AH220)*(1-AF220)+INDEX(Models!$BJ220:$BT220,,AH220+1)*AF220-ERP_i)*AE220*Ramure*Pc/MaxiM</f>
        <v>7.7180953031381137E-5</v>
      </c>
      <c r="AE220" s="305">
        <f t="shared" si="88"/>
        <v>0.7</v>
      </c>
      <c r="AF220" s="177">
        <f t="shared" si="89"/>
        <v>0.54494732185506223</v>
      </c>
      <c r="AG220" s="810">
        <f t="shared" si="95"/>
        <v>-1</v>
      </c>
      <c r="AH220" s="176">
        <f t="shared" si="90"/>
        <v>5</v>
      </c>
      <c r="AI220" s="225">
        <f t="shared" si="91"/>
        <v>-0.45505267814493783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6">
        <v>51.826999999999998</v>
      </c>
      <c r="C221" s="390"/>
      <c r="D221" s="393">
        <f t="shared" si="74"/>
        <v>52.707617133199854</v>
      </c>
      <c r="E221" s="385">
        <f t="shared" si="72"/>
        <v>58.418829878343715</v>
      </c>
      <c r="F221" s="385">
        <f t="shared" si="75"/>
        <v>58.423176702352194</v>
      </c>
      <c r="G221" s="110">
        <f t="shared" si="73"/>
        <v>0.96519646495052824</v>
      </c>
      <c r="H221" s="414" t="b">
        <f>Wh_hp&gt;='2019'!Maxi_hp</f>
        <v>1</v>
      </c>
      <c r="I221" s="380">
        <f>IF(H221,Wh_hp,'2019'!Maxi_hp)</f>
        <v>58.423176702352194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1.6707587652357803E-2</v>
      </c>
      <c r="M221" s="844"/>
      <c r="N221" s="844"/>
      <c r="O221" s="48">
        <f>IF(t&lt;Tnet,'2019'!Resal+('2019'!Salim-'2019'!Resal)*(1-EXP(('2019'!Tnet-t)/('2019'!Tau_j))),Resal+(Salim-Resal)*(1-EXP((Tnet-t)/(Tau_j))))*Salcycl</f>
        <v>9.7763217048978432E-2</v>
      </c>
      <c r="P221" s="169">
        <f>(INDEX(Models!$BJ221:$BT221,,T221)*(1-R221)+INDEX(Models!$BJ221:$BT221,,T221+1)*R221-ERP_i)*Q221*Ramure*Pc/MaxiM</f>
        <v>7.8294732372084682E-5</v>
      </c>
      <c r="Q221" s="305">
        <f t="shared" si="77"/>
        <v>0.7</v>
      </c>
      <c r="R221" s="177">
        <f t="shared" si="78"/>
        <v>0.54685288727734926</v>
      </c>
      <c r="S221" s="810">
        <f t="shared" si="79"/>
        <v>-1</v>
      </c>
      <c r="T221" s="176">
        <f t="shared" si="80"/>
        <v>5</v>
      </c>
      <c r="U221" s="251">
        <f t="shared" si="81"/>
        <v>-0.45314711272265074</v>
      </c>
      <c r="V221" s="383">
        <f t="shared" si="82"/>
        <v>53.695594771210757</v>
      </c>
      <c r="W221" s="402"/>
      <c r="X221" s="157">
        <f t="shared" si="83"/>
        <v>44037</v>
      </c>
      <c r="Y221" s="385">
        <f t="shared" si="84"/>
        <v>51.826999999999998</v>
      </c>
      <c r="Z221" s="385">
        <f t="shared" si="85"/>
        <v>52.707617133199854</v>
      </c>
      <c r="AA221" s="386">
        <f t="shared" si="86"/>
        <v>58.418829878343715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9.7763217048978432E-2</v>
      </c>
      <c r="AD221" s="231">
        <f>(INDEX(Models!$BJ221:$BT221,,AH221)*(1-AF221)+INDEX(Models!$BJ221:$BT221,,AH221+1)*AF221-ERP_i)*AE221*Ramure*Pc/MaxiM</f>
        <v>7.8294732372084682E-5</v>
      </c>
      <c r="AE221" s="305">
        <f t="shared" si="88"/>
        <v>0.7</v>
      </c>
      <c r="AF221" s="177">
        <f t="shared" si="89"/>
        <v>0.54685288727734926</v>
      </c>
      <c r="AG221" s="810">
        <f t="shared" si="95"/>
        <v>-1</v>
      </c>
      <c r="AH221" s="176">
        <f t="shared" si="90"/>
        <v>5</v>
      </c>
      <c r="AI221" s="225">
        <f t="shared" si="91"/>
        <v>-0.45314711272265074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6">
        <v>45.369</v>
      </c>
      <c r="C222" s="390"/>
      <c r="D222" s="393">
        <f t="shared" si="74"/>
        <v>46.14095996038251</v>
      </c>
      <c r="E222" s="385">
        <f t="shared" si="72"/>
        <v>51.145678025997128</v>
      </c>
      <c r="F222" s="385">
        <f t="shared" si="75"/>
        <v>51.148857852606113</v>
      </c>
      <c r="G222" s="110">
        <f t="shared" si="73"/>
        <v>0.84733437543898094</v>
      </c>
      <c r="H222" s="414" t="b">
        <f>Wh_hp&gt;='2019'!Maxi_hp</f>
        <v>1</v>
      </c>
      <c r="I222" s="380">
        <f>IF(H222,Wh_hp,'2019'!Maxi_hp)</f>
        <v>51.148857852606113</v>
      </c>
      <c r="J222" s="85">
        <f>IF(H222,An,'2019'!An_max)</f>
        <v>2020</v>
      </c>
      <c r="K222" s="197">
        <f t="shared" si="76"/>
        <v>44038</v>
      </c>
      <c r="L222" s="147">
        <f>IF(t&lt;Tvie,1-EXP((T0-t)*PertePVj)+'2019'!Pspv,1-EXP((T0-t)*PertePVj)+Pspv)</f>
        <v>1.673047030329089E-2</v>
      </c>
      <c r="M222" s="844"/>
      <c r="N222" s="844"/>
      <c r="O222" s="48">
        <f>IF(t&lt;Tnet,'2019'!Resal+('2019'!Salim-'2019'!Resal)*(1-EXP(('2019'!Tnet-t)/('2019'!Tau_j))),Resal+(Salim-Resal)*(1-EXP((Tnet-t)/(Tau_j))))*Salcycl</f>
        <v>9.785221857985224E-2</v>
      </c>
      <c r="P222" s="169">
        <f>(INDEX(Models!$BJ222:$BT222,,T222)*(1-R222)+INDEX(Models!$BJ222:$BT222,,T222+1)*R222-ERP_i)*Q222*Ramure*Pc/MaxiM</f>
        <v>7.9506229145540292E-5</v>
      </c>
      <c r="Q222" s="305">
        <f t="shared" si="77"/>
        <v>0.7</v>
      </c>
      <c r="R222" s="177">
        <f t="shared" si="78"/>
        <v>0.5487015604813219</v>
      </c>
      <c r="S222" s="810">
        <f t="shared" si="79"/>
        <v>-1</v>
      </c>
      <c r="T222" s="176">
        <f t="shared" si="80"/>
        <v>5</v>
      </c>
      <c r="U222" s="251">
        <f t="shared" si="81"/>
        <v>-0.45129843951867804</v>
      </c>
      <c r="V222" s="383">
        <f t="shared" si="82"/>
        <v>53.542278764965403</v>
      </c>
      <c r="W222" s="402"/>
      <c r="X222" s="157">
        <f t="shared" si="83"/>
        <v>44038</v>
      </c>
      <c r="Y222" s="385">
        <f t="shared" si="84"/>
        <v>45.369</v>
      </c>
      <c r="Z222" s="385">
        <f t="shared" si="85"/>
        <v>46.14095996038251</v>
      </c>
      <c r="AA222" s="386">
        <f t="shared" si="86"/>
        <v>51.145678025997128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9.785221857985224E-2</v>
      </c>
      <c r="AD222" s="231">
        <f>(INDEX(Models!$BJ222:$BT222,,AH222)*(1-AF222)+INDEX(Models!$BJ222:$BT222,,AH222+1)*AF222-ERP_i)*AE222*Ramure*Pc/MaxiM</f>
        <v>7.9506229145540292E-5</v>
      </c>
      <c r="AE222" s="305">
        <f t="shared" si="88"/>
        <v>0.7</v>
      </c>
      <c r="AF222" s="177">
        <f t="shared" si="89"/>
        <v>0.5487015604813219</v>
      </c>
      <c r="AG222" s="810">
        <f t="shared" si="95"/>
        <v>-1</v>
      </c>
      <c r="AH222" s="176">
        <f t="shared" si="90"/>
        <v>5</v>
      </c>
      <c r="AI222" s="225">
        <f t="shared" si="91"/>
        <v>-0.45129843951867804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6">
        <v>49.82</v>
      </c>
      <c r="C223" s="390"/>
      <c r="D223" s="393">
        <f t="shared" si="74"/>
        <v>50.66887349446386</v>
      </c>
      <c r="E223" s="385">
        <f t="shared" si="72"/>
        <v>56.17022730898131</v>
      </c>
      <c r="F223" s="385">
        <f t="shared" si="75"/>
        <v>56.174334014499692</v>
      </c>
      <c r="G223" s="110">
        <f t="shared" si="73"/>
        <v>0.93320784523985212</v>
      </c>
      <c r="H223" s="414" t="b">
        <f>Wh_hp&gt;='2019'!Maxi_hp</f>
        <v>0</v>
      </c>
      <c r="I223" s="380">
        <f>IF(H223,Wh_hp,'2019'!Maxi_hp)</f>
        <v>57.712856761591276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1.6753352421711276E-2</v>
      </c>
      <c r="M223" s="844"/>
      <c r="N223" s="844"/>
      <c r="O223" s="48">
        <f>IF(t&lt;Tnet,'2019'!Resal+('2019'!Salim-'2019'!Resal)*(1-EXP(('2019'!Tnet-t)/('2019'!Tau_j))),Resal+(Salim-Resal)*(1-EXP((Tnet-t)/(Tau_j))))*Salcycl</f>
        <v>9.7940743309718012E-2</v>
      </c>
      <c r="P223" s="169">
        <f>(INDEX(Models!$BJ223:$BT223,,T223)*(1-R223)+INDEX(Models!$BJ223:$BT223,,T223+1)*R223-ERP_i)*Q223*Ramure*Pc/MaxiM</f>
        <v>8.0816948275692473E-5</v>
      </c>
      <c r="Q223" s="305">
        <f t="shared" si="77"/>
        <v>0.7</v>
      </c>
      <c r="R223" s="177">
        <f t="shared" si="78"/>
        <v>0.55049435999058716</v>
      </c>
      <c r="S223" s="810">
        <f t="shared" si="79"/>
        <v>-1</v>
      </c>
      <c r="T223" s="176">
        <f t="shared" si="80"/>
        <v>5</v>
      </c>
      <c r="U223" s="251">
        <f t="shared" si="81"/>
        <v>-0.44950564000941279</v>
      </c>
      <c r="V223" s="383">
        <f t="shared" si="82"/>
        <v>53.385337562752945</v>
      </c>
      <c r="W223" s="402"/>
      <c r="X223" s="157">
        <f t="shared" si="83"/>
        <v>44039</v>
      </c>
      <c r="Y223" s="385">
        <f t="shared" si="84"/>
        <v>49.82</v>
      </c>
      <c r="Z223" s="385">
        <f t="shared" si="85"/>
        <v>50.66887349446386</v>
      </c>
      <c r="AA223" s="386">
        <f t="shared" si="86"/>
        <v>56.17022730898131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9.7940743309718012E-2</v>
      </c>
      <c r="AD223" s="231">
        <f>(INDEX(Models!$BJ223:$BT223,,AH223)*(1-AF223)+INDEX(Models!$BJ223:$BT223,,AH223+1)*AF223-ERP_i)*AE223*Ramure*Pc/MaxiM</f>
        <v>8.0816948275692473E-5</v>
      </c>
      <c r="AE223" s="305">
        <f t="shared" si="88"/>
        <v>0.7</v>
      </c>
      <c r="AF223" s="177">
        <f t="shared" si="89"/>
        <v>0.55049435999058716</v>
      </c>
      <c r="AG223" s="810">
        <f t="shared" si="95"/>
        <v>-1</v>
      </c>
      <c r="AH223" s="176">
        <f t="shared" si="90"/>
        <v>5</v>
      </c>
      <c r="AI223" s="225">
        <f t="shared" si="91"/>
        <v>-0.44950564000941279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6">
        <v>33.497999999999998</v>
      </c>
      <c r="C224" s="390"/>
      <c r="D224" s="393">
        <f t="shared" si="74"/>
        <v>34.069558892517648</v>
      </c>
      <c r="E224" s="385">
        <f t="shared" si="72"/>
        <v>37.772336312764466</v>
      </c>
      <c r="F224" s="385">
        <f t="shared" si="75"/>
        <v>37.773797800327017</v>
      </c>
      <c r="G224" s="110">
        <f t="shared" si="73"/>
        <v>0.62934006136762821</v>
      </c>
      <c r="H224" s="414" t="b">
        <f>Wh_hp&gt;='2019'!Maxi_hp</f>
        <v>0</v>
      </c>
      <c r="I224" s="380">
        <f>IF(H224,Wh_hp,'2019'!Maxi_hp)</f>
        <v>59.638650832887429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1.6776234007631285E-2</v>
      </c>
      <c r="M224" s="844"/>
      <c r="N224" s="844"/>
      <c r="O224" s="48">
        <f>IF(t&lt;Tnet,'2019'!Resal+('2019'!Salim-'2019'!Resal)*(1-EXP(('2019'!Tnet-t)/('2019'!Tau_j))),Resal+(Salim-Resal)*(1-EXP((Tnet-t)/(Tau_j))))*Salcycl</f>
        <v>9.8028816369389621E-2</v>
      </c>
      <c r="P224" s="169">
        <f>(INDEX(Models!$BJ224:$BT224,,T224)*(1-R224)+INDEX(Models!$BJ224:$BT224,,T224+1)*R224-ERP_i)*Q224*Ramure*Pc/MaxiM</f>
        <v>8.222839567080222E-5</v>
      </c>
      <c r="Q224" s="305">
        <f t="shared" si="77"/>
        <v>0.7</v>
      </c>
      <c r="R224" s="177">
        <f t="shared" si="78"/>
        <v>0.55223233519381387</v>
      </c>
      <c r="S224" s="810">
        <f t="shared" si="79"/>
        <v>-1</v>
      </c>
      <c r="T224" s="176">
        <f t="shared" si="80"/>
        <v>5</v>
      </c>
      <c r="U224" s="251">
        <f t="shared" si="81"/>
        <v>-0.44776766480618607</v>
      </c>
      <c r="V224" s="383">
        <f t="shared" si="82"/>
        <v>53.224867711008912</v>
      </c>
      <c r="W224" s="402"/>
      <c r="X224" s="157">
        <f t="shared" si="83"/>
        <v>44040</v>
      </c>
      <c r="Y224" s="385">
        <f t="shared" si="84"/>
        <v>33.497999999999998</v>
      </c>
      <c r="Z224" s="385">
        <f t="shared" si="85"/>
        <v>34.069558892517648</v>
      </c>
      <c r="AA224" s="386">
        <f t="shared" si="86"/>
        <v>37.772336312764466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9.8028816369389621E-2</v>
      </c>
      <c r="AD224" s="231">
        <f>(INDEX(Models!$BJ224:$BT224,,AH224)*(1-AF224)+INDEX(Models!$BJ224:$BT224,,AH224+1)*AF224-ERP_i)*AE224*Ramure*Pc/MaxiM</f>
        <v>8.222839567080222E-5</v>
      </c>
      <c r="AE224" s="305">
        <f t="shared" si="88"/>
        <v>0.7</v>
      </c>
      <c r="AF224" s="177">
        <f t="shared" si="89"/>
        <v>0.55223233519381387</v>
      </c>
      <c r="AG224" s="810">
        <f t="shared" si="95"/>
        <v>-1</v>
      </c>
      <c r="AH224" s="176">
        <f t="shared" si="90"/>
        <v>5</v>
      </c>
      <c r="AI224" s="225">
        <f t="shared" si="91"/>
        <v>-0.44776766480618607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6">
        <v>46.924999999999997</v>
      </c>
      <c r="C225" s="390"/>
      <c r="D225" s="393">
        <f t="shared" si="74"/>
        <v>47.726767458019893</v>
      </c>
      <c r="E225" s="385">
        <f t="shared" si="72"/>
        <v>52.918991610242443</v>
      </c>
      <c r="F225" s="385">
        <f t="shared" si="75"/>
        <v>52.922691324302164</v>
      </c>
      <c r="G225" s="110">
        <f t="shared" si="73"/>
        <v>0.88434784458363924</v>
      </c>
      <c r="H225" s="414" t="b">
        <f>Wh_hp&gt;='2019'!Maxi_hp</f>
        <v>1</v>
      </c>
      <c r="I225" s="380">
        <f>IF(H225,Wh_hp,'2019'!Maxi_hp)</f>
        <v>52.922691324302164</v>
      </c>
      <c r="J225" s="85">
        <f>IF(H225,An,'2019'!An_max)</f>
        <v>2020</v>
      </c>
      <c r="K225" s="197">
        <f t="shared" si="76"/>
        <v>44041</v>
      </c>
      <c r="L225" s="147">
        <f>IF(t&lt;Tvie,1-EXP((T0-t)*PertePVj)+'2019'!Pspv,1-EXP((T0-t)*PertePVj)+Pspv)</f>
        <v>1.6799115061063463E-2</v>
      </c>
      <c r="M225" s="844"/>
      <c r="N225" s="844"/>
      <c r="O225" s="48">
        <f>IF(t&lt;Tnet,'2019'!Resal+('2019'!Salim-'2019'!Resal)*(1-EXP(('2019'!Tnet-t)/('2019'!Tau_j))),Resal+(Salim-Resal)*(1-EXP((Tnet-t)/(Tau_j))))*Salcycl</f>
        <v>9.8116460541504399E-2</v>
      </c>
      <c r="P225" s="169">
        <f>(INDEX(Models!$BJ225:$BT225,,T225)*(1-R225)+INDEX(Models!$BJ225:$BT225,,T225+1)*R225-ERP_i)*Q225*Ramure*Pc/MaxiM</f>
        <v>8.3742079008032117E-5</v>
      </c>
      <c r="Q225" s="305">
        <f t="shared" si="77"/>
        <v>0.7</v>
      </c>
      <c r="R225" s="177">
        <f t="shared" si="78"/>
        <v>0.55391656203131978</v>
      </c>
      <c r="S225" s="810">
        <f t="shared" si="79"/>
        <v>-1</v>
      </c>
      <c r="T225" s="176">
        <f t="shared" si="80"/>
        <v>5</v>
      </c>
      <c r="U225" s="251">
        <f t="shared" si="81"/>
        <v>-0.44608343796868016</v>
      </c>
      <c r="V225" s="383">
        <f t="shared" si="82"/>
        <v>53.060965855264307</v>
      </c>
      <c r="W225" s="402"/>
      <c r="X225" s="157">
        <f t="shared" si="83"/>
        <v>44041</v>
      </c>
      <c r="Y225" s="385">
        <f t="shared" si="84"/>
        <v>46.924999999999997</v>
      </c>
      <c r="Z225" s="385">
        <f t="shared" si="85"/>
        <v>47.726767458019893</v>
      </c>
      <c r="AA225" s="386">
        <f t="shared" si="86"/>
        <v>52.918991610242443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9.8116460541504399E-2</v>
      </c>
      <c r="AD225" s="231">
        <f>(INDEX(Models!$BJ225:$BT225,,AH225)*(1-AF225)+INDEX(Models!$BJ225:$BT225,,AH225+1)*AF225-ERP_i)*AE225*Ramure*Pc/MaxiM</f>
        <v>8.3742079008032117E-5</v>
      </c>
      <c r="AE225" s="305">
        <f t="shared" si="88"/>
        <v>0.7</v>
      </c>
      <c r="AF225" s="177">
        <f t="shared" si="89"/>
        <v>0.55391656203131978</v>
      </c>
      <c r="AG225" s="810">
        <f t="shared" si="95"/>
        <v>-1</v>
      </c>
      <c r="AH225" s="176">
        <f t="shared" si="90"/>
        <v>5</v>
      </c>
      <c r="AI225" s="225">
        <f t="shared" si="91"/>
        <v>-0.44608343796868016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6">
        <v>49.93</v>
      </c>
      <c r="C226" s="390"/>
      <c r="D226" s="393">
        <f t="shared" si="74"/>
        <v>50.78429315509095</v>
      </c>
      <c r="E226" s="385">
        <f t="shared" si="72"/>
        <v>56.314594486730009</v>
      </c>
      <c r="F226" s="385">
        <f t="shared" si="75"/>
        <v>56.319023124164524</v>
      </c>
      <c r="G226" s="110">
        <f t="shared" si="73"/>
        <v>0.94396189108982897</v>
      </c>
      <c r="H226" s="414" t="b">
        <f>Wh_hp&gt;='2019'!Maxi_hp</f>
        <v>0</v>
      </c>
      <c r="I226" s="380">
        <f>IF(H226,Wh_hp,'2019'!Maxi_hp)</f>
        <v>56.416741989980181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1.6821995582020022E-2</v>
      </c>
      <c r="M226" s="844"/>
      <c r="N226" s="844"/>
      <c r="O226" s="48">
        <f>IF(t&lt;Tnet,'2019'!Resal+('2019'!Salim-'2019'!Resal)*(1-EXP(('2019'!Tnet-t)/('2019'!Tau_j))),Resal+(Salim-Resal)*(1-EXP((Tnet-t)/(Tau_j))))*Salcycl</f>
        <v>9.8203696253947453E-2</v>
      </c>
      <c r="P226" s="169">
        <f>(INDEX(Models!$BJ226:$BT226,,T226)*(1-R226)+INDEX(Models!$BJ226:$BT226,,T226+1)*R226-ERP_i)*Q226*Ramure*Pc/MaxiM</f>
        <v>8.5476854184426255E-5</v>
      </c>
      <c r="Q226" s="305">
        <f t="shared" si="77"/>
        <v>0.7</v>
      </c>
      <c r="R226" s="177">
        <f t="shared" si="78"/>
        <v>0.55554813888369825</v>
      </c>
      <c r="S226" s="810">
        <f t="shared" si="79"/>
        <v>-1</v>
      </c>
      <c r="T226" s="176">
        <f t="shared" si="80"/>
        <v>5</v>
      </c>
      <c r="U226" s="251">
        <f t="shared" si="81"/>
        <v>-0.44445186111630169</v>
      </c>
      <c r="V226" s="383">
        <f t="shared" si="82"/>
        <v>52.893722535531928</v>
      </c>
      <c r="W226" s="402"/>
      <c r="X226" s="157">
        <f t="shared" si="83"/>
        <v>44042</v>
      </c>
      <c r="Y226" s="385">
        <f t="shared" si="84"/>
        <v>49.93</v>
      </c>
      <c r="Z226" s="385">
        <f t="shared" si="85"/>
        <v>50.78429315509095</v>
      </c>
      <c r="AA226" s="386">
        <f t="shared" si="86"/>
        <v>56.314594486730009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9.8203696253947453E-2</v>
      </c>
      <c r="AD226" s="231">
        <f>(INDEX(Models!$BJ226:$BT226,,AH226)*(1-AF226)+INDEX(Models!$BJ226:$BT226,,AH226+1)*AF226-ERP_i)*AE226*Ramure*Pc/MaxiM</f>
        <v>8.5476854184426255E-5</v>
      </c>
      <c r="AE226" s="305">
        <f t="shared" si="88"/>
        <v>0.7</v>
      </c>
      <c r="AF226" s="177">
        <f t="shared" si="89"/>
        <v>0.55554813888369825</v>
      </c>
      <c r="AG226" s="810">
        <f t="shared" si="95"/>
        <v>-1</v>
      </c>
      <c r="AH226" s="176">
        <f t="shared" si="90"/>
        <v>5</v>
      </c>
      <c r="AI226" s="225">
        <f t="shared" si="91"/>
        <v>-0.44445186111630169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6">
        <v>47.732999999999997</v>
      </c>
      <c r="C227" s="390"/>
      <c r="D227" s="393">
        <f t="shared" si="74"/>
        <v>48.550832736287575</v>
      </c>
      <c r="E227" s="385">
        <f t="shared" si="72"/>
        <v>53.843100217576733</v>
      </c>
      <c r="F227" s="385">
        <f t="shared" si="75"/>
        <v>53.847167639526077</v>
      </c>
      <c r="G227" s="110">
        <f t="shared" si="73"/>
        <v>0.90533959741598302</v>
      </c>
      <c r="H227" s="414" t="b">
        <f>Wh_hp&gt;='2019'!Maxi_hp</f>
        <v>1</v>
      </c>
      <c r="I227" s="380">
        <f>IF(H227,Wh_hp,'2019'!Maxi_hp)</f>
        <v>53.847167639526077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1.6844875570513507E-2</v>
      </c>
      <c r="M227" s="844"/>
      <c r="N227" s="844"/>
      <c r="O227" s="48">
        <f>IF(t&lt;Tnet,'2019'!Resal+('2019'!Salim-'2019'!Resal)*(1-EXP(('2019'!Tnet-t)/('2019'!Tau_j))),Resal+(Salim-Resal)*(1-EXP((Tnet-t)/(Tau_j))))*Salcycl</f>
        <v>9.8290541590350916E-2</v>
      </c>
      <c r="P227" s="169">
        <f>(INDEX(Models!$BJ227:$BT227,,T227)*(1-R227)+INDEX(Models!$BJ227:$BT227,,T227+1)*R227-ERP_i)*Q227*Ramure*Pc/MaxiM</f>
        <v>8.7346930562561795E-5</v>
      </c>
      <c r="Q227" s="305">
        <f t="shared" si="77"/>
        <v>0.7</v>
      </c>
      <c r="R227" s="177">
        <f t="shared" si="78"/>
        <v>0.55712818266663366</v>
      </c>
      <c r="S227" s="810">
        <f t="shared" si="79"/>
        <v>-1</v>
      </c>
      <c r="T227" s="176">
        <f t="shared" si="80"/>
        <v>5</v>
      </c>
      <c r="U227" s="251">
        <f t="shared" si="81"/>
        <v>-0.44287181733336628</v>
      </c>
      <c r="V227" s="383">
        <f t="shared" si="82"/>
        <v>52.723239259903451</v>
      </c>
      <c r="W227" s="402"/>
      <c r="X227" s="157">
        <f t="shared" si="83"/>
        <v>44043</v>
      </c>
      <c r="Y227" s="385">
        <f t="shared" si="84"/>
        <v>47.732999999999997</v>
      </c>
      <c r="Z227" s="385">
        <f t="shared" si="85"/>
        <v>48.550832736287575</v>
      </c>
      <c r="AA227" s="386">
        <f t="shared" si="86"/>
        <v>53.843100217576733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9.8290541590350916E-2</v>
      </c>
      <c r="AD227" s="231">
        <f>(INDEX(Models!$BJ227:$BT227,,AH227)*(1-AF227)+INDEX(Models!$BJ227:$BT227,,AH227+1)*AF227-ERP_i)*AE227*Ramure*Pc/MaxiM</f>
        <v>8.7346930562561795E-5</v>
      </c>
      <c r="AE227" s="305">
        <f t="shared" si="88"/>
        <v>0.7</v>
      </c>
      <c r="AF227" s="177">
        <f t="shared" si="89"/>
        <v>0.55712818266663366</v>
      </c>
      <c r="AG227" s="810">
        <f t="shared" si="95"/>
        <v>-1</v>
      </c>
      <c r="AH227" s="176">
        <f t="shared" si="90"/>
        <v>5</v>
      </c>
      <c r="AI227" s="225">
        <f t="shared" si="91"/>
        <v>-0.44287181733336628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6">
        <v>42.246000000000002</v>
      </c>
      <c r="C228" s="390"/>
      <c r="D228" s="393">
        <f t="shared" si="74"/>
        <v>42.970821286754905</v>
      </c>
      <c r="E228" s="385">
        <f t="shared" si="72"/>
        <v>47.659411831508187</v>
      </c>
      <c r="F228" s="385">
        <f t="shared" si="75"/>
        <v>47.662477739513633</v>
      </c>
      <c r="G228" s="110">
        <f t="shared" si="73"/>
        <v>0.80390587453758233</v>
      </c>
      <c r="H228" s="414" t="b">
        <f>Wh_hp&gt;='2019'!Maxi_hp</f>
        <v>0</v>
      </c>
      <c r="I228" s="380">
        <f>IF(H228,Wh_hp,'2019'!Maxi_hp)</f>
        <v>56.294697850962315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1.686775502655613E-2</v>
      </c>
      <c r="M228" s="844"/>
      <c r="N228" s="844"/>
      <c r="O228" s="48">
        <f>IF(t&lt;Tnet,'2019'!Resal+('2019'!Salim-'2019'!Resal)*(1-EXP(('2019'!Tnet-t)/('2019'!Tau_j))),Resal+(Salim-Resal)*(1-EXP((Tnet-t)/(Tau_j))))*Salcycl</f>
        <v>9.8377012316664861E-2</v>
      </c>
      <c r="P228" s="169">
        <f>(INDEX(Models!$BJ228:$BT228,,T228)*(1-R228)+INDEX(Models!$BJ228:$BT228,,T228+1)*R228-ERP_i)*Q228*Ramure*Pc/MaxiM</f>
        <v>8.935395505066599E-5</v>
      </c>
      <c r="Q228" s="305">
        <f t="shared" si="77"/>
        <v>0.7</v>
      </c>
      <c r="R228" s="177">
        <f t="shared" si="78"/>
        <v>0.55865782513434314</v>
      </c>
      <c r="S228" s="810">
        <f t="shared" si="79"/>
        <v>-1</v>
      </c>
      <c r="T228" s="176">
        <f t="shared" si="80"/>
        <v>5</v>
      </c>
      <c r="U228" s="251">
        <f t="shared" si="81"/>
        <v>-0.44134217486565686</v>
      </c>
      <c r="V228" s="383">
        <f t="shared" si="82"/>
        <v>52.549612975520319</v>
      </c>
      <c r="W228" s="402"/>
      <c r="X228" s="157">
        <f t="shared" si="83"/>
        <v>44044</v>
      </c>
      <c r="Y228" s="385">
        <f t="shared" si="84"/>
        <v>42.246000000000002</v>
      </c>
      <c r="Z228" s="385">
        <f t="shared" si="85"/>
        <v>42.970821286754905</v>
      </c>
      <c r="AA228" s="386">
        <f t="shared" si="86"/>
        <v>47.659411831508187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9.8377012316664861E-2</v>
      </c>
      <c r="AD228" s="231">
        <f>(INDEX(Models!$BJ228:$BT228,,AH228)*(1-AF228)+INDEX(Models!$BJ228:$BT228,,AH228+1)*AF228-ERP_i)*AE228*Ramure*Pc/MaxiM</f>
        <v>8.935395505066599E-5</v>
      </c>
      <c r="AE228" s="305">
        <f t="shared" si="88"/>
        <v>0.7</v>
      </c>
      <c r="AF228" s="177">
        <f t="shared" si="89"/>
        <v>0.55865782513434314</v>
      </c>
      <c r="AG228" s="810">
        <f t="shared" si="95"/>
        <v>-1</v>
      </c>
      <c r="AH228" s="176">
        <f t="shared" si="90"/>
        <v>5</v>
      </c>
      <c r="AI228" s="225">
        <f t="shared" si="91"/>
        <v>-0.44134217486565686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6">
        <v>33.231999999999999</v>
      </c>
      <c r="C229" s="390"/>
      <c r="D229" s="393">
        <f t="shared" si="74"/>
        <v>33.802953310807204</v>
      </c>
      <c r="E229" s="385">
        <f t="shared" si="72"/>
        <v>37.494809289329169</v>
      </c>
      <c r="F229" s="385">
        <f t="shared" si="75"/>
        <v>37.496448902320765</v>
      </c>
      <c r="G229" s="110">
        <f t="shared" si="73"/>
        <v>0.63449582736501109</v>
      </c>
      <c r="H229" s="414" t="b">
        <f>Wh_hp&gt;='2019'!Maxi_hp</f>
        <v>0</v>
      </c>
      <c r="I229" s="380">
        <f>IF(H229,Wh_hp,'2019'!Maxi_hp)</f>
        <v>56.763758259198227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1.6890633950160439E-2</v>
      </c>
      <c r="M229" s="844"/>
      <c r="N229" s="844"/>
      <c r="O229" s="48">
        <f>IF(t&lt;Tnet,'2019'!Resal+('2019'!Salim-'2019'!Resal)*(1-EXP(('2019'!Tnet-t)/('2019'!Tau_j))),Resal+(Salim-Resal)*(1-EXP((Tnet-t)/(Tau_j))))*Salcycl</f>
        <v>9.846312192265623E-2</v>
      </c>
      <c r="P229" s="169">
        <f>(INDEX(Models!$BJ229:$BT229,,T229)*(1-R229)+INDEX(Models!$BJ229:$BT229,,T229+1)*R229-ERP_i)*Q229*Ramure*Pc/MaxiM</f>
        <v>9.1499598753991631E-5</v>
      </c>
      <c r="Q229" s="305">
        <f t="shared" si="77"/>
        <v>0.7</v>
      </c>
      <c r="R229" s="177">
        <f t="shared" si="78"/>
        <v>0.56013820939252157</v>
      </c>
      <c r="S229" s="810">
        <f t="shared" si="79"/>
        <v>-1</v>
      </c>
      <c r="T229" s="176">
        <f t="shared" si="80"/>
        <v>5</v>
      </c>
      <c r="U229" s="251">
        <f t="shared" si="81"/>
        <v>-0.43986179060747849</v>
      </c>
      <c r="V229" s="383">
        <f t="shared" si="82"/>
        <v>52.372940724750507</v>
      </c>
      <c r="W229" s="402"/>
      <c r="X229" s="157">
        <f t="shared" si="83"/>
        <v>44045</v>
      </c>
      <c r="Y229" s="385">
        <f t="shared" si="84"/>
        <v>33.231999999999999</v>
      </c>
      <c r="Z229" s="385">
        <f t="shared" si="85"/>
        <v>33.802953310807204</v>
      </c>
      <c r="AA229" s="386">
        <f t="shared" si="86"/>
        <v>37.494809289329169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9.846312192265623E-2</v>
      </c>
      <c r="AD229" s="231">
        <f>(INDEX(Models!$BJ229:$BT229,,AH229)*(1-AF229)+INDEX(Models!$BJ229:$BT229,,AH229+1)*AF229-ERP_i)*AE229*Ramure*Pc/MaxiM</f>
        <v>9.1499598753991631E-5</v>
      </c>
      <c r="AE229" s="305">
        <f t="shared" si="88"/>
        <v>0.7</v>
      </c>
      <c r="AF229" s="177">
        <f t="shared" si="89"/>
        <v>0.56013820939252157</v>
      </c>
      <c r="AG229" s="810">
        <f t="shared" si="95"/>
        <v>-1</v>
      </c>
      <c r="AH229" s="176">
        <f t="shared" si="90"/>
        <v>5</v>
      </c>
      <c r="AI229" s="225">
        <f t="shared" si="91"/>
        <v>-0.43986179060747849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6">
        <v>43.817999999999998</v>
      </c>
      <c r="C230" s="390"/>
      <c r="D230" s="393">
        <f t="shared" si="74"/>
        <v>44.571866819528601</v>
      </c>
      <c r="E230" s="385">
        <f t="shared" si="72"/>
        <v>49.44457432417471</v>
      </c>
      <c r="F230" s="385">
        <f t="shared" si="75"/>
        <v>49.448148745571693</v>
      </c>
      <c r="G230" s="110">
        <f t="shared" si="73"/>
        <v>0.83951467701321292</v>
      </c>
      <c r="H230" s="414" t="b">
        <f>Wh_hp&gt;='2019'!Maxi_hp</f>
        <v>0</v>
      </c>
      <c r="I230" s="380">
        <f>IF(H230,Wh_hp,'2019'!Maxi_hp)</f>
        <v>53.506957790186448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1.6913512341338754E-2</v>
      </c>
      <c r="M230" s="844"/>
      <c r="N230" s="844"/>
      <c r="O230" s="48">
        <f>IF(t&lt;Tnet,'2019'!Resal+('2019'!Salim-'2019'!Resal)*(1-EXP(('2019'!Tnet-t)/('2019'!Tau_j))),Resal+(Salim-Resal)*(1-EXP((Tnet-t)/(Tau_j))))*Salcycl</f>
        <v>9.8548881677068476E-2</v>
      </c>
      <c r="P230" s="169">
        <f>(INDEX(Models!$BJ230:$BT230,,T230)*(1-R230)+INDEX(Models!$BJ230:$BT230,,T230+1)*R230-ERP_i)*Q230*Ramure*Pc/MaxiM</f>
        <v>9.3785556637580875E-5</v>
      </c>
      <c r="Q230" s="305">
        <f t="shared" si="77"/>
        <v>0.7</v>
      </c>
      <c r="R230" s="177">
        <f t="shared" si="78"/>
        <v>0.56157048662026288</v>
      </c>
      <c r="S230" s="810">
        <f t="shared" si="79"/>
        <v>-1</v>
      </c>
      <c r="T230" s="176">
        <f t="shared" si="80"/>
        <v>5</v>
      </c>
      <c r="U230" s="251">
        <f t="shared" si="81"/>
        <v>-0.43842951337973707</v>
      </c>
      <c r="V230" s="383">
        <f t="shared" si="82"/>
        <v>52.193319634751994</v>
      </c>
      <c r="W230" s="402"/>
      <c r="X230" s="157">
        <f t="shared" si="83"/>
        <v>44046</v>
      </c>
      <c r="Y230" s="385">
        <f t="shared" si="84"/>
        <v>43.817999999999998</v>
      </c>
      <c r="Z230" s="385">
        <f t="shared" si="85"/>
        <v>44.571866819528601</v>
      </c>
      <c r="AA230" s="386">
        <f t="shared" si="86"/>
        <v>49.44457432417471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9.8548881677068476E-2</v>
      </c>
      <c r="AD230" s="231">
        <f>(INDEX(Models!$BJ230:$BT230,,AH230)*(1-AF230)+INDEX(Models!$BJ230:$BT230,,AH230+1)*AF230-ERP_i)*AE230*Ramure*Pc/MaxiM</f>
        <v>9.3785556637580875E-5</v>
      </c>
      <c r="AE230" s="305">
        <f t="shared" si="88"/>
        <v>0.7</v>
      </c>
      <c r="AF230" s="177">
        <f t="shared" si="89"/>
        <v>0.56157048662026288</v>
      </c>
      <c r="AG230" s="810">
        <f t="shared" si="95"/>
        <v>-1</v>
      </c>
      <c r="AH230" s="176">
        <f t="shared" si="90"/>
        <v>5</v>
      </c>
      <c r="AI230" s="225">
        <f t="shared" si="91"/>
        <v>-0.43842951337973707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6">
        <v>52.277999999999999</v>
      </c>
      <c r="C231" s="390"/>
      <c r="D231" s="393">
        <f t="shared" si="74"/>
        <v>53.178654441945248</v>
      </c>
      <c r="E231" s="385">
        <f t="shared" si="72"/>
        <v>58.997867883094081</v>
      </c>
      <c r="F231" s="385">
        <f t="shared" si="75"/>
        <v>59.003544823424903</v>
      </c>
      <c r="G231" s="110">
        <f t="shared" si="73"/>
        <v>1.0051364878876305</v>
      </c>
      <c r="H231" s="414" t="b">
        <f>Wh_hp&gt;='2019'!Maxi_hp</f>
        <v>1</v>
      </c>
      <c r="I231" s="380">
        <f>IF(H231,Wh_hp,'2019'!Maxi_hp)</f>
        <v>59.003544823424903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1.6936390200103513E-2</v>
      </c>
      <c r="M231" s="844"/>
      <c r="N231" s="844"/>
      <c r="O231" s="48">
        <f>IF(t&lt;Tnet,'2019'!Resal+('2019'!Salim-'2019'!Resal)*(1-EXP(('2019'!Tnet-t)/('2019'!Tau_j))),Resal+(Salim-Resal)*(1-EXP((Tnet-t)/(Tau_j))))*Salcycl</f>
        <v>9.8634300695065222E-2</v>
      </c>
      <c r="P231" s="169">
        <f>(INDEX(Models!$BJ231:$BT231,,T231)*(1-R231)+INDEX(Models!$BJ231:$BT231,,T231+1)*R231-ERP_i)*Q231*Ramure*Pc/MaxiM</f>
        <v>9.6213546962537703E-5</v>
      </c>
      <c r="Q231" s="305">
        <f t="shared" si="77"/>
        <v>0.7</v>
      </c>
      <c r="R231" s="177">
        <f t="shared" si="78"/>
        <v>0.56295581299917674</v>
      </c>
      <c r="S231" s="810">
        <f t="shared" si="79"/>
        <v>-1</v>
      </c>
      <c r="T231" s="176">
        <f t="shared" si="80"/>
        <v>5</v>
      </c>
      <c r="U231" s="251">
        <f t="shared" si="81"/>
        <v>-0.4370441870008232</v>
      </c>
      <c r="V231" s="383">
        <f t="shared" si="82"/>
        <v>52.010846914796737</v>
      </c>
      <c r="W231" s="402"/>
      <c r="X231" s="157">
        <f t="shared" si="83"/>
        <v>44047</v>
      </c>
      <c r="Y231" s="385">
        <f t="shared" si="84"/>
        <v>52.277999999999999</v>
      </c>
      <c r="Z231" s="385">
        <f t="shared" si="85"/>
        <v>53.178654441945248</v>
      </c>
      <c r="AA231" s="386">
        <f t="shared" si="86"/>
        <v>58.997867883094081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9.8634300695065222E-2</v>
      </c>
      <c r="AD231" s="231">
        <f>(INDEX(Models!$BJ231:$BT231,,AH231)*(1-AF231)+INDEX(Models!$BJ231:$BT231,,AH231+1)*AF231-ERP_i)*AE231*Ramure*Pc/MaxiM</f>
        <v>9.6213546962537703E-5</v>
      </c>
      <c r="AE231" s="305">
        <f t="shared" si="88"/>
        <v>0.7</v>
      </c>
      <c r="AF231" s="177">
        <f t="shared" si="89"/>
        <v>0.56295581299917674</v>
      </c>
      <c r="AG231" s="810">
        <f t="shared" si="95"/>
        <v>-1</v>
      </c>
      <c r="AH231" s="176">
        <f t="shared" si="90"/>
        <v>5</v>
      </c>
      <c r="AI231" s="225">
        <f t="shared" si="91"/>
        <v>-0.4370441870008232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6">
        <v>51.411999999999999</v>
      </c>
      <c r="C232" s="390"/>
      <c r="D232" s="393">
        <f t="shared" si="74"/>
        <v>52.298951916912756</v>
      </c>
      <c r="E232" s="385">
        <f t="shared" si="72"/>
        <v>58.027379159704907</v>
      </c>
      <c r="F232" s="385">
        <f t="shared" si="75"/>
        <v>58.033046610049119</v>
      </c>
      <c r="G232" s="110">
        <f t="shared" si="73"/>
        <v>0.99201789076375324</v>
      </c>
      <c r="H232" s="414" t="b">
        <f>Wh_hp&gt;='2019'!Maxi_hp</f>
        <v>1</v>
      </c>
      <c r="I232" s="380">
        <f>IF(H232,Wh_hp,'2019'!Maxi_hp)</f>
        <v>58.033046610049119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1.6959267526467037E-2</v>
      </c>
      <c r="M232" s="844"/>
      <c r="N232" s="844"/>
      <c r="O232" s="48">
        <f>IF(t&lt;Tnet,'2019'!Resal+('2019'!Salim-'2019'!Resal)*(1-EXP(('2019'!Tnet-t)/('2019'!Tau_j))),Resal+(Salim-Resal)*(1-EXP((Tnet-t)/(Tau_j))))*Salcycl</f>
        <v>9.871938601649019E-2</v>
      </c>
      <c r="P232" s="169">
        <f>(INDEX(Models!$BJ232:$BT232,,T232)*(1-R232)+INDEX(Models!$BJ232:$BT232,,T232+1)*R232-ERP_i)*Q232*Ramure*Pc/MaxiM</f>
        <v>9.8785310520458424E-5</v>
      </c>
      <c r="Q232" s="305">
        <f t="shared" si="77"/>
        <v>0.7</v>
      </c>
      <c r="R232" s="177">
        <f t="shared" si="78"/>
        <v>0.56429534684680205</v>
      </c>
      <c r="S232" s="810">
        <f t="shared" si="79"/>
        <v>-1</v>
      </c>
      <c r="T232" s="176">
        <f t="shared" si="80"/>
        <v>5</v>
      </c>
      <c r="U232" s="251">
        <f t="shared" si="81"/>
        <v>-0.43570465315319795</v>
      </c>
      <c r="V232" s="383">
        <f t="shared" si="82"/>
        <v>51.825619848259102</v>
      </c>
      <c r="W232" s="402"/>
      <c r="X232" s="157">
        <f t="shared" si="83"/>
        <v>44048</v>
      </c>
      <c r="Y232" s="385">
        <f t="shared" si="84"/>
        <v>51.411999999999999</v>
      </c>
      <c r="Z232" s="385">
        <f t="shared" si="85"/>
        <v>52.298951916912756</v>
      </c>
      <c r="AA232" s="386">
        <f t="shared" si="86"/>
        <v>58.027379159704907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9.871938601649019E-2</v>
      </c>
      <c r="AD232" s="231">
        <f>(INDEX(Models!$BJ232:$BT232,,AH232)*(1-AF232)+INDEX(Models!$BJ232:$BT232,,AH232+1)*AF232-ERP_i)*AE232*Ramure*Pc/MaxiM</f>
        <v>9.8785310520458424E-5</v>
      </c>
      <c r="AE232" s="305">
        <f t="shared" si="88"/>
        <v>0.7</v>
      </c>
      <c r="AF232" s="177">
        <f t="shared" si="89"/>
        <v>0.56429534684680205</v>
      </c>
      <c r="AG232" s="810">
        <f t="shared" si="95"/>
        <v>-1</v>
      </c>
      <c r="AH232" s="176">
        <f t="shared" si="90"/>
        <v>5</v>
      </c>
      <c r="AI232" s="225">
        <f t="shared" si="91"/>
        <v>-0.43570465315319795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6">
        <v>49.512</v>
      </c>
      <c r="C233" s="390"/>
      <c r="D233" s="393">
        <f t="shared" si="74"/>
        <v>50.367345530842321</v>
      </c>
      <c r="E233" s="385">
        <f t="shared" ref="E233:E296" si="96">Wh_pvt/(1-Psa)</f>
        <v>55.889455241588607</v>
      </c>
      <c r="F233" s="385">
        <f t="shared" si="75"/>
        <v>55.89479501291283</v>
      </c>
      <c r="G233" s="110">
        <f t="shared" ref="G233:G296" si="97">+Wh_hp/MaxiM</f>
        <v>0.95882465385165072</v>
      </c>
      <c r="H233" s="414" t="b">
        <f>Wh_hp&gt;='2019'!Maxi_hp</f>
        <v>1</v>
      </c>
      <c r="I233" s="380">
        <f>IF(H233,Wh_hp,'2019'!Maxi_hp)</f>
        <v>55.89479501291283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1.6982144320441761E-2</v>
      </c>
      <c r="M233" s="844"/>
      <c r="N233" s="844"/>
      <c r="O233" s="48">
        <f>IF(t&lt;Tnet,'2019'!Resal+('2019'!Salim-'2019'!Resal)*(1-EXP(('2019'!Tnet-t)/('2019'!Tau_j))),Resal+(Salim-Resal)*(1-EXP((Tnet-t)/(Tau_j))))*Salcycl</f>
        <v>9.8804142693399544E-2</v>
      </c>
      <c r="P233" s="169">
        <f>(INDEX(Models!$BJ233:$BT233,,T233)*(1-R233)+INDEX(Models!$BJ233:$BT233,,T233+1)*R233-ERP_i)*Q233*Ramure*Pc/MaxiM</f>
        <v>1.0150226065072714E-4</v>
      </c>
      <c r="Q233" s="305">
        <f t="shared" si="77"/>
        <v>0.7</v>
      </c>
      <c r="R233" s="177">
        <f t="shared" si="78"/>
        <v>0.56559024595045293</v>
      </c>
      <c r="S233" s="810">
        <f t="shared" si="79"/>
        <v>-1</v>
      </c>
      <c r="T233" s="176">
        <f t="shared" si="80"/>
        <v>5</v>
      </c>
      <c r="U233" s="251">
        <f t="shared" si="81"/>
        <v>-0.43440975404954707</v>
      </c>
      <c r="V233" s="383">
        <f t="shared" si="82"/>
        <v>51.637913355368745</v>
      </c>
      <c r="W233" s="402"/>
      <c r="X233" s="157">
        <f t="shared" si="83"/>
        <v>44049</v>
      </c>
      <c r="Y233" s="385">
        <f t="shared" si="84"/>
        <v>49.512</v>
      </c>
      <c r="Z233" s="385">
        <f t="shared" si="85"/>
        <v>50.367345530842321</v>
      </c>
      <c r="AA233" s="386">
        <f t="shared" si="86"/>
        <v>55.889455241588607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9.8804142693399544E-2</v>
      </c>
      <c r="AD233" s="231">
        <f>(INDEX(Models!$BJ233:$BT233,,AH233)*(1-AF233)+INDEX(Models!$BJ233:$BT233,,AH233+1)*AF233-ERP_i)*AE233*Ramure*Pc/MaxiM</f>
        <v>1.0150226065072714E-4</v>
      </c>
      <c r="AE233" s="305">
        <f t="shared" si="88"/>
        <v>0.7</v>
      </c>
      <c r="AF233" s="177">
        <f t="shared" si="89"/>
        <v>0.56559024595045293</v>
      </c>
      <c r="AG233" s="810">
        <f t="shared" si="95"/>
        <v>-1</v>
      </c>
      <c r="AH233" s="176">
        <f t="shared" si="90"/>
        <v>5</v>
      </c>
      <c r="AI233" s="225">
        <f t="shared" si="91"/>
        <v>-0.43440975404954707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6">
        <v>47.618000000000002</v>
      </c>
      <c r="C234" s="390"/>
      <c r="D234" s="393">
        <f t="shared" si="74"/>
        <v>48.441753006912656</v>
      </c>
      <c r="E234" s="385">
        <f t="shared" si="96"/>
        <v>53.757783558217845</v>
      </c>
      <c r="F234" s="385">
        <f t="shared" si="75"/>
        <v>53.762811253518024</v>
      </c>
      <c r="G234" s="110">
        <f t="shared" si="97"/>
        <v>0.92554930033714999</v>
      </c>
      <c r="H234" s="414" t="b">
        <f>Wh_hp&gt;='2019'!Maxi_hp</f>
        <v>0</v>
      </c>
      <c r="I234" s="380">
        <f>IF(H234,Wh_hp,'2019'!Maxi_hp)</f>
        <v>54.968585302441141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1.700502058204012E-2</v>
      </c>
      <c r="M234" s="844"/>
      <c r="N234" s="844"/>
      <c r="O234" s="48">
        <f>IF(t&lt;Tnet,'2019'!Resal+('2019'!Salim-'2019'!Resal)*(1-EXP(('2019'!Tnet-t)/('2019'!Tau_j))),Resal+(Salim-Resal)*(1-EXP((Tnet-t)/(Tau_j))))*Salcycl</f>
        <v>9.8888573885270142E-2</v>
      </c>
      <c r="P234" s="169">
        <f>(INDEX(Models!$BJ234:$BT234,,T234)*(1-R234)+INDEX(Models!$BJ234:$BT234,,T234+1)*R234-ERP_i)*Q234*Ramure*Pc/MaxiM</f>
        <v>1.0464448037261638E-4</v>
      </c>
      <c r="Q234" s="305">
        <f t="shared" si="77"/>
        <v>0.7</v>
      </c>
      <c r="R234" s="177">
        <f t="shared" si="78"/>
        <v>0.56684166509679013</v>
      </c>
      <c r="S234" s="810">
        <f t="shared" si="79"/>
        <v>-1</v>
      </c>
      <c r="T234" s="176">
        <f t="shared" si="80"/>
        <v>5</v>
      </c>
      <c r="U234" s="251">
        <f t="shared" si="81"/>
        <v>-0.43315833490320987</v>
      </c>
      <c r="V234" s="383">
        <f t="shared" si="82"/>
        <v>51.447794329227321</v>
      </c>
      <c r="W234" s="402"/>
      <c r="X234" s="157">
        <f t="shared" si="83"/>
        <v>44050</v>
      </c>
      <c r="Y234" s="385">
        <f t="shared" si="84"/>
        <v>47.618000000000002</v>
      </c>
      <c r="Z234" s="385">
        <f t="shared" si="85"/>
        <v>48.441753006912656</v>
      </c>
      <c r="AA234" s="386">
        <f t="shared" si="86"/>
        <v>53.757783558217845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9.8888573885270142E-2</v>
      </c>
      <c r="AD234" s="231">
        <f>(INDEX(Models!$BJ234:$BT234,,AH234)*(1-AF234)+INDEX(Models!$BJ234:$BT234,,AH234+1)*AF234-ERP_i)*AE234*Ramure*Pc/MaxiM</f>
        <v>1.0464448037261638E-4</v>
      </c>
      <c r="AE234" s="305">
        <f t="shared" si="88"/>
        <v>0.7</v>
      </c>
      <c r="AF234" s="177">
        <f t="shared" si="89"/>
        <v>0.56684166509679013</v>
      </c>
      <c r="AG234" s="810">
        <f t="shared" si="95"/>
        <v>-1</v>
      </c>
      <c r="AH234" s="176">
        <f t="shared" si="90"/>
        <v>5</v>
      </c>
      <c r="AI234" s="225">
        <f t="shared" si="91"/>
        <v>-0.43315833490320987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6">
        <v>46.387999999999998</v>
      </c>
      <c r="C235" s="390"/>
      <c r="D235" s="393">
        <f t="shared" si="74"/>
        <v>47.191573215479089</v>
      </c>
      <c r="E235" s="385">
        <f t="shared" si="96"/>
        <v>52.375296751015647</v>
      </c>
      <c r="F235" s="385">
        <f t="shared" si="75"/>
        <v>52.380196276596415</v>
      </c>
      <c r="G235" s="110">
        <f t="shared" si="97"/>
        <v>0.9050288928093696</v>
      </c>
      <c r="H235" s="414" t="b">
        <f>Wh_hp&gt;='2019'!Maxi_hp</f>
        <v>1</v>
      </c>
      <c r="I235" s="380">
        <f>IF(H235,Wh_hp,'2019'!Maxi_hp)</f>
        <v>52.380196276596415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1.7027896311274437E-2</v>
      </c>
      <c r="M235" s="844"/>
      <c r="N235" s="844"/>
      <c r="O235" s="48">
        <f>IF(t&lt;Tnet,'2019'!Resal+('2019'!Salim-'2019'!Resal)*(1-EXP(('2019'!Tnet-t)/('2019'!Tau_j))),Resal+(Salim-Resal)*(1-EXP((Tnet-t)/(Tau_j))))*Salcycl</f>
        <v>9.8972680960247431E-2</v>
      </c>
      <c r="P235" s="169">
        <f>(INDEX(Models!$BJ235:$BT235,,T235)*(1-R235)+INDEX(Models!$BJ235:$BT235,,T235+1)*R235-ERP_i)*Q235*Ramure*Pc/MaxiM</f>
        <v>1.0821794824648353E-4</v>
      </c>
      <c r="Q235" s="305">
        <f t="shared" si="77"/>
        <v>0.7</v>
      </c>
      <c r="R235" s="177">
        <f t="shared" si="78"/>
        <v>0.56805075379169279</v>
      </c>
      <c r="S235" s="810">
        <f t="shared" si="79"/>
        <v>-1</v>
      </c>
      <c r="T235" s="176">
        <f t="shared" si="80"/>
        <v>5</v>
      </c>
      <c r="U235" s="251">
        <f t="shared" si="81"/>
        <v>-0.43194924620830721</v>
      </c>
      <c r="V235" s="383">
        <f t="shared" si="82"/>
        <v>51.255069666512142</v>
      </c>
      <c r="W235" s="402"/>
      <c r="X235" s="157">
        <f t="shared" si="83"/>
        <v>44051</v>
      </c>
      <c r="Y235" s="385">
        <f t="shared" si="84"/>
        <v>46.387999999999998</v>
      </c>
      <c r="Z235" s="385">
        <f t="shared" si="85"/>
        <v>47.191573215479089</v>
      </c>
      <c r="AA235" s="386">
        <f t="shared" si="86"/>
        <v>52.375296751015647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9.8972680960247431E-2</v>
      </c>
      <c r="AD235" s="231">
        <f>(INDEX(Models!$BJ235:$BT235,,AH235)*(1-AF235)+INDEX(Models!$BJ235:$BT235,,AH235+1)*AF235-ERP_i)*AE235*Ramure*Pc/MaxiM</f>
        <v>1.0821794824648353E-4</v>
      </c>
      <c r="AE235" s="305">
        <f t="shared" si="88"/>
        <v>0.7</v>
      </c>
      <c r="AF235" s="177">
        <f t="shared" si="89"/>
        <v>0.56805075379169279</v>
      </c>
      <c r="AG235" s="810">
        <f t="shared" si="95"/>
        <v>-1</v>
      </c>
      <c r="AH235" s="176">
        <f t="shared" si="90"/>
        <v>5</v>
      </c>
      <c r="AI235" s="225">
        <f t="shared" si="91"/>
        <v>-0.43194924620830721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6">
        <v>36.433</v>
      </c>
      <c r="C236" s="390"/>
      <c r="D236" s="393">
        <f t="shared" si="74"/>
        <v>37.06498661777254</v>
      </c>
      <c r="E236" s="385">
        <f t="shared" si="96"/>
        <v>41.140188169737492</v>
      </c>
      <c r="F236" s="385">
        <f t="shared" si="75"/>
        <v>41.14291601069403</v>
      </c>
      <c r="G236" s="110">
        <f t="shared" si="97"/>
        <v>0.71350666341024027</v>
      </c>
      <c r="H236" s="414" t="b">
        <f>Wh_hp&gt;='2019'!Maxi_hp</f>
        <v>0</v>
      </c>
      <c r="I236" s="380">
        <f>IF(H236,Wh_hp,'2019'!Maxi_hp)</f>
        <v>41.145546522595481</v>
      </c>
      <c r="J236" s="85">
        <f>IF(H236,An,'2019'!An_max)</f>
        <v>2019</v>
      </c>
      <c r="K236" s="197">
        <f t="shared" si="76"/>
        <v>44052</v>
      </c>
      <c r="L236" s="147">
        <f>IF(t&lt;Tvie,1-EXP((T0-t)*PertePVj)+'2019'!Pspv,1-EXP((T0-t)*PertePVj)+Pspv)</f>
        <v>1.7050771508157037E-2</v>
      </c>
      <c r="M236" s="844"/>
      <c r="N236" s="844"/>
      <c r="O236" s="48">
        <f>IF(t&lt;Tnet,'2019'!Resal+('2019'!Salim-'2019'!Resal)*(1-EXP(('2019'!Tnet-t)/('2019'!Tau_j))),Resal+(Salim-Resal)*(1-EXP((Tnet-t)/(Tau_j))))*Salcycl</f>
        <v>9.9056463600782726E-2</v>
      </c>
      <c r="P236" s="169">
        <f>(INDEX(Models!$BJ236:$BT236,,T236)*(1-R236)+INDEX(Models!$BJ236:$BT236,,T236+1)*R236-ERP_i)*Q236*Ramure*Pc/MaxiM</f>
        <v>1.1222899783714228E-4</v>
      </c>
      <c r="Q236" s="305">
        <f t="shared" si="77"/>
        <v>0.7</v>
      </c>
      <c r="R236" s="177">
        <f t="shared" si="78"/>
        <v>0.56921865416441042</v>
      </c>
      <c r="S236" s="810">
        <f t="shared" si="79"/>
        <v>-1</v>
      </c>
      <c r="T236" s="176">
        <f t="shared" si="80"/>
        <v>5</v>
      </c>
      <c r="U236" s="251">
        <f t="shared" si="81"/>
        <v>-0.43078134583558952</v>
      </c>
      <c r="V236" s="383">
        <f t="shared" si="82"/>
        <v>51.059546440478812</v>
      </c>
      <c r="W236" s="402"/>
      <c r="X236" s="157">
        <f t="shared" si="83"/>
        <v>44052</v>
      </c>
      <c r="Y236" s="385">
        <f t="shared" si="84"/>
        <v>36.433</v>
      </c>
      <c r="Z236" s="385">
        <f t="shared" si="85"/>
        <v>37.06498661777254</v>
      </c>
      <c r="AA236" s="386">
        <f t="shared" si="86"/>
        <v>41.140188169737492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9.9056463600782726E-2</v>
      </c>
      <c r="AD236" s="231">
        <f>(INDEX(Models!$BJ236:$BT236,,AH236)*(1-AF236)+INDEX(Models!$BJ236:$BT236,,AH236+1)*AF236-ERP_i)*AE236*Ramure*Pc/MaxiM</f>
        <v>1.1222899783714228E-4</v>
      </c>
      <c r="AE236" s="305">
        <f t="shared" si="88"/>
        <v>0.7</v>
      </c>
      <c r="AF236" s="177">
        <f t="shared" si="89"/>
        <v>0.56921865416441042</v>
      </c>
      <c r="AG236" s="810">
        <f t="shared" si="95"/>
        <v>-1</v>
      </c>
      <c r="AH236" s="176">
        <f t="shared" si="90"/>
        <v>5</v>
      </c>
      <c r="AI236" s="225">
        <f t="shared" si="91"/>
        <v>-0.43078134583558952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6">
        <v>32.668999999999997</v>
      </c>
      <c r="C237" s="390"/>
      <c r="D237" s="393">
        <f t="shared" si="74"/>
        <v>33.236467689358498</v>
      </c>
      <c r="E237" s="385">
        <f t="shared" si="96"/>
        <v>36.894150849832506</v>
      </c>
      <c r="F237" s="385">
        <f t="shared" si="75"/>
        <v>36.896256212800246</v>
      </c>
      <c r="G237" s="110">
        <f t="shared" si="97"/>
        <v>0.64228056059631833</v>
      </c>
      <c r="H237" s="414" t="b">
        <f>Wh_hp&gt;='2019'!Maxi_hp</f>
        <v>1</v>
      </c>
      <c r="I237" s="380">
        <f>IF(H237,Wh_hp,'2019'!Maxi_hp)</f>
        <v>36.896256212800246</v>
      </c>
      <c r="J237" s="85">
        <f>IF(H237,An,'2019'!An_max)</f>
        <v>2020</v>
      </c>
      <c r="K237" s="197">
        <f t="shared" si="76"/>
        <v>44053</v>
      </c>
      <c r="L237" s="147">
        <f>IF(t&lt;Tvie,1-EXP((T0-t)*PertePVj)+'2019'!Pspv,1-EXP((T0-t)*PertePVj)+Pspv)</f>
        <v>1.7073646172700463E-2</v>
      </c>
      <c r="M237" s="844"/>
      <c r="N237" s="844"/>
      <c r="O237" s="48">
        <f>IF(t&lt;Tnet,'2019'!Resal+('2019'!Salim-'2019'!Resal)*(1-EXP(('2019'!Tnet-t)/('2019'!Tau_j))),Resal+(Salim-Resal)*(1-EXP((Tnet-t)/(Tau_j))))*Salcycl</f>
        <v>9.9139919912009836E-2</v>
      </c>
      <c r="P237" s="169">
        <f>(INDEX(Models!$BJ237:$BT237,,T237)*(1-R237)+INDEX(Models!$BJ237:$BT237,,T237+1)*R237-ERP_i)*Q237*Ramure*Pc/MaxiM</f>
        <v>1.16684156694542E-4</v>
      </c>
      <c r="Q237" s="305">
        <f t="shared" si="77"/>
        <v>0.7</v>
      </c>
      <c r="R237" s="177">
        <f t="shared" si="78"/>
        <v>0.57034649904948442</v>
      </c>
      <c r="S237" s="810">
        <f t="shared" si="79"/>
        <v>-1</v>
      </c>
      <c r="T237" s="176">
        <f t="shared" si="80"/>
        <v>5</v>
      </c>
      <c r="U237" s="251">
        <f t="shared" si="81"/>
        <v>-0.42965350095051552</v>
      </c>
      <c r="V237" s="383">
        <f t="shared" si="82"/>
        <v>50.86103190226018</v>
      </c>
      <c r="W237" s="402"/>
      <c r="X237" s="157">
        <f t="shared" si="83"/>
        <v>44053</v>
      </c>
      <c r="Y237" s="385">
        <f t="shared" si="84"/>
        <v>32.668999999999997</v>
      </c>
      <c r="Z237" s="385">
        <f t="shared" si="85"/>
        <v>33.236467689358498</v>
      </c>
      <c r="AA237" s="386">
        <f t="shared" si="86"/>
        <v>36.894150849832506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9.9139919912009836E-2</v>
      </c>
      <c r="AD237" s="231">
        <f>(INDEX(Models!$BJ237:$BT237,,AH237)*(1-AF237)+INDEX(Models!$BJ237:$BT237,,AH237+1)*AF237-ERP_i)*AE237*Ramure*Pc/MaxiM</f>
        <v>1.16684156694542E-4</v>
      </c>
      <c r="AE237" s="305">
        <f t="shared" si="88"/>
        <v>0.7</v>
      </c>
      <c r="AF237" s="177">
        <f t="shared" si="89"/>
        <v>0.57034649904948442</v>
      </c>
      <c r="AG237" s="810">
        <f t="shared" si="95"/>
        <v>-1</v>
      </c>
      <c r="AH237" s="176">
        <f t="shared" si="90"/>
        <v>5</v>
      </c>
      <c r="AI237" s="225">
        <f t="shared" si="91"/>
        <v>-0.42965350095051552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6">
        <v>39.82</v>
      </c>
      <c r="C238" s="390"/>
      <c r="D238" s="393">
        <f t="shared" si="74"/>
        <v>40.512624914455479</v>
      </c>
      <c r="E238" s="385">
        <f t="shared" si="96"/>
        <v>44.975201417450833</v>
      </c>
      <c r="F238" s="385">
        <f t="shared" si="75"/>
        <v>44.978998740962602</v>
      </c>
      <c r="G238" s="110">
        <f t="shared" si="97"/>
        <v>0.78600560258473151</v>
      </c>
      <c r="H238" s="414" t="b">
        <f>Wh_hp&gt;='2019'!Maxi_hp</f>
        <v>1</v>
      </c>
      <c r="I238" s="380">
        <f>IF(H238,Wh_hp,'2019'!Maxi_hp)</f>
        <v>44.978998740962602</v>
      </c>
      <c r="J238" s="85">
        <f>IF(H238,An,'2019'!An_max)</f>
        <v>2020</v>
      </c>
      <c r="K238" s="197">
        <f t="shared" si="76"/>
        <v>44054</v>
      </c>
      <c r="L238" s="147">
        <f>IF(t&lt;Tvie,1-EXP((T0-t)*PertePVj)+'2019'!Pspv,1-EXP((T0-t)*PertePVj)+Pspv)</f>
        <v>1.709652030491704E-2</v>
      </c>
      <c r="M238" s="844"/>
      <c r="N238" s="844"/>
      <c r="O238" s="48">
        <f>IF(t&lt;Tnet,'2019'!Resal+('2019'!Salim-'2019'!Resal)*(1-EXP(('2019'!Tnet-t)/('2019'!Tau_j))),Resal+(Salim-Resal)*(1-EXP((Tnet-t)/(Tau_j))))*Salcycl</f>
        <v>9.9223046531234121E-2</v>
      </c>
      <c r="P238" s="169">
        <f>(INDEX(Models!$BJ238:$BT238,,T238)*(1-R238)+INDEX(Models!$BJ238:$BT238,,T238+1)*R238-ERP_i)*Q238*Ramure*Pc/MaxiM</f>
        <v>1.2159017185608209E-4</v>
      </c>
      <c r="Q238" s="305">
        <f t="shared" si="77"/>
        <v>0.7</v>
      </c>
      <c r="R238" s="177">
        <f t="shared" si="78"/>
        <v>0.57143541023953737</v>
      </c>
      <c r="S238" s="810">
        <f t="shared" si="79"/>
        <v>-1</v>
      </c>
      <c r="T238" s="176">
        <f t="shared" si="80"/>
        <v>5</v>
      </c>
      <c r="U238" s="251">
        <f t="shared" si="81"/>
        <v>-0.42856458976046263</v>
      </c>
      <c r="V238" s="383">
        <f t="shared" si="82"/>
        <v>50.659333472648527</v>
      </c>
      <c r="W238" s="402"/>
      <c r="X238" s="157">
        <f t="shared" si="83"/>
        <v>44054</v>
      </c>
      <c r="Y238" s="385">
        <f t="shared" si="84"/>
        <v>39.82</v>
      </c>
      <c r="Z238" s="385">
        <f t="shared" si="85"/>
        <v>40.512624914455479</v>
      </c>
      <c r="AA238" s="386">
        <f t="shared" si="86"/>
        <v>44.975201417450833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9.9223046531234121E-2</v>
      </c>
      <c r="AD238" s="231">
        <f>(INDEX(Models!$BJ238:$BT238,,AH238)*(1-AF238)+INDEX(Models!$BJ238:$BT238,,AH238+1)*AF238-ERP_i)*AE238*Ramure*Pc/MaxiM</f>
        <v>1.2159017185608209E-4</v>
      </c>
      <c r="AE238" s="305">
        <f t="shared" si="88"/>
        <v>0.7</v>
      </c>
      <c r="AF238" s="177">
        <f t="shared" si="89"/>
        <v>0.57143541023953737</v>
      </c>
      <c r="AG238" s="810">
        <f t="shared" si="95"/>
        <v>-1</v>
      </c>
      <c r="AH238" s="176">
        <f t="shared" si="90"/>
        <v>5</v>
      </c>
      <c r="AI238" s="225">
        <f t="shared" si="91"/>
        <v>-0.42856458976046263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6">
        <v>25.38</v>
      </c>
      <c r="C239" s="390"/>
      <c r="D239" s="393">
        <f t="shared" si="74"/>
        <v>25.822057982027403</v>
      </c>
      <c r="E239" s="385">
        <f t="shared" si="96"/>
        <v>28.669063365323577</v>
      </c>
      <c r="F239" s="385">
        <f t="shared" si="75"/>
        <v>28.670119059045689</v>
      </c>
      <c r="G239" s="110">
        <f t="shared" si="97"/>
        <v>0.50298454489882571</v>
      </c>
      <c r="H239" s="414" t="b">
        <f>Wh_hp&gt;='2019'!Maxi_hp</f>
        <v>0</v>
      </c>
      <c r="I239" s="380">
        <f>IF(H239,Wh_hp,'2019'!Maxi_hp)</f>
        <v>49.519418885775274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1.7119393904819091E-2</v>
      </c>
      <c r="M239" s="844"/>
      <c r="N239" s="844"/>
      <c r="O239" s="48">
        <f>IF(t&lt;Tnet,'2019'!Resal+('2019'!Salim-'2019'!Resal)*(1-EXP(('2019'!Tnet-t)/('2019'!Tau_j))),Resal+(Salim-Resal)*(1-EXP((Tnet-t)/(Tau_j))))*Salcycl</f>
        <v>9.9305838736948288E-2</v>
      </c>
      <c r="P239" s="169">
        <f>(INDEX(Models!$BJ239:$BT239,,T239)*(1-R239)+INDEX(Models!$BJ239:$BT239,,T239+1)*R239-ERP_i)*Q239*Ramure*Pc/MaxiM</f>
        <v>1.2695403612512923E-4</v>
      </c>
      <c r="Q239" s="305">
        <f t="shared" si="77"/>
        <v>0.7</v>
      </c>
      <c r="R239" s="177">
        <f t="shared" si="78"/>
        <v>0.57248649690173226</v>
      </c>
      <c r="S239" s="810">
        <f t="shared" si="79"/>
        <v>-1</v>
      </c>
      <c r="T239" s="176">
        <f t="shared" si="80"/>
        <v>5</v>
      </c>
      <c r="U239" s="251">
        <f t="shared" si="81"/>
        <v>-0.42751350309826774</v>
      </c>
      <c r="V239" s="383">
        <f t="shared" si="82"/>
        <v>50.454258732924586</v>
      </c>
      <c r="W239" s="402"/>
      <c r="X239" s="157">
        <f t="shared" si="83"/>
        <v>44055</v>
      </c>
      <c r="Y239" s="385">
        <f t="shared" si="84"/>
        <v>25.38</v>
      </c>
      <c r="Z239" s="385">
        <f t="shared" si="85"/>
        <v>25.822057982027403</v>
      </c>
      <c r="AA239" s="386">
        <f t="shared" si="86"/>
        <v>28.669063365323577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9.9305838736948288E-2</v>
      </c>
      <c r="AD239" s="231">
        <f>(INDEX(Models!$BJ239:$BT239,,AH239)*(1-AF239)+INDEX(Models!$BJ239:$BT239,,AH239+1)*AF239-ERP_i)*AE239*Ramure*Pc/MaxiM</f>
        <v>1.2695403612512923E-4</v>
      </c>
      <c r="AE239" s="305">
        <f t="shared" si="88"/>
        <v>0.7</v>
      </c>
      <c r="AF239" s="177">
        <f t="shared" si="89"/>
        <v>0.57248649690173226</v>
      </c>
      <c r="AG239" s="810">
        <f t="shared" si="95"/>
        <v>-1</v>
      </c>
      <c r="AH239" s="176">
        <f t="shared" si="90"/>
        <v>5</v>
      </c>
      <c r="AI239" s="225">
        <f t="shared" si="91"/>
        <v>-0.42751350309826774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6">
        <v>16.228000000000002</v>
      </c>
      <c r="C240" s="390"/>
      <c r="D240" s="393">
        <f t="shared" si="74"/>
        <v>16.511036597343036</v>
      </c>
      <c r="E240" s="385">
        <f t="shared" si="96"/>
        <v>18.333135605724557</v>
      </c>
      <c r="F240" s="385">
        <f t="shared" si="75"/>
        <v>18.333215719772113</v>
      </c>
      <c r="G240" s="110">
        <f t="shared" si="97"/>
        <v>0.32293198057933331</v>
      </c>
      <c r="H240" s="414" t="b">
        <f>Wh_hp&gt;='2019'!Maxi_hp</f>
        <v>0</v>
      </c>
      <c r="I240" s="380">
        <f>IF(H240,Wh_hp,'2019'!Maxi_hp)</f>
        <v>56.438545472421865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1.7142266972419051E-2</v>
      </c>
      <c r="M240" s="844"/>
      <c r="N240" s="844"/>
      <c r="O240" s="48">
        <f>IF(t&lt;Tnet,'2019'!Resal+('2019'!Salim-'2019'!Resal)*(1-EXP(('2019'!Tnet-t)/('2019'!Tau_j))),Resal+(Salim-Resal)*(1-EXP((Tnet-t)/(Tau_j))))*Salcycl</f>
        <v>9.938829055584833E-2</v>
      </c>
      <c r="P240" s="169">
        <f>(INDEX(Models!$BJ240:$BT240,,T240)*(1-R240)+INDEX(Models!$BJ240:$BT240,,T240+1)*R240-ERP_i)*Q240*Ramure*Pc/MaxiM</f>
        <v>1.3314949305525596E-4</v>
      </c>
      <c r="Q240" s="305">
        <f t="shared" si="77"/>
        <v>0.7</v>
      </c>
      <c r="R240" s="177">
        <f t="shared" si="78"/>
        <v>0.57350085415049135</v>
      </c>
      <c r="S240" s="810">
        <f t="shared" si="79"/>
        <v>-1</v>
      </c>
      <c r="T240" s="176">
        <f t="shared" si="80"/>
        <v>5</v>
      </c>
      <c r="U240" s="251">
        <f t="shared" si="81"/>
        <v>-0.4264991458495086</v>
      </c>
      <c r="V240" s="383">
        <f t="shared" si="82"/>
        <v>50.245597002446047</v>
      </c>
      <c r="W240" s="402"/>
      <c r="X240" s="157">
        <f t="shared" si="83"/>
        <v>44056</v>
      </c>
      <c r="Y240" s="385">
        <f t="shared" si="84"/>
        <v>16.228000000000002</v>
      </c>
      <c r="Z240" s="385">
        <f t="shared" si="85"/>
        <v>16.511036597343036</v>
      </c>
      <c r="AA240" s="386">
        <f t="shared" si="86"/>
        <v>18.333135605724557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9.938829055584833E-2</v>
      </c>
      <c r="AD240" s="231">
        <f>(INDEX(Models!$BJ240:$BT240,,AH240)*(1-AF240)+INDEX(Models!$BJ240:$BT240,,AH240+1)*AF240-ERP_i)*AE240*Ramure*Pc/MaxiM</f>
        <v>1.3314949305525596E-4</v>
      </c>
      <c r="AE240" s="305">
        <f t="shared" si="88"/>
        <v>0.7</v>
      </c>
      <c r="AF240" s="177">
        <f t="shared" si="89"/>
        <v>0.57350085415049135</v>
      </c>
      <c r="AG240" s="810">
        <f t="shared" si="95"/>
        <v>-1</v>
      </c>
      <c r="AH240" s="176">
        <f t="shared" si="90"/>
        <v>5</v>
      </c>
      <c r="AI240" s="225">
        <f t="shared" si="91"/>
        <v>-0.4264991458495086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6">
        <v>44.167000000000002</v>
      </c>
      <c r="C241" s="390"/>
      <c r="D241" s="393">
        <f t="shared" si="74"/>
        <v>44.938373449511303</v>
      </c>
      <c r="E241" s="385">
        <f t="shared" si="96"/>
        <v>49.902161120893346</v>
      </c>
      <c r="F241" s="385">
        <f t="shared" si="75"/>
        <v>49.907980603306648</v>
      </c>
      <c r="G241" s="110">
        <f t="shared" si="97"/>
        <v>0.88273380319775585</v>
      </c>
      <c r="H241" s="414" t="b">
        <f>Wh_hp&gt;='2019'!Maxi_hp</f>
        <v>1</v>
      </c>
      <c r="I241" s="380">
        <f>IF(H241,Wh_hp,'2019'!Maxi_hp)</f>
        <v>49.907980603306648</v>
      </c>
      <c r="J241" s="85">
        <f>IF(H241,An,'2019'!An_max)</f>
        <v>2020</v>
      </c>
      <c r="K241" s="197">
        <f t="shared" si="76"/>
        <v>44057</v>
      </c>
      <c r="L241" s="147">
        <f>IF(t&lt;Tvie,1-EXP((T0-t)*PertePVj)+'2019'!Pspv,1-EXP((T0-t)*PertePVj)+Pspv)</f>
        <v>1.7165139507729354E-2</v>
      </c>
      <c r="M241" s="844"/>
      <c r="N241" s="844"/>
      <c r="O241" s="48">
        <f>IF(t&lt;Tnet,'2019'!Resal+('2019'!Salim-'2019'!Resal)*(1-EXP(('2019'!Tnet-t)/('2019'!Tau_j))),Resal+(Salim-Resal)*(1-EXP((Tnet-t)/(Tau_j))))*Salcycl</f>
        <v>9.9470394866401343E-2</v>
      </c>
      <c r="P241" s="169">
        <f>(INDEX(Models!$BJ241:$BT241,,T241)*(1-R241)+INDEX(Models!$BJ241:$BT241,,T241+1)*R241-ERP_i)*Q241*Ramure*Pc/MaxiM</f>
        <v>1.4006407438116894E-4</v>
      </c>
      <c r="Q241" s="305">
        <f t="shared" si="77"/>
        <v>0.7</v>
      </c>
      <c r="R241" s="177">
        <f t="shared" si="78"/>
        <v>0.57447956176892356</v>
      </c>
      <c r="S241" s="810">
        <f t="shared" si="79"/>
        <v>-1</v>
      </c>
      <c r="T241" s="176">
        <f t="shared" si="80"/>
        <v>5</v>
      </c>
      <c r="U241" s="251">
        <f t="shared" si="81"/>
        <v>-0.42552043823107644</v>
      </c>
      <c r="V241" s="383">
        <f t="shared" si="82"/>
        <v>50.03316239720521</v>
      </c>
      <c r="W241" s="402"/>
      <c r="X241" s="157">
        <f t="shared" si="83"/>
        <v>44057</v>
      </c>
      <c r="Y241" s="385">
        <f t="shared" si="84"/>
        <v>44.167000000000002</v>
      </c>
      <c r="Z241" s="385">
        <f t="shared" si="85"/>
        <v>44.938373449511303</v>
      </c>
      <c r="AA241" s="386">
        <f t="shared" si="86"/>
        <v>49.902161120893346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9.9470394866401343E-2</v>
      </c>
      <c r="AD241" s="231">
        <f>(INDEX(Models!$BJ241:$BT241,,AH241)*(1-AF241)+INDEX(Models!$BJ241:$BT241,,AH241+1)*AF241-ERP_i)*AE241*Ramure*Pc/MaxiM</f>
        <v>1.4006407438116894E-4</v>
      </c>
      <c r="AE241" s="305">
        <f t="shared" si="88"/>
        <v>0.7</v>
      </c>
      <c r="AF241" s="177">
        <f t="shared" si="89"/>
        <v>0.57447956176892356</v>
      </c>
      <c r="AG241" s="810">
        <f t="shared" si="95"/>
        <v>-1</v>
      </c>
      <c r="AH241" s="176">
        <f t="shared" si="90"/>
        <v>5</v>
      </c>
      <c r="AI241" s="225">
        <f t="shared" si="91"/>
        <v>-0.42552043823107644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6">
        <v>41.308999999999997</v>
      </c>
      <c r="C242" s="390"/>
      <c r="D242" s="393">
        <f t="shared" si="74"/>
        <v>42.031436819873868</v>
      </c>
      <c r="E242" s="385">
        <f t="shared" si="96"/>
        <v>46.678368454489615</v>
      </c>
      <c r="F242" s="385">
        <f t="shared" si="75"/>
        <v>46.683581716098963</v>
      </c>
      <c r="G242" s="110">
        <f t="shared" si="97"/>
        <v>0.82918898703334565</v>
      </c>
      <c r="H242" s="414" t="b">
        <f>Wh_hp&gt;='2019'!Maxi_hp</f>
        <v>0</v>
      </c>
      <c r="I242" s="380">
        <f>IF(H242,Wh_hp,'2019'!Maxi_hp)</f>
        <v>54.750781223498663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1.7188011510762324E-2</v>
      </c>
      <c r="M242" s="844"/>
      <c r="N242" s="844"/>
      <c r="O242" s="48">
        <f>IF(t&lt;Tnet,'2019'!Resal+('2019'!Salim-'2019'!Resal)*(1-EXP(('2019'!Tnet-t)/('2019'!Tau_j))),Resal+(Salim-Resal)*(1-EXP((Tnet-t)/(Tau_j))))*Salcycl</f>
        <v>9.9552143497611809E-2</v>
      </c>
      <c r="P242" s="169">
        <f>(INDEX(Models!$BJ242:$BT242,,T242)*(1-R242)+INDEX(Models!$BJ242:$BT242,,T242+1)*R242-ERP_i)*Q242*Ramure*Pc/MaxiM</f>
        <v>1.4770937696236504E-4</v>
      </c>
      <c r="Q242" s="305">
        <f t="shared" si="77"/>
        <v>0.7</v>
      </c>
      <c r="R242" s="177">
        <f t="shared" si="78"/>
        <v>0.57542368307133862</v>
      </c>
      <c r="S242" s="810">
        <f t="shared" si="79"/>
        <v>-1</v>
      </c>
      <c r="T242" s="176">
        <f t="shared" si="80"/>
        <v>5</v>
      </c>
      <c r="U242" s="251">
        <f t="shared" si="81"/>
        <v>-0.42457631692866143</v>
      </c>
      <c r="V242" s="383">
        <f t="shared" si="82"/>
        <v>49.816762912803483</v>
      </c>
      <c r="W242" s="402"/>
      <c r="X242" s="157">
        <f t="shared" si="83"/>
        <v>44058</v>
      </c>
      <c r="Y242" s="385">
        <f t="shared" si="84"/>
        <v>41.308999999999997</v>
      </c>
      <c r="Z242" s="385">
        <f t="shared" si="85"/>
        <v>42.031436819873868</v>
      </c>
      <c r="AA242" s="386">
        <f t="shared" si="86"/>
        <v>46.678368454489615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9.9552143497611809E-2</v>
      </c>
      <c r="AD242" s="231">
        <f>(INDEX(Models!$BJ242:$BT242,,AH242)*(1-AF242)+INDEX(Models!$BJ242:$BT242,,AH242+1)*AF242-ERP_i)*AE242*Ramure*Pc/MaxiM</f>
        <v>1.4770937696236504E-4</v>
      </c>
      <c r="AE242" s="305">
        <f t="shared" si="88"/>
        <v>0.7</v>
      </c>
      <c r="AF242" s="177">
        <f t="shared" si="89"/>
        <v>0.57542368307133862</v>
      </c>
      <c r="AG242" s="810">
        <f t="shared" si="95"/>
        <v>-1</v>
      </c>
      <c r="AH242" s="176">
        <f t="shared" si="90"/>
        <v>5</v>
      </c>
      <c r="AI242" s="225">
        <f t="shared" si="91"/>
        <v>-0.42457631692866143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6">
        <v>18.916</v>
      </c>
      <c r="C243" s="390"/>
      <c r="D243" s="393">
        <f t="shared" si="74"/>
        <v>19.247262380546395</v>
      </c>
      <c r="E243" s="385">
        <f t="shared" si="96"/>
        <v>21.377142490982486</v>
      </c>
      <c r="F243" s="385">
        <f t="shared" si="75"/>
        <v>21.377530534592083</v>
      </c>
      <c r="G243" s="110">
        <f t="shared" si="97"/>
        <v>0.38134752316593523</v>
      </c>
      <c r="H243" s="414" t="b">
        <f>Wh_hp&gt;='2019'!Maxi_hp</f>
        <v>0</v>
      </c>
      <c r="I243" s="380">
        <f>IF(H243,Wh_hp,'2019'!Maxi_hp)</f>
        <v>54.337378968983657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1.7210882981530395E-2</v>
      </c>
      <c r="M243" s="844"/>
      <c r="N243" s="844"/>
      <c r="O243" s="48">
        <f>IF(t&lt;Tnet,'2019'!Resal+('2019'!Salim-'2019'!Resal)*(1-EXP(('2019'!Tnet-t)/('2019'!Tau_j))),Resal+(Salim-Resal)*(1-EXP((Tnet-t)/(Tau_j))))*Salcycl</f>
        <v>9.9633527321742674E-2</v>
      </c>
      <c r="P243" s="169">
        <f>(INDEX(Models!$BJ243:$BT243,,T243)*(1-R243)+INDEX(Models!$BJ243:$BT243,,T243+1)*R243-ERP_i)*Q243*Ramure*Pc/MaxiM</f>
        <v>1.5609748532933971E-4</v>
      </c>
      <c r="Q243" s="305">
        <f t="shared" si="77"/>
        <v>0.7</v>
      </c>
      <c r="R243" s="177">
        <f t="shared" si="78"/>
        <v>0.5763342638992206</v>
      </c>
      <c r="S243" s="810">
        <f t="shared" si="79"/>
        <v>-1</v>
      </c>
      <c r="T243" s="176">
        <f t="shared" si="80"/>
        <v>5</v>
      </c>
      <c r="U243" s="251">
        <f t="shared" si="81"/>
        <v>-0.42366573610077934</v>
      </c>
      <c r="V243" s="383">
        <f t="shared" si="82"/>
        <v>49.59620667689898</v>
      </c>
      <c r="W243" s="402"/>
      <c r="X243" s="157">
        <f t="shared" si="83"/>
        <v>44059</v>
      </c>
      <c r="Y243" s="385">
        <f t="shared" si="84"/>
        <v>18.916</v>
      </c>
      <c r="Z243" s="385">
        <f t="shared" si="85"/>
        <v>19.247262380546395</v>
      </c>
      <c r="AA243" s="386">
        <f t="shared" si="86"/>
        <v>21.377142490982486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9.9633527321742674E-2</v>
      </c>
      <c r="AD243" s="231">
        <f>(INDEX(Models!$BJ243:$BT243,,AH243)*(1-AF243)+INDEX(Models!$BJ243:$BT243,,AH243+1)*AF243-ERP_i)*AE243*Ramure*Pc/MaxiM</f>
        <v>1.5609748532933971E-4</v>
      </c>
      <c r="AE243" s="305">
        <f t="shared" si="88"/>
        <v>0.7</v>
      </c>
      <c r="AF243" s="177">
        <f t="shared" si="89"/>
        <v>0.5763342638992206</v>
      </c>
      <c r="AG243" s="810">
        <f t="shared" si="95"/>
        <v>-1</v>
      </c>
      <c r="AH243" s="176">
        <f t="shared" si="90"/>
        <v>5</v>
      </c>
      <c r="AI243" s="225">
        <f t="shared" si="91"/>
        <v>-0.42366573610077934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6">
        <v>39.326999999999998</v>
      </c>
      <c r="C244" s="390"/>
      <c r="D244" s="393">
        <f t="shared" si="74"/>
        <v>40.016636872569698</v>
      </c>
      <c r="E244" s="385">
        <f t="shared" si="96"/>
        <v>44.448831496047269</v>
      </c>
      <c r="F244" s="385">
        <f t="shared" si="75"/>
        <v>44.454042233586001</v>
      </c>
      <c r="G244" s="110">
        <f t="shared" si="97"/>
        <v>0.79651760361891943</v>
      </c>
      <c r="H244" s="414" t="b">
        <f>Wh_hp&gt;='2019'!Maxi_hp</f>
        <v>1</v>
      </c>
      <c r="I244" s="380">
        <f>IF(H244,Wh_hp,'2019'!Maxi_hp)</f>
        <v>44.454042233586001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1.7233753920045891E-2</v>
      </c>
      <c r="M244" s="844"/>
      <c r="N244" s="844"/>
      <c r="O244" s="48">
        <f>IF(t&lt;Tnet,'2019'!Resal+('2019'!Salim-'2019'!Resal)*(1-EXP(('2019'!Tnet-t)/('2019'!Tau_j))),Resal+(Salim-Resal)*(1-EXP((Tnet-t)/(Tau_j))))*Salcycl</f>
        <v>9.9714536339874565E-2</v>
      </c>
      <c r="P244" s="169">
        <f>(INDEX(Models!$BJ244:$BT244,,T244)*(1-R244)+INDEX(Models!$BJ244:$BT244,,T244+1)*R244-ERP_i)*Q244*Ramure*Pc/MaxiM</f>
        <v>1.6524102002003459E-4</v>
      </c>
      <c r="Q244" s="305">
        <f t="shared" si="77"/>
        <v>0.7</v>
      </c>
      <c r="R244" s="177">
        <f t="shared" si="78"/>
        <v>0.57721233174307152</v>
      </c>
      <c r="S244" s="810">
        <f t="shared" si="79"/>
        <v>-1</v>
      </c>
      <c r="T244" s="176">
        <f t="shared" si="80"/>
        <v>5</v>
      </c>
      <c r="U244" s="251">
        <f t="shared" si="81"/>
        <v>-0.42278766825692843</v>
      </c>
      <c r="V244" s="383">
        <f t="shared" si="82"/>
        <v>49.371301941147351</v>
      </c>
      <c r="W244" s="402"/>
      <c r="X244" s="157">
        <f t="shared" si="83"/>
        <v>44060</v>
      </c>
      <c r="Y244" s="385">
        <f t="shared" si="84"/>
        <v>39.326999999999998</v>
      </c>
      <c r="Z244" s="385">
        <f t="shared" si="85"/>
        <v>40.016636872569698</v>
      </c>
      <c r="AA244" s="386">
        <f t="shared" si="86"/>
        <v>44.448831496047269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9.9714536339874565E-2</v>
      </c>
      <c r="AD244" s="231">
        <f>(INDEX(Models!$BJ244:$BT244,,AH244)*(1-AF244)+INDEX(Models!$BJ244:$BT244,,AH244+1)*AF244-ERP_i)*AE244*Ramure*Pc/MaxiM</f>
        <v>1.6524102002003459E-4</v>
      </c>
      <c r="AE244" s="305">
        <f t="shared" si="88"/>
        <v>0.7</v>
      </c>
      <c r="AF244" s="177">
        <f t="shared" si="89"/>
        <v>0.57721233174307152</v>
      </c>
      <c r="AG244" s="810">
        <f t="shared" si="95"/>
        <v>-1</v>
      </c>
      <c r="AH244" s="176">
        <f t="shared" si="90"/>
        <v>5</v>
      </c>
      <c r="AI244" s="225">
        <f t="shared" si="91"/>
        <v>-0.42278766825692843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6">
        <v>39.329000000000001</v>
      </c>
      <c r="C245" s="390"/>
      <c r="D245" s="393">
        <f t="shared" si="74"/>
        <v>40.019603259131252</v>
      </c>
      <c r="E245" s="385">
        <f t="shared" si="96"/>
        <v>44.456107621496102</v>
      </c>
      <c r="F245" s="385">
        <f t="shared" si="75"/>
        <v>44.461673707979358</v>
      </c>
      <c r="G245" s="110">
        <f t="shared" si="97"/>
        <v>0.8002757125484482</v>
      </c>
      <c r="H245" s="414" t="b">
        <f>Wh_hp&gt;='2019'!Maxi_hp</f>
        <v>1</v>
      </c>
      <c r="I245" s="380">
        <f>IF(H245,Wh_hp,'2019'!Maxi_hp)</f>
        <v>44.461673707979358</v>
      </c>
      <c r="J245" s="85">
        <f>IF(H245,An,'2019'!An_max)</f>
        <v>2020</v>
      </c>
      <c r="K245" s="197">
        <f t="shared" si="76"/>
        <v>44061</v>
      </c>
      <c r="L245" s="147">
        <f>IF(t&lt;Tvie,1-EXP((T0-t)*PertePVj)+'2019'!Pspv,1-EXP((T0-t)*PertePVj)+Pspv)</f>
        <v>1.7256624326321246E-2</v>
      </c>
      <c r="M245" s="844"/>
      <c r="N245" s="844"/>
      <c r="O245" s="48">
        <f>IF(t&lt;Tnet,'2019'!Resal+('2019'!Salim-'2019'!Resal)*(1-EXP(('2019'!Tnet-t)/('2019'!Tau_j))),Resal+(Salim-Resal)*(1-EXP((Tnet-t)/(Tau_j))))*Salcycl</f>
        <v>9.9795159759322752E-2</v>
      </c>
      <c r="P245" s="169">
        <f>(INDEX(Models!$BJ245:$BT245,,T245)*(1-R245)+INDEX(Models!$BJ245:$BT245,,T245+1)*R245-ERP_i)*Q245*Ramure*Pc/MaxiM</f>
        <v>1.7515318821389913E-4</v>
      </c>
      <c r="Q245" s="305">
        <f t="shared" si="77"/>
        <v>0.7</v>
      </c>
      <c r="R245" s="177">
        <f t="shared" si="78"/>
        <v>0.57805889498262308</v>
      </c>
      <c r="S245" s="810">
        <f t="shared" si="79"/>
        <v>-1</v>
      </c>
      <c r="T245" s="176">
        <f t="shared" si="80"/>
        <v>5</v>
      </c>
      <c r="U245" s="251">
        <f t="shared" si="81"/>
        <v>-0.42194110501737697</v>
      </c>
      <c r="V245" s="383">
        <f t="shared" si="82"/>
        <v>49.141857078462955</v>
      </c>
      <c r="W245" s="402"/>
      <c r="X245" s="157">
        <f t="shared" si="83"/>
        <v>44061</v>
      </c>
      <c r="Y245" s="385">
        <f t="shared" si="84"/>
        <v>39.329000000000001</v>
      </c>
      <c r="Z245" s="385">
        <f t="shared" si="85"/>
        <v>40.019603259131252</v>
      </c>
      <c r="AA245" s="386">
        <f t="shared" si="86"/>
        <v>44.456107621496102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9.9795159759322752E-2</v>
      </c>
      <c r="AD245" s="231">
        <f>(INDEX(Models!$BJ245:$BT245,,AH245)*(1-AF245)+INDEX(Models!$BJ245:$BT245,,AH245+1)*AF245-ERP_i)*AE245*Ramure*Pc/MaxiM</f>
        <v>1.7515318821389913E-4</v>
      </c>
      <c r="AE245" s="305">
        <f t="shared" si="88"/>
        <v>0.7</v>
      </c>
      <c r="AF245" s="177">
        <f t="shared" si="89"/>
        <v>0.57805889498262308</v>
      </c>
      <c r="AG245" s="810">
        <f t="shared" si="95"/>
        <v>-1</v>
      </c>
      <c r="AH245" s="176">
        <f t="shared" si="90"/>
        <v>5</v>
      </c>
      <c r="AI245" s="225">
        <f t="shared" si="91"/>
        <v>-0.42194110501737697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6">
        <v>46.454999999999998</v>
      </c>
      <c r="C246" s="390"/>
      <c r="D246" s="393">
        <f t="shared" si="74"/>
        <v>47.271833370567528</v>
      </c>
      <c r="E246" s="385">
        <f t="shared" si="96"/>
        <v>52.516987802122209</v>
      </c>
      <c r="F246" s="385">
        <f t="shared" si="75"/>
        <v>52.526050299221048</v>
      </c>
      <c r="G246" s="110">
        <f t="shared" si="97"/>
        <v>0.94983816092623963</v>
      </c>
      <c r="H246" s="414" t="b">
        <f>Wh_hp&gt;='2019'!Maxi_hp</f>
        <v>1</v>
      </c>
      <c r="I246" s="380">
        <f>IF(H246,Wh_hp,'2019'!Maxi_hp)</f>
        <v>52.526050299221048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1.7279494200368894E-2</v>
      </c>
      <c r="M246" s="844"/>
      <c r="N246" s="844"/>
      <c r="O246" s="48">
        <f>IF(t&lt;Tnet,'2019'!Resal+('2019'!Salim-'2019'!Resal)*(1-EXP(('2019'!Tnet-t)/('2019'!Tau_j))),Resal+(Salim-Resal)*(1-EXP((Tnet-t)/(Tau_j))))*Salcycl</f>
        <v>9.9875386062083474E-2</v>
      </c>
      <c r="P246" s="169">
        <f>(INDEX(Models!$BJ246:$BT246,,T246)*(1-R246)+INDEX(Models!$BJ246:$BT246,,T246+1)*R246-ERP_i)*Q246*Ramure*Pc/MaxiM</f>
        <v>1.8584783697545213E-4</v>
      </c>
      <c r="Q246" s="305">
        <f t="shared" si="77"/>
        <v>0.7</v>
      </c>
      <c r="R246" s="177">
        <f t="shared" si="78"/>
        <v>0.57887494223805125</v>
      </c>
      <c r="S246" s="810">
        <f t="shared" si="79"/>
        <v>-1</v>
      </c>
      <c r="T246" s="176">
        <f t="shared" si="80"/>
        <v>5</v>
      </c>
      <c r="U246" s="251">
        <f t="shared" si="81"/>
        <v>-0.42112505776194875</v>
      </c>
      <c r="V246" s="383">
        <f t="shared" si="82"/>
        <v>48.907680572611959</v>
      </c>
      <c r="W246" s="402"/>
      <c r="X246" s="157">
        <f t="shared" si="83"/>
        <v>44062</v>
      </c>
      <c r="Y246" s="385">
        <f t="shared" si="84"/>
        <v>46.454999999999998</v>
      </c>
      <c r="Z246" s="385">
        <f t="shared" si="85"/>
        <v>47.271833370567528</v>
      </c>
      <c r="AA246" s="386">
        <f t="shared" si="86"/>
        <v>52.516987802122209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9.9875386062083474E-2</v>
      </c>
      <c r="AD246" s="231">
        <f>(INDEX(Models!$BJ246:$BT246,,AH246)*(1-AF246)+INDEX(Models!$BJ246:$BT246,,AH246+1)*AF246-ERP_i)*AE246*Ramure*Pc/MaxiM</f>
        <v>1.8584783697545213E-4</v>
      </c>
      <c r="AE246" s="305">
        <f t="shared" si="88"/>
        <v>0.7</v>
      </c>
      <c r="AF246" s="177">
        <f t="shared" si="89"/>
        <v>0.57887494223805125</v>
      </c>
      <c r="AG246" s="810">
        <f t="shared" si="95"/>
        <v>-1</v>
      </c>
      <c r="AH246" s="176">
        <f t="shared" si="90"/>
        <v>5</v>
      </c>
      <c r="AI246" s="225">
        <f t="shared" si="91"/>
        <v>-0.42112505776194875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6">
        <v>46.859000000000002</v>
      </c>
      <c r="C247" s="390"/>
      <c r="D247" s="393">
        <f t="shared" si="74"/>
        <v>47.684046711363308</v>
      </c>
      <c r="E247" s="385">
        <f t="shared" si="96"/>
        <v>52.979637095479958</v>
      </c>
      <c r="F247" s="385">
        <f t="shared" si="75"/>
        <v>52.989538136778435</v>
      </c>
      <c r="G247" s="110">
        <f t="shared" si="97"/>
        <v>0.96279033794023217</v>
      </c>
      <c r="H247" s="414" t="b">
        <f>Wh_hp&gt;='2019'!Maxi_hp</f>
        <v>1</v>
      </c>
      <c r="I247" s="380">
        <f>IF(H247,Wh_hp,'2019'!Maxi_hp)</f>
        <v>52.989538136778435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1.7302363542201049E-2</v>
      </c>
      <c r="M247" s="844"/>
      <c r="N247" s="844"/>
      <c r="O247" s="48">
        <f>IF(t&lt;Tnet,'2019'!Resal+('2019'!Salim-'2019'!Resal)*(1-EXP(('2019'!Tnet-t)/('2019'!Tau_j))),Resal+(Salim-Resal)*(1-EXP((Tnet-t)/(Tau_j))))*Salcycl</f>
        <v>9.9955203063639891E-2</v>
      </c>
      <c r="P247" s="169">
        <f>(INDEX(Models!$BJ247:$BT247,,T247)*(1-R247)+INDEX(Models!$BJ247:$BT247,,T247+1)*R247-ERP_i)*Q247*Ramure*Pc/MaxiM</f>
        <v>1.9733585061369895E-4</v>
      </c>
      <c r="Q247" s="305">
        <f t="shared" si="77"/>
        <v>0.7</v>
      </c>
      <c r="R247" s="177">
        <f t="shared" si="78"/>
        <v>0.57966144182498258</v>
      </c>
      <c r="S247" s="810">
        <f t="shared" si="79"/>
        <v>-1</v>
      </c>
      <c r="T247" s="176">
        <f t="shared" si="80"/>
        <v>5</v>
      </c>
      <c r="U247" s="251">
        <f t="shared" si="81"/>
        <v>-0.42033855817501736</v>
      </c>
      <c r="V247" s="383">
        <f t="shared" si="82"/>
        <v>48.669483539139151</v>
      </c>
      <c r="W247" s="402"/>
      <c r="X247" s="157">
        <f t="shared" si="83"/>
        <v>44063</v>
      </c>
      <c r="Y247" s="385">
        <f t="shared" si="84"/>
        <v>46.859000000000002</v>
      </c>
      <c r="Z247" s="385">
        <f t="shared" si="85"/>
        <v>47.684046711363308</v>
      </c>
      <c r="AA247" s="386">
        <f t="shared" si="86"/>
        <v>52.979637095479958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9.9955203063639891E-2</v>
      </c>
      <c r="AD247" s="231">
        <f>(INDEX(Models!$BJ247:$BT247,,AH247)*(1-AF247)+INDEX(Models!$BJ247:$BT247,,AH247+1)*AF247-ERP_i)*AE247*Ramure*Pc/MaxiM</f>
        <v>1.9733585061369895E-4</v>
      </c>
      <c r="AE247" s="305">
        <f t="shared" si="88"/>
        <v>0.7</v>
      </c>
      <c r="AF247" s="177">
        <f t="shared" si="89"/>
        <v>0.57966144182498258</v>
      </c>
      <c r="AG247" s="810">
        <f t="shared" si="95"/>
        <v>-1</v>
      </c>
      <c r="AH247" s="176">
        <f t="shared" si="90"/>
        <v>5</v>
      </c>
      <c r="AI247" s="225">
        <f t="shared" si="91"/>
        <v>-0.42033855817501736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6">
        <v>43.493000000000002</v>
      </c>
      <c r="C248" s="390"/>
      <c r="D248" s="393">
        <f t="shared" si="74"/>
        <v>44.259811518404575</v>
      </c>
      <c r="E248" s="385">
        <f t="shared" si="96"/>
        <v>49.179458919374518</v>
      </c>
      <c r="F248" s="385">
        <f t="shared" si="75"/>
        <v>49.188297737452039</v>
      </c>
      <c r="G248" s="110">
        <f t="shared" si="97"/>
        <v>0.89806968429814804</v>
      </c>
      <c r="H248" s="414" t="b">
        <f>Wh_hp&gt;='2019'!Maxi_hp</f>
        <v>0</v>
      </c>
      <c r="I248" s="380">
        <f>IF(H248,Wh_hp,'2019'!Maxi_hp)</f>
        <v>55.477484592844142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1.7325232351830255E-2</v>
      </c>
      <c r="M248" s="844"/>
      <c r="N248" s="844"/>
      <c r="O248" s="48">
        <f>IF(t&lt;Tnet,'2019'!Resal+('2019'!Salim-'2019'!Resal)*(1-EXP(('2019'!Tnet-t)/('2019'!Tau_j))),Resal+(Salim-Resal)*(1-EXP((Tnet-t)/(Tau_j))))*Salcycl</f>
        <v>0.10003459796162624</v>
      </c>
      <c r="P248" s="169">
        <f>(INDEX(Models!$BJ248:$BT248,,T248)*(1-R248)+INDEX(Models!$BJ248:$BT248,,T248+1)*R248-ERP_i)*Q248*Ramure*Pc/MaxiM</f>
        <v>2.1030939959162324E-4</v>
      </c>
      <c r="Q248" s="305">
        <f t="shared" si="77"/>
        <v>0.7</v>
      </c>
      <c r="R248" s="177">
        <f t="shared" si="78"/>
        <v>0.58041934130627726</v>
      </c>
      <c r="S248" s="810">
        <f t="shared" si="79"/>
        <v>-1</v>
      </c>
      <c r="T248" s="176">
        <f t="shared" si="80"/>
        <v>5</v>
      </c>
      <c r="U248" s="251">
        <f t="shared" si="81"/>
        <v>-0.41958065869372269</v>
      </c>
      <c r="V248" s="383">
        <f t="shared" si="82"/>
        <v>48.427943782521524</v>
      </c>
      <c r="W248" s="402"/>
      <c r="X248" s="157">
        <f t="shared" si="83"/>
        <v>44064</v>
      </c>
      <c r="Y248" s="385">
        <f t="shared" si="84"/>
        <v>43.493000000000002</v>
      </c>
      <c r="Z248" s="385">
        <f t="shared" si="85"/>
        <v>44.259811518404575</v>
      </c>
      <c r="AA248" s="386">
        <f t="shared" si="86"/>
        <v>49.179458919374518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0.10003459796162624</v>
      </c>
      <c r="AD248" s="231">
        <f>(INDEX(Models!$BJ248:$BT248,,AH248)*(1-AF248)+INDEX(Models!$BJ248:$BT248,,AH248+1)*AF248-ERP_i)*AE248*Ramure*Pc/MaxiM</f>
        <v>2.1030939959162324E-4</v>
      </c>
      <c r="AE248" s="305">
        <f t="shared" si="88"/>
        <v>0.7</v>
      </c>
      <c r="AF248" s="177">
        <f t="shared" si="89"/>
        <v>0.58041934130627726</v>
      </c>
      <c r="AG248" s="810">
        <f t="shared" si="95"/>
        <v>-1</v>
      </c>
      <c r="AH248" s="176">
        <f t="shared" si="90"/>
        <v>5</v>
      </c>
      <c r="AI248" s="225">
        <f t="shared" si="91"/>
        <v>-0.41958065869372269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6">
        <v>35.201000000000001</v>
      </c>
      <c r="C249" s="390"/>
      <c r="D249" s="393">
        <f t="shared" si="74"/>
        <v>35.822451493292746</v>
      </c>
      <c r="E249" s="385">
        <f t="shared" si="96"/>
        <v>39.807746618293848</v>
      </c>
      <c r="F249" s="385">
        <f t="shared" si="75"/>
        <v>39.813244302221328</v>
      </c>
      <c r="G249" s="110">
        <f t="shared" si="97"/>
        <v>0.7305074975762974</v>
      </c>
      <c r="H249" s="414" t="b">
        <f>Wh_hp&gt;='2019'!Maxi_hp</f>
        <v>0</v>
      </c>
      <c r="I249" s="380">
        <f>IF(H249,Wh_hp,'2019'!Maxi_hp)</f>
        <v>52.54696710023925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1.7348100629268948E-2</v>
      </c>
      <c r="M249" s="844"/>
      <c r="N249" s="844"/>
      <c r="O249" s="48">
        <f>IF(t&lt;Tnet,'2019'!Resal+('2019'!Salim-'2019'!Resal)*(1-EXP(('2019'!Tnet-t)/('2019'!Tau_j))),Resal+(Salim-Resal)*(1-EXP((Tnet-t)/(Tau_j))))*Salcycl</f>
        <v>0.10011355737402229</v>
      </c>
      <c r="P249" s="169">
        <f>(INDEX(Models!$BJ249:$BT249,,T249)*(1-R249)+INDEX(Models!$BJ249:$BT249,,T249+1)*R249-ERP_i)*Q249*Ramure*Pc/MaxiM</f>
        <v>2.2449456602544727E-4</v>
      </c>
      <c r="Q249" s="305">
        <f t="shared" si="77"/>
        <v>0.7</v>
      </c>
      <c r="R249" s="177">
        <f t="shared" si="78"/>
        <v>0.58114956713378629</v>
      </c>
      <c r="S249" s="810">
        <f t="shared" si="79"/>
        <v>-1</v>
      </c>
      <c r="T249" s="176">
        <f t="shared" si="80"/>
        <v>5</v>
      </c>
      <c r="U249" s="251">
        <f t="shared" si="81"/>
        <v>-0.41885043286621365</v>
      </c>
      <c r="V249" s="383">
        <f t="shared" si="82"/>
        <v>48.182883895532704</v>
      </c>
      <c r="W249" s="402"/>
      <c r="X249" s="157">
        <f t="shared" si="83"/>
        <v>44065</v>
      </c>
      <c r="Y249" s="385">
        <f t="shared" si="84"/>
        <v>35.201000000000001</v>
      </c>
      <c r="Z249" s="385">
        <f t="shared" si="85"/>
        <v>35.822451493292746</v>
      </c>
      <c r="AA249" s="386">
        <f t="shared" si="86"/>
        <v>39.807746618293848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0.10011355737402229</v>
      </c>
      <c r="AD249" s="231">
        <f>(INDEX(Models!$BJ249:$BT249,,AH249)*(1-AF249)+INDEX(Models!$BJ249:$BT249,,AH249+1)*AF249-ERP_i)*AE249*Ramure*Pc/MaxiM</f>
        <v>2.2449456602544727E-4</v>
      </c>
      <c r="AE249" s="305">
        <f t="shared" si="88"/>
        <v>0.7</v>
      </c>
      <c r="AF249" s="177">
        <f t="shared" si="89"/>
        <v>0.58114956713378629</v>
      </c>
      <c r="AG249" s="810">
        <f t="shared" si="95"/>
        <v>-1</v>
      </c>
      <c r="AH249" s="176">
        <f t="shared" si="90"/>
        <v>5</v>
      </c>
      <c r="AI249" s="225">
        <f t="shared" si="91"/>
        <v>-0.41885043286621365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6">
        <v>38.877000000000002</v>
      </c>
      <c r="C250" s="390"/>
      <c r="D250" s="393">
        <f t="shared" si="74"/>
        <v>39.564269677326187</v>
      </c>
      <c r="E250" s="385">
        <f t="shared" si="96"/>
        <v>43.969683131756874</v>
      </c>
      <c r="F250" s="385">
        <f t="shared" si="75"/>
        <v>43.977385948662523</v>
      </c>
      <c r="G250" s="110">
        <f t="shared" si="97"/>
        <v>0.81099826772181849</v>
      </c>
      <c r="H250" s="414" t="b">
        <f>Wh_hp&gt;='2019'!Maxi_hp</f>
        <v>0</v>
      </c>
      <c r="I250" s="380">
        <f>IF(H250,Wh_hp,'2019'!Maxi_hp)</f>
        <v>52.284492274475099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1.7370968374529339E-2</v>
      </c>
      <c r="M250" s="844"/>
      <c r="N250" s="844"/>
      <c r="O250" s="48">
        <f>IF(t&lt;Tnet,'2019'!Resal+('2019'!Salim-'2019'!Resal)*(1-EXP(('2019'!Tnet-t)/('2019'!Tau_j))),Resal+(Salim-Resal)*(1-EXP((Tnet-t)/(Tau_j))))*Salcycl</f>
        <v>0.10019206736672837</v>
      </c>
      <c r="P250" s="169">
        <f>(INDEX(Models!$BJ250:$BT250,,T250)*(1-R250)+INDEX(Models!$BJ250:$BT250,,T250+1)*R250-ERP_i)*Q250*Ramure*Pc/MaxiM</f>
        <v>2.3991319342442878E-4</v>
      </c>
      <c r="Q250" s="305">
        <f t="shared" si="77"/>
        <v>0.7</v>
      </c>
      <c r="R250" s="177">
        <f t="shared" si="78"/>
        <v>0.58185302437351782</v>
      </c>
      <c r="S250" s="810">
        <f t="shared" si="79"/>
        <v>-1</v>
      </c>
      <c r="T250" s="176">
        <f t="shared" si="80"/>
        <v>5</v>
      </c>
      <c r="U250" s="251">
        <f t="shared" si="81"/>
        <v>-0.41814697562648223</v>
      </c>
      <c r="V250" s="383">
        <f t="shared" si="82"/>
        <v>47.934112148747829</v>
      </c>
      <c r="W250" s="402"/>
      <c r="X250" s="157">
        <f t="shared" si="83"/>
        <v>44066</v>
      </c>
      <c r="Y250" s="385">
        <f t="shared" si="84"/>
        <v>38.877000000000002</v>
      </c>
      <c r="Z250" s="385">
        <f t="shared" si="85"/>
        <v>39.564269677326187</v>
      </c>
      <c r="AA250" s="386">
        <f t="shared" si="86"/>
        <v>43.969683131756874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0.10019206736672837</v>
      </c>
      <c r="AD250" s="231">
        <f>(INDEX(Models!$BJ250:$BT250,,AH250)*(1-AF250)+INDEX(Models!$BJ250:$BT250,,AH250+1)*AF250-ERP_i)*AE250*Ramure*Pc/MaxiM</f>
        <v>2.3991319342442878E-4</v>
      </c>
      <c r="AE250" s="305">
        <f t="shared" si="88"/>
        <v>0.7</v>
      </c>
      <c r="AF250" s="177">
        <f t="shared" si="89"/>
        <v>0.58185302437351782</v>
      </c>
      <c r="AG250" s="810">
        <f t="shared" si="95"/>
        <v>-1</v>
      </c>
      <c r="AH250" s="176">
        <f t="shared" si="90"/>
        <v>5</v>
      </c>
      <c r="AI250" s="225">
        <f t="shared" si="91"/>
        <v>-0.41814697562648223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6">
        <v>44.094000000000001</v>
      </c>
      <c r="C251" s="390"/>
      <c r="D251" s="393">
        <f t="shared" si="74"/>
        <v>44.874540377394588</v>
      </c>
      <c r="E251" s="385">
        <f t="shared" si="96"/>
        <v>49.875569378372326</v>
      </c>
      <c r="F251" s="385">
        <f t="shared" si="75"/>
        <v>49.886993974579291</v>
      </c>
      <c r="G251" s="110">
        <f t="shared" si="97"/>
        <v>0.92473688969257917</v>
      </c>
      <c r="H251" s="414" t="b">
        <f>Wh_hp&gt;='2019'!Maxi_hp</f>
        <v>1</v>
      </c>
      <c r="I251" s="380">
        <f>IF(H251,Wh_hp,'2019'!Maxi_hp)</f>
        <v>49.886993974579291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1.7393835587623863E-2</v>
      </c>
      <c r="M251" s="844"/>
      <c r="N251" s="844"/>
      <c r="O251" s="48">
        <f>IF(t&lt;Tnet,'2019'!Resal+('2019'!Salim-'2019'!Resal)*(1-EXP(('2019'!Tnet-t)/('2019'!Tau_j))),Resal+(Salim-Resal)*(1-EXP((Tnet-t)/(Tau_j))))*Salcycl</f>
        <v>0.10027011347055113</v>
      </c>
      <c r="P251" s="169">
        <f>(INDEX(Models!$BJ251:$BT251,,T251)*(1-R251)+INDEX(Models!$BJ251:$BT251,,T251+1)*R251-ERP_i)*Q251*Ramure*Pc/MaxiM</f>
        <v>2.5658819969623918E-4</v>
      </c>
      <c r="Q251" s="305">
        <f t="shared" si="77"/>
        <v>0.7</v>
      </c>
      <c r="R251" s="177">
        <f t="shared" si="78"/>
        <v>0.58253059650788952</v>
      </c>
      <c r="S251" s="810">
        <f t="shared" si="79"/>
        <v>-1</v>
      </c>
      <c r="T251" s="176">
        <f t="shared" si="80"/>
        <v>5</v>
      </c>
      <c r="U251" s="251">
        <f t="shared" si="81"/>
        <v>-0.41746940349211054</v>
      </c>
      <c r="V251" s="383">
        <f t="shared" si="82"/>
        <v>47.681436912834378</v>
      </c>
      <c r="W251" s="402"/>
      <c r="X251" s="157">
        <f t="shared" si="83"/>
        <v>44067</v>
      </c>
      <c r="Y251" s="385">
        <f t="shared" si="84"/>
        <v>44.094000000000001</v>
      </c>
      <c r="Z251" s="385">
        <f t="shared" si="85"/>
        <v>44.874540377394588</v>
      </c>
      <c r="AA251" s="386">
        <f t="shared" si="86"/>
        <v>49.875569378372326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0.10027011347055113</v>
      </c>
      <c r="AD251" s="231">
        <f>(INDEX(Models!$BJ251:$BT251,,AH251)*(1-AF251)+INDEX(Models!$BJ251:$BT251,,AH251+1)*AF251-ERP_i)*AE251*Ramure*Pc/MaxiM</f>
        <v>2.5658819969623918E-4</v>
      </c>
      <c r="AE251" s="305">
        <f t="shared" si="88"/>
        <v>0.7</v>
      </c>
      <c r="AF251" s="177">
        <f t="shared" si="89"/>
        <v>0.58253059650788952</v>
      </c>
      <c r="AG251" s="810">
        <f t="shared" si="95"/>
        <v>-1</v>
      </c>
      <c r="AH251" s="176">
        <f t="shared" si="90"/>
        <v>5</v>
      </c>
      <c r="AI251" s="225">
        <f t="shared" si="91"/>
        <v>-0.41746940349211054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6">
        <v>45.816000000000003</v>
      </c>
      <c r="C252" s="390"/>
      <c r="D252" s="393">
        <f t="shared" si="74"/>
        <v>46.628107872155873</v>
      </c>
      <c r="E252" s="385">
        <f t="shared" si="96"/>
        <v>51.829030916970616</v>
      </c>
      <c r="F252" s="385">
        <f t="shared" si="75"/>
        <v>51.84257425367344</v>
      </c>
      <c r="G252" s="110">
        <f t="shared" si="97"/>
        <v>0.96606668092266745</v>
      </c>
      <c r="H252" s="414" t="b">
        <f>Wh_hp&gt;='2019'!Maxi_hp</f>
        <v>1</v>
      </c>
      <c r="I252" s="380">
        <f>IF(H252,Wh_hp,'2019'!Maxi_hp)</f>
        <v>51.84257425367344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1.7416702268564954E-2</v>
      </c>
      <c r="M252" s="844"/>
      <c r="N252" s="844"/>
      <c r="O252" s="48">
        <f>IF(t&lt;Tnet,'2019'!Resal+('2019'!Salim-'2019'!Resal)*(1-EXP(('2019'!Tnet-t)/('2019'!Tau_j))),Resal+(Salim-Resal)*(1-EXP((Tnet-t)/(Tau_j))))*Salcycl</f>
        <v>0.10034768068780883</v>
      </c>
      <c r="P252" s="169">
        <f>(INDEX(Models!$BJ252:$BT252,,T252)*(1-R252)+INDEX(Models!$BJ252:$BT252,,T252+1)*R252-ERP_i)*Q252*Ramure*Pc/MaxiM</f>
        <v>2.7454343666803959E-4</v>
      </c>
      <c r="Q252" s="305">
        <f t="shared" si="77"/>
        <v>0.7</v>
      </c>
      <c r="R252" s="177">
        <f t="shared" si="78"/>
        <v>0.58318314530901239</v>
      </c>
      <c r="S252" s="810">
        <f t="shared" si="79"/>
        <v>-1</v>
      </c>
      <c r="T252" s="176">
        <f t="shared" si="80"/>
        <v>5</v>
      </c>
      <c r="U252" s="251">
        <f t="shared" si="81"/>
        <v>-0.41681685469098761</v>
      </c>
      <c r="V252" s="383">
        <f t="shared" si="82"/>
        <v>47.424666661044036</v>
      </c>
      <c r="W252" s="402"/>
      <c r="X252" s="157">
        <f t="shared" si="83"/>
        <v>44068</v>
      </c>
      <c r="Y252" s="385">
        <f t="shared" si="84"/>
        <v>45.816000000000003</v>
      </c>
      <c r="Z252" s="385">
        <f t="shared" si="85"/>
        <v>46.628107872155873</v>
      </c>
      <c r="AA252" s="386">
        <f t="shared" si="86"/>
        <v>51.829030916970616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0.10034768068780883</v>
      </c>
      <c r="AD252" s="231">
        <f>(INDEX(Models!$BJ252:$BT252,,AH252)*(1-AF252)+INDEX(Models!$BJ252:$BT252,,AH252+1)*AF252-ERP_i)*AE252*Ramure*Pc/MaxiM</f>
        <v>2.7454343666803959E-4</v>
      </c>
      <c r="AE252" s="305">
        <f t="shared" si="88"/>
        <v>0.7</v>
      </c>
      <c r="AF252" s="177">
        <f t="shared" si="89"/>
        <v>0.58318314530901239</v>
      </c>
      <c r="AG252" s="810">
        <f t="shared" si="95"/>
        <v>-1</v>
      </c>
      <c r="AH252" s="176">
        <f t="shared" si="90"/>
        <v>5</v>
      </c>
      <c r="AI252" s="225">
        <f t="shared" si="91"/>
        <v>-0.41681685469098761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6">
        <v>26.495999999999999</v>
      </c>
      <c r="C253" s="390"/>
      <c r="D253" s="393">
        <f t="shared" si="74"/>
        <v>26.9662802900807</v>
      </c>
      <c r="E253" s="385">
        <f t="shared" si="96"/>
        <v>29.97668109996097</v>
      </c>
      <c r="F253" s="385">
        <f t="shared" si="75"/>
        <v>29.979975241917764</v>
      </c>
      <c r="G253" s="110">
        <f t="shared" si="97"/>
        <v>0.56168571882205165</v>
      </c>
      <c r="H253" s="414" t="b">
        <f>Wh_hp&gt;='2019'!Maxi_hp</f>
        <v>0</v>
      </c>
      <c r="I253" s="380">
        <f>IF(H253,Wh_hp,'2019'!Maxi_hp)</f>
        <v>32.300492340431333</v>
      </c>
      <c r="J253" s="85">
        <f>IF(H253,An,'2019'!An_max)</f>
        <v>2019</v>
      </c>
      <c r="K253" s="197">
        <f t="shared" si="76"/>
        <v>44069</v>
      </c>
      <c r="L253" s="147">
        <f>IF(t&lt;Tvie,1-EXP((T0-t)*PertePVj)+'2019'!Pspv,1-EXP((T0-t)*PertePVj)+Pspv)</f>
        <v>1.7439568417364937E-2</v>
      </c>
      <c r="M253" s="844"/>
      <c r="N253" s="844"/>
      <c r="O253" s="48">
        <f>IF(t&lt;Tnet,'2019'!Resal+('2019'!Salim-'2019'!Resal)*(1-EXP(('2019'!Tnet-t)/('2019'!Tau_j))),Resal+(Salim-Resal)*(1-EXP((Tnet-t)/(Tau_j))))*Salcycl</f>
        <v>0.1004247534889441</v>
      </c>
      <c r="P253" s="169">
        <f>(INDEX(Models!$BJ253:$BT253,,T253)*(1-R253)+INDEX(Models!$BJ253:$BT253,,T253+1)*R253-ERP_i)*Q253*Ramure*Pc/MaxiM</f>
        <v>2.9380392331666833E-4</v>
      </c>
      <c r="Q253" s="305">
        <f t="shared" si="77"/>
        <v>0.7</v>
      </c>
      <c r="R253" s="177">
        <f t="shared" si="78"/>
        <v>0.58381151077721016</v>
      </c>
      <c r="S253" s="810">
        <f t="shared" si="79"/>
        <v>-1</v>
      </c>
      <c r="T253" s="176">
        <f t="shared" si="80"/>
        <v>5</v>
      </c>
      <c r="U253" s="251">
        <f t="shared" si="81"/>
        <v>-0.41618848922278984</v>
      </c>
      <c r="V253" s="383">
        <f t="shared" si="82"/>
        <v>47.163609964557565</v>
      </c>
      <c r="W253" s="402"/>
      <c r="X253" s="157">
        <f t="shared" si="83"/>
        <v>44069</v>
      </c>
      <c r="Y253" s="385">
        <f t="shared" si="84"/>
        <v>26.495999999999999</v>
      </c>
      <c r="Z253" s="385">
        <f t="shared" si="85"/>
        <v>26.9662802900807</v>
      </c>
      <c r="AA253" s="386">
        <f t="shared" si="86"/>
        <v>29.97668109996097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0.1004247534889441</v>
      </c>
      <c r="AD253" s="231">
        <f>(INDEX(Models!$BJ253:$BT253,,AH253)*(1-AF253)+INDEX(Models!$BJ253:$BT253,,AH253+1)*AF253-ERP_i)*AE253*Ramure*Pc/MaxiM</f>
        <v>2.9380392331666833E-4</v>
      </c>
      <c r="AE253" s="305">
        <f t="shared" si="88"/>
        <v>0.7</v>
      </c>
      <c r="AF253" s="177">
        <f t="shared" si="89"/>
        <v>0.58381151077721016</v>
      </c>
      <c r="AG253" s="810">
        <f t="shared" si="95"/>
        <v>-1</v>
      </c>
      <c r="AH253" s="176">
        <f t="shared" si="90"/>
        <v>5</v>
      </c>
      <c r="AI253" s="225">
        <f t="shared" si="91"/>
        <v>-0.41618848922278984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6">
        <v>43.814</v>
      </c>
      <c r="C254" s="390"/>
      <c r="D254" s="393">
        <f t="shared" si="74"/>
        <v>44.592697030291227</v>
      </c>
      <c r="E254" s="385">
        <f t="shared" si="96"/>
        <v>49.575055320883003</v>
      </c>
      <c r="F254" s="385">
        <f t="shared" si="75"/>
        <v>49.589202389207536</v>
      </c>
      <c r="G254" s="110">
        <f t="shared" si="97"/>
        <v>0.93421155823420921</v>
      </c>
      <c r="H254" s="414" t="b">
        <f>Wh_hp&gt;='2019'!Maxi_hp</f>
        <v>1</v>
      </c>
      <c r="I254" s="380">
        <f>IF(H254,Wh_hp,'2019'!Maxi_hp)</f>
        <v>49.589202389207536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1.7462434034036245E-2</v>
      </c>
      <c r="M254" s="844"/>
      <c r="N254" s="844"/>
      <c r="O254" s="48">
        <f>IF(t&lt;Tnet,'2019'!Resal+('2019'!Salim-'2019'!Resal)*(1-EXP(('2019'!Tnet-t)/('2019'!Tau_j))),Resal+(Salim-Resal)*(1-EXP((Tnet-t)/(Tau_j))))*Salcycl</f>
        <v>0.10050131579970231</v>
      </c>
      <c r="P254" s="169">
        <f>(INDEX(Models!$BJ254:$BT254,,T254)*(1-R254)+INDEX(Models!$BJ254:$BT254,,T254+1)*R254-ERP_i)*Q254*Ramure*Pc/MaxiM</f>
        <v>3.1486492695015957E-4</v>
      </c>
      <c r="Q254" s="305">
        <f t="shared" si="77"/>
        <v>0.7</v>
      </c>
      <c r="R254" s="177">
        <f t="shared" si="78"/>
        <v>0.58441651113925808</v>
      </c>
      <c r="S254" s="810">
        <f t="shared" si="79"/>
        <v>-1</v>
      </c>
      <c r="T254" s="176">
        <f t="shared" si="80"/>
        <v>5</v>
      </c>
      <c r="U254" s="251">
        <f t="shared" si="81"/>
        <v>-0.41558348886074198</v>
      </c>
      <c r="V254" s="383">
        <f t="shared" si="82"/>
        <v>46.898053487259297</v>
      </c>
      <c r="W254" s="402"/>
      <c r="X254" s="157">
        <f t="shared" si="83"/>
        <v>44070</v>
      </c>
      <c r="Y254" s="385">
        <f t="shared" si="84"/>
        <v>43.814</v>
      </c>
      <c r="Z254" s="385">
        <f t="shared" si="85"/>
        <v>44.592697030291227</v>
      </c>
      <c r="AA254" s="386">
        <f t="shared" si="86"/>
        <v>49.575055320883003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0.10050131579970231</v>
      </c>
      <c r="AD254" s="231">
        <f>(INDEX(Models!$BJ254:$BT254,,AH254)*(1-AF254)+INDEX(Models!$BJ254:$BT254,,AH254+1)*AF254-ERP_i)*AE254*Ramure*Pc/MaxiM</f>
        <v>3.1486492695015957E-4</v>
      </c>
      <c r="AE254" s="305">
        <f t="shared" si="88"/>
        <v>0.7</v>
      </c>
      <c r="AF254" s="177">
        <f t="shared" si="89"/>
        <v>0.58441651113925808</v>
      </c>
      <c r="AG254" s="810">
        <f t="shared" si="95"/>
        <v>-1</v>
      </c>
      <c r="AH254" s="176">
        <f t="shared" si="90"/>
        <v>5</v>
      </c>
      <c r="AI254" s="225">
        <f t="shared" si="91"/>
        <v>-0.41558348886074198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6">
        <v>9.1270000000000007</v>
      </c>
      <c r="C255" s="390"/>
      <c r="D255" s="393">
        <f t="shared" si="74"/>
        <v>9.2894284348236393</v>
      </c>
      <c r="E255" s="385">
        <f t="shared" si="96"/>
        <v>10.328212709498912</v>
      </c>
      <c r="F255" s="385">
        <f t="shared" si="75"/>
        <v>10.328212709498912</v>
      </c>
      <c r="G255" s="110">
        <f t="shared" si="97"/>
        <v>0.19567545697171376</v>
      </c>
      <c r="H255" s="414" t="b">
        <f>Wh_hp&gt;='2019'!Maxi_hp</f>
        <v>0</v>
      </c>
      <c r="I255" s="380">
        <f>IF(H255,Wh_hp,'2019'!Maxi_hp)</f>
        <v>49.611104047266693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1.7485299118591313E-2</v>
      </c>
      <c r="M255" s="844"/>
      <c r="N255" s="844"/>
      <c r="O255" s="48">
        <f>IF(t&lt;Tnet,'2019'!Resal+('2019'!Salim-'2019'!Resal)*(1-EXP(('2019'!Tnet-t)/('2019'!Tau_j))),Resal+(Salim-Resal)*(1-EXP((Tnet-t)/(Tau_j))))*Salcycl</f>
        <v>0.10057735097960341</v>
      </c>
      <c r="P255" s="169">
        <f>(INDEX(Models!$BJ255:$BT255,,T255)*(1-R255)+INDEX(Models!$BJ255:$BT255,,T255+1)*R255-ERP_i)*Q255*Ramure*Pc/MaxiM</f>
        <v>3.3736581227808069E-4</v>
      </c>
      <c r="Q255" s="305">
        <f t="shared" si="77"/>
        <v>0.7</v>
      </c>
      <c r="R255" s="177">
        <f t="shared" si="78"/>
        <v>0.58499894290109378</v>
      </c>
      <c r="S255" s="810">
        <f t="shared" si="79"/>
        <v>-1</v>
      </c>
      <c r="T255" s="176">
        <f t="shared" si="80"/>
        <v>5</v>
      </c>
      <c r="U255" s="251">
        <f t="shared" si="81"/>
        <v>-0.41500105709890628</v>
      </c>
      <c r="V255" s="383">
        <f t="shared" si="82"/>
        <v>46.627824477498287</v>
      </c>
      <c r="W255" s="402"/>
      <c r="X255" s="157">
        <f t="shared" si="83"/>
        <v>44071</v>
      </c>
      <c r="Y255" s="385">
        <f t="shared" si="84"/>
        <v>9.1270000000000007</v>
      </c>
      <c r="Z255" s="385">
        <f t="shared" si="85"/>
        <v>9.2894284348236393</v>
      </c>
      <c r="AA255" s="386">
        <f t="shared" si="86"/>
        <v>10.328212709498912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0.10057735097960341</v>
      </c>
      <c r="AD255" s="231">
        <f>(INDEX(Models!$BJ255:$BT255,,AH255)*(1-AF255)+INDEX(Models!$BJ255:$BT255,,AH255+1)*AF255-ERP_i)*AE255*Ramure*Pc/MaxiM</f>
        <v>3.3736581227808069E-4</v>
      </c>
      <c r="AE255" s="305">
        <f t="shared" si="88"/>
        <v>0.7</v>
      </c>
      <c r="AF255" s="177">
        <f t="shared" si="89"/>
        <v>0.58499894290109378</v>
      </c>
      <c r="AG255" s="810">
        <f t="shared" si="95"/>
        <v>-1</v>
      </c>
      <c r="AH255" s="176">
        <f t="shared" si="90"/>
        <v>5</v>
      </c>
      <c r="AI255" s="225">
        <f t="shared" si="91"/>
        <v>-0.41500105709890628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6">
        <v>21.173999999999999</v>
      </c>
      <c r="C256" s="390"/>
      <c r="D256" s="393">
        <f t="shared" si="74"/>
        <v>21.55132410984281</v>
      </c>
      <c r="E256" s="385">
        <f t="shared" si="96"/>
        <v>23.963298169306693</v>
      </c>
      <c r="F256" s="385">
        <f t="shared" si="75"/>
        <v>23.965237924382549</v>
      </c>
      <c r="G256" s="110">
        <f t="shared" si="97"/>
        <v>0.45667345974841411</v>
      </c>
      <c r="H256" s="414" t="b">
        <f>Wh_hp&gt;='2019'!Maxi_hp</f>
        <v>0</v>
      </c>
      <c r="I256" s="380">
        <f>IF(H256,Wh_hp,'2019'!Maxi_hp)</f>
        <v>48.613473749308483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1.7508163671042465E-2</v>
      </c>
      <c r="M256" s="844"/>
      <c r="N256" s="844"/>
      <c r="O256" s="48">
        <f>IF(t&lt;Tnet,'2019'!Resal+('2019'!Salim-'2019'!Resal)*(1-EXP(('2019'!Tnet-t)/('2019'!Tau_j))),Resal+(Salim-Resal)*(1-EXP((Tnet-t)/(Tau_j))))*Salcycl</f>
        <v>0.10065284179258982</v>
      </c>
      <c r="P256" s="169">
        <f>(INDEX(Models!$BJ256:$BT256,,T256)*(1-R256)+INDEX(Models!$BJ256:$BT256,,T256+1)*R256-ERP_i)*Q256*Ramure*Pc/MaxiM</f>
        <v>3.613373243127522E-4</v>
      </c>
      <c r="Q256" s="305">
        <f t="shared" si="77"/>
        <v>0.7</v>
      </c>
      <c r="R256" s="177">
        <f t="shared" si="78"/>
        <v>0.58555958095003346</v>
      </c>
      <c r="S256" s="810">
        <f t="shared" si="79"/>
        <v>-1</v>
      </c>
      <c r="T256" s="176">
        <f t="shared" si="80"/>
        <v>5</v>
      </c>
      <c r="U256" s="251">
        <f t="shared" si="81"/>
        <v>-0.41444041904996654</v>
      </c>
      <c r="V256" s="383">
        <f t="shared" si="82"/>
        <v>46.35273178745171</v>
      </c>
      <c r="W256" s="402"/>
      <c r="X256" s="157">
        <f t="shared" si="83"/>
        <v>44072</v>
      </c>
      <c r="Y256" s="385">
        <f t="shared" si="84"/>
        <v>21.173999999999999</v>
      </c>
      <c r="Z256" s="385">
        <f t="shared" si="85"/>
        <v>21.55132410984281</v>
      </c>
      <c r="AA256" s="386">
        <f t="shared" si="86"/>
        <v>23.963298169306693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0.10065284179258982</v>
      </c>
      <c r="AD256" s="231">
        <f>(INDEX(Models!$BJ256:$BT256,,AH256)*(1-AF256)+INDEX(Models!$BJ256:$BT256,,AH256+1)*AF256-ERP_i)*AE256*Ramure*Pc/MaxiM</f>
        <v>3.613373243127522E-4</v>
      </c>
      <c r="AE256" s="305">
        <f t="shared" si="88"/>
        <v>0.7</v>
      </c>
      <c r="AF256" s="177">
        <f t="shared" si="89"/>
        <v>0.58555958095003346</v>
      </c>
      <c r="AG256" s="810">
        <f t="shared" si="95"/>
        <v>-1</v>
      </c>
      <c r="AH256" s="176">
        <f t="shared" si="90"/>
        <v>5</v>
      </c>
      <c r="AI256" s="225">
        <f t="shared" si="91"/>
        <v>-0.41444041904996654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6">
        <v>31.466000000000001</v>
      </c>
      <c r="C257" s="390"/>
      <c r="D257" s="393">
        <f t="shared" si="74"/>
        <v>32.027474543100773</v>
      </c>
      <c r="E257" s="385">
        <f t="shared" si="96"/>
        <v>35.614882221270996</v>
      </c>
      <c r="F257" s="385">
        <f t="shared" si="75"/>
        <v>35.622420726160875</v>
      </c>
      <c r="G257" s="110">
        <f t="shared" si="97"/>
        <v>0.68284613854859555</v>
      </c>
      <c r="H257" s="414" t="b">
        <f>Wh_hp&gt;='2019'!Maxi_hp</f>
        <v>0</v>
      </c>
      <c r="I257" s="380">
        <f>IF(H257,Wh_hp,'2019'!Maxi_hp)</f>
        <v>46.133336599982165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1.7531027691402024E-2</v>
      </c>
      <c r="M257" s="844"/>
      <c r="N257" s="844"/>
      <c r="O257" s="48">
        <f>IF(t&lt;Tnet,'2019'!Resal+('2019'!Salim-'2019'!Resal)*(1-EXP(('2019'!Tnet-t)/('2019'!Tau_j))),Resal+(Salim-Resal)*(1-EXP((Tnet-t)/(Tau_j))))*Salcycl</f>
        <v>0.10072777037088285</v>
      </c>
      <c r="P257" s="169">
        <f>(INDEX(Models!$BJ257:$BT257,,T257)*(1-R257)+INDEX(Models!$BJ257:$BT257,,T257+1)*R257-ERP_i)*Q257*Ramure*Pc/MaxiM</f>
        <v>3.8681190003395473E-4</v>
      </c>
      <c r="Q257" s="305">
        <f t="shared" si="77"/>
        <v>0.7</v>
      </c>
      <c r="R257" s="177">
        <f t="shared" si="78"/>
        <v>0.58609917870179362</v>
      </c>
      <c r="S257" s="810">
        <f t="shared" si="79"/>
        <v>-1</v>
      </c>
      <c r="T257" s="176">
        <f t="shared" si="80"/>
        <v>5</v>
      </c>
      <c r="U257" s="251">
        <f t="shared" si="81"/>
        <v>-0.41390082129820638</v>
      </c>
      <c r="V257" s="383">
        <f t="shared" si="82"/>
        <v>46.07258435941111</v>
      </c>
      <c r="W257" s="402"/>
      <c r="X257" s="157">
        <f t="shared" si="83"/>
        <v>44073</v>
      </c>
      <c r="Y257" s="385">
        <f t="shared" si="84"/>
        <v>31.466000000000001</v>
      </c>
      <c r="Z257" s="385">
        <f t="shared" si="85"/>
        <v>32.027474543100773</v>
      </c>
      <c r="AA257" s="386">
        <f t="shared" si="86"/>
        <v>35.614882221270996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0.10072777037088285</v>
      </c>
      <c r="AD257" s="231">
        <f>(INDEX(Models!$BJ257:$BT257,,AH257)*(1-AF257)+INDEX(Models!$BJ257:$BT257,,AH257+1)*AF257-ERP_i)*AE257*Ramure*Pc/MaxiM</f>
        <v>3.8681190003395473E-4</v>
      </c>
      <c r="AE257" s="305">
        <f t="shared" si="88"/>
        <v>0.7</v>
      </c>
      <c r="AF257" s="177">
        <f t="shared" si="89"/>
        <v>0.58609917870179362</v>
      </c>
      <c r="AG257" s="810">
        <f t="shared" si="95"/>
        <v>-1</v>
      </c>
      <c r="AH257" s="176">
        <f t="shared" si="90"/>
        <v>5</v>
      </c>
      <c r="AI257" s="225">
        <f t="shared" si="91"/>
        <v>-0.41390082129820638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6">
        <v>43.505000000000003</v>
      </c>
      <c r="C258" s="390"/>
      <c r="D258" s="393">
        <f t="shared" si="74"/>
        <v>44.282327152009472</v>
      </c>
      <c r="E258" s="385">
        <f t="shared" si="96"/>
        <v>49.246476272883022</v>
      </c>
      <c r="F258" s="385">
        <f t="shared" si="75"/>
        <v>49.265411804235086</v>
      </c>
      <c r="G258" s="110">
        <f t="shared" si="97"/>
        <v>0.95012854929603296</v>
      </c>
      <c r="H258" s="414" t="b">
        <f>Wh_hp&gt;='2019'!Maxi_hp</f>
        <v>1</v>
      </c>
      <c r="I258" s="380">
        <f>IF(H258,Wh_hp,'2019'!Maxi_hp)</f>
        <v>49.265411804235086</v>
      </c>
      <c r="J258" s="85">
        <f>IF(H258,An,'2019'!An_max)</f>
        <v>2020</v>
      </c>
      <c r="K258" s="197">
        <f t="shared" si="76"/>
        <v>44074</v>
      </c>
      <c r="L258" s="147">
        <f>IF(t&lt;Tvie,1-EXP((T0-t)*PertePVj)+'2019'!Pspv,1-EXP((T0-t)*PertePVj)+Pspv)</f>
        <v>1.7553891179682424E-2</v>
      </c>
      <c r="M258" s="844"/>
      <c r="N258" s="844"/>
      <c r="O258" s="48">
        <f>IF(t&lt;Tnet,'2019'!Resal+('2019'!Salim-'2019'!Resal)*(1-EXP(('2019'!Tnet-t)/('2019'!Tau_j))),Resal+(Salim-Resal)*(1-EXP((Tnet-t)/(Tau_j))))*Salcycl</f>
        <v>0.10080211817321426</v>
      </c>
      <c r="P258" s="169">
        <f>(INDEX(Models!$BJ258:$BT258,,T258)*(1-R258)+INDEX(Models!$BJ258:$BT258,,T258+1)*R258-ERP_i)*Q258*Ramure*Pc/MaxiM</f>
        <v>4.1382380703796495E-4</v>
      </c>
      <c r="Q258" s="305">
        <f t="shared" si="77"/>
        <v>0.7</v>
      </c>
      <c r="R258" s="177">
        <f t="shared" si="78"/>
        <v>0.58661846828789077</v>
      </c>
      <c r="S258" s="810">
        <f t="shared" si="79"/>
        <v>-1</v>
      </c>
      <c r="T258" s="176">
        <f t="shared" si="80"/>
        <v>5</v>
      </c>
      <c r="U258" s="251">
        <f t="shared" si="81"/>
        <v>-0.41338153171210917</v>
      </c>
      <c r="V258" s="383">
        <f t="shared" si="82"/>
        <v>45.787191226253213</v>
      </c>
      <c r="W258" s="402"/>
      <c r="X258" s="157">
        <f t="shared" si="83"/>
        <v>44074</v>
      </c>
      <c r="Y258" s="385">
        <f t="shared" si="84"/>
        <v>43.505000000000003</v>
      </c>
      <c r="Z258" s="385">
        <f t="shared" si="85"/>
        <v>44.282327152009472</v>
      </c>
      <c r="AA258" s="386">
        <f t="shared" si="86"/>
        <v>49.246476272883022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0.10080211817321426</v>
      </c>
      <c r="AD258" s="231">
        <f>(INDEX(Models!$BJ258:$BT258,,AH258)*(1-AF258)+INDEX(Models!$BJ258:$BT258,,AH258+1)*AF258-ERP_i)*AE258*Ramure*Pc/MaxiM</f>
        <v>4.1382380703796495E-4</v>
      </c>
      <c r="AE258" s="305">
        <f t="shared" si="88"/>
        <v>0.7</v>
      </c>
      <c r="AF258" s="177">
        <f t="shared" si="89"/>
        <v>0.58661846828789077</v>
      </c>
      <c r="AG258" s="810">
        <f t="shared" si="95"/>
        <v>-1</v>
      </c>
      <c r="AH258" s="176">
        <f t="shared" si="90"/>
        <v>5</v>
      </c>
      <c r="AI258" s="225">
        <f t="shared" si="91"/>
        <v>-0.41338153171210917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6">
        <v>43.207000000000001</v>
      </c>
      <c r="C259" s="390"/>
      <c r="D259" s="393">
        <f t="shared" si="74"/>
        <v>43.98002610575108</v>
      </c>
      <c r="E259" s="385">
        <f t="shared" si="96"/>
        <v>48.914298303946644</v>
      </c>
      <c r="F259" s="385">
        <f t="shared" si="75"/>
        <v>48.93439108775992</v>
      </c>
      <c r="G259" s="110">
        <f t="shared" si="97"/>
        <v>0.9496501235144007</v>
      </c>
      <c r="H259" s="414" t="b">
        <f>Wh_hp&gt;='2019'!Maxi_hp</f>
        <v>0</v>
      </c>
      <c r="I259" s="380">
        <f>IF(H259,Wh_hp,'2019'!Maxi_hp)</f>
        <v>50.515118630968004</v>
      </c>
      <c r="J259" s="85">
        <f>IF(H259,An,'2019'!An_max)</f>
        <v>2019</v>
      </c>
      <c r="K259" s="197">
        <f t="shared" si="76"/>
        <v>44075</v>
      </c>
      <c r="L259" s="147">
        <f>IF(t&lt;Tvie,1-EXP((T0-t)*PertePVj)+'2019'!Pspv,1-EXP((T0-t)*PertePVj)+Pspv)</f>
        <v>1.75767541358961E-2</v>
      </c>
      <c r="M259" s="844"/>
      <c r="N259" s="844"/>
      <c r="O259" s="48">
        <f>IF(t&lt;Tnet,'2019'!Resal+('2019'!Salim-'2019'!Resal)*(1-EXP(('2019'!Tnet-t)/('2019'!Tau_j))),Resal+(Salim-Resal)*(1-EXP((Tnet-t)/(Tau_j))))*Salcycl</f>
        <v>0.10087586593872164</v>
      </c>
      <c r="P259" s="169">
        <f>(INDEX(Models!$BJ259:$BT259,,T259)*(1-R259)+INDEX(Models!$BJ259:$BT259,,T259+1)*R259-ERP_i)*Q259*Ramure*Pc/MaxiM</f>
        <v>4.4240929135112947E-4</v>
      </c>
      <c r="Q259" s="305">
        <f t="shared" si="77"/>
        <v>0.7</v>
      </c>
      <c r="R259" s="177">
        <f t="shared" si="78"/>
        <v>0.58711816077925616</v>
      </c>
      <c r="S259" s="810">
        <f t="shared" si="79"/>
        <v>-1</v>
      </c>
      <c r="T259" s="176">
        <f t="shared" si="80"/>
        <v>5</v>
      </c>
      <c r="U259" s="251">
        <f t="shared" si="81"/>
        <v>-0.4128818392207439</v>
      </c>
      <c r="V259" s="383">
        <f t="shared" si="82"/>
        <v>45.496361519606666</v>
      </c>
      <c r="W259" s="402"/>
      <c r="X259" s="157">
        <f t="shared" si="83"/>
        <v>44075</v>
      </c>
      <c r="Y259" s="385">
        <f t="shared" si="84"/>
        <v>43.207000000000001</v>
      </c>
      <c r="Z259" s="385">
        <f t="shared" si="85"/>
        <v>43.98002610575108</v>
      </c>
      <c r="AA259" s="386">
        <f t="shared" si="86"/>
        <v>48.914298303946644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0.10087586593872164</v>
      </c>
      <c r="AD259" s="231">
        <f>(INDEX(Models!$BJ259:$BT259,,AH259)*(1-AF259)+INDEX(Models!$BJ259:$BT259,,AH259+1)*AF259-ERP_i)*AE259*Ramure*Pc/MaxiM</f>
        <v>4.4240929135112947E-4</v>
      </c>
      <c r="AE259" s="305">
        <f t="shared" si="88"/>
        <v>0.7</v>
      </c>
      <c r="AF259" s="177">
        <f t="shared" si="89"/>
        <v>0.58711816077925616</v>
      </c>
      <c r="AG259" s="810">
        <f t="shared" si="95"/>
        <v>-1</v>
      </c>
      <c r="AH259" s="176">
        <f t="shared" si="90"/>
        <v>5</v>
      </c>
      <c r="AI259" s="225">
        <f t="shared" si="91"/>
        <v>-0.4128818392207439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6">
        <v>46.174999999999997</v>
      </c>
      <c r="C260" s="390"/>
      <c r="D260" s="393">
        <f t="shared" si="74"/>
        <v>47.002221068272547</v>
      </c>
      <c r="E260" s="385">
        <f t="shared" si="96"/>
        <v>52.279815867690694</v>
      </c>
      <c r="F260" s="385">
        <f t="shared" si="75"/>
        <v>52.304535343399913</v>
      </c>
      <c r="G260" s="110">
        <f t="shared" si="97"/>
        <v>1.0215729559257796</v>
      </c>
      <c r="H260" s="414" t="b">
        <f>Wh_hp&gt;='2019'!Maxi_hp</f>
        <v>1</v>
      </c>
      <c r="I260" s="380">
        <f>IF(H260,Wh_hp,'2019'!Maxi_hp)</f>
        <v>52.304535343399913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1.7599616560055265E-2</v>
      </c>
      <c r="M260" s="844"/>
      <c r="N260" s="844"/>
      <c r="O260" s="48">
        <f>IF(t&lt;Tnet,'2019'!Resal+('2019'!Salim-'2019'!Resal)*(1-EXP(('2019'!Tnet-t)/('2019'!Tau_j))),Resal+(Salim-Resal)*(1-EXP((Tnet-t)/(Tau_j))))*Salcycl</f>
        <v>0.10094899363790114</v>
      </c>
      <c r="P260" s="169">
        <f>(INDEX(Models!$BJ260:$BT260,,T260)*(1-R260)+INDEX(Models!$BJ260:$BT260,,T260+1)*R260-ERP_i)*Q260*Ramure*Pc/MaxiM</f>
        <v>4.7260673566686107E-4</v>
      </c>
      <c r="Q260" s="305">
        <f t="shared" si="77"/>
        <v>0.7</v>
      </c>
      <c r="R260" s="177">
        <f t="shared" si="78"/>
        <v>0.58759894644215649</v>
      </c>
      <c r="S260" s="810">
        <f t="shared" si="79"/>
        <v>-1</v>
      </c>
      <c r="T260" s="176">
        <f t="shared" si="80"/>
        <v>5</v>
      </c>
      <c r="U260" s="251">
        <f t="shared" si="81"/>
        <v>-0.41240105355784351</v>
      </c>
      <c r="V260" s="383">
        <f t="shared" si="82"/>
        <v>45.199904453377833</v>
      </c>
      <c r="W260" s="402"/>
      <c r="X260" s="157">
        <f t="shared" si="83"/>
        <v>44076</v>
      </c>
      <c r="Y260" s="385">
        <f t="shared" si="84"/>
        <v>46.174999999999997</v>
      </c>
      <c r="Z260" s="385">
        <f t="shared" si="85"/>
        <v>47.002221068272547</v>
      </c>
      <c r="AA260" s="386">
        <f t="shared" si="86"/>
        <v>52.279815867690694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0.10094899363790114</v>
      </c>
      <c r="AD260" s="231">
        <f>(INDEX(Models!$BJ260:$BT260,,AH260)*(1-AF260)+INDEX(Models!$BJ260:$BT260,,AH260+1)*AF260-ERP_i)*AE260*Ramure*Pc/MaxiM</f>
        <v>4.7260673566686107E-4</v>
      </c>
      <c r="AE260" s="305">
        <f t="shared" si="88"/>
        <v>0.7</v>
      </c>
      <c r="AF260" s="177">
        <f t="shared" si="89"/>
        <v>0.58759894644215649</v>
      </c>
      <c r="AG260" s="810">
        <f t="shared" si="95"/>
        <v>-1</v>
      </c>
      <c r="AH260" s="176">
        <f t="shared" si="90"/>
        <v>5</v>
      </c>
      <c r="AI260" s="225">
        <f t="shared" si="91"/>
        <v>-0.41240105355784351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6">
        <v>44.235999999999997</v>
      </c>
      <c r="C261" s="390"/>
      <c r="D261" s="393">
        <f t="shared" si="74"/>
        <v>45.029531956616893</v>
      </c>
      <c r="E261" s="385">
        <f t="shared" si="96"/>
        <v>50.089663964117683</v>
      </c>
      <c r="F261" s="385">
        <f t="shared" si="75"/>
        <v>50.114412791264087</v>
      </c>
      <c r="G261" s="110">
        <f t="shared" si="97"/>
        <v>0.98526090789837506</v>
      </c>
      <c r="H261" s="414" t="b">
        <f>Wh_hp&gt;='2019'!Maxi_hp</f>
        <v>0</v>
      </c>
      <c r="I261" s="380">
        <f>IF(H261,Wh_hp,'2019'!Maxi_hp)</f>
        <v>50.854678643962053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1.7622478452172574E-2</v>
      </c>
      <c r="M261" s="844"/>
      <c r="N261" s="844"/>
      <c r="O261" s="48">
        <f>IF(t&lt;Tnet,'2019'!Resal+('2019'!Salim-'2019'!Resal)*(1-EXP(('2019'!Tnet-t)/('2019'!Tau_j))),Resal+(Salim-Resal)*(1-EXP((Tnet-t)/(Tau_j))))*Salcycl</f>
        <v>0.10102148042210217</v>
      </c>
      <c r="P261" s="169">
        <f>(INDEX(Models!$BJ261:$BT261,,T261)*(1-R261)+INDEX(Models!$BJ261:$BT261,,T261+1)*R261-ERP_i)*Q261*Ramure*Pc/MaxiM</f>
        <v>5.0446080439702173E-4</v>
      </c>
      <c r="Q261" s="305">
        <f t="shared" si="77"/>
        <v>0.7</v>
      </c>
      <c r="R261" s="177">
        <f t="shared" si="78"/>
        <v>0.58806149502276783</v>
      </c>
      <c r="S261" s="810">
        <f t="shared" si="79"/>
        <v>-1</v>
      </c>
      <c r="T261" s="176">
        <f t="shared" si="80"/>
        <v>5</v>
      </c>
      <c r="U261" s="251">
        <f t="shared" si="81"/>
        <v>-0.41193850497723211</v>
      </c>
      <c r="V261" s="383">
        <f t="shared" si="82"/>
        <v>44.897275309349169</v>
      </c>
      <c r="W261" s="402"/>
      <c r="X261" s="157">
        <f t="shared" si="83"/>
        <v>44077</v>
      </c>
      <c r="Y261" s="385">
        <f t="shared" si="84"/>
        <v>44.235999999999997</v>
      </c>
      <c r="Z261" s="385">
        <f t="shared" si="85"/>
        <v>45.029531956616893</v>
      </c>
      <c r="AA261" s="386">
        <f t="shared" si="86"/>
        <v>50.089663964117683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0.10102148042210217</v>
      </c>
      <c r="AD261" s="231">
        <f>(INDEX(Models!$BJ261:$BT261,,AH261)*(1-AF261)+INDEX(Models!$BJ261:$BT261,,AH261+1)*AF261-ERP_i)*AE261*Ramure*Pc/MaxiM</f>
        <v>5.0446080439702173E-4</v>
      </c>
      <c r="AE261" s="305">
        <f t="shared" si="88"/>
        <v>0.7</v>
      </c>
      <c r="AF261" s="177">
        <f t="shared" si="89"/>
        <v>0.58806149502276783</v>
      </c>
      <c r="AG261" s="810">
        <f t="shared" si="95"/>
        <v>-1</v>
      </c>
      <c r="AH261" s="176">
        <f t="shared" si="90"/>
        <v>5</v>
      </c>
      <c r="AI261" s="225">
        <f t="shared" si="91"/>
        <v>-0.41193850497723211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6">
        <v>44.508000000000003</v>
      </c>
      <c r="C262" s="390"/>
      <c r="D262" s="393">
        <f t="shared" si="74"/>
        <v>45.307465627021088</v>
      </c>
      <c r="E262" s="385">
        <f t="shared" si="96"/>
        <v>50.402857001198534</v>
      </c>
      <c r="F262" s="385">
        <f t="shared" si="75"/>
        <v>50.429886494595955</v>
      </c>
      <c r="G262" s="110">
        <f t="shared" si="97"/>
        <v>0.99819669493921848</v>
      </c>
      <c r="H262" s="414" t="b">
        <f>Wh_hp&gt;='2019'!Maxi_hp</f>
        <v>1</v>
      </c>
      <c r="I262" s="380">
        <f>IF(H262,Wh_hp,'2019'!Maxi_hp)</f>
        <v>50.429886494595955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1.764533981226013E-2</v>
      </c>
      <c r="M262" s="844"/>
      <c r="N262" s="844"/>
      <c r="O262" s="48">
        <f>IF(t&lt;Tnet,'2019'!Resal+('2019'!Salim-'2019'!Resal)*(1-EXP(('2019'!Tnet-t)/('2019'!Tau_j))),Resal+(Salim-Resal)*(1-EXP((Tnet-t)/(Tau_j))))*Salcycl</f>
        <v>0.1010933045731174</v>
      </c>
      <c r="P262" s="169">
        <f>(INDEX(Models!$BJ262:$BT262,,T262)*(1-R262)+INDEX(Models!$BJ262:$BT262,,T262+1)*R262-ERP_i)*Q262*Ramure*Pc/MaxiM</f>
        <v>5.3736491468698287E-4</v>
      </c>
      <c r="Q262" s="305">
        <f t="shared" si="77"/>
        <v>0.7</v>
      </c>
      <c r="R262" s="177">
        <f t="shared" si="78"/>
        <v>0.58850645605698537</v>
      </c>
      <c r="S262" s="810">
        <f t="shared" si="79"/>
        <v>-1</v>
      </c>
      <c r="T262" s="176">
        <f t="shared" si="80"/>
        <v>5</v>
      </c>
      <c r="U262" s="251">
        <f t="shared" si="81"/>
        <v>-0.41149354394301463</v>
      </c>
      <c r="V262" s="383">
        <f t="shared" si="82"/>
        <v>44.588344788116096</v>
      </c>
      <c r="W262" s="402"/>
      <c r="X262" s="157">
        <f t="shared" si="83"/>
        <v>44078</v>
      </c>
      <c r="Y262" s="385">
        <f t="shared" si="84"/>
        <v>44.508000000000003</v>
      </c>
      <c r="Z262" s="385">
        <f t="shared" si="85"/>
        <v>45.307465627021088</v>
      </c>
      <c r="AA262" s="386">
        <f t="shared" si="86"/>
        <v>50.402857001198534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0.1010933045731174</v>
      </c>
      <c r="AD262" s="231">
        <f>(INDEX(Models!$BJ262:$BT262,,AH262)*(1-AF262)+INDEX(Models!$BJ262:$BT262,,AH262+1)*AF262-ERP_i)*AE262*Ramure*Pc/MaxiM</f>
        <v>5.3736491468698287E-4</v>
      </c>
      <c r="AE262" s="305">
        <f t="shared" si="88"/>
        <v>0.7</v>
      </c>
      <c r="AF262" s="177">
        <f t="shared" si="89"/>
        <v>0.58850645605698537</v>
      </c>
      <c r="AG262" s="810">
        <f t="shared" si="95"/>
        <v>-1</v>
      </c>
      <c r="AH262" s="176">
        <f t="shared" si="90"/>
        <v>5</v>
      </c>
      <c r="AI262" s="225">
        <f t="shared" si="91"/>
        <v>-0.41149354394301463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6">
        <v>41.899000000000001</v>
      </c>
      <c r="C263" s="390"/>
      <c r="D263" s="393">
        <f t="shared" si="74"/>
        <v>42.652594599209507</v>
      </c>
      <c r="E263" s="385">
        <f t="shared" si="96"/>
        <v>47.453167922211811</v>
      </c>
      <c r="F263" s="385">
        <f t="shared" si="75"/>
        <v>47.478183287541981</v>
      </c>
      <c r="G263" s="110">
        <f t="shared" si="97"/>
        <v>0.94632532945024916</v>
      </c>
      <c r="H263" s="414" t="b">
        <f>Wh_hp&gt;='2019'!Maxi_hp</f>
        <v>0</v>
      </c>
      <c r="I263" s="380">
        <f>IF(H263,Wh_hp,'2019'!Maxi_hp)</f>
        <v>52.380979169463878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1.7668200640330478E-2</v>
      </c>
      <c r="M263" s="844"/>
      <c r="N263" s="844"/>
      <c r="O263" s="48">
        <f>IF(t&lt;Tnet,'2019'!Resal+('2019'!Salim-'2019'!Resal)*(1-EXP(('2019'!Tnet-t)/('2019'!Tau_j))),Resal+(Salim-Resal)*(1-EXP((Tnet-t)/(Tau_j))))*Salcycl</f>
        <v>0.10116444345447495</v>
      </c>
      <c r="P263" s="169">
        <f>(INDEX(Models!$BJ263:$BT263,,T263)*(1-R263)+INDEX(Models!$BJ263:$BT263,,T263+1)*R263-ERP_i)*Q263*Ramure*Pc/MaxiM</f>
        <v>5.7060005096937606E-4</v>
      </c>
      <c r="Q263" s="305">
        <f t="shared" si="77"/>
        <v>0.7</v>
      </c>
      <c r="R263" s="177">
        <f t="shared" si="78"/>
        <v>0.58893445920229071</v>
      </c>
      <c r="S263" s="810">
        <f t="shared" si="79"/>
        <v>-1</v>
      </c>
      <c r="T263" s="176">
        <f t="shared" si="80"/>
        <v>5</v>
      </c>
      <c r="U263" s="251">
        <f t="shared" si="81"/>
        <v>-0.41106554079770929</v>
      </c>
      <c r="V263" s="383">
        <f t="shared" si="82"/>
        <v>44.273534647268654</v>
      </c>
      <c r="W263" s="402"/>
      <c r="X263" s="157">
        <f t="shared" si="83"/>
        <v>44079</v>
      </c>
      <c r="Y263" s="385">
        <f t="shared" si="84"/>
        <v>41.899000000000001</v>
      </c>
      <c r="Z263" s="385">
        <f t="shared" si="85"/>
        <v>42.652594599209507</v>
      </c>
      <c r="AA263" s="386">
        <f t="shared" si="86"/>
        <v>47.453167922211811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0.10116444345447495</v>
      </c>
      <c r="AD263" s="231">
        <f>(INDEX(Models!$BJ263:$BT263,,AH263)*(1-AF263)+INDEX(Models!$BJ263:$BT263,,AH263+1)*AF263-ERP_i)*AE263*Ramure*Pc/MaxiM</f>
        <v>5.7060005096937606E-4</v>
      </c>
      <c r="AE263" s="305">
        <f t="shared" si="88"/>
        <v>0.7</v>
      </c>
      <c r="AF263" s="177">
        <f t="shared" si="89"/>
        <v>0.58893445920229071</v>
      </c>
      <c r="AG263" s="810">
        <f t="shared" si="95"/>
        <v>-1</v>
      </c>
      <c r="AH263" s="176">
        <f t="shared" si="90"/>
        <v>5</v>
      </c>
      <c r="AI263" s="225">
        <f t="shared" si="91"/>
        <v>-0.41106554079770929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6">
        <v>27.012</v>
      </c>
      <c r="C264" s="390"/>
      <c r="D264" s="393">
        <f t="shared" si="74"/>
        <v>27.498477236448103</v>
      </c>
      <c r="E264" s="385">
        <f t="shared" si="96"/>
        <v>30.595843590967384</v>
      </c>
      <c r="F264" s="385">
        <f t="shared" si="75"/>
        <v>30.604152675259719</v>
      </c>
      <c r="G264" s="110">
        <f t="shared" si="97"/>
        <v>0.61435778935065466</v>
      </c>
      <c r="H264" s="414" t="b">
        <f>Wh_hp&gt;='2019'!Maxi_hp</f>
        <v>0</v>
      </c>
      <c r="I264" s="380">
        <f>IF(H264,Wh_hp,'2019'!Maxi_hp)</f>
        <v>46.142327737727975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1.7691060936396052E-2</v>
      </c>
      <c r="M264" s="844"/>
      <c r="N264" s="844"/>
      <c r="O264" s="48">
        <f>IF(t&lt;Tnet,'2019'!Resal+('2019'!Salim-'2019'!Resal)*(1-EXP(('2019'!Tnet-t)/('2019'!Tau_j))),Resal+(Salim-Resal)*(1-EXP((Tnet-t)/(Tau_j))))*Salcycl</f>
        <v>0.10123487346607095</v>
      </c>
      <c r="P264" s="169">
        <f>(INDEX(Models!$BJ264:$BT264,,T264)*(1-R264)+INDEX(Models!$BJ264:$BT264,,T264+1)*R264-ERP_i)*Q264*Ramure*Pc/MaxiM</f>
        <v>6.0417698958524675E-4</v>
      </c>
      <c r="Q264" s="305">
        <f t="shared" si="77"/>
        <v>0.7</v>
      </c>
      <c r="R264" s="177">
        <f t="shared" si="78"/>
        <v>0.58934611458872077</v>
      </c>
      <c r="S264" s="810">
        <f t="shared" si="79"/>
        <v>-1</v>
      </c>
      <c r="T264" s="176">
        <f t="shared" si="80"/>
        <v>5</v>
      </c>
      <c r="U264" s="251">
        <f t="shared" si="81"/>
        <v>-0.41065388541127923</v>
      </c>
      <c r="V264" s="383">
        <f t="shared" si="82"/>
        <v>43.953233452821145</v>
      </c>
      <c r="W264" s="402"/>
      <c r="X264" s="157">
        <f t="shared" si="83"/>
        <v>44080</v>
      </c>
      <c r="Y264" s="385">
        <f t="shared" si="84"/>
        <v>27.012</v>
      </c>
      <c r="Z264" s="385">
        <f t="shared" si="85"/>
        <v>27.498477236448103</v>
      </c>
      <c r="AA264" s="386">
        <f t="shared" si="86"/>
        <v>30.595843590967384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0.10123487346607095</v>
      </c>
      <c r="AD264" s="231">
        <f>(INDEX(Models!$BJ264:$BT264,,AH264)*(1-AF264)+INDEX(Models!$BJ264:$BT264,,AH264+1)*AF264-ERP_i)*AE264*Ramure*Pc/MaxiM</f>
        <v>6.0417698958524675E-4</v>
      </c>
      <c r="AE264" s="305">
        <f t="shared" si="88"/>
        <v>0.7</v>
      </c>
      <c r="AF264" s="177">
        <f t="shared" si="89"/>
        <v>0.58934611458872077</v>
      </c>
      <c r="AG264" s="810">
        <f t="shared" si="95"/>
        <v>-1</v>
      </c>
      <c r="AH264" s="176">
        <f t="shared" si="90"/>
        <v>5</v>
      </c>
      <c r="AI264" s="225">
        <f t="shared" si="91"/>
        <v>-0.41065388541127923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6">
        <v>38.506</v>
      </c>
      <c r="C265" s="390"/>
      <c r="D265" s="393">
        <f t="shared" si="74"/>
        <v>39.200392646772173</v>
      </c>
      <c r="E265" s="385">
        <f t="shared" si="96"/>
        <v>43.61921885697982</v>
      </c>
      <c r="F265" s="385">
        <f t="shared" si="75"/>
        <v>43.642396809287163</v>
      </c>
      <c r="G265" s="110">
        <f t="shared" si="97"/>
        <v>0.88250727418131469</v>
      </c>
      <c r="H265" s="414" t="b">
        <f>Wh_hp&gt;='2019'!Maxi_hp</f>
        <v>0</v>
      </c>
      <c r="I265" s="380">
        <f>IF(H265,Wh_hp,'2019'!Maxi_hp)</f>
        <v>44.813483820108679</v>
      </c>
      <c r="J265" s="85">
        <f>IF(H265,An,'2019'!An_max)</f>
        <v>2019</v>
      </c>
      <c r="K265" s="197">
        <f t="shared" si="76"/>
        <v>44081</v>
      </c>
      <c r="L265" s="147">
        <f>IF(t&lt;Tvie,1-EXP((T0-t)*PertePVj)+'2019'!Pspv,1-EXP((T0-t)*PertePVj)+Pspv)</f>
        <v>1.7713920700469066E-2</v>
      </c>
      <c r="M265" s="844"/>
      <c r="N265" s="844"/>
      <c r="O265" s="48">
        <f>IF(t&lt;Tnet,'2019'!Resal+('2019'!Salim-'2019'!Resal)*(1-EXP(('2019'!Tnet-t)/('2019'!Tau_j))),Resal+(Salim-Resal)*(1-EXP((Tnet-t)/(Tau_j))))*Salcycl</f>
        <v>0.10130457000379237</v>
      </c>
      <c r="P265" s="169">
        <f>(INDEX(Models!$BJ265:$BT265,,T265)*(1-R265)+INDEX(Models!$BJ265:$BT265,,T265+1)*R265-ERP_i)*Q265*Ramure*Pc/MaxiM</f>
        <v>6.3810581911816569E-4</v>
      </c>
      <c r="Q265" s="305">
        <f t="shared" si="77"/>
        <v>0.7</v>
      </c>
      <c r="R265" s="177">
        <f t="shared" si="78"/>
        <v>0.58974201318619746</v>
      </c>
      <c r="S265" s="810">
        <f t="shared" si="79"/>
        <v>-1</v>
      </c>
      <c r="T265" s="176">
        <f t="shared" si="80"/>
        <v>5</v>
      </c>
      <c r="U265" s="251">
        <f t="shared" si="81"/>
        <v>-0.41025798681380254</v>
      </c>
      <c r="V265" s="383">
        <f t="shared" si="82"/>
        <v>43.627829602955877</v>
      </c>
      <c r="W265" s="402"/>
      <c r="X265" s="157">
        <f t="shared" si="83"/>
        <v>44081</v>
      </c>
      <c r="Y265" s="385">
        <f t="shared" si="84"/>
        <v>38.506</v>
      </c>
      <c r="Z265" s="385">
        <f t="shared" si="85"/>
        <v>39.200392646772173</v>
      </c>
      <c r="AA265" s="386">
        <f t="shared" si="86"/>
        <v>43.61921885697982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0.10130457000379237</v>
      </c>
      <c r="AD265" s="231">
        <f>(INDEX(Models!$BJ265:$BT265,,AH265)*(1-AF265)+INDEX(Models!$BJ265:$BT265,,AH265+1)*AF265-ERP_i)*AE265*Ramure*Pc/MaxiM</f>
        <v>6.3810581911816569E-4</v>
      </c>
      <c r="AE265" s="305">
        <f t="shared" si="88"/>
        <v>0.7</v>
      </c>
      <c r="AF265" s="177">
        <f t="shared" si="89"/>
        <v>0.58974201318619746</v>
      </c>
      <c r="AG265" s="810">
        <f t="shared" si="95"/>
        <v>-1</v>
      </c>
      <c r="AH265" s="176">
        <f t="shared" si="90"/>
        <v>5</v>
      </c>
      <c r="AI265" s="225">
        <f t="shared" si="91"/>
        <v>-0.41025798681380254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6">
        <v>41.488999999999997</v>
      </c>
      <c r="C266" s="390"/>
      <c r="D266" s="393">
        <f t="shared" si="74"/>
        <v>42.238169110263073</v>
      </c>
      <c r="E266" s="385">
        <f t="shared" si="96"/>
        <v>47.00303124746128</v>
      </c>
      <c r="F266" s="385">
        <f t="shared" si="75"/>
        <v>47.032768626922746</v>
      </c>
      <c r="G266" s="110">
        <f t="shared" si="97"/>
        <v>0.95818769314188745</v>
      </c>
      <c r="H266" s="414" t="b">
        <f>Wh_hp&gt;='2019'!Maxi_hp</f>
        <v>1</v>
      </c>
      <c r="I266" s="380">
        <f>IF(H266,Wh_hp,'2019'!Maxi_hp)</f>
        <v>47.032768626922746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1.7736779932561952E-2</v>
      </c>
      <c r="M266" s="844"/>
      <c r="N266" s="844"/>
      <c r="O266" s="48">
        <f>IF(t&lt;Tnet,'2019'!Resal+('2019'!Salim-'2019'!Resal)*(1-EXP(('2019'!Tnet-t)/('2019'!Tau_j))),Resal+(Salim-Resal)*(1-EXP((Tnet-t)/(Tau_j))))*Salcycl</f>
        <v>0.10137350742576989</v>
      </c>
      <c r="P266" s="169">
        <f>(INDEX(Models!$BJ266:$BT266,,T266)*(1-R266)+INDEX(Models!$BJ266:$BT266,,T266+1)*R266-ERP_i)*Q266*Ramure*Pc/MaxiM</f>
        <v>6.7239588415887914E-4</v>
      </c>
      <c r="Q266" s="305">
        <f t="shared" si="77"/>
        <v>0.7</v>
      </c>
      <c r="R266" s="177">
        <f t="shared" si="78"/>
        <v>0.59012272718568159</v>
      </c>
      <c r="S266" s="810">
        <f t="shared" si="79"/>
        <v>-1</v>
      </c>
      <c r="T266" s="176">
        <f t="shared" si="80"/>
        <v>5</v>
      </c>
      <c r="U266" s="251">
        <f t="shared" si="81"/>
        <v>-0.40987727281431841</v>
      </c>
      <c r="V266" s="383">
        <f t="shared" si="82"/>
        <v>43.297711330606639</v>
      </c>
      <c r="W266" s="402"/>
      <c r="X266" s="157">
        <f t="shared" si="83"/>
        <v>44082</v>
      </c>
      <c r="Y266" s="385">
        <f t="shared" si="84"/>
        <v>41.488999999999997</v>
      </c>
      <c r="Z266" s="385">
        <f t="shared" si="85"/>
        <v>42.238169110263073</v>
      </c>
      <c r="AA266" s="386">
        <f t="shared" si="86"/>
        <v>47.00303124746128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0.10137350742576989</v>
      </c>
      <c r="AD266" s="231">
        <f>(INDEX(Models!$BJ266:$BT266,,AH266)*(1-AF266)+INDEX(Models!$BJ266:$BT266,,AH266+1)*AF266-ERP_i)*AE266*Ramure*Pc/MaxiM</f>
        <v>6.7239588415887914E-4</v>
      </c>
      <c r="AE266" s="305">
        <f t="shared" si="88"/>
        <v>0.7</v>
      </c>
      <c r="AF266" s="177">
        <f t="shared" si="89"/>
        <v>0.59012272718568159</v>
      </c>
      <c r="AG266" s="810">
        <f t="shared" si="95"/>
        <v>-1</v>
      </c>
      <c r="AH266" s="176">
        <f t="shared" si="90"/>
        <v>5</v>
      </c>
      <c r="AI266" s="225">
        <f t="shared" si="91"/>
        <v>-0.40987727281431841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6">
        <v>23.873000000000001</v>
      </c>
      <c r="C267" s="390"/>
      <c r="D267" s="393">
        <f t="shared" si="74"/>
        <v>24.3046416528516</v>
      </c>
      <c r="E267" s="385">
        <f t="shared" si="96"/>
        <v>27.048484827963367</v>
      </c>
      <c r="F267" s="385">
        <f t="shared" si="75"/>
        <v>27.055471570330649</v>
      </c>
      <c r="G267" s="110">
        <f t="shared" si="97"/>
        <v>0.55541127166226156</v>
      </c>
      <c r="H267" s="414" t="b">
        <f>Wh_hp&gt;='2019'!Maxi_hp</f>
        <v>1</v>
      </c>
      <c r="I267" s="380">
        <f>IF(H267,Wh_hp,'2019'!Maxi_hp)</f>
        <v>27.055471570330649</v>
      </c>
      <c r="J267" s="85">
        <f>IF(H267,An,'2019'!An_max)</f>
        <v>2020</v>
      </c>
      <c r="K267" s="197">
        <f t="shared" si="76"/>
        <v>44083</v>
      </c>
      <c r="L267" s="147">
        <f>IF(t&lt;Tvie,1-EXP((T0-t)*PertePVj)+'2019'!Pspv,1-EXP((T0-t)*PertePVj)+Pspv)</f>
        <v>1.7759638632687147E-2</v>
      </c>
      <c r="M267" s="844"/>
      <c r="N267" s="844"/>
      <c r="O267" s="48">
        <f>IF(t&lt;Tnet,'2019'!Resal+('2019'!Salim-'2019'!Resal)*(1-EXP(('2019'!Tnet-t)/('2019'!Tau_j))),Resal+(Salim-Resal)*(1-EXP((Tnet-t)/(Tau_j))))*Salcycl</f>
        <v>0.10144165902687154</v>
      </c>
      <c r="P267" s="169">
        <f>(INDEX(Models!$BJ267:$BT267,,T267)*(1-R267)+INDEX(Models!$BJ267:$BT267,,T267+1)*R267-ERP_i)*Q267*Ramure*Pc/MaxiM</f>
        <v>7.0705572363849336E-4</v>
      </c>
      <c r="Q267" s="305">
        <f t="shared" si="77"/>
        <v>0.7</v>
      </c>
      <c r="R267" s="177">
        <f t="shared" si="78"/>
        <v>0.59048881039181356</v>
      </c>
      <c r="S267" s="810">
        <f t="shared" si="79"/>
        <v>-1</v>
      </c>
      <c r="T267" s="176">
        <f t="shared" si="80"/>
        <v>5</v>
      </c>
      <c r="U267" s="251">
        <f t="shared" si="81"/>
        <v>-0.4095111896081865</v>
      </c>
      <c r="V267" s="383">
        <f t="shared" si="82"/>
        <v>42.963266712125581</v>
      </c>
      <c r="W267" s="402"/>
      <c r="X267" s="157">
        <f t="shared" si="83"/>
        <v>44083</v>
      </c>
      <c r="Y267" s="385">
        <f t="shared" si="84"/>
        <v>23.873000000000001</v>
      </c>
      <c r="Z267" s="385">
        <f t="shared" si="85"/>
        <v>24.3046416528516</v>
      </c>
      <c r="AA267" s="386">
        <f t="shared" si="86"/>
        <v>27.048484827963367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0.10144165902687154</v>
      </c>
      <c r="AD267" s="231">
        <f>(INDEX(Models!$BJ267:$BT267,,AH267)*(1-AF267)+INDEX(Models!$BJ267:$BT267,,AH267+1)*AF267-ERP_i)*AE267*Ramure*Pc/MaxiM</f>
        <v>7.0705572363849336E-4</v>
      </c>
      <c r="AE267" s="305">
        <f t="shared" si="88"/>
        <v>0.7</v>
      </c>
      <c r="AF267" s="177">
        <f t="shared" si="89"/>
        <v>0.59048881039181356</v>
      </c>
      <c r="AG267" s="810">
        <f t="shared" si="95"/>
        <v>-1</v>
      </c>
      <c r="AH267" s="176">
        <f t="shared" si="90"/>
        <v>5</v>
      </c>
      <c r="AI267" s="225">
        <f t="shared" si="91"/>
        <v>-0.4095111896081865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6">
        <v>39.39</v>
      </c>
      <c r="C268" s="390"/>
      <c r="D268" s="393">
        <f t="shared" si="74"/>
        <v>40.10313384938096</v>
      </c>
      <c r="E268" s="385">
        <f t="shared" si="96"/>
        <v>44.633873590838036</v>
      </c>
      <c r="F268" s="385">
        <f t="shared" si="75"/>
        <v>44.663374721970023</v>
      </c>
      <c r="G268" s="110">
        <f t="shared" si="97"/>
        <v>0.92403266359073721</v>
      </c>
      <c r="H268" s="414" t="b">
        <f>Wh_hp&gt;='2019'!Maxi_hp</f>
        <v>0</v>
      </c>
      <c r="I268" s="380">
        <f>IF(H268,Wh_hp,'2019'!Maxi_hp)</f>
        <v>47.199084138700862</v>
      </c>
      <c r="J268" s="85">
        <f>IF(H268,An,'2019'!An_max)</f>
        <v>2019</v>
      </c>
      <c r="K268" s="197">
        <f t="shared" si="76"/>
        <v>44084</v>
      </c>
      <c r="L268" s="147">
        <f>IF(t&lt;Tvie,1-EXP((T0-t)*PertePVj)+'2019'!Pspv,1-EXP((T0-t)*PertePVj)+Pspv)</f>
        <v>1.7782496800856973E-2</v>
      </c>
      <c r="M268" s="844"/>
      <c r="N268" s="844"/>
      <c r="O268" s="48">
        <f>IF(t&lt;Tnet,'2019'!Resal+('2019'!Salim-'2019'!Resal)*(1-EXP(('2019'!Tnet-t)/('2019'!Tau_j))),Resal+(Salim-Resal)*(1-EXP((Tnet-t)/(Tau_j))))*Salcycl</f>
        <v>0.10150899702299411</v>
      </c>
      <c r="P268" s="169">
        <f>(INDEX(Models!$BJ268:$BT268,,T268)*(1-R268)+INDEX(Models!$BJ268:$BT268,,T268+1)*R268-ERP_i)*Q268*Ramure*Pc/MaxiM</f>
        <v>7.4084296743403308E-4</v>
      </c>
      <c r="Q268" s="305">
        <f t="shared" si="77"/>
        <v>0.7</v>
      </c>
      <c r="R268" s="177">
        <f t="shared" si="78"/>
        <v>0.59084079862488292</v>
      </c>
      <c r="S268" s="810">
        <f t="shared" si="79"/>
        <v>-1</v>
      </c>
      <c r="T268" s="176">
        <f t="shared" si="80"/>
        <v>5</v>
      </c>
      <c r="U268" s="251">
        <f t="shared" si="81"/>
        <v>-0.40915920137511713</v>
      </c>
      <c r="V268" s="383">
        <f t="shared" si="82"/>
        <v>42.624936983973029</v>
      </c>
      <c r="W268" s="402"/>
      <c r="X268" s="157">
        <f t="shared" si="83"/>
        <v>44084</v>
      </c>
      <c r="Y268" s="385">
        <f t="shared" si="84"/>
        <v>39.39</v>
      </c>
      <c r="Z268" s="385">
        <f t="shared" si="85"/>
        <v>40.10313384938096</v>
      </c>
      <c r="AA268" s="386">
        <f t="shared" si="86"/>
        <v>44.633873590838036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0.10150899702299411</v>
      </c>
      <c r="AD268" s="231">
        <f>(INDEX(Models!$BJ268:$BT268,,AH268)*(1-AF268)+INDEX(Models!$BJ268:$BT268,,AH268+1)*AF268-ERP_i)*AE268*Ramure*Pc/MaxiM</f>
        <v>7.4084296743403308E-4</v>
      </c>
      <c r="AE268" s="305">
        <f t="shared" si="88"/>
        <v>0.7</v>
      </c>
      <c r="AF268" s="177">
        <f t="shared" si="89"/>
        <v>0.59084079862488292</v>
      </c>
      <c r="AG268" s="810">
        <f t="shared" si="95"/>
        <v>-1</v>
      </c>
      <c r="AH268" s="176">
        <f t="shared" si="90"/>
        <v>5</v>
      </c>
      <c r="AI268" s="225">
        <f t="shared" si="91"/>
        <v>-0.40915920137511713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6">
        <v>37.542000000000002</v>
      </c>
      <c r="C269" s="390"/>
      <c r="D269" s="393">
        <f t="shared" si="74"/>
        <v>38.222566341200015</v>
      </c>
      <c r="E269" s="385">
        <f t="shared" si="96"/>
        <v>42.543993428612303</v>
      </c>
      <c r="F269" s="385">
        <f t="shared" si="75"/>
        <v>42.571637825060691</v>
      </c>
      <c r="G269" s="110">
        <f t="shared" si="97"/>
        <v>0.88776175333489982</v>
      </c>
      <c r="H269" s="414" t="b">
        <f>Wh_hp&gt;='2019'!Maxi_hp</f>
        <v>0</v>
      </c>
      <c r="I269" s="380">
        <f>IF(H269,Wh_hp,'2019'!Maxi_hp)</f>
        <v>47.524500971153024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1.7805354437083754E-2</v>
      </c>
      <c r="M269" s="844"/>
      <c r="N269" s="844"/>
      <c r="O269" s="48">
        <f>IF(t&lt;Tnet,'2019'!Resal+('2019'!Salim-'2019'!Resal)*(1-EXP(('2019'!Tnet-t)/('2019'!Tau_j))),Resal+(Salim-Resal)*(1-EXP((Tnet-t)/(Tau_j))))*Salcycl</f>
        <v>0.1015754925466395</v>
      </c>
      <c r="P269" s="169">
        <f>(INDEX(Models!$BJ269:$BT269,,T269)*(1-R269)+INDEX(Models!$BJ269:$BT269,,T269+1)*R269-ERP_i)*Q269*Ramure*Pc/MaxiM</f>
        <v>7.7321838329287432E-4</v>
      </c>
      <c r="Q269" s="305">
        <f t="shared" si="77"/>
        <v>0.7</v>
      </c>
      <c r="R269" s="177">
        <f t="shared" si="78"/>
        <v>0.59117921013015251</v>
      </c>
      <c r="S269" s="810">
        <f t="shared" si="79"/>
        <v>-1</v>
      </c>
      <c r="T269" s="176">
        <f t="shared" si="80"/>
        <v>5</v>
      </c>
      <c r="U269" s="251">
        <f t="shared" si="81"/>
        <v>-0.40882078986984755</v>
      </c>
      <c r="V269" s="383">
        <f t="shared" si="82"/>
        <v>42.283131723927234</v>
      </c>
      <c r="W269" s="402"/>
      <c r="X269" s="157">
        <f t="shared" si="83"/>
        <v>44085</v>
      </c>
      <c r="Y269" s="385">
        <f t="shared" si="84"/>
        <v>37.542000000000002</v>
      </c>
      <c r="Z269" s="385">
        <f t="shared" si="85"/>
        <v>38.222566341200015</v>
      </c>
      <c r="AA269" s="386">
        <f t="shared" si="86"/>
        <v>42.543993428612303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0.1015754925466395</v>
      </c>
      <c r="AD269" s="231">
        <f>(INDEX(Models!$BJ269:$BT269,,AH269)*(1-AF269)+INDEX(Models!$BJ269:$BT269,,AH269+1)*AF269-ERP_i)*AE269*Ramure*Pc/MaxiM</f>
        <v>7.7321838329287432E-4</v>
      </c>
      <c r="AE269" s="305">
        <f t="shared" si="88"/>
        <v>0.7</v>
      </c>
      <c r="AF269" s="177">
        <f t="shared" si="89"/>
        <v>0.59117921013015251</v>
      </c>
      <c r="AG269" s="810">
        <f t="shared" si="95"/>
        <v>-1</v>
      </c>
      <c r="AH269" s="176">
        <f t="shared" si="90"/>
        <v>5</v>
      </c>
      <c r="AI269" s="225">
        <f t="shared" si="91"/>
        <v>-0.40882078986984755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6">
        <v>40.182000000000002</v>
      </c>
      <c r="C270" s="390"/>
      <c r="D270" s="393">
        <f t="shared" si="74"/>
        <v>40.911376677862009</v>
      </c>
      <c r="E270" s="385">
        <f t="shared" si="96"/>
        <v>45.540125879312093</v>
      </c>
      <c r="F270" s="385">
        <f t="shared" si="75"/>
        <v>45.574582062693615</v>
      </c>
      <c r="G270" s="110">
        <f t="shared" si="97"/>
        <v>0.95807709241576977</v>
      </c>
      <c r="H270" s="414" t="b">
        <f>Wh_hp&gt;='2019'!Maxi_hp</f>
        <v>1</v>
      </c>
      <c r="I270" s="380">
        <f>IF(H270,Wh_hp,'2019'!Maxi_hp)</f>
        <v>45.574582062693615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1.7828211541380035E-2</v>
      </c>
      <c r="M270" s="844"/>
      <c r="N270" s="844"/>
      <c r="O270" s="48">
        <f>IF(t&lt;Tnet,'2019'!Resal+('2019'!Salim-'2019'!Resal)*(1-EXP(('2019'!Tnet-t)/('2019'!Tau_j))),Resal+(Salim-Resal)*(1-EXP((Tnet-t)/(Tau_j))))*Salcycl</f>
        <v>0.10164111565516835</v>
      </c>
      <c r="P270" s="169">
        <f>(INDEX(Models!$BJ270:$BT270,,T270)*(1-R270)+INDEX(Models!$BJ270:$BT270,,T270+1)*R270-ERP_i)*Q270*Ramure*Pc/MaxiM</f>
        <v>8.041467324519429E-4</v>
      </c>
      <c r="Q270" s="305">
        <f t="shared" si="77"/>
        <v>0.7</v>
      </c>
      <c r="R270" s="177">
        <f t="shared" si="78"/>
        <v>0.59150454599272051</v>
      </c>
      <c r="S270" s="810">
        <f t="shared" si="79"/>
        <v>-1</v>
      </c>
      <c r="T270" s="176">
        <f t="shared" si="80"/>
        <v>5</v>
      </c>
      <c r="U270" s="251">
        <f t="shared" si="81"/>
        <v>-0.40849545400727949</v>
      </c>
      <c r="V270" s="383">
        <f t="shared" si="82"/>
        <v>41.938238383881121</v>
      </c>
      <c r="W270" s="402"/>
      <c r="X270" s="157">
        <f t="shared" si="83"/>
        <v>44086</v>
      </c>
      <c r="Y270" s="385">
        <f t="shared" si="84"/>
        <v>40.182000000000002</v>
      </c>
      <c r="Z270" s="385">
        <f t="shared" si="85"/>
        <v>40.911376677862009</v>
      </c>
      <c r="AA270" s="386">
        <f t="shared" si="86"/>
        <v>45.540125879312093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0.10164111565516835</v>
      </c>
      <c r="AD270" s="231">
        <f>(INDEX(Models!$BJ270:$BT270,,AH270)*(1-AF270)+INDEX(Models!$BJ270:$BT270,,AH270+1)*AF270-ERP_i)*AE270*Ramure*Pc/MaxiM</f>
        <v>8.041467324519429E-4</v>
      </c>
      <c r="AE270" s="305">
        <f t="shared" si="88"/>
        <v>0.7</v>
      </c>
      <c r="AF270" s="177">
        <f t="shared" si="89"/>
        <v>0.59150454599272051</v>
      </c>
      <c r="AG270" s="810">
        <f t="shared" si="95"/>
        <v>-1</v>
      </c>
      <c r="AH270" s="176">
        <f t="shared" si="90"/>
        <v>5</v>
      </c>
      <c r="AI270" s="225">
        <f t="shared" si="91"/>
        <v>-0.40849545400727949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6">
        <v>39.436</v>
      </c>
      <c r="C271" s="390"/>
      <c r="D271" s="393">
        <f t="shared" ref="D271:D334" si="98">Wh/(1-Ppv)</f>
        <v>40.152769829176684</v>
      </c>
      <c r="E271" s="385">
        <f t="shared" si="96"/>
        <v>44.698909788594712</v>
      </c>
      <c r="F271" s="385">
        <f t="shared" ref="F271:F334" si="99">Wh_sa/(1-Pvg*MEDIAN((-Sdif+Wh/Env_an)/Csdif,0,1))</f>
        <v>44.733439415558536</v>
      </c>
      <c r="G271" s="110">
        <f t="shared" si="97"/>
        <v>0.94813547456384173</v>
      </c>
      <c r="H271" s="414" t="b">
        <f>Wh_hp&gt;='2019'!Maxi_hp</f>
        <v>1</v>
      </c>
      <c r="I271" s="380">
        <f>IF(H271,Wh_hp,'2019'!Maxi_hp)</f>
        <v>44.733439415558536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1.785106811375814E-2</v>
      </c>
      <c r="M271" s="844"/>
      <c r="N271" s="844"/>
      <c r="O271" s="48">
        <f>IF(t&lt;Tnet,'2019'!Resal+('2019'!Salim-'2019'!Resal)*(1-EXP(('2019'!Tnet-t)/('2019'!Tau_j))),Resal+(Salim-Resal)*(1-EXP((Tnet-t)/(Tau_j))))*Salcycl</f>
        <v>0.10170583535301372</v>
      </c>
      <c r="P271" s="169">
        <f>(INDEX(Models!$BJ271:$BT271,,T271)*(1-R271)+INDEX(Models!$BJ271:$BT271,,T271+1)*R271-ERP_i)*Q271*Ramure*Pc/MaxiM</f>
        <v>8.3359023368580404E-4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0.59181729055626897</v>
      </c>
      <c r="S271" s="810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-0.40818270944373103</v>
      </c>
      <c r="V271" s="383">
        <f t="shared" ref="V271:V334" si="106">MaxiM*(1-Ppv)*(1-Pvg)*(1-Psa)</f>
        <v>41.590644228726141</v>
      </c>
      <c r="W271" s="402"/>
      <c r="X271" s="157">
        <f t="shared" ref="X271:X334" si="107">t</f>
        <v>44087</v>
      </c>
      <c r="Y271" s="385">
        <f t="shared" ref="Y271:Y334" si="108">Wh_pvt_s*(1-Ppv)</f>
        <v>39.436</v>
      </c>
      <c r="Z271" s="385">
        <f t="shared" ref="Z271:Z334" si="109">Wh_sa_s*(1-Psa_s)</f>
        <v>40.152769829176684</v>
      </c>
      <c r="AA271" s="386">
        <f t="shared" ref="AA271:AA334" si="110">Wh_hp*(1-Pvg_s*MEDIAN((-Sdif+Wh/Env_an)/Csdif,0,1))</f>
        <v>44.698909788594712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0.10170583535301372</v>
      </c>
      <c r="AD271" s="231">
        <f>(INDEX(Models!$BJ271:$BT271,,AH271)*(1-AF271)+INDEX(Models!$BJ271:$BT271,,AH271+1)*AF271-ERP_i)*AE271*Ramure*Pc/MaxiM</f>
        <v>8.3359023368580404E-4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0.59181729055626897</v>
      </c>
      <c r="AG271" s="810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-0.40818270944373103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40.127000000000002</v>
      </c>
      <c r="C272" s="390"/>
      <c r="D272" s="393">
        <f t="shared" si="98"/>
        <v>40.857279922482618</v>
      </c>
      <c r="E272" s="385">
        <f t="shared" si="96"/>
        <v>45.48641508385343</v>
      </c>
      <c r="F272" s="385">
        <f t="shared" si="99"/>
        <v>45.524121434792207</v>
      </c>
      <c r="G272" s="110">
        <f t="shared" si="97"/>
        <v>0.97296190047970799</v>
      </c>
      <c r="H272" s="414" t="b">
        <f>Wh_hp&gt;='2019'!Maxi_hp</f>
        <v>1</v>
      </c>
      <c r="I272" s="380">
        <f>IF(H272,Wh_hp,'2019'!Maxi_hp)</f>
        <v>45.524121434792207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1.7873924154230392E-2</v>
      </c>
      <c r="M272" s="844"/>
      <c r="N272" s="844"/>
      <c r="O272" s="48">
        <f>IF(t&lt;Tnet,'2019'!Resal+('2019'!Salim-'2019'!Resal)*(1-EXP(('2019'!Tnet-t)/('2019'!Tau_j))),Resal+(Salim-Resal)*(1-EXP((Tnet-t)/(Tau_j))))*Salcycl</f>
        <v>0.10176961962900535</v>
      </c>
      <c r="P272" s="169">
        <f>(INDEX(Models!$BJ272:$BT272,,T272)*(1-R272)+INDEX(Models!$BJ272:$BT272,,T272+1)*R272-ERP_i)*Q272*Ramure*Pc/MaxiM</f>
        <v>8.6150858163299945E-4</v>
      </c>
      <c r="Q272" s="305">
        <f t="shared" si="101"/>
        <v>0.7</v>
      </c>
      <c r="R272" s="177">
        <f t="shared" si="102"/>
        <v>0.59211791184418749</v>
      </c>
      <c r="S272" s="810">
        <f t="shared" si="103"/>
        <v>-1</v>
      </c>
      <c r="T272" s="176">
        <f t="shared" si="104"/>
        <v>5</v>
      </c>
      <c r="U272" s="251">
        <f t="shared" si="105"/>
        <v>-0.40788208815581256</v>
      </c>
      <c r="V272" s="383">
        <f t="shared" si="106"/>
        <v>41.240736339888983</v>
      </c>
      <c r="W272" s="402"/>
      <c r="X272" s="157">
        <f t="shared" si="107"/>
        <v>44088</v>
      </c>
      <c r="Y272" s="385">
        <f t="shared" si="108"/>
        <v>40.127000000000002</v>
      </c>
      <c r="Z272" s="385">
        <f t="shared" si="109"/>
        <v>40.857279922482618</v>
      </c>
      <c r="AA272" s="386">
        <f t="shared" si="110"/>
        <v>45.48641508385343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0.10176961962900535</v>
      </c>
      <c r="AD272" s="231">
        <f>(INDEX(Models!$BJ272:$BT272,,AH272)*(1-AF272)+INDEX(Models!$BJ272:$BT272,,AH272+1)*AF272-ERP_i)*AE272*Ramure*Pc/MaxiM</f>
        <v>8.6150858163299945E-4</v>
      </c>
      <c r="AE272" s="305">
        <f t="shared" si="112"/>
        <v>0.7</v>
      </c>
      <c r="AF272" s="177">
        <f t="shared" si="113"/>
        <v>0.59211791184418749</v>
      </c>
      <c r="AG272" s="810">
        <f t="shared" ref="AG272:AG335" si="119">INDEX(Echel_vg,AH272)</f>
        <v>-1</v>
      </c>
      <c r="AH272" s="176">
        <f t="shared" si="114"/>
        <v>5</v>
      </c>
      <c r="AI272" s="225">
        <f t="shared" si="115"/>
        <v>-0.40788208815581256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6">
        <v>36.332999999999998</v>
      </c>
      <c r="C273" s="390"/>
      <c r="D273" s="393">
        <f t="shared" si="98"/>
        <v>36.99509302853685</v>
      </c>
      <c r="E273" s="385">
        <f t="shared" si="96"/>
        <v>41.189522413376906</v>
      </c>
      <c r="F273" s="385">
        <f t="shared" si="99"/>
        <v>41.220294819613947</v>
      </c>
      <c r="G273" s="110">
        <f t="shared" si="97"/>
        <v>0.8884528568971608</v>
      </c>
      <c r="H273" s="414" t="b">
        <f>Wh_hp&gt;='2019'!Maxi_hp</f>
        <v>1</v>
      </c>
      <c r="I273" s="380">
        <f>IF(H273,Wh_hp,'2019'!Maxi_hp)</f>
        <v>41.220294819613947</v>
      </c>
      <c r="J273" s="85">
        <f>IF(H273,An,'2019'!An_max)</f>
        <v>2020</v>
      </c>
      <c r="K273" s="197">
        <f t="shared" si="100"/>
        <v>44089</v>
      </c>
      <c r="L273" s="147">
        <f>IF(t&lt;Tvie,1-EXP((T0-t)*PertePVj)+'2019'!Pspv,1-EXP((T0-t)*PertePVj)+Pspv)</f>
        <v>1.7896779662809115E-2</v>
      </c>
      <c r="M273" s="844"/>
      <c r="N273" s="844"/>
      <c r="O273" s="48">
        <f>IF(t&lt;Tnet,'2019'!Resal+('2019'!Salim-'2019'!Resal)*(1-EXP(('2019'!Tnet-t)/('2019'!Tau_j))),Resal+(Salim-Resal)*(1-EXP((Tnet-t)/(Tau_j))))*Salcycl</f>
        <v>0.10183243550980949</v>
      </c>
      <c r="P273" s="169">
        <f>(INDEX(Models!$BJ273:$BT273,,T273)*(1-R273)+INDEX(Models!$BJ273:$BT273,,T273+1)*R273-ERP_i)*Q273*Ramure*Pc/MaxiM</f>
        <v>8.8785897472343982E-4</v>
      </c>
      <c r="Q273" s="305">
        <f t="shared" si="101"/>
        <v>0.7</v>
      </c>
      <c r="R273" s="177">
        <f t="shared" si="102"/>
        <v>0.592406861981704</v>
      </c>
      <c r="S273" s="810">
        <f t="shared" si="103"/>
        <v>-1</v>
      </c>
      <c r="T273" s="176">
        <f t="shared" si="104"/>
        <v>5</v>
      </c>
      <c r="U273" s="251">
        <f t="shared" si="105"/>
        <v>-0.40759313801829605</v>
      </c>
      <c r="V273" s="383">
        <f t="shared" si="106"/>
        <v>40.888901611099762</v>
      </c>
      <c r="W273" s="402"/>
      <c r="X273" s="157">
        <f t="shared" si="107"/>
        <v>44089</v>
      </c>
      <c r="Y273" s="385">
        <f t="shared" si="108"/>
        <v>36.332999999999998</v>
      </c>
      <c r="Z273" s="385">
        <f t="shared" si="109"/>
        <v>36.99509302853685</v>
      </c>
      <c r="AA273" s="386">
        <f t="shared" si="110"/>
        <v>41.189522413376906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0.10183243550980949</v>
      </c>
      <c r="AD273" s="231">
        <f>(INDEX(Models!$BJ273:$BT273,,AH273)*(1-AF273)+INDEX(Models!$BJ273:$BT273,,AH273+1)*AF273-ERP_i)*AE273*Ramure*Pc/MaxiM</f>
        <v>8.8785897472343982E-4</v>
      </c>
      <c r="AE273" s="305">
        <f t="shared" si="112"/>
        <v>0.7</v>
      </c>
      <c r="AF273" s="177">
        <f t="shared" si="113"/>
        <v>0.592406861981704</v>
      </c>
      <c r="AG273" s="810">
        <f t="shared" si="119"/>
        <v>-1</v>
      </c>
      <c r="AH273" s="176">
        <f t="shared" si="114"/>
        <v>5</v>
      </c>
      <c r="AI273" s="225">
        <f t="shared" si="115"/>
        <v>-0.40759313801829605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6">
        <v>35.76</v>
      </c>
      <c r="C274" s="390"/>
      <c r="D274" s="393">
        <f t="shared" si="98"/>
        <v>36.412498672523142</v>
      </c>
      <c r="E274" s="385">
        <f t="shared" si="96"/>
        <v>40.543664971817947</v>
      </c>
      <c r="F274" s="385">
        <f t="shared" si="99"/>
        <v>40.57446119286827</v>
      </c>
      <c r="G274" s="110">
        <f t="shared" si="97"/>
        <v>0.88205350419993178</v>
      </c>
      <c r="H274" s="414" t="b">
        <f>Wh_hp&gt;='2019'!Maxi_hp</f>
        <v>1</v>
      </c>
      <c r="I274" s="380">
        <f>IF(H274,Wh_hp,'2019'!Maxi_hp)</f>
        <v>40.57446119286827</v>
      </c>
      <c r="J274" s="85">
        <f>IF(H274,An,'2019'!An_max)</f>
        <v>2020</v>
      </c>
      <c r="K274" s="197">
        <f t="shared" si="100"/>
        <v>44090</v>
      </c>
      <c r="L274" s="147">
        <f>IF(t&lt;Tvie,1-EXP((T0-t)*PertePVj)+'2019'!Pspv,1-EXP((T0-t)*PertePVj)+Pspv)</f>
        <v>1.7919634639506854E-2</v>
      </c>
      <c r="M274" s="844"/>
      <c r="N274" s="844"/>
      <c r="O274" s="48">
        <f>IF(t&lt;Tnet,'2019'!Resal+('2019'!Salim-'2019'!Resal)*(1-EXP(('2019'!Tnet-t)/('2019'!Tau_j))),Resal+(Salim-Resal)*(1-EXP((Tnet-t)/(Tau_j))))*Salcycl</f>
        <v>0.1018942491303238</v>
      </c>
      <c r="P274" s="169">
        <f>(INDEX(Models!$BJ274:$BT274,,T274)*(1-R274)+INDEX(Models!$BJ274:$BT274,,T274+1)*R274-ERP_i)*Q274*Ramure*Pc/MaxiM</f>
        <v>9.1259615403904639E-4</v>
      </c>
      <c r="Q274" s="305">
        <f t="shared" si="101"/>
        <v>0.7</v>
      </c>
      <c r="R274" s="177">
        <f t="shared" si="102"/>
        <v>0.59268457761778259</v>
      </c>
      <c r="S274" s="810">
        <f t="shared" si="103"/>
        <v>-1</v>
      </c>
      <c r="T274" s="176">
        <f t="shared" si="104"/>
        <v>5</v>
      </c>
      <c r="U274" s="251">
        <f t="shared" si="105"/>
        <v>-0.40731542238221741</v>
      </c>
      <c r="V274" s="383">
        <f t="shared" si="106"/>
        <v>40.535526745288486</v>
      </c>
      <c r="W274" s="402"/>
      <c r="X274" s="157">
        <f t="shared" si="107"/>
        <v>44090</v>
      </c>
      <c r="Y274" s="385">
        <f t="shared" si="108"/>
        <v>35.76</v>
      </c>
      <c r="Z274" s="385">
        <f t="shared" si="109"/>
        <v>36.412498672523142</v>
      </c>
      <c r="AA274" s="386">
        <f t="shared" si="110"/>
        <v>40.543664971817947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0.1018942491303238</v>
      </c>
      <c r="AD274" s="231">
        <f>(INDEX(Models!$BJ274:$BT274,,AH274)*(1-AF274)+INDEX(Models!$BJ274:$BT274,,AH274+1)*AF274-ERP_i)*AE274*Ramure*Pc/MaxiM</f>
        <v>9.1259615403904639E-4</v>
      </c>
      <c r="AE274" s="305">
        <f t="shared" si="112"/>
        <v>0.7</v>
      </c>
      <c r="AF274" s="177">
        <f t="shared" si="113"/>
        <v>0.59268457761778259</v>
      </c>
      <c r="AG274" s="810">
        <f t="shared" si="119"/>
        <v>-1</v>
      </c>
      <c r="AH274" s="176">
        <f t="shared" si="114"/>
        <v>5</v>
      </c>
      <c r="AI274" s="225">
        <f t="shared" si="115"/>
        <v>-0.40731542238221741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6">
        <v>35.875999999999998</v>
      </c>
      <c r="C275" s="390"/>
      <c r="D275" s="393">
        <f t="shared" si="98"/>
        <v>36.531465419524608</v>
      </c>
      <c r="E275" s="385">
        <f t="shared" si="96"/>
        <v>40.678881871089025</v>
      </c>
      <c r="F275" s="385">
        <f t="shared" si="99"/>
        <v>40.711150007776851</v>
      </c>
      <c r="G275" s="110">
        <f t="shared" si="97"/>
        <v>0.89279979366561379</v>
      </c>
      <c r="H275" s="414" t="b">
        <f>Wh_hp&gt;='2019'!Maxi_hp</f>
        <v>1</v>
      </c>
      <c r="I275" s="380">
        <f>IF(H275,Wh_hp,'2019'!Maxi_hp)</f>
        <v>40.711150007776851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1.7942489084335822E-2</v>
      </c>
      <c r="M275" s="844"/>
      <c r="N275" s="844"/>
      <c r="O275" s="48">
        <f>IF(t&lt;Tnet,'2019'!Resal+('2019'!Salim-'2019'!Resal)*(1-EXP(('2019'!Tnet-t)/('2019'!Tau_j))),Resal+(Salim-Resal)*(1-EXP((Tnet-t)/(Tau_j))))*Salcycl</f>
        <v>0.10195502582169147</v>
      </c>
      <c r="P275" s="169">
        <f>(INDEX(Models!$BJ275:$BT275,,T275)*(1-R275)+INDEX(Models!$BJ275:$BT275,,T275+1)*R275-ERP_i)*Q275*Ramure*Pc/MaxiM</f>
        <v>9.3574349473901728E-4</v>
      </c>
      <c r="Q275" s="305">
        <f t="shared" si="101"/>
        <v>0.7</v>
      </c>
      <c r="R275" s="177">
        <f t="shared" si="102"/>
        <v>0.59295148034566891</v>
      </c>
      <c r="S275" s="810">
        <f t="shared" si="103"/>
        <v>-1</v>
      </c>
      <c r="T275" s="176">
        <f t="shared" si="104"/>
        <v>5</v>
      </c>
      <c r="U275" s="251">
        <f t="shared" si="105"/>
        <v>-0.40704851965433109</v>
      </c>
      <c r="V275" s="383">
        <f t="shared" si="106"/>
        <v>40.177944918311745</v>
      </c>
      <c r="W275" s="402"/>
      <c r="X275" s="157">
        <f t="shared" si="107"/>
        <v>44091</v>
      </c>
      <c r="Y275" s="385">
        <f t="shared" si="108"/>
        <v>35.875999999999998</v>
      </c>
      <c r="Z275" s="385">
        <f t="shared" si="109"/>
        <v>36.531465419524608</v>
      </c>
      <c r="AA275" s="386">
        <f t="shared" si="110"/>
        <v>40.678881871089025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0.10195502582169147</v>
      </c>
      <c r="AD275" s="231">
        <f>(INDEX(Models!$BJ275:$BT275,,AH275)*(1-AF275)+INDEX(Models!$BJ275:$BT275,,AH275+1)*AF275-ERP_i)*AE275*Ramure*Pc/MaxiM</f>
        <v>9.3574349473901728E-4</v>
      </c>
      <c r="AE275" s="305">
        <f t="shared" si="112"/>
        <v>0.7</v>
      </c>
      <c r="AF275" s="177">
        <f t="shared" si="113"/>
        <v>0.59295148034566891</v>
      </c>
      <c r="AG275" s="810">
        <f t="shared" si="119"/>
        <v>-1</v>
      </c>
      <c r="AH275" s="176">
        <f t="shared" si="114"/>
        <v>5</v>
      </c>
      <c r="AI275" s="225">
        <f t="shared" si="115"/>
        <v>-0.40704851965433109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6">
        <v>17.116</v>
      </c>
      <c r="C276" s="390"/>
      <c r="D276" s="393">
        <f t="shared" si="98"/>
        <v>17.429120121117162</v>
      </c>
      <c r="E276" s="385">
        <f t="shared" si="96"/>
        <v>19.409138109065918</v>
      </c>
      <c r="F276" s="385">
        <f t="shared" si="99"/>
        <v>19.412582833354318</v>
      </c>
      <c r="G276" s="110">
        <f t="shared" si="97"/>
        <v>0.42956504341124729</v>
      </c>
      <c r="H276" s="414" t="b">
        <f>Wh_hp&gt;='2019'!Maxi_hp</f>
        <v>0</v>
      </c>
      <c r="I276" s="380">
        <f>IF(H276,Wh_hp,'2019'!Maxi_hp)</f>
        <v>41.27578259779721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1.7965342997308564E-2</v>
      </c>
      <c r="M276" s="844"/>
      <c r="N276" s="844"/>
      <c r="O276" s="48">
        <f>IF(t&lt;Tnet,'2019'!Resal+('2019'!Salim-'2019'!Resal)*(1-EXP(('2019'!Tnet-t)/('2019'!Tau_j))),Resal+(Salim-Resal)*(1-EXP((Tnet-t)/(Tau_j))))*Salcycl</f>
        <v>0.10201473021740715</v>
      </c>
      <c r="P276" s="169">
        <f>(INDEX(Models!$BJ276:$BT276,,T276)*(1-R276)+INDEX(Models!$BJ276:$BT276,,T276+1)*R276-ERP_i)*Q276*Ramure*Pc/MaxiM</f>
        <v>9.5622561045531607E-4</v>
      </c>
      <c r="Q276" s="305">
        <f t="shared" si="101"/>
        <v>0.7</v>
      </c>
      <c r="R276" s="177">
        <f t="shared" si="102"/>
        <v>0.5932079771210782</v>
      </c>
      <c r="S276" s="810">
        <f t="shared" si="103"/>
        <v>-1</v>
      </c>
      <c r="T276" s="176">
        <f t="shared" si="104"/>
        <v>5</v>
      </c>
      <c r="U276" s="251">
        <f t="shared" si="105"/>
        <v>-0.4067920228789218</v>
      </c>
      <c r="V276" s="383">
        <f t="shared" si="106"/>
        <v>39.813919543211767</v>
      </c>
      <c r="W276" s="402"/>
      <c r="X276" s="157">
        <f t="shared" si="107"/>
        <v>44092</v>
      </c>
      <c r="Y276" s="385">
        <f t="shared" si="108"/>
        <v>17.116</v>
      </c>
      <c r="Z276" s="385">
        <f t="shared" si="109"/>
        <v>17.429120121117162</v>
      </c>
      <c r="AA276" s="386">
        <f t="shared" si="110"/>
        <v>19.409138109065918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0.10201473021740715</v>
      </c>
      <c r="AD276" s="231">
        <f>(INDEX(Models!$BJ276:$BT276,,AH276)*(1-AF276)+INDEX(Models!$BJ276:$BT276,,AH276+1)*AF276-ERP_i)*AE276*Ramure*Pc/MaxiM</f>
        <v>9.5622561045531607E-4</v>
      </c>
      <c r="AE276" s="305">
        <f t="shared" si="112"/>
        <v>0.7</v>
      </c>
      <c r="AF276" s="177">
        <f t="shared" si="113"/>
        <v>0.5932079771210782</v>
      </c>
      <c r="AG276" s="810">
        <f t="shared" si="119"/>
        <v>-1</v>
      </c>
      <c r="AH276" s="176">
        <f t="shared" si="114"/>
        <v>5</v>
      </c>
      <c r="AI276" s="225">
        <f t="shared" si="115"/>
        <v>-0.4067920228789218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6">
        <v>28.765999999999998</v>
      </c>
      <c r="C277" s="390"/>
      <c r="D277" s="393">
        <f t="shared" si="98"/>
        <v>29.292926921971638</v>
      </c>
      <c r="E277" s="385">
        <f t="shared" si="96"/>
        <v>32.622849707543182</v>
      </c>
      <c r="F277" s="385">
        <f t="shared" si="99"/>
        <v>32.642361176672431</v>
      </c>
      <c r="G277" s="110">
        <f t="shared" si="97"/>
        <v>0.72900485134483295</v>
      </c>
      <c r="H277" s="414" t="b">
        <f>Wh_hp&gt;='2019'!Maxi_hp</f>
        <v>0</v>
      </c>
      <c r="I277" s="380">
        <f>IF(H277,Wh_hp,'2019'!Maxi_hp)</f>
        <v>41.958015928812877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1.7988196378437293E-2</v>
      </c>
      <c r="M277" s="844"/>
      <c r="N277" s="844"/>
      <c r="O277" s="48">
        <f>IF(t&lt;Tnet,'2019'!Resal+('2019'!Salim-'2019'!Resal)*(1-EXP(('2019'!Tnet-t)/('2019'!Tau_j))),Resal+(Salim-Resal)*(1-EXP((Tnet-t)/(Tau_j))))*Salcycl</f>
        <v>0.1020733263777869</v>
      </c>
      <c r="P277" s="169">
        <f>(INDEX(Models!$BJ277:$BT277,,T277)*(1-R277)+INDEX(Models!$BJ277:$BT277,,T277+1)*R277-ERP_i)*Q277*Ramure*Pc/MaxiM</f>
        <v>9.7468856333045447E-4</v>
      </c>
      <c r="Q277" s="305">
        <f t="shared" si="101"/>
        <v>0.7</v>
      </c>
      <c r="R277" s="177">
        <f t="shared" si="102"/>
        <v>0.59345446067712515</v>
      </c>
      <c r="S277" s="810">
        <f t="shared" si="103"/>
        <v>-1</v>
      </c>
      <c r="T277" s="176">
        <f t="shared" si="104"/>
        <v>5</v>
      </c>
      <c r="U277" s="251">
        <f t="shared" si="105"/>
        <v>-0.40654553932287485</v>
      </c>
      <c r="V277" s="383">
        <f t="shared" si="106"/>
        <v>39.444387790061761</v>
      </c>
      <c r="W277" s="402"/>
      <c r="X277" s="157">
        <f t="shared" si="107"/>
        <v>44093</v>
      </c>
      <c r="Y277" s="385">
        <f t="shared" si="108"/>
        <v>28.765999999999998</v>
      </c>
      <c r="Z277" s="385">
        <f t="shared" si="109"/>
        <v>29.292926921971638</v>
      </c>
      <c r="AA277" s="386">
        <f t="shared" si="110"/>
        <v>32.622849707543182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0.1020733263777869</v>
      </c>
      <c r="AD277" s="231">
        <f>(INDEX(Models!$BJ277:$BT277,,AH277)*(1-AF277)+INDEX(Models!$BJ277:$BT277,,AH277+1)*AF277-ERP_i)*AE277*Ramure*Pc/MaxiM</f>
        <v>9.7468856333045447E-4</v>
      </c>
      <c r="AE277" s="305">
        <f t="shared" si="112"/>
        <v>0.7</v>
      </c>
      <c r="AF277" s="177">
        <f t="shared" si="113"/>
        <v>0.59345446067712515</v>
      </c>
      <c r="AG277" s="810">
        <f t="shared" si="119"/>
        <v>-1</v>
      </c>
      <c r="AH277" s="176">
        <f t="shared" si="114"/>
        <v>5</v>
      </c>
      <c r="AI277" s="225">
        <f t="shared" si="115"/>
        <v>-0.40654553932287485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6">
        <v>28.734999999999999</v>
      </c>
      <c r="C278" s="390"/>
      <c r="D278" s="393">
        <f t="shared" si="98"/>
        <v>29.262040043731588</v>
      </c>
      <c r="E278" s="385">
        <f t="shared" si="96"/>
        <v>32.590536934056587</v>
      </c>
      <c r="F278" s="385">
        <f t="shared" si="99"/>
        <v>32.610642654091251</v>
      </c>
      <c r="G278" s="110">
        <f t="shared" si="97"/>
        <v>0.73519323468255571</v>
      </c>
      <c r="H278" s="414" t="b">
        <f>Wh_hp&gt;='2019'!Maxi_hp</f>
        <v>0</v>
      </c>
      <c r="I278" s="380">
        <f>IF(H278,Wh_hp,'2019'!Maxi_hp)</f>
        <v>33.083533148486922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1.8011049227734555E-2</v>
      </c>
      <c r="M278" s="844"/>
      <c r="N278" s="844"/>
      <c r="O278" s="48">
        <f>IF(t&lt;Tnet,'2019'!Resal+('2019'!Salim-'2019'!Resal)*(1-EXP(('2019'!Tnet-t)/('2019'!Tau_j))),Resal+(Salim-Resal)*(1-EXP((Tnet-t)/(Tau_j))))*Salcycl</f>
        <v>0.10213077793286589</v>
      </c>
      <c r="P278" s="169">
        <f>(INDEX(Models!$BJ278:$BT278,,T278)*(1-R278)+INDEX(Models!$BJ278:$BT278,,T278+1)*R278-ERP_i)*Q278*Ramure*Pc/MaxiM</f>
        <v>9.9106288759766552E-4</v>
      </c>
      <c r="Q278" s="305">
        <f t="shared" si="101"/>
        <v>0.7</v>
      </c>
      <c r="R278" s="177">
        <f t="shared" si="102"/>
        <v>0.59369130993519525</v>
      </c>
      <c r="S278" s="810">
        <f t="shared" si="103"/>
        <v>-1</v>
      </c>
      <c r="T278" s="176">
        <f t="shared" si="104"/>
        <v>5</v>
      </c>
      <c r="U278" s="251">
        <f t="shared" si="105"/>
        <v>-0.40630869006480469</v>
      </c>
      <c r="V278" s="383">
        <f t="shared" si="106"/>
        <v>39.070315191085577</v>
      </c>
      <c r="W278" s="402"/>
      <c r="X278" s="157">
        <f t="shared" si="107"/>
        <v>44094</v>
      </c>
      <c r="Y278" s="385">
        <f t="shared" si="108"/>
        <v>28.735000000000003</v>
      </c>
      <c r="Z278" s="385">
        <f t="shared" si="109"/>
        <v>29.262040043731592</v>
      </c>
      <c r="AA278" s="386">
        <f t="shared" si="110"/>
        <v>32.590536934056587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0.10213077793286589</v>
      </c>
      <c r="AD278" s="231">
        <f>(INDEX(Models!$BJ278:$BT278,,AH278)*(1-AF278)+INDEX(Models!$BJ278:$BT278,,AH278+1)*AF278-ERP_i)*AE278*Ramure*Pc/MaxiM</f>
        <v>9.9106288759766552E-4</v>
      </c>
      <c r="AE278" s="305">
        <f t="shared" si="112"/>
        <v>0.7</v>
      </c>
      <c r="AF278" s="177">
        <f t="shared" si="113"/>
        <v>0.59369130993519525</v>
      </c>
      <c r="AG278" s="810">
        <f t="shared" si="119"/>
        <v>-1</v>
      </c>
      <c r="AH278" s="176">
        <f t="shared" si="114"/>
        <v>5</v>
      </c>
      <c r="AI278" s="225">
        <f t="shared" si="115"/>
        <v>-0.40630869006480469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6">
        <v>25.132000000000001</v>
      </c>
      <c r="C279" s="390"/>
      <c r="D279" s="393">
        <f t="shared" si="98"/>
        <v>25.593551589558412</v>
      </c>
      <c r="E279" s="385">
        <f t="shared" si="96"/>
        <v>28.506551993361949</v>
      </c>
      <c r="F279" s="385">
        <f t="shared" si="99"/>
        <v>28.520868337639381</v>
      </c>
      <c r="G279" s="110">
        <f t="shared" si="97"/>
        <v>0.64920168161636238</v>
      </c>
      <c r="H279" s="414" t="b">
        <f>Wh_hp&gt;='2019'!Maxi_hp</f>
        <v>1</v>
      </c>
      <c r="I279" s="380">
        <f>IF(H279,Wh_hp,'2019'!Maxi_hp)</f>
        <v>28.520868337639381</v>
      </c>
      <c r="J279" s="85">
        <f>IF(H279,An,'2019'!An_max)</f>
        <v>2020</v>
      </c>
      <c r="K279" s="197">
        <f t="shared" si="100"/>
        <v>44095</v>
      </c>
      <c r="L279" s="147">
        <f>IF(t&lt;Tvie,1-EXP((T0-t)*PertePVj)+'2019'!Pspv,1-EXP((T0-t)*PertePVj)+Pspv)</f>
        <v>1.803390154521245E-2</v>
      </c>
      <c r="M279" s="844"/>
      <c r="N279" s="844"/>
      <c r="O279" s="48">
        <f>IF(t&lt;Tnet,'2019'!Resal+('2019'!Salim-'2019'!Resal)*(1-EXP(('2019'!Tnet-t)/('2019'!Tau_j))),Resal+(Salim-Resal)*(1-EXP((Tnet-t)/(Tau_j))))*Salcycl</f>
        <v>0.10218704824357086</v>
      </c>
      <c r="P279" s="169">
        <f>(INDEX(Models!$BJ279:$BT279,,T279)*(1-R279)+INDEX(Models!$BJ279:$BT279,,T279+1)*R279-ERP_i)*Q279*Ramure*Pc/MaxiM</f>
        <v>1.0052741392472121E-3</v>
      </c>
      <c r="Q279" s="305">
        <f t="shared" si="101"/>
        <v>0.7</v>
      </c>
      <c r="R279" s="177">
        <f t="shared" si="102"/>
        <v>0.5939188904110434</v>
      </c>
      <c r="S279" s="810">
        <f t="shared" si="103"/>
        <v>-1</v>
      </c>
      <c r="T279" s="176">
        <f t="shared" si="104"/>
        <v>5</v>
      </c>
      <c r="U279" s="251">
        <f t="shared" si="105"/>
        <v>-0.4060811095889566</v>
      </c>
      <c r="V279" s="383">
        <f t="shared" si="106"/>
        <v>38.692666818109487</v>
      </c>
      <c r="W279" s="402"/>
      <c r="X279" s="157">
        <f t="shared" si="107"/>
        <v>44095</v>
      </c>
      <c r="Y279" s="385">
        <f t="shared" si="108"/>
        <v>25.132000000000001</v>
      </c>
      <c r="Z279" s="385">
        <f t="shared" si="109"/>
        <v>25.593551589558412</v>
      </c>
      <c r="AA279" s="386">
        <f t="shared" si="110"/>
        <v>28.506551993361949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0.10218704824357086</v>
      </c>
      <c r="AD279" s="231">
        <f>(INDEX(Models!$BJ279:$BT279,,AH279)*(1-AF279)+INDEX(Models!$BJ279:$BT279,,AH279+1)*AF279-ERP_i)*AE279*Ramure*Pc/MaxiM</f>
        <v>1.0052741392472121E-3</v>
      </c>
      <c r="AE279" s="305">
        <f t="shared" si="112"/>
        <v>0.7</v>
      </c>
      <c r="AF279" s="177">
        <f t="shared" si="113"/>
        <v>0.5939188904110434</v>
      </c>
      <c r="AG279" s="810">
        <f t="shared" si="119"/>
        <v>-1</v>
      </c>
      <c r="AH279" s="176">
        <f t="shared" si="114"/>
        <v>5</v>
      </c>
      <c r="AI279" s="225">
        <f t="shared" si="115"/>
        <v>-0.4060811095889566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6">
        <v>23.923999999999999</v>
      </c>
      <c r="C280" s="390"/>
      <c r="D280" s="393">
        <f t="shared" si="98"/>
        <v>24.363933538066917</v>
      </c>
      <c r="E280" s="385">
        <f t="shared" si="96"/>
        <v>27.138645679229242</v>
      </c>
      <c r="F280" s="385">
        <f t="shared" si="99"/>
        <v>27.15144725489758</v>
      </c>
      <c r="G280" s="110">
        <f t="shared" si="97"/>
        <v>0.62410427544217273</v>
      </c>
      <c r="H280" s="414" t="b">
        <f>Wh_hp&gt;='2019'!Maxi_hp</f>
        <v>0</v>
      </c>
      <c r="I280" s="380">
        <f>IF(H280,Wh_hp,'2019'!Maxi_hp)</f>
        <v>39.201858465251448</v>
      </c>
      <c r="J280" s="85">
        <f>IF(H280,An,'2019'!An_max)</f>
        <v>2019</v>
      </c>
      <c r="K280" s="197">
        <f t="shared" si="100"/>
        <v>44096</v>
      </c>
      <c r="L280" s="147">
        <f>IF(t&lt;Tvie,1-EXP((T0-t)*PertePVj)+'2019'!Pspv,1-EXP((T0-t)*PertePVj)+Pspv)</f>
        <v>1.8056753330883635E-2</v>
      </c>
      <c r="M280" s="844"/>
      <c r="N280" s="844"/>
      <c r="O280" s="48">
        <f>IF(t&lt;Tnet,'2019'!Resal+('2019'!Salim-'2019'!Resal)*(1-EXP(('2019'!Tnet-t)/('2019'!Tau_j))),Resal+(Salim-Resal)*(1-EXP((Tnet-t)/(Tau_j))))*Salcycl</f>
        <v>0.10224210058079536</v>
      </c>
      <c r="P280" s="169">
        <f>(INDEX(Models!$BJ280:$BT280,,T280)*(1-R280)+INDEX(Models!$BJ280:$BT280,,T280+1)*R280-ERP_i)*Q280*Ramure*Pc/MaxiM</f>
        <v>1.0172485631366531E-3</v>
      </c>
      <c r="Q280" s="305">
        <f t="shared" si="101"/>
        <v>0.7</v>
      </c>
      <c r="R280" s="177">
        <f t="shared" si="102"/>
        <v>0.59413755461549567</v>
      </c>
      <c r="S280" s="810">
        <f t="shared" si="103"/>
        <v>-1</v>
      </c>
      <c r="T280" s="176">
        <f t="shared" si="104"/>
        <v>5</v>
      </c>
      <c r="U280" s="251">
        <f t="shared" si="105"/>
        <v>-0.40586244538450439</v>
      </c>
      <c r="V280" s="383">
        <f t="shared" si="106"/>
        <v>38.31240707834597</v>
      </c>
      <c r="W280" s="402"/>
      <c r="X280" s="157">
        <f t="shared" si="107"/>
        <v>44096</v>
      </c>
      <c r="Y280" s="385">
        <f t="shared" si="108"/>
        <v>23.923999999999999</v>
      </c>
      <c r="Z280" s="385">
        <f t="shared" si="109"/>
        <v>24.363933538066917</v>
      </c>
      <c r="AA280" s="386">
        <f t="shared" si="110"/>
        <v>27.138645679229242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0.10224210058079536</v>
      </c>
      <c r="AD280" s="231">
        <f>(INDEX(Models!$BJ280:$BT280,,AH280)*(1-AF280)+INDEX(Models!$BJ280:$BT280,,AH280+1)*AF280-ERP_i)*AE280*Ramure*Pc/MaxiM</f>
        <v>1.0172485631366531E-3</v>
      </c>
      <c r="AE280" s="305">
        <f t="shared" si="112"/>
        <v>0.7</v>
      </c>
      <c r="AF280" s="177">
        <f t="shared" si="113"/>
        <v>0.59413755461549567</v>
      </c>
      <c r="AG280" s="810">
        <f t="shared" si="119"/>
        <v>-1</v>
      </c>
      <c r="AH280" s="176">
        <f t="shared" si="114"/>
        <v>5</v>
      </c>
      <c r="AI280" s="225">
        <f t="shared" si="115"/>
        <v>-0.40586244538450439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6">
        <v>31.335000000000001</v>
      </c>
      <c r="C281" s="390"/>
      <c r="D281" s="393">
        <f t="shared" si="98"/>
        <v>31.911955537647117</v>
      </c>
      <c r="E281" s="385">
        <f t="shared" si="96"/>
        <v>35.548412308676347</v>
      </c>
      <c r="F281" s="385">
        <f t="shared" si="99"/>
        <v>35.57587035408131</v>
      </c>
      <c r="G281" s="110">
        <f t="shared" si="97"/>
        <v>0.82590528971124932</v>
      </c>
      <c r="H281" s="414" t="b">
        <f>Wh_hp&gt;='2019'!Maxi_hp</f>
        <v>1</v>
      </c>
      <c r="I281" s="380">
        <f>IF(H281,Wh_hp,'2019'!Maxi_hp)</f>
        <v>35.57587035408131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1.8079604584760434E-2</v>
      </c>
      <c r="M281" s="844"/>
      <c r="N281" s="844"/>
      <c r="O281" s="48">
        <f>IF(t&lt;Tnet,'2019'!Resal+('2019'!Salim-'2019'!Resal)*(1-EXP(('2019'!Tnet-t)/('2019'!Tau_j))),Resal+(Salim-Resal)*(1-EXP((Tnet-t)/(Tau_j))))*Salcycl</f>
        <v>0.1022958983217845</v>
      </c>
      <c r="P281" s="169">
        <f>(INDEX(Models!$BJ281:$BT281,,T281)*(1-R281)+INDEX(Models!$BJ281:$BT281,,T281+1)*R281-ERP_i)*Q281*Ramure*Pc/MaxiM</f>
        <v>1.0269054584582961E-3</v>
      </c>
      <c r="Q281" s="305">
        <f t="shared" si="101"/>
        <v>0.7</v>
      </c>
      <c r="R281" s="177">
        <f t="shared" si="102"/>
        <v>0.59434764244920446</v>
      </c>
      <c r="S281" s="810">
        <f t="shared" si="103"/>
        <v>-1</v>
      </c>
      <c r="T281" s="176">
        <f t="shared" si="104"/>
        <v>5</v>
      </c>
      <c r="U281" s="251">
        <f t="shared" si="105"/>
        <v>-0.40565235755079554</v>
      </c>
      <c r="V281" s="383">
        <f t="shared" si="106"/>
        <v>37.930500028455882</v>
      </c>
      <c r="W281" s="402"/>
      <c r="X281" s="157">
        <f t="shared" si="107"/>
        <v>44097</v>
      </c>
      <c r="Y281" s="385">
        <f t="shared" si="108"/>
        <v>31.335000000000001</v>
      </c>
      <c r="Z281" s="385">
        <f t="shared" si="109"/>
        <v>31.911955537647117</v>
      </c>
      <c r="AA281" s="386">
        <f t="shared" si="110"/>
        <v>35.548412308676347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0.1022958983217845</v>
      </c>
      <c r="AD281" s="231">
        <f>(INDEX(Models!$BJ281:$BT281,,AH281)*(1-AF281)+INDEX(Models!$BJ281:$BT281,,AH281+1)*AF281-ERP_i)*AE281*Ramure*Pc/MaxiM</f>
        <v>1.0269054584582961E-3</v>
      </c>
      <c r="AE281" s="305">
        <f t="shared" si="112"/>
        <v>0.7</v>
      </c>
      <c r="AF281" s="177">
        <f t="shared" si="113"/>
        <v>0.59434764244920446</v>
      </c>
      <c r="AG281" s="810">
        <f t="shared" si="119"/>
        <v>-1</v>
      </c>
      <c r="AH281" s="176">
        <f t="shared" si="114"/>
        <v>5</v>
      </c>
      <c r="AI281" s="225">
        <f t="shared" si="115"/>
        <v>-0.40565235755079554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6">
        <v>17.654</v>
      </c>
      <c r="C282" s="390"/>
      <c r="D282" s="393">
        <f t="shared" si="98"/>
        <v>17.979472599167252</v>
      </c>
      <c r="E282" s="385">
        <f t="shared" si="96"/>
        <v>20.029455417424312</v>
      </c>
      <c r="F282" s="385">
        <f t="shared" si="99"/>
        <v>20.034490798477684</v>
      </c>
      <c r="G282" s="110">
        <f t="shared" si="97"/>
        <v>0.46980449469326391</v>
      </c>
      <c r="H282" s="414" t="b">
        <f>Wh_hp&gt;='2019'!Maxi_hp</f>
        <v>0</v>
      </c>
      <c r="I282" s="380">
        <f>IF(H282,Wh_hp,'2019'!Maxi_hp)</f>
        <v>30.576343805576883</v>
      </c>
      <c r="J282" s="85">
        <f>IF(H282,An,'2019'!An_max)</f>
        <v>2019</v>
      </c>
      <c r="K282" s="197">
        <f t="shared" si="100"/>
        <v>44098</v>
      </c>
      <c r="L282" s="147">
        <f>IF(t&lt;Tvie,1-EXP((T0-t)*PertePVj)+'2019'!Pspv,1-EXP((T0-t)*PertePVj)+Pspv)</f>
        <v>1.810245530685517E-2</v>
      </c>
      <c r="M282" s="844"/>
      <c r="N282" s="844"/>
      <c r="O282" s="48">
        <f>IF(t&lt;Tnet,'2019'!Resal+('2019'!Salim-'2019'!Resal)*(1-EXP(('2019'!Tnet-t)/('2019'!Tau_j))),Resal+(Salim-Resal)*(1-EXP((Tnet-t)/(Tau_j))))*Salcycl</f>
        <v>0.10234840516301358</v>
      </c>
      <c r="P282" s="169">
        <f>(INDEX(Models!$BJ282:$BT282,,T282)*(1-R282)+INDEX(Models!$BJ282:$BT282,,T282+1)*R282-ERP_i)*Q282*Ramure*Pc/MaxiM</f>
        <v>1.0338622282592299E-3</v>
      </c>
      <c r="Q282" s="305">
        <f t="shared" si="101"/>
        <v>0.7</v>
      </c>
      <c r="R282" s="177">
        <f t="shared" si="102"/>
        <v>0.59454948159097909</v>
      </c>
      <c r="S282" s="810">
        <f t="shared" si="103"/>
        <v>-1</v>
      </c>
      <c r="T282" s="176">
        <f t="shared" si="104"/>
        <v>5</v>
      </c>
      <c r="U282" s="251">
        <f t="shared" si="105"/>
        <v>-0.40545051840902091</v>
      </c>
      <c r="V282" s="383">
        <f t="shared" si="106"/>
        <v>37.547920467790348</v>
      </c>
      <c r="W282" s="402"/>
      <c r="X282" s="157">
        <f t="shared" si="107"/>
        <v>44098</v>
      </c>
      <c r="Y282" s="385">
        <f t="shared" si="108"/>
        <v>17.654</v>
      </c>
      <c r="Z282" s="385">
        <f t="shared" si="109"/>
        <v>17.979472599167252</v>
      </c>
      <c r="AA282" s="386">
        <f t="shared" si="110"/>
        <v>20.029455417424312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0.10234840516301358</v>
      </c>
      <c r="AD282" s="231">
        <f>(INDEX(Models!$BJ282:$BT282,,AH282)*(1-AF282)+INDEX(Models!$BJ282:$BT282,,AH282+1)*AF282-ERP_i)*AE282*Ramure*Pc/MaxiM</f>
        <v>1.0338622282592299E-3</v>
      </c>
      <c r="AE282" s="305">
        <f t="shared" si="112"/>
        <v>0.7</v>
      </c>
      <c r="AF282" s="177">
        <f t="shared" si="113"/>
        <v>0.59454948159097909</v>
      </c>
      <c r="AG282" s="810">
        <f t="shared" si="119"/>
        <v>-1</v>
      </c>
      <c r="AH282" s="176">
        <f t="shared" si="114"/>
        <v>5</v>
      </c>
      <c r="AI282" s="225">
        <f t="shared" si="115"/>
        <v>-0.40545051840902091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6">
        <v>18.757999999999999</v>
      </c>
      <c r="C283" s="390"/>
      <c r="D283" s="393">
        <f t="shared" si="98"/>
        <v>19.104270743527273</v>
      </c>
      <c r="E283" s="385">
        <f t="shared" si="96"/>
        <v>21.283714258248484</v>
      </c>
      <c r="F283" s="385">
        <f t="shared" si="99"/>
        <v>21.290186063924299</v>
      </c>
      <c r="G283" s="110">
        <f t="shared" si="97"/>
        <v>0.50434301520052871</v>
      </c>
      <c r="H283" s="414" t="b">
        <f>Wh_hp&gt;='2019'!Maxi_hp</f>
        <v>0</v>
      </c>
      <c r="I283" s="380">
        <f>IF(H283,Wh_hp,'2019'!Maxi_hp)</f>
        <v>35.268607565700499</v>
      </c>
      <c r="J283" s="85">
        <f>IF(H283,An,'2019'!An_max)</f>
        <v>2019</v>
      </c>
      <c r="K283" s="197">
        <f t="shared" si="100"/>
        <v>44099</v>
      </c>
      <c r="L283" s="147">
        <f>IF(t&lt;Tvie,1-EXP((T0-t)*PertePVj)+'2019'!Pspv,1-EXP((T0-t)*PertePVj)+Pspv)</f>
        <v>1.8125305497180166E-2</v>
      </c>
      <c r="M283" s="844"/>
      <c r="N283" s="844"/>
      <c r="O283" s="48">
        <f>IF(t&lt;Tnet,'2019'!Resal+('2019'!Salim-'2019'!Resal)*(1-EXP(('2019'!Tnet-t)/('2019'!Tau_j))),Resal+(Salim-Resal)*(1-EXP((Tnet-t)/(Tau_j))))*Salcycl</f>
        <v>0.10239958534852858</v>
      </c>
      <c r="P283" s="169">
        <f>(INDEX(Models!$BJ283:$BT283,,T283)*(1-R283)+INDEX(Models!$BJ283:$BT283,,T283+1)*R283-ERP_i)*Q283*Ramure*Pc/MaxiM</f>
        <v>1.0394313882878569E-3</v>
      </c>
      <c r="Q283" s="305">
        <f t="shared" si="101"/>
        <v>0.7</v>
      </c>
      <c r="R283" s="177">
        <f t="shared" si="102"/>
        <v>0.59474338787928138</v>
      </c>
      <c r="S283" s="810">
        <f t="shared" si="103"/>
        <v>-1</v>
      </c>
      <c r="T283" s="176">
        <f t="shared" si="104"/>
        <v>5</v>
      </c>
      <c r="U283" s="251">
        <f t="shared" si="105"/>
        <v>-0.40525661212071856</v>
      </c>
      <c r="V283" s="383">
        <f t="shared" si="106"/>
        <v>37.16557909239868</v>
      </c>
      <c r="W283" s="402"/>
      <c r="X283" s="157">
        <f t="shared" si="107"/>
        <v>44099</v>
      </c>
      <c r="Y283" s="385">
        <f t="shared" si="108"/>
        <v>18.757999999999999</v>
      </c>
      <c r="Z283" s="385">
        <f t="shared" si="109"/>
        <v>19.104270743527273</v>
      </c>
      <c r="AA283" s="386">
        <f t="shared" si="110"/>
        <v>21.283714258248484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0.10239958534852858</v>
      </c>
      <c r="AD283" s="231">
        <f>(INDEX(Models!$BJ283:$BT283,,AH283)*(1-AF283)+INDEX(Models!$BJ283:$BT283,,AH283+1)*AF283-ERP_i)*AE283*Ramure*Pc/MaxiM</f>
        <v>1.0394313882878569E-3</v>
      </c>
      <c r="AE283" s="305">
        <f t="shared" si="112"/>
        <v>0.7</v>
      </c>
      <c r="AF283" s="177">
        <f t="shared" si="113"/>
        <v>0.59474338787928138</v>
      </c>
      <c r="AG283" s="810">
        <f t="shared" si="119"/>
        <v>-1</v>
      </c>
      <c r="AH283" s="176">
        <f t="shared" si="114"/>
        <v>5</v>
      </c>
      <c r="AI283" s="225">
        <f t="shared" si="115"/>
        <v>-0.40525661212071856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6">
        <v>13.233000000000001</v>
      </c>
      <c r="C284" s="390"/>
      <c r="D284" s="393">
        <f t="shared" si="98"/>
        <v>13.477593457187124</v>
      </c>
      <c r="E284" s="385">
        <f t="shared" si="96"/>
        <v>15.015970705091336</v>
      </c>
      <c r="F284" s="385">
        <f t="shared" si="99"/>
        <v>15.017308236507207</v>
      </c>
      <c r="G284" s="110">
        <f t="shared" si="97"/>
        <v>0.35940111116270546</v>
      </c>
      <c r="H284" s="414" t="b">
        <f>Wh_hp&gt;='2019'!Maxi_hp</f>
        <v>0</v>
      </c>
      <c r="I284" s="380">
        <f>IF(H284,Wh_hp,'2019'!Maxi_hp)</f>
        <v>33.919915372274694</v>
      </c>
      <c r="J284" s="85">
        <f>IF(H284,An,'2019'!An_max)</f>
        <v>2019</v>
      </c>
      <c r="K284" s="197">
        <f t="shared" si="100"/>
        <v>44100</v>
      </c>
      <c r="L284" s="147">
        <f>IF(t&lt;Tvie,1-EXP((T0-t)*PertePVj)+'2019'!Pspv,1-EXP((T0-t)*PertePVj)+Pspv)</f>
        <v>1.8148155155747858E-2</v>
      </c>
      <c r="M284" s="844"/>
      <c r="N284" s="844"/>
      <c r="O284" s="48">
        <f>IF(t&lt;Tnet,'2019'!Resal+('2019'!Salim-'2019'!Resal)*(1-EXP(('2019'!Tnet-t)/('2019'!Tau_j))),Resal+(Salim-Resal)*(1-EXP((Tnet-t)/(Tau_j))))*Salcycl</f>
        <v>0.10244940391250279</v>
      </c>
      <c r="P284" s="169">
        <f>(INDEX(Models!$BJ284:$BT284,,T284)*(1-R284)+INDEX(Models!$BJ284:$BT284,,T284+1)*R284-ERP_i)*Q284*Ramure*Pc/MaxiM</f>
        <v>1.0435467885735361E-3</v>
      </c>
      <c r="Q284" s="305">
        <f t="shared" si="101"/>
        <v>0.7</v>
      </c>
      <c r="R284" s="177">
        <f t="shared" si="102"/>
        <v>0.59492966568653682</v>
      </c>
      <c r="S284" s="810">
        <f t="shared" si="103"/>
        <v>-1</v>
      </c>
      <c r="T284" s="176">
        <f t="shared" si="104"/>
        <v>5</v>
      </c>
      <c r="U284" s="251">
        <f t="shared" si="105"/>
        <v>-0.40507033431346318</v>
      </c>
      <c r="V284" s="383">
        <f t="shared" si="106"/>
        <v>36.784438945538383</v>
      </c>
      <c r="W284" s="402"/>
      <c r="X284" s="157">
        <f t="shared" si="107"/>
        <v>44100</v>
      </c>
      <c r="Y284" s="385">
        <f t="shared" si="108"/>
        <v>13.233000000000001</v>
      </c>
      <c r="Z284" s="385">
        <f t="shared" si="109"/>
        <v>13.477593457187124</v>
      </c>
      <c r="AA284" s="386">
        <f t="shared" si="110"/>
        <v>15.015970705091336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0.10244940391250279</v>
      </c>
      <c r="AD284" s="231">
        <f>(INDEX(Models!$BJ284:$BT284,,AH284)*(1-AF284)+INDEX(Models!$BJ284:$BT284,,AH284+1)*AF284-ERP_i)*AE284*Ramure*Pc/MaxiM</f>
        <v>1.0435467885735361E-3</v>
      </c>
      <c r="AE284" s="305">
        <f t="shared" si="112"/>
        <v>0.7</v>
      </c>
      <c r="AF284" s="177">
        <f t="shared" si="113"/>
        <v>0.59492966568653682</v>
      </c>
      <c r="AG284" s="810">
        <f t="shared" si="119"/>
        <v>-1</v>
      </c>
      <c r="AH284" s="176">
        <f t="shared" si="114"/>
        <v>5</v>
      </c>
      <c r="AI284" s="225">
        <f t="shared" si="115"/>
        <v>-0.40507033431346318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6">
        <v>11.457000000000001</v>
      </c>
      <c r="C285" s="390"/>
      <c r="D285" s="393">
        <f t="shared" si="98"/>
        <v>11.66903814205272</v>
      </c>
      <c r="E285" s="385">
        <f t="shared" si="96"/>
        <v>13.001682327070945</v>
      </c>
      <c r="F285" s="385">
        <f t="shared" si="99"/>
        <v>13.001968073755947</v>
      </c>
      <c r="G285" s="110">
        <f t="shared" si="97"/>
        <v>0.3143832017834392</v>
      </c>
      <c r="H285" s="414" t="b">
        <f>Wh_hp&gt;='2019'!Maxi_hp</f>
        <v>0</v>
      </c>
      <c r="I285" s="380">
        <f>IF(H285,Wh_hp,'2019'!Maxi_hp)</f>
        <v>35.820962356484351</v>
      </c>
      <c r="J285" s="85">
        <f>IF(H285,An,'2019'!An_max)</f>
        <v>2019</v>
      </c>
      <c r="K285" s="197">
        <f t="shared" si="100"/>
        <v>44101</v>
      </c>
      <c r="L285" s="147">
        <f>IF(t&lt;Tvie,1-EXP((T0-t)*PertePVj)+'2019'!Pspv,1-EXP((T0-t)*PertePVj)+Pspv)</f>
        <v>1.8171004282570569E-2</v>
      </c>
      <c r="M285" s="844"/>
      <c r="N285" s="844"/>
      <c r="O285" s="48">
        <f>IF(t&lt;Tnet,'2019'!Resal+('2019'!Salim-'2019'!Resal)*(1-EXP(('2019'!Tnet-t)/('2019'!Tau_j))),Resal+(Salim-Resal)*(1-EXP((Tnet-t)/(Tau_j))))*Salcycl</f>
        <v>0.1024978269345585</v>
      </c>
      <c r="P285" s="169">
        <f>(INDEX(Models!$BJ285:$BT285,,T285)*(1-R285)+INDEX(Models!$BJ285:$BT285,,T285+1)*R285-ERP_i)*Q285*Ramure*Pc/MaxiM</f>
        <v>1.0461399857917232E-3</v>
      </c>
      <c r="Q285" s="305">
        <f t="shared" si="101"/>
        <v>0.7</v>
      </c>
      <c r="R285" s="177">
        <f t="shared" si="102"/>
        <v>0.59510860828596612</v>
      </c>
      <c r="S285" s="810">
        <f t="shared" si="103"/>
        <v>-1</v>
      </c>
      <c r="T285" s="176">
        <f t="shared" si="104"/>
        <v>5</v>
      </c>
      <c r="U285" s="251">
        <f t="shared" si="105"/>
        <v>-0.40489139171403388</v>
      </c>
      <c r="V285" s="383">
        <f t="shared" si="106"/>
        <v>36.405462645606136</v>
      </c>
      <c r="W285" s="402"/>
      <c r="X285" s="157">
        <f t="shared" si="107"/>
        <v>44101</v>
      </c>
      <c r="Y285" s="385">
        <f t="shared" si="108"/>
        <v>11.457000000000001</v>
      </c>
      <c r="Z285" s="385">
        <f t="shared" si="109"/>
        <v>11.66903814205272</v>
      </c>
      <c r="AA285" s="386">
        <f t="shared" si="110"/>
        <v>13.001682327070945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0.1024978269345585</v>
      </c>
      <c r="AD285" s="231">
        <f>(INDEX(Models!$BJ285:$BT285,,AH285)*(1-AF285)+INDEX(Models!$BJ285:$BT285,,AH285+1)*AF285-ERP_i)*AE285*Ramure*Pc/MaxiM</f>
        <v>1.0461399857917232E-3</v>
      </c>
      <c r="AE285" s="305">
        <f t="shared" si="112"/>
        <v>0.7</v>
      </c>
      <c r="AF285" s="177">
        <f t="shared" si="113"/>
        <v>0.59510860828596612</v>
      </c>
      <c r="AG285" s="810">
        <f t="shared" si="119"/>
        <v>-1</v>
      </c>
      <c r="AH285" s="176">
        <f t="shared" si="114"/>
        <v>5</v>
      </c>
      <c r="AI285" s="225">
        <f t="shared" si="115"/>
        <v>-0.40489139171403388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6">
        <v>28.690999999999999</v>
      </c>
      <c r="C286" s="390"/>
      <c r="D286" s="393">
        <f t="shared" si="98"/>
        <v>29.222673013499598</v>
      </c>
      <c r="E286" s="385">
        <f t="shared" si="96"/>
        <v>32.561707507569174</v>
      </c>
      <c r="F286" s="385">
        <f t="shared" si="99"/>
        <v>32.585900858247022</v>
      </c>
      <c r="G286" s="110">
        <f t="shared" si="97"/>
        <v>0.7960743865432971</v>
      </c>
      <c r="H286" s="414" t="b">
        <f>Wh_hp&gt;='2019'!Maxi_hp</f>
        <v>0</v>
      </c>
      <c r="I286" s="380">
        <f>IF(H286,Wh_hp,'2019'!Maxi_hp)</f>
        <v>39.441971628235159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1.8193852877660732E-2</v>
      </c>
      <c r="M286" s="844"/>
      <c r="N286" s="844"/>
      <c r="O286" s="48">
        <f>IF(t&lt;Tnet,'2019'!Resal+('2019'!Salim-'2019'!Resal)*(1-EXP(('2019'!Tnet-t)/('2019'!Tau_j))),Resal+(Salim-Resal)*(1-EXP((Tnet-t)/(Tau_j))))*Salcycl</f>
        <v>0.10254482180620893</v>
      </c>
      <c r="P286" s="169">
        <f>(INDEX(Models!$BJ286:$BT286,,T286)*(1-R286)+INDEX(Models!$BJ286:$BT286,,T286+1)*R286-ERP_i)*Q286*Ramure*Pc/MaxiM</f>
        <v>1.0471406132116796E-3</v>
      </c>
      <c r="Q286" s="305">
        <f t="shared" si="101"/>
        <v>0.7</v>
      </c>
      <c r="R286" s="177">
        <f t="shared" si="102"/>
        <v>0.59528049821069429</v>
      </c>
      <c r="S286" s="810">
        <f t="shared" si="103"/>
        <v>-1</v>
      </c>
      <c r="T286" s="176">
        <f t="shared" si="104"/>
        <v>5</v>
      </c>
      <c r="U286" s="251">
        <f t="shared" si="105"/>
        <v>-0.40471950178930566</v>
      </c>
      <c r="V286" s="383">
        <f t="shared" si="106"/>
        <v>36.029612390421526</v>
      </c>
      <c r="W286" s="402"/>
      <c r="X286" s="157">
        <f t="shared" si="107"/>
        <v>44102</v>
      </c>
      <c r="Y286" s="385">
        <f t="shared" si="108"/>
        <v>28.690999999999999</v>
      </c>
      <c r="Z286" s="385">
        <f t="shared" si="109"/>
        <v>29.222673013499598</v>
      </c>
      <c r="AA286" s="386">
        <f t="shared" si="110"/>
        <v>32.561707507569174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0.10254482180620893</v>
      </c>
      <c r="AD286" s="231">
        <f>(INDEX(Models!$BJ286:$BT286,,AH286)*(1-AF286)+INDEX(Models!$BJ286:$BT286,,AH286+1)*AF286-ERP_i)*AE286*Ramure*Pc/MaxiM</f>
        <v>1.0471406132116796E-3</v>
      </c>
      <c r="AE286" s="305">
        <f t="shared" si="112"/>
        <v>0.7</v>
      </c>
      <c r="AF286" s="177">
        <f t="shared" si="113"/>
        <v>0.59528049821069429</v>
      </c>
      <c r="AG286" s="810">
        <f t="shared" si="119"/>
        <v>-1</v>
      </c>
      <c r="AH286" s="176">
        <f t="shared" si="114"/>
        <v>5</v>
      </c>
      <c r="AI286" s="225">
        <f t="shared" si="115"/>
        <v>-0.40471950178930566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6">
        <v>29.393000000000001</v>
      </c>
      <c r="C287" s="390"/>
      <c r="D287" s="393">
        <f t="shared" si="98"/>
        <v>29.938378487567405</v>
      </c>
      <c r="E287" s="385">
        <f t="shared" si="96"/>
        <v>33.360883447145824</v>
      </c>
      <c r="F287" s="385">
        <f t="shared" si="99"/>
        <v>33.387052918801814</v>
      </c>
      <c r="G287" s="110">
        <f t="shared" si="97"/>
        <v>0.8240898912464143</v>
      </c>
      <c r="H287" s="414" t="b">
        <f>Wh_hp&gt;='2019'!Maxi_hp</f>
        <v>1</v>
      </c>
      <c r="I287" s="380">
        <f>IF(H287,Wh_hp,'2019'!Maxi_hp)</f>
        <v>33.387052918801814</v>
      </c>
      <c r="J287" s="85">
        <f>IF(H287,An,'2019'!An_max)</f>
        <v>2020</v>
      </c>
      <c r="K287" s="197">
        <f t="shared" si="100"/>
        <v>44103</v>
      </c>
      <c r="L287" s="147">
        <f>IF(t&lt;Tvie,1-EXP((T0-t)*PertePVj)+'2019'!Pspv,1-EXP((T0-t)*PertePVj)+Pspv)</f>
        <v>1.8216700941030783E-2</v>
      </c>
      <c r="M287" s="844"/>
      <c r="N287" s="844"/>
      <c r="O287" s="48">
        <f>IF(t&lt;Tnet,'2019'!Resal+('2019'!Salim-'2019'!Resal)*(1-EXP(('2019'!Tnet-t)/('2019'!Tau_j))),Resal+(Salim-Resal)*(1-EXP((Tnet-t)/(Tau_j))))*Salcycl</f>
        <v>0.10259035750659139</v>
      </c>
      <c r="P287" s="169">
        <f>(INDEX(Models!$BJ287:$BT287,,T287)*(1-R287)+INDEX(Models!$BJ287:$BT287,,T287+1)*R287-ERP_i)*Q287*Ramure*Pc/MaxiM</f>
        <v>1.0464768112109961E-3</v>
      </c>
      <c r="Q287" s="305">
        <f t="shared" si="101"/>
        <v>0.7</v>
      </c>
      <c r="R287" s="177">
        <f t="shared" si="102"/>
        <v>0.59544560760494147</v>
      </c>
      <c r="S287" s="810">
        <f t="shared" si="103"/>
        <v>-1</v>
      </c>
      <c r="T287" s="176">
        <f t="shared" si="104"/>
        <v>5</v>
      </c>
      <c r="U287" s="251">
        <f t="shared" si="105"/>
        <v>-0.40455439239505847</v>
      </c>
      <c r="V287" s="383">
        <f t="shared" si="106"/>
        <v>35.657849965732005</v>
      </c>
      <c r="W287" s="402"/>
      <c r="X287" s="157">
        <f t="shared" si="107"/>
        <v>44103</v>
      </c>
      <c r="Y287" s="385">
        <f t="shared" si="108"/>
        <v>29.393000000000001</v>
      </c>
      <c r="Z287" s="385">
        <f t="shared" si="109"/>
        <v>29.938378487567405</v>
      </c>
      <c r="AA287" s="386">
        <f t="shared" si="110"/>
        <v>33.360883447145824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0.10259035750659139</v>
      </c>
      <c r="AD287" s="231">
        <f>(INDEX(Models!$BJ287:$BT287,,AH287)*(1-AF287)+INDEX(Models!$BJ287:$BT287,,AH287+1)*AF287-ERP_i)*AE287*Ramure*Pc/MaxiM</f>
        <v>1.0464768112109961E-3</v>
      </c>
      <c r="AE287" s="305">
        <f t="shared" si="112"/>
        <v>0.7</v>
      </c>
      <c r="AF287" s="177">
        <f t="shared" si="113"/>
        <v>0.59544560760494147</v>
      </c>
      <c r="AG287" s="810">
        <f t="shared" si="119"/>
        <v>-1</v>
      </c>
      <c r="AH287" s="176">
        <f t="shared" si="114"/>
        <v>5</v>
      </c>
      <c r="AI287" s="225">
        <f t="shared" si="115"/>
        <v>-0.40455439239505847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6">
        <v>34.659999999999997</v>
      </c>
      <c r="C288" s="390"/>
      <c r="D288" s="393">
        <f t="shared" si="98"/>
        <v>35.303927700571009</v>
      </c>
      <c r="E288" s="385">
        <f t="shared" si="96"/>
        <v>39.341744204118029</v>
      </c>
      <c r="F288" s="385">
        <f t="shared" si="99"/>
        <v>39.381811318036526</v>
      </c>
      <c r="G288" s="110">
        <f t="shared" si="97"/>
        <v>0.98209005781552072</v>
      </c>
      <c r="H288" s="414" t="b">
        <f>Wh_hp&gt;='2019'!Maxi_hp</f>
        <v>1</v>
      </c>
      <c r="I288" s="380">
        <f>IF(H288,Wh_hp,'2019'!Maxi_hp)</f>
        <v>39.381811318036526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1.8239548472692935E-2</v>
      </c>
      <c r="M288" s="844"/>
      <c r="N288" s="844"/>
      <c r="O288" s="48">
        <f>IF(t&lt;Tnet,'2019'!Resal+('2019'!Salim-'2019'!Resal)*(1-EXP(('2019'!Tnet-t)/('2019'!Tau_j))),Resal+(Salim-Resal)*(1-EXP((Tnet-t)/(Tau_j))))*Salcycl</f>
        <v>0.10263440488549484</v>
      </c>
      <c r="P288" s="169">
        <f>(INDEX(Models!$BJ288:$BT288,,T288)*(1-R288)+INDEX(Models!$BJ288:$BT288,,T288+1)*R288-ERP_i)*Q288*Ramure*Pc/MaxiM</f>
        <v>1.0440757233259267E-3</v>
      </c>
      <c r="Q288" s="305">
        <f t="shared" si="101"/>
        <v>0.7</v>
      </c>
      <c r="R288" s="177">
        <f t="shared" si="102"/>
        <v>0.59560419856714009</v>
      </c>
      <c r="S288" s="810">
        <f t="shared" si="103"/>
        <v>-1</v>
      </c>
      <c r="T288" s="176">
        <f t="shared" si="104"/>
        <v>5</v>
      </c>
      <c r="U288" s="251">
        <f t="shared" si="105"/>
        <v>-0.40439580143285986</v>
      </c>
      <c r="V288" s="383">
        <f t="shared" si="106"/>
        <v>35.291136748647148</v>
      </c>
      <c r="W288" s="402"/>
      <c r="X288" s="157">
        <f t="shared" si="107"/>
        <v>44104</v>
      </c>
      <c r="Y288" s="385">
        <f t="shared" si="108"/>
        <v>34.659999999999997</v>
      </c>
      <c r="Z288" s="385">
        <f t="shared" si="109"/>
        <v>35.303927700571009</v>
      </c>
      <c r="AA288" s="386">
        <f t="shared" si="110"/>
        <v>39.341744204118029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0.10263440488549484</v>
      </c>
      <c r="AD288" s="231">
        <f>(INDEX(Models!$BJ288:$BT288,,AH288)*(1-AF288)+INDEX(Models!$BJ288:$BT288,,AH288+1)*AF288-ERP_i)*AE288*Ramure*Pc/MaxiM</f>
        <v>1.0440757233259267E-3</v>
      </c>
      <c r="AE288" s="305">
        <f t="shared" si="112"/>
        <v>0.7</v>
      </c>
      <c r="AF288" s="177">
        <f t="shared" si="113"/>
        <v>0.59560419856714009</v>
      </c>
      <c r="AG288" s="810">
        <f t="shared" si="119"/>
        <v>-1</v>
      </c>
      <c r="AH288" s="176">
        <f t="shared" si="114"/>
        <v>5</v>
      </c>
      <c r="AI288" s="225">
        <f t="shared" si="115"/>
        <v>-0.40439580143285986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6">
        <v>7.5579999999999998</v>
      </c>
      <c r="C289" s="390"/>
      <c r="D289" s="393">
        <f t="shared" si="98"/>
        <v>7.6985947825018028</v>
      </c>
      <c r="E289" s="385">
        <f t="shared" si="96"/>
        <v>8.5795128861922301</v>
      </c>
      <c r="F289" s="385">
        <f t="shared" si="99"/>
        <v>8.5795128861922301</v>
      </c>
      <c r="G289" s="110">
        <f t="shared" si="97"/>
        <v>0.21616538846462743</v>
      </c>
      <c r="H289" s="414" t="b">
        <f>Wh_hp&gt;='2019'!Maxi_hp</f>
        <v>0</v>
      </c>
      <c r="I289" s="380">
        <f>IF(H289,Wh_hp,'2019'!Maxi_hp)</f>
        <v>38.111872481927541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1.8262395472659732E-2</v>
      </c>
      <c r="M289" s="844"/>
      <c r="N289" s="844"/>
      <c r="O289" s="48">
        <f>IF(t&lt;Tnet,'2019'!Resal+('2019'!Salim-'2019'!Resal)*(1-EXP(('2019'!Tnet-t)/('2019'!Tau_j))),Resal+(Salim-Resal)*(1-EXP((Tnet-t)/(Tau_j))))*Salcycl</f>
        <v>0.10267693695153322</v>
      </c>
      <c r="P289" s="169">
        <f>(INDEX(Models!$BJ289:$BT289,,T289)*(1-R289)+INDEX(Models!$BJ289:$BT289,,T289+1)*R289-ERP_i)*Q289*Ramure*Pc/MaxiM</f>
        <v>1.0399480848662739E-3</v>
      </c>
      <c r="Q289" s="305">
        <f t="shared" si="101"/>
        <v>0.7</v>
      </c>
      <c r="R289" s="177">
        <f t="shared" si="102"/>
        <v>0.59575652348486519</v>
      </c>
      <c r="S289" s="810">
        <f t="shared" si="103"/>
        <v>-1</v>
      </c>
      <c r="T289" s="176">
        <f t="shared" si="104"/>
        <v>5</v>
      </c>
      <c r="U289" s="251">
        <f t="shared" si="105"/>
        <v>-0.40424347651513476</v>
      </c>
      <c r="V289" s="383">
        <f t="shared" si="106"/>
        <v>34.927608559360365</v>
      </c>
      <c r="W289" s="402"/>
      <c r="X289" s="157">
        <f t="shared" si="107"/>
        <v>44105</v>
      </c>
      <c r="Y289" s="385">
        <f t="shared" si="108"/>
        <v>7.5580000000000007</v>
      </c>
      <c r="Z289" s="385">
        <f t="shared" si="109"/>
        <v>7.6985947825018037</v>
      </c>
      <c r="AA289" s="386">
        <f t="shared" si="110"/>
        <v>8.5795128861922301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0.10267693695153322</v>
      </c>
      <c r="AD289" s="231">
        <f>(INDEX(Models!$BJ289:$BT289,,AH289)*(1-AF289)+INDEX(Models!$BJ289:$BT289,,AH289+1)*AF289-ERP_i)*AE289*Ramure*Pc/MaxiM</f>
        <v>1.0399480848662739E-3</v>
      </c>
      <c r="AE289" s="305">
        <f t="shared" si="112"/>
        <v>0.7</v>
      </c>
      <c r="AF289" s="177">
        <f t="shared" si="113"/>
        <v>0.59575652348486519</v>
      </c>
      <c r="AG289" s="810">
        <f t="shared" si="119"/>
        <v>-1</v>
      </c>
      <c r="AH289" s="176">
        <f t="shared" si="114"/>
        <v>5</v>
      </c>
      <c r="AI289" s="225">
        <f t="shared" si="115"/>
        <v>-0.40424347651513476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6">
        <v>5.33</v>
      </c>
      <c r="C290" s="390"/>
      <c r="D290" s="393">
        <f t="shared" si="98"/>
        <v>5.4292756182436506</v>
      </c>
      <c r="E290" s="385">
        <f t="shared" si="96"/>
        <v>6.0508014087256043</v>
      </c>
      <c r="F290" s="385">
        <f t="shared" si="99"/>
        <v>6.0508014087256043</v>
      </c>
      <c r="G290" s="110">
        <f t="shared" si="97"/>
        <v>0.15404326306012506</v>
      </c>
      <c r="H290" s="414" t="b">
        <f>Wh_hp&gt;='2019'!Maxi_hp</f>
        <v>0</v>
      </c>
      <c r="I290" s="380">
        <f>IF(H290,Wh_hp,'2019'!Maxi_hp)</f>
        <v>37.674567346028716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1.8285241940943386E-2</v>
      </c>
      <c r="M290" s="844"/>
      <c r="N290" s="844"/>
      <c r="O290" s="48">
        <f>IF(t&lt;Tnet,'2019'!Resal+('2019'!Salim-'2019'!Resal)*(1-EXP(('2019'!Tnet-t)/('2019'!Tau_j))),Resal+(Salim-Resal)*(1-EXP((Tnet-t)/(Tau_j))))*Salcycl</f>
        <v>0.10271792916318126</v>
      </c>
      <c r="P290" s="169">
        <f>(INDEX(Models!$BJ290:$BT290,,T290)*(1-R290)+INDEX(Models!$BJ290:$BT290,,T290+1)*R290-ERP_i)*Q290*Ramure*Pc/MaxiM</f>
        <v>1.0377466965037188E-3</v>
      </c>
      <c r="Q290" s="305">
        <f t="shared" si="101"/>
        <v>0.7</v>
      </c>
      <c r="R290" s="177">
        <f t="shared" si="102"/>
        <v>0.59590282536149575</v>
      </c>
      <c r="S290" s="810">
        <f t="shared" si="103"/>
        <v>-1</v>
      </c>
      <c r="T290" s="176">
        <f t="shared" si="104"/>
        <v>5</v>
      </c>
      <c r="U290" s="251">
        <f t="shared" si="105"/>
        <v>-0.40409717463850431</v>
      </c>
      <c r="V290" s="383">
        <f t="shared" si="106"/>
        <v>34.564762550046908</v>
      </c>
      <c r="W290" s="402"/>
      <c r="X290" s="157">
        <f t="shared" si="107"/>
        <v>44106</v>
      </c>
      <c r="Y290" s="385">
        <f t="shared" si="108"/>
        <v>5.33</v>
      </c>
      <c r="Z290" s="385">
        <f t="shared" si="109"/>
        <v>5.4292756182436506</v>
      </c>
      <c r="AA290" s="386">
        <f t="shared" si="110"/>
        <v>6.0508014087256043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0.10271792916318126</v>
      </c>
      <c r="AD290" s="231">
        <f>(INDEX(Models!$BJ290:$BT290,,AH290)*(1-AF290)+INDEX(Models!$BJ290:$BT290,,AH290+1)*AF290-ERP_i)*AE290*Ramure*Pc/MaxiM</f>
        <v>1.0377466965037188E-3</v>
      </c>
      <c r="AE290" s="305">
        <f t="shared" si="112"/>
        <v>0.7</v>
      </c>
      <c r="AF290" s="177">
        <f t="shared" si="113"/>
        <v>0.59590282536149575</v>
      </c>
      <c r="AG290" s="810">
        <f t="shared" si="119"/>
        <v>-1</v>
      </c>
      <c r="AH290" s="176">
        <f t="shared" si="114"/>
        <v>5</v>
      </c>
      <c r="AI290" s="225">
        <f t="shared" si="115"/>
        <v>-0.40409717463850431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6">
        <v>14.712</v>
      </c>
      <c r="C291" s="390"/>
      <c r="D291" s="393">
        <f t="shared" si="98"/>
        <v>14.986371812101691</v>
      </c>
      <c r="E291" s="385">
        <f t="shared" si="96"/>
        <v>16.70269683954114</v>
      </c>
      <c r="F291" s="385">
        <f t="shared" si="99"/>
        <v>16.705923119905506</v>
      </c>
      <c r="G291" s="110">
        <f t="shared" si="97"/>
        <v>0.42977706334350785</v>
      </c>
      <c r="H291" s="414" t="b">
        <f>Wh_hp&gt;='2019'!Maxi_hp</f>
        <v>0</v>
      </c>
      <c r="I291" s="380">
        <f>IF(H291,Wh_hp,'2019'!Maxi_hp)</f>
        <v>36.449974928255941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1.8308087877556334E-2</v>
      </c>
      <c r="M291" s="844"/>
      <c r="N291" s="844"/>
      <c r="O291" s="48">
        <f>IF(t&lt;Tnet,'2019'!Resal+('2019'!Salim-'2019'!Resal)*(1-EXP(('2019'!Tnet-t)/('2019'!Tau_j))),Resal+(Salim-Resal)*(1-EXP((Tnet-t)/(Tau_j))))*Salcycl</f>
        <v>0.1027573597202761</v>
      </c>
      <c r="P291" s="169">
        <f>(INDEX(Models!$BJ291:$BT291,,T291)*(1-R291)+INDEX(Models!$BJ291:$BT291,,T291+1)*R291-ERP_i)*Q291*Ramure*Pc/MaxiM</f>
        <v>1.0387617148508263E-3</v>
      </c>
      <c r="Q291" s="305">
        <f t="shared" si="101"/>
        <v>0.7</v>
      </c>
      <c r="R291" s="177">
        <f t="shared" si="102"/>
        <v>0.59604333813456001</v>
      </c>
      <c r="S291" s="810">
        <f t="shared" si="103"/>
        <v>-1</v>
      </c>
      <c r="T291" s="176">
        <f t="shared" si="104"/>
        <v>5</v>
      </c>
      <c r="U291" s="251">
        <f t="shared" si="105"/>
        <v>-0.40395666186543994</v>
      </c>
      <c r="V291" s="383">
        <f t="shared" si="106"/>
        <v>34.202747885713364</v>
      </c>
      <c r="W291" s="402"/>
      <c r="X291" s="157">
        <f t="shared" si="107"/>
        <v>44107</v>
      </c>
      <c r="Y291" s="385">
        <f t="shared" si="108"/>
        <v>14.712000000000002</v>
      </c>
      <c r="Z291" s="385">
        <f t="shared" si="109"/>
        <v>14.986371812101693</v>
      </c>
      <c r="AA291" s="386">
        <f t="shared" si="110"/>
        <v>16.70269683954114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0.1027573597202761</v>
      </c>
      <c r="AD291" s="231">
        <f>(INDEX(Models!$BJ291:$BT291,,AH291)*(1-AF291)+INDEX(Models!$BJ291:$BT291,,AH291+1)*AF291-ERP_i)*AE291*Ramure*Pc/MaxiM</f>
        <v>1.0387617148508263E-3</v>
      </c>
      <c r="AE291" s="305">
        <f t="shared" si="112"/>
        <v>0.7</v>
      </c>
      <c r="AF291" s="177">
        <f t="shared" si="113"/>
        <v>0.59604333813456001</v>
      </c>
      <c r="AG291" s="810">
        <f t="shared" si="119"/>
        <v>-1</v>
      </c>
      <c r="AH291" s="176">
        <f t="shared" si="114"/>
        <v>5</v>
      </c>
      <c r="AI291" s="225">
        <f t="shared" si="115"/>
        <v>-0.40395666186543994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6">
        <v>19.43</v>
      </c>
      <c r="C292" s="390"/>
      <c r="D292" s="393">
        <f t="shared" si="98"/>
        <v>19.792820879005745</v>
      </c>
      <c r="E292" s="385">
        <f t="shared" si="96"/>
        <v>22.060538570880546</v>
      </c>
      <c r="F292" s="385">
        <f t="shared" si="99"/>
        <v>22.069553978043466</v>
      </c>
      <c r="G292" s="110">
        <f t="shared" si="97"/>
        <v>0.5737782926196795</v>
      </c>
      <c r="H292" s="414" t="b">
        <f>Wh_hp&gt;='2019'!Maxi_hp</f>
        <v>0</v>
      </c>
      <c r="I292" s="380">
        <f>IF(H292,Wh_hp,'2019'!Maxi_hp)</f>
        <v>36.383967433024289</v>
      </c>
      <c r="J292" s="85">
        <f>IF(H292,An,'2019'!An_max)</f>
        <v>2019</v>
      </c>
      <c r="K292" s="197">
        <f t="shared" si="100"/>
        <v>44108</v>
      </c>
      <c r="L292" s="147">
        <f>IF(t&lt;Tvie,1-EXP((T0-t)*PertePVj)+'2019'!Pspv,1-EXP((T0-t)*PertePVj)+Pspv)</f>
        <v>1.8330933282511008E-2</v>
      </c>
      <c r="M292" s="844"/>
      <c r="N292" s="844"/>
      <c r="O292" s="48">
        <f>IF(t&lt;Tnet,'2019'!Resal+('2019'!Salim-'2019'!Resal)*(1-EXP(('2019'!Tnet-t)/('2019'!Tau_j))),Resal+(Salim-Resal)*(1-EXP((Tnet-t)/(Tau_j))))*Salcycl</f>
        <v>0.10279520985349572</v>
      </c>
      <c r="P292" s="169">
        <f>(INDEX(Models!$BJ292:$BT292,,T292)*(1-R292)+INDEX(Models!$BJ292:$BT292,,T292+1)*R292-ERP_i)*Q292*Ramure*Pc/MaxiM</f>
        <v>1.043068967854639E-3</v>
      </c>
      <c r="Q292" s="305">
        <f t="shared" si="101"/>
        <v>0.7</v>
      </c>
      <c r="R292" s="177">
        <f t="shared" si="102"/>
        <v>0.59617828698574538</v>
      </c>
      <c r="S292" s="810">
        <f t="shared" si="103"/>
        <v>-1</v>
      </c>
      <c r="T292" s="176">
        <f t="shared" si="104"/>
        <v>5</v>
      </c>
      <c r="U292" s="251">
        <f t="shared" si="105"/>
        <v>-0.40382171301425462</v>
      </c>
      <c r="V292" s="383">
        <f t="shared" si="106"/>
        <v>33.841756530397255</v>
      </c>
      <c r="W292" s="402"/>
      <c r="X292" s="157">
        <f t="shared" si="107"/>
        <v>44108</v>
      </c>
      <c r="Y292" s="385">
        <f t="shared" si="108"/>
        <v>19.43</v>
      </c>
      <c r="Z292" s="385">
        <f t="shared" si="109"/>
        <v>19.792820879005745</v>
      </c>
      <c r="AA292" s="386">
        <f t="shared" si="110"/>
        <v>22.060538570880546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0.10279520985349572</v>
      </c>
      <c r="AD292" s="231">
        <f>(INDEX(Models!$BJ292:$BT292,,AH292)*(1-AF292)+INDEX(Models!$BJ292:$BT292,,AH292+1)*AF292-ERP_i)*AE292*Ramure*Pc/MaxiM</f>
        <v>1.043068967854639E-3</v>
      </c>
      <c r="AE292" s="305">
        <f t="shared" si="112"/>
        <v>0.7</v>
      </c>
      <c r="AF292" s="177">
        <f t="shared" si="113"/>
        <v>0.59617828698574538</v>
      </c>
      <c r="AG292" s="810">
        <f t="shared" si="119"/>
        <v>-1</v>
      </c>
      <c r="AH292" s="176">
        <f t="shared" si="114"/>
        <v>5</v>
      </c>
      <c r="AI292" s="225">
        <f t="shared" si="115"/>
        <v>-0.40382171301425462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6">
        <v>23.579000000000001</v>
      </c>
      <c r="C293" s="390"/>
      <c r="D293" s="393">
        <f t="shared" si="98"/>
        <v>24.019855091687774</v>
      </c>
      <c r="E293" s="385">
        <f t="shared" si="96"/>
        <v>26.772957511087792</v>
      </c>
      <c r="F293" s="385">
        <f t="shared" si="99"/>
        <v>26.789212526789395</v>
      </c>
      <c r="G293" s="110">
        <f t="shared" si="97"/>
        <v>0.70391670519809835</v>
      </c>
      <c r="H293" s="414" t="b">
        <f>Wh_hp&gt;='2019'!Maxi_hp</f>
        <v>0</v>
      </c>
      <c r="I293" s="380">
        <f>IF(H293,Wh_hp,'2019'!Maxi_hp)</f>
        <v>33.540700247739295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1.8353778155819733E-2</v>
      </c>
      <c r="M293" s="844"/>
      <c r="N293" s="844"/>
      <c r="O293" s="48">
        <f>IF(t&lt;Tnet,'2019'!Resal+('2019'!Salim-'2019'!Resal)*(1-EXP(('2019'!Tnet-t)/('2019'!Tau_j))),Resal+(Salim-Resal)*(1-EXP((Tnet-t)/(Tau_j))))*Salcycl</f>
        <v>0.10283146410925448</v>
      </c>
      <c r="P293" s="169">
        <f>(INDEX(Models!$BJ293:$BT293,,T293)*(1-R293)+INDEX(Models!$BJ293:$BT293,,T293+1)*R293-ERP_i)*Q293*Ramure*Pc/MaxiM</f>
        <v>1.0507452252879607E-3</v>
      </c>
      <c r="Q293" s="305">
        <f t="shared" si="101"/>
        <v>0.7</v>
      </c>
      <c r="R293" s="177">
        <f t="shared" si="102"/>
        <v>0.59630788864257678</v>
      </c>
      <c r="S293" s="810">
        <f t="shared" si="103"/>
        <v>-1</v>
      </c>
      <c r="T293" s="176">
        <f t="shared" si="104"/>
        <v>5</v>
      </c>
      <c r="U293" s="251">
        <f t="shared" si="105"/>
        <v>-0.40369211135742328</v>
      </c>
      <c r="V293" s="383">
        <f t="shared" si="106"/>
        <v>33.481980308929501</v>
      </c>
      <c r="W293" s="402"/>
      <c r="X293" s="157">
        <f t="shared" si="107"/>
        <v>44109</v>
      </c>
      <c r="Y293" s="385">
        <f t="shared" si="108"/>
        <v>23.579000000000001</v>
      </c>
      <c r="Z293" s="385">
        <f t="shared" si="109"/>
        <v>24.019855091687774</v>
      </c>
      <c r="AA293" s="386">
        <f t="shared" si="110"/>
        <v>26.772957511087792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0.10283146410925448</v>
      </c>
      <c r="AD293" s="231">
        <f>(INDEX(Models!$BJ293:$BT293,,AH293)*(1-AF293)+INDEX(Models!$BJ293:$BT293,,AH293+1)*AF293-ERP_i)*AE293*Ramure*Pc/MaxiM</f>
        <v>1.0507452252879607E-3</v>
      </c>
      <c r="AE293" s="305">
        <f t="shared" si="112"/>
        <v>0.7</v>
      </c>
      <c r="AF293" s="177">
        <f t="shared" si="113"/>
        <v>0.59630788864257678</v>
      </c>
      <c r="AG293" s="810">
        <f t="shared" si="119"/>
        <v>-1</v>
      </c>
      <c r="AH293" s="176">
        <f t="shared" si="114"/>
        <v>5</v>
      </c>
      <c r="AI293" s="225">
        <f t="shared" si="115"/>
        <v>-0.40369211135742328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6">
        <v>6.2510000000000003</v>
      </c>
      <c r="C294" s="390"/>
      <c r="D294" s="393">
        <f t="shared" si="98"/>
        <v>6.3680227501346849</v>
      </c>
      <c r="E294" s="385">
        <f t="shared" si="96"/>
        <v>7.0981854833152802</v>
      </c>
      <c r="F294" s="385">
        <f t="shared" si="99"/>
        <v>7.0981854833152802</v>
      </c>
      <c r="G294" s="110">
        <f t="shared" si="97"/>
        <v>0.18851695489523801</v>
      </c>
      <c r="H294" s="414" t="b">
        <f>Wh_hp&gt;='2019'!Maxi_hp</f>
        <v>0</v>
      </c>
      <c r="I294" s="380">
        <f>IF(H294,Wh_hp,'2019'!Maxi_hp)</f>
        <v>28.111765736547561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1.8376622497494943E-2</v>
      </c>
      <c r="M294" s="844"/>
      <c r="N294" s="844"/>
      <c r="O294" s="48">
        <f>IF(t&lt;Tnet,'2019'!Resal+('2019'!Salim-'2019'!Resal)*(1-EXP(('2019'!Tnet-t)/('2019'!Tau_j))),Resal+(Salim-Resal)*(1-EXP((Tnet-t)/(Tau_j))))*Salcycl</f>
        <v>0.1028661106274113</v>
      </c>
      <c r="P294" s="169">
        <f>(INDEX(Models!$BJ294:$BT294,,T294)*(1-R294)+INDEX(Models!$BJ294:$BT294,,T294+1)*R294-ERP_i)*Q294*Ramure*Pc/MaxiM</f>
        <v>1.0618679825068194E-3</v>
      </c>
      <c r="Q294" s="305">
        <f t="shared" si="101"/>
        <v>0.7</v>
      </c>
      <c r="R294" s="177">
        <f t="shared" si="102"/>
        <v>0.59643235167179498</v>
      </c>
      <c r="S294" s="810">
        <f t="shared" si="103"/>
        <v>-1</v>
      </c>
      <c r="T294" s="176">
        <f t="shared" si="104"/>
        <v>5</v>
      </c>
      <c r="U294" s="251">
        <f t="shared" si="105"/>
        <v>-0.40356764832820502</v>
      </c>
      <c r="V294" s="383">
        <f t="shared" si="106"/>
        <v>33.12361090657042</v>
      </c>
      <c r="W294" s="402"/>
      <c r="X294" s="157">
        <f t="shared" si="107"/>
        <v>44110</v>
      </c>
      <c r="Y294" s="385">
        <f t="shared" si="108"/>
        <v>6.2510000000000003</v>
      </c>
      <c r="Z294" s="385">
        <f t="shared" si="109"/>
        <v>6.3680227501346849</v>
      </c>
      <c r="AA294" s="386">
        <f t="shared" si="110"/>
        <v>7.0981854833152802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0.1028661106274113</v>
      </c>
      <c r="AD294" s="231">
        <f>(INDEX(Models!$BJ294:$BT294,,AH294)*(1-AF294)+INDEX(Models!$BJ294:$BT294,,AH294+1)*AF294-ERP_i)*AE294*Ramure*Pc/MaxiM</f>
        <v>1.0618679825068194E-3</v>
      </c>
      <c r="AE294" s="305">
        <f t="shared" si="112"/>
        <v>0.7</v>
      </c>
      <c r="AF294" s="177">
        <f t="shared" si="113"/>
        <v>0.59643235167179498</v>
      </c>
      <c r="AG294" s="810">
        <f t="shared" si="119"/>
        <v>-1</v>
      </c>
      <c r="AH294" s="176">
        <f t="shared" si="114"/>
        <v>5</v>
      </c>
      <c r="AI294" s="225">
        <f t="shared" si="115"/>
        <v>-0.40356764832820502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6">
        <v>26.213000000000001</v>
      </c>
      <c r="C295" s="390"/>
      <c r="D295" s="393">
        <f t="shared" si="98"/>
        <v>26.704345709140469</v>
      </c>
      <c r="E295" s="385">
        <f t="shared" si="96"/>
        <v>29.767383960692641</v>
      </c>
      <c r="F295" s="385">
        <f t="shared" si="99"/>
        <v>29.790290230314369</v>
      </c>
      <c r="G295" s="110">
        <f t="shared" si="97"/>
        <v>0.79973933504399597</v>
      </c>
      <c r="H295" s="414" t="b">
        <f>Wh_hp&gt;='2019'!Maxi_hp</f>
        <v>0</v>
      </c>
      <c r="I295" s="380">
        <f>IF(H295,Wh_hp,'2019'!Maxi_hp)</f>
        <v>35.15889638578107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1.8399466307548851E-2</v>
      </c>
      <c r="M295" s="844"/>
      <c r="N295" s="844"/>
      <c r="O295" s="48">
        <f>IF(t&lt;Tnet,'2019'!Resal+('2019'!Salim-'2019'!Resal)*(1-EXP(('2019'!Tnet-t)/('2019'!Tau_j))),Resal+(Salim-Resal)*(1-EXP((Tnet-t)/(Tau_j))))*Salcycl</f>
        <v>0.10289914140916337</v>
      </c>
      <c r="P295" s="169">
        <f>(INDEX(Models!$BJ295:$BT295,,T295)*(1-R295)+INDEX(Models!$BJ295:$BT295,,T295+1)*R295-ERP_i)*Q295*Ramure*Pc/MaxiM</f>
        <v>1.0765152315765809E-3</v>
      </c>
      <c r="Q295" s="305">
        <f t="shared" si="101"/>
        <v>0.7</v>
      </c>
      <c r="R295" s="177">
        <f t="shared" si="102"/>
        <v>0.59655187676448396</v>
      </c>
      <c r="S295" s="810">
        <f t="shared" si="103"/>
        <v>-1</v>
      </c>
      <c r="T295" s="176">
        <f t="shared" si="104"/>
        <v>5</v>
      </c>
      <c r="U295" s="251">
        <f t="shared" si="105"/>
        <v>-0.40344812323551604</v>
      </c>
      <c r="V295" s="383">
        <f t="shared" si="106"/>
        <v>32.766839872216565</v>
      </c>
      <c r="W295" s="402"/>
      <c r="X295" s="157">
        <f t="shared" si="107"/>
        <v>44111</v>
      </c>
      <c r="Y295" s="385">
        <f t="shared" si="108"/>
        <v>26.213000000000001</v>
      </c>
      <c r="Z295" s="385">
        <f t="shared" si="109"/>
        <v>26.704345709140469</v>
      </c>
      <c r="AA295" s="386">
        <f t="shared" si="110"/>
        <v>29.767383960692641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0.10289914140916337</v>
      </c>
      <c r="AD295" s="231">
        <f>(INDEX(Models!$BJ295:$BT295,,AH295)*(1-AF295)+INDEX(Models!$BJ295:$BT295,,AH295+1)*AF295-ERP_i)*AE295*Ramure*Pc/MaxiM</f>
        <v>1.0765152315765809E-3</v>
      </c>
      <c r="AE295" s="305">
        <f t="shared" si="112"/>
        <v>0.7</v>
      </c>
      <c r="AF295" s="177">
        <f t="shared" si="113"/>
        <v>0.59655187676448396</v>
      </c>
      <c r="AG295" s="810">
        <f t="shared" si="119"/>
        <v>-1</v>
      </c>
      <c r="AH295" s="176">
        <f t="shared" si="114"/>
        <v>5</v>
      </c>
      <c r="AI295" s="225">
        <f t="shared" si="115"/>
        <v>-0.40344812323551604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6">
        <v>30.974</v>
      </c>
      <c r="C296" s="390"/>
      <c r="D296" s="393">
        <f t="shared" si="98"/>
        <v>31.555321909298801</v>
      </c>
      <c r="E296" s="385">
        <f t="shared" si="96"/>
        <v>35.176007832826343</v>
      </c>
      <c r="F296" s="385">
        <f t="shared" si="99"/>
        <v>35.21218623068178</v>
      </c>
      <c r="G296" s="110">
        <f t="shared" si="97"/>
        <v>0.95557347932050396</v>
      </c>
      <c r="H296" s="414" t="b">
        <f>Wh_hp&gt;='2019'!Maxi_hp</f>
        <v>1</v>
      </c>
      <c r="I296" s="380">
        <f>IF(H296,Wh_hp,'2019'!Maxi_hp)</f>
        <v>35.21218623068178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1.8422309585994001E-2</v>
      </c>
      <c r="M296" s="844"/>
      <c r="N296" s="844"/>
      <c r="O296" s="48">
        <f>IF(t&lt;Tnet,'2019'!Resal+('2019'!Salim-'2019'!Resal)*(1-EXP(('2019'!Tnet-t)/('2019'!Tau_j))),Resal+(Salim-Resal)*(1-EXP((Tnet-t)/(Tau_j))))*Salcycl</f>
        <v>0.10293055257250393</v>
      </c>
      <c r="P296" s="169">
        <f>(INDEX(Models!$BJ296:$BT296,,T296)*(1-R296)+INDEX(Models!$BJ296:$BT296,,T296+1)*R296-ERP_i)*Q296*Ramure*Pc/MaxiM</f>
        <v>1.0969553541254136E-3</v>
      </c>
      <c r="Q296" s="305">
        <f t="shared" si="101"/>
        <v>0.7</v>
      </c>
      <c r="R296" s="177">
        <f t="shared" si="102"/>
        <v>0.59666665701301402</v>
      </c>
      <c r="S296" s="810">
        <f t="shared" si="103"/>
        <v>-1</v>
      </c>
      <c r="T296" s="176">
        <f t="shared" si="104"/>
        <v>5</v>
      </c>
      <c r="U296" s="251">
        <f t="shared" si="105"/>
        <v>-0.40333334298698598</v>
      </c>
      <c r="V296" s="383">
        <f t="shared" si="106"/>
        <v>32.411787557603027</v>
      </c>
      <c r="W296" s="402"/>
      <c r="X296" s="157">
        <f t="shared" si="107"/>
        <v>44112</v>
      </c>
      <c r="Y296" s="385">
        <f t="shared" si="108"/>
        <v>30.974</v>
      </c>
      <c r="Z296" s="385">
        <f t="shared" si="109"/>
        <v>31.555321909298801</v>
      </c>
      <c r="AA296" s="386">
        <f t="shared" si="110"/>
        <v>35.176007832826343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0.10293055257250393</v>
      </c>
      <c r="AD296" s="231">
        <f>(INDEX(Models!$BJ296:$BT296,,AH296)*(1-AF296)+INDEX(Models!$BJ296:$BT296,,AH296+1)*AF296-ERP_i)*AE296*Ramure*Pc/MaxiM</f>
        <v>1.0969553541254136E-3</v>
      </c>
      <c r="AE296" s="305">
        <f t="shared" si="112"/>
        <v>0.7</v>
      </c>
      <c r="AF296" s="177">
        <f t="shared" si="113"/>
        <v>0.59666665701301402</v>
      </c>
      <c r="AG296" s="810">
        <f t="shared" si="119"/>
        <v>-1</v>
      </c>
      <c r="AH296" s="176">
        <f t="shared" si="114"/>
        <v>5</v>
      </c>
      <c r="AI296" s="225">
        <f t="shared" si="115"/>
        <v>-0.40333334298698598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6">
        <v>21.628</v>
      </c>
      <c r="C297" s="390"/>
      <c r="D297" s="393">
        <f t="shared" si="98"/>
        <v>22.034428388187226</v>
      </c>
      <c r="E297" s="385">
        <f t="shared" ref="E297:E360" si="120">Wh_pvt/(1-Psa)</f>
        <v>24.563494217188524</v>
      </c>
      <c r="F297" s="385">
        <f t="shared" si="99"/>
        <v>24.578275027367948</v>
      </c>
      <c r="G297" s="110">
        <f t="shared" ref="G297:G360" si="121">+Wh_hp/MaxiM</f>
        <v>0.67428626663836355</v>
      </c>
      <c r="H297" s="414" t="b">
        <f>Wh_hp&gt;='2019'!Maxi_hp</f>
        <v>0</v>
      </c>
      <c r="I297" s="380">
        <f>IF(H297,Wh_hp,'2019'!Maxi_hp)</f>
        <v>26.45181496734002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1.8445152332842607E-2</v>
      </c>
      <c r="M297" s="844"/>
      <c r="N297" s="844"/>
      <c r="O297" s="48">
        <f>IF(t&lt;Tnet,'2019'!Resal+('2019'!Salim-'2019'!Resal)*(1-EXP(('2019'!Tnet-t)/('2019'!Tau_j))),Resal+(Salim-Resal)*(1-EXP((Tnet-t)/(Tau_j))))*Salcycl</f>
        <v>0.10296034459265004</v>
      </c>
      <c r="P297" s="169">
        <f>(INDEX(Models!$BJ297:$BT297,,T297)*(1-R297)+INDEX(Models!$BJ297:$BT297,,T297+1)*R297-ERP_i)*Q297*Ramure*Pc/MaxiM</f>
        <v>1.1236526907868463E-3</v>
      </c>
      <c r="Q297" s="305">
        <f t="shared" si="101"/>
        <v>0.7</v>
      </c>
      <c r="R297" s="177">
        <f t="shared" si="102"/>
        <v>0.59677687817988689</v>
      </c>
      <c r="S297" s="810">
        <f t="shared" si="103"/>
        <v>-1</v>
      </c>
      <c r="T297" s="176">
        <f t="shared" si="104"/>
        <v>5</v>
      </c>
      <c r="U297" s="251">
        <f t="shared" si="105"/>
        <v>-0.40322312182011311</v>
      </c>
      <c r="V297" s="383">
        <f t="shared" si="106"/>
        <v>32.05863517403813</v>
      </c>
      <c r="W297" s="402"/>
      <c r="X297" s="157">
        <f t="shared" si="107"/>
        <v>44113</v>
      </c>
      <c r="Y297" s="385">
        <f t="shared" si="108"/>
        <v>21.628</v>
      </c>
      <c r="Z297" s="385">
        <f t="shared" si="109"/>
        <v>22.034428388187226</v>
      </c>
      <c r="AA297" s="386">
        <f t="shared" si="110"/>
        <v>24.563494217188524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0.10296034459265004</v>
      </c>
      <c r="AD297" s="231">
        <f>(INDEX(Models!$BJ297:$BT297,,AH297)*(1-AF297)+INDEX(Models!$BJ297:$BT297,,AH297+1)*AF297-ERP_i)*AE297*Ramure*Pc/MaxiM</f>
        <v>1.1236526907868463E-3</v>
      </c>
      <c r="AE297" s="305">
        <f t="shared" si="112"/>
        <v>0.7</v>
      </c>
      <c r="AF297" s="177">
        <f t="shared" si="113"/>
        <v>0.59677687817988689</v>
      </c>
      <c r="AG297" s="810">
        <f t="shared" si="119"/>
        <v>-1</v>
      </c>
      <c r="AH297" s="176">
        <f t="shared" si="114"/>
        <v>5</v>
      </c>
      <c r="AI297" s="225">
        <f t="shared" si="115"/>
        <v>-0.40322312182011311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6">
        <v>20.872</v>
      </c>
      <c r="C298" s="390"/>
      <c r="D298" s="393">
        <f t="shared" si="98"/>
        <v>21.264716671557366</v>
      </c>
      <c r="E298" s="385">
        <f t="shared" si="120"/>
        <v>23.706181253570143</v>
      </c>
      <c r="F298" s="385">
        <f t="shared" si="99"/>
        <v>23.720224389529843</v>
      </c>
      <c r="G298" s="110">
        <f t="shared" si="121"/>
        <v>0.65789347006581822</v>
      </c>
      <c r="H298" s="414" t="b">
        <f>Wh_hp&gt;='2019'!Maxi_hp</f>
        <v>0</v>
      </c>
      <c r="I298" s="380">
        <f>IF(H298,Wh_hp,'2019'!Maxi_hp)</f>
        <v>36.235632696328913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1.8467994548107214E-2</v>
      </c>
      <c r="M298" s="844"/>
      <c r="N298" s="844"/>
      <c r="O298" s="48">
        <f>IF(t&lt;Tnet,'2019'!Resal+('2019'!Salim-'2019'!Resal)*(1-EXP(('2019'!Tnet-t)/('2019'!Tau_j))),Resal+(Salim-Resal)*(1-EXP((Tnet-t)/(Tau_j))))*Salcycl</f>
        <v>0.10298852252490448</v>
      </c>
      <c r="P298" s="169">
        <f>(INDEX(Models!$BJ298:$BT298,,T298)*(1-R298)+INDEX(Models!$BJ298:$BT298,,T298+1)*R298-ERP_i)*Q298*Ramure*Pc/MaxiM</f>
        <v>1.1567471880689364E-3</v>
      </c>
      <c r="Q298" s="305">
        <f t="shared" si="101"/>
        <v>0.7</v>
      </c>
      <c r="R298" s="177">
        <f t="shared" si="102"/>
        <v>0.59688271895857992</v>
      </c>
      <c r="S298" s="810">
        <f t="shared" si="103"/>
        <v>-1</v>
      </c>
      <c r="T298" s="176">
        <f t="shared" si="104"/>
        <v>5</v>
      </c>
      <c r="U298" s="251">
        <f t="shared" si="105"/>
        <v>-0.40311728104142008</v>
      </c>
      <c r="V298" s="383">
        <f t="shared" si="106"/>
        <v>31.707574607533754</v>
      </c>
      <c r="W298" s="402"/>
      <c r="X298" s="157">
        <f t="shared" si="107"/>
        <v>44114</v>
      </c>
      <c r="Y298" s="385">
        <f t="shared" si="108"/>
        <v>20.872</v>
      </c>
      <c r="Z298" s="385">
        <f t="shared" si="109"/>
        <v>21.264716671557366</v>
      </c>
      <c r="AA298" s="386">
        <f t="shared" si="110"/>
        <v>23.706181253570143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0.10298852252490448</v>
      </c>
      <c r="AD298" s="231">
        <f>(INDEX(Models!$BJ298:$BT298,,AH298)*(1-AF298)+INDEX(Models!$BJ298:$BT298,,AH298+1)*AF298-ERP_i)*AE298*Ramure*Pc/MaxiM</f>
        <v>1.1567471880689364E-3</v>
      </c>
      <c r="AE298" s="305">
        <f t="shared" si="112"/>
        <v>0.7</v>
      </c>
      <c r="AF298" s="177">
        <f t="shared" si="113"/>
        <v>0.59688271895857992</v>
      </c>
      <c r="AG298" s="810">
        <f t="shared" si="119"/>
        <v>-1</v>
      </c>
      <c r="AH298" s="176">
        <f t="shared" si="114"/>
        <v>5</v>
      </c>
      <c r="AI298" s="225">
        <f t="shared" si="115"/>
        <v>-0.40311728104142008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6">
        <v>15.09</v>
      </c>
      <c r="C299" s="390"/>
      <c r="D299" s="393">
        <f t="shared" si="98"/>
        <v>15.374283355711755</v>
      </c>
      <c r="E299" s="385">
        <f t="shared" si="120"/>
        <v>17.139957752586874</v>
      </c>
      <c r="F299" s="385">
        <f t="shared" si="99"/>
        <v>17.145267625370128</v>
      </c>
      <c r="G299" s="110">
        <f t="shared" si="121"/>
        <v>0.48077786733663974</v>
      </c>
      <c r="H299" s="414" t="b">
        <f>Wh_hp&gt;='2019'!Maxi_hp</f>
        <v>0</v>
      </c>
      <c r="I299" s="380">
        <f>IF(H299,Wh_hp,'2019'!Maxi_hp)</f>
        <v>31.748026689972871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1.8490836231800034E-2</v>
      </c>
      <c r="M299" s="844"/>
      <c r="N299" s="844"/>
      <c r="O299" s="48">
        <f>IF(t&lt;Tnet,'2019'!Resal+('2019'!Salim-'2019'!Resal)*(1-EXP(('2019'!Tnet-t)/('2019'!Tau_j))),Resal+(Salim-Resal)*(1-EXP((Tnet-t)/(Tau_j))))*Salcycl</f>
        <v>0.10301509620749394</v>
      </c>
      <c r="P299" s="169">
        <f>(INDEX(Models!$BJ299:$BT299,,T299)*(1-R299)+INDEX(Models!$BJ299:$BT299,,T299+1)*R299-ERP_i)*Q299*Ramure*Pc/MaxiM</f>
        <v>1.1963782050737463E-3</v>
      </c>
      <c r="Q299" s="305">
        <f t="shared" si="101"/>
        <v>0.7</v>
      </c>
      <c r="R299" s="177">
        <f t="shared" si="102"/>
        <v>0.59698435122650106</v>
      </c>
      <c r="S299" s="810">
        <f t="shared" si="103"/>
        <v>-1</v>
      </c>
      <c r="T299" s="176">
        <f t="shared" si="104"/>
        <v>5</v>
      </c>
      <c r="U299" s="251">
        <f t="shared" si="105"/>
        <v>-0.40301564877349894</v>
      </c>
      <c r="V299" s="383">
        <f t="shared" si="106"/>
        <v>31.358797670411828</v>
      </c>
      <c r="W299" s="402"/>
      <c r="X299" s="157">
        <f t="shared" si="107"/>
        <v>44115</v>
      </c>
      <c r="Y299" s="385">
        <f t="shared" si="108"/>
        <v>15.09</v>
      </c>
      <c r="Z299" s="385">
        <f t="shared" si="109"/>
        <v>15.374283355711755</v>
      </c>
      <c r="AA299" s="386">
        <f t="shared" si="110"/>
        <v>17.139957752586874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0.10301509620749394</v>
      </c>
      <c r="AD299" s="231">
        <f>(INDEX(Models!$BJ299:$BT299,,AH299)*(1-AF299)+INDEX(Models!$BJ299:$BT299,,AH299+1)*AF299-ERP_i)*AE299*Ramure*Pc/MaxiM</f>
        <v>1.1963782050737463E-3</v>
      </c>
      <c r="AE299" s="305">
        <f t="shared" si="112"/>
        <v>0.7</v>
      </c>
      <c r="AF299" s="177">
        <f t="shared" si="113"/>
        <v>0.59698435122650106</v>
      </c>
      <c r="AG299" s="810">
        <f t="shared" si="119"/>
        <v>-1</v>
      </c>
      <c r="AH299" s="176">
        <f t="shared" si="114"/>
        <v>5</v>
      </c>
      <c r="AI299" s="225">
        <f t="shared" si="115"/>
        <v>-0.40301564877349894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6">
        <v>22.579000000000001</v>
      </c>
      <c r="C300" s="390"/>
      <c r="D300" s="393">
        <f t="shared" si="98"/>
        <v>23.004905396763593</v>
      </c>
      <c r="E300" s="385">
        <f t="shared" si="120"/>
        <v>25.647640318310696</v>
      </c>
      <c r="F300" s="385">
        <f t="shared" si="99"/>
        <v>25.667145332315595</v>
      </c>
      <c r="G300" s="110">
        <f t="shared" si="121"/>
        <v>0.72770960893561398</v>
      </c>
      <c r="H300" s="414" t="b">
        <f>Wh_hp&gt;='2019'!Maxi_hp</f>
        <v>0</v>
      </c>
      <c r="I300" s="380">
        <f>IF(H300,Wh_hp,'2019'!Maxi_hp)</f>
        <v>34.605373713118908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1.8513677383933502E-2</v>
      </c>
      <c r="M300" s="844"/>
      <c r="N300" s="844"/>
      <c r="O300" s="48">
        <f>IF(t&lt;Tnet,'2019'!Resal+('2019'!Salim-'2019'!Resal)*(1-EXP(('2019'!Tnet-t)/('2019'!Tau_j))),Resal+(Salim-Resal)*(1-EXP((Tnet-t)/(Tau_j))))*Salcycl</f>
        <v>0.1030400804420345</v>
      </c>
      <c r="P300" s="169">
        <f>(INDEX(Models!$BJ300:$BT300,,T300)*(1-R300)+INDEX(Models!$BJ300:$BT300,,T300+1)*R300-ERP_i)*Q300*Ramure*Pc/MaxiM</f>
        <v>1.242684017795285E-3</v>
      </c>
      <c r="Q300" s="305">
        <f t="shared" si="101"/>
        <v>0.7</v>
      </c>
      <c r="R300" s="177">
        <f t="shared" si="102"/>
        <v>0.59708194029017636</v>
      </c>
      <c r="S300" s="810">
        <f t="shared" si="103"/>
        <v>-1</v>
      </c>
      <c r="T300" s="176">
        <f t="shared" si="104"/>
        <v>5</v>
      </c>
      <c r="U300" s="251">
        <f t="shared" si="105"/>
        <v>-0.40291805970982358</v>
      </c>
      <c r="V300" s="383">
        <f t="shared" si="106"/>
        <v>31.012496106880601</v>
      </c>
      <c r="W300" s="402"/>
      <c r="X300" s="157">
        <f t="shared" si="107"/>
        <v>44116</v>
      </c>
      <c r="Y300" s="385">
        <f t="shared" si="108"/>
        <v>22.579000000000001</v>
      </c>
      <c r="Z300" s="385">
        <f t="shared" si="109"/>
        <v>23.004905396763593</v>
      </c>
      <c r="AA300" s="386">
        <f t="shared" si="110"/>
        <v>25.647640318310696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0.1030400804420345</v>
      </c>
      <c r="AD300" s="231">
        <f>(INDEX(Models!$BJ300:$BT300,,AH300)*(1-AF300)+INDEX(Models!$BJ300:$BT300,,AH300+1)*AF300-ERP_i)*AE300*Ramure*Pc/MaxiM</f>
        <v>1.242684017795285E-3</v>
      </c>
      <c r="AE300" s="305">
        <f t="shared" si="112"/>
        <v>0.7</v>
      </c>
      <c r="AF300" s="177">
        <f t="shared" si="113"/>
        <v>0.59708194029017636</v>
      </c>
      <c r="AG300" s="810">
        <f t="shared" si="119"/>
        <v>-1</v>
      </c>
      <c r="AH300" s="176">
        <f t="shared" si="114"/>
        <v>5</v>
      </c>
      <c r="AI300" s="225">
        <f t="shared" si="115"/>
        <v>-0.40291805970982358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6">
        <v>19.329000000000001</v>
      </c>
      <c r="C301" s="390"/>
      <c r="D301" s="393">
        <f t="shared" si="98"/>
        <v>19.694059284509393</v>
      </c>
      <c r="E301" s="385">
        <f t="shared" si="120"/>
        <v>21.957027256672834</v>
      </c>
      <c r="F301" s="385">
        <f t="shared" si="99"/>
        <v>21.970458622472215</v>
      </c>
      <c r="G301" s="110">
        <f t="shared" si="121"/>
        <v>0.62981672291190449</v>
      </c>
      <c r="H301" s="414" t="b">
        <f>Wh_hp&gt;='2019'!Maxi_hp</f>
        <v>0</v>
      </c>
      <c r="I301" s="380">
        <f>IF(H301,Wh_hp,'2019'!Maxi_hp)</f>
        <v>30.769590122587346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1.8536518004520053E-2</v>
      </c>
      <c r="M301" s="844"/>
      <c r="N301" s="844"/>
      <c r="O301" s="48">
        <f>IF(t&lt;Tnet,'2019'!Resal+('2019'!Salim-'2019'!Resal)*(1-EXP(('2019'!Tnet-t)/('2019'!Tau_j))),Resal+(Salim-Resal)*(1-EXP((Tnet-t)/(Tau_j))))*Salcycl</f>
        <v>0.10306349514940438</v>
      </c>
      <c r="P301" s="169">
        <f>(INDEX(Models!$BJ301:$BT301,,T301)*(1-R301)+INDEX(Models!$BJ301:$BT301,,T301+1)*R301-ERP_i)*Q301*Ramure*Pc/MaxiM</f>
        <v>1.2958013052199551E-3</v>
      </c>
      <c r="Q301" s="305">
        <f t="shared" si="101"/>
        <v>0.7</v>
      </c>
      <c r="R301" s="177">
        <f t="shared" si="102"/>
        <v>0.59717564512280108</v>
      </c>
      <c r="S301" s="810">
        <f t="shared" si="103"/>
        <v>-1</v>
      </c>
      <c r="T301" s="176">
        <f t="shared" si="104"/>
        <v>5</v>
      </c>
      <c r="U301" s="251">
        <f t="shared" si="105"/>
        <v>-0.40282435487719892</v>
      </c>
      <c r="V301" s="383">
        <f t="shared" si="106"/>
        <v>30.668861597300669</v>
      </c>
      <c r="W301" s="402"/>
      <c r="X301" s="157">
        <f t="shared" si="107"/>
        <v>44117</v>
      </c>
      <c r="Y301" s="385">
        <f t="shared" si="108"/>
        <v>19.329000000000001</v>
      </c>
      <c r="Z301" s="385">
        <f t="shared" si="109"/>
        <v>19.694059284509393</v>
      </c>
      <c r="AA301" s="386">
        <f t="shared" si="110"/>
        <v>21.957027256672834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0.10306349514940438</v>
      </c>
      <c r="AD301" s="231">
        <f>(INDEX(Models!$BJ301:$BT301,,AH301)*(1-AF301)+INDEX(Models!$BJ301:$BT301,,AH301+1)*AF301-ERP_i)*AE301*Ramure*Pc/MaxiM</f>
        <v>1.2958013052199551E-3</v>
      </c>
      <c r="AE301" s="305">
        <f t="shared" si="112"/>
        <v>0.7</v>
      </c>
      <c r="AF301" s="177">
        <f t="shared" si="113"/>
        <v>0.59717564512280108</v>
      </c>
      <c r="AG301" s="810">
        <f t="shared" si="119"/>
        <v>-1</v>
      </c>
      <c r="AH301" s="176">
        <f t="shared" si="114"/>
        <v>5</v>
      </c>
      <c r="AI301" s="225">
        <f t="shared" si="115"/>
        <v>-0.40282435487719892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6">
        <v>12.33</v>
      </c>
      <c r="C302" s="390"/>
      <c r="D302" s="393">
        <f t="shared" si="98"/>
        <v>12.563164264370824</v>
      </c>
      <c r="E302" s="385">
        <f t="shared" si="120"/>
        <v>14.007090286089259</v>
      </c>
      <c r="F302" s="385">
        <f t="shared" si="99"/>
        <v>14.009981798100707</v>
      </c>
      <c r="G302" s="110">
        <f t="shared" si="121"/>
        <v>0.4060864289348402</v>
      </c>
      <c r="H302" s="414" t="b">
        <f>Wh_hp&gt;='2019'!Maxi_hp</f>
        <v>0</v>
      </c>
      <c r="I302" s="380">
        <f>IF(H302,Wh_hp,'2019'!Maxi_hp)</f>
        <v>29.02976567365679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1.8559358093571898E-2</v>
      </c>
      <c r="M302" s="844"/>
      <c r="N302" s="844"/>
      <c r="O302" s="48">
        <f>IF(t&lt;Tnet,'2019'!Resal+('2019'!Salim-'2019'!Resal)*(1-EXP(('2019'!Tnet-t)/('2019'!Tau_j))),Resal+(Salim-Resal)*(1-EXP((Tnet-t)/(Tau_j))))*Salcycl</f>
        <v>0.10308536549895937</v>
      </c>
      <c r="P302" s="169">
        <f>(INDEX(Models!$BJ302:$BT302,,T302)*(1-R302)+INDEX(Models!$BJ302:$BT302,,T302+1)*R302-ERP_i)*Q302*Ramure*Pc/MaxiM</f>
        <v>1.3558646176670055E-3</v>
      </c>
      <c r="Q302" s="305">
        <f t="shared" si="101"/>
        <v>0.7</v>
      </c>
      <c r="R302" s="177">
        <f t="shared" si="102"/>
        <v>0.59726561859429383</v>
      </c>
      <c r="S302" s="810">
        <f t="shared" si="103"/>
        <v>-1</v>
      </c>
      <c r="T302" s="176">
        <f t="shared" si="104"/>
        <v>5</v>
      </c>
      <c r="U302" s="251">
        <f t="shared" si="105"/>
        <v>-0.40273438140570617</v>
      </c>
      <c r="V302" s="383">
        <f t="shared" si="106"/>
        <v>30.328085765743428</v>
      </c>
      <c r="W302" s="402"/>
      <c r="X302" s="157">
        <f t="shared" si="107"/>
        <v>44118</v>
      </c>
      <c r="Y302" s="385">
        <f t="shared" si="108"/>
        <v>12.33</v>
      </c>
      <c r="Z302" s="385">
        <f t="shared" si="109"/>
        <v>12.563164264370824</v>
      </c>
      <c r="AA302" s="386">
        <f t="shared" si="110"/>
        <v>14.007090286089259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0.10308536549895937</v>
      </c>
      <c r="AD302" s="231">
        <f>(INDEX(Models!$BJ302:$BT302,,AH302)*(1-AF302)+INDEX(Models!$BJ302:$BT302,,AH302+1)*AF302-ERP_i)*AE302*Ramure*Pc/MaxiM</f>
        <v>1.3558646176670055E-3</v>
      </c>
      <c r="AE302" s="305">
        <f t="shared" si="112"/>
        <v>0.7</v>
      </c>
      <c r="AF302" s="177">
        <f t="shared" si="113"/>
        <v>0.59726561859429383</v>
      </c>
      <c r="AG302" s="810">
        <f t="shared" si="119"/>
        <v>-1</v>
      </c>
      <c r="AH302" s="176">
        <f t="shared" si="114"/>
        <v>5</v>
      </c>
      <c r="AI302" s="225">
        <f t="shared" si="115"/>
        <v>-0.40273438140570617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6">
        <v>17.919</v>
      </c>
      <c r="C303" s="390"/>
      <c r="D303" s="393">
        <f t="shared" si="98"/>
        <v>18.258278948184106</v>
      </c>
      <c r="E303" s="385">
        <f t="shared" si="120"/>
        <v>20.35722536783922</v>
      </c>
      <c r="F303" s="385">
        <f t="shared" si="99"/>
        <v>20.369544672347679</v>
      </c>
      <c r="G303" s="110">
        <f t="shared" si="121"/>
        <v>0.59701238245459309</v>
      </c>
      <c r="H303" s="414" t="b">
        <f>Wh_hp&gt;='2019'!Maxi_hp</f>
        <v>0</v>
      </c>
      <c r="I303" s="380">
        <f>IF(H303,Wh_hp,'2019'!Maxi_hp)</f>
        <v>29.326186481279166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1.8582197651101584E-2</v>
      </c>
      <c r="M303" s="844"/>
      <c r="N303" s="844"/>
      <c r="O303" s="48">
        <f>IF(t&lt;Tnet,'2019'!Resal+('2019'!Salim-'2019'!Resal)*(1-EXP(('2019'!Tnet-t)/('2019'!Tau_j))),Resal+(Salim-Resal)*(1-EXP((Tnet-t)/(Tau_j))))*Salcycl</f>
        <v>0.10310572200920247</v>
      </c>
      <c r="P303" s="169">
        <f>(INDEX(Models!$BJ303:$BT303,,T303)*(1-R303)+INDEX(Models!$BJ303:$BT303,,T303+1)*R303-ERP_i)*Q303*Ramure*Pc/MaxiM</f>
        <v>1.4230286273376419E-3</v>
      </c>
      <c r="Q303" s="305">
        <f t="shared" si="101"/>
        <v>0.7</v>
      </c>
      <c r="R303" s="177">
        <f t="shared" si="102"/>
        <v>0.59735200769400021</v>
      </c>
      <c r="S303" s="810">
        <f t="shared" si="103"/>
        <v>-1</v>
      </c>
      <c r="T303" s="176">
        <f t="shared" si="104"/>
        <v>5</v>
      </c>
      <c r="U303" s="251">
        <f t="shared" si="105"/>
        <v>-0.40264799230599974</v>
      </c>
      <c r="V303" s="383">
        <f t="shared" si="106"/>
        <v>29.98987900768115</v>
      </c>
      <c r="W303" s="402"/>
      <c r="X303" s="157">
        <f t="shared" si="107"/>
        <v>44119</v>
      </c>
      <c r="Y303" s="385">
        <f t="shared" si="108"/>
        <v>17.919</v>
      </c>
      <c r="Z303" s="385">
        <f t="shared" si="109"/>
        <v>18.258278948184106</v>
      </c>
      <c r="AA303" s="386">
        <f t="shared" si="110"/>
        <v>20.35722536783922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0.10310572200920247</v>
      </c>
      <c r="AD303" s="231">
        <f>(INDEX(Models!$BJ303:$BT303,,AH303)*(1-AF303)+INDEX(Models!$BJ303:$BT303,,AH303+1)*AF303-ERP_i)*AE303*Ramure*Pc/MaxiM</f>
        <v>1.4230286273376419E-3</v>
      </c>
      <c r="AE303" s="305">
        <f t="shared" si="112"/>
        <v>0.7</v>
      </c>
      <c r="AF303" s="177">
        <f t="shared" si="113"/>
        <v>0.59735200769400021</v>
      </c>
      <c r="AG303" s="810">
        <f t="shared" si="119"/>
        <v>-1</v>
      </c>
      <c r="AH303" s="176">
        <f t="shared" si="114"/>
        <v>5</v>
      </c>
      <c r="AI303" s="225">
        <f t="shared" si="115"/>
        <v>-0.40264799230599974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6">
        <v>9.1869999999999994</v>
      </c>
      <c r="C304" s="390"/>
      <c r="D304" s="393">
        <f t="shared" si="98"/>
        <v>9.3611648147184123</v>
      </c>
      <c r="E304" s="385">
        <f t="shared" si="120"/>
        <v>10.437531034044509</v>
      </c>
      <c r="F304" s="385">
        <f t="shared" si="99"/>
        <v>10.437749238597048</v>
      </c>
      <c r="G304" s="110">
        <f t="shared" si="121"/>
        <v>0.30935082120259577</v>
      </c>
      <c r="H304" s="414" t="b">
        <f>Wh_hp&gt;='2019'!Maxi_hp</f>
        <v>0</v>
      </c>
      <c r="I304" s="380">
        <f>IF(H304,Wh_hp,'2019'!Maxi_hp)</f>
        <v>22.10206989722602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1.8605036677121323E-2</v>
      </c>
      <c r="M304" s="844"/>
      <c r="N304" s="844"/>
      <c r="O304" s="48">
        <f>IF(t&lt;Tnet,'2019'!Resal+('2019'!Salim-'2019'!Resal)*(1-EXP(('2019'!Tnet-t)/('2019'!Tau_j))),Resal+(Salim-Resal)*(1-EXP((Tnet-t)/(Tau_j))))*Salcycl</f>
        <v>0.1031246006182181</v>
      </c>
      <c r="P304" s="169">
        <f>(INDEX(Models!$BJ304:$BT304,,T304)*(1-R304)+INDEX(Models!$BJ304:$BT304,,T304+1)*R304-ERP_i)*Q304*Ramure*Pc/MaxiM</f>
        <v>1.4922242249941215E-3</v>
      </c>
      <c r="Q304" s="305">
        <f t="shared" si="101"/>
        <v>0.7</v>
      </c>
      <c r="R304" s="177">
        <f t="shared" si="102"/>
        <v>0.59743495374619615</v>
      </c>
      <c r="S304" s="810">
        <f t="shared" si="103"/>
        <v>-1</v>
      </c>
      <c r="T304" s="176">
        <f t="shared" si="104"/>
        <v>5</v>
      </c>
      <c r="U304" s="251">
        <f t="shared" si="105"/>
        <v>-0.40256504625380385</v>
      </c>
      <c r="V304" s="383">
        <f t="shared" si="106"/>
        <v>29.653978854918204</v>
      </c>
      <c r="W304" s="402"/>
      <c r="X304" s="157">
        <f t="shared" si="107"/>
        <v>44120</v>
      </c>
      <c r="Y304" s="385">
        <f t="shared" si="108"/>
        <v>9.1869999999999994</v>
      </c>
      <c r="Z304" s="385">
        <f t="shared" si="109"/>
        <v>9.3611648147184123</v>
      </c>
      <c r="AA304" s="386">
        <f t="shared" si="110"/>
        <v>10.437531034044509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0.1031246006182181</v>
      </c>
      <c r="AD304" s="231">
        <f>(INDEX(Models!$BJ304:$BT304,,AH304)*(1-AF304)+INDEX(Models!$BJ304:$BT304,,AH304+1)*AF304-ERP_i)*AE304*Ramure*Pc/MaxiM</f>
        <v>1.4922242249941215E-3</v>
      </c>
      <c r="AE304" s="305">
        <f t="shared" si="112"/>
        <v>0.7</v>
      </c>
      <c r="AF304" s="177">
        <f t="shared" si="113"/>
        <v>0.59743495374619615</v>
      </c>
      <c r="AG304" s="810">
        <f t="shared" si="119"/>
        <v>-1</v>
      </c>
      <c r="AH304" s="176">
        <f t="shared" si="114"/>
        <v>5</v>
      </c>
      <c r="AI304" s="225">
        <f t="shared" si="115"/>
        <v>-0.40256504625380385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6">
        <v>30.198</v>
      </c>
      <c r="C305" s="390"/>
      <c r="D305" s="393">
        <f t="shared" si="98"/>
        <v>30.771202111820408</v>
      </c>
      <c r="E305" s="385">
        <f t="shared" si="120"/>
        <v>34.31000624137392</v>
      </c>
      <c r="F305" s="385">
        <f t="shared" si="99"/>
        <v>34.363592336640075</v>
      </c>
      <c r="G305" s="110">
        <f t="shared" si="121"/>
        <v>1.029927762301448</v>
      </c>
      <c r="H305" s="414" t="b">
        <f>Wh_hp&gt;='2019'!Maxi_hp</f>
        <v>1</v>
      </c>
      <c r="I305" s="380">
        <f>IF(H305,Wh_hp,'2019'!Maxi_hp)</f>
        <v>34.363592336640075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1.862787517164366E-2</v>
      </c>
      <c r="M305" s="844"/>
      <c r="N305" s="844"/>
      <c r="O305" s="48">
        <f>IF(t&lt;Tnet,'2019'!Resal+('2019'!Salim-'2019'!Resal)*(1-EXP(('2019'!Tnet-t)/('2019'!Tau_j))),Resal+(Salim-Resal)*(1-EXP((Tnet-t)/(Tau_j))))*Salcycl</f>
        <v>0.10314204272239731</v>
      </c>
      <c r="P305" s="169">
        <f>(INDEX(Models!$BJ305:$BT305,,T305)*(1-R305)+INDEX(Models!$BJ305:$BT305,,T305+1)*R305-ERP_i)*Q305*Ramure*Pc/MaxiM</f>
        <v>1.5593857225754254E-3</v>
      </c>
      <c r="Q305" s="305">
        <f t="shared" si="101"/>
        <v>0.7</v>
      </c>
      <c r="R305" s="177">
        <f t="shared" si="102"/>
        <v>0.59751459261854856</v>
      </c>
      <c r="S305" s="810">
        <f t="shared" si="103"/>
        <v>-1</v>
      </c>
      <c r="T305" s="176">
        <f t="shared" si="104"/>
        <v>5</v>
      </c>
      <c r="U305" s="251">
        <f t="shared" si="105"/>
        <v>-0.4024854073814515</v>
      </c>
      <c r="V305" s="383">
        <f t="shared" si="106"/>
        <v>29.320502956945631</v>
      </c>
      <c r="W305" s="402"/>
      <c r="X305" s="157">
        <f t="shared" si="107"/>
        <v>44121</v>
      </c>
      <c r="Y305" s="385">
        <f t="shared" si="108"/>
        <v>30.198000000000004</v>
      </c>
      <c r="Z305" s="385">
        <f t="shared" si="109"/>
        <v>30.771202111820411</v>
      </c>
      <c r="AA305" s="386">
        <f t="shared" si="110"/>
        <v>34.31000624137392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0.10314204272239731</v>
      </c>
      <c r="AD305" s="231">
        <f>(INDEX(Models!$BJ305:$BT305,,AH305)*(1-AF305)+INDEX(Models!$BJ305:$BT305,,AH305+1)*AF305-ERP_i)*AE305*Ramure*Pc/MaxiM</f>
        <v>1.5593857225754254E-3</v>
      </c>
      <c r="AE305" s="305">
        <f t="shared" si="112"/>
        <v>0.7</v>
      </c>
      <c r="AF305" s="177">
        <f t="shared" si="113"/>
        <v>0.59751459261854856</v>
      </c>
      <c r="AG305" s="810">
        <f t="shared" si="119"/>
        <v>-1</v>
      </c>
      <c r="AH305" s="176">
        <f t="shared" si="114"/>
        <v>5</v>
      </c>
      <c r="AI305" s="225">
        <f t="shared" si="115"/>
        <v>-0.4024854073814515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6">
        <v>28.702000000000002</v>
      </c>
      <c r="C306" s="390"/>
      <c r="D306" s="393">
        <f t="shared" si="98"/>
        <v>29.247486480253666</v>
      </c>
      <c r="E306" s="385">
        <f t="shared" si="120"/>
        <v>32.611641274942514</v>
      </c>
      <c r="F306" s="385">
        <f t="shared" si="99"/>
        <v>32.663950512475992</v>
      </c>
      <c r="G306" s="110">
        <f t="shared" si="121"/>
        <v>0.99006159538895899</v>
      </c>
      <c r="H306" s="414" t="b">
        <f>Wh_hp&gt;='2019'!Maxi_hp</f>
        <v>1</v>
      </c>
      <c r="I306" s="380">
        <f>IF(H306,Wh_hp,'2019'!Maxi_hp)</f>
        <v>32.663950512475992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1.8650713134680807E-2</v>
      </c>
      <c r="M306" s="844"/>
      <c r="N306" s="844"/>
      <c r="O306" s="48">
        <f>IF(t&lt;Tnet,'2019'!Resal+('2019'!Salim-'2019'!Resal)*(1-EXP(('2019'!Tnet-t)/('2019'!Tau_j))),Resal+(Salim-Resal)*(1-EXP((Tnet-t)/(Tau_j))))*Salcycl</f>
        <v>0.10315809518221737</v>
      </c>
      <c r="P306" s="169">
        <f>(INDEX(Models!$BJ306:$BT306,,T306)*(1-R306)+INDEX(Models!$BJ306:$BT306,,T306+1)*R306-ERP_i)*Q306*Ramure*Pc/MaxiM</f>
        <v>1.6244468337290483E-3</v>
      </c>
      <c r="Q306" s="305">
        <f t="shared" si="101"/>
        <v>0.7</v>
      </c>
      <c r="R306" s="177">
        <f t="shared" si="102"/>
        <v>0.59759105492369258</v>
      </c>
      <c r="S306" s="810">
        <f t="shared" si="103"/>
        <v>-1</v>
      </c>
      <c r="T306" s="176">
        <f t="shared" si="104"/>
        <v>5</v>
      </c>
      <c r="U306" s="251">
        <f t="shared" si="105"/>
        <v>-0.40240894507630742</v>
      </c>
      <c r="V306" s="383">
        <f t="shared" si="106"/>
        <v>28.989447350825202</v>
      </c>
      <c r="W306" s="402"/>
      <c r="X306" s="157">
        <f t="shared" si="107"/>
        <v>44122</v>
      </c>
      <c r="Y306" s="385">
        <f t="shared" si="108"/>
        <v>28.701999999999998</v>
      </c>
      <c r="Z306" s="385">
        <f t="shared" si="109"/>
        <v>29.247486480253663</v>
      </c>
      <c r="AA306" s="386">
        <f t="shared" si="110"/>
        <v>32.611641274942514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0.10315809518221737</v>
      </c>
      <c r="AD306" s="231">
        <f>(INDEX(Models!$BJ306:$BT306,,AH306)*(1-AF306)+INDEX(Models!$BJ306:$BT306,,AH306+1)*AF306-ERP_i)*AE306*Ramure*Pc/MaxiM</f>
        <v>1.6244468337290483E-3</v>
      </c>
      <c r="AE306" s="305">
        <f t="shared" si="112"/>
        <v>0.7</v>
      </c>
      <c r="AF306" s="177">
        <f t="shared" si="113"/>
        <v>0.59759105492369258</v>
      </c>
      <c r="AG306" s="810">
        <f t="shared" si="119"/>
        <v>-1</v>
      </c>
      <c r="AH306" s="176">
        <f t="shared" si="114"/>
        <v>5</v>
      </c>
      <c r="AI306" s="225">
        <f t="shared" si="115"/>
        <v>-0.40240894507630742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6">
        <v>23.623999999999999</v>
      </c>
      <c r="C307" s="390"/>
      <c r="D307" s="393">
        <f t="shared" si="98"/>
        <v>24.073538437317698</v>
      </c>
      <c r="E307" s="385">
        <f t="shared" si="120"/>
        <v>26.843006895466541</v>
      </c>
      <c r="F307" s="385">
        <f t="shared" si="99"/>
        <v>26.876972034227109</v>
      </c>
      <c r="G307" s="110">
        <f t="shared" si="121"/>
        <v>0.82391186998536836</v>
      </c>
      <c r="H307" s="414" t="b">
        <f>Wh_hp&gt;='2019'!Maxi_hp</f>
        <v>1</v>
      </c>
      <c r="I307" s="380">
        <f>IF(H307,Wh_hp,'2019'!Maxi_hp)</f>
        <v>26.876972034227109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1.8673550566245201E-2</v>
      </c>
      <c r="M307" s="844"/>
      <c r="N307" s="844"/>
      <c r="O307" s="48">
        <f>IF(t&lt;Tnet,'2019'!Resal+('2019'!Salim-'2019'!Resal)*(1-EXP(('2019'!Tnet-t)/('2019'!Tau_j))),Resal+(Salim-Resal)*(1-EXP((Tnet-t)/(Tau_j))))*Salcycl</f>
        <v>0.1031728102940872</v>
      </c>
      <c r="P307" s="169">
        <f>(INDEX(Models!$BJ307:$BT307,,T307)*(1-R307)+INDEX(Models!$BJ307:$BT307,,T307+1)*R307-ERP_i)*Q307*Ramure*Pc/MaxiM</f>
        <v>1.6873421019244796E-3</v>
      </c>
      <c r="Q307" s="305">
        <f t="shared" si="101"/>
        <v>0.7</v>
      </c>
      <c r="R307" s="177">
        <f t="shared" si="102"/>
        <v>0.59766446621408731</v>
      </c>
      <c r="S307" s="810">
        <f t="shared" si="103"/>
        <v>-1</v>
      </c>
      <c r="T307" s="176">
        <f t="shared" si="104"/>
        <v>5</v>
      </c>
      <c r="U307" s="251">
        <f t="shared" si="105"/>
        <v>-0.40233553378591269</v>
      </c>
      <c r="V307" s="383">
        <f t="shared" si="106"/>
        <v>28.660807909015016</v>
      </c>
      <c r="W307" s="402"/>
      <c r="X307" s="157">
        <f t="shared" si="107"/>
        <v>44123</v>
      </c>
      <c r="Y307" s="385">
        <f t="shared" si="108"/>
        <v>23.623999999999999</v>
      </c>
      <c r="Z307" s="385">
        <f t="shared" si="109"/>
        <v>24.073538437317698</v>
      </c>
      <c r="AA307" s="386">
        <f t="shared" si="110"/>
        <v>26.843006895466541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0.1031728102940872</v>
      </c>
      <c r="AD307" s="231">
        <f>(INDEX(Models!$BJ307:$BT307,,AH307)*(1-AF307)+INDEX(Models!$BJ307:$BT307,,AH307+1)*AF307-ERP_i)*AE307*Ramure*Pc/MaxiM</f>
        <v>1.6873421019244796E-3</v>
      </c>
      <c r="AE307" s="305">
        <f t="shared" si="112"/>
        <v>0.7</v>
      </c>
      <c r="AF307" s="177">
        <f t="shared" si="113"/>
        <v>0.59766446621408731</v>
      </c>
      <c r="AG307" s="810">
        <f t="shared" si="119"/>
        <v>-1</v>
      </c>
      <c r="AH307" s="176">
        <f t="shared" si="114"/>
        <v>5</v>
      </c>
      <c r="AI307" s="225">
        <f t="shared" si="115"/>
        <v>-0.40233553378591269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6">
        <v>5.4080000000000004</v>
      </c>
      <c r="C308" s="390"/>
      <c r="D308" s="393">
        <f t="shared" si="98"/>
        <v>5.511036473244971</v>
      </c>
      <c r="E308" s="385">
        <f t="shared" si="120"/>
        <v>6.145129294672536</v>
      </c>
      <c r="F308" s="385">
        <f t="shared" si="99"/>
        <v>6.145129294672536</v>
      </c>
      <c r="G308" s="110">
        <f t="shared" si="121"/>
        <v>0.19052855950622546</v>
      </c>
      <c r="H308" s="414" t="b">
        <f>Wh_hp&gt;='2019'!Maxi_hp</f>
        <v>0</v>
      </c>
      <c r="I308" s="380">
        <f>IF(H308,Wh_hp,'2019'!Maxi_hp)</f>
        <v>23.519569000870998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1.8696387466349162E-2</v>
      </c>
      <c r="M308" s="844"/>
      <c r="N308" s="844"/>
      <c r="O308" s="48">
        <f>IF(t&lt;Tnet,'2019'!Resal+('2019'!Salim-'2019'!Resal)*(1-EXP(('2019'!Tnet-t)/('2019'!Tau_j))),Resal+(Salim-Resal)*(1-EXP((Tnet-t)/(Tau_j))))*Salcycl</f>
        <v>0.10318624572753671</v>
      </c>
      <c r="P308" s="169">
        <f>(INDEX(Models!$BJ308:$BT308,,T308)*(1-R308)+INDEX(Models!$BJ308:$BT308,,T308+1)*R308-ERP_i)*Q308*Ramure*Pc/MaxiM</f>
        <v>1.7480070143563676E-3</v>
      </c>
      <c r="Q308" s="305">
        <f t="shared" si="101"/>
        <v>0.7</v>
      </c>
      <c r="R308" s="177">
        <f t="shared" si="102"/>
        <v>0.5977349471703155</v>
      </c>
      <c r="S308" s="810">
        <f t="shared" si="103"/>
        <v>-1</v>
      </c>
      <c r="T308" s="176">
        <f t="shared" si="104"/>
        <v>5</v>
      </c>
      <c r="U308" s="251">
        <f t="shared" si="105"/>
        <v>-0.40226505282968444</v>
      </c>
      <c r="V308" s="383">
        <f t="shared" si="106"/>
        <v>28.3345803487795</v>
      </c>
      <c r="W308" s="402"/>
      <c r="X308" s="157">
        <f t="shared" si="107"/>
        <v>44124</v>
      </c>
      <c r="Y308" s="385">
        <f t="shared" si="108"/>
        <v>5.4080000000000004</v>
      </c>
      <c r="Z308" s="385">
        <f t="shared" si="109"/>
        <v>5.511036473244971</v>
      </c>
      <c r="AA308" s="386">
        <f t="shared" si="110"/>
        <v>6.145129294672536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0.10318624572753671</v>
      </c>
      <c r="AD308" s="231">
        <f>(INDEX(Models!$BJ308:$BT308,,AH308)*(1-AF308)+INDEX(Models!$BJ308:$BT308,,AH308+1)*AF308-ERP_i)*AE308*Ramure*Pc/MaxiM</f>
        <v>1.7480070143563676E-3</v>
      </c>
      <c r="AE308" s="305">
        <f t="shared" si="112"/>
        <v>0.7</v>
      </c>
      <c r="AF308" s="177">
        <f t="shared" si="113"/>
        <v>0.5977349471703155</v>
      </c>
      <c r="AG308" s="810">
        <f t="shared" si="119"/>
        <v>-1</v>
      </c>
      <c r="AH308" s="176">
        <f t="shared" si="114"/>
        <v>5</v>
      </c>
      <c r="AI308" s="225">
        <f t="shared" si="115"/>
        <v>-0.40226505282968444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6">
        <v>21.135000000000002</v>
      </c>
      <c r="C309" s="390"/>
      <c r="D309" s="393">
        <f t="shared" si="98"/>
        <v>21.538177974502897</v>
      </c>
      <c r="E309" s="385">
        <f t="shared" si="120"/>
        <v>24.016660454030756</v>
      </c>
      <c r="F309" s="385">
        <f t="shared" si="99"/>
        <v>24.044863556817344</v>
      </c>
      <c r="G309" s="110">
        <f t="shared" si="121"/>
        <v>0.75405295356982516</v>
      </c>
      <c r="H309" s="414" t="b">
        <f>Wh_hp&gt;='2019'!Maxi_hp</f>
        <v>1</v>
      </c>
      <c r="I309" s="380">
        <f>IF(H309,Wh_hp,'2019'!Maxi_hp)</f>
        <v>24.044863556817344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1.8719223835005128E-2</v>
      </c>
      <c r="M309" s="844"/>
      <c r="N309" s="844"/>
      <c r="O309" s="48">
        <f>IF(t&lt;Tnet,'2019'!Resal+('2019'!Salim-'2019'!Resal)*(1-EXP(('2019'!Tnet-t)/('2019'!Tau_j))),Resal+(Salim-Resal)*(1-EXP((Tnet-t)/(Tau_j))))*Salcycl</f>
        <v>0.10319846442730099</v>
      </c>
      <c r="P309" s="169">
        <f>(INDEX(Models!$BJ309:$BT309,,T309)*(1-R309)+INDEX(Models!$BJ309:$BT309,,T309+1)*R309-ERP_i)*Q309*Ramure*Pc/MaxiM</f>
        <v>1.8063780996541931E-3</v>
      </c>
      <c r="Q309" s="305">
        <f t="shared" si="101"/>
        <v>0.7</v>
      </c>
      <c r="R309" s="177">
        <f t="shared" si="102"/>
        <v>0.59780261378299226</v>
      </c>
      <c r="S309" s="810">
        <f t="shared" si="103"/>
        <v>-1</v>
      </c>
      <c r="T309" s="176">
        <f t="shared" si="104"/>
        <v>5</v>
      </c>
      <c r="U309" s="251">
        <f t="shared" si="105"/>
        <v>-0.40219738621700774</v>
      </c>
      <c r="V309" s="383">
        <f t="shared" si="106"/>
        <v>28.010760244954685</v>
      </c>
      <c r="W309" s="402"/>
      <c r="X309" s="157">
        <f t="shared" si="107"/>
        <v>44125</v>
      </c>
      <c r="Y309" s="385">
        <f t="shared" si="108"/>
        <v>21.135000000000002</v>
      </c>
      <c r="Z309" s="385">
        <f t="shared" si="109"/>
        <v>21.538177974502897</v>
      </c>
      <c r="AA309" s="386">
        <f t="shared" si="110"/>
        <v>24.016660454030756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0.10319846442730099</v>
      </c>
      <c r="AD309" s="231">
        <f>(INDEX(Models!$BJ309:$BT309,,AH309)*(1-AF309)+INDEX(Models!$BJ309:$BT309,,AH309+1)*AF309-ERP_i)*AE309*Ramure*Pc/MaxiM</f>
        <v>1.8063780996541931E-3</v>
      </c>
      <c r="AE309" s="305">
        <f t="shared" si="112"/>
        <v>0.7</v>
      </c>
      <c r="AF309" s="177">
        <f t="shared" si="113"/>
        <v>0.59780261378299226</v>
      </c>
      <c r="AG309" s="810">
        <f t="shared" si="119"/>
        <v>-1</v>
      </c>
      <c r="AH309" s="176">
        <f t="shared" si="114"/>
        <v>5</v>
      </c>
      <c r="AI309" s="225">
        <f t="shared" si="115"/>
        <v>-0.40219738621700774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6">
        <v>4.6509999999999998</v>
      </c>
      <c r="C310" s="390"/>
      <c r="D310" s="393">
        <f t="shared" si="98"/>
        <v>4.7398342564712417</v>
      </c>
      <c r="E310" s="385">
        <f t="shared" si="120"/>
        <v>5.2853307865216728</v>
      </c>
      <c r="F310" s="385">
        <f t="shared" si="99"/>
        <v>5.2853307865216728</v>
      </c>
      <c r="G310" s="110">
        <f t="shared" si="121"/>
        <v>0.16765793263485526</v>
      </c>
      <c r="H310" s="414" t="b">
        <f>Wh_hp&gt;='2019'!Maxi_hp</f>
        <v>0</v>
      </c>
      <c r="I310" s="380">
        <f>IF(H310,Wh_hp,'2019'!Maxi_hp)</f>
        <v>30.882091109404431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1.874205967222542E-2</v>
      </c>
      <c r="M310" s="844"/>
      <c r="N310" s="844"/>
      <c r="O310" s="48">
        <f>IF(t&lt;Tnet,'2019'!Resal+('2019'!Salim-'2019'!Resal)*(1-EXP(('2019'!Tnet-t)/('2019'!Tau_j))),Resal+(Salim-Resal)*(1-EXP((Tnet-t)/(Tau_j))))*Salcycl</f>
        <v>0.10320953448013563</v>
      </c>
      <c r="P310" s="169">
        <f>(INDEX(Models!$BJ310:$BT310,,T310)*(1-R310)+INDEX(Models!$BJ310:$BT310,,T310+1)*R310-ERP_i)*Q310*Ramure*Pc/MaxiM</f>
        <v>1.8579073192420089E-3</v>
      </c>
      <c r="Q310" s="305">
        <f t="shared" si="101"/>
        <v>0.7</v>
      </c>
      <c r="R310" s="177">
        <f t="shared" si="102"/>
        <v>0.59786757752844966</v>
      </c>
      <c r="S310" s="810">
        <f t="shared" si="103"/>
        <v>-1</v>
      </c>
      <c r="T310" s="176">
        <f t="shared" si="104"/>
        <v>5</v>
      </c>
      <c r="U310" s="251">
        <f t="shared" si="105"/>
        <v>-0.40213242247155029</v>
      </c>
      <c r="V310" s="383">
        <f t="shared" si="106"/>
        <v>27.689467477622241</v>
      </c>
      <c r="W310" s="402"/>
      <c r="X310" s="157">
        <f t="shared" si="107"/>
        <v>44126</v>
      </c>
      <c r="Y310" s="385">
        <f t="shared" si="108"/>
        <v>4.6509999999999998</v>
      </c>
      <c r="Z310" s="385">
        <f t="shared" si="109"/>
        <v>4.7398342564712417</v>
      </c>
      <c r="AA310" s="386">
        <f t="shared" si="110"/>
        <v>5.2853307865216728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0.10320953448013563</v>
      </c>
      <c r="AD310" s="231">
        <f>(INDEX(Models!$BJ310:$BT310,,AH310)*(1-AF310)+INDEX(Models!$BJ310:$BT310,,AH310+1)*AF310-ERP_i)*AE310*Ramure*Pc/MaxiM</f>
        <v>1.8579073192420089E-3</v>
      </c>
      <c r="AE310" s="305">
        <f t="shared" si="112"/>
        <v>0.7</v>
      </c>
      <c r="AF310" s="177">
        <f t="shared" si="113"/>
        <v>0.59786757752844966</v>
      </c>
      <c r="AG310" s="810">
        <f t="shared" si="119"/>
        <v>-1</v>
      </c>
      <c r="AH310" s="176">
        <f t="shared" si="114"/>
        <v>5</v>
      </c>
      <c r="AI310" s="225">
        <f t="shared" si="115"/>
        <v>-0.40213242247155029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6">
        <v>8.548</v>
      </c>
      <c r="C311" s="390"/>
      <c r="D311" s="393">
        <f t="shared" si="98"/>
        <v>8.7114698162053052</v>
      </c>
      <c r="E311" s="385">
        <f t="shared" si="120"/>
        <v>9.7141609316841162</v>
      </c>
      <c r="F311" s="385">
        <f t="shared" si="99"/>
        <v>9.7144853634440214</v>
      </c>
      <c r="G311" s="110">
        <f t="shared" si="121"/>
        <v>0.31172108269125715</v>
      </c>
      <c r="H311" s="414" t="b">
        <f>Wh_hp&gt;='2019'!Maxi_hp</f>
        <v>0</v>
      </c>
      <c r="I311" s="380">
        <f>IF(H311,Wh_hp,'2019'!Maxi_hp)</f>
        <v>31.256502042295658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1.8764894978022473E-2</v>
      </c>
      <c r="M311" s="844"/>
      <c r="N311" s="844"/>
      <c r="O311" s="48">
        <f>IF(t&lt;Tnet,'2019'!Resal+('2019'!Salim-'2019'!Resal)*(1-EXP(('2019'!Tnet-t)/('2019'!Tau_j))),Resal+(Salim-Resal)*(1-EXP((Tnet-t)/(Tau_j))))*Salcycl</f>
        <v>0.10321952894648788</v>
      </c>
      <c r="P311" s="169">
        <f>(INDEX(Models!$BJ311:$BT311,,T311)*(1-R311)+INDEX(Models!$BJ311:$BT311,,T311+1)*R311-ERP_i)*Q311*Ramure*Pc/MaxiM</f>
        <v>1.8999996592961985E-3</v>
      </c>
      <c r="Q311" s="305">
        <f t="shared" si="101"/>
        <v>0.7</v>
      </c>
      <c r="R311" s="177">
        <f t="shared" si="102"/>
        <v>0.59792994553836387</v>
      </c>
      <c r="S311" s="810">
        <f t="shared" si="103"/>
        <v>-1</v>
      </c>
      <c r="T311" s="176">
        <f t="shared" si="104"/>
        <v>5</v>
      </c>
      <c r="U311" s="251">
        <f t="shared" si="105"/>
        <v>-0.40207005446163613</v>
      </c>
      <c r="V311" s="383">
        <f t="shared" si="106"/>
        <v>27.370762578397596</v>
      </c>
      <c r="W311" s="402"/>
      <c r="X311" s="157">
        <f t="shared" si="107"/>
        <v>44127</v>
      </c>
      <c r="Y311" s="385">
        <f t="shared" si="108"/>
        <v>8.548</v>
      </c>
      <c r="Z311" s="385">
        <f t="shared" si="109"/>
        <v>8.7114698162053052</v>
      </c>
      <c r="AA311" s="386">
        <f t="shared" si="110"/>
        <v>9.7141609316841162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0.10321952894648788</v>
      </c>
      <c r="AD311" s="231">
        <f>(INDEX(Models!$BJ311:$BT311,,AH311)*(1-AF311)+INDEX(Models!$BJ311:$BT311,,AH311+1)*AF311-ERP_i)*AE311*Ramure*Pc/MaxiM</f>
        <v>1.8999996592961985E-3</v>
      </c>
      <c r="AE311" s="305">
        <f t="shared" si="112"/>
        <v>0.7</v>
      </c>
      <c r="AF311" s="177">
        <f t="shared" si="113"/>
        <v>0.59792994553836387</v>
      </c>
      <c r="AG311" s="810">
        <f t="shared" si="119"/>
        <v>-1</v>
      </c>
      <c r="AH311" s="176">
        <f t="shared" si="114"/>
        <v>5</v>
      </c>
      <c r="AI311" s="225">
        <f t="shared" si="115"/>
        <v>-0.40207005446163613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6">
        <v>23.824000000000002</v>
      </c>
      <c r="C312" s="390"/>
      <c r="D312" s="393">
        <f t="shared" si="98"/>
        <v>24.280169258368979</v>
      </c>
      <c r="E312" s="385">
        <f t="shared" si="120"/>
        <v>27.075090982537425</v>
      </c>
      <c r="F312" s="385">
        <f t="shared" si="99"/>
        <v>27.118556757206203</v>
      </c>
      <c r="G312" s="110">
        <f t="shared" si="121"/>
        <v>0.88029763571510988</v>
      </c>
      <c r="H312" s="414" t="b">
        <f>Wh_hp&gt;='2019'!Maxi_hp</f>
        <v>0</v>
      </c>
      <c r="I312" s="380">
        <f>IF(H312,Wh_hp,'2019'!Maxi_hp)</f>
        <v>30.314275892312452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1.8787729752408611E-2</v>
      </c>
      <c r="M312" s="844"/>
      <c r="N312" s="844"/>
      <c r="O312" s="48">
        <f>IF(t&lt;Tnet,'2019'!Resal+('2019'!Salim-'2019'!Resal)*(1-EXP(('2019'!Tnet-t)/('2019'!Tau_j))),Resal+(Salim-Resal)*(1-EXP((Tnet-t)/(Tau_j))))*Salcycl</f>
        <v>0.10322852565744225</v>
      </c>
      <c r="P312" s="169">
        <f>(INDEX(Models!$BJ312:$BT312,,T312)*(1-R312)+INDEX(Models!$BJ312:$BT312,,T312+1)*R312-ERP_i)*Q312*Ramure*Pc/MaxiM</f>
        <v>1.932460133440261E-3</v>
      </c>
      <c r="Q312" s="305">
        <f t="shared" si="101"/>
        <v>0.7</v>
      </c>
      <c r="R312" s="177">
        <f t="shared" si="102"/>
        <v>0.59798982076349039</v>
      </c>
      <c r="S312" s="810">
        <f t="shared" si="103"/>
        <v>-1</v>
      </c>
      <c r="T312" s="176">
        <f t="shared" si="104"/>
        <v>5</v>
      </c>
      <c r="U312" s="251">
        <f t="shared" si="105"/>
        <v>-0.40201017923650956</v>
      </c>
      <c r="V312" s="383">
        <f t="shared" si="106"/>
        <v>27.054637813416893</v>
      </c>
      <c r="W312" s="402"/>
      <c r="X312" s="157">
        <f t="shared" si="107"/>
        <v>44128</v>
      </c>
      <c r="Y312" s="385">
        <f t="shared" si="108"/>
        <v>23.824000000000002</v>
      </c>
      <c r="Z312" s="385">
        <f t="shared" si="109"/>
        <v>24.280169258368979</v>
      </c>
      <c r="AA312" s="386">
        <f t="shared" si="110"/>
        <v>27.075090982537425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0.10322852565744225</v>
      </c>
      <c r="AD312" s="231">
        <f>(INDEX(Models!$BJ312:$BT312,,AH312)*(1-AF312)+INDEX(Models!$BJ312:$BT312,,AH312+1)*AF312-ERP_i)*AE312*Ramure*Pc/MaxiM</f>
        <v>1.932460133440261E-3</v>
      </c>
      <c r="AE312" s="305">
        <f t="shared" si="112"/>
        <v>0.7</v>
      </c>
      <c r="AF312" s="177">
        <f t="shared" si="113"/>
        <v>0.59798982076349039</v>
      </c>
      <c r="AG312" s="810">
        <f t="shared" si="119"/>
        <v>-1</v>
      </c>
      <c r="AH312" s="176">
        <f t="shared" si="114"/>
        <v>5</v>
      </c>
      <c r="AI312" s="225">
        <f t="shared" si="115"/>
        <v>-0.40201017923650956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6">
        <v>17.881</v>
      </c>
      <c r="C313" s="390"/>
      <c r="D313" s="393">
        <f t="shared" si="98"/>
        <v>18.223799955298436</v>
      </c>
      <c r="E313" s="385">
        <f t="shared" si="120"/>
        <v>20.321748297373112</v>
      </c>
      <c r="F313" s="385">
        <f t="shared" si="99"/>
        <v>20.342694922622204</v>
      </c>
      <c r="G313" s="110">
        <f t="shared" si="121"/>
        <v>0.66805200849466873</v>
      </c>
      <c r="H313" s="414" t="b">
        <f>Wh_hp&gt;='2019'!Maxi_hp</f>
        <v>0</v>
      </c>
      <c r="I313" s="380">
        <f>IF(H313,Wh_hp,'2019'!Maxi_hp)</f>
        <v>30.638103345226707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1.8810563995396046E-2</v>
      </c>
      <c r="M313" s="844"/>
      <c r="N313" s="844"/>
      <c r="O313" s="48">
        <f>IF(t&lt;Tnet,'2019'!Resal+('2019'!Salim-'2019'!Resal)*(1-EXP(('2019'!Tnet-t)/('2019'!Tau_j))),Resal+(Salim-Resal)*(1-EXP((Tnet-t)/(Tau_j))))*Salcycl</f>
        <v>0.10323660697765208</v>
      </c>
      <c r="P313" s="169">
        <f>(INDEX(Models!$BJ313:$BT313,,T313)*(1-R313)+INDEX(Models!$BJ313:$BT313,,T313+1)*R313-ERP_i)*Q313*Ramure*Pc/MaxiM</f>
        <v>1.9550782093620401E-3</v>
      </c>
      <c r="Q313" s="305">
        <f t="shared" si="101"/>
        <v>0.7</v>
      </c>
      <c r="R313" s="177">
        <f t="shared" si="102"/>
        <v>0.59804730213167401</v>
      </c>
      <c r="S313" s="810">
        <f t="shared" si="103"/>
        <v>-1</v>
      </c>
      <c r="T313" s="176">
        <f t="shared" si="104"/>
        <v>5</v>
      </c>
      <c r="U313" s="251">
        <f t="shared" si="105"/>
        <v>-0.40195269786832599</v>
      </c>
      <c r="V313" s="383">
        <f t="shared" si="106"/>
        <v>26.74108574128342</v>
      </c>
      <c r="W313" s="402"/>
      <c r="X313" s="157">
        <f t="shared" si="107"/>
        <v>44129</v>
      </c>
      <c r="Y313" s="385">
        <f t="shared" si="108"/>
        <v>17.881</v>
      </c>
      <c r="Z313" s="385">
        <f t="shared" si="109"/>
        <v>18.223799955298436</v>
      </c>
      <c r="AA313" s="386">
        <f t="shared" si="110"/>
        <v>20.321748297373112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0.10323660697765208</v>
      </c>
      <c r="AD313" s="231">
        <f>(INDEX(Models!$BJ313:$BT313,,AH313)*(1-AF313)+INDEX(Models!$BJ313:$BT313,,AH313+1)*AF313-ERP_i)*AE313*Ramure*Pc/MaxiM</f>
        <v>1.9550782093620401E-3</v>
      </c>
      <c r="AE313" s="305">
        <f t="shared" si="112"/>
        <v>0.7</v>
      </c>
      <c r="AF313" s="177">
        <f t="shared" si="113"/>
        <v>0.59804730213167401</v>
      </c>
      <c r="AG313" s="810">
        <f t="shared" si="119"/>
        <v>-1</v>
      </c>
      <c r="AH313" s="176">
        <f t="shared" si="114"/>
        <v>5</v>
      </c>
      <c r="AI313" s="225">
        <f t="shared" si="115"/>
        <v>-0.40195269786832599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6">
        <v>20.841000000000001</v>
      </c>
      <c r="C314" s="390"/>
      <c r="D314" s="393">
        <f t="shared" si="98"/>
        <v>21.241040972342759</v>
      </c>
      <c r="E314" s="385">
        <f t="shared" si="120"/>
        <v>23.686529719589878</v>
      </c>
      <c r="F314" s="385">
        <f t="shared" si="99"/>
        <v>23.719101394918546</v>
      </c>
      <c r="G314" s="110">
        <f t="shared" si="121"/>
        <v>0.78806344478499935</v>
      </c>
      <c r="H314" s="414" t="b">
        <f>Wh_hp&gt;='2019'!Maxi_hp</f>
        <v>1</v>
      </c>
      <c r="I314" s="380">
        <f>IF(H314,Wh_hp,'2019'!Maxi_hp)</f>
        <v>23.719101394918546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1.8833397706997435E-2</v>
      </c>
      <c r="M314" s="844"/>
      <c r="N314" s="844"/>
      <c r="O314" s="48">
        <f>IF(t&lt;Tnet,'2019'!Resal+('2019'!Salim-'2019'!Resal)*(1-EXP(('2019'!Tnet-t)/('2019'!Tau_j))),Resal+(Salim-Resal)*(1-EXP((Tnet-t)/(Tau_j))))*Salcycl</f>
        <v>0.10324385953526087</v>
      </c>
      <c r="P314" s="169">
        <f>(INDEX(Models!$BJ314:$BT314,,T314)*(1-R314)+INDEX(Models!$BJ314:$BT314,,T314+1)*R314-ERP_i)*Q314*Ramure*Pc/MaxiM</f>
        <v>1.9676423990391163E-3</v>
      </c>
      <c r="Q314" s="305">
        <f t="shared" si="101"/>
        <v>0.7</v>
      </c>
      <c r="R314" s="177">
        <f t="shared" si="102"/>
        <v>0.59810248470029581</v>
      </c>
      <c r="S314" s="810">
        <f t="shared" si="103"/>
        <v>-1</v>
      </c>
      <c r="T314" s="176">
        <f t="shared" si="104"/>
        <v>5</v>
      </c>
      <c r="U314" s="251">
        <f t="shared" si="105"/>
        <v>-0.40189751529970413</v>
      </c>
      <c r="V314" s="383">
        <f t="shared" si="106"/>
        <v>26.430098820592807</v>
      </c>
      <c r="W314" s="402"/>
      <c r="X314" s="157">
        <f t="shared" si="107"/>
        <v>44130</v>
      </c>
      <c r="Y314" s="385">
        <f t="shared" si="108"/>
        <v>20.841000000000001</v>
      </c>
      <c r="Z314" s="385">
        <f t="shared" si="109"/>
        <v>21.241040972342759</v>
      </c>
      <c r="AA314" s="386">
        <f t="shared" si="110"/>
        <v>23.686529719589878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0.10324385953526087</v>
      </c>
      <c r="AD314" s="231">
        <f>(INDEX(Models!$BJ314:$BT314,,AH314)*(1-AF314)+INDEX(Models!$BJ314:$BT314,,AH314+1)*AF314-ERP_i)*AE314*Ramure*Pc/MaxiM</f>
        <v>1.9676423990391163E-3</v>
      </c>
      <c r="AE314" s="305">
        <f t="shared" si="112"/>
        <v>0.7</v>
      </c>
      <c r="AF314" s="177">
        <f t="shared" si="113"/>
        <v>0.59810248470029581</v>
      </c>
      <c r="AG314" s="810">
        <f t="shared" si="119"/>
        <v>-1</v>
      </c>
      <c r="AH314" s="176">
        <f t="shared" si="114"/>
        <v>5</v>
      </c>
      <c r="AI314" s="225">
        <f t="shared" si="115"/>
        <v>-0.40189751529970413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6">
        <v>21.486000000000001</v>
      </c>
      <c r="C315" s="390"/>
      <c r="D315" s="393">
        <f t="shared" si="98"/>
        <v>21.898931304868071</v>
      </c>
      <c r="E315" s="385">
        <f t="shared" si="120"/>
        <v>24.420340603428322</v>
      </c>
      <c r="F315" s="385">
        <f t="shared" si="99"/>
        <v>24.456304068752978</v>
      </c>
      <c r="G315" s="110">
        <f t="shared" si="121"/>
        <v>0.82212408736581277</v>
      </c>
      <c r="H315" s="414" t="b">
        <f>Wh_hp&gt;='2019'!Maxi_hp</f>
        <v>1</v>
      </c>
      <c r="I315" s="380">
        <f>IF(H315,Wh_hp,'2019'!Maxi_hp)</f>
        <v>24.456304068752978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1.885623088722499E-2</v>
      </c>
      <c r="M315" s="844"/>
      <c r="N315" s="844"/>
      <c r="O315" s="48">
        <f>IF(t&lt;Tnet,'2019'!Resal+('2019'!Salim-'2019'!Resal)*(1-EXP(('2019'!Tnet-t)/('2019'!Tau_j))),Resal+(Salim-Resal)*(1-EXP((Tnet-t)/(Tau_j))))*Salcycl</f>
        <v>0.10325037392010314</v>
      </c>
      <c r="P315" s="169">
        <f>(INDEX(Models!$BJ315:$BT315,,T315)*(1-R315)+INDEX(Models!$BJ315:$BT315,,T315+1)*R315-ERP_i)*Q315*Ramure*Pc/MaxiM</f>
        <v>1.9699398233459222E-3</v>
      </c>
      <c r="Q315" s="305">
        <f t="shared" si="101"/>
        <v>0.7</v>
      </c>
      <c r="R315" s="177">
        <f t="shared" si="102"/>
        <v>0.59815545980332152</v>
      </c>
      <c r="S315" s="810">
        <f t="shared" si="103"/>
        <v>-1</v>
      </c>
      <c r="T315" s="176">
        <f t="shared" si="104"/>
        <v>5</v>
      </c>
      <c r="U315" s="251">
        <f t="shared" si="105"/>
        <v>-0.40184454019667848</v>
      </c>
      <c r="V315" s="383">
        <f t="shared" si="106"/>
        <v>26.121669436946437</v>
      </c>
      <c r="W315" s="402"/>
      <c r="X315" s="157">
        <f t="shared" si="107"/>
        <v>44131</v>
      </c>
      <c r="Y315" s="385">
        <f t="shared" si="108"/>
        <v>21.486000000000001</v>
      </c>
      <c r="Z315" s="385">
        <f t="shared" si="109"/>
        <v>21.898931304868071</v>
      </c>
      <c r="AA315" s="386">
        <f t="shared" si="110"/>
        <v>24.420340603428322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0.10325037392010314</v>
      </c>
      <c r="AD315" s="231">
        <f>(INDEX(Models!$BJ315:$BT315,,AH315)*(1-AF315)+INDEX(Models!$BJ315:$BT315,,AH315+1)*AF315-ERP_i)*AE315*Ramure*Pc/MaxiM</f>
        <v>1.9699398233459222E-3</v>
      </c>
      <c r="AE315" s="305">
        <f t="shared" si="112"/>
        <v>0.7</v>
      </c>
      <c r="AF315" s="177">
        <f t="shared" si="113"/>
        <v>0.59815545980332152</v>
      </c>
      <c r="AG315" s="810">
        <f t="shared" si="119"/>
        <v>-1</v>
      </c>
      <c r="AH315" s="176">
        <f t="shared" si="114"/>
        <v>5</v>
      </c>
      <c r="AI315" s="225">
        <f t="shared" si="115"/>
        <v>-0.40184454019667848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6">
        <v>12.343</v>
      </c>
      <c r="C316" s="390"/>
      <c r="D316" s="393">
        <f t="shared" si="98"/>
        <v>12.580508213886274</v>
      </c>
      <c r="E316" s="385">
        <f t="shared" si="120"/>
        <v>14.029100436603505</v>
      </c>
      <c r="F316" s="385">
        <f t="shared" si="99"/>
        <v>14.03610694976317</v>
      </c>
      <c r="G316" s="110">
        <f t="shared" si="121"/>
        <v>0.47741860374553996</v>
      </c>
      <c r="H316" s="414" t="b">
        <f>Wh_hp&gt;='2019'!Maxi_hp</f>
        <v>0</v>
      </c>
      <c r="I316" s="380">
        <f>IF(H316,Wh_hp,'2019'!Maxi_hp)</f>
        <v>26.808132600527212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1.8879063536091034E-2</v>
      </c>
      <c r="M316" s="844"/>
      <c r="N316" s="844"/>
      <c r="O316" s="48">
        <f>IF(t&lt;Tnet,'2019'!Resal+('2019'!Salim-'2019'!Resal)*(1-EXP(('2019'!Tnet-t)/('2019'!Tau_j))),Resal+(Salim-Resal)*(1-EXP((Tnet-t)/(Tau_j))))*Salcycl</f>
        <v>0.10325624435175407</v>
      </c>
      <c r="P316" s="169">
        <f>(INDEX(Models!$BJ316:$BT316,,T316)*(1-R316)+INDEX(Models!$BJ316:$BT316,,T316+1)*R316-ERP_i)*Q316*Ramure*Pc/MaxiM</f>
        <v>1.961755697812274E-3</v>
      </c>
      <c r="Q316" s="305">
        <f t="shared" si="101"/>
        <v>0.7</v>
      </c>
      <c r="R316" s="177">
        <f t="shared" si="102"/>
        <v>0.59820631519311052</v>
      </c>
      <c r="S316" s="810">
        <f t="shared" si="103"/>
        <v>-1</v>
      </c>
      <c r="T316" s="176">
        <f t="shared" si="104"/>
        <v>5</v>
      </c>
      <c r="U316" s="251">
        <f t="shared" si="105"/>
        <v>-0.40179368480688954</v>
      </c>
      <c r="V316" s="383">
        <f t="shared" si="106"/>
        <v>25.815789934675877</v>
      </c>
      <c r="W316" s="402"/>
      <c r="X316" s="157">
        <f t="shared" si="107"/>
        <v>44132</v>
      </c>
      <c r="Y316" s="385">
        <f t="shared" si="108"/>
        <v>12.343</v>
      </c>
      <c r="Z316" s="385">
        <f t="shared" si="109"/>
        <v>12.580508213886274</v>
      </c>
      <c r="AA316" s="386">
        <f t="shared" si="110"/>
        <v>14.029100436603505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0.10325624435175407</v>
      </c>
      <c r="AD316" s="231">
        <f>(INDEX(Models!$BJ316:$BT316,,AH316)*(1-AF316)+INDEX(Models!$BJ316:$BT316,,AH316+1)*AF316-ERP_i)*AE316*Ramure*Pc/MaxiM</f>
        <v>1.961755697812274E-3</v>
      </c>
      <c r="AE316" s="305">
        <f t="shared" si="112"/>
        <v>0.7</v>
      </c>
      <c r="AF316" s="177">
        <f t="shared" si="113"/>
        <v>0.59820631519311052</v>
      </c>
      <c r="AG316" s="810">
        <f t="shared" si="119"/>
        <v>-1</v>
      </c>
      <c r="AH316" s="176">
        <f t="shared" si="114"/>
        <v>5</v>
      </c>
      <c r="AI316" s="225">
        <f t="shared" si="115"/>
        <v>-0.40179368480688954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6">
        <v>21.07</v>
      </c>
      <c r="C317" s="390"/>
      <c r="D317" s="393">
        <f t="shared" si="98"/>
        <v>21.475935899434688</v>
      </c>
      <c r="E317" s="385">
        <f t="shared" si="120"/>
        <v>23.948941118964743</v>
      </c>
      <c r="F317" s="385">
        <f t="shared" si="99"/>
        <v>23.983951109826947</v>
      </c>
      <c r="G317" s="110">
        <f t="shared" si="121"/>
        <v>0.82550525532373842</v>
      </c>
      <c r="H317" s="414" t="b">
        <f>Wh_hp&gt;='2019'!Maxi_hp</f>
        <v>0</v>
      </c>
      <c r="I317" s="380">
        <f>IF(H317,Wh_hp,'2019'!Maxi_hp)</f>
        <v>25.646872317786048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1.8901895653608003E-2</v>
      </c>
      <c r="M317" s="844"/>
      <c r="N317" s="844"/>
      <c r="O317" s="48">
        <f>IF(t&lt;Tnet,'2019'!Resal+('2019'!Salim-'2019'!Resal)*(1-EXP(('2019'!Tnet-t)/('2019'!Tau_j))),Resal+(Salim-Resal)*(1-EXP((Tnet-t)/(Tau_j))))*Salcycl</f>
        <v>0.10326156831926589</v>
      </c>
      <c r="P317" s="169">
        <f>(INDEX(Models!$BJ317:$BT317,,T317)*(1-R317)+INDEX(Models!$BJ317:$BT317,,T317+1)*R317-ERP_i)*Q317*Ramure*Pc/MaxiM</f>
        <v>1.9429519427989579E-3</v>
      </c>
      <c r="Q317" s="305">
        <f t="shared" si="101"/>
        <v>0.7</v>
      </c>
      <c r="R317" s="177">
        <f t="shared" si="102"/>
        <v>0.59825513517714457</v>
      </c>
      <c r="S317" s="810">
        <f t="shared" si="103"/>
        <v>-1</v>
      </c>
      <c r="T317" s="176">
        <f t="shared" si="104"/>
        <v>5</v>
      </c>
      <c r="U317" s="251">
        <f t="shared" si="105"/>
        <v>-0.40174486482285537</v>
      </c>
      <c r="V317" s="383">
        <f t="shared" si="106"/>
        <v>25.511410622920021</v>
      </c>
      <c r="W317" s="402"/>
      <c r="X317" s="157">
        <f t="shared" si="107"/>
        <v>44133</v>
      </c>
      <c r="Y317" s="385">
        <f t="shared" si="108"/>
        <v>21.07</v>
      </c>
      <c r="Z317" s="385">
        <f t="shared" si="109"/>
        <v>21.475935899434688</v>
      </c>
      <c r="AA317" s="386">
        <f t="shared" si="110"/>
        <v>23.948941118964743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0.10326156831926589</v>
      </c>
      <c r="AD317" s="231">
        <f>(INDEX(Models!$BJ317:$BT317,,AH317)*(1-AF317)+INDEX(Models!$BJ317:$BT317,,AH317+1)*AF317-ERP_i)*AE317*Ramure*Pc/MaxiM</f>
        <v>1.9429519427989579E-3</v>
      </c>
      <c r="AE317" s="305">
        <f t="shared" si="112"/>
        <v>0.7</v>
      </c>
      <c r="AF317" s="177">
        <f t="shared" si="113"/>
        <v>0.59825513517714457</v>
      </c>
      <c r="AG317" s="810">
        <f t="shared" si="119"/>
        <v>-1</v>
      </c>
      <c r="AH317" s="176">
        <f t="shared" si="114"/>
        <v>5</v>
      </c>
      <c r="AI317" s="225">
        <f t="shared" si="115"/>
        <v>-0.40174486482285537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6">
        <v>25.602</v>
      </c>
      <c r="C318" s="390"/>
      <c r="D318" s="393">
        <f t="shared" si="98"/>
        <v>26.095856975346965</v>
      </c>
      <c r="E318" s="385">
        <f t="shared" si="120"/>
        <v>29.101015418245961</v>
      </c>
      <c r="F318" s="385">
        <f t="shared" si="99"/>
        <v>29.156794138449072</v>
      </c>
      <c r="G318" s="110">
        <f t="shared" si="121"/>
        <v>1.0156376071017086</v>
      </c>
      <c r="H318" s="414" t="b">
        <f>Wh_hp&gt;='2019'!Maxi_hp</f>
        <v>1</v>
      </c>
      <c r="I318" s="380">
        <f>IF(H318,Wh_hp,'2019'!Maxi_hp)</f>
        <v>29.156794138449072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1.8924727239788219E-2</v>
      </c>
      <c r="M318" s="844"/>
      <c r="N318" s="844"/>
      <c r="O318" s="48">
        <f>IF(t&lt;Tnet,'2019'!Resal+('2019'!Salim-'2019'!Resal)*(1-EXP(('2019'!Tnet-t)/('2019'!Tau_j))),Resal+(Salim-Resal)*(1-EXP((Tnet-t)/(Tau_j))))*Salcycl</f>
        <v>0.10326644619468506</v>
      </c>
      <c r="P318" s="169">
        <f>(INDEX(Models!$BJ318:$BT318,,T318)*(1-R318)+INDEX(Models!$BJ318:$BT318,,T318+1)*R318-ERP_i)*Q318*Ramure*Pc/MaxiM</f>
        <v>1.9130608097120984E-3</v>
      </c>
      <c r="Q318" s="305">
        <f t="shared" si="101"/>
        <v>0.7</v>
      </c>
      <c r="R318" s="177">
        <f t="shared" si="102"/>
        <v>0.59830200074983331</v>
      </c>
      <c r="S318" s="810">
        <f t="shared" si="103"/>
        <v>-1</v>
      </c>
      <c r="T318" s="176">
        <f t="shared" si="104"/>
        <v>5</v>
      </c>
      <c r="U318" s="251">
        <f t="shared" si="105"/>
        <v>-0.40169799925016669</v>
      </c>
      <c r="V318" s="383">
        <f t="shared" si="106"/>
        <v>25.207810168687605</v>
      </c>
      <c r="W318" s="402"/>
      <c r="X318" s="157">
        <f t="shared" si="107"/>
        <v>44134</v>
      </c>
      <c r="Y318" s="385">
        <f t="shared" si="108"/>
        <v>25.602</v>
      </c>
      <c r="Z318" s="385">
        <f t="shared" si="109"/>
        <v>26.095856975346965</v>
      </c>
      <c r="AA318" s="386">
        <f t="shared" si="110"/>
        <v>29.101015418245961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0.10326644619468506</v>
      </c>
      <c r="AD318" s="231">
        <f>(INDEX(Models!$BJ318:$BT318,,AH318)*(1-AF318)+INDEX(Models!$BJ318:$BT318,,AH318+1)*AF318-ERP_i)*AE318*Ramure*Pc/MaxiM</f>
        <v>1.9130608097120984E-3</v>
      </c>
      <c r="AE318" s="305">
        <f t="shared" si="112"/>
        <v>0.7</v>
      </c>
      <c r="AF318" s="177">
        <f t="shared" si="113"/>
        <v>0.59830200074983331</v>
      </c>
      <c r="AG318" s="810">
        <f t="shared" si="119"/>
        <v>-1</v>
      </c>
      <c r="AH318" s="176">
        <f t="shared" si="114"/>
        <v>5</v>
      </c>
      <c r="AI318" s="225">
        <f t="shared" si="115"/>
        <v>-0.40169799925016669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6">
        <v>25.273</v>
      </c>
      <c r="C319" s="390"/>
      <c r="D319" s="393">
        <f t="shared" si="98"/>
        <v>25.76111013603731</v>
      </c>
      <c r="E319" s="385">
        <f t="shared" si="120"/>
        <v>28.72786492364358</v>
      </c>
      <c r="F319" s="385">
        <f t="shared" si="99"/>
        <v>28.781907422136918</v>
      </c>
      <c r="G319" s="110">
        <f t="shared" si="121"/>
        <v>1.0147632709083478</v>
      </c>
      <c r="H319" s="414" t="b">
        <f>Wh_hp&gt;='2019'!Maxi_hp</f>
        <v>1</v>
      </c>
      <c r="I319" s="380">
        <f>IF(H319,Wh_hp,'2019'!Maxi_hp)</f>
        <v>28.781907422136918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1.8947558294644007E-2</v>
      </c>
      <c r="M319" s="844"/>
      <c r="N319" s="844"/>
      <c r="O319" s="48">
        <f>IF(t&lt;Tnet,'2019'!Resal+('2019'!Salim-'2019'!Resal)*(1-EXP(('2019'!Tnet-t)/('2019'!Tau_j))),Resal+(Salim-Resal)*(1-EXP((Tnet-t)/(Tau_j))))*Salcycl</f>
        <v>0.10327098082268454</v>
      </c>
      <c r="P319" s="169">
        <f>(INDEX(Models!$BJ319:$BT319,,T319)*(1-R319)+INDEX(Models!$BJ319:$BT319,,T319+1)*R319-ERP_i)*Q319*Ramure*Pc/MaxiM</f>
        <v>1.8776552123773388E-3</v>
      </c>
      <c r="Q319" s="305">
        <f t="shared" si="101"/>
        <v>0.7</v>
      </c>
      <c r="R319" s="177">
        <f t="shared" si="102"/>
        <v>0.5983469897195467</v>
      </c>
      <c r="S319" s="810">
        <f t="shared" si="103"/>
        <v>-1</v>
      </c>
      <c r="T319" s="176">
        <f t="shared" si="104"/>
        <v>5</v>
      </c>
      <c r="U319" s="251">
        <f t="shared" si="105"/>
        <v>-0.4016530102804533</v>
      </c>
      <c r="V319" s="383">
        <f t="shared" si="106"/>
        <v>24.905316071774362</v>
      </c>
      <c r="W319" s="402"/>
      <c r="X319" s="157">
        <f t="shared" si="107"/>
        <v>44135</v>
      </c>
      <c r="Y319" s="385">
        <f t="shared" si="108"/>
        <v>25.273</v>
      </c>
      <c r="Z319" s="385">
        <f t="shared" si="109"/>
        <v>25.76111013603731</v>
      </c>
      <c r="AA319" s="386">
        <f t="shared" si="110"/>
        <v>28.72786492364358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0.10327098082268454</v>
      </c>
      <c r="AD319" s="231">
        <f>(INDEX(Models!$BJ319:$BT319,,AH319)*(1-AF319)+INDEX(Models!$BJ319:$BT319,,AH319+1)*AF319-ERP_i)*AE319*Ramure*Pc/MaxiM</f>
        <v>1.8776552123773388E-3</v>
      </c>
      <c r="AE319" s="305">
        <f t="shared" si="112"/>
        <v>0.7</v>
      </c>
      <c r="AF319" s="177">
        <f t="shared" si="113"/>
        <v>0.5983469897195467</v>
      </c>
      <c r="AG319" s="810">
        <f t="shared" si="119"/>
        <v>-1</v>
      </c>
      <c r="AH319" s="176">
        <f t="shared" si="114"/>
        <v>5</v>
      </c>
      <c r="AI319" s="225">
        <f t="shared" si="115"/>
        <v>-0.4016530102804533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6">
        <v>22.428999999999998</v>
      </c>
      <c r="C320" s="390"/>
      <c r="D320" s="393">
        <f t="shared" si="98"/>
        <v>22.862714585118962</v>
      </c>
      <c r="E320" s="385">
        <f t="shared" si="120"/>
        <v>25.495800440181192</v>
      </c>
      <c r="F320" s="385">
        <f t="shared" si="99"/>
        <v>25.536777065493997</v>
      </c>
      <c r="G320" s="110">
        <f t="shared" si="121"/>
        <v>0.91137297586608212</v>
      </c>
      <c r="H320" s="414" t="b">
        <f>Wh_hp&gt;='2019'!Maxi_hp</f>
        <v>1</v>
      </c>
      <c r="I320" s="380">
        <f>IF(H320,Wh_hp,'2019'!Maxi_hp)</f>
        <v>25.536777065493997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1.8970388818187911E-2</v>
      </c>
      <c r="M320" s="844"/>
      <c r="N320" s="844"/>
      <c r="O320" s="48">
        <f>IF(t&lt;Tnet,'2019'!Resal+('2019'!Salim-'2019'!Resal)*(1-EXP(('2019'!Tnet-t)/('2019'!Tau_j))),Resal+(Salim-Resal)*(1-EXP((Tnet-t)/(Tau_j))))*Salcycl</f>
        <v>0.10327527708886938</v>
      </c>
      <c r="P320" s="169">
        <f>(INDEX(Models!$BJ320:$BT320,,T320)*(1-R320)+INDEX(Models!$BJ320:$BT320,,T320+1)*R320-ERP_i)*Q320*Ramure*Pc/MaxiM</f>
        <v>1.8365868665704396E-3</v>
      </c>
      <c r="Q320" s="305">
        <f t="shared" si="101"/>
        <v>0.7</v>
      </c>
      <c r="R320" s="177">
        <f t="shared" si="102"/>
        <v>0.59839017683103002</v>
      </c>
      <c r="S320" s="810">
        <f t="shared" si="103"/>
        <v>-1</v>
      </c>
      <c r="T320" s="176">
        <f t="shared" si="104"/>
        <v>5</v>
      </c>
      <c r="U320" s="251">
        <f t="shared" si="105"/>
        <v>-0.40160982316897004</v>
      </c>
      <c r="V320" s="383">
        <f t="shared" si="106"/>
        <v>24.604403765509179</v>
      </c>
      <c r="W320" s="402"/>
      <c r="X320" s="157">
        <f t="shared" si="107"/>
        <v>44136</v>
      </c>
      <c r="Y320" s="385">
        <f t="shared" si="108"/>
        <v>22.428999999999998</v>
      </c>
      <c r="Z320" s="385">
        <f t="shared" si="109"/>
        <v>22.862714585118962</v>
      </c>
      <c r="AA320" s="386">
        <f t="shared" si="110"/>
        <v>25.495800440181192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0.10327527708886938</v>
      </c>
      <c r="AD320" s="231">
        <f>(INDEX(Models!$BJ320:$BT320,,AH320)*(1-AF320)+INDEX(Models!$BJ320:$BT320,,AH320+1)*AF320-ERP_i)*AE320*Ramure*Pc/MaxiM</f>
        <v>1.8365868665704396E-3</v>
      </c>
      <c r="AE320" s="305">
        <f t="shared" si="112"/>
        <v>0.7</v>
      </c>
      <c r="AF320" s="177">
        <f t="shared" si="113"/>
        <v>0.59839017683103002</v>
      </c>
      <c r="AG320" s="810">
        <f t="shared" si="119"/>
        <v>-1</v>
      </c>
      <c r="AH320" s="176">
        <f t="shared" si="114"/>
        <v>5</v>
      </c>
      <c r="AI320" s="225">
        <f t="shared" si="115"/>
        <v>-0.40160982316897004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6">
        <v>21.137</v>
      </c>
      <c r="C321" s="390"/>
      <c r="D321" s="393">
        <f t="shared" si="98"/>
        <v>21.54623230470364</v>
      </c>
      <c r="E321" s="385">
        <f t="shared" si="120"/>
        <v>24.027811228074086</v>
      </c>
      <c r="F321" s="385">
        <f t="shared" si="99"/>
        <v>24.062856421969933</v>
      </c>
      <c r="G321" s="110">
        <f t="shared" si="121"/>
        <v>0.86934654025681446</v>
      </c>
      <c r="H321" s="414" t="b">
        <f>Wh_hp&gt;='2019'!Maxi_hp</f>
        <v>0</v>
      </c>
      <c r="I321" s="380">
        <f>IF(H321,Wh_hp,'2019'!Maxi_hp)</f>
        <v>25.62517790632015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1.8993218810432144E-2</v>
      </c>
      <c r="M321" s="844"/>
      <c r="N321" s="844"/>
      <c r="O321" s="48">
        <f>IF(t&lt;Tnet,'2019'!Resal+('2019'!Salim-'2019'!Resal)*(1-EXP(('2019'!Tnet-t)/('2019'!Tau_j))),Resal+(Salim-Resal)*(1-EXP((Tnet-t)/(Tau_j))))*Salcycl</f>
        <v>0.10327944146951548</v>
      </c>
      <c r="P321" s="169">
        <f>(INDEX(Models!$BJ321:$BT321,,T321)*(1-R321)+INDEX(Models!$BJ321:$BT321,,T321+1)*R321-ERP_i)*Q321*Ramure*Pc/MaxiM</f>
        <v>1.7897042855022805E-3</v>
      </c>
      <c r="Q321" s="305">
        <f t="shared" si="101"/>
        <v>0.7</v>
      </c>
      <c r="R321" s="177">
        <f t="shared" si="102"/>
        <v>0.59843163388334453</v>
      </c>
      <c r="S321" s="810">
        <f t="shared" si="103"/>
        <v>-1</v>
      </c>
      <c r="T321" s="176">
        <f t="shared" si="104"/>
        <v>5</v>
      </c>
      <c r="U321" s="251">
        <f t="shared" si="105"/>
        <v>-0.40156836611665547</v>
      </c>
      <c r="V321" s="383">
        <f t="shared" si="106"/>
        <v>24.305548751010111</v>
      </c>
      <c r="W321" s="402"/>
      <c r="X321" s="157">
        <f t="shared" si="107"/>
        <v>44137</v>
      </c>
      <c r="Y321" s="385">
        <f t="shared" si="108"/>
        <v>21.137</v>
      </c>
      <c r="Z321" s="385">
        <f t="shared" si="109"/>
        <v>21.54623230470364</v>
      </c>
      <c r="AA321" s="386">
        <f t="shared" si="110"/>
        <v>24.027811228074086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0.10327944146951548</v>
      </c>
      <c r="AD321" s="231">
        <f>(INDEX(Models!$BJ321:$BT321,,AH321)*(1-AF321)+INDEX(Models!$BJ321:$BT321,,AH321+1)*AF321-ERP_i)*AE321*Ramure*Pc/MaxiM</f>
        <v>1.7897042855022805E-3</v>
      </c>
      <c r="AE321" s="305">
        <f t="shared" si="112"/>
        <v>0.7</v>
      </c>
      <c r="AF321" s="177">
        <f t="shared" si="113"/>
        <v>0.59843163388334453</v>
      </c>
      <c r="AG321" s="810">
        <f t="shared" si="119"/>
        <v>-1</v>
      </c>
      <c r="AH321" s="176">
        <f t="shared" si="114"/>
        <v>5</v>
      </c>
      <c r="AI321" s="225">
        <f t="shared" si="115"/>
        <v>-0.40156836611665547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6">
        <v>4.8959999999999999</v>
      </c>
      <c r="C322" s="390"/>
      <c r="D322" s="393">
        <f t="shared" si="98"/>
        <v>4.9909073347965203</v>
      </c>
      <c r="E322" s="385">
        <f t="shared" si="120"/>
        <v>5.5657588421440325</v>
      </c>
      <c r="F322" s="385">
        <f t="shared" si="99"/>
        <v>5.5657588421440325</v>
      </c>
      <c r="G322" s="110">
        <f t="shared" si="121"/>
        <v>0.2035674219344431</v>
      </c>
      <c r="H322" s="414" t="b">
        <f>Wh_hp&gt;='2019'!Maxi_hp</f>
        <v>0</v>
      </c>
      <c r="I322" s="380">
        <f>IF(H322,Wh_hp,'2019'!Maxi_hp)</f>
        <v>21.931273937161258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1.901604827138903E-2</v>
      </c>
      <c r="M322" s="844"/>
      <c r="N322" s="844"/>
      <c r="O322" s="48">
        <f>IF(t&lt;Tnet,'2019'!Resal+('2019'!Salim-'2019'!Resal)*(1-EXP(('2019'!Tnet-t)/('2019'!Tau_j))),Resal+(Salim-Resal)*(1-EXP((Tnet-t)/(Tau_j))))*Salcycl</f>
        <v>0.10328358156568442</v>
      </c>
      <c r="P322" s="169">
        <f>(INDEX(Models!$BJ322:$BT322,,T322)*(1-R322)+INDEX(Models!$BJ322:$BT322,,T322+1)*R322-ERP_i)*Q322*Ramure*Pc/MaxiM</f>
        <v>1.7368533863936109E-3</v>
      </c>
      <c r="Q322" s="305">
        <f t="shared" si="101"/>
        <v>0.7</v>
      </c>
      <c r="R322" s="177">
        <f t="shared" si="102"/>
        <v>0.59847142984348245</v>
      </c>
      <c r="S322" s="810">
        <f t="shared" si="103"/>
        <v>-1</v>
      </c>
      <c r="T322" s="176">
        <f t="shared" si="104"/>
        <v>5</v>
      </c>
      <c r="U322" s="251">
        <f t="shared" si="105"/>
        <v>-0.40152857015651755</v>
      </c>
      <c r="V322" s="383">
        <f t="shared" si="106"/>
        <v>24.009226620722188</v>
      </c>
      <c r="W322" s="402"/>
      <c r="X322" s="157">
        <f t="shared" si="107"/>
        <v>44138</v>
      </c>
      <c r="Y322" s="385">
        <f t="shared" si="108"/>
        <v>4.8959999999999999</v>
      </c>
      <c r="Z322" s="385">
        <f t="shared" si="109"/>
        <v>4.9909073347965203</v>
      </c>
      <c r="AA322" s="386">
        <f t="shared" si="110"/>
        <v>5.5657588421440325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0.10328358156568442</v>
      </c>
      <c r="AD322" s="231">
        <f>(INDEX(Models!$BJ322:$BT322,,AH322)*(1-AF322)+INDEX(Models!$BJ322:$BT322,,AH322+1)*AF322-ERP_i)*AE322*Ramure*Pc/MaxiM</f>
        <v>1.7368533863936109E-3</v>
      </c>
      <c r="AE322" s="305">
        <f t="shared" si="112"/>
        <v>0.7</v>
      </c>
      <c r="AF322" s="177">
        <f t="shared" si="113"/>
        <v>0.59847142984348245</v>
      </c>
      <c r="AG322" s="810">
        <f t="shared" si="119"/>
        <v>-1</v>
      </c>
      <c r="AH322" s="176">
        <f t="shared" si="114"/>
        <v>5</v>
      </c>
      <c r="AI322" s="225">
        <f t="shared" si="115"/>
        <v>-0.40152857015651755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6">
        <v>13.839</v>
      </c>
      <c r="C323" s="390"/>
      <c r="D323" s="393">
        <f t="shared" si="98"/>
        <v>14.107592725503588</v>
      </c>
      <c r="E323" s="385">
        <f t="shared" si="120"/>
        <v>15.732575974762446</v>
      </c>
      <c r="F323" s="385">
        <f t="shared" si="99"/>
        <v>15.743275387549742</v>
      </c>
      <c r="G323" s="110">
        <f t="shared" si="121"/>
        <v>0.58294933165814045</v>
      </c>
      <c r="H323" s="414" t="b">
        <f>Wh_hp&gt;='2019'!Maxi_hp</f>
        <v>1</v>
      </c>
      <c r="I323" s="380">
        <f>IF(H323,Wh_hp,'2019'!Maxi_hp)</f>
        <v>15.743275387549742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1.9038877201071114E-2</v>
      </c>
      <c r="M323" s="844"/>
      <c r="N323" s="844"/>
      <c r="O323" s="48">
        <f>IF(t&lt;Tnet,'2019'!Resal+('2019'!Salim-'2019'!Resal)*(1-EXP(('2019'!Tnet-t)/('2019'!Tau_j))),Resal+(Salim-Resal)*(1-EXP((Tnet-t)/(Tau_j))))*Salcycl</f>
        <v>0.10328780562481246</v>
      </c>
      <c r="P323" s="169">
        <f>(INDEX(Models!$BJ323:$BT323,,T323)*(1-R323)+INDEX(Models!$BJ323:$BT323,,T323+1)*R323-ERP_i)*Q323*Ramure*Pc/MaxiM</f>
        <v>1.6778782110057971E-3</v>
      </c>
      <c r="Q323" s="305">
        <f t="shared" si="101"/>
        <v>0.7</v>
      </c>
      <c r="R323" s="177">
        <f t="shared" si="102"/>
        <v>0.59850963095579401</v>
      </c>
      <c r="S323" s="810">
        <f t="shared" si="103"/>
        <v>-1</v>
      </c>
      <c r="T323" s="176">
        <f t="shared" si="104"/>
        <v>5</v>
      </c>
      <c r="U323" s="251">
        <f t="shared" si="105"/>
        <v>-0.40149036904420604</v>
      </c>
      <c r="V323" s="383">
        <f t="shared" si="106"/>
        <v>23.715913082670586</v>
      </c>
      <c r="W323" s="402"/>
      <c r="X323" s="157">
        <f t="shared" si="107"/>
        <v>44139</v>
      </c>
      <c r="Y323" s="385">
        <f t="shared" si="108"/>
        <v>13.839</v>
      </c>
      <c r="Z323" s="385">
        <f t="shared" si="109"/>
        <v>14.107592725503588</v>
      </c>
      <c r="AA323" s="386">
        <f t="shared" si="110"/>
        <v>15.732575974762446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0.10328780562481246</v>
      </c>
      <c r="AD323" s="231">
        <f>(INDEX(Models!$BJ323:$BT323,,AH323)*(1-AF323)+INDEX(Models!$BJ323:$BT323,,AH323+1)*AF323-ERP_i)*AE323*Ramure*Pc/MaxiM</f>
        <v>1.6778782110057971E-3</v>
      </c>
      <c r="AE323" s="305">
        <f t="shared" si="112"/>
        <v>0.7</v>
      </c>
      <c r="AF323" s="177">
        <f t="shared" si="113"/>
        <v>0.59850963095579401</v>
      </c>
      <c r="AG323" s="810">
        <f t="shared" si="119"/>
        <v>-1</v>
      </c>
      <c r="AH323" s="176">
        <f t="shared" si="114"/>
        <v>5</v>
      </c>
      <c r="AI323" s="225">
        <f t="shared" si="115"/>
        <v>-0.40149036904420604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6">
        <v>19.248000000000001</v>
      </c>
      <c r="C324" s="390"/>
      <c r="D324" s="393">
        <f t="shared" si="98"/>
        <v>19.622029346670804</v>
      </c>
      <c r="E324" s="385">
        <f t="shared" si="120"/>
        <v>21.882300822231418</v>
      </c>
      <c r="F324" s="385">
        <f t="shared" si="99"/>
        <v>21.908662681884945</v>
      </c>
      <c r="G324" s="110">
        <f t="shared" si="121"/>
        <v>0.82131145626702018</v>
      </c>
      <c r="H324" s="414" t="b">
        <f>Wh_hp&gt;='2019'!Maxi_hp</f>
        <v>1</v>
      </c>
      <c r="I324" s="380">
        <f>IF(H324,Wh_hp,'2019'!Maxi_hp)</f>
        <v>21.908662681884945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1.9061705599490608E-2</v>
      </c>
      <c r="M324" s="844"/>
      <c r="N324" s="844"/>
      <c r="O324" s="48">
        <f>IF(t&lt;Tnet,'2019'!Resal+('2019'!Salim-'2019'!Resal)*(1-EXP(('2019'!Tnet-t)/('2019'!Tau_j))),Resal+(Salim-Resal)*(1-EXP((Tnet-t)/(Tau_j))))*Salcycl</f>
        <v>0.1032922220530065</v>
      </c>
      <c r="P324" s="169">
        <f>(INDEX(Models!$BJ324:$BT324,,T324)*(1-R324)+INDEX(Models!$BJ324:$BT324,,T324+1)*R324-ERP_i)*Q324*Ramure*Pc/MaxiM</f>
        <v>1.6146526171380493E-3</v>
      </c>
      <c r="Q324" s="305">
        <f t="shared" si="101"/>
        <v>0.7</v>
      </c>
      <c r="R324" s="177">
        <f t="shared" si="102"/>
        <v>0.59854630084736926</v>
      </c>
      <c r="S324" s="810">
        <f t="shared" si="103"/>
        <v>-1</v>
      </c>
      <c r="T324" s="176">
        <f t="shared" si="104"/>
        <v>5</v>
      </c>
      <c r="U324" s="251">
        <f t="shared" si="105"/>
        <v>-0.40145369915263068</v>
      </c>
      <c r="V324" s="383">
        <f t="shared" si="106"/>
        <v>23.426036329724905</v>
      </c>
      <c r="W324" s="402"/>
      <c r="X324" s="157">
        <f t="shared" si="107"/>
        <v>44140</v>
      </c>
      <c r="Y324" s="385">
        <f t="shared" si="108"/>
        <v>19.248000000000001</v>
      </c>
      <c r="Z324" s="385">
        <f t="shared" si="109"/>
        <v>19.622029346670804</v>
      </c>
      <c r="AA324" s="386">
        <f t="shared" si="110"/>
        <v>21.882300822231418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0.1032922220530065</v>
      </c>
      <c r="AD324" s="231">
        <f>(INDEX(Models!$BJ324:$BT324,,AH324)*(1-AF324)+INDEX(Models!$BJ324:$BT324,,AH324+1)*AF324-ERP_i)*AE324*Ramure*Pc/MaxiM</f>
        <v>1.6146526171380493E-3</v>
      </c>
      <c r="AE324" s="305">
        <f t="shared" si="112"/>
        <v>0.7</v>
      </c>
      <c r="AF324" s="177">
        <f t="shared" si="113"/>
        <v>0.59854630084736926</v>
      </c>
      <c r="AG324" s="810">
        <f t="shared" si="119"/>
        <v>-1</v>
      </c>
      <c r="AH324" s="176">
        <f t="shared" si="114"/>
        <v>5</v>
      </c>
      <c r="AI324" s="225">
        <f t="shared" si="115"/>
        <v>-0.40145369915263068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6">
        <v>12.602</v>
      </c>
      <c r="C325" s="390"/>
      <c r="D325" s="393">
        <f t="shared" si="98"/>
        <v>12.847182484069512</v>
      </c>
      <c r="E325" s="385">
        <f t="shared" si="120"/>
        <v>14.32713128983414</v>
      </c>
      <c r="F325" s="385">
        <f t="shared" si="99"/>
        <v>14.33490566318287</v>
      </c>
      <c r="G325" s="110">
        <f t="shared" si="121"/>
        <v>0.54404891175157188</v>
      </c>
      <c r="H325" s="414" t="b">
        <f>Wh_hp&gt;='2019'!Maxi_hp</f>
        <v>1</v>
      </c>
      <c r="I325" s="380">
        <f>IF(H325,Wh_hp,'2019'!Maxi_hp)</f>
        <v>14.33490566318287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1.9084533466659948E-2</v>
      </c>
      <c r="M325" s="844"/>
      <c r="N325" s="844"/>
      <c r="O325" s="48">
        <f>IF(t&lt;Tnet,'2019'!Resal+('2019'!Salim-'2019'!Resal)*(1-EXP(('2019'!Tnet-t)/('2019'!Tau_j))),Resal+(Salim-Resal)*(1-EXP((Tnet-t)/(Tau_j))))*Salcycl</f>
        <v>0.10329693892138267</v>
      </c>
      <c r="P325" s="169">
        <f>(INDEX(Models!$BJ325:$BT325,,T325)*(1-R325)+INDEX(Models!$BJ325:$BT325,,T325+1)*R325-ERP_i)*Q325*Ramure*Pc/MaxiM</f>
        <v>1.552078613737838E-3</v>
      </c>
      <c r="Q325" s="305">
        <f t="shared" si="101"/>
        <v>0.7</v>
      </c>
      <c r="R325" s="177">
        <f t="shared" si="102"/>
        <v>0.59858150062950621</v>
      </c>
      <c r="S325" s="810">
        <f t="shared" si="103"/>
        <v>-1</v>
      </c>
      <c r="T325" s="176">
        <f t="shared" si="104"/>
        <v>5</v>
      </c>
      <c r="U325" s="251">
        <f t="shared" si="105"/>
        <v>-0.40141849937049379</v>
      </c>
      <c r="V325" s="383">
        <f t="shared" si="106"/>
        <v>23.139956868122137</v>
      </c>
      <c r="W325" s="402"/>
      <c r="X325" s="157">
        <f t="shared" si="107"/>
        <v>44141</v>
      </c>
      <c r="Y325" s="385">
        <f t="shared" si="108"/>
        <v>12.602</v>
      </c>
      <c r="Z325" s="385">
        <f t="shared" si="109"/>
        <v>12.847182484069512</v>
      </c>
      <c r="AA325" s="386">
        <f t="shared" si="110"/>
        <v>14.32713128983414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0.10329693892138267</v>
      </c>
      <c r="AD325" s="231">
        <f>(INDEX(Models!$BJ325:$BT325,,AH325)*(1-AF325)+INDEX(Models!$BJ325:$BT325,,AH325+1)*AF325-ERP_i)*AE325*Ramure*Pc/MaxiM</f>
        <v>1.552078613737838E-3</v>
      </c>
      <c r="AE325" s="305">
        <f t="shared" si="112"/>
        <v>0.7</v>
      </c>
      <c r="AF325" s="177">
        <f t="shared" si="113"/>
        <v>0.59858150062950621</v>
      </c>
      <c r="AG325" s="810">
        <f t="shared" si="119"/>
        <v>-1</v>
      </c>
      <c r="AH325" s="176">
        <f t="shared" si="114"/>
        <v>5</v>
      </c>
      <c r="AI325" s="225">
        <f t="shared" si="115"/>
        <v>-0.40141849937049379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6">
        <v>5.0179999999999998</v>
      </c>
      <c r="C326" s="390"/>
      <c r="D326" s="393">
        <f t="shared" si="98"/>
        <v>5.1157484514369029</v>
      </c>
      <c r="E326" s="385">
        <f t="shared" si="120"/>
        <v>5.7050967143214413</v>
      </c>
      <c r="F326" s="385">
        <f t="shared" si="99"/>
        <v>5.7050967143214413</v>
      </c>
      <c r="G326" s="110">
        <f t="shared" si="121"/>
        <v>0.21920066460856555</v>
      </c>
      <c r="H326" s="414" t="b">
        <f>Wh_hp&gt;='2019'!Maxi_hp</f>
        <v>0</v>
      </c>
      <c r="I326" s="380">
        <f>IF(H326,Wh_hp,'2019'!Maxi_hp)</f>
        <v>13.427151249755362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1.9107360802591455E-2</v>
      </c>
      <c r="M326" s="844"/>
      <c r="N326" s="844"/>
      <c r="O326" s="48">
        <f>IF(t&lt;Tnet,'2019'!Resal+('2019'!Salim-'2019'!Resal)*(1-EXP(('2019'!Tnet-t)/('2019'!Tau_j))),Resal+(Salim-Resal)*(1-EXP((Tnet-t)/(Tau_j))))*Salcycl</f>
        <v>0.10330206346986257</v>
      </c>
      <c r="P326" s="169">
        <f>(INDEX(Models!$BJ326:$BT326,,T326)*(1-R326)+INDEX(Models!$BJ326:$BT326,,T326+1)*R326-ERP_i)*Q326*Ramure*Pc/MaxiM</f>
        <v>1.490161078770861E-3</v>
      </c>
      <c r="Q326" s="305">
        <f t="shared" si="101"/>
        <v>0.7</v>
      </c>
      <c r="R326" s="177">
        <f t="shared" si="102"/>
        <v>0.59861528899539906</v>
      </c>
      <c r="S326" s="810">
        <f t="shared" si="103"/>
        <v>-1</v>
      </c>
      <c r="T326" s="176">
        <f t="shared" si="104"/>
        <v>5</v>
      </c>
      <c r="U326" s="251">
        <f t="shared" si="105"/>
        <v>-0.40138471100460099</v>
      </c>
      <c r="V326" s="383">
        <f t="shared" si="106"/>
        <v>22.85815319335001</v>
      </c>
      <c r="W326" s="402"/>
      <c r="X326" s="157">
        <f t="shared" si="107"/>
        <v>44142</v>
      </c>
      <c r="Y326" s="385">
        <f t="shared" si="108"/>
        <v>5.0179999999999998</v>
      </c>
      <c r="Z326" s="385">
        <f t="shared" si="109"/>
        <v>5.1157484514369029</v>
      </c>
      <c r="AA326" s="386">
        <f t="shared" si="110"/>
        <v>5.7050967143214413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0.10330206346986257</v>
      </c>
      <c r="AD326" s="231">
        <f>(INDEX(Models!$BJ326:$BT326,,AH326)*(1-AF326)+INDEX(Models!$BJ326:$BT326,,AH326+1)*AF326-ERP_i)*AE326*Ramure*Pc/MaxiM</f>
        <v>1.490161078770861E-3</v>
      </c>
      <c r="AE326" s="305">
        <f t="shared" si="112"/>
        <v>0.7</v>
      </c>
      <c r="AF326" s="177">
        <f t="shared" si="113"/>
        <v>0.59861528899539906</v>
      </c>
      <c r="AG326" s="810">
        <f t="shared" si="119"/>
        <v>-1</v>
      </c>
      <c r="AH326" s="176">
        <f t="shared" si="114"/>
        <v>5</v>
      </c>
      <c r="AI326" s="225">
        <f t="shared" si="115"/>
        <v>-0.40138471100460099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6">
        <v>17.571000000000002</v>
      </c>
      <c r="C327" s="390"/>
      <c r="D327" s="393">
        <f t="shared" si="98"/>
        <v>17.91369229432993</v>
      </c>
      <c r="E327" s="385">
        <f t="shared" si="120"/>
        <v>19.977524426753188</v>
      </c>
      <c r="F327" s="385">
        <f t="shared" si="99"/>
        <v>19.997041581744018</v>
      </c>
      <c r="G327" s="110">
        <f t="shared" si="121"/>
        <v>0.77777571292728542</v>
      </c>
      <c r="H327" s="414" t="b">
        <f>Wh_hp&gt;='2019'!Maxi_hp</f>
        <v>1</v>
      </c>
      <c r="I327" s="380">
        <f>IF(H327,Wh_hp,'2019'!Maxi_hp)</f>
        <v>19.997041581744018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1.9130187607297455E-2</v>
      </c>
      <c r="M327" s="844"/>
      <c r="N327" s="844"/>
      <c r="O327" s="48">
        <f>IF(t&lt;Tnet,'2019'!Resal+('2019'!Salim-'2019'!Resal)*(1-EXP(('2019'!Tnet-t)/('2019'!Tau_j))),Resal+(Salim-Resal)*(1-EXP((Tnet-t)/(Tau_j))))*Salcycl</f>
        <v>0.1033077016118898</v>
      </c>
      <c r="P327" s="169">
        <f>(INDEX(Models!$BJ327:$BT327,,T327)*(1-R327)+INDEX(Models!$BJ327:$BT327,,T327+1)*R327-ERP_i)*Q327*Ramure*Pc/MaxiM</f>
        <v>1.428907749218937E-3</v>
      </c>
      <c r="Q327" s="305">
        <f t="shared" si="101"/>
        <v>0.7</v>
      </c>
      <c r="R327" s="177">
        <f t="shared" si="102"/>
        <v>0.59864772231417462</v>
      </c>
      <c r="S327" s="810">
        <f t="shared" si="103"/>
        <v>-1</v>
      </c>
      <c r="T327" s="176">
        <f t="shared" si="104"/>
        <v>5</v>
      </c>
      <c r="U327" s="251">
        <f t="shared" si="105"/>
        <v>-0.40135227768582538</v>
      </c>
      <c r="V327" s="383">
        <f t="shared" si="106"/>
        <v>22.581103946382893</v>
      </c>
      <c r="W327" s="402"/>
      <c r="X327" s="157">
        <f t="shared" si="107"/>
        <v>44143</v>
      </c>
      <c r="Y327" s="385">
        <f t="shared" si="108"/>
        <v>17.571000000000002</v>
      </c>
      <c r="Z327" s="385">
        <f t="shared" si="109"/>
        <v>17.91369229432993</v>
      </c>
      <c r="AA327" s="386">
        <f t="shared" si="110"/>
        <v>19.977524426753188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0.1033077016118898</v>
      </c>
      <c r="AD327" s="231">
        <f>(INDEX(Models!$BJ327:$BT327,,AH327)*(1-AF327)+INDEX(Models!$BJ327:$BT327,,AH327+1)*AF327-ERP_i)*AE327*Ramure*Pc/MaxiM</f>
        <v>1.428907749218937E-3</v>
      </c>
      <c r="AE327" s="305">
        <f t="shared" si="112"/>
        <v>0.7</v>
      </c>
      <c r="AF327" s="177">
        <f t="shared" si="113"/>
        <v>0.59864772231417462</v>
      </c>
      <c r="AG327" s="810">
        <f t="shared" si="119"/>
        <v>-1</v>
      </c>
      <c r="AH327" s="176">
        <f t="shared" si="114"/>
        <v>5</v>
      </c>
      <c r="AI327" s="225">
        <f t="shared" si="115"/>
        <v>-0.40135227768582538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6">
        <v>12.593999999999999</v>
      </c>
      <c r="C328" s="390"/>
      <c r="D328" s="393">
        <f t="shared" si="98"/>
        <v>12.839923227810537</v>
      </c>
      <c r="E328" s="385">
        <f t="shared" si="120"/>
        <v>14.319307559649237</v>
      </c>
      <c r="F328" s="385">
        <f t="shared" si="99"/>
        <v>14.326715455477789</v>
      </c>
      <c r="G328" s="110">
        <f t="shared" si="121"/>
        <v>0.56403744148164225</v>
      </c>
      <c r="H328" s="414" t="b">
        <f>Wh_hp&gt;='2019'!Maxi_hp</f>
        <v>0</v>
      </c>
      <c r="I328" s="380">
        <f>IF(H328,Wh_hp,'2019'!Maxi_hp)</f>
        <v>17.160118945788746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1.9153013880790382E-2</v>
      </c>
      <c r="M328" s="844"/>
      <c r="N328" s="844"/>
      <c r="O328" s="48">
        <f>IF(t&lt;Tnet,'2019'!Resal+('2019'!Salim-'2019'!Resal)*(1-EXP(('2019'!Tnet-t)/('2019'!Tau_j))),Resal+(Salim-Resal)*(1-EXP((Tnet-t)/(Tau_j))))*Salcycl</f>
        <v>0.10331395744354965</v>
      </c>
      <c r="P328" s="169">
        <f>(INDEX(Models!$BJ328:$BT328,,T328)*(1-R328)+INDEX(Models!$BJ328:$BT328,,T328+1)*R328-ERP_i)*Q328*Ramure*Pc/MaxiM</f>
        <v>1.3683293518186993E-3</v>
      </c>
      <c r="Q328" s="305">
        <f t="shared" si="101"/>
        <v>0.7</v>
      </c>
      <c r="R328" s="177">
        <f t="shared" si="102"/>
        <v>0.59867885472140281</v>
      </c>
      <c r="S328" s="810">
        <f t="shared" si="103"/>
        <v>-1</v>
      </c>
      <c r="T328" s="176">
        <f t="shared" si="104"/>
        <v>5</v>
      </c>
      <c r="U328" s="251">
        <f t="shared" si="105"/>
        <v>-0.40132114527859725</v>
      </c>
      <c r="V328" s="383">
        <f t="shared" si="106"/>
        <v>22.309287914966685</v>
      </c>
      <c r="W328" s="402"/>
      <c r="X328" s="157">
        <f t="shared" si="107"/>
        <v>44144</v>
      </c>
      <c r="Y328" s="385">
        <f t="shared" si="108"/>
        <v>12.593999999999999</v>
      </c>
      <c r="Z328" s="385">
        <f t="shared" si="109"/>
        <v>12.839923227810537</v>
      </c>
      <c r="AA328" s="386">
        <f t="shared" si="110"/>
        <v>14.319307559649237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0.10331395744354965</v>
      </c>
      <c r="AD328" s="231">
        <f>(INDEX(Models!$BJ328:$BT328,,AH328)*(1-AF328)+INDEX(Models!$BJ328:$BT328,,AH328+1)*AF328-ERP_i)*AE328*Ramure*Pc/MaxiM</f>
        <v>1.3683293518186993E-3</v>
      </c>
      <c r="AE328" s="305">
        <f t="shared" si="112"/>
        <v>0.7</v>
      </c>
      <c r="AF328" s="177">
        <f t="shared" si="113"/>
        <v>0.59867885472140281</v>
      </c>
      <c r="AG328" s="810">
        <f t="shared" si="119"/>
        <v>-1</v>
      </c>
      <c r="AH328" s="176">
        <f t="shared" si="114"/>
        <v>5</v>
      </c>
      <c r="AI328" s="225">
        <f t="shared" si="115"/>
        <v>-0.40132114527859725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6">
        <v>9.3350000000000009</v>
      </c>
      <c r="C329" s="390"/>
      <c r="D329" s="393">
        <f t="shared" si="98"/>
        <v>9.5175061719653069</v>
      </c>
      <c r="E329" s="385">
        <f t="shared" si="120"/>
        <v>10.614172360760472</v>
      </c>
      <c r="F329" s="385">
        <f t="shared" si="99"/>
        <v>10.616622907668956</v>
      </c>
      <c r="G329" s="110">
        <f t="shared" si="121"/>
        <v>0.4230304524623239</v>
      </c>
      <c r="H329" s="414" t="b">
        <f>Wh_hp&gt;='2019'!Maxi_hp</f>
        <v>0</v>
      </c>
      <c r="I329" s="380">
        <f>IF(H329,Wh_hp,'2019'!Maxi_hp)</f>
        <v>19.948790383729861</v>
      </c>
      <c r="J329" s="85">
        <f>IF(H329,An,'2019'!An_max)</f>
        <v>2019</v>
      </c>
      <c r="K329" s="197">
        <f t="shared" si="100"/>
        <v>44145</v>
      </c>
      <c r="L329" s="147">
        <f>IF(t&lt;Tvie,1-EXP((T0-t)*PertePVj)+'2019'!Pspv,1-EXP((T0-t)*PertePVj)+Pspv)</f>
        <v>1.9175839623082669E-2</v>
      </c>
      <c r="M329" s="844"/>
      <c r="N329" s="844"/>
      <c r="O329" s="48">
        <f>IF(t&lt;Tnet,'2019'!Resal+('2019'!Salim-'2019'!Resal)*(1-EXP(('2019'!Tnet-t)/('2019'!Tau_j))),Resal+(Salim-Resal)*(1-EXP((Tnet-t)/(Tau_j))))*Salcycl</f>
        <v>0.10332093276056366</v>
      </c>
      <c r="P329" s="169">
        <f>(INDEX(Models!$BJ329:$BT329,,T329)*(1-R329)+INDEX(Models!$BJ329:$BT329,,T329+1)*R329-ERP_i)*Q329*Ramure*Pc/MaxiM</f>
        <v>1.3084397440111808E-3</v>
      </c>
      <c r="Q329" s="305">
        <f t="shared" si="101"/>
        <v>0.7</v>
      </c>
      <c r="R329" s="177">
        <f t="shared" si="102"/>
        <v>0.59870873820620041</v>
      </c>
      <c r="S329" s="810">
        <f t="shared" si="103"/>
        <v>-1</v>
      </c>
      <c r="T329" s="176">
        <f t="shared" si="104"/>
        <v>5</v>
      </c>
      <c r="U329" s="251">
        <f t="shared" si="105"/>
        <v>-0.40129126179379954</v>
      </c>
      <c r="V329" s="383">
        <f t="shared" si="106"/>
        <v>22.043184027876251</v>
      </c>
      <c r="W329" s="402"/>
      <c r="X329" s="157">
        <f t="shared" si="107"/>
        <v>44145</v>
      </c>
      <c r="Y329" s="385">
        <f t="shared" si="108"/>
        <v>9.3350000000000009</v>
      </c>
      <c r="Z329" s="385">
        <f t="shared" si="109"/>
        <v>9.5175061719653069</v>
      </c>
      <c r="AA329" s="386">
        <f t="shared" si="110"/>
        <v>10.614172360760472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0.10332093276056366</v>
      </c>
      <c r="AD329" s="231">
        <f>(INDEX(Models!$BJ329:$BT329,,AH329)*(1-AF329)+INDEX(Models!$BJ329:$BT329,,AH329+1)*AF329-ERP_i)*AE329*Ramure*Pc/MaxiM</f>
        <v>1.3084397440111808E-3</v>
      </c>
      <c r="AE329" s="305">
        <f t="shared" si="112"/>
        <v>0.7</v>
      </c>
      <c r="AF329" s="177">
        <f t="shared" si="113"/>
        <v>0.59870873820620041</v>
      </c>
      <c r="AG329" s="810">
        <f t="shared" si="119"/>
        <v>-1</v>
      </c>
      <c r="AH329" s="176">
        <f t="shared" si="114"/>
        <v>5</v>
      </c>
      <c r="AI329" s="225">
        <f t="shared" si="115"/>
        <v>-0.40129126179379954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6">
        <v>19.96</v>
      </c>
      <c r="C330" s="390"/>
      <c r="D330" s="393">
        <f t="shared" si="98"/>
        <v>20.350706391142481</v>
      </c>
      <c r="E330" s="385">
        <f t="shared" si="120"/>
        <v>22.695838480106882</v>
      </c>
      <c r="F330" s="385">
        <f t="shared" si="99"/>
        <v>22.720828660213122</v>
      </c>
      <c r="G330" s="110">
        <f t="shared" si="121"/>
        <v>0.91616244603138353</v>
      </c>
      <c r="H330" s="414" t="b">
        <f>Wh_hp&gt;='2019'!Maxi_hp</f>
        <v>1</v>
      </c>
      <c r="I330" s="380">
        <f>IF(H330,Wh_hp,'2019'!Maxi_hp)</f>
        <v>22.720828660213122</v>
      </c>
      <c r="J330" s="85">
        <f>IF(H330,An,'2019'!An_max)</f>
        <v>2020</v>
      </c>
      <c r="K330" s="197">
        <f t="shared" si="100"/>
        <v>44146</v>
      </c>
      <c r="L330" s="147">
        <f>IF(t&lt;Tvie,1-EXP((T0-t)*PertePVj)+'2019'!Pspv,1-EXP((T0-t)*PertePVj)+Pspv)</f>
        <v>1.9198664834186419E-2</v>
      </c>
      <c r="M330" s="844"/>
      <c r="N330" s="844"/>
      <c r="O330" s="48">
        <f>IF(t&lt;Tnet,'2019'!Resal+('2019'!Salim-'2019'!Resal)*(1-EXP(('2019'!Tnet-t)/('2019'!Tau_j))),Resal+(Salim-Resal)*(1-EXP((Tnet-t)/(Tau_j))))*Salcycl</f>
        <v>0.10332872658659134</v>
      </c>
      <c r="P330" s="169">
        <f>(INDEX(Models!$BJ330:$BT330,,T330)*(1-R330)+INDEX(Models!$BJ330:$BT330,,T330+1)*R330-ERP_i)*Q330*Ramure*Pc/MaxiM</f>
        <v>1.2492560608925412E-3</v>
      </c>
      <c r="Q330" s="305">
        <f t="shared" si="101"/>
        <v>0.7</v>
      </c>
      <c r="R330" s="177">
        <f t="shared" si="102"/>
        <v>0.59873742269505104</v>
      </c>
      <c r="S330" s="810">
        <f t="shared" si="103"/>
        <v>-1</v>
      </c>
      <c r="T330" s="176">
        <f t="shared" si="104"/>
        <v>5</v>
      </c>
      <c r="U330" s="251">
        <f t="shared" si="105"/>
        <v>-0.40126257730494896</v>
      </c>
      <c r="V330" s="383">
        <f t="shared" si="106"/>
        <v>21.783271354325212</v>
      </c>
      <c r="W330" s="402"/>
      <c r="X330" s="157">
        <f t="shared" si="107"/>
        <v>44146</v>
      </c>
      <c r="Y330" s="385">
        <f t="shared" si="108"/>
        <v>19.96</v>
      </c>
      <c r="Z330" s="385">
        <f t="shared" si="109"/>
        <v>20.350706391142481</v>
      </c>
      <c r="AA330" s="386">
        <f t="shared" si="110"/>
        <v>22.695838480106882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0.10332872658659134</v>
      </c>
      <c r="AD330" s="231">
        <f>(INDEX(Models!$BJ330:$BT330,,AH330)*(1-AF330)+INDEX(Models!$BJ330:$BT330,,AH330+1)*AF330-ERP_i)*AE330*Ramure*Pc/MaxiM</f>
        <v>1.2492560608925412E-3</v>
      </c>
      <c r="AE330" s="305">
        <f t="shared" si="112"/>
        <v>0.7</v>
      </c>
      <c r="AF330" s="177">
        <f t="shared" si="113"/>
        <v>0.59873742269505104</v>
      </c>
      <c r="AG330" s="810">
        <f t="shared" si="119"/>
        <v>-1</v>
      </c>
      <c r="AH330" s="176">
        <f t="shared" si="114"/>
        <v>5</v>
      </c>
      <c r="AI330" s="225">
        <f t="shared" si="115"/>
        <v>-0.40126257730494896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6">
        <v>21.550999999999998</v>
      </c>
      <c r="C331" s="390"/>
      <c r="D331" s="393">
        <f t="shared" si="98"/>
        <v>21.973360722721644</v>
      </c>
      <c r="E331" s="385">
        <f t="shared" si="120"/>
        <v>24.505718843929841</v>
      </c>
      <c r="F331" s="385">
        <f t="shared" si="99"/>
        <v>24.534938344101679</v>
      </c>
      <c r="G331" s="110">
        <f t="shared" si="121"/>
        <v>1.0010880306127108</v>
      </c>
      <c r="H331" s="414" t="b">
        <f>Wh_hp&gt;='2019'!Maxi_hp</f>
        <v>1</v>
      </c>
      <c r="I331" s="380">
        <f>IF(H331,Wh_hp,'2019'!Maxi_hp)</f>
        <v>24.534938344101679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1.9221489514114287E-2</v>
      </c>
      <c r="M331" s="844"/>
      <c r="N331" s="844"/>
      <c r="O331" s="48">
        <f>IF(t&lt;Tnet,'2019'!Resal+('2019'!Salim-'2019'!Resal)*(1-EXP(('2019'!Tnet-t)/('2019'!Tau_j))),Resal+(Salim-Resal)*(1-EXP((Tnet-t)/(Tau_j))))*Salcycl</f>
        <v>0.10333743471620181</v>
      </c>
      <c r="P331" s="169">
        <f>(INDEX(Models!$BJ331:$BT331,,T331)*(1-R331)+INDEX(Models!$BJ331:$BT331,,T331+1)*R331-ERP_i)*Q331*Ramure*Pc/MaxiM</f>
        <v>1.1909343223950703E-3</v>
      </c>
      <c r="Q331" s="305">
        <f t="shared" si="101"/>
        <v>0.7</v>
      </c>
      <c r="R331" s="177">
        <f t="shared" si="102"/>
        <v>0.59876495613245162</v>
      </c>
      <c r="S331" s="810">
        <f t="shared" si="103"/>
        <v>-1</v>
      </c>
      <c r="T331" s="176">
        <f t="shared" si="104"/>
        <v>5</v>
      </c>
      <c r="U331" s="251">
        <f t="shared" si="105"/>
        <v>-0.40123504386754838</v>
      </c>
      <c r="V331" s="383">
        <f t="shared" si="106"/>
        <v>21.527577336840018</v>
      </c>
      <c r="W331" s="402"/>
      <c r="X331" s="157">
        <f t="shared" si="107"/>
        <v>44147</v>
      </c>
      <c r="Y331" s="385">
        <f t="shared" si="108"/>
        <v>21.550999999999998</v>
      </c>
      <c r="Z331" s="385">
        <f t="shared" si="109"/>
        <v>21.973360722721644</v>
      </c>
      <c r="AA331" s="386">
        <f t="shared" si="110"/>
        <v>24.505718843929841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0.10333743471620181</v>
      </c>
      <c r="AD331" s="231">
        <f>(INDEX(Models!$BJ331:$BT331,,AH331)*(1-AF331)+INDEX(Models!$BJ331:$BT331,,AH331+1)*AF331-ERP_i)*AE331*Ramure*Pc/MaxiM</f>
        <v>1.1909343223950703E-3</v>
      </c>
      <c r="AE331" s="305">
        <f t="shared" si="112"/>
        <v>0.7</v>
      </c>
      <c r="AF331" s="177">
        <f t="shared" si="113"/>
        <v>0.59876495613245162</v>
      </c>
      <c r="AG331" s="810">
        <f t="shared" si="119"/>
        <v>-1</v>
      </c>
      <c r="AH331" s="176">
        <f t="shared" si="114"/>
        <v>5</v>
      </c>
      <c r="AI331" s="225">
        <f t="shared" si="115"/>
        <v>-0.40123504386754838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6">
        <v>16.312999999999999</v>
      </c>
      <c r="C332" s="390"/>
      <c r="D332" s="393">
        <f t="shared" si="98"/>
        <v>16.63309244825793</v>
      </c>
      <c r="E332" s="385">
        <f t="shared" si="120"/>
        <v>18.550203052188465</v>
      </c>
      <c r="F332" s="385">
        <f t="shared" si="99"/>
        <v>18.564263652887913</v>
      </c>
      <c r="G332" s="110">
        <f t="shared" si="121"/>
        <v>0.76650886378395855</v>
      </c>
      <c r="H332" s="414" t="b">
        <f>Wh_hp&gt;='2019'!Maxi_hp</f>
        <v>1</v>
      </c>
      <c r="I332" s="380">
        <f>IF(H332,Wh_hp,'2019'!Maxi_hp)</f>
        <v>18.564263652887913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1.9244313662878487E-2</v>
      </c>
      <c r="M332" s="844"/>
      <c r="N332" s="844"/>
      <c r="O332" s="48">
        <f>IF(t&lt;Tnet,'2019'!Resal+('2019'!Salim-'2019'!Resal)*(1-EXP(('2019'!Tnet-t)/('2019'!Tau_j))),Resal+(Salim-Resal)*(1-EXP((Tnet-t)/(Tau_j))))*Salcycl</f>
        <v>0.10334714927577916</v>
      </c>
      <c r="P332" s="169">
        <f>(INDEX(Models!$BJ332:$BT332,,T332)*(1-R332)+INDEX(Models!$BJ332:$BT332,,T332+1)*R332-ERP_i)*Q332*Ramure*Pc/MaxiM</f>
        <v>1.1357795954274358E-3</v>
      </c>
      <c r="Q332" s="305">
        <f t="shared" si="101"/>
        <v>0.7</v>
      </c>
      <c r="R332" s="177">
        <f t="shared" si="102"/>
        <v>0.59879138455850089</v>
      </c>
      <c r="S332" s="810">
        <f t="shared" si="103"/>
        <v>-1</v>
      </c>
      <c r="T332" s="176">
        <f t="shared" si="104"/>
        <v>5</v>
      </c>
      <c r="U332" s="251">
        <f t="shared" si="105"/>
        <v>-0.40120861544149905</v>
      </c>
      <c r="V332" s="383">
        <f t="shared" si="106"/>
        <v>21.274147775217472</v>
      </c>
      <c r="W332" s="402"/>
      <c r="X332" s="157">
        <f t="shared" si="107"/>
        <v>44148</v>
      </c>
      <c r="Y332" s="385">
        <f t="shared" si="108"/>
        <v>16.312999999999999</v>
      </c>
      <c r="Z332" s="385">
        <f t="shared" si="109"/>
        <v>16.63309244825793</v>
      </c>
      <c r="AA332" s="386">
        <f t="shared" si="110"/>
        <v>18.550203052188465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0.10334714927577916</v>
      </c>
      <c r="AD332" s="231">
        <f>(INDEX(Models!$BJ332:$BT332,,AH332)*(1-AF332)+INDEX(Models!$BJ332:$BT332,,AH332+1)*AF332-ERP_i)*AE332*Ramure*Pc/MaxiM</f>
        <v>1.1357795954274358E-3</v>
      </c>
      <c r="AE332" s="305">
        <f t="shared" si="112"/>
        <v>0.7</v>
      </c>
      <c r="AF332" s="177">
        <f t="shared" si="113"/>
        <v>0.59879138455850089</v>
      </c>
      <c r="AG332" s="810">
        <f t="shared" si="119"/>
        <v>-1</v>
      </c>
      <c r="AH332" s="176">
        <f t="shared" si="114"/>
        <v>5</v>
      </c>
      <c r="AI332" s="225">
        <f t="shared" si="115"/>
        <v>-0.40120861544149905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6">
        <v>20.800999999999998</v>
      </c>
      <c r="C333" s="390"/>
      <c r="D333" s="393">
        <f t="shared" si="98"/>
        <v>21.209649223255532</v>
      </c>
      <c r="E333" s="385">
        <f t="shared" si="120"/>
        <v>23.654533511693124</v>
      </c>
      <c r="F333" s="385">
        <f t="shared" si="99"/>
        <v>23.679818202153843</v>
      </c>
      <c r="G333" s="110">
        <f t="shared" si="121"/>
        <v>0.98939790432065711</v>
      </c>
      <c r="H333" s="414" t="b">
        <f>Wh_hp&gt;='2019'!Maxi_hp</f>
        <v>1</v>
      </c>
      <c r="I333" s="380">
        <f>IF(H333,Wh_hp,'2019'!Maxi_hp)</f>
        <v>23.679818202153843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1.9267137280491453E-2</v>
      </c>
      <c r="M333" s="844"/>
      <c r="N333" s="844"/>
      <c r="O333" s="48">
        <f>IF(t&lt;Tnet,'2019'!Resal+('2019'!Salim-'2019'!Resal)*(1-EXP(('2019'!Tnet-t)/('2019'!Tau_j))),Resal+(Salim-Resal)*(1-EXP((Tnet-t)/(Tau_j))))*Salcycl</f>
        <v>0.10335795830549845</v>
      </c>
      <c r="P333" s="169">
        <f>(INDEX(Models!$BJ333:$BT333,,T333)*(1-R333)+INDEX(Models!$BJ333:$BT333,,T333+1)*R333-ERP_i)*Q333*Ramure*Pc/MaxiM</f>
        <v>1.0841693579328165E-3</v>
      </c>
      <c r="Q333" s="305">
        <f t="shared" si="101"/>
        <v>0.7</v>
      </c>
      <c r="R333" s="177">
        <f t="shared" si="102"/>
        <v>0.59881675218353703</v>
      </c>
      <c r="S333" s="810">
        <f t="shared" si="103"/>
        <v>-1</v>
      </c>
      <c r="T333" s="176">
        <f t="shared" si="104"/>
        <v>5</v>
      </c>
      <c r="U333" s="251">
        <f t="shared" si="105"/>
        <v>-0.40118324781646297</v>
      </c>
      <c r="V333" s="383">
        <f t="shared" si="106"/>
        <v>21.023552305389313</v>
      </c>
      <c r="W333" s="402"/>
      <c r="X333" s="157">
        <f t="shared" si="107"/>
        <v>44149</v>
      </c>
      <c r="Y333" s="385">
        <f t="shared" si="108"/>
        <v>20.800999999999998</v>
      </c>
      <c r="Z333" s="385">
        <f t="shared" si="109"/>
        <v>21.209649223255532</v>
      </c>
      <c r="AA333" s="386">
        <f t="shared" si="110"/>
        <v>23.654533511693124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0.10335795830549845</v>
      </c>
      <c r="AD333" s="231">
        <f>(INDEX(Models!$BJ333:$BT333,,AH333)*(1-AF333)+INDEX(Models!$BJ333:$BT333,,AH333+1)*AF333-ERP_i)*AE333*Ramure*Pc/MaxiM</f>
        <v>1.0841693579328165E-3</v>
      </c>
      <c r="AE333" s="305">
        <f t="shared" si="112"/>
        <v>0.7</v>
      </c>
      <c r="AF333" s="177">
        <f t="shared" si="113"/>
        <v>0.59881675218353703</v>
      </c>
      <c r="AG333" s="810">
        <f t="shared" si="119"/>
        <v>-1</v>
      </c>
      <c r="AH333" s="176">
        <f t="shared" si="114"/>
        <v>5</v>
      </c>
      <c r="AI333" s="225">
        <f t="shared" si="115"/>
        <v>-0.40118324781646297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6">
        <v>14.869</v>
      </c>
      <c r="C334" s="390"/>
      <c r="D334" s="393">
        <f t="shared" si="98"/>
        <v>15.161464040445361</v>
      </c>
      <c r="E334" s="385">
        <f t="shared" si="120"/>
        <v>16.909386387480957</v>
      </c>
      <c r="F334" s="385">
        <f t="shared" si="99"/>
        <v>16.91979685798686</v>
      </c>
      <c r="G334" s="110">
        <f t="shared" si="121"/>
        <v>0.71536749283913303</v>
      </c>
      <c r="H334" s="414" t="b">
        <f>Wh_hp&gt;='2019'!Maxi_hp</f>
        <v>0</v>
      </c>
      <c r="I334" s="380">
        <f>IF(H334,Wh_hp,'2019'!Maxi_hp)</f>
        <v>20.338950705107482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1.9289960366965397E-2</v>
      </c>
      <c r="M334" s="844"/>
      <c r="N334" s="844"/>
      <c r="O334" s="48">
        <f>IF(t&lt;Tnet,'2019'!Resal+('2019'!Salim-'2019'!Resal)*(1-EXP(('2019'!Tnet-t)/('2019'!Tau_j))),Resal+(Salim-Resal)*(1-EXP((Tnet-t)/(Tau_j))))*Salcycl</f>
        <v>0.10336994536535575</v>
      </c>
      <c r="P334" s="169">
        <f>(INDEX(Models!$BJ334:$BT334,,T334)*(1-R334)+INDEX(Models!$BJ334:$BT334,,T334+1)*R334-ERP_i)*Q334*Ramure*Pc/MaxiM</f>
        <v>1.0361574105531813E-3</v>
      </c>
      <c r="Q334" s="305">
        <f t="shared" si="101"/>
        <v>0.7</v>
      </c>
      <c r="R334" s="177">
        <f t="shared" si="102"/>
        <v>0.59884110145992864</v>
      </c>
      <c r="S334" s="810">
        <f t="shared" si="103"/>
        <v>-1</v>
      </c>
      <c r="T334" s="176">
        <f t="shared" si="104"/>
        <v>5</v>
      </c>
      <c r="U334" s="251">
        <f t="shared" si="105"/>
        <v>-0.40115889854007131</v>
      </c>
      <c r="V334" s="383">
        <f t="shared" si="106"/>
        <v>20.776367839799931</v>
      </c>
      <c r="W334" s="402"/>
      <c r="X334" s="157">
        <f t="shared" si="107"/>
        <v>44150</v>
      </c>
      <c r="Y334" s="385">
        <f t="shared" si="108"/>
        <v>14.869</v>
      </c>
      <c r="Z334" s="385">
        <f t="shared" si="109"/>
        <v>15.161464040445361</v>
      </c>
      <c r="AA334" s="386">
        <f t="shared" si="110"/>
        <v>16.909386387480957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0.10336994536535575</v>
      </c>
      <c r="AD334" s="231">
        <f>(INDEX(Models!$BJ334:$BT334,,AH334)*(1-AF334)+INDEX(Models!$BJ334:$BT334,,AH334+1)*AF334-ERP_i)*AE334*Ramure*Pc/MaxiM</f>
        <v>1.0361574105531813E-3</v>
      </c>
      <c r="AE334" s="305">
        <f t="shared" si="112"/>
        <v>0.7</v>
      </c>
      <c r="AF334" s="177">
        <f t="shared" si="113"/>
        <v>0.59884110145992864</v>
      </c>
      <c r="AG334" s="810">
        <f t="shared" si="119"/>
        <v>-1</v>
      </c>
      <c r="AH334" s="176">
        <f t="shared" si="114"/>
        <v>5</v>
      </c>
      <c r="AI334" s="225">
        <f t="shared" si="115"/>
        <v>-0.40115889854007131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6">
        <v>16.914000000000001</v>
      </c>
      <c r="C335" s="390"/>
      <c r="D335" s="393">
        <f t="shared" ref="D335:D380" si="122">Wh/(1-Ppv)</f>
        <v>17.247089291529047</v>
      </c>
      <c r="E335" s="385">
        <f t="shared" si="120"/>
        <v>19.235741604628149</v>
      </c>
      <c r="F335" s="385">
        <f t="shared" ref="F335:F380" si="123">Wh_sa/(1-Pvg*MEDIAN((-Sdif+Wh/Env_an)/Csdif,0,1))</f>
        <v>19.250026415947151</v>
      </c>
      <c r="G335" s="110">
        <f t="shared" si="121"/>
        <v>0.82353439371639392</v>
      </c>
      <c r="H335" s="414" t="b">
        <f>Wh_hp&gt;='2019'!Maxi_hp</f>
        <v>0</v>
      </c>
      <c r="I335" s="380">
        <f>IF(H335,Wh_hp,'2019'!Maxi_hp)</f>
        <v>21.890995839338444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1.9312782922312755E-2</v>
      </c>
      <c r="M335" s="844"/>
      <c r="N335" s="844"/>
      <c r="O335" s="48">
        <f>IF(t&lt;Tnet,'2019'!Resal+('2019'!Salim-'2019'!Resal)*(1-EXP(('2019'!Tnet-t)/('2019'!Tau_j))),Resal+(Salim-Resal)*(1-EXP((Tnet-t)/(Tau_j))))*Salcycl</f>
        <v>0.10338318916805526</v>
      </c>
      <c r="P335" s="169">
        <f>(INDEX(Models!$BJ335:$BT335,,T335)*(1-R335)+INDEX(Models!$BJ335:$BT335,,T335+1)*R335-ERP_i)*Q335*Ramure*Pc/MaxiM</f>
        <v>9.9180263103465223E-4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0.59886447315112412</v>
      </c>
      <c r="S335" s="810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-0.40113552684887593</v>
      </c>
      <c r="V335" s="383">
        <f t="shared" ref="V335:V380" si="130">MaxiM*(1-Ppv)*(1-Pvg)*(1-Psa)</f>
        <v>20.533171371405938</v>
      </c>
      <c r="W335" s="402"/>
      <c r="X335" s="157">
        <f t="shared" ref="X335:X380" si="131">t</f>
        <v>44151</v>
      </c>
      <c r="Y335" s="385">
        <f t="shared" ref="Y335:Y380" si="132">Wh_pvt_s*(1-Ppv)</f>
        <v>16.914000000000001</v>
      </c>
      <c r="Z335" s="385">
        <f t="shared" ref="Z335:Z380" si="133">Wh_sa_s*(1-Psa_s)</f>
        <v>17.247089291529047</v>
      </c>
      <c r="AA335" s="386">
        <f t="shared" ref="AA335:AA380" si="134">Wh_hp*(1-Pvg_s*MEDIAN((-Sdif+Wh/Env_an)/Csdif,0,1))</f>
        <v>19.235741604628149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0.10338318916805526</v>
      </c>
      <c r="AD335" s="231">
        <f>(INDEX(Models!$BJ335:$BT335,,AH335)*(1-AF335)+INDEX(Models!$BJ335:$BT335,,AH335+1)*AF335-ERP_i)*AE335*Ramure*Pc/MaxiM</f>
        <v>9.9180263103465223E-4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0.59886447315112412</v>
      </c>
      <c r="AG335" s="810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-0.40113552684887593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19.239000000000001</v>
      </c>
      <c r="C336" s="390"/>
      <c r="D336" s="393">
        <f t="shared" si="122"/>
        <v>19.618332323517592</v>
      </c>
      <c r="E336" s="385">
        <f t="shared" si="120"/>
        <v>21.880753269633619</v>
      </c>
      <c r="F336" s="385">
        <f t="shared" si="123"/>
        <v>21.900036147132251</v>
      </c>
      <c r="G336" s="110">
        <f t="shared" si="121"/>
        <v>0.94792191186838903</v>
      </c>
      <c r="H336" s="414" t="b">
        <f>Wh_hp&gt;='2019'!Maxi_hp</f>
        <v>1</v>
      </c>
      <c r="I336" s="380">
        <f>IF(H336,Wh_hp,'2019'!Maxi_hp)</f>
        <v>21.900036147132251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1.933560494654607E-2</v>
      </c>
      <c r="M336" s="844"/>
      <c r="N336" s="844"/>
      <c r="O336" s="48">
        <f>IF(t&lt;Tnet,'2019'!Resal+('2019'!Salim-'2019'!Resal)*(1-EXP(('2019'!Tnet-t)/('2019'!Tau_j))),Resal+(Salim-Resal)*(1-EXP((Tnet-t)/(Tau_j))))*Salcycl</f>
        <v>0.10339776324135248</v>
      </c>
      <c r="P336" s="169">
        <f>(INDEX(Models!$BJ336:$BT336,,T336)*(1-R336)+INDEX(Models!$BJ336:$BT336,,T336+1)*R336-ERP_i)*Q336*Ramure*Pc/MaxiM</f>
        <v>9.5116845409889733E-4</v>
      </c>
      <c r="Q336" s="305">
        <f t="shared" si="125"/>
        <v>0.7</v>
      </c>
      <c r="R336" s="177">
        <f t="shared" si="126"/>
        <v>0.59888690639805475</v>
      </c>
      <c r="S336" s="810">
        <f t="shared" si="127"/>
        <v>-1</v>
      </c>
      <c r="T336" s="176">
        <f t="shared" si="128"/>
        <v>5</v>
      </c>
      <c r="U336" s="251">
        <f t="shared" si="129"/>
        <v>-0.40111309360194525</v>
      </c>
      <c r="V336" s="383">
        <f t="shared" si="130"/>
        <v>20.294539960356854</v>
      </c>
      <c r="W336" s="402"/>
      <c r="X336" s="157">
        <f t="shared" si="131"/>
        <v>44152</v>
      </c>
      <c r="Y336" s="385">
        <f t="shared" si="132"/>
        <v>19.239000000000001</v>
      </c>
      <c r="Z336" s="385">
        <f t="shared" si="133"/>
        <v>19.618332323517592</v>
      </c>
      <c r="AA336" s="386">
        <f t="shared" si="134"/>
        <v>21.880753269633619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0.10339776324135248</v>
      </c>
      <c r="AD336" s="231">
        <f>(INDEX(Models!$BJ336:$BT336,,AH336)*(1-AF336)+INDEX(Models!$BJ336:$BT336,,AH336+1)*AF336-ERP_i)*AE336*Ramure*Pc/MaxiM</f>
        <v>9.5116845409889733E-4</v>
      </c>
      <c r="AE336" s="305">
        <f t="shared" si="136"/>
        <v>0.7</v>
      </c>
      <c r="AF336" s="177">
        <f t="shared" si="137"/>
        <v>0.59888690639805475</v>
      </c>
      <c r="AG336" s="810">
        <f t="shared" ref="AG336:AG379" si="143">INDEX(Echel_vg,AH336)</f>
        <v>-1</v>
      </c>
      <c r="AH336" s="176">
        <f t="shared" si="138"/>
        <v>5</v>
      </c>
      <c r="AI336" s="225">
        <f t="shared" si="139"/>
        <v>-0.40111309360194525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6">
        <v>19.532</v>
      </c>
      <c r="C337" s="390"/>
      <c r="D337" s="393">
        <f t="shared" si="122"/>
        <v>19.917572869246214</v>
      </c>
      <c r="E337" s="385">
        <f t="shared" si="120"/>
        <v>22.214898510707037</v>
      </c>
      <c r="F337" s="385">
        <f t="shared" si="123"/>
        <v>22.23446207507633</v>
      </c>
      <c r="G337" s="110">
        <f t="shared" si="121"/>
        <v>0.9735943984390123</v>
      </c>
      <c r="H337" s="414" t="b">
        <f>Wh_hp&gt;='2019'!Maxi_hp</f>
        <v>1</v>
      </c>
      <c r="I337" s="380">
        <f>IF(H337,Wh_hp,'2019'!Maxi_hp)</f>
        <v>22.23446207507633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1.9358426439677334E-2</v>
      </c>
      <c r="M337" s="844"/>
      <c r="N337" s="844"/>
      <c r="O337" s="48">
        <f>IF(t&lt;Tnet,'2019'!Resal+('2019'!Salim-'2019'!Resal)*(1-EXP(('2019'!Tnet-t)/('2019'!Tau_j))),Resal+(Salim-Resal)*(1-EXP((Tnet-t)/(Tau_j))))*Salcycl</f>
        <v>0.10341373562222518</v>
      </c>
      <c r="P337" s="169">
        <f>(INDEX(Models!$BJ337:$BT337,,T337)*(1-R337)+INDEX(Models!$BJ337:$BT337,,T337+1)*R337-ERP_i)*Q337*Ramure*Pc/MaxiM</f>
        <v>9.1432224887851488E-4</v>
      </c>
      <c r="Q337" s="305">
        <f t="shared" si="125"/>
        <v>0.7</v>
      </c>
      <c r="R337" s="177">
        <f t="shared" si="126"/>
        <v>0.59890843878299116</v>
      </c>
      <c r="S337" s="810">
        <f t="shared" si="127"/>
        <v>-1</v>
      </c>
      <c r="T337" s="176">
        <f t="shared" si="128"/>
        <v>5</v>
      </c>
      <c r="U337" s="251">
        <f t="shared" si="129"/>
        <v>-0.40109156121700884</v>
      </c>
      <c r="V337" s="383">
        <f t="shared" si="130"/>
        <v>20.061050710767347</v>
      </c>
      <c r="W337" s="402"/>
      <c r="X337" s="157">
        <f t="shared" si="131"/>
        <v>44153</v>
      </c>
      <c r="Y337" s="385">
        <f t="shared" si="132"/>
        <v>19.532</v>
      </c>
      <c r="Z337" s="385">
        <f t="shared" si="133"/>
        <v>19.917572869246214</v>
      </c>
      <c r="AA337" s="386">
        <f t="shared" si="134"/>
        <v>22.214898510707037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0.10341373562222518</v>
      </c>
      <c r="AD337" s="231">
        <f>(INDEX(Models!$BJ337:$BT337,,AH337)*(1-AF337)+INDEX(Models!$BJ337:$BT337,,AH337+1)*AF337-ERP_i)*AE337*Ramure*Pc/MaxiM</f>
        <v>9.1432224887851488E-4</v>
      </c>
      <c r="AE337" s="305">
        <f t="shared" si="136"/>
        <v>0.7</v>
      </c>
      <c r="AF337" s="177">
        <f t="shared" si="137"/>
        <v>0.59890843878299116</v>
      </c>
      <c r="AG337" s="810">
        <f t="shared" si="143"/>
        <v>-1</v>
      </c>
      <c r="AH337" s="176">
        <f t="shared" si="138"/>
        <v>5</v>
      </c>
      <c r="AI337" s="225">
        <f t="shared" si="139"/>
        <v>-0.40109156121700884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6">
        <v>7.8230000000000004</v>
      </c>
      <c r="C338" s="390"/>
      <c r="D338" s="393">
        <f t="shared" si="122"/>
        <v>7.9776161523241464</v>
      </c>
      <c r="E338" s="385">
        <f t="shared" si="120"/>
        <v>8.8979405404195635</v>
      </c>
      <c r="F338" s="385">
        <f t="shared" si="123"/>
        <v>8.8989991774679229</v>
      </c>
      <c r="G338" s="110">
        <f t="shared" si="121"/>
        <v>0.39413727569852497</v>
      </c>
      <c r="H338" s="414" t="b">
        <f>Wh_hp&gt;='2019'!Maxi_hp</f>
        <v>0</v>
      </c>
      <c r="I338" s="380">
        <f>IF(H338,Wh_hp,'2019'!Maxi_hp)</f>
        <v>23.081621560560357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1.9381247401719315E-2</v>
      </c>
      <c r="M338" s="844"/>
      <c r="N338" s="844"/>
      <c r="O338" s="48">
        <f>IF(t&lt;Tnet,'2019'!Resal+('2019'!Salim-'2019'!Resal)*(1-EXP(('2019'!Tnet-t)/('2019'!Tau_j))),Resal+(Salim-Resal)*(1-EXP((Tnet-t)/(Tau_j))))*Salcycl</f>
        <v>0.1034311685849971</v>
      </c>
      <c r="P338" s="169">
        <f>(INDEX(Models!$BJ338:$BT338,,T338)*(1-R338)+INDEX(Models!$BJ338:$BT338,,T338+1)*R338-ERP_i)*Q338*Ramure*Pc/MaxiM</f>
        <v>8.8177197714451173E-4</v>
      </c>
      <c r="Q338" s="305">
        <f t="shared" si="125"/>
        <v>0.7</v>
      </c>
      <c r="R338" s="177">
        <f t="shared" si="126"/>
        <v>0.59892910639094243</v>
      </c>
      <c r="S338" s="810">
        <f t="shared" si="127"/>
        <v>-1</v>
      </c>
      <c r="T338" s="176">
        <f t="shared" si="128"/>
        <v>5</v>
      </c>
      <c r="U338" s="251">
        <f t="shared" si="129"/>
        <v>-0.40107089360905757</v>
      </c>
      <c r="V338" s="383">
        <f t="shared" si="130"/>
        <v>19.833272071789388</v>
      </c>
      <c r="W338" s="402"/>
      <c r="X338" s="157">
        <f t="shared" si="131"/>
        <v>44154</v>
      </c>
      <c r="Y338" s="385">
        <f t="shared" si="132"/>
        <v>7.8230000000000013</v>
      </c>
      <c r="Z338" s="385">
        <f t="shared" si="133"/>
        <v>7.9776161523241473</v>
      </c>
      <c r="AA338" s="386">
        <f t="shared" si="134"/>
        <v>8.8979405404195635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0.1034311685849971</v>
      </c>
      <c r="AD338" s="231">
        <f>(INDEX(Models!$BJ338:$BT338,,AH338)*(1-AF338)+INDEX(Models!$BJ338:$BT338,,AH338+1)*AF338-ERP_i)*AE338*Ramure*Pc/MaxiM</f>
        <v>8.8177197714451173E-4</v>
      </c>
      <c r="AE338" s="305">
        <f t="shared" si="136"/>
        <v>0.7</v>
      </c>
      <c r="AF338" s="177">
        <f t="shared" si="137"/>
        <v>0.59892910639094243</v>
      </c>
      <c r="AG338" s="810">
        <f t="shared" si="143"/>
        <v>-1</v>
      </c>
      <c r="AH338" s="176">
        <f t="shared" si="138"/>
        <v>5</v>
      </c>
      <c r="AI338" s="225">
        <f t="shared" si="139"/>
        <v>-0.40107089360905757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6">
        <v>15.006</v>
      </c>
      <c r="C339" s="390"/>
      <c r="D339" s="393">
        <f t="shared" si="122"/>
        <v>15.302939271666869</v>
      </c>
      <c r="E339" s="385">
        <f t="shared" si="120"/>
        <v>17.068698112420645</v>
      </c>
      <c r="F339" s="385">
        <f t="shared" si="123"/>
        <v>17.078359512801384</v>
      </c>
      <c r="G339" s="110">
        <f t="shared" si="121"/>
        <v>0.76493191797908389</v>
      </c>
      <c r="H339" s="414" t="b">
        <f>Wh_hp&gt;='2019'!Maxi_hp</f>
        <v>0</v>
      </c>
      <c r="I339" s="380">
        <f>IF(H339,Wh_hp,'2019'!Maxi_hp)</f>
        <v>22.83442232679824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1.9404067832684002E-2</v>
      </c>
      <c r="M339" s="844"/>
      <c r="N339" s="844"/>
      <c r="O339" s="48">
        <f>IF(t&lt;Tnet,'2019'!Resal+('2019'!Salim-'2019'!Resal)*(1-EXP(('2019'!Tnet-t)/('2019'!Tau_j))),Resal+(Salim-Resal)*(1-EXP((Tnet-t)/(Tau_j))))*Salcycl</f>
        <v>0.10345011840527291</v>
      </c>
      <c r="P339" s="169">
        <f>(INDEX(Models!$BJ339:$BT339,,T339)*(1-R339)+INDEX(Models!$BJ339:$BT339,,T339+1)*R339-ERP_i)*Q339*Ramure*Pc/MaxiM</f>
        <v>8.5133090129175008E-4</v>
      </c>
      <c r="Q339" s="305">
        <f t="shared" si="125"/>
        <v>0.7</v>
      </c>
      <c r="R339" s="177">
        <f t="shared" si="126"/>
        <v>0.59894894386869046</v>
      </c>
      <c r="S339" s="810">
        <f t="shared" si="127"/>
        <v>-1</v>
      </c>
      <c r="T339" s="176">
        <f t="shared" si="128"/>
        <v>5</v>
      </c>
      <c r="U339" s="251">
        <f t="shared" si="129"/>
        <v>-0.40105105613130954</v>
      </c>
      <c r="V339" s="383">
        <f t="shared" si="130"/>
        <v>19.61182583123562</v>
      </c>
      <c r="W339" s="402"/>
      <c r="X339" s="157">
        <f t="shared" si="131"/>
        <v>44155</v>
      </c>
      <c r="Y339" s="385">
        <f t="shared" si="132"/>
        <v>15.006000000000002</v>
      </c>
      <c r="Z339" s="385">
        <f t="shared" si="133"/>
        <v>15.302939271666871</v>
      </c>
      <c r="AA339" s="386">
        <f t="shared" si="134"/>
        <v>17.068698112420645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0.10345011840527291</v>
      </c>
      <c r="AD339" s="231">
        <f>(INDEX(Models!$BJ339:$BT339,,AH339)*(1-AF339)+INDEX(Models!$BJ339:$BT339,,AH339+1)*AF339-ERP_i)*AE339*Ramure*Pc/MaxiM</f>
        <v>8.5133090129175008E-4</v>
      </c>
      <c r="AE339" s="305">
        <f t="shared" si="136"/>
        <v>0.7</v>
      </c>
      <c r="AF339" s="177">
        <f t="shared" si="137"/>
        <v>0.59894894386869046</v>
      </c>
      <c r="AG339" s="810">
        <f t="shared" si="143"/>
        <v>-1</v>
      </c>
      <c r="AH339" s="176">
        <f t="shared" si="138"/>
        <v>5</v>
      </c>
      <c r="AI339" s="225">
        <f t="shared" si="139"/>
        <v>-0.40105105613130954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6">
        <v>20.056000000000001</v>
      </c>
      <c r="C340" s="390"/>
      <c r="D340" s="393">
        <f t="shared" si="122"/>
        <v>20.453344833842895</v>
      </c>
      <c r="E340" s="385">
        <f t="shared" si="120"/>
        <v>22.813915122034967</v>
      </c>
      <c r="F340" s="385">
        <f t="shared" si="123"/>
        <v>22.832707218785405</v>
      </c>
      <c r="G340" s="110">
        <f t="shared" si="121"/>
        <v>1.0339589374740357</v>
      </c>
      <c r="H340" s="414" t="b">
        <f>Wh_hp&gt;='2019'!Maxi_hp</f>
        <v>1</v>
      </c>
      <c r="I340" s="380">
        <f>IF(H340,Wh_hp,'2019'!Maxi_hp)</f>
        <v>22.832707218785405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1.9426887732584053E-2</v>
      </c>
      <c r="M340" s="844"/>
      <c r="N340" s="844"/>
      <c r="O340" s="48">
        <f>IF(t&lt;Tnet,'2019'!Resal+('2019'!Salim-'2019'!Resal)*(1-EXP(('2019'!Tnet-t)/('2019'!Tau_j))),Resal+(Salim-Resal)*(1-EXP((Tnet-t)/(Tau_j))))*Salcycl</f>
        <v>0.10347063516126181</v>
      </c>
      <c r="P340" s="169">
        <f>(INDEX(Models!$BJ340:$BT340,,T340)*(1-R340)+INDEX(Models!$BJ340:$BT340,,T340+1)*R340-ERP_i)*Q340*Ramure*Pc/MaxiM</f>
        <v>8.230341049955544E-4</v>
      </c>
      <c r="Q340" s="305">
        <f t="shared" si="125"/>
        <v>0.7</v>
      </c>
      <c r="R340" s="177">
        <f t="shared" si="126"/>
        <v>0.59896798448154542</v>
      </c>
      <c r="S340" s="810">
        <f t="shared" si="127"/>
        <v>-1</v>
      </c>
      <c r="T340" s="176">
        <f t="shared" si="128"/>
        <v>5</v>
      </c>
      <c r="U340" s="251">
        <f t="shared" si="129"/>
        <v>-0.40103201551845463</v>
      </c>
      <c r="V340" s="383">
        <f t="shared" si="130"/>
        <v>19.397288686334935</v>
      </c>
      <c r="W340" s="402"/>
      <c r="X340" s="157">
        <f t="shared" si="131"/>
        <v>44156</v>
      </c>
      <c r="Y340" s="385">
        <f t="shared" si="132"/>
        <v>20.056000000000001</v>
      </c>
      <c r="Z340" s="385">
        <f t="shared" si="133"/>
        <v>20.453344833842895</v>
      </c>
      <c r="AA340" s="386">
        <f t="shared" si="134"/>
        <v>22.813915122034967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0.10347063516126181</v>
      </c>
      <c r="AD340" s="231">
        <f>(INDEX(Models!$BJ340:$BT340,,AH340)*(1-AF340)+INDEX(Models!$BJ340:$BT340,,AH340+1)*AF340-ERP_i)*AE340*Ramure*Pc/MaxiM</f>
        <v>8.230341049955544E-4</v>
      </c>
      <c r="AE340" s="305">
        <f t="shared" si="136"/>
        <v>0.7</v>
      </c>
      <c r="AF340" s="177">
        <f t="shared" si="137"/>
        <v>0.59896798448154542</v>
      </c>
      <c r="AG340" s="810">
        <f t="shared" si="143"/>
        <v>-1</v>
      </c>
      <c r="AH340" s="176">
        <f t="shared" si="138"/>
        <v>5</v>
      </c>
      <c r="AI340" s="225">
        <f t="shared" si="139"/>
        <v>-0.40103201551845463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6">
        <v>19.747</v>
      </c>
      <c r="C341" s="390"/>
      <c r="D341" s="393">
        <f t="shared" si="122"/>
        <v>20.13869165407786</v>
      </c>
      <c r="E341" s="385">
        <f t="shared" si="120"/>
        <v>22.463501479244901</v>
      </c>
      <c r="F341" s="385">
        <f t="shared" si="123"/>
        <v>22.481417216990419</v>
      </c>
      <c r="G341" s="110">
        <f t="shared" si="121"/>
        <v>1.0290128031640591</v>
      </c>
      <c r="H341" s="414" t="b">
        <f>Wh_hp&gt;='2019'!Maxi_hp</f>
        <v>1</v>
      </c>
      <c r="I341" s="380">
        <f>IF(H341,Wh_hp,'2019'!Maxi_hp)</f>
        <v>22.481417216990419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1.9449707101431568E-2</v>
      </c>
      <c r="M341" s="844"/>
      <c r="N341" s="844"/>
      <c r="O341" s="48">
        <f>IF(t&lt;Tnet,'2019'!Resal+('2019'!Salim-'2019'!Resal)*(1-EXP(('2019'!Tnet-t)/('2019'!Tau_j))),Resal+(Salim-Resal)*(1-EXP((Tnet-t)/(Tau_j))))*Salcycl</f>
        <v>0.10349276257377077</v>
      </c>
      <c r="P341" s="169">
        <f>(INDEX(Models!$BJ341:$BT341,,T341)*(1-R341)+INDEX(Models!$BJ341:$BT341,,T341+1)*R341-ERP_i)*Q341*Ramure*Pc/MaxiM</f>
        <v>7.9691318267869878E-4</v>
      </c>
      <c r="Q341" s="305">
        <f t="shared" si="125"/>
        <v>0.7</v>
      </c>
      <c r="R341" s="177">
        <f t="shared" si="126"/>
        <v>0.59898626016790513</v>
      </c>
      <c r="S341" s="810">
        <f t="shared" si="127"/>
        <v>-1</v>
      </c>
      <c r="T341" s="176">
        <f t="shared" si="128"/>
        <v>5</v>
      </c>
      <c r="U341" s="251">
        <f t="shared" si="129"/>
        <v>-0.40101373983209487</v>
      </c>
      <c r="V341" s="383">
        <f t="shared" si="130"/>
        <v>19.19023741908843</v>
      </c>
      <c r="W341" s="402"/>
      <c r="X341" s="157">
        <f t="shared" si="131"/>
        <v>44157</v>
      </c>
      <c r="Y341" s="385">
        <f t="shared" si="132"/>
        <v>19.747</v>
      </c>
      <c r="Z341" s="385">
        <f t="shared" si="133"/>
        <v>20.13869165407786</v>
      </c>
      <c r="AA341" s="386">
        <f t="shared" si="134"/>
        <v>22.463501479244901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0.10349276257377077</v>
      </c>
      <c r="AD341" s="231">
        <f>(INDEX(Models!$BJ341:$BT341,,AH341)*(1-AF341)+INDEX(Models!$BJ341:$BT341,,AH341+1)*AF341-ERP_i)*AE341*Ramure*Pc/MaxiM</f>
        <v>7.9691318267869878E-4</v>
      </c>
      <c r="AE341" s="305">
        <f t="shared" si="136"/>
        <v>0.7</v>
      </c>
      <c r="AF341" s="177">
        <f t="shared" si="137"/>
        <v>0.59898626016790513</v>
      </c>
      <c r="AG341" s="810">
        <f t="shared" si="143"/>
        <v>-1</v>
      </c>
      <c r="AH341" s="176">
        <f t="shared" si="138"/>
        <v>5</v>
      </c>
      <c r="AI341" s="225">
        <f t="shared" si="139"/>
        <v>-0.40101373983209487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6">
        <v>18.518999999999998</v>
      </c>
      <c r="C342" s="390"/>
      <c r="D342" s="393">
        <f t="shared" si="122"/>
        <v>18.886773180669103</v>
      </c>
      <c r="E342" s="385">
        <f t="shared" si="120"/>
        <v>21.067620295112704</v>
      </c>
      <c r="F342" s="385">
        <f t="shared" si="123"/>
        <v>21.083338860152271</v>
      </c>
      <c r="G342" s="110">
        <f t="shared" si="121"/>
        <v>0.9751065544519667</v>
      </c>
      <c r="H342" s="414" t="b">
        <f>Wh_hp&gt;='2019'!Maxi_hp</f>
        <v>1</v>
      </c>
      <c r="I342" s="380">
        <f>IF(H342,Wh_hp,'2019'!Maxi_hp)</f>
        <v>21.083338860152271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1.9472525939239094E-2</v>
      </c>
      <c r="M342" s="844"/>
      <c r="N342" s="844"/>
      <c r="O342" s="48">
        <f>IF(t&lt;Tnet,'2019'!Resal+('2019'!Salim-'2019'!Resal)*(1-EXP(('2019'!Tnet-t)/('2019'!Tau_j))),Resal+(Salim-Resal)*(1-EXP((Tnet-t)/(Tau_j))))*Salcycl</f>
        <v>0.10351653788584356</v>
      </c>
      <c r="P342" s="169">
        <f>(INDEX(Models!$BJ342:$BT342,,T342)*(1-R342)+INDEX(Models!$BJ342:$BT342,,T342+1)*R342-ERP_i)*Q342*Ramure*Pc/MaxiM</f>
        <v>7.7300443346569258E-4</v>
      </c>
      <c r="Q342" s="305">
        <f t="shared" si="125"/>
        <v>0.7</v>
      </c>
      <c r="R342" s="177">
        <f t="shared" si="126"/>
        <v>0.59900380159170352</v>
      </c>
      <c r="S342" s="810">
        <f t="shared" si="127"/>
        <v>-1</v>
      </c>
      <c r="T342" s="176">
        <f t="shared" si="128"/>
        <v>5</v>
      </c>
      <c r="U342" s="251">
        <f t="shared" si="129"/>
        <v>-0.40099619840829648</v>
      </c>
      <c r="V342" s="383">
        <f t="shared" si="130"/>
        <v>18.991248703556021</v>
      </c>
      <c r="W342" s="402"/>
      <c r="X342" s="157">
        <f t="shared" si="131"/>
        <v>44158</v>
      </c>
      <c r="Y342" s="385">
        <f t="shared" si="132"/>
        <v>18.518999999999998</v>
      </c>
      <c r="Z342" s="385">
        <f t="shared" si="133"/>
        <v>18.886773180669103</v>
      </c>
      <c r="AA342" s="386">
        <f t="shared" si="134"/>
        <v>21.067620295112704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0.10351653788584356</v>
      </c>
      <c r="AD342" s="231">
        <f>(INDEX(Models!$BJ342:$BT342,,AH342)*(1-AF342)+INDEX(Models!$BJ342:$BT342,,AH342+1)*AF342-ERP_i)*AE342*Ramure*Pc/MaxiM</f>
        <v>7.7300443346569258E-4</v>
      </c>
      <c r="AE342" s="305">
        <f t="shared" si="136"/>
        <v>0.7</v>
      </c>
      <c r="AF342" s="177">
        <f t="shared" si="137"/>
        <v>0.59900380159170352</v>
      </c>
      <c r="AG342" s="810">
        <f t="shared" si="143"/>
        <v>-1</v>
      </c>
      <c r="AH342" s="176">
        <f t="shared" si="138"/>
        <v>5</v>
      </c>
      <c r="AI342" s="225">
        <f t="shared" si="139"/>
        <v>-0.40099619840829648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6">
        <v>17.492999999999999</v>
      </c>
      <c r="C343" s="390"/>
      <c r="D343" s="393">
        <f t="shared" si="122"/>
        <v>17.840812786909577</v>
      </c>
      <c r="E343" s="385">
        <f t="shared" si="120"/>
        <v>19.901448392867856</v>
      </c>
      <c r="F343" s="385">
        <f t="shared" si="123"/>
        <v>19.914924416032331</v>
      </c>
      <c r="G343" s="110">
        <f t="shared" si="121"/>
        <v>0.93036470558021855</v>
      </c>
      <c r="H343" s="414" t="b">
        <f>Wh_hp&gt;='2019'!Maxi_hp</f>
        <v>1</v>
      </c>
      <c r="I343" s="380">
        <f>IF(H343,Wh_hp,'2019'!Maxi_hp)</f>
        <v>19.914924416032331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1.9495344246018953E-2</v>
      </c>
      <c r="M343" s="844"/>
      <c r="N343" s="844"/>
      <c r="O343" s="48">
        <f>IF(t&lt;Tnet,'2019'!Resal+('2019'!Salim-'2019'!Resal)*(1-EXP(('2019'!Tnet-t)/('2019'!Tau_j))),Resal+(Salim-Resal)*(1-EXP((Tnet-t)/(Tau_j))))*Salcycl</f>
        <v>0.10354199178270637</v>
      </c>
      <c r="P343" s="169">
        <f>(INDEX(Models!$BJ343:$BT343,,T343)*(1-R343)+INDEX(Models!$BJ343:$BT343,,T343+1)*R343-ERP_i)*Q343*Ramure*Pc/MaxiM</f>
        <v>7.5134836024638621E-4</v>
      </c>
      <c r="Q343" s="305">
        <f t="shared" si="125"/>
        <v>0.7</v>
      </c>
      <c r="R343" s="177">
        <f t="shared" si="126"/>
        <v>0.59902063819282136</v>
      </c>
      <c r="S343" s="810">
        <f t="shared" si="127"/>
        <v>-1</v>
      </c>
      <c r="T343" s="176">
        <f t="shared" si="128"/>
        <v>5</v>
      </c>
      <c r="U343" s="251">
        <f t="shared" si="129"/>
        <v>-0.40097936180717858</v>
      </c>
      <c r="V343" s="383">
        <f t="shared" si="130"/>
        <v>18.800899077605727</v>
      </c>
      <c r="W343" s="402"/>
      <c r="X343" s="157">
        <f t="shared" si="131"/>
        <v>44159</v>
      </c>
      <c r="Y343" s="385">
        <f t="shared" si="132"/>
        <v>17.492999999999999</v>
      </c>
      <c r="Z343" s="385">
        <f t="shared" si="133"/>
        <v>17.840812786909577</v>
      </c>
      <c r="AA343" s="386">
        <f t="shared" si="134"/>
        <v>19.901448392867856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0.10354199178270637</v>
      </c>
      <c r="AD343" s="231">
        <f>(INDEX(Models!$BJ343:$BT343,,AH343)*(1-AF343)+INDEX(Models!$BJ343:$BT343,,AH343+1)*AF343-ERP_i)*AE343*Ramure*Pc/MaxiM</f>
        <v>7.5134836024638621E-4</v>
      </c>
      <c r="AE343" s="305">
        <f t="shared" si="136"/>
        <v>0.7</v>
      </c>
      <c r="AF343" s="177">
        <f t="shared" si="137"/>
        <v>0.59902063819282136</v>
      </c>
      <c r="AG343" s="810">
        <f t="shared" si="143"/>
        <v>-1</v>
      </c>
      <c r="AH343" s="176">
        <f t="shared" si="138"/>
        <v>5</v>
      </c>
      <c r="AI343" s="225">
        <f t="shared" si="139"/>
        <v>-0.40097936180717858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6">
        <v>18.887</v>
      </c>
      <c r="C344" s="390"/>
      <c r="D344" s="393">
        <f t="shared" si="122"/>
        <v>19.26297792414551</v>
      </c>
      <c r="E344" s="385">
        <f t="shared" si="120"/>
        <v>21.488526291503906</v>
      </c>
      <c r="F344" s="385">
        <f t="shared" si="123"/>
        <v>21.504267084607424</v>
      </c>
      <c r="G344" s="110">
        <f t="shared" si="121"/>
        <v>1.0143522209007509</v>
      </c>
      <c r="H344" s="414" t="b">
        <f>Wh_hp&gt;='2019'!Maxi_hp</f>
        <v>1</v>
      </c>
      <c r="I344" s="380">
        <f>IF(H344,Wh_hp,'2019'!Maxi_hp)</f>
        <v>21.504267084607424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1.9518162021783469E-2</v>
      </c>
      <c r="M344" s="844"/>
      <c r="N344" s="844"/>
      <c r="O344" s="48">
        <f>IF(t&lt;Tnet,'2019'!Resal+('2019'!Salim-'2019'!Resal)*(1-EXP(('2019'!Tnet-t)/('2019'!Tau_j))),Resal+(Salim-Resal)*(1-EXP((Tnet-t)/(Tau_j))))*Salcycl</f>
        <v>0.10356914835236185</v>
      </c>
      <c r="P344" s="169">
        <f>(INDEX(Models!$BJ344:$BT344,,T344)*(1-R344)+INDEX(Models!$BJ344:$BT344,,T344+1)*R344-ERP_i)*Q344*Ramure*Pc/MaxiM</f>
        <v>7.3198463549532182E-4</v>
      </c>
      <c r="Q344" s="305">
        <f t="shared" si="125"/>
        <v>0.7</v>
      </c>
      <c r="R344" s="177">
        <f t="shared" si="126"/>
        <v>0.59903679823554012</v>
      </c>
      <c r="S344" s="810">
        <f t="shared" si="127"/>
        <v>-1</v>
      </c>
      <c r="T344" s="176">
        <f t="shared" si="128"/>
        <v>5</v>
      </c>
      <c r="U344" s="251">
        <f t="shared" si="129"/>
        <v>-0.40096320176445988</v>
      </c>
      <c r="V344" s="383">
        <f t="shared" si="130"/>
        <v>18.619765019322607</v>
      </c>
      <c r="W344" s="402"/>
      <c r="X344" s="157">
        <f t="shared" si="131"/>
        <v>44160</v>
      </c>
      <c r="Y344" s="385">
        <f t="shared" si="132"/>
        <v>18.887</v>
      </c>
      <c r="Z344" s="385">
        <f t="shared" si="133"/>
        <v>19.26297792414551</v>
      </c>
      <c r="AA344" s="386">
        <f t="shared" si="134"/>
        <v>21.488526291503906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0.10356914835236185</v>
      </c>
      <c r="AD344" s="231">
        <f>(INDEX(Models!$BJ344:$BT344,,AH344)*(1-AF344)+INDEX(Models!$BJ344:$BT344,,AH344+1)*AF344-ERP_i)*AE344*Ramure*Pc/MaxiM</f>
        <v>7.3198463549532182E-4</v>
      </c>
      <c r="AE344" s="305">
        <f t="shared" si="136"/>
        <v>0.7</v>
      </c>
      <c r="AF344" s="177">
        <f t="shared" si="137"/>
        <v>0.59903679823554012</v>
      </c>
      <c r="AG344" s="810">
        <f t="shared" si="143"/>
        <v>-1</v>
      </c>
      <c r="AH344" s="176">
        <f t="shared" si="138"/>
        <v>5</v>
      </c>
      <c r="AI344" s="225">
        <f t="shared" si="139"/>
        <v>-0.40096320176445988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6">
        <v>15.18</v>
      </c>
      <c r="C345" s="390"/>
      <c r="D345" s="393">
        <f t="shared" si="122"/>
        <v>15.482544072718358</v>
      </c>
      <c r="E345" s="385">
        <f t="shared" si="120"/>
        <v>17.271876352367968</v>
      </c>
      <c r="F345" s="385">
        <f t="shared" si="123"/>
        <v>17.281107691039391</v>
      </c>
      <c r="G345" s="110">
        <f t="shared" si="121"/>
        <v>0.82279637427303298</v>
      </c>
      <c r="H345" s="414" t="b">
        <f>Wh_hp&gt;='2019'!Maxi_hp</f>
        <v>0</v>
      </c>
      <c r="I345" s="380">
        <f>IF(H345,Wh_hp,'2019'!Maxi_hp)</f>
        <v>18.227231813309963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1.9540979266544967E-2</v>
      </c>
      <c r="M345" s="844"/>
      <c r="N345" s="844"/>
      <c r="O345" s="48">
        <f>IF(t&lt;Tnet,'2019'!Resal+('2019'!Salim-'2019'!Resal)*(1-EXP(('2019'!Tnet-t)/('2019'!Tau_j))),Resal+(Salim-Resal)*(1-EXP((Tnet-t)/(Tau_j))))*Salcycl</f>
        <v>0.10359802508685129</v>
      </c>
      <c r="P345" s="169">
        <f>(INDEX(Models!$BJ345:$BT345,,T345)*(1-R345)+INDEX(Models!$BJ345:$BT345,,T345+1)*R345-ERP_i)*Q345*Ramure*Pc/MaxiM</f>
        <v>7.1504749568864487E-4</v>
      </c>
      <c r="Q345" s="305">
        <f t="shared" si="125"/>
        <v>0.7</v>
      </c>
      <c r="R345" s="177">
        <f t="shared" si="126"/>
        <v>0.59905230885510852</v>
      </c>
      <c r="S345" s="810">
        <f t="shared" si="127"/>
        <v>-1</v>
      </c>
      <c r="T345" s="176">
        <f t="shared" si="128"/>
        <v>5</v>
      </c>
      <c r="U345" s="251">
        <f t="shared" si="129"/>
        <v>-0.40094769114489143</v>
      </c>
      <c r="V345" s="383">
        <f t="shared" si="130"/>
        <v>18.445940625154197</v>
      </c>
      <c r="W345" s="402"/>
      <c r="X345" s="157">
        <f t="shared" si="131"/>
        <v>44161</v>
      </c>
      <c r="Y345" s="385">
        <f t="shared" si="132"/>
        <v>15.179999999999998</v>
      </c>
      <c r="Z345" s="385">
        <f t="shared" si="133"/>
        <v>15.482544072718357</v>
      </c>
      <c r="AA345" s="386">
        <f t="shared" si="134"/>
        <v>17.271876352367968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0.10359802508685129</v>
      </c>
      <c r="AD345" s="231">
        <f>(INDEX(Models!$BJ345:$BT345,,AH345)*(1-AF345)+INDEX(Models!$BJ345:$BT345,,AH345+1)*AF345-ERP_i)*AE345*Ramure*Pc/MaxiM</f>
        <v>7.1504749568864487E-4</v>
      </c>
      <c r="AE345" s="305">
        <f t="shared" si="136"/>
        <v>0.7</v>
      </c>
      <c r="AF345" s="177">
        <f t="shared" si="137"/>
        <v>0.59905230885510852</v>
      </c>
      <c r="AG345" s="810">
        <f t="shared" si="143"/>
        <v>-1</v>
      </c>
      <c r="AH345" s="176">
        <f t="shared" si="138"/>
        <v>5</v>
      </c>
      <c r="AI345" s="225">
        <f t="shared" si="139"/>
        <v>-0.40094769114489143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6">
        <v>11.247999999999999</v>
      </c>
      <c r="C346" s="390"/>
      <c r="D346" s="393">
        <f t="shared" si="122"/>
        <v>11.472444564862451</v>
      </c>
      <c r="E346" s="385">
        <f t="shared" si="120"/>
        <v>12.798762863526685</v>
      </c>
      <c r="F346" s="385">
        <f t="shared" si="123"/>
        <v>12.802806877619251</v>
      </c>
      <c r="G346" s="110">
        <f t="shared" si="121"/>
        <v>0.61516603751959831</v>
      </c>
      <c r="H346" s="414" t="b">
        <f>Wh_hp&gt;='2019'!Maxi_hp</f>
        <v>0</v>
      </c>
      <c r="I346" s="380">
        <f>IF(H346,Wh_hp,'2019'!Maxi_hp)</f>
        <v>13.863925920515646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1.9563795980315879E-2</v>
      </c>
      <c r="M346" s="844"/>
      <c r="N346" s="844"/>
      <c r="O346" s="48">
        <f>IF(t&lt;Tnet,'2019'!Resal+('2019'!Salim-'2019'!Resal)*(1-EXP(('2019'!Tnet-t)/('2019'!Tau_j))),Resal+(Salim-Resal)*(1-EXP((Tnet-t)/(Tau_j))))*Salcycl</f>
        <v>0.10362863292388305</v>
      </c>
      <c r="P346" s="169">
        <f>(INDEX(Models!$BJ346:$BT346,,T346)*(1-R346)+INDEX(Models!$BJ346:$BT346,,T346+1)*R346-ERP_i)*Q346*Ramure*Pc/MaxiM</f>
        <v>7.010346546701162E-4</v>
      </c>
      <c r="Q346" s="305">
        <f t="shared" si="125"/>
        <v>0.7</v>
      </c>
      <c r="R346" s="177">
        <f t="shared" si="126"/>
        <v>0.59906719610249637</v>
      </c>
      <c r="S346" s="810">
        <f t="shared" si="127"/>
        <v>-1</v>
      </c>
      <c r="T346" s="176">
        <f t="shared" si="128"/>
        <v>5</v>
      </c>
      <c r="U346" s="251">
        <f t="shared" si="129"/>
        <v>-0.40093280389750363</v>
      </c>
      <c r="V346" s="383">
        <f t="shared" si="130"/>
        <v>18.277449673477452</v>
      </c>
      <c r="W346" s="402"/>
      <c r="X346" s="157">
        <f t="shared" si="131"/>
        <v>44162</v>
      </c>
      <c r="Y346" s="385">
        <f t="shared" si="132"/>
        <v>11.247999999999999</v>
      </c>
      <c r="Z346" s="385">
        <f t="shared" si="133"/>
        <v>11.472444564862451</v>
      </c>
      <c r="AA346" s="386">
        <f t="shared" si="134"/>
        <v>12.798762863526685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0.10362863292388305</v>
      </c>
      <c r="AD346" s="231">
        <f>(INDEX(Models!$BJ346:$BT346,,AH346)*(1-AF346)+INDEX(Models!$BJ346:$BT346,,AH346+1)*AF346-ERP_i)*AE346*Ramure*Pc/MaxiM</f>
        <v>7.010346546701162E-4</v>
      </c>
      <c r="AE346" s="305">
        <f t="shared" si="136"/>
        <v>0.7</v>
      </c>
      <c r="AF346" s="177">
        <f t="shared" si="137"/>
        <v>0.59906719610249637</v>
      </c>
      <c r="AG346" s="810">
        <f t="shared" si="143"/>
        <v>-1</v>
      </c>
      <c r="AH346" s="176">
        <f t="shared" si="138"/>
        <v>5</v>
      </c>
      <c r="AI346" s="225">
        <f t="shared" si="139"/>
        <v>-0.40093280389750363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6">
        <v>7.5810000000000004</v>
      </c>
      <c r="C347" s="390"/>
      <c r="D347" s="393">
        <f t="shared" si="122"/>
        <v>7.7324525491498379</v>
      </c>
      <c r="E347" s="385">
        <f t="shared" si="120"/>
        <v>8.6267052364565888</v>
      </c>
      <c r="F347" s="385">
        <f t="shared" si="123"/>
        <v>8.6277094585235332</v>
      </c>
      <c r="G347" s="110">
        <f t="shared" si="121"/>
        <v>0.4182581276022001</v>
      </c>
      <c r="H347" s="414" t="b">
        <f>Wh_hp&gt;='2019'!Maxi_hp</f>
        <v>0</v>
      </c>
      <c r="I347" s="380">
        <f>IF(H347,Wh_hp,'2019'!Maxi_hp)</f>
        <v>20.020068183984399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1.958661216310853E-2</v>
      </c>
      <c r="M347" s="844"/>
      <c r="N347" s="844"/>
      <c r="O347" s="48">
        <f>IF(t&lt;Tnet,'2019'!Resal+('2019'!Salim-'2019'!Resal)*(1-EXP(('2019'!Tnet-t)/('2019'!Tau_j))),Resal+(Salim-Resal)*(1-EXP((Tnet-t)/(Tau_j))))*Salcycl</f>
        <v>0.10366097632820756</v>
      </c>
      <c r="P347" s="169">
        <f>(INDEX(Models!$BJ347:$BT347,,T347)*(1-R347)+INDEX(Models!$BJ347:$BT347,,T347+1)*R347-ERP_i)*Q347*Ramure*Pc/MaxiM</f>
        <v>6.8758155399438318E-4</v>
      </c>
      <c r="Q347" s="305">
        <f t="shared" si="125"/>
        <v>0.7</v>
      </c>
      <c r="R347" s="177">
        <f t="shared" si="126"/>
        <v>0.59908148498739966</v>
      </c>
      <c r="S347" s="810">
        <f t="shared" si="127"/>
        <v>-1</v>
      </c>
      <c r="T347" s="176">
        <f t="shared" si="128"/>
        <v>5</v>
      </c>
      <c r="U347" s="251">
        <f t="shared" si="129"/>
        <v>-0.40091851501260034</v>
      </c>
      <c r="V347" s="383">
        <f t="shared" si="130"/>
        <v>18.11481673756705</v>
      </c>
      <c r="W347" s="402"/>
      <c r="X347" s="157">
        <f t="shared" si="131"/>
        <v>44163</v>
      </c>
      <c r="Y347" s="385">
        <f t="shared" si="132"/>
        <v>7.5810000000000004</v>
      </c>
      <c r="Z347" s="385">
        <f t="shared" si="133"/>
        <v>7.7324525491498379</v>
      </c>
      <c r="AA347" s="386">
        <f t="shared" si="134"/>
        <v>8.6267052364565888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0.10366097632820756</v>
      </c>
      <c r="AD347" s="231">
        <f>(INDEX(Models!$BJ347:$BT347,,AH347)*(1-AF347)+INDEX(Models!$BJ347:$BT347,,AH347+1)*AF347-ERP_i)*AE347*Ramure*Pc/MaxiM</f>
        <v>6.8758155399438318E-4</v>
      </c>
      <c r="AE347" s="305">
        <f t="shared" si="136"/>
        <v>0.7</v>
      </c>
      <c r="AF347" s="177">
        <f t="shared" si="137"/>
        <v>0.59908148498739966</v>
      </c>
      <c r="AG347" s="810">
        <f t="shared" si="143"/>
        <v>-1</v>
      </c>
      <c r="AH347" s="176">
        <f t="shared" si="138"/>
        <v>5</v>
      </c>
      <c r="AI347" s="225">
        <f t="shared" si="139"/>
        <v>-0.40091851501260034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6">
        <v>17.158000000000001</v>
      </c>
      <c r="C348" s="390"/>
      <c r="D348" s="393">
        <f t="shared" si="122"/>
        <v>17.501188288417314</v>
      </c>
      <c r="E348" s="385">
        <f t="shared" si="120"/>
        <v>19.525930717035564</v>
      </c>
      <c r="F348" s="385">
        <f t="shared" si="123"/>
        <v>19.538273452077888</v>
      </c>
      <c r="G348" s="110">
        <f t="shared" si="121"/>
        <v>0.95538274374110621</v>
      </c>
      <c r="H348" s="414" t="b">
        <f>Wh_hp&gt;='2019'!Maxi_hp</f>
        <v>1</v>
      </c>
      <c r="I348" s="380">
        <f>IF(H348,Wh_hp,'2019'!Maxi_hp)</f>
        <v>19.538273452077888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1.9609427814935354E-2</v>
      </c>
      <c r="M348" s="844"/>
      <c r="N348" s="844"/>
      <c r="O348" s="48">
        <f>IF(t&lt;Tnet,'2019'!Resal+('2019'!Salim-'2019'!Resal)*(1-EXP(('2019'!Tnet-t)/('2019'!Tau_j))),Resal+(Salim-Resal)*(1-EXP((Tnet-t)/(Tau_j))))*Salcycl</f>
        <v>0.10369505341180735</v>
      </c>
      <c r="P348" s="169">
        <f>(INDEX(Models!$BJ348:$BT348,,T348)*(1-R348)+INDEX(Models!$BJ348:$BT348,,T348+1)*R348-ERP_i)*Q348*Ramure*Pc/MaxiM</f>
        <v>6.7468498129406699E-4</v>
      </c>
      <c r="Q348" s="305">
        <f t="shared" si="125"/>
        <v>0.7</v>
      </c>
      <c r="R348" s="177">
        <f t="shared" si="126"/>
        <v>0.59909519951956691</v>
      </c>
      <c r="S348" s="810">
        <f t="shared" si="127"/>
        <v>-1</v>
      </c>
      <c r="T348" s="176">
        <f t="shared" si="128"/>
        <v>5</v>
      </c>
      <c r="U348" s="251">
        <f t="shared" si="129"/>
        <v>-0.40090480048043309</v>
      </c>
      <c r="V348" s="383">
        <f t="shared" si="130"/>
        <v>17.958522349435299</v>
      </c>
      <c r="W348" s="402"/>
      <c r="X348" s="157">
        <f t="shared" si="131"/>
        <v>44164</v>
      </c>
      <c r="Y348" s="385">
        <f t="shared" si="132"/>
        <v>17.158000000000001</v>
      </c>
      <c r="Z348" s="385">
        <f t="shared" si="133"/>
        <v>17.501188288417314</v>
      </c>
      <c r="AA348" s="386">
        <f t="shared" si="134"/>
        <v>19.525930717035564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0.10369505341180735</v>
      </c>
      <c r="AD348" s="231">
        <f>(INDEX(Models!$BJ348:$BT348,,AH348)*(1-AF348)+INDEX(Models!$BJ348:$BT348,,AH348+1)*AF348-ERP_i)*AE348*Ramure*Pc/MaxiM</f>
        <v>6.7468498129406699E-4</v>
      </c>
      <c r="AE348" s="305">
        <f t="shared" si="136"/>
        <v>0.7</v>
      </c>
      <c r="AF348" s="177">
        <f t="shared" si="137"/>
        <v>0.59909519951956691</v>
      </c>
      <c r="AG348" s="810">
        <f t="shared" si="143"/>
        <v>-1</v>
      </c>
      <c r="AH348" s="176">
        <f t="shared" si="138"/>
        <v>5</v>
      </c>
      <c r="AI348" s="225">
        <f t="shared" si="139"/>
        <v>-0.40090480048043309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6">
        <v>17.763000000000002</v>
      </c>
      <c r="C349" s="390"/>
      <c r="D349" s="393">
        <f t="shared" si="122"/>
        <v>18.118710934754798</v>
      </c>
      <c r="E349" s="385">
        <f t="shared" si="120"/>
        <v>20.215703126568769</v>
      </c>
      <c r="F349" s="385">
        <f t="shared" si="123"/>
        <v>20.229052187489842</v>
      </c>
      <c r="G349" s="110">
        <f t="shared" si="121"/>
        <v>0.99741196416079747</v>
      </c>
      <c r="H349" s="414" t="b">
        <f>Wh_hp&gt;='2019'!Maxi_hp</f>
        <v>1</v>
      </c>
      <c r="I349" s="380">
        <f>IF(H349,Wh_hp,'2019'!Maxi_hp)</f>
        <v>20.229052187489842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1.9632242935808453E-2</v>
      </c>
      <c r="M349" s="844"/>
      <c r="N349" s="844"/>
      <c r="O349" s="48">
        <f>IF(t&lt;Tnet,'2019'!Resal+('2019'!Salim-'2019'!Resal)*(1-EXP(('2019'!Tnet-t)/('2019'!Tau_j))),Resal+(Salim-Resal)*(1-EXP((Tnet-t)/(Tau_j))))*Salcycl</f>
        <v>0.1037308560916671</v>
      </c>
      <c r="P349" s="169">
        <f>(INDEX(Models!$BJ349:$BT349,,T349)*(1-R349)+INDEX(Models!$BJ349:$BT349,,T349+1)*R349-ERP_i)*Q349*Ramure*Pc/MaxiM</f>
        <v>6.6234201697692226E-4</v>
      </c>
      <c r="Q349" s="305">
        <f t="shared" si="125"/>
        <v>0.7</v>
      </c>
      <c r="R349" s="177">
        <f t="shared" si="126"/>
        <v>0.59910836274850732</v>
      </c>
      <c r="S349" s="810">
        <f t="shared" si="127"/>
        <v>-1</v>
      </c>
      <c r="T349" s="176">
        <f t="shared" si="128"/>
        <v>5</v>
      </c>
      <c r="U349" s="251">
        <f t="shared" si="129"/>
        <v>-0.40089163725149268</v>
      </c>
      <c r="V349" s="383">
        <f t="shared" si="130"/>
        <v>17.809046965995787</v>
      </c>
      <c r="W349" s="402"/>
      <c r="X349" s="157">
        <f t="shared" si="131"/>
        <v>44165</v>
      </c>
      <c r="Y349" s="385">
        <f t="shared" si="132"/>
        <v>17.763000000000002</v>
      </c>
      <c r="Z349" s="385">
        <f t="shared" si="133"/>
        <v>18.118710934754798</v>
      </c>
      <c r="AA349" s="386">
        <f t="shared" si="134"/>
        <v>20.215703126568769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0.1037308560916671</v>
      </c>
      <c r="AD349" s="231">
        <f>(INDEX(Models!$BJ349:$BT349,,AH349)*(1-AF349)+INDEX(Models!$BJ349:$BT349,,AH349+1)*AF349-ERP_i)*AE349*Ramure*Pc/MaxiM</f>
        <v>6.6234201697692226E-4</v>
      </c>
      <c r="AE349" s="305">
        <f t="shared" si="136"/>
        <v>0.7</v>
      </c>
      <c r="AF349" s="177">
        <f t="shared" si="137"/>
        <v>0.59910836274850732</v>
      </c>
      <c r="AG349" s="810">
        <f t="shared" si="143"/>
        <v>-1</v>
      </c>
      <c r="AH349" s="176">
        <f t="shared" si="138"/>
        <v>5</v>
      </c>
      <c r="AI349" s="225">
        <f t="shared" si="139"/>
        <v>-0.40089163725149268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6">
        <v>4.38</v>
      </c>
      <c r="C350" s="390"/>
      <c r="D350" s="393">
        <f t="shared" si="122"/>
        <v>4.4678151640640547</v>
      </c>
      <c r="E350" s="385">
        <f t="shared" si="120"/>
        <v>4.9851121249512547</v>
      </c>
      <c r="F350" s="385">
        <f t="shared" si="123"/>
        <v>4.9851121249512547</v>
      </c>
      <c r="G350" s="110">
        <f t="shared" si="121"/>
        <v>0.24776037601206261</v>
      </c>
      <c r="H350" s="414" t="b">
        <f>Wh_hp&gt;='2019'!Maxi_hp</f>
        <v>0</v>
      </c>
      <c r="I350" s="380">
        <f>IF(H350,Wh_hp,'2019'!Maxi_hp)</f>
        <v>6.9031124846572887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1.9655057525740482E-2</v>
      </c>
      <c r="M350" s="844"/>
      <c r="N350" s="844"/>
      <c r="O350" s="48">
        <f>IF(t&lt;Tnet,'2019'!Resal+('2019'!Salim-'2019'!Resal)*(1-EXP(('2019'!Tnet-t)/('2019'!Tau_j))),Resal+(Salim-Resal)*(1-EXP((Tnet-t)/(Tau_j))))*Salcycl</f>
        <v>0.10376837028359877</v>
      </c>
      <c r="P350" s="169">
        <f>(INDEX(Models!$BJ350:$BT350,,T350)*(1-R350)+INDEX(Models!$BJ350:$BT350,,T350+1)*R350-ERP_i)*Q350*Ramure*Pc/MaxiM</f>
        <v>6.5054997659735989E-4</v>
      </c>
      <c r="Q350" s="305">
        <f t="shared" si="125"/>
        <v>0.7</v>
      </c>
      <c r="R350" s="177">
        <f t="shared" si="126"/>
        <v>0.59912099680164488</v>
      </c>
      <c r="S350" s="810">
        <f t="shared" si="127"/>
        <v>-1</v>
      </c>
      <c r="T350" s="176">
        <f t="shared" si="128"/>
        <v>5</v>
      </c>
      <c r="U350" s="251">
        <f t="shared" si="129"/>
        <v>-0.40087900319835512</v>
      </c>
      <c r="V350" s="383">
        <f t="shared" si="130"/>
        <v>17.666870956352582</v>
      </c>
      <c r="W350" s="402"/>
      <c r="X350" s="157">
        <f t="shared" si="131"/>
        <v>44166</v>
      </c>
      <c r="Y350" s="385">
        <f t="shared" si="132"/>
        <v>4.38</v>
      </c>
      <c r="Z350" s="385">
        <f t="shared" si="133"/>
        <v>4.4678151640640547</v>
      </c>
      <c r="AA350" s="386">
        <f t="shared" si="134"/>
        <v>4.9851121249512547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0.10376837028359877</v>
      </c>
      <c r="AD350" s="231">
        <f>(INDEX(Models!$BJ350:$BT350,,AH350)*(1-AF350)+INDEX(Models!$BJ350:$BT350,,AH350+1)*AF350-ERP_i)*AE350*Ramure*Pc/MaxiM</f>
        <v>6.5054997659735989E-4</v>
      </c>
      <c r="AE350" s="305">
        <f t="shared" si="136"/>
        <v>0.7</v>
      </c>
      <c r="AF350" s="177">
        <f t="shared" si="137"/>
        <v>0.59912099680164488</v>
      </c>
      <c r="AG350" s="810">
        <f t="shared" si="143"/>
        <v>-1</v>
      </c>
      <c r="AH350" s="176">
        <f t="shared" si="138"/>
        <v>5</v>
      </c>
      <c r="AI350" s="225">
        <f t="shared" si="139"/>
        <v>-0.40087900319835512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6">
        <v>1.097</v>
      </c>
      <c r="C351" s="390"/>
      <c r="D351" s="393">
        <f t="shared" si="122"/>
        <v>1.1190199304930102</v>
      </c>
      <c r="E351" s="385">
        <f t="shared" si="120"/>
        <v>1.2486380164442583</v>
      </c>
      <c r="F351" s="385">
        <f t="shared" si="123"/>
        <v>1.2486380164442583</v>
      </c>
      <c r="G351" s="110">
        <f t="shared" si="121"/>
        <v>6.2529603334411168E-2</v>
      </c>
      <c r="H351" s="414" t="b">
        <f>Wh_hp&gt;='2019'!Maxi_hp</f>
        <v>0</v>
      </c>
      <c r="I351" s="380">
        <f>IF(H351,Wh_hp,'2019'!Maxi_hp)</f>
        <v>7.7625091154931898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1.9677871584743656E-2</v>
      </c>
      <c r="M351" s="844"/>
      <c r="N351" s="844"/>
      <c r="O351" s="48">
        <f>IF(t&lt;Tnet,'2019'!Resal+('2019'!Salim-'2019'!Resal)*(1-EXP(('2019'!Tnet-t)/('2019'!Tau_j))),Resal+(Salim-Resal)*(1-EXP((Tnet-t)/(Tau_j))))*Salcycl</f>
        <v>0.10380757613031916</v>
      </c>
      <c r="P351" s="169">
        <f>(INDEX(Models!$BJ351:$BT351,,T351)*(1-R351)+INDEX(Models!$BJ351:$BT351,,T351+1)*R351-ERP_i)*Q351*Ramure*Pc/MaxiM</f>
        <v>6.3930634390930551E-4</v>
      </c>
      <c r="Q351" s="305">
        <f t="shared" si="125"/>
        <v>0.7</v>
      </c>
      <c r="R351" s="177">
        <f t="shared" si="126"/>
        <v>0.59913312292097498</v>
      </c>
      <c r="S351" s="810">
        <f t="shared" si="127"/>
        <v>-1</v>
      </c>
      <c r="T351" s="176">
        <f t="shared" si="128"/>
        <v>5</v>
      </c>
      <c r="U351" s="251">
        <f t="shared" si="129"/>
        <v>-0.40086687707902502</v>
      </c>
      <c r="V351" s="383">
        <f t="shared" si="130"/>
        <v>17.532474579723083</v>
      </c>
      <c r="W351" s="402"/>
      <c r="X351" s="157">
        <f t="shared" si="131"/>
        <v>44167</v>
      </c>
      <c r="Y351" s="385">
        <f t="shared" si="132"/>
        <v>1.097</v>
      </c>
      <c r="Z351" s="385">
        <f t="shared" si="133"/>
        <v>1.1190199304930102</v>
      </c>
      <c r="AA351" s="386">
        <f t="shared" si="134"/>
        <v>1.2486380164442583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0.10380757613031916</v>
      </c>
      <c r="AD351" s="231">
        <f>(INDEX(Models!$BJ351:$BT351,,AH351)*(1-AF351)+INDEX(Models!$BJ351:$BT351,,AH351+1)*AF351-ERP_i)*AE351*Ramure*Pc/MaxiM</f>
        <v>6.3930634390930551E-4</v>
      </c>
      <c r="AE351" s="305">
        <f t="shared" si="136"/>
        <v>0.7</v>
      </c>
      <c r="AF351" s="177">
        <f t="shared" si="137"/>
        <v>0.59913312292097498</v>
      </c>
      <c r="AG351" s="810">
        <f t="shared" si="143"/>
        <v>-1</v>
      </c>
      <c r="AH351" s="176">
        <f t="shared" si="138"/>
        <v>5</v>
      </c>
      <c r="AI351" s="225">
        <f t="shared" si="139"/>
        <v>-0.40086687707902502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6">
        <v>9.891</v>
      </c>
      <c r="C352" s="390"/>
      <c r="D352" s="393">
        <f t="shared" si="122"/>
        <v>10.089775489783376</v>
      </c>
      <c r="E352" s="385">
        <f t="shared" si="120"/>
        <v>11.259005767732081</v>
      </c>
      <c r="F352" s="385">
        <f t="shared" si="123"/>
        <v>11.261720957634422</v>
      </c>
      <c r="G352" s="110">
        <f t="shared" si="121"/>
        <v>0.56802104120106456</v>
      </c>
      <c r="H352" s="414" t="b">
        <f>Wh_hp&gt;='2019'!Maxi_hp</f>
        <v>1</v>
      </c>
      <c r="I352" s="380">
        <f>IF(H352,Wh_hp,'2019'!Maxi_hp)</f>
        <v>11.261720957634422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1.9700685112830296E-2</v>
      </c>
      <c r="M352" s="844"/>
      <c r="N352" s="844"/>
      <c r="O352" s="48">
        <f>IF(t&lt;Tnet,'2019'!Resal+('2019'!Salim-'2019'!Resal)*(1-EXP(('2019'!Tnet-t)/('2019'!Tau_j))),Resal+(Salim-Resal)*(1-EXP((Tnet-t)/(Tau_j))))*Salcycl</f>
        <v>0.10384844826171759</v>
      </c>
      <c r="P352" s="169">
        <f>(INDEX(Models!$BJ352:$BT352,,T352)*(1-R352)+INDEX(Models!$BJ352:$BT352,,T352+1)*R352-ERP_i)*Q352*Ramure*Pc/MaxiM</f>
        <v>6.2916903082425207E-4</v>
      </c>
      <c r="Q352" s="305">
        <f t="shared" si="125"/>
        <v>0.7</v>
      </c>
      <c r="R352" s="177">
        <f t="shared" si="126"/>
        <v>0.599144761498283</v>
      </c>
      <c r="S352" s="810">
        <f t="shared" si="127"/>
        <v>-1</v>
      </c>
      <c r="T352" s="176">
        <f t="shared" si="128"/>
        <v>5</v>
      </c>
      <c r="U352" s="251">
        <f t="shared" si="129"/>
        <v>-0.40085523850171706</v>
      </c>
      <c r="V352" s="383">
        <f t="shared" si="130"/>
        <v>17.406328210963881</v>
      </c>
      <c r="W352" s="402"/>
      <c r="X352" s="157">
        <f t="shared" si="131"/>
        <v>44168</v>
      </c>
      <c r="Y352" s="385">
        <f t="shared" si="132"/>
        <v>9.891</v>
      </c>
      <c r="Z352" s="385">
        <f t="shared" si="133"/>
        <v>10.089775489783376</v>
      </c>
      <c r="AA352" s="386">
        <f t="shared" si="134"/>
        <v>11.259005767732081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0.10384844826171759</v>
      </c>
      <c r="AD352" s="231">
        <f>(INDEX(Models!$BJ352:$BT352,,AH352)*(1-AF352)+INDEX(Models!$BJ352:$BT352,,AH352+1)*AF352-ERP_i)*AE352*Ramure*Pc/MaxiM</f>
        <v>6.2916903082425207E-4</v>
      </c>
      <c r="AE352" s="305">
        <f t="shared" si="136"/>
        <v>0.7</v>
      </c>
      <c r="AF352" s="177">
        <f t="shared" si="137"/>
        <v>0.599144761498283</v>
      </c>
      <c r="AG352" s="810">
        <f t="shared" si="143"/>
        <v>-1</v>
      </c>
      <c r="AH352" s="176">
        <f t="shared" si="138"/>
        <v>5</v>
      </c>
      <c r="AI352" s="225">
        <f t="shared" si="139"/>
        <v>-0.40085523850171706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6">
        <v>7.8730000000000002</v>
      </c>
      <c r="C353" s="390"/>
      <c r="D353" s="393">
        <f t="shared" si="122"/>
        <v>8.0314074496539938</v>
      </c>
      <c r="E353" s="385">
        <f t="shared" si="120"/>
        <v>8.9625336382788507</v>
      </c>
      <c r="F353" s="385">
        <f t="shared" si="123"/>
        <v>8.9637665732755494</v>
      </c>
      <c r="G353" s="110">
        <f t="shared" si="121"/>
        <v>0.4551587768336639</v>
      </c>
      <c r="H353" s="414" t="b">
        <f>Wh_hp&gt;='2019'!Maxi_hp</f>
        <v>0</v>
      </c>
      <c r="I353" s="380">
        <f>IF(H353,Wh_hp,'2019'!Maxi_hp)</f>
        <v>15.29208578158242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1.9723498110012838E-2</v>
      </c>
      <c r="M353" s="844"/>
      <c r="N353" s="844"/>
      <c r="O353" s="48">
        <f>IF(t&lt;Tnet,'2019'!Resal+('2019'!Salim-'2019'!Resal)*(1-EXP(('2019'!Tnet-t)/('2019'!Tau_j))),Resal+(Salim-Resal)*(1-EXP((Tnet-t)/(Tau_j))))*Salcycl</f>
        <v>0.10389095608501048</v>
      </c>
      <c r="P353" s="169">
        <f>(INDEX(Models!$BJ353:$BT353,,T353)*(1-R353)+INDEX(Models!$BJ353:$BT353,,T353+1)*R353-ERP_i)*Q353*Ramure*Pc/MaxiM</f>
        <v>6.1966528497608823E-4</v>
      </c>
      <c r="Q353" s="305">
        <f t="shared" si="125"/>
        <v>0.7</v>
      </c>
      <c r="R353" s="177">
        <f t="shared" si="126"/>
        <v>0.59915593210897811</v>
      </c>
      <c r="S353" s="810">
        <f t="shared" si="127"/>
        <v>-1</v>
      </c>
      <c r="T353" s="176">
        <f t="shared" si="128"/>
        <v>5</v>
      </c>
      <c r="U353" s="251">
        <f t="shared" si="129"/>
        <v>-0.40084406789102189</v>
      </c>
      <c r="V353" s="383">
        <f t="shared" si="130"/>
        <v>17.288920168984276</v>
      </c>
      <c r="W353" s="402"/>
      <c r="X353" s="157">
        <f t="shared" si="131"/>
        <v>44169</v>
      </c>
      <c r="Y353" s="385">
        <f t="shared" si="132"/>
        <v>7.8730000000000002</v>
      </c>
      <c r="Z353" s="385">
        <f t="shared" si="133"/>
        <v>8.0314074496539938</v>
      </c>
      <c r="AA353" s="386">
        <f t="shared" si="134"/>
        <v>8.9625336382788507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0.10389095608501048</v>
      </c>
      <c r="AD353" s="231">
        <f>(INDEX(Models!$BJ353:$BT353,,AH353)*(1-AF353)+INDEX(Models!$BJ353:$BT353,,AH353+1)*AF353-ERP_i)*AE353*Ramure*Pc/MaxiM</f>
        <v>6.1966528497608823E-4</v>
      </c>
      <c r="AE353" s="305">
        <f t="shared" si="136"/>
        <v>0.7</v>
      </c>
      <c r="AF353" s="177">
        <f t="shared" si="137"/>
        <v>0.59915593210897811</v>
      </c>
      <c r="AG353" s="810">
        <f t="shared" si="143"/>
        <v>-1</v>
      </c>
      <c r="AH353" s="176">
        <f t="shared" si="138"/>
        <v>5</v>
      </c>
      <c r="AI353" s="225">
        <f t="shared" si="139"/>
        <v>-0.40084406789102189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6">
        <v>12.339</v>
      </c>
      <c r="C354" s="390"/>
      <c r="D354" s="393">
        <f t="shared" si="122"/>
        <v>12.587557826233999</v>
      </c>
      <c r="E354" s="385">
        <f t="shared" si="120"/>
        <v>14.047595572549561</v>
      </c>
      <c r="F354" s="385">
        <f t="shared" si="123"/>
        <v>14.0527233412349</v>
      </c>
      <c r="G354" s="110">
        <f t="shared" si="121"/>
        <v>0.71801166470631128</v>
      </c>
      <c r="H354" s="414" t="b">
        <f>Wh_hp&gt;='2019'!Maxi_hp</f>
        <v>1</v>
      </c>
      <c r="I354" s="380">
        <f>IF(H354,Wh_hp,'2019'!Maxi_hp)</f>
        <v>14.0527233412349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1.9746310576303716E-2</v>
      </c>
      <c r="M354" s="844"/>
      <c r="N354" s="844"/>
      <c r="O354" s="48">
        <f>IF(t&lt;Tnet,'2019'!Resal+('2019'!Salim-'2019'!Resal)*(1-EXP(('2019'!Tnet-t)/('2019'!Tau_j))),Resal+(Salim-Resal)*(1-EXP((Tnet-t)/(Tau_j))))*Salcycl</f>
        <v>0.10393506410225993</v>
      </c>
      <c r="P354" s="169">
        <f>(INDEX(Models!$BJ354:$BT354,,T354)*(1-R354)+INDEX(Models!$BJ354:$BT354,,T354+1)*R354-ERP_i)*Q354*Ramure*Pc/MaxiM</f>
        <v>6.1079301256549334E-4</v>
      </c>
      <c r="Q354" s="305">
        <f t="shared" si="125"/>
        <v>0.7</v>
      </c>
      <c r="R354" s="177">
        <f t="shared" si="126"/>
        <v>0.59916665354459653</v>
      </c>
      <c r="S354" s="810">
        <f t="shared" si="127"/>
        <v>-1</v>
      </c>
      <c r="T354" s="176">
        <f t="shared" si="128"/>
        <v>5</v>
      </c>
      <c r="U354" s="251">
        <f t="shared" si="129"/>
        <v>-0.40083334645540353</v>
      </c>
      <c r="V354" s="383">
        <f t="shared" si="130"/>
        <v>17.180730290922028</v>
      </c>
      <c r="W354" s="402"/>
      <c r="X354" s="157">
        <f t="shared" si="131"/>
        <v>44170</v>
      </c>
      <c r="Y354" s="385">
        <f t="shared" si="132"/>
        <v>12.339</v>
      </c>
      <c r="Z354" s="385">
        <f t="shared" si="133"/>
        <v>12.587557826233999</v>
      </c>
      <c r="AA354" s="386">
        <f t="shared" si="134"/>
        <v>14.047595572549561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0.10393506410225993</v>
      </c>
      <c r="AD354" s="231">
        <f>(INDEX(Models!$BJ354:$BT354,,AH354)*(1-AF354)+INDEX(Models!$BJ354:$BT354,,AH354+1)*AF354-ERP_i)*AE354*Ramure*Pc/MaxiM</f>
        <v>6.1079301256549334E-4</v>
      </c>
      <c r="AE354" s="305">
        <f t="shared" si="136"/>
        <v>0.7</v>
      </c>
      <c r="AF354" s="177">
        <f t="shared" si="137"/>
        <v>0.59916665354459653</v>
      </c>
      <c r="AG354" s="810">
        <f t="shared" si="143"/>
        <v>-1</v>
      </c>
      <c r="AH354" s="176">
        <f t="shared" si="138"/>
        <v>5</v>
      </c>
      <c r="AI354" s="225">
        <f t="shared" si="139"/>
        <v>-0.40083334645540353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6">
        <v>10.164999999999999</v>
      </c>
      <c r="C355" s="390"/>
      <c r="D355" s="393">
        <f t="shared" si="122"/>
        <v>10.370005917428861</v>
      </c>
      <c r="E355" s="385">
        <f t="shared" si="120"/>
        <v>11.573418441657402</v>
      </c>
      <c r="F355" s="385">
        <f t="shared" si="123"/>
        <v>11.576358668419692</v>
      </c>
      <c r="G355" s="110">
        <f t="shared" si="121"/>
        <v>0.59485506558946522</v>
      </c>
      <c r="H355" s="414" t="b">
        <f>Wh_hp&gt;='2019'!Maxi_hp</f>
        <v>0</v>
      </c>
      <c r="I355" s="380">
        <f>IF(H355,Wh_hp,'2019'!Maxi_hp)</f>
        <v>15.59423743287989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1.9769122511715032E-2</v>
      </c>
      <c r="M355" s="844"/>
      <c r="N355" s="844"/>
      <c r="O355" s="48">
        <f>IF(t&lt;Tnet,'2019'!Resal+('2019'!Salim-'2019'!Resal)*(1-EXP(('2019'!Tnet-t)/('2019'!Tau_j))),Resal+(Salim-Resal)*(1-EXP((Tnet-t)/(Tau_j))))*Salcycl</f>
        <v>0.10398073225253614</v>
      </c>
      <c r="P355" s="169">
        <f>(INDEX(Models!$BJ355:$BT355,,T355)*(1-R355)+INDEX(Models!$BJ355:$BT355,,T355+1)*R355-ERP_i)*Q355*Ramure*Pc/MaxiM</f>
        <v>6.0254962690481145E-4</v>
      </c>
      <c r="Q355" s="305">
        <f t="shared" si="125"/>
        <v>0.7</v>
      </c>
      <c r="R355" s="177">
        <f t="shared" si="126"/>
        <v>0.59917694384402453</v>
      </c>
      <c r="S355" s="810">
        <f t="shared" si="127"/>
        <v>-1</v>
      </c>
      <c r="T355" s="176">
        <f t="shared" si="128"/>
        <v>5</v>
      </c>
      <c r="U355" s="251">
        <f t="shared" si="129"/>
        <v>-0.40082305615597547</v>
      </c>
      <c r="V355" s="383">
        <f t="shared" si="130"/>
        <v>17.082238233978433</v>
      </c>
      <c r="W355" s="402"/>
      <c r="X355" s="157">
        <f t="shared" si="131"/>
        <v>44171</v>
      </c>
      <c r="Y355" s="385">
        <f t="shared" si="132"/>
        <v>10.164999999999999</v>
      </c>
      <c r="Z355" s="385">
        <f t="shared" si="133"/>
        <v>10.370005917428861</v>
      </c>
      <c r="AA355" s="386">
        <f t="shared" si="134"/>
        <v>11.573418441657402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0.10398073225253614</v>
      </c>
      <c r="AD355" s="231">
        <f>(INDEX(Models!$BJ355:$BT355,,AH355)*(1-AF355)+INDEX(Models!$BJ355:$BT355,,AH355+1)*AF355-ERP_i)*AE355*Ramure*Pc/MaxiM</f>
        <v>6.0254962690481145E-4</v>
      </c>
      <c r="AE355" s="305">
        <f t="shared" si="136"/>
        <v>0.7</v>
      </c>
      <c r="AF355" s="177">
        <f t="shared" si="137"/>
        <v>0.59917694384402453</v>
      </c>
      <c r="AG355" s="810">
        <f t="shared" si="143"/>
        <v>-1</v>
      </c>
      <c r="AH355" s="176">
        <f t="shared" si="138"/>
        <v>5</v>
      </c>
      <c r="AI355" s="225">
        <f t="shared" si="139"/>
        <v>-0.40082305615597547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6">
        <v>2.4529999999999998</v>
      </c>
      <c r="C356" s="390"/>
      <c r="D356" s="393">
        <f t="shared" si="122"/>
        <v>2.5025299065335749</v>
      </c>
      <c r="E356" s="385">
        <f t="shared" si="120"/>
        <v>2.7930891508713573</v>
      </c>
      <c r="F356" s="385">
        <f t="shared" si="123"/>
        <v>2.7930891508713573</v>
      </c>
      <c r="G356" s="110">
        <f t="shared" si="121"/>
        <v>0.14425983720737709</v>
      </c>
      <c r="H356" s="414" t="b">
        <f>Wh_hp&gt;='2019'!Maxi_hp</f>
        <v>0</v>
      </c>
      <c r="I356" s="380">
        <f>IF(H356,Wh_hp,'2019'!Maxi_hp)</f>
        <v>14.230610193408706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1.979193391625933E-2</v>
      </c>
      <c r="M356" s="844"/>
      <c r="N356" s="844"/>
      <c r="O356" s="48">
        <f>IF(t&lt;Tnet,'2019'!Resal+('2019'!Salim-'2019'!Resal)*(1-EXP(('2019'!Tnet-t)/('2019'!Tau_j))),Resal+(Salim-Resal)*(1-EXP((Tnet-t)/(Tau_j))))*Salcycl</f>
        <v>0.10402791627583276</v>
      </c>
      <c r="P356" s="169">
        <f>(INDEX(Models!$BJ356:$BT356,,T356)*(1-R356)+INDEX(Models!$BJ356:$BT356,,T356+1)*R356-ERP_i)*Q356*Ramure*Pc/MaxiM</f>
        <v>5.9493189795164656E-4</v>
      </c>
      <c r="Q356" s="305">
        <f t="shared" si="125"/>
        <v>0.7</v>
      </c>
      <c r="R356" s="177">
        <f t="shared" si="126"/>
        <v>0.5991868203234918</v>
      </c>
      <c r="S356" s="810">
        <f t="shared" si="127"/>
        <v>-1</v>
      </c>
      <c r="T356" s="176">
        <f t="shared" si="128"/>
        <v>5</v>
      </c>
      <c r="U356" s="251">
        <f t="shared" si="129"/>
        <v>-0.40081317967650826</v>
      </c>
      <c r="V356" s="383">
        <f t="shared" si="130"/>
        <v>16.993923461387066</v>
      </c>
      <c r="W356" s="402"/>
      <c r="X356" s="157">
        <f t="shared" si="131"/>
        <v>44172</v>
      </c>
      <c r="Y356" s="385">
        <f t="shared" si="132"/>
        <v>2.4529999999999998</v>
      </c>
      <c r="Z356" s="385">
        <f t="shared" si="133"/>
        <v>2.5025299065335749</v>
      </c>
      <c r="AA356" s="386">
        <f t="shared" si="134"/>
        <v>2.7930891508713573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0.10402791627583276</v>
      </c>
      <c r="AD356" s="231">
        <f>(INDEX(Models!$BJ356:$BT356,,AH356)*(1-AF356)+INDEX(Models!$BJ356:$BT356,,AH356+1)*AF356-ERP_i)*AE356*Ramure*Pc/MaxiM</f>
        <v>5.9493189795164656E-4</v>
      </c>
      <c r="AE356" s="305">
        <f t="shared" si="136"/>
        <v>0.7</v>
      </c>
      <c r="AF356" s="177">
        <f t="shared" si="137"/>
        <v>0.5991868203234918</v>
      </c>
      <c r="AG356" s="810">
        <f t="shared" si="143"/>
        <v>-1</v>
      </c>
      <c r="AH356" s="176">
        <f t="shared" si="138"/>
        <v>5</v>
      </c>
      <c r="AI356" s="225">
        <f t="shared" si="139"/>
        <v>-0.40081317967650826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6">
        <v>7.8029999999999999</v>
      </c>
      <c r="C357" s="390"/>
      <c r="D357" s="393">
        <f t="shared" si="122"/>
        <v>7.9607400320746899</v>
      </c>
      <c r="E357" s="385">
        <f t="shared" si="120"/>
        <v>8.8855138157888938</v>
      </c>
      <c r="F357" s="385">
        <f t="shared" si="123"/>
        <v>8.8867175546793735</v>
      </c>
      <c r="G357" s="110">
        <f t="shared" si="121"/>
        <v>0.46106328396838953</v>
      </c>
      <c r="H357" s="414" t="b">
        <f>Wh_hp&gt;='2019'!Maxi_hp</f>
        <v>0</v>
      </c>
      <c r="I357" s="380">
        <f>IF(H357,Wh_hp,'2019'!Maxi_hp)</f>
        <v>10.283678349894517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1.9814744789948935E-2</v>
      </c>
      <c r="M357" s="844"/>
      <c r="N357" s="844"/>
      <c r="O357" s="48">
        <f>IF(t&lt;Tnet,'2019'!Resal+('2019'!Salim-'2019'!Resal)*(1-EXP(('2019'!Tnet-t)/('2019'!Tau_j))),Resal+(Salim-Resal)*(1-EXP((Tnet-t)/(Tau_j))))*Salcycl</f>
        <v>0.10407656809569646</v>
      </c>
      <c r="P357" s="169">
        <f>(INDEX(Models!$BJ357:$BT357,,T357)*(1-R357)+INDEX(Models!$BJ357:$BT357,,T357+1)*R357-ERP_i)*Q357*Ramure*Pc/MaxiM</f>
        <v>5.8793579677031231E-4</v>
      </c>
      <c r="Q357" s="305">
        <f t="shared" si="125"/>
        <v>0.7</v>
      </c>
      <c r="R357" s="177">
        <f t="shared" si="126"/>
        <v>0.59919629960537979</v>
      </c>
      <c r="S357" s="810">
        <f t="shared" si="127"/>
        <v>-1</v>
      </c>
      <c r="T357" s="176">
        <f t="shared" si="128"/>
        <v>5</v>
      </c>
      <c r="U357" s="251">
        <f t="shared" si="129"/>
        <v>-0.40080370039462021</v>
      </c>
      <c r="V357" s="383">
        <f t="shared" si="130"/>
        <v>16.916265239898426</v>
      </c>
      <c r="W357" s="402"/>
      <c r="X357" s="157">
        <f t="shared" si="131"/>
        <v>44173</v>
      </c>
      <c r="Y357" s="385">
        <f t="shared" si="132"/>
        <v>7.8029999999999999</v>
      </c>
      <c r="Z357" s="385">
        <f t="shared" si="133"/>
        <v>7.9607400320746899</v>
      </c>
      <c r="AA357" s="386">
        <f t="shared" si="134"/>
        <v>8.8855138157888938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0.10407656809569646</v>
      </c>
      <c r="AD357" s="231">
        <f>(INDEX(Models!$BJ357:$BT357,,AH357)*(1-AF357)+INDEX(Models!$BJ357:$BT357,,AH357+1)*AF357-ERP_i)*AE357*Ramure*Pc/MaxiM</f>
        <v>5.8793579677031231E-4</v>
      </c>
      <c r="AE357" s="305">
        <f t="shared" si="136"/>
        <v>0.7</v>
      </c>
      <c r="AF357" s="177">
        <f t="shared" si="137"/>
        <v>0.59919629960537979</v>
      </c>
      <c r="AG357" s="810">
        <f t="shared" si="143"/>
        <v>-1</v>
      </c>
      <c r="AH357" s="176">
        <f t="shared" si="138"/>
        <v>5</v>
      </c>
      <c r="AI357" s="225">
        <f t="shared" si="139"/>
        <v>-0.40080370039462021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6">
        <v>7.6120000000000001</v>
      </c>
      <c r="C358" s="390"/>
      <c r="D358" s="393">
        <f t="shared" si="122"/>
        <v>7.7660596361976539</v>
      </c>
      <c r="E358" s="385">
        <f t="shared" si="120"/>
        <v>8.6687024641602903</v>
      </c>
      <c r="F358" s="385">
        <f t="shared" si="123"/>
        <v>8.6697955472645756</v>
      </c>
      <c r="G358" s="110">
        <f t="shared" si="121"/>
        <v>0.45155185145507498</v>
      </c>
      <c r="H358" s="414" t="b">
        <f>Wh_hp&gt;='2019'!Maxi_hp</f>
        <v>0</v>
      </c>
      <c r="I358" s="380">
        <f>IF(H358,Wh_hp,'2019'!Maxi_hp)</f>
        <v>16.477677553533571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1.983755513279617E-2</v>
      </c>
      <c r="M358" s="844"/>
      <c r="N358" s="844"/>
      <c r="O358" s="48">
        <f>IF(t&lt;Tnet,'2019'!Resal+('2019'!Salim-'2019'!Resal)*(1-EXP(('2019'!Tnet-t)/('2019'!Tau_j))),Resal+(Salim-Resal)*(1-EXP((Tnet-t)/(Tau_j))))*Salcycl</f>
        <v>0.10412663621741604</v>
      </c>
      <c r="P358" s="169">
        <f>(INDEX(Models!$BJ358:$BT358,,T358)*(1-R358)+INDEX(Models!$BJ358:$BT358,,T358+1)*R358-ERP_i)*Q358*Ramure*Pc/MaxiM</f>
        <v>5.8155633911951079E-4</v>
      </c>
      <c r="Q358" s="305">
        <f t="shared" si="125"/>
        <v>0.7</v>
      </c>
      <c r="R358" s="177">
        <f t="shared" si="126"/>
        <v>0.59920539764589542</v>
      </c>
      <c r="S358" s="810">
        <f t="shared" si="127"/>
        <v>-1</v>
      </c>
      <c r="T358" s="176">
        <f t="shared" si="128"/>
        <v>5</v>
      </c>
      <c r="U358" s="251">
        <f t="shared" si="129"/>
        <v>-0.40079460235410458</v>
      </c>
      <c r="V358" s="383">
        <f t="shared" si="130"/>
        <v>16.849742611534868</v>
      </c>
      <c r="W358" s="402"/>
      <c r="X358" s="157">
        <f t="shared" si="131"/>
        <v>44174</v>
      </c>
      <c r="Y358" s="385">
        <f t="shared" si="132"/>
        <v>7.6120000000000001</v>
      </c>
      <c r="Z358" s="385">
        <f t="shared" si="133"/>
        <v>7.7660596361976539</v>
      </c>
      <c r="AA358" s="386">
        <f t="shared" si="134"/>
        <v>8.6687024641602903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0.10412663621741604</v>
      </c>
      <c r="AD358" s="231">
        <f>(INDEX(Models!$BJ358:$BT358,,AH358)*(1-AF358)+INDEX(Models!$BJ358:$BT358,,AH358+1)*AF358-ERP_i)*AE358*Ramure*Pc/MaxiM</f>
        <v>5.8155633911951079E-4</v>
      </c>
      <c r="AE358" s="305">
        <f t="shared" si="136"/>
        <v>0.7</v>
      </c>
      <c r="AF358" s="177">
        <f t="shared" si="137"/>
        <v>0.59920539764589542</v>
      </c>
      <c r="AG358" s="810">
        <f t="shared" si="143"/>
        <v>-1</v>
      </c>
      <c r="AH358" s="176">
        <f t="shared" si="138"/>
        <v>5</v>
      </c>
      <c r="AI358" s="225">
        <f t="shared" si="139"/>
        <v>-0.40079460235410458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6">
        <v>4.0549999999999997</v>
      </c>
      <c r="C359" s="390"/>
      <c r="D359" s="393">
        <f t="shared" si="122"/>
        <v>4.1371656190310917</v>
      </c>
      <c r="E359" s="385">
        <f t="shared" si="120"/>
        <v>4.6182901563904268</v>
      </c>
      <c r="F359" s="385">
        <f t="shared" si="123"/>
        <v>4.6182901563904268</v>
      </c>
      <c r="G359" s="110">
        <f t="shared" si="121"/>
        <v>0.2412935735989391</v>
      </c>
      <c r="H359" s="414" t="b">
        <f>Wh_hp&gt;='2019'!Maxi_hp</f>
        <v>0</v>
      </c>
      <c r="I359" s="380">
        <f>IF(H359,Wh_hp,'2019'!Maxi_hp)</f>
        <v>16.479573454056037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1.9860364944813358E-2</v>
      </c>
      <c r="M359" s="844"/>
      <c r="N359" s="844"/>
      <c r="O359" s="48">
        <f>IF(t&lt;Tnet,'2019'!Resal+('2019'!Salim-'2019'!Resal)*(1-EXP(('2019'!Tnet-t)/('2019'!Tau_j))),Resal+(Salim-Resal)*(1-EXP((Tnet-t)/(Tau_j))))*Salcycl</f>
        <v>0.1041780661385238</v>
      </c>
      <c r="P359" s="169">
        <f>(INDEX(Models!$BJ359:$BT359,,T359)*(1-R359)+INDEX(Models!$BJ359:$BT359,,T359+1)*R359-ERP_i)*Q359*Ramure*Pc/MaxiM</f>
        <v>5.7576191656642621E-4</v>
      </c>
      <c r="Q359" s="305">
        <f t="shared" si="125"/>
        <v>0.7</v>
      </c>
      <c r="R359" s="177">
        <f t="shared" si="126"/>
        <v>0.59921412976164845</v>
      </c>
      <c r="S359" s="810">
        <f t="shared" si="127"/>
        <v>-1</v>
      </c>
      <c r="T359" s="176">
        <f t="shared" si="128"/>
        <v>5</v>
      </c>
      <c r="U359" s="251">
        <f t="shared" si="129"/>
        <v>-0.40078587023835149</v>
      </c>
      <c r="V359" s="383">
        <f t="shared" si="130"/>
        <v>16.795579032553817</v>
      </c>
      <c r="W359" s="402"/>
      <c r="X359" s="157">
        <f t="shared" si="131"/>
        <v>44175</v>
      </c>
      <c r="Y359" s="385">
        <f t="shared" si="132"/>
        <v>4.0549999999999997</v>
      </c>
      <c r="Z359" s="385">
        <f t="shared" si="133"/>
        <v>4.1371656190310917</v>
      </c>
      <c r="AA359" s="386">
        <f t="shared" si="134"/>
        <v>4.6182901563904268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0.1041780661385238</v>
      </c>
      <c r="AD359" s="231">
        <f>(INDEX(Models!$BJ359:$BT359,,AH359)*(1-AF359)+INDEX(Models!$BJ359:$BT359,,AH359+1)*AF359-ERP_i)*AE359*Ramure*Pc/MaxiM</f>
        <v>5.7576191656642621E-4</v>
      </c>
      <c r="AE359" s="305">
        <f t="shared" si="136"/>
        <v>0.7</v>
      </c>
      <c r="AF359" s="177">
        <f t="shared" si="137"/>
        <v>0.59921412976164845</v>
      </c>
      <c r="AG359" s="810">
        <f t="shared" si="143"/>
        <v>-1</v>
      </c>
      <c r="AH359" s="176">
        <f t="shared" si="138"/>
        <v>5</v>
      </c>
      <c r="AI359" s="225">
        <f t="shared" si="139"/>
        <v>-0.40078587023835149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6">
        <v>5.4960000000000004</v>
      </c>
      <c r="C360" s="390"/>
      <c r="D360" s="393">
        <f t="shared" si="122"/>
        <v>5.6074947960003358</v>
      </c>
      <c r="E360" s="385">
        <f t="shared" si="120"/>
        <v>6.2599772361115917</v>
      </c>
      <c r="F360" s="385">
        <f t="shared" si="123"/>
        <v>6.2601203065900508</v>
      </c>
      <c r="G360" s="110">
        <f t="shared" si="121"/>
        <v>0.32785984284267655</v>
      </c>
      <c r="H360" s="414" t="b">
        <f>Wh_hp&gt;='2019'!Maxi_hp</f>
        <v>1</v>
      </c>
      <c r="I360" s="380">
        <f>IF(H360,Wh_hp,'2019'!Maxi_hp)</f>
        <v>6.2601203065900508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1.9883174226012934E-2</v>
      </c>
      <c r="M360" s="844"/>
      <c r="N360" s="844"/>
      <c r="O360" s="48">
        <f>IF(t&lt;Tnet,'2019'!Resal+('2019'!Salim-'2019'!Resal)*(1-EXP(('2019'!Tnet-t)/('2019'!Tau_j))),Resal+(Salim-Resal)*(1-EXP((Tnet-t)/(Tau_j))))*Salcycl</f>
        <v>0.10423080076830253</v>
      </c>
      <c r="P360" s="169">
        <f>(INDEX(Models!$BJ360:$BT360,,T360)*(1-R360)+INDEX(Models!$BJ360:$BT360,,T360+1)*R360-ERP_i)*Q360*Ramure*Pc/MaxiM</f>
        <v>5.7055158846064239E-4</v>
      </c>
      <c r="Q360" s="305">
        <f t="shared" si="125"/>
        <v>0.7</v>
      </c>
      <c r="R360" s="177">
        <f t="shared" si="126"/>
        <v>0.59922251065518028</v>
      </c>
      <c r="S360" s="810">
        <f t="shared" si="127"/>
        <v>-1</v>
      </c>
      <c r="T360" s="176">
        <f t="shared" si="128"/>
        <v>5</v>
      </c>
      <c r="U360" s="251">
        <f t="shared" si="129"/>
        <v>-0.40077748934481972</v>
      </c>
      <c r="V360" s="383">
        <f t="shared" si="130"/>
        <v>16.754079240427799</v>
      </c>
      <c r="W360" s="402"/>
      <c r="X360" s="157">
        <f t="shared" si="131"/>
        <v>44176</v>
      </c>
      <c r="Y360" s="385">
        <f t="shared" si="132"/>
        <v>5.4960000000000004</v>
      </c>
      <c r="Z360" s="385">
        <f t="shared" si="133"/>
        <v>5.6074947960003358</v>
      </c>
      <c r="AA360" s="386">
        <f t="shared" si="134"/>
        <v>6.2599772361115917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0.10423080076830253</v>
      </c>
      <c r="AD360" s="231">
        <f>(INDEX(Models!$BJ360:$BT360,,AH360)*(1-AF360)+INDEX(Models!$BJ360:$BT360,,AH360+1)*AF360-ERP_i)*AE360*Ramure*Pc/MaxiM</f>
        <v>5.7055158846064239E-4</v>
      </c>
      <c r="AE360" s="305">
        <f t="shared" si="136"/>
        <v>0.7</v>
      </c>
      <c r="AF360" s="177">
        <f t="shared" si="137"/>
        <v>0.59922251065518028</v>
      </c>
      <c r="AG360" s="810">
        <f t="shared" si="143"/>
        <v>-1</v>
      </c>
      <c r="AH360" s="176">
        <f t="shared" si="138"/>
        <v>5</v>
      </c>
      <c r="AI360" s="225">
        <f t="shared" si="139"/>
        <v>-0.40077748934481972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6">
        <v>8.9890000000000008</v>
      </c>
      <c r="C361" s="390"/>
      <c r="D361" s="393">
        <f t="shared" si="122"/>
        <v>9.1715690983384697</v>
      </c>
      <c r="E361" s="385">
        <f t="shared" ref="E361:E380" si="144">Wh_pvt/(1-Psa)</f>
        <v>10.239380667297622</v>
      </c>
      <c r="F361" s="385">
        <f t="shared" si="123"/>
        <v>10.241346253821597</v>
      </c>
      <c r="G361" s="110">
        <f t="shared" ref="G361:G380" si="145">+Wh_hp/MaxiM</f>
        <v>0.53727889320921285</v>
      </c>
      <c r="H361" s="414" t="b">
        <f>Wh_hp&gt;='2019'!Maxi_hp</f>
        <v>1</v>
      </c>
      <c r="I361" s="380">
        <f>IF(H361,Wh_hp,'2019'!Maxi_hp)</f>
        <v>10.241346253821597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1.9905982976407222E-2</v>
      </c>
      <c r="M361" s="844"/>
      <c r="N361" s="844"/>
      <c r="O361" s="48">
        <f>IF(t&lt;Tnet,'2019'!Resal+('2019'!Salim-'2019'!Resal)*(1-EXP(('2019'!Tnet-t)/('2019'!Tau_j))),Resal+(Salim-Resal)*(1-EXP((Tnet-t)/(Tau_j))))*Salcycl</f>
        <v>0.10428478085295843</v>
      </c>
      <c r="P361" s="169">
        <f>(INDEX(Models!$BJ361:$BT361,,T361)*(1-R361)+INDEX(Models!$BJ361:$BT361,,T361+1)*R361-ERP_i)*Q361*Ramure*Pc/MaxiM</f>
        <v>5.6572634774983729E-4</v>
      </c>
      <c r="Q361" s="305">
        <f t="shared" si="125"/>
        <v>0.7</v>
      </c>
      <c r="R361" s="177">
        <f t="shared" si="126"/>
        <v>0.59923055443948103</v>
      </c>
      <c r="S361" s="810">
        <f t="shared" si="127"/>
        <v>-1</v>
      </c>
      <c r="T361" s="176">
        <f t="shared" si="128"/>
        <v>5</v>
      </c>
      <c r="U361" s="251">
        <f t="shared" si="129"/>
        <v>-0.40076944556051897</v>
      </c>
      <c r="V361" s="383">
        <f t="shared" si="130"/>
        <v>16.724348159611299</v>
      </c>
      <c r="W361" s="402"/>
      <c r="X361" s="157">
        <f t="shared" si="131"/>
        <v>44177</v>
      </c>
      <c r="Y361" s="385">
        <f t="shared" si="132"/>
        <v>8.9890000000000008</v>
      </c>
      <c r="Z361" s="385">
        <f t="shared" si="133"/>
        <v>9.1715690983384697</v>
      </c>
      <c r="AA361" s="386">
        <f t="shared" si="134"/>
        <v>10.239380667297622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0.10428478085295843</v>
      </c>
      <c r="AD361" s="231">
        <f>(INDEX(Models!$BJ361:$BT361,,AH361)*(1-AF361)+INDEX(Models!$BJ361:$BT361,,AH361+1)*AF361-ERP_i)*AE361*Ramure*Pc/MaxiM</f>
        <v>5.6572634774983729E-4</v>
      </c>
      <c r="AE361" s="305">
        <f t="shared" si="136"/>
        <v>0.7</v>
      </c>
      <c r="AF361" s="177">
        <f t="shared" si="137"/>
        <v>0.59923055443948103</v>
      </c>
      <c r="AG361" s="810">
        <f t="shared" si="143"/>
        <v>-1</v>
      </c>
      <c r="AH361" s="176">
        <f t="shared" si="138"/>
        <v>5</v>
      </c>
      <c r="AI361" s="225">
        <f t="shared" si="139"/>
        <v>-0.40076944556051897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6">
        <v>8.0169999999999995</v>
      </c>
      <c r="C362" s="390"/>
      <c r="D362" s="393">
        <f t="shared" si="122"/>
        <v>8.1800178680724347</v>
      </c>
      <c r="E362" s="385">
        <f t="shared" si="144"/>
        <v>9.1329492993344363</v>
      </c>
      <c r="F362" s="385">
        <f t="shared" si="123"/>
        <v>9.1342670222760862</v>
      </c>
      <c r="G362" s="110">
        <f t="shared" si="145"/>
        <v>0.47970202711209853</v>
      </c>
      <c r="H362" s="414" t="b">
        <f>Wh_hp&gt;='2019'!Maxi_hp</f>
        <v>0</v>
      </c>
      <c r="I362" s="380">
        <f>IF(H362,Wh_hp,'2019'!Maxi_hp)</f>
        <v>16.073520795364072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1.9928791196008655E-2</v>
      </c>
      <c r="M362" s="844"/>
      <c r="N362" s="844"/>
      <c r="O362" s="48">
        <f>IF(t&lt;Tnet,'2019'!Resal+('2019'!Salim-'2019'!Resal)*(1-EXP(('2019'!Tnet-t)/('2019'!Tau_j))),Resal+(Salim-Resal)*(1-EXP((Tnet-t)/(Tau_j))))*Salcycl</f>
        <v>0.10433994540311819</v>
      </c>
      <c r="P362" s="169">
        <f>(INDEX(Models!$BJ362:$BT362,,T362)*(1-R362)+INDEX(Models!$BJ362:$BT362,,T362+1)*R362-ERP_i)*Q362*Ramure*Pc/MaxiM</f>
        <v>5.6132186502165342E-4</v>
      </c>
      <c r="Q362" s="305">
        <f t="shared" si="125"/>
        <v>0.7</v>
      </c>
      <c r="R362" s="177">
        <f t="shared" si="126"/>
        <v>0.59923827466153645</v>
      </c>
      <c r="S362" s="810">
        <f t="shared" si="127"/>
        <v>-1</v>
      </c>
      <c r="T362" s="176">
        <f t="shared" si="128"/>
        <v>5</v>
      </c>
      <c r="U362" s="251">
        <f t="shared" si="129"/>
        <v>-0.40076172533846355</v>
      </c>
      <c r="V362" s="383">
        <f t="shared" si="130"/>
        <v>16.705486930654324</v>
      </c>
      <c r="W362" s="402"/>
      <c r="X362" s="157">
        <f t="shared" si="131"/>
        <v>44178</v>
      </c>
      <c r="Y362" s="385">
        <f t="shared" si="132"/>
        <v>8.0169999999999995</v>
      </c>
      <c r="Z362" s="385">
        <f t="shared" si="133"/>
        <v>8.1800178680724347</v>
      </c>
      <c r="AA362" s="386">
        <f t="shared" si="134"/>
        <v>9.1329492993344363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0.10433994540311819</v>
      </c>
      <c r="AD362" s="231">
        <f>(INDEX(Models!$BJ362:$BT362,,AH362)*(1-AF362)+INDEX(Models!$BJ362:$BT362,,AH362+1)*AF362-ERP_i)*AE362*Ramure*Pc/MaxiM</f>
        <v>5.6132186502165342E-4</v>
      </c>
      <c r="AE362" s="305">
        <f t="shared" si="136"/>
        <v>0.7</v>
      </c>
      <c r="AF362" s="177">
        <f t="shared" si="137"/>
        <v>0.59923827466153645</v>
      </c>
      <c r="AG362" s="810">
        <f t="shared" si="143"/>
        <v>-1</v>
      </c>
      <c r="AH362" s="176">
        <f t="shared" si="138"/>
        <v>5</v>
      </c>
      <c r="AI362" s="225">
        <f t="shared" si="139"/>
        <v>-0.40076172533846355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6">
        <v>3.3839999999999999</v>
      </c>
      <c r="C363" s="390"/>
      <c r="D363" s="393">
        <f t="shared" si="122"/>
        <v>3.4528906900408565</v>
      </c>
      <c r="E363" s="385">
        <f t="shared" si="144"/>
        <v>3.8553775831197661</v>
      </c>
      <c r="F363" s="385">
        <f t="shared" si="123"/>
        <v>3.8553775831197661</v>
      </c>
      <c r="G363" s="110">
        <f t="shared" si="145"/>
        <v>0.20256306531492907</v>
      </c>
      <c r="H363" s="414" t="b">
        <f>Wh_hp&gt;='2019'!Maxi_hp</f>
        <v>0</v>
      </c>
      <c r="I363" s="380">
        <f>IF(H363,Wh_hp,'2019'!Maxi_hp)</f>
        <v>18.722199127908961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1.9951598884829336E-2</v>
      </c>
      <c r="M363" s="844"/>
      <c r="N363" s="844"/>
      <c r="O363" s="48">
        <f>IF(t&lt;Tnet,'2019'!Resal+('2019'!Salim-'2019'!Resal)*(1-EXP(('2019'!Tnet-t)/('2019'!Tau_j))),Resal+(Salim-Resal)*(1-EXP((Tnet-t)/(Tau_j))))*Salcycl</f>
        <v>0.10439623212033562</v>
      </c>
      <c r="P363" s="169">
        <f>(INDEX(Models!$BJ363:$BT363,,T363)*(1-R363)+INDEX(Models!$BJ363:$BT363,,T363+1)*R363-ERP_i)*Q363*Ramure*Pc/MaxiM</f>
        <v>5.5737188015740017E-4</v>
      </c>
      <c r="Q363" s="305">
        <f t="shared" si="125"/>
        <v>0.7</v>
      </c>
      <c r="R363" s="177">
        <f t="shared" si="126"/>
        <v>0.59924568432494163</v>
      </c>
      <c r="S363" s="810">
        <f t="shared" si="127"/>
        <v>-1</v>
      </c>
      <c r="T363" s="176">
        <f t="shared" si="128"/>
        <v>5</v>
      </c>
      <c r="U363" s="251">
        <f t="shared" si="129"/>
        <v>-0.40075431567505831</v>
      </c>
      <c r="V363" s="383">
        <f t="shared" si="130"/>
        <v>16.696596925502206</v>
      </c>
      <c r="W363" s="402"/>
      <c r="X363" s="157">
        <f t="shared" si="131"/>
        <v>44179</v>
      </c>
      <c r="Y363" s="385">
        <f t="shared" si="132"/>
        <v>3.3839999999999999</v>
      </c>
      <c r="Z363" s="385">
        <f t="shared" si="133"/>
        <v>3.4528906900408565</v>
      </c>
      <c r="AA363" s="386">
        <f t="shared" si="134"/>
        <v>3.8553775831197661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0.10439623212033562</v>
      </c>
      <c r="AD363" s="231">
        <f>(INDEX(Models!$BJ363:$BT363,,AH363)*(1-AF363)+INDEX(Models!$BJ363:$BT363,,AH363+1)*AF363-ERP_i)*AE363*Ramure*Pc/MaxiM</f>
        <v>5.5737188015740017E-4</v>
      </c>
      <c r="AE363" s="305">
        <f t="shared" si="136"/>
        <v>0.7</v>
      </c>
      <c r="AF363" s="177">
        <f t="shared" si="137"/>
        <v>0.59924568432494163</v>
      </c>
      <c r="AG363" s="810">
        <f t="shared" si="143"/>
        <v>-1</v>
      </c>
      <c r="AH363" s="176">
        <f t="shared" si="138"/>
        <v>5</v>
      </c>
      <c r="AI363" s="225">
        <f t="shared" si="139"/>
        <v>-0.40075431567505831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6">
        <v>2.2450000000000001</v>
      </c>
      <c r="C364" s="390"/>
      <c r="D364" s="393">
        <f t="shared" si="122"/>
        <v>2.2907565004860801</v>
      </c>
      <c r="E364" s="385">
        <f t="shared" si="144"/>
        <v>2.5579427752143724</v>
      </c>
      <c r="F364" s="385">
        <f t="shared" si="123"/>
        <v>2.5579427752143724</v>
      </c>
      <c r="G364" s="110">
        <f t="shared" si="145"/>
        <v>0.13438258811422996</v>
      </c>
      <c r="H364" s="414" t="b">
        <f>Wh_hp&gt;='2019'!Maxi_hp</f>
        <v>0</v>
      </c>
      <c r="I364" s="380">
        <f>IF(H364,Wh_hp,'2019'!Maxi_hp)</f>
        <v>12.704413721310386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1.997440604288192E-2</v>
      </c>
      <c r="M364" s="844"/>
      <c r="N364" s="844"/>
      <c r="O364" s="48">
        <f>IF(t&lt;Tnet,'2019'!Resal+('2019'!Salim-'2019'!Resal)*(1-EXP(('2019'!Tnet-t)/('2019'!Tau_j))),Resal+(Salim-Resal)*(1-EXP((Tnet-t)/(Tau_j))))*Salcycl</f>
        <v>0.10445357781934754</v>
      </c>
      <c r="P364" s="169">
        <f>(INDEX(Models!$BJ364:$BT364,,T364)*(1-R364)+INDEX(Models!$BJ364:$BT364,,T364+1)*R364-ERP_i)*Q364*Ramure*Pc/MaxiM</f>
        <v>5.5390821466294268E-4</v>
      </c>
      <c r="Q364" s="305">
        <f t="shared" si="125"/>
        <v>0.7</v>
      </c>
      <c r="R364" s="177">
        <f t="shared" si="126"/>
        <v>0.59925279591161784</v>
      </c>
      <c r="S364" s="810">
        <f t="shared" si="127"/>
        <v>-1</v>
      </c>
      <c r="T364" s="176">
        <f t="shared" si="128"/>
        <v>5</v>
      </c>
      <c r="U364" s="251">
        <f t="shared" si="129"/>
        <v>-0.40074720408838216</v>
      </c>
      <c r="V364" s="383">
        <f t="shared" si="130"/>
        <v>16.696779750593951</v>
      </c>
      <c r="W364" s="402"/>
      <c r="X364" s="157">
        <f t="shared" si="131"/>
        <v>44180</v>
      </c>
      <c r="Y364" s="385">
        <f t="shared" si="132"/>
        <v>2.2450000000000001</v>
      </c>
      <c r="Z364" s="385">
        <f t="shared" si="133"/>
        <v>2.2907565004860801</v>
      </c>
      <c r="AA364" s="386">
        <f t="shared" si="134"/>
        <v>2.5579427752143724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0.10445357781934754</v>
      </c>
      <c r="AD364" s="231">
        <f>(INDEX(Models!$BJ364:$BT364,,AH364)*(1-AF364)+INDEX(Models!$BJ364:$BT364,,AH364+1)*AF364-ERP_i)*AE364*Ramure*Pc/MaxiM</f>
        <v>5.5390821466294268E-4</v>
      </c>
      <c r="AE364" s="305">
        <f t="shared" si="136"/>
        <v>0.7</v>
      </c>
      <c r="AF364" s="177">
        <f t="shared" si="137"/>
        <v>0.59925279591161784</v>
      </c>
      <c r="AG364" s="810">
        <f t="shared" si="143"/>
        <v>-1</v>
      </c>
      <c r="AH364" s="176">
        <f t="shared" si="138"/>
        <v>5</v>
      </c>
      <c r="AI364" s="225">
        <f t="shared" si="139"/>
        <v>-0.40074720408838216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6">
        <v>11.092000000000001</v>
      </c>
      <c r="C365" s="390"/>
      <c r="D365" s="393">
        <f t="shared" si="122"/>
        <v>11.318335155170299</v>
      </c>
      <c r="E365" s="385">
        <f t="shared" si="144"/>
        <v>12.639291793303855</v>
      </c>
      <c r="F365" s="385">
        <f t="shared" si="123"/>
        <v>12.642913857718339</v>
      </c>
      <c r="G365" s="110">
        <f t="shared" si="145"/>
        <v>0.6638117048700326</v>
      </c>
      <c r="H365" s="414" t="b">
        <f>Wh_hp&gt;='2019'!Maxi_hp</f>
        <v>0</v>
      </c>
      <c r="I365" s="380">
        <f>IF(H365,Wh_hp,'2019'!Maxi_hp)</f>
        <v>14.903195959899517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1.999721267017851E-2</v>
      </c>
      <c r="M365" s="844"/>
      <c r="N365" s="844"/>
      <c r="O365" s="48">
        <f>IF(t&lt;Tnet,'2019'!Resal+('2019'!Salim-'2019'!Resal)*(1-EXP(('2019'!Tnet-t)/('2019'!Tau_j))),Resal+(Salim-Resal)*(1-EXP((Tnet-t)/(Tau_j))))*Salcycl</f>
        <v>0.10451191884290405</v>
      </c>
      <c r="P365" s="169">
        <f>(INDEX(Models!$BJ365:$BT365,,T365)*(1-R365)+INDEX(Models!$BJ365:$BT365,,T365+1)*R365-ERP_i)*Q365*Ramure*Pc/MaxiM</f>
        <v>5.5096083403785383E-4</v>
      </c>
      <c r="Q365" s="305">
        <f t="shared" si="125"/>
        <v>0.7</v>
      </c>
      <c r="R365" s="177">
        <f t="shared" si="126"/>
        <v>0.59925962140266775</v>
      </c>
      <c r="S365" s="810">
        <f t="shared" si="127"/>
        <v>-1</v>
      </c>
      <c r="T365" s="176">
        <f t="shared" si="128"/>
        <v>5</v>
      </c>
      <c r="U365" s="251">
        <f t="shared" si="129"/>
        <v>-0.40074037859733219</v>
      </c>
      <c r="V365" s="383">
        <f t="shared" si="130"/>
        <v>16.705137261068391</v>
      </c>
      <c r="W365" s="402"/>
      <c r="X365" s="157">
        <f t="shared" si="131"/>
        <v>44181</v>
      </c>
      <c r="Y365" s="385">
        <f t="shared" si="132"/>
        <v>11.092000000000001</v>
      </c>
      <c r="Z365" s="385">
        <f t="shared" si="133"/>
        <v>11.318335155170299</v>
      </c>
      <c r="AA365" s="386">
        <f t="shared" si="134"/>
        <v>12.639291793303855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0.10451191884290405</v>
      </c>
      <c r="AD365" s="231">
        <f>(INDEX(Models!$BJ365:$BT365,,AH365)*(1-AF365)+INDEX(Models!$BJ365:$BT365,,AH365+1)*AF365-ERP_i)*AE365*Ramure*Pc/MaxiM</f>
        <v>5.5096083403785383E-4</v>
      </c>
      <c r="AE365" s="305">
        <f t="shared" si="136"/>
        <v>0.7</v>
      </c>
      <c r="AF365" s="177">
        <f t="shared" si="137"/>
        <v>0.59925962140266775</v>
      </c>
      <c r="AG365" s="810">
        <f t="shared" si="143"/>
        <v>-1</v>
      </c>
      <c r="AH365" s="176">
        <f t="shared" si="138"/>
        <v>5</v>
      </c>
      <c r="AI365" s="225">
        <f t="shared" si="139"/>
        <v>-0.40074037859733219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6">
        <v>8.0519999999999996</v>
      </c>
      <c r="C366" s="390"/>
      <c r="D366" s="393">
        <f t="shared" si="122"/>
        <v>8.2164943715144627</v>
      </c>
      <c r="E366" s="385">
        <f t="shared" si="144"/>
        <v>9.176044251879194</v>
      </c>
      <c r="F366" s="385">
        <f t="shared" si="123"/>
        <v>9.1773503417161795</v>
      </c>
      <c r="G366" s="110">
        <f t="shared" si="145"/>
        <v>0.4813610693424254</v>
      </c>
      <c r="H366" s="414" t="b">
        <f>Wh_hp&gt;='2019'!Maxi_hp</f>
        <v>0</v>
      </c>
      <c r="I366" s="380">
        <f>IF(H366,Wh_hp,'2019'!Maxi_hp)</f>
        <v>15.865601395805921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2.002001876673154E-2</v>
      </c>
      <c r="M366" s="844"/>
      <c r="N366" s="844"/>
      <c r="O366" s="48">
        <f>IF(t&lt;Tnet,'2019'!Resal+('2019'!Salim-'2019'!Resal)*(1-EXP(('2019'!Tnet-t)/('2019'!Tau_j))),Resal+(Salim-Resal)*(1-EXP((Tnet-t)/(Tau_j))))*Salcycl</f>
        <v>0.10457119146610713</v>
      </c>
      <c r="P366" s="169">
        <f>(INDEX(Models!$BJ366:$BT366,,T366)*(1-R366)+INDEX(Models!$BJ366:$BT366,,T366+1)*R366-ERP_i)*Q366*Ramure*Pc/MaxiM</f>
        <v>5.4870796579096234E-4</v>
      </c>
      <c r="Q366" s="305">
        <f t="shared" si="125"/>
        <v>0.7</v>
      </c>
      <c r="R366" s="177">
        <f t="shared" si="126"/>
        <v>0.59926617229840318</v>
      </c>
      <c r="S366" s="810">
        <f t="shared" si="127"/>
        <v>-1</v>
      </c>
      <c r="T366" s="176">
        <f t="shared" si="128"/>
        <v>5</v>
      </c>
      <c r="U366" s="251">
        <f t="shared" si="129"/>
        <v>-0.40073382770159677</v>
      </c>
      <c r="V366" s="383">
        <f t="shared" si="130"/>
        <v>16.720769052693058</v>
      </c>
      <c r="W366" s="402"/>
      <c r="X366" s="157">
        <f t="shared" si="131"/>
        <v>44182</v>
      </c>
      <c r="Y366" s="385">
        <f t="shared" si="132"/>
        <v>8.0519999999999996</v>
      </c>
      <c r="Z366" s="385">
        <f t="shared" si="133"/>
        <v>8.2164943715144627</v>
      </c>
      <c r="AA366" s="386">
        <f t="shared" si="134"/>
        <v>9.176044251879194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0.10457119146610713</v>
      </c>
      <c r="AD366" s="231">
        <f>(INDEX(Models!$BJ366:$BT366,,AH366)*(1-AF366)+INDEX(Models!$BJ366:$BT366,,AH366+1)*AF366-ERP_i)*AE366*Ramure*Pc/MaxiM</f>
        <v>5.4870796579096234E-4</v>
      </c>
      <c r="AE366" s="305">
        <f t="shared" si="136"/>
        <v>0.7</v>
      </c>
      <c r="AF366" s="177">
        <f t="shared" si="137"/>
        <v>0.59926617229840318</v>
      </c>
      <c r="AG366" s="810">
        <f t="shared" si="143"/>
        <v>-1</v>
      </c>
      <c r="AH366" s="176">
        <f t="shared" si="138"/>
        <v>5</v>
      </c>
      <c r="AI366" s="225">
        <f t="shared" si="139"/>
        <v>-0.40073382770159677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6">
        <v>9.702</v>
      </c>
      <c r="C367" s="390"/>
      <c r="D367" s="393">
        <f t="shared" si="122"/>
        <v>9.9004326320606726</v>
      </c>
      <c r="E367" s="385">
        <f t="shared" si="144"/>
        <v>11.057381153790592</v>
      </c>
      <c r="F367" s="385">
        <f t="shared" si="123"/>
        <v>11.059794750236616</v>
      </c>
      <c r="G367" s="110">
        <f t="shared" si="145"/>
        <v>0.579283090228772</v>
      </c>
      <c r="H367" s="414" t="b">
        <f>Wh_hp&gt;='2019'!Maxi_hp</f>
        <v>0</v>
      </c>
      <c r="I367" s="380">
        <f>IF(H367,Wh_hp,'2019'!Maxi_hp)</f>
        <v>17.161974278687861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2.0042824332553444E-2</v>
      </c>
      <c r="M367" s="844"/>
      <c r="N367" s="844"/>
      <c r="O367" s="48">
        <f>IF(t&lt;Tnet,'2019'!Resal+('2019'!Salim-'2019'!Resal)*(1-EXP(('2019'!Tnet-t)/('2019'!Tau_j))),Resal+(Salim-Resal)*(1-EXP((Tnet-t)/(Tau_j))))*Salcycl</f>
        <v>0.1046313322873296</v>
      </c>
      <c r="P367" s="169">
        <f>(INDEX(Models!$BJ367:$BT367,,T367)*(1-R367)+INDEX(Models!$BJ367:$BT367,,T367+1)*R367-ERP_i)*Q367*Ramure*Pc/MaxiM</f>
        <v>5.4660692082562164E-4</v>
      </c>
      <c r="Q367" s="305">
        <f t="shared" si="125"/>
        <v>0.7</v>
      </c>
      <c r="R367" s="177">
        <f t="shared" si="126"/>
        <v>0.59927245963757625</v>
      </c>
      <c r="S367" s="810">
        <f t="shared" si="127"/>
        <v>-1</v>
      </c>
      <c r="T367" s="176">
        <f t="shared" si="128"/>
        <v>5</v>
      </c>
      <c r="U367" s="251">
        <f t="shared" si="129"/>
        <v>-0.40072754036242381</v>
      </c>
      <c r="V367" s="383">
        <f t="shared" si="130"/>
        <v>16.742787025192698</v>
      </c>
      <c r="W367" s="402"/>
      <c r="X367" s="157">
        <f t="shared" si="131"/>
        <v>44183</v>
      </c>
      <c r="Y367" s="385">
        <f t="shared" si="132"/>
        <v>9.702</v>
      </c>
      <c r="Z367" s="385">
        <f t="shared" si="133"/>
        <v>9.9004326320606726</v>
      </c>
      <c r="AA367" s="386">
        <f t="shared" si="134"/>
        <v>11.057381153790592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0.1046313322873296</v>
      </c>
      <c r="AD367" s="231">
        <f>(INDEX(Models!$BJ367:$BT367,,AH367)*(1-AF367)+INDEX(Models!$BJ367:$BT367,,AH367+1)*AF367-ERP_i)*AE367*Ramure*Pc/MaxiM</f>
        <v>5.4660692082562164E-4</v>
      </c>
      <c r="AE367" s="305">
        <f t="shared" si="136"/>
        <v>0.7</v>
      </c>
      <c r="AF367" s="177">
        <f t="shared" si="137"/>
        <v>0.59927245963757625</v>
      </c>
      <c r="AG367" s="810">
        <f t="shared" si="143"/>
        <v>-1</v>
      </c>
      <c r="AH367" s="176">
        <f t="shared" si="138"/>
        <v>5</v>
      </c>
      <c r="AI367" s="225">
        <f t="shared" si="139"/>
        <v>-0.40072754036242381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6">
        <v>7.6150000000000002</v>
      </c>
      <c r="C368" s="390"/>
      <c r="D368" s="393">
        <f t="shared" si="122"/>
        <v>7.7709285725799209</v>
      </c>
      <c r="E368" s="385">
        <f t="shared" si="144"/>
        <v>8.6796175067651919</v>
      </c>
      <c r="F368" s="385">
        <f t="shared" si="123"/>
        <v>8.680658235970995</v>
      </c>
      <c r="G368" s="110">
        <f t="shared" si="145"/>
        <v>0.45388380704465553</v>
      </c>
      <c r="H368" s="414" t="b">
        <f>Wh_hp&gt;='2019'!Maxi_hp</f>
        <v>0</v>
      </c>
      <c r="I368" s="380">
        <f>IF(H368,Wh_hp,'2019'!Maxi_hp)</f>
        <v>9.1084056250579977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2.0065629367656546E-2</v>
      </c>
      <c r="M368" s="844"/>
      <c r="N368" s="844"/>
      <c r="O368" s="48">
        <f>IF(t&lt;Tnet,'2019'!Resal+('2019'!Salim-'2019'!Resal)*(1-EXP(('2019'!Tnet-t)/('2019'!Tau_j))),Resal+(Salim-Resal)*(1-EXP((Tnet-t)/(Tau_j))))*Salcycl</f>
        <v>0.10469227860294628</v>
      </c>
      <c r="P368" s="169">
        <f>(INDEX(Models!$BJ368:$BT368,,T368)*(1-R368)+INDEX(Models!$BJ368:$BT368,,T368+1)*R368-ERP_i)*Q368*Ramure*Pc/MaxiM</f>
        <v>5.4468585873170515E-4</v>
      </c>
      <c r="Q368" s="305">
        <f t="shared" si="125"/>
        <v>0.7</v>
      </c>
      <c r="R368" s="177">
        <f t="shared" si="126"/>
        <v>0.59927849401584687</v>
      </c>
      <c r="S368" s="810">
        <f t="shared" si="127"/>
        <v>-1</v>
      </c>
      <c r="T368" s="176">
        <f t="shared" si="128"/>
        <v>5</v>
      </c>
      <c r="U368" s="251">
        <f t="shared" si="129"/>
        <v>-0.40072150598415313</v>
      </c>
      <c r="V368" s="383">
        <f t="shared" si="130"/>
        <v>16.770293802046627</v>
      </c>
      <c r="W368" s="402"/>
      <c r="X368" s="157">
        <f t="shared" si="131"/>
        <v>44184</v>
      </c>
      <c r="Y368" s="385">
        <f t="shared" si="132"/>
        <v>7.6150000000000002</v>
      </c>
      <c r="Z368" s="385">
        <f t="shared" si="133"/>
        <v>7.7709285725799209</v>
      </c>
      <c r="AA368" s="386">
        <f t="shared" si="134"/>
        <v>8.6796175067651919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0.10469227860294628</v>
      </c>
      <c r="AD368" s="231">
        <f>(INDEX(Models!$BJ368:$BT368,,AH368)*(1-AF368)+INDEX(Models!$BJ368:$BT368,,AH368+1)*AF368-ERP_i)*AE368*Ramure*Pc/MaxiM</f>
        <v>5.4468585873170515E-4</v>
      </c>
      <c r="AE368" s="305">
        <f t="shared" si="136"/>
        <v>0.7</v>
      </c>
      <c r="AF368" s="177">
        <f t="shared" si="137"/>
        <v>0.59927849401584687</v>
      </c>
      <c r="AG368" s="810">
        <f t="shared" si="143"/>
        <v>-1</v>
      </c>
      <c r="AH368" s="176">
        <f t="shared" si="138"/>
        <v>5</v>
      </c>
      <c r="AI368" s="225">
        <f t="shared" si="139"/>
        <v>-0.40072150598415313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6">
        <v>5.74</v>
      </c>
      <c r="C369" s="390"/>
      <c r="D369" s="393">
        <f t="shared" si="122"/>
        <v>5.8576714454766723</v>
      </c>
      <c r="E369" s="385">
        <f t="shared" si="144"/>
        <v>6.5430856335490271</v>
      </c>
      <c r="F369" s="385">
        <f t="shared" si="123"/>
        <v>6.5432968645318184</v>
      </c>
      <c r="G369" s="110">
        <f t="shared" si="145"/>
        <v>0.3414435543463939</v>
      </c>
      <c r="H369" s="414" t="b">
        <f>Wh_hp&gt;='2019'!Maxi_hp</f>
        <v>0</v>
      </c>
      <c r="I369" s="380">
        <f>IF(H369,Wh_hp,'2019'!Maxi_hp)</f>
        <v>14.984217699680633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2.0088433872053169E-2</v>
      </c>
      <c r="M369" s="844"/>
      <c r="N369" s="844"/>
      <c r="O369" s="48">
        <f>IF(t&lt;Tnet,'2019'!Resal+('2019'!Salim-'2019'!Resal)*(1-EXP(('2019'!Tnet-t)/('2019'!Tau_j))),Resal+(Salim-Resal)*(1-EXP((Tnet-t)/(Tau_j))))*Salcycl</f>
        <v>0.10475396876329438</v>
      </c>
      <c r="P369" s="169">
        <f>(INDEX(Models!$BJ369:$BT369,,T369)*(1-R369)+INDEX(Models!$BJ369:$BT369,,T369+1)*R369-ERP_i)*Q369*Ramure*Pc/MaxiM</f>
        <v>5.4297222057574058E-4</v>
      </c>
      <c r="Q369" s="305">
        <f t="shared" si="125"/>
        <v>0.7</v>
      </c>
      <c r="R369" s="177">
        <f t="shared" si="126"/>
        <v>0.59928428560351643</v>
      </c>
      <c r="S369" s="810">
        <f t="shared" si="127"/>
        <v>-1</v>
      </c>
      <c r="T369" s="176">
        <f t="shared" si="128"/>
        <v>5</v>
      </c>
      <c r="U369" s="251">
        <f t="shared" si="129"/>
        <v>-0.40071571439648357</v>
      </c>
      <c r="V369" s="383">
        <f t="shared" si="130"/>
        <v>16.802392286252093</v>
      </c>
      <c r="W369" s="402"/>
      <c r="X369" s="157">
        <f t="shared" si="131"/>
        <v>44185</v>
      </c>
      <c r="Y369" s="385">
        <f t="shared" si="132"/>
        <v>5.74</v>
      </c>
      <c r="Z369" s="385">
        <f t="shared" si="133"/>
        <v>5.8576714454766723</v>
      </c>
      <c r="AA369" s="386">
        <f t="shared" si="134"/>
        <v>6.5430856335490271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0.10475396876329438</v>
      </c>
      <c r="AD369" s="231">
        <f>(INDEX(Models!$BJ369:$BT369,,AH369)*(1-AF369)+INDEX(Models!$BJ369:$BT369,,AH369+1)*AF369-ERP_i)*AE369*Ramure*Pc/MaxiM</f>
        <v>5.4297222057574058E-4</v>
      </c>
      <c r="AE369" s="305">
        <f t="shared" si="136"/>
        <v>0.7</v>
      </c>
      <c r="AF369" s="177">
        <f t="shared" si="137"/>
        <v>0.59928428560351643</v>
      </c>
      <c r="AG369" s="810">
        <f t="shared" si="143"/>
        <v>-1</v>
      </c>
      <c r="AH369" s="176">
        <f t="shared" si="138"/>
        <v>5</v>
      </c>
      <c r="AI369" s="225">
        <f t="shared" si="139"/>
        <v>-0.40071571439648357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6">
        <v>7.008</v>
      </c>
      <c r="C370" s="390"/>
      <c r="D370" s="393">
        <f t="shared" si="122"/>
        <v>7.151832198374442</v>
      </c>
      <c r="E370" s="385">
        <f t="shared" si="144"/>
        <v>7.9892345425600206</v>
      </c>
      <c r="F370" s="385">
        <f t="shared" si="123"/>
        <v>7.9899527224095719</v>
      </c>
      <c r="G370" s="110">
        <f t="shared" si="145"/>
        <v>0.41600888532484182</v>
      </c>
      <c r="H370" s="414" t="b">
        <f>Wh_hp&gt;='2019'!Maxi_hp</f>
        <v>1</v>
      </c>
      <c r="I370" s="380">
        <f>IF(H370,Wh_hp,'2019'!Maxi_hp)</f>
        <v>7.9899527224095719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2.0111237845755636E-2</v>
      </c>
      <c r="M370" s="844"/>
      <c r="N370" s="844"/>
      <c r="O370" s="48">
        <f>IF(t&lt;Tnet,'2019'!Resal+('2019'!Salim-'2019'!Resal)*(1-EXP(('2019'!Tnet-t)/('2019'!Tau_j))),Resal+(Salim-Resal)*(1-EXP((Tnet-t)/(Tau_j))))*Salcycl</f>
        <v>0.10481634250748219</v>
      </c>
      <c r="P370" s="169">
        <f>(INDEX(Models!$BJ370:$BT370,,T370)*(1-R370)+INDEX(Models!$BJ370:$BT370,,T370+1)*R370-ERP_i)*Q370*Ramure*Pc/MaxiM</f>
        <v>5.4149276046944021E-4</v>
      </c>
      <c r="Q370" s="305">
        <f t="shared" si="125"/>
        <v>0.7</v>
      </c>
      <c r="R370" s="177">
        <f t="shared" si="126"/>
        <v>0.59928984416255426</v>
      </c>
      <c r="S370" s="810">
        <f t="shared" si="127"/>
        <v>-1</v>
      </c>
      <c r="T370" s="176">
        <f t="shared" si="128"/>
        <v>5</v>
      </c>
      <c r="U370" s="251">
        <f t="shared" si="129"/>
        <v>-0.40071015583744579</v>
      </c>
      <c r="V370" s="383">
        <f t="shared" si="130"/>
        <v>16.838185668632885</v>
      </c>
      <c r="W370" s="402"/>
      <c r="X370" s="157">
        <f t="shared" si="131"/>
        <v>44186</v>
      </c>
      <c r="Y370" s="385">
        <f t="shared" si="132"/>
        <v>7.008</v>
      </c>
      <c r="Z370" s="385">
        <f t="shared" si="133"/>
        <v>7.151832198374442</v>
      </c>
      <c r="AA370" s="386">
        <f t="shared" si="134"/>
        <v>7.9892345425600206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0.10481634250748219</v>
      </c>
      <c r="AD370" s="231">
        <f>(INDEX(Models!$BJ370:$BT370,,AH370)*(1-AF370)+INDEX(Models!$BJ370:$BT370,,AH370+1)*AF370-ERP_i)*AE370*Ramure*Pc/MaxiM</f>
        <v>5.4149276046944021E-4</v>
      </c>
      <c r="AE370" s="305">
        <f t="shared" si="136"/>
        <v>0.7</v>
      </c>
      <c r="AF370" s="177">
        <f t="shared" si="137"/>
        <v>0.59928984416255426</v>
      </c>
      <c r="AG370" s="810">
        <f t="shared" si="143"/>
        <v>-1</v>
      </c>
      <c r="AH370" s="176">
        <f t="shared" si="138"/>
        <v>5</v>
      </c>
      <c r="AI370" s="225">
        <f t="shared" si="139"/>
        <v>-0.40071015583744579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6">
        <v>14.289</v>
      </c>
      <c r="C371" s="390"/>
      <c r="D371" s="393">
        <f t="shared" si="122"/>
        <v>14.582606807561431</v>
      </c>
      <c r="E371" s="385">
        <f t="shared" si="144"/>
        <v>16.291219139474403</v>
      </c>
      <c r="F371" s="385">
        <f t="shared" si="123"/>
        <v>16.298095724245826</v>
      </c>
      <c r="G371" s="110">
        <f t="shared" si="145"/>
        <v>0.8465661337012329</v>
      </c>
      <c r="H371" s="414" t="b">
        <f>Wh_hp&gt;='2019'!Maxi_hp</f>
        <v>1</v>
      </c>
      <c r="I371" s="380">
        <f>IF(H371,Wh_hp,'2019'!Maxi_hp)</f>
        <v>16.298095724245826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2.0134041288776272E-2</v>
      </c>
      <c r="M371" s="844"/>
      <c r="N371" s="844"/>
      <c r="O371" s="48">
        <f>IF(t&lt;Tnet,'2019'!Resal+('2019'!Salim-'2019'!Resal)*(1-EXP(('2019'!Tnet-t)/('2019'!Tau_j))),Resal+(Salim-Resal)*(1-EXP((Tnet-t)/(Tau_j))))*Salcycl</f>
        <v>0.10487934127489108</v>
      </c>
      <c r="P371" s="169">
        <f>(INDEX(Models!$BJ371:$BT371,,T371)*(1-R371)+INDEX(Models!$BJ371:$BT371,,T371+1)*R371-ERP_i)*Q371*Ramure*Pc/MaxiM</f>
        <v>5.402709486080436E-4</v>
      </c>
      <c r="Q371" s="305">
        <f t="shared" si="125"/>
        <v>0.7</v>
      </c>
      <c r="R371" s="177">
        <f t="shared" si="126"/>
        <v>0.59928984416255426</v>
      </c>
      <c r="S371" s="810">
        <f t="shared" si="127"/>
        <v>-1</v>
      </c>
      <c r="T371" s="176">
        <f t="shared" si="128"/>
        <v>5</v>
      </c>
      <c r="U371" s="251">
        <f t="shared" si="129"/>
        <v>-0.40071015583744579</v>
      </c>
      <c r="V371" s="383">
        <f t="shared" si="130"/>
        <v>16.876777467925358</v>
      </c>
      <c r="W371" s="402"/>
      <c r="X371" s="157">
        <f t="shared" si="131"/>
        <v>44187</v>
      </c>
      <c r="Y371" s="385">
        <f t="shared" si="132"/>
        <v>14.288999999999998</v>
      </c>
      <c r="Z371" s="385">
        <f t="shared" si="133"/>
        <v>14.582606807561429</v>
      </c>
      <c r="AA371" s="386">
        <f t="shared" si="134"/>
        <v>16.291219139474403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0.10487934127489108</v>
      </c>
      <c r="AD371" s="231">
        <f>(INDEX(Models!$BJ371:$BT371,,AH371)*(1-AF371)+INDEX(Models!$BJ371:$BT371,,AH371+1)*AF371-ERP_i)*AE371*Ramure*Pc/MaxiM</f>
        <v>5.402709486080436E-4</v>
      </c>
      <c r="AE371" s="305">
        <f t="shared" si="136"/>
        <v>0.7</v>
      </c>
      <c r="AF371" s="177">
        <f t="shared" si="137"/>
        <v>0.59928984416255426</v>
      </c>
      <c r="AG371" s="810">
        <f t="shared" si="143"/>
        <v>-1</v>
      </c>
      <c r="AH371" s="176">
        <f t="shared" si="138"/>
        <v>5</v>
      </c>
      <c r="AI371" s="225">
        <f t="shared" si="139"/>
        <v>-0.40071015583744579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6">
        <v>7.641</v>
      </c>
      <c r="C372" s="390"/>
      <c r="D372" s="393">
        <f t="shared" si="122"/>
        <v>7.7981868371272576</v>
      </c>
      <c r="E372" s="385">
        <f t="shared" si="144"/>
        <v>8.712502153336434</v>
      </c>
      <c r="F372" s="385">
        <f t="shared" si="123"/>
        <v>8.7135203913768144</v>
      </c>
      <c r="G372" s="110">
        <f t="shared" si="145"/>
        <v>0.45147774048584527</v>
      </c>
      <c r="H372" s="414" t="b">
        <f>Wh_hp&gt;='2019'!Maxi_hp</f>
        <v>0</v>
      </c>
      <c r="I372" s="380">
        <f>IF(H372,Wh_hp,'2019'!Maxi_hp)</f>
        <v>12.251345730545204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2.0156844201127511E-2</v>
      </c>
      <c r="M372" s="844"/>
      <c r="N372" s="844"/>
      <c r="O372" s="48">
        <f>IF(t&lt;Tnet,'2019'!Resal+('2019'!Salim-'2019'!Resal)*(1-EXP(('2019'!Tnet-t)/('2019'!Tau_j))),Resal+(Salim-Resal)*(1-EXP((Tnet-t)/(Tau_j))))*Salcycl</f>
        <v>0.10494290849145353</v>
      </c>
      <c r="P372" s="169">
        <f>(INDEX(Models!$BJ372:$BT372,,T372)*(1-R372)+INDEX(Models!$BJ372:$BT372,,T372+1)*R372-ERP_i)*Q372*Ramure*Pc/MaxiM</f>
        <v>5.3933434643641551E-4</v>
      </c>
      <c r="Q372" s="305">
        <f t="shared" si="125"/>
        <v>0.7</v>
      </c>
      <c r="R372" s="177">
        <f t="shared" si="126"/>
        <v>0.59928984416255426</v>
      </c>
      <c r="S372" s="810">
        <f t="shared" si="127"/>
        <v>-1</v>
      </c>
      <c r="T372" s="176">
        <f t="shared" si="128"/>
        <v>5</v>
      </c>
      <c r="U372" s="251">
        <f t="shared" si="129"/>
        <v>-0.40071015583744579</v>
      </c>
      <c r="V372" s="383">
        <f t="shared" si="130"/>
        <v>16.917271418561775</v>
      </c>
      <c r="W372" s="402"/>
      <c r="X372" s="157">
        <f t="shared" si="131"/>
        <v>44188</v>
      </c>
      <c r="Y372" s="385">
        <f t="shared" si="132"/>
        <v>7.6409999999999991</v>
      </c>
      <c r="Z372" s="385">
        <f t="shared" si="133"/>
        <v>7.7981868371272567</v>
      </c>
      <c r="AA372" s="386">
        <f t="shared" si="134"/>
        <v>8.712502153336434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0.10494290849145353</v>
      </c>
      <c r="AD372" s="231">
        <f>(INDEX(Models!$BJ372:$BT372,,AH372)*(1-AF372)+INDEX(Models!$BJ372:$BT372,,AH372+1)*AF372-ERP_i)*AE372*Ramure*Pc/MaxiM</f>
        <v>5.3933434643641551E-4</v>
      </c>
      <c r="AE372" s="305">
        <f t="shared" si="136"/>
        <v>0.7</v>
      </c>
      <c r="AF372" s="177">
        <f t="shared" si="137"/>
        <v>0.59928984416255426</v>
      </c>
      <c r="AG372" s="810">
        <f t="shared" si="143"/>
        <v>-1</v>
      </c>
      <c r="AH372" s="176">
        <f t="shared" si="138"/>
        <v>5</v>
      </c>
      <c r="AI372" s="225">
        <f t="shared" si="139"/>
        <v>-0.40071015583744579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6">
        <v>8.6489999999999991</v>
      </c>
      <c r="C373" s="390"/>
      <c r="D373" s="393">
        <f t="shared" si="122"/>
        <v>8.8271283300414485</v>
      </c>
      <c r="E373" s="385">
        <f t="shared" si="144"/>
        <v>9.8627902449823051</v>
      </c>
      <c r="F373" s="385">
        <f t="shared" si="123"/>
        <v>9.8643841156363781</v>
      </c>
      <c r="G373" s="110">
        <f t="shared" si="145"/>
        <v>0.50977740078813383</v>
      </c>
      <c r="H373" s="414" t="b">
        <f>Wh_hp&gt;='2019'!Maxi_hp</f>
        <v>0</v>
      </c>
      <c r="I373" s="380">
        <f>IF(H373,Wh_hp,'2019'!Maxi_hp)</f>
        <v>15.376095224212161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2.0179646582821675E-2</v>
      </c>
      <c r="M373" s="844"/>
      <c r="N373" s="844"/>
      <c r="O373" s="48">
        <f>IF(t&lt;Tnet,'2019'!Resal+('2019'!Salim-'2019'!Resal)*(1-EXP(('2019'!Tnet-t)/('2019'!Tau_j))),Resal+(Salim-Resal)*(1-EXP((Tnet-t)/(Tau_j))))*Salcycl</f>
        <v>0.10500698982904452</v>
      </c>
      <c r="P373" s="169">
        <f>(INDEX(Models!$BJ373:$BT373,,T373)*(1-R373)+INDEX(Models!$BJ373:$BT373,,T373+1)*R373-ERP_i)*Q373*Ramure*Pc/MaxiM</f>
        <v>5.3867203836672009E-4</v>
      </c>
      <c r="Q373" s="305">
        <f t="shared" si="125"/>
        <v>0.7</v>
      </c>
      <c r="R373" s="177">
        <f t="shared" si="126"/>
        <v>0.59928984416255426</v>
      </c>
      <c r="S373" s="810">
        <f t="shared" si="127"/>
        <v>-1</v>
      </c>
      <c r="T373" s="176">
        <f t="shared" si="128"/>
        <v>5</v>
      </c>
      <c r="U373" s="251">
        <f t="shared" si="129"/>
        <v>-0.40071015583744579</v>
      </c>
      <c r="V373" s="383">
        <f t="shared" si="130"/>
        <v>16.959829870898211</v>
      </c>
      <c r="W373" s="402"/>
      <c r="X373" s="157">
        <f t="shared" si="131"/>
        <v>44189</v>
      </c>
      <c r="Y373" s="385">
        <f t="shared" si="132"/>
        <v>8.6489999999999991</v>
      </c>
      <c r="Z373" s="385">
        <f t="shared" si="133"/>
        <v>8.8271283300414485</v>
      </c>
      <c r="AA373" s="386">
        <f t="shared" si="134"/>
        <v>9.8627902449823051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0.10500698982904452</v>
      </c>
      <c r="AD373" s="231">
        <f>(INDEX(Models!$BJ373:$BT373,,AH373)*(1-AF373)+INDEX(Models!$BJ373:$BT373,,AH373+1)*AF373-ERP_i)*AE373*Ramure*Pc/MaxiM</f>
        <v>5.3867203836672009E-4</v>
      </c>
      <c r="AE373" s="305">
        <f t="shared" si="136"/>
        <v>0.7</v>
      </c>
      <c r="AF373" s="177">
        <f t="shared" si="137"/>
        <v>0.59928984416255426</v>
      </c>
      <c r="AG373" s="810">
        <f t="shared" si="143"/>
        <v>-1</v>
      </c>
      <c r="AH373" s="176">
        <f t="shared" si="138"/>
        <v>5</v>
      </c>
      <c r="AI373" s="225">
        <f t="shared" si="139"/>
        <v>-0.40071015583744579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6">
        <v>3.7429999999999999</v>
      </c>
      <c r="C374" s="390"/>
      <c r="D374" s="393">
        <f t="shared" si="122"/>
        <v>3.8201769273837338</v>
      </c>
      <c r="E374" s="385">
        <f t="shared" si="144"/>
        <v>4.2686952869579429</v>
      </c>
      <c r="F374" s="385">
        <f t="shared" si="123"/>
        <v>4.2686952869579429</v>
      </c>
      <c r="G374" s="110">
        <f t="shared" si="145"/>
        <v>0.21998613693886829</v>
      </c>
      <c r="H374" s="414" t="b">
        <f>Wh_hp&gt;='2019'!Maxi_hp</f>
        <v>0</v>
      </c>
      <c r="I374" s="380">
        <f>IF(H374,Wh_hp,'2019'!Maxi_hp)</f>
        <v>17.449780292795875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2.020244843387109E-2</v>
      </c>
      <c r="M374" s="844"/>
      <c r="N374" s="844"/>
      <c r="O374" s="48">
        <f>IF(t&lt;Tnet,'2019'!Resal+('2019'!Salim-'2019'!Resal)*(1-EXP(('2019'!Tnet-t)/('2019'!Tau_j))),Resal+(Salim-Resal)*(1-EXP((Tnet-t)/(Tau_j))))*Salcycl</f>
        <v>0.10507153343658832</v>
      </c>
      <c r="P374" s="169">
        <f>(INDEX(Models!$BJ374:$BT374,,T374)*(1-R374)+INDEX(Models!$BJ374:$BT374,,T374+1)*R374-ERP_i)*Q374*Ramure*Pc/MaxiM</f>
        <v>5.3824369165804474E-4</v>
      </c>
      <c r="Q374" s="305">
        <f t="shared" si="125"/>
        <v>0.7</v>
      </c>
      <c r="R374" s="177">
        <f t="shared" si="126"/>
        <v>0.59928984416255426</v>
      </c>
      <c r="S374" s="810">
        <f t="shared" si="127"/>
        <v>-1</v>
      </c>
      <c r="T374" s="176">
        <f t="shared" si="128"/>
        <v>5</v>
      </c>
      <c r="U374" s="251">
        <f t="shared" si="129"/>
        <v>-0.40071015583744579</v>
      </c>
      <c r="V374" s="383">
        <f t="shared" si="130"/>
        <v>17.005550467490153</v>
      </c>
      <c r="W374" s="402"/>
      <c r="X374" s="157">
        <f t="shared" si="131"/>
        <v>44190</v>
      </c>
      <c r="Y374" s="385">
        <f t="shared" si="132"/>
        <v>3.7430000000000003</v>
      </c>
      <c r="Z374" s="385">
        <f t="shared" si="133"/>
        <v>3.8201769273837343</v>
      </c>
      <c r="AA374" s="386">
        <f t="shared" si="134"/>
        <v>4.2686952869579429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0.10507153343658832</v>
      </c>
      <c r="AD374" s="231">
        <f>(INDEX(Models!$BJ374:$BT374,,AH374)*(1-AF374)+INDEX(Models!$BJ374:$BT374,,AH374+1)*AF374-ERP_i)*AE374*Ramure*Pc/MaxiM</f>
        <v>5.3824369165804474E-4</v>
      </c>
      <c r="AE374" s="305">
        <f t="shared" si="136"/>
        <v>0.7</v>
      </c>
      <c r="AF374" s="177">
        <f t="shared" si="137"/>
        <v>0.59928984416255426</v>
      </c>
      <c r="AG374" s="810">
        <f t="shared" si="143"/>
        <v>-1</v>
      </c>
      <c r="AH374" s="176">
        <f t="shared" si="138"/>
        <v>5</v>
      </c>
      <c r="AI374" s="225">
        <f t="shared" si="139"/>
        <v>-0.40071015583744579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6">
        <v>9.4730000000000008</v>
      </c>
      <c r="C375" s="390"/>
      <c r="D375" s="393">
        <f t="shared" si="122"/>
        <v>9.6685488145355087</v>
      </c>
      <c r="E375" s="385">
        <f t="shared" si="144"/>
        <v>10.804495554933439</v>
      </c>
      <c r="F375" s="385">
        <f t="shared" si="123"/>
        <v>10.806619459560283</v>
      </c>
      <c r="G375" s="110">
        <f t="shared" si="145"/>
        <v>0.55525052731266133</v>
      </c>
      <c r="H375" s="414" t="b">
        <f>Wh_hp&gt;='2019'!Maxi_hp</f>
        <v>0</v>
      </c>
      <c r="I375" s="380">
        <f>IF(H375,Wh_hp,'2019'!Maxi_hp)</f>
        <v>18.041116002865003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2.0225249754288188E-2</v>
      </c>
      <c r="M375" s="844"/>
      <c r="N375" s="844"/>
      <c r="O375" s="48">
        <f>IF(t&lt;Tnet,'2019'!Resal+('2019'!Salim-'2019'!Resal)*(1-EXP(('2019'!Tnet-t)/('2019'!Tau_j))),Resal+(Salim-Resal)*(1-EXP((Tnet-t)/(Tau_j))))*Salcycl</f>
        <v>0.10513649014175828</v>
      </c>
      <c r="P375" s="169">
        <f>(INDEX(Models!$BJ375:$BT375,,T375)*(1-R375)+INDEX(Models!$BJ375:$BT375,,T375+1)*R375-ERP_i)*Q375*Ramure*Pc/MaxiM</f>
        <v>5.3858387887771369E-4</v>
      </c>
      <c r="Q375" s="305">
        <f t="shared" si="125"/>
        <v>0.7</v>
      </c>
      <c r="R375" s="177">
        <f t="shared" si="126"/>
        <v>0.59928984416255426</v>
      </c>
      <c r="S375" s="810">
        <f t="shared" si="127"/>
        <v>-1</v>
      </c>
      <c r="T375" s="176">
        <f t="shared" si="128"/>
        <v>5</v>
      </c>
      <c r="U375" s="251">
        <f t="shared" si="129"/>
        <v>-0.40071015583744579</v>
      </c>
      <c r="V375" s="383">
        <f t="shared" si="130"/>
        <v>17.05493050562097</v>
      </c>
      <c r="W375" s="402"/>
      <c r="X375" s="157">
        <f t="shared" si="131"/>
        <v>44191</v>
      </c>
      <c r="Y375" s="385">
        <f t="shared" si="132"/>
        <v>9.4730000000000008</v>
      </c>
      <c r="Z375" s="385">
        <f t="shared" si="133"/>
        <v>9.6685488145355087</v>
      </c>
      <c r="AA375" s="386">
        <f t="shared" si="134"/>
        <v>10.804495554933439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0.10513649014175828</v>
      </c>
      <c r="AD375" s="231">
        <f>(INDEX(Models!$BJ375:$BT375,,AH375)*(1-AF375)+INDEX(Models!$BJ375:$BT375,,AH375+1)*AF375-ERP_i)*AE375*Ramure*Pc/MaxiM</f>
        <v>5.3858387887771369E-4</v>
      </c>
      <c r="AE375" s="305">
        <f t="shared" si="136"/>
        <v>0.7</v>
      </c>
      <c r="AF375" s="177">
        <f t="shared" si="137"/>
        <v>0.59928984416255426</v>
      </c>
      <c r="AG375" s="810">
        <f t="shared" si="143"/>
        <v>-1</v>
      </c>
      <c r="AH375" s="176">
        <f t="shared" si="138"/>
        <v>5</v>
      </c>
      <c r="AI375" s="225">
        <f t="shared" si="139"/>
        <v>-0.40071015583744579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6">
        <v>5.91</v>
      </c>
      <c r="C376" s="390"/>
      <c r="D376" s="393">
        <f t="shared" si="122"/>
        <v>6.0321390565050654</v>
      </c>
      <c r="E376" s="385">
        <f t="shared" si="144"/>
        <v>6.74134028023132</v>
      </c>
      <c r="F376" s="385">
        <f t="shared" si="123"/>
        <v>6.7415764018535276</v>
      </c>
      <c r="G376" s="110">
        <f t="shared" si="145"/>
        <v>0.34526846719464699</v>
      </c>
      <c r="H376" s="414" t="b">
        <f>Wh_hp&gt;='2019'!Maxi_hp</f>
        <v>1</v>
      </c>
      <c r="I376" s="380">
        <f>IF(H376,Wh_hp,'2019'!Maxi_hp)</f>
        <v>6.7415764018535276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2.0248050544085183E-2</v>
      </c>
      <c r="M376" s="844"/>
      <c r="N376" s="844"/>
      <c r="O376" s="48">
        <f>IF(t&lt;Tnet,'2019'!Resal+('2019'!Salim-'2019'!Resal)*(1-EXP(('2019'!Tnet-t)/('2019'!Tau_j))),Resal+(Salim-Resal)*(1-EXP((Tnet-t)/(Tau_j))))*Salcycl</f>
        <v>0.10520181362242684</v>
      </c>
      <c r="P376" s="169">
        <f>(INDEX(Models!$BJ376:$BT376,,T376)*(1-R376)+INDEX(Models!$BJ376:$BT376,,T376+1)*R376-ERP_i)*Q376*Ramure*Pc/MaxiM</f>
        <v>5.3952025644798452E-4</v>
      </c>
      <c r="Q376" s="305">
        <f t="shared" si="125"/>
        <v>0.7</v>
      </c>
      <c r="R376" s="177">
        <f t="shared" si="126"/>
        <v>0.59928984416255426</v>
      </c>
      <c r="S376" s="810">
        <f t="shared" si="127"/>
        <v>-1</v>
      </c>
      <c r="T376" s="176">
        <f t="shared" si="128"/>
        <v>5</v>
      </c>
      <c r="U376" s="251">
        <f t="shared" si="129"/>
        <v>-0.40071015583744579</v>
      </c>
      <c r="V376" s="383">
        <f t="shared" si="130"/>
        <v>17.10847901855686</v>
      </c>
      <c r="W376" s="402"/>
      <c r="X376" s="157">
        <f t="shared" si="131"/>
        <v>44192</v>
      </c>
      <c r="Y376" s="385">
        <f t="shared" si="132"/>
        <v>5.91</v>
      </c>
      <c r="Z376" s="385">
        <f t="shared" si="133"/>
        <v>6.0321390565050654</v>
      </c>
      <c r="AA376" s="386">
        <f t="shared" si="134"/>
        <v>6.74134028023132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0.10520181362242684</v>
      </c>
      <c r="AD376" s="231">
        <f>(INDEX(Models!$BJ376:$BT376,,AH376)*(1-AF376)+INDEX(Models!$BJ376:$BT376,,AH376+1)*AF376-ERP_i)*AE376*Ramure*Pc/MaxiM</f>
        <v>5.3952025644798452E-4</v>
      </c>
      <c r="AE376" s="305">
        <f t="shared" si="136"/>
        <v>0.7</v>
      </c>
      <c r="AF376" s="177">
        <f t="shared" si="137"/>
        <v>0.59928984416255426</v>
      </c>
      <c r="AG376" s="810">
        <f t="shared" si="143"/>
        <v>-1</v>
      </c>
      <c r="AH376" s="176">
        <f t="shared" si="138"/>
        <v>5</v>
      </c>
      <c r="AI376" s="225">
        <f t="shared" si="139"/>
        <v>-0.40071015583744579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6">
        <v>6.2990000000000004</v>
      </c>
      <c r="C377" s="390"/>
      <c r="D377" s="393">
        <f t="shared" si="122"/>
        <v>6.4293279475909397</v>
      </c>
      <c r="E377" s="385">
        <f t="shared" si="144"/>
        <v>7.185754026028552</v>
      </c>
      <c r="F377" s="385">
        <f t="shared" si="123"/>
        <v>7.1861257710573874</v>
      </c>
      <c r="G377" s="110">
        <f t="shared" si="145"/>
        <v>0.36675173007282102</v>
      </c>
      <c r="H377" s="414" t="b">
        <f>Wh_hp&gt;='2019'!Maxi_hp</f>
        <v>0</v>
      </c>
      <c r="I377" s="380">
        <f>IF(H377,Wh_hp,'2019'!Maxi_hp)</f>
        <v>20.470863800267029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2.0270850803274509E-2</v>
      </c>
      <c r="M377" s="844"/>
      <c r="N377" s="844"/>
      <c r="O377" s="48">
        <f>IF(t&lt;Tnet,'2019'!Resal+('2019'!Salim-'2019'!Resal)*(1-EXP(('2019'!Tnet-t)/('2019'!Tau_j))),Resal+(Salim-Resal)*(1-EXP((Tnet-t)/(Tau_j))))*Salcycl</f>
        <v>0.10526746054730682</v>
      </c>
      <c r="P377" s="169">
        <f>(INDEX(Models!$BJ377:$BT377,,T377)*(1-R377)+INDEX(Models!$BJ377:$BT377,,T377+1)*R377-ERP_i)*Q377*Ramure*Pc/MaxiM</f>
        <v>5.4102742594150008E-4</v>
      </c>
      <c r="Q377" s="305">
        <f t="shared" si="125"/>
        <v>0.7</v>
      </c>
      <c r="R377" s="177">
        <f t="shared" si="126"/>
        <v>0.59928984416255426</v>
      </c>
      <c r="S377" s="810">
        <f t="shared" si="127"/>
        <v>-1</v>
      </c>
      <c r="T377" s="176">
        <f t="shared" si="128"/>
        <v>5</v>
      </c>
      <c r="U377" s="251">
        <f t="shared" si="129"/>
        <v>-0.40071015583744579</v>
      </c>
      <c r="V377" s="383">
        <f t="shared" si="130"/>
        <v>17.166702283114375</v>
      </c>
      <c r="W377" s="402"/>
      <c r="X377" s="157">
        <f t="shared" si="131"/>
        <v>44193</v>
      </c>
      <c r="Y377" s="385">
        <f t="shared" si="132"/>
        <v>6.2990000000000004</v>
      </c>
      <c r="Z377" s="385">
        <f t="shared" si="133"/>
        <v>6.4293279475909397</v>
      </c>
      <c r="AA377" s="386">
        <f t="shared" si="134"/>
        <v>7.185754026028552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0.10526746054730682</v>
      </c>
      <c r="AD377" s="231">
        <f>(INDEX(Models!$BJ377:$BT377,,AH377)*(1-AF377)+INDEX(Models!$BJ377:$BT377,,AH377+1)*AF377-ERP_i)*AE377*Ramure*Pc/MaxiM</f>
        <v>5.4102742594150008E-4</v>
      </c>
      <c r="AE377" s="305">
        <f t="shared" si="136"/>
        <v>0.7</v>
      </c>
      <c r="AF377" s="177">
        <f t="shared" si="137"/>
        <v>0.59928984416255426</v>
      </c>
      <c r="AG377" s="810">
        <f t="shared" si="143"/>
        <v>-1</v>
      </c>
      <c r="AH377" s="176">
        <f t="shared" si="138"/>
        <v>5</v>
      </c>
      <c r="AI377" s="225">
        <f t="shared" si="139"/>
        <v>-0.40071015583744579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6">
        <v>7.0579999999999998</v>
      </c>
      <c r="C378" s="390"/>
      <c r="D378" s="393">
        <f t="shared" si="122"/>
        <v>7.2041995071601672</v>
      </c>
      <c r="E378" s="385">
        <f t="shared" si="144"/>
        <v>8.0523844660752246</v>
      </c>
      <c r="F378" s="385">
        <f t="shared" si="123"/>
        <v>8.0530694233910403</v>
      </c>
      <c r="G378" s="110">
        <f t="shared" si="145"/>
        <v>0.40944419390240333</v>
      </c>
      <c r="H378" s="414" t="b">
        <f>Wh_hp&gt;='2019'!Maxi_hp</f>
        <v>0</v>
      </c>
      <c r="I378" s="380">
        <f>IF(H378,Wh_hp,'2019'!Maxi_hp)</f>
        <v>18.88344038484756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2.029365053186849E-2</v>
      </c>
      <c r="M378" s="844"/>
      <c r="N378" s="844"/>
      <c r="O378" s="48">
        <f>IF(t&lt;Tnet,'2019'!Resal+('2019'!Salim-'2019'!Resal)*(1-EXP(('2019'!Tnet-t)/('2019'!Tau_j))),Resal+(Salim-Resal)*(1-EXP((Tnet-t)/(Tau_j))))*Salcycl</f>
        <v>0.10533339068551296</v>
      </c>
      <c r="P378" s="169">
        <f>(INDEX(Models!$BJ378:$BT378,,T378)*(1-R378)+INDEX(Models!$BJ378:$BT378,,T378+1)*R378-ERP_i)*Q378*Ramure*Pc/MaxiM</f>
        <v>5.4307953520855892E-4</v>
      </c>
      <c r="Q378" s="305">
        <f t="shared" si="125"/>
        <v>0.7</v>
      </c>
      <c r="R378" s="177">
        <f t="shared" si="126"/>
        <v>0.59928984416255426</v>
      </c>
      <c r="S378" s="810">
        <f t="shared" si="127"/>
        <v>-1</v>
      </c>
      <c r="T378" s="176">
        <f t="shared" si="128"/>
        <v>5</v>
      </c>
      <c r="U378" s="251">
        <f t="shared" si="129"/>
        <v>-0.40071015583744579</v>
      </c>
      <c r="V378" s="383">
        <f t="shared" si="130"/>
        <v>17.230106314784219</v>
      </c>
      <c r="W378" s="402"/>
      <c r="X378" s="157">
        <f t="shared" si="131"/>
        <v>44194</v>
      </c>
      <c r="Y378" s="385">
        <f t="shared" si="132"/>
        <v>7.0579999999999998</v>
      </c>
      <c r="Z378" s="385">
        <f t="shared" si="133"/>
        <v>7.2041995071601672</v>
      </c>
      <c r="AA378" s="386">
        <f t="shared" si="134"/>
        <v>8.0523844660752246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0.10533339068551296</v>
      </c>
      <c r="AD378" s="231">
        <f>(INDEX(Models!$BJ378:$BT378,,AH378)*(1-AF378)+INDEX(Models!$BJ378:$BT378,,AH378+1)*AF378-ERP_i)*AE378*Ramure*Pc/MaxiM</f>
        <v>5.4307953520855892E-4</v>
      </c>
      <c r="AE378" s="305">
        <f t="shared" si="136"/>
        <v>0.7</v>
      </c>
      <c r="AF378" s="177">
        <f t="shared" si="137"/>
        <v>0.59928984416255426</v>
      </c>
      <c r="AG378" s="810">
        <f t="shared" si="143"/>
        <v>-1</v>
      </c>
      <c r="AH378" s="176">
        <f t="shared" si="138"/>
        <v>5</v>
      </c>
      <c r="AI378" s="225">
        <f t="shared" si="139"/>
        <v>-0.40071015583744579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6">
        <v>9.7159999999999993</v>
      </c>
      <c r="C379" s="390"/>
      <c r="D379" s="393">
        <f t="shared" si="122"/>
        <v>9.9174881494346643</v>
      </c>
      <c r="E379" s="385">
        <f t="shared" si="144"/>
        <v>11.085941592953549</v>
      </c>
      <c r="F379" s="385">
        <f t="shared" si="123"/>
        <v>11.088203054184529</v>
      </c>
      <c r="G379" s="110">
        <f t="shared" si="145"/>
        <v>0.56145261852691042</v>
      </c>
      <c r="H379" s="414" t="b">
        <f>Wh_hp&gt;='2019'!Maxi_hp</f>
        <v>0</v>
      </c>
      <c r="I379" s="380">
        <f>IF(H379,Wh_hp,'2019'!Maxi_hp)</f>
        <v>12.616872438165586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2.0316449729879449E-2</v>
      </c>
      <c r="M379" s="844"/>
      <c r="N379" s="844"/>
      <c r="O379" s="48">
        <f>IF(t&lt;Tnet,'2019'!Resal+('2019'!Salim-'2019'!Resal)*(1-EXP(('2019'!Tnet-t)/('2019'!Tau_j))),Resal+(Salim-Resal)*(1-EXP((Tnet-t)/(Tau_j))))*Salcycl</f>
        <v>0.10539956698505228</v>
      </c>
      <c r="P379" s="169">
        <f>(INDEX(Models!$BJ379:$BT379,,T379)*(1-R379)+INDEX(Models!$BJ379:$BT379,,T379+1)*R379-ERP_i)*Q379*Ramure*Pc/MaxiM</f>
        <v>5.4565016315028751E-4</v>
      </c>
      <c r="Q379" s="306">
        <f t="shared" si="125"/>
        <v>0.7</v>
      </c>
      <c r="R379" s="177">
        <f t="shared" si="126"/>
        <v>0.59928984416255426</v>
      </c>
      <c r="S379" s="810">
        <f t="shared" si="127"/>
        <v>-1</v>
      </c>
      <c r="T379" s="176">
        <f t="shared" si="128"/>
        <v>5</v>
      </c>
      <c r="U379" s="307">
        <f t="shared" si="129"/>
        <v>-0.40071015583744579</v>
      </c>
      <c r="V379" s="383">
        <f t="shared" si="130"/>
        <v>17.299196874208572</v>
      </c>
      <c r="W379" s="402"/>
      <c r="X379" s="157">
        <f t="shared" si="131"/>
        <v>44195</v>
      </c>
      <c r="Y379" s="385">
        <f t="shared" si="132"/>
        <v>9.7159999999999993</v>
      </c>
      <c r="Z379" s="385">
        <f t="shared" si="133"/>
        <v>9.9174881494346643</v>
      </c>
      <c r="AA379" s="386">
        <f t="shared" si="134"/>
        <v>11.085941592953549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0.10539956698505228</v>
      </c>
      <c r="AD379" s="231">
        <f>(INDEX(Models!$BJ379:$BT379,,AH379)*(1-AF379)+INDEX(Models!$BJ379:$BT379,,AH379+1)*AF379-ERP_i)*AE379*Ramure*Pc/MaxiM</f>
        <v>5.4565016315028751E-4</v>
      </c>
      <c r="AE379" s="306">
        <f t="shared" si="136"/>
        <v>0.7</v>
      </c>
      <c r="AF379" s="177">
        <f t="shared" si="137"/>
        <v>0.59928984416255426</v>
      </c>
      <c r="AG379" s="810">
        <f t="shared" si="143"/>
        <v>-1</v>
      </c>
      <c r="AH379" s="176">
        <f t="shared" si="138"/>
        <v>5</v>
      </c>
      <c r="AI379" s="222">
        <f t="shared" si="139"/>
        <v>-0.40071015583744579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7">
        <v>10.404</v>
      </c>
      <c r="C380" s="390"/>
      <c r="D380" s="393">
        <f t="shared" si="122"/>
        <v>10.620002876485081</v>
      </c>
      <c r="E380" s="385">
        <f t="shared" si="144"/>
        <v>11.872105866973614</v>
      </c>
      <c r="F380" s="385">
        <f t="shared" si="123"/>
        <v>11.874887310297245</v>
      </c>
      <c r="G380" s="110">
        <f t="shared" si="145"/>
        <v>0.59862094734166138</v>
      </c>
      <c r="H380" s="414" t="b">
        <f>Wh_hp&gt;='2019'!Maxi_hp</f>
        <v>1</v>
      </c>
      <c r="I380" s="381">
        <f>IF(H380,Wh_hp,'2019'!Maxi_hp)</f>
        <v>11.874887310297245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2.033924839731982E-2</v>
      </c>
      <c r="M380" s="844"/>
      <c r="N380" s="844"/>
      <c r="O380" s="324">
        <f>IF(t&lt;Tnet,'2019'!Resal+('2019'!Salim-'2019'!Resal)*(1-EXP(('2019'!Tnet-t)/('2019'!Tau_j))),Resal+(Salim-Resal)*(1-EXP((Tnet-t)/(Tau_j))))*Salcycl</f>
        <v>0.10546595562053501</v>
      </c>
      <c r="P380" s="231">
        <f>(INDEX(Models!$BJ380:$BT380,,T380)*(1-R380)+INDEX(Models!$BJ380:$BT380,,T380+1)*R380-ERP_i)*Q380*Ramure*Pc/MaxiM</f>
        <v>5.4871222705292076E-4</v>
      </c>
      <c r="Q380" s="328">
        <f t="shared" si="125"/>
        <v>0.7</v>
      </c>
      <c r="R380" s="314">
        <f>(Hp_vg-S380)/(INDEX(Echel_vg,T380+1)-S380)</f>
        <v>0.59928984416255426</v>
      </c>
      <c r="S380" s="811">
        <f>INDEX(Echel_vg,T380)</f>
        <v>-1</v>
      </c>
      <c r="T380" s="233">
        <f t="shared" si="128"/>
        <v>5</v>
      </c>
      <c r="U380" s="301">
        <f t="shared" si="129"/>
        <v>-0.40071015583744579</v>
      </c>
      <c r="V380" s="383">
        <f t="shared" si="130"/>
        <v>17.374479453892583</v>
      </c>
      <c r="W380" s="402"/>
      <c r="X380" s="326">
        <f t="shared" si="131"/>
        <v>44196</v>
      </c>
      <c r="Y380" s="398">
        <f t="shared" si="132"/>
        <v>10.404</v>
      </c>
      <c r="Z380" s="398">
        <f t="shared" si="133"/>
        <v>10.620002876485081</v>
      </c>
      <c r="AA380" s="399">
        <f t="shared" si="134"/>
        <v>11.872105866973614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0.10546595562053501</v>
      </c>
      <c r="AD380" s="812">
        <f>(INDEX(Models!$BJ380:$BT380,,AH380)*(1-AF380)+INDEX(Models!$BJ380:$BT380,,AH380+1)*AF380-ERP_i)*AE380*Ramure*Pc/MaxiM</f>
        <v>5.4871222705292076E-4</v>
      </c>
      <c r="AE380" s="328">
        <f t="shared" si="136"/>
        <v>0.7</v>
      </c>
      <c r="AF380" s="314">
        <f>(Hp_vg_s-AG380)/(INDEX(Echel_vg,AH380+1)-AG380)</f>
        <v>0.59928984416255426</v>
      </c>
      <c r="AG380" s="811">
        <f>INDEX(Echel_vg,AH380)</f>
        <v>-1</v>
      </c>
      <c r="AH380" s="233">
        <f t="shared" si="138"/>
        <v>5</v>
      </c>
      <c r="AI380" s="227">
        <f t="shared" si="139"/>
        <v>-0.40071015583744579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1.095</v>
      </c>
      <c r="C381" s="375"/>
      <c r="D381" s="373">
        <f>MIN(D15:D380)</f>
        <v>1.1088215965254746</v>
      </c>
      <c r="E381" s="373">
        <f>MIN(E15:E380)</f>
        <v>1.1998055963170191</v>
      </c>
      <c r="F381" s="374">
        <f>MIN(F15:F380)</f>
        <v>1.1998055963170191</v>
      </c>
      <c r="G381" s="125">
        <f>+MIN(G15:G380)</f>
        <v>5.0411999845252901E-2</v>
      </c>
      <c r="H381" s="94"/>
      <c r="I381" s="374">
        <f>MIN(I15:I380)</f>
        <v>6.2560822241985727</v>
      </c>
      <c r="J381" s="57">
        <f>MIN(J15:J380)</f>
        <v>2018</v>
      </c>
      <c r="K381" s="200" t="s">
        <v>7</v>
      </c>
      <c r="L381" s="146">
        <f t="shared" ref="L381:T381" si="146">MIN(L15:L380)</f>
        <v>1.1982389515149627E-2</v>
      </c>
      <c r="M381" s="846"/>
      <c r="N381" s="846"/>
      <c r="O381" s="47">
        <f t="shared" si="146"/>
        <v>7.3678669690477289E-2</v>
      </c>
      <c r="P381" s="168">
        <f t="shared" si="146"/>
        <v>4.8361509791285425E-5</v>
      </c>
      <c r="Q381" s="310">
        <f t="shared" si="146"/>
        <v>0.7</v>
      </c>
      <c r="R381" s="311">
        <f t="shared" si="146"/>
        <v>0.19929086259149098</v>
      </c>
      <c r="S381" s="810">
        <f t="shared" si="146"/>
        <v>-1</v>
      </c>
      <c r="T381" s="176">
        <f t="shared" si="146"/>
        <v>5</v>
      </c>
      <c r="U381" s="252">
        <f>+MIN(U15:U380)</f>
        <v>-0.80070913740850902</v>
      </c>
      <c r="V381" s="373">
        <f>MIN(V15:V380)</f>
        <v>16.696596925502206</v>
      </c>
      <c r="W381" s="803" t="s">
        <v>40</v>
      </c>
      <c r="X381" s="112" t="s">
        <v>7</v>
      </c>
      <c r="Y381" s="375">
        <f>MIN(Y15:Y380)</f>
        <v>1.095</v>
      </c>
      <c r="Z381" s="375">
        <f>MIN(Z15:Z380)</f>
        <v>1.1088215965254746</v>
      </c>
      <c r="AA381" s="375">
        <f>MIN(AA15:AA380)</f>
        <v>1.1998055963170191</v>
      </c>
      <c r="AB381" s="200" t="s">
        <v>7</v>
      </c>
      <c r="AC381" s="48">
        <f t="shared" ref="AC381:AH381" si="147">MIN(AC15:AC380)</f>
        <v>7.3678669690477289E-2</v>
      </c>
      <c r="AD381" s="169">
        <f t="shared" si="147"/>
        <v>4.8361509791285425E-5</v>
      </c>
      <c r="AE381" s="310">
        <f t="shared" si="147"/>
        <v>0.7</v>
      </c>
      <c r="AF381" s="311">
        <f t="shared" si="147"/>
        <v>0.19929086259149098</v>
      </c>
      <c r="AG381" s="810">
        <f t="shared" si="147"/>
        <v>-1</v>
      </c>
      <c r="AH381" s="176">
        <f t="shared" si="147"/>
        <v>5</v>
      </c>
      <c r="AI381" s="225">
        <f>MIN(AI15:AI380)</f>
        <v>-0.80070913740850902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28.157762295081977</v>
      </c>
      <c r="C382" s="375"/>
      <c r="D382" s="375">
        <f>AVERAGE(D15:D380)</f>
        <v>28.614542872081209</v>
      </c>
      <c r="E382" s="375">
        <f>AVERAGE(E15:E380)</f>
        <v>31.536418925762355</v>
      </c>
      <c r="F382" s="376">
        <f>AVERAGE(F15:F380)</f>
        <v>31.5449304106548</v>
      </c>
      <c r="G382" s="126">
        <f>AVERAGE(G15:G380)</f>
        <v>0.69808337674591947</v>
      </c>
      <c r="H382" s="94"/>
      <c r="I382" s="376">
        <f>AVERAGE(I15:I380)</f>
        <v>37.95182855143738</v>
      </c>
      <c r="J382" s="59">
        <f>AVERAGE(J15:J380)</f>
        <v>2019.3743169398906</v>
      </c>
      <c r="K382" s="200" t="s">
        <v>8</v>
      </c>
      <c r="L382" s="147">
        <f t="shared" ref="L382:V382" si="148">AVERAGE(L15:L380)</f>
        <v>1.6166718132663831E-2</v>
      </c>
      <c r="M382" s="844"/>
      <c r="N382" s="844"/>
      <c r="O382" s="48">
        <f t="shared" si="148"/>
        <v>9.2635606505147822E-2</v>
      </c>
      <c r="P382" s="169">
        <f t="shared" si="148"/>
        <v>5.2400506529040548E-4</v>
      </c>
      <c r="Q382" s="312">
        <f t="shared" si="148"/>
        <v>0.69999999999999529</v>
      </c>
      <c r="R382" s="177">
        <f t="shared" si="148"/>
        <v>0.42367886615794165</v>
      </c>
      <c r="S382" s="810">
        <f t="shared" si="148"/>
        <v>-1</v>
      </c>
      <c r="T382" s="176">
        <f t="shared" si="148"/>
        <v>5</v>
      </c>
      <c r="U382" s="251">
        <f t="shared" si="148"/>
        <v>-0.57632113384205796</v>
      </c>
      <c r="V382" s="375">
        <f t="shared" si="148"/>
        <v>39.021198984925938</v>
      </c>
      <c r="X382" s="112" t="s">
        <v>8</v>
      </c>
      <c r="Y382" s="375">
        <f>AVERAGE(Y15:Y380)</f>
        <v>28.157762295081977</v>
      </c>
      <c r="Z382" s="375">
        <f>AVERAGE(Z15:Z380)</f>
        <v>28.614542872081209</v>
      </c>
      <c r="AA382" s="375">
        <f>AVERAGE(AA15:AA380)</f>
        <v>31.536418925762355</v>
      </c>
      <c r="AB382" s="200" t="s">
        <v>8</v>
      </c>
      <c r="AC382" s="48">
        <f t="shared" ref="AC382:AH382" si="149">AVERAGE(AC15:AC380)</f>
        <v>9.2635606505147822E-2</v>
      </c>
      <c r="AD382" s="169">
        <f t="shared" si="149"/>
        <v>5.2400506529040548E-4</v>
      </c>
      <c r="AE382" s="312">
        <f t="shared" si="149"/>
        <v>0.69999999999999529</v>
      </c>
      <c r="AF382" s="177">
        <f t="shared" si="149"/>
        <v>0.42367886615794165</v>
      </c>
      <c r="AG382" s="810">
        <f t="shared" si="149"/>
        <v>-1</v>
      </c>
      <c r="AH382" s="176">
        <f t="shared" si="149"/>
        <v>5</v>
      </c>
      <c r="AI382" s="225">
        <f>AVERAGE(AI15:AI380)</f>
        <v>-0.57632113384205796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59.290999999999997</v>
      </c>
      <c r="C383" s="377"/>
      <c r="D383" s="377">
        <f>MAX(D15:D380)</f>
        <v>60.201695001231435</v>
      </c>
      <c r="E383" s="377">
        <f>MAX(E15:E380)</f>
        <v>66.083350873343278</v>
      </c>
      <c r="F383" s="378">
        <f>MAX(F15:F380)</f>
        <v>66.086546918529152</v>
      </c>
      <c r="G383" s="127">
        <f>+MAX(G15:G380)</f>
        <v>1.0459216635784321</v>
      </c>
      <c r="H383" s="94"/>
      <c r="I383" s="378">
        <f>MAX(I15:I380)</f>
        <v>66.086546918529152</v>
      </c>
      <c r="J383" s="60">
        <f>MAX(J15:J380)</f>
        <v>2020</v>
      </c>
      <c r="K383" s="200" t="s">
        <v>9</v>
      </c>
      <c r="L383" s="148">
        <f t="shared" ref="L383:T383" si="150">MAX(L15:L380)</f>
        <v>2.033924839731982E-2</v>
      </c>
      <c r="M383" s="847"/>
      <c r="N383" s="847"/>
      <c r="O383" s="49">
        <f t="shared" si="150"/>
        <v>0.10546595562053501</v>
      </c>
      <c r="P383" s="170">
        <f t="shared" si="150"/>
        <v>1.9699398233459222E-3</v>
      </c>
      <c r="Q383" s="313">
        <f t="shared" si="150"/>
        <v>0.7</v>
      </c>
      <c r="R383" s="314">
        <f t="shared" si="150"/>
        <v>0.59928984416255426</v>
      </c>
      <c r="S383" s="811">
        <f t="shared" si="150"/>
        <v>-1</v>
      </c>
      <c r="T383" s="233">
        <f t="shared" si="150"/>
        <v>5</v>
      </c>
      <c r="U383" s="253">
        <f>+MAX(U15:U380)</f>
        <v>-0.40071015583744579</v>
      </c>
      <c r="V383" s="377">
        <f>MAX(V15:V380)</f>
        <v>57.45489778024394</v>
      </c>
      <c r="X383" s="112" t="s">
        <v>9</v>
      </c>
      <c r="Y383" s="377">
        <f>MAX(Y15:Y380)</f>
        <v>59.291000000000004</v>
      </c>
      <c r="Z383" s="377">
        <f>MAX(Z15:Z380)</f>
        <v>60.201695001231442</v>
      </c>
      <c r="AA383" s="377">
        <f>MAX(AA15:AA380)</f>
        <v>66.083350873343278</v>
      </c>
      <c r="AB383" s="200" t="s">
        <v>9</v>
      </c>
      <c r="AC383" s="49">
        <f t="shared" ref="AC383:AH383" si="151">MAX(AC15:AC380)</f>
        <v>0.10546595562053501</v>
      </c>
      <c r="AD383" s="170">
        <f t="shared" si="151"/>
        <v>1.9699398233459222E-3</v>
      </c>
      <c r="AE383" s="313">
        <f t="shared" si="151"/>
        <v>0.7</v>
      </c>
      <c r="AF383" s="314">
        <f t="shared" si="151"/>
        <v>0.59928984416255426</v>
      </c>
      <c r="AG383" s="811">
        <f t="shared" si="151"/>
        <v>-1</v>
      </c>
      <c r="AH383" s="233">
        <f t="shared" si="151"/>
        <v>5</v>
      </c>
      <c r="AI383" s="227">
        <f>MAX(AI15:AI380)</f>
        <v>-0.40071015583744579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'2020'!An+1</f>
        <v>2021</v>
      </c>
      <c r="K1" s="1274"/>
      <c r="L1" s="113" t="str">
        <f>"Calcul pertes et enveloppes en "&amp;TEXT(An,0)</f>
        <v>Calcul pertes et enveloppes en 2021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0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714.83507724617448</v>
      </c>
      <c r="AK4" s="833">
        <f>AM12-AK12</f>
        <v>-0.29237109502494407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715.47833690747836</v>
      </c>
      <c r="AA5" s="237">
        <f>Wh_Pvg_s-Wh_Pvg</f>
        <v>-0.29237109502494407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2488.2539999999999</v>
      </c>
      <c r="AK5" s="515">
        <f>SUMIF(AK15:AK380,"VRAI",Wh)</f>
        <v>0</v>
      </c>
      <c r="AL5" s="515">
        <f>SUMIF(AJ15:AJ380,"VRAI",Wh_s)</f>
        <v>2488.2539999999999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7817.3440000000037</v>
      </c>
      <c r="AK6" s="515">
        <f>SUMIF(AK15:AK380,"FAUX",Wh)</f>
        <v>10305.598000000004</v>
      </c>
      <c r="AL6" s="515">
        <f>SUMIF(AJ15:AJ380,"FAUX",Wh_s)</f>
        <v>7102.4406241285415</v>
      </c>
      <c r="AM6" s="515">
        <f>SUMIF(AK15:AK380,"FAUX",Wh_s)</f>
        <v>9590.6946241285405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2544.095259485282</v>
      </c>
      <c r="AK7" s="515">
        <f>SUMIF(AK15:AK380,"VRAI",Wh_sa)</f>
        <v>0</v>
      </c>
      <c r="AL7" s="515">
        <f>SUMIF(AJ15:AJ380,"VRAI",Wh_pvt_s)</f>
        <v>2544.095259485282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8018.9835502720307</v>
      </c>
      <c r="AK8" s="515">
        <f>SUMIF(AK15:AK380,"FAUX",Wh_sa)</f>
        <v>11197.204882319989</v>
      </c>
      <c r="AL8" s="515">
        <f>SUMIF(AJ15:AJ380,"FAUX",Wh_pvt_s)</f>
        <v>7285.7012722545433</v>
      </c>
      <c r="AM8" s="515">
        <f>SUMIF(AK15:AK380,"FAUX",Wh_sa_s)</f>
        <v>11197.204882319989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10563.078809757317</v>
      </c>
      <c r="E9" s="184">
        <f>SUM(E$15:E$380)</f>
        <v>11197.204882319989</v>
      </c>
      <c r="F9" s="184">
        <f>SUM(F$15:F$380)</f>
        <v>11201.784157174681</v>
      </c>
      <c r="H9" s="1275">
        <f>+SUM(Wh)</f>
        <v>10305.598000000004</v>
      </c>
      <c r="I9" s="1276"/>
      <c r="J9" s="1277"/>
      <c r="K9" s="191" t="s">
        <v>10</v>
      </c>
      <c r="L9" s="232"/>
      <c r="M9" s="232"/>
      <c r="N9" s="232"/>
      <c r="O9" s="223">
        <f>Tnet_2021</f>
        <v>44306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9590.6946241285405</v>
      </c>
      <c r="Y9" s="1270"/>
      <c r="Z9" s="515">
        <f>SUM(Wh_pvt_s)</f>
        <v>9829.7965317398248</v>
      </c>
      <c r="AA9" s="515">
        <f>SUM(Wh_sa_s)</f>
        <v>11197.204882319989</v>
      </c>
      <c r="AB9" s="515">
        <f>F9</f>
        <v>11201.784157174681</v>
      </c>
      <c r="AC9" s="325">
        <f>IF(An_Tnet,Tnet,'2020'!Tnet_s)</f>
        <v>44306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2859.7271503936222</v>
      </c>
      <c r="AK9" s="515">
        <f>SUMIF(AK15:AK380,"VRAI",Wh_hp)</f>
        <v>0</v>
      </c>
      <c r="AL9" s="515">
        <f>SUMIF(AJ15:AJ380,"VRAI",Wh_sa_s)</f>
        <v>2859.7271503936222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1.7999999999999999E-2</v>
      </c>
      <c r="P10" s="420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0.40000000000000013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0.11274131929539194</v>
      </c>
      <c r="AD10" s="427"/>
      <c r="AE10" s="427"/>
      <c r="AF10" s="260"/>
      <c r="AG10" s="261"/>
      <c r="AH10" s="262"/>
      <c r="AI10" s="472"/>
      <c r="AJ10" s="515">
        <f>SUMIF(AJ15:AJ380,"FAUX",Wh_sa)</f>
        <v>8337.4777319263594</v>
      </c>
      <c r="AK10" s="515">
        <f>SUMIF(AK15:AK380,"FAUX",Wh_hp)</f>
        <v>11201.784157174681</v>
      </c>
      <c r="AL10" s="515">
        <f>SUMIF(AJ15:AJ380,"FAUX",Wh_sa_s)</f>
        <v>8337.4777319263594</v>
      </c>
      <c r="AM10" s="515">
        <f>SUMIF(AK15:AK380,"FAUX",Wh_hp)</f>
        <v>11201.784157174681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257.48080975731318</v>
      </c>
      <c r="E11" s="51">
        <f>(E$9-D$9)*Prod_an/D$9</f>
        <v>618.6689035315336</v>
      </c>
      <c r="F11" s="186">
        <f>(F$9-E$9)*Prod_an/E$9</f>
        <v>4.2146380529732044</v>
      </c>
      <c r="G11" s="185" t="s">
        <v>6</v>
      </c>
      <c r="K11" s="194"/>
      <c r="L11" s="211">
        <f>Tvie_2021</f>
        <v>43313</v>
      </c>
      <c r="M11" s="843"/>
      <c r="N11" s="843"/>
      <c r="O11" s="202">
        <f>IF(An_Tnet,Salim_2021,'2020'!Salim)</f>
        <v>0.2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-7.1015583744565847E-4</v>
      </c>
      <c r="V11" s="19"/>
      <c r="W11" s="835"/>
      <c r="X11" s="235" t="s">
        <v>43</v>
      </c>
      <c r="Y11" s="50">
        <f>Z$9-Prod_an_s</f>
        <v>239.10190761128433</v>
      </c>
      <c r="Z11" s="51">
        <f>(AA$9-Z$9)*Prod_an_s/Z$9</f>
        <v>1334.147240439012</v>
      </c>
      <c r="AA11" s="186">
        <f>(AB$9-AA$9)*Prod_an_s/AA$9</f>
        <v>3.9222669579482603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308.70397330921355</v>
      </c>
      <c r="AK11" s="833">
        <f>IF($AK7=0,0,($AK9-$AK7)*$AK5/$AK7)</f>
        <v>0</v>
      </c>
      <c r="AL11" s="832">
        <f>IF($AL7=0,0,($AL9-$AL7)*$AL5/$AL7)</f>
        <v>308.70397330921355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4.2610985218578978E-2</v>
      </c>
      <c r="K12" s="191"/>
      <c r="L12" s="212">
        <f>Pspv_2021</f>
        <v>0</v>
      </c>
      <c r="M12" s="212"/>
      <c r="N12" s="212"/>
      <c r="O12" s="205">
        <f>IF(An_Tnet,Tau_2021*365,'2020'!Tau_j)</f>
        <v>912.5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-0.40071015583744579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-0.40071015583744579</v>
      </c>
      <c r="AJ12" s="832">
        <f>IF($AJ8=0,0,($AJ10-$AJ8)*$AJ6/$AJ8)</f>
        <v>310.48555772457172</v>
      </c>
      <c r="AK12" s="833">
        <f>IF($AK8=0,0,($AK10-$AK8)*$AK6/$AK8)</f>
        <v>4.2146380529732044</v>
      </c>
      <c r="AL12" s="832">
        <f>IF($AL8=0,0,($AL10-$AL8)*$AL6/$AL8)</f>
        <v>1025.3206349707461</v>
      </c>
      <c r="AM12" s="833">
        <f>IF($AM8=0,0,($AM10-$AM8)*$AM6/$AM8)</f>
        <v>3.9222669579482603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273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619.18953103378522</v>
      </c>
      <c r="AK13" s="73">
        <f>+AK11+AK12</f>
        <v>4.2146380529732044</v>
      </c>
      <c r="AL13" s="73">
        <f>+AL11+AL12</f>
        <v>1334.0246082799597</v>
      </c>
      <c r="AM13" s="73">
        <f>+AM11+AM12</f>
        <v>3.9222669579482603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2021</v>
      </c>
      <c r="W14" s="837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5">
        <v>6.9930000000000003</v>
      </c>
      <c r="C15" s="390"/>
      <c r="D15" s="393">
        <f t="shared" ref="D15:D78" si="0">Wh/(1-Ppv)</f>
        <v>7.1383514442860392</v>
      </c>
      <c r="E15" s="400">
        <f t="shared" ref="E15:E79" si="1">Wh_pvt/(1-Psa)</f>
        <v>7.9805977605358152</v>
      </c>
      <c r="F15" s="400">
        <f t="shared" ref="F15:F78" si="2">Wh_sa/(1-Pvg*MEDIAN((-Sdif+Wh/Env_an)/Csdif,0,1))</f>
        <v>7.9812392067761815</v>
      </c>
      <c r="G15" s="123">
        <f>+Wh_hp/MaxiM</f>
        <v>0.40233956331980114</v>
      </c>
      <c r="H15" s="414" t="b">
        <f>Wh_hp&gt;='2020'!Maxi_hp</f>
        <v>0</v>
      </c>
      <c r="I15" s="379">
        <f>IF(H15,Wh_hp,'2020'!Maxi_hp)</f>
        <v>13.323635792947995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2.0362046534201816E-2</v>
      </c>
      <c r="M15" s="844"/>
      <c r="N15" s="844"/>
      <c r="O15" s="48">
        <f>IF(t&lt;Tnet,'2020'!Resal+('2020'!Salim-'2020'!Resal)*(1-EXP(('2020'!Tnet-t)/('2020'!Tau_j))),Resal+(Salim-Resal)*(1-EXP((Tnet-t)/(Tau_j))))*Salcycl</f>
        <v>0.10553674568272284</v>
      </c>
      <c r="P15" s="302">
        <f>(INDEX(Models!$BJ15:$BT15,,T15)*(1-R15)+INDEX(Models!$BJ15:$BT15,,T15+1)*R15-ERP_i)*Q15*Ramure*Pc/MaxiM</f>
        <v>5.4871277041590417E-4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0.5992908005611377</v>
      </c>
      <c r="S15" s="809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-0.4007091994388623</v>
      </c>
      <c r="V15" s="382">
        <f t="shared" ref="V15:V78" si="9">MaxiM*(1-Ppv)*(1-Pvg)*(1-Psa)</f>
        <v>17.37270019601004</v>
      </c>
      <c r="W15" s="402"/>
      <c r="X15" s="156">
        <f t="shared" ref="X15:X78" si="10">t</f>
        <v>44197</v>
      </c>
      <c r="Y15" s="385">
        <f t="shared" ref="Y15:Y78" si="11">Wh_pvt_s*(1-Ppv)</f>
        <v>6.9930000000000003</v>
      </c>
      <c r="Z15" s="385">
        <f t="shared" ref="Z15:Z78" si="12">Wh_sa_s*(1-Psa_s)</f>
        <v>7.1383514442860392</v>
      </c>
      <c r="AA15" s="386">
        <f t="shared" ref="AA15:AA78" si="13">Wh_hp*(1-Pvg_s*MEDIAN((-Sdif+Wh/Env_an)/Csdif,0,1))</f>
        <v>7.9805977605358152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0.10553674568272284</v>
      </c>
      <c r="AD15" s="231">
        <f>(INDEX(Models!$BJ15:$BT15,,AH15)*(1-AF15)+INDEX(Models!$BJ15:$BT15,,AH15+1)*AF15-ERP_i)*AE15*Ramure*Pc/MaxiM</f>
        <v>5.4871277041590417E-4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0.5992908005611377</v>
      </c>
      <c r="AG15" s="809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-0.4007091994388623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6">
        <v>3.8420000000000001</v>
      </c>
      <c r="C16" s="390"/>
      <c r="D16" s="393">
        <f t="shared" si="0"/>
        <v>3.9219483049231045</v>
      </c>
      <c r="E16" s="385">
        <f t="shared" si="1"/>
        <v>4.3850206770772857</v>
      </c>
      <c r="F16" s="385">
        <f t="shared" si="2"/>
        <v>4.3850206770772857</v>
      </c>
      <c r="G16" s="110">
        <f t="shared" ref="G16:G79" si="21">+Wh_hp/MaxiM</f>
        <v>0.2199914187737792</v>
      </c>
      <c r="H16" s="414" t="b">
        <f>Wh_hp&gt;='2020'!Maxi_hp</f>
        <v>0</v>
      </c>
      <c r="I16" s="380">
        <f>IF(H16,Wh_hp,'2020'!Maxi_hp)</f>
        <v>17.983399088358674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2.0384844140537983E-2</v>
      </c>
      <c r="M16" s="844"/>
      <c r="N16" s="844"/>
      <c r="O16" s="48">
        <f>IF(t&lt;Tnet,'2020'!Resal+('2020'!Salim-'2020'!Resal)*(1-EXP(('2020'!Tnet-t)/('2020'!Tau_j))),Resal+(Salim-Resal)*(1-EXP((Tnet-t)/(Tau_j))))*Salcycl</f>
        <v>0.1056032357099007</v>
      </c>
      <c r="P16" s="169">
        <f>(INDEX(Models!$BJ16:$BT16,,T16)*(1-R16)+INDEX(Models!$BJ16:$BT16,,T16+1)*R16-ERP_i)*Q16*Ramure*Pc/MaxiM</f>
        <v>5.524765247902064E-4</v>
      </c>
      <c r="Q16" s="305">
        <f t="shared" si="4"/>
        <v>0.7</v>
      </c>
      <c r="R16" s="177">
        <f t="shared" si="5"/>
        <v>0.59931417225233308</v>
      </c>
      <c r="S16" s="810">
        <f t="shared" si="6"/>
        <v>-1</v>
      </c>
      <c r="T16" s="176">
        <f t="shared" si="7"/>
        <v>5</v>
      </c>
      <c r="U16" s="251">
        <f t="shared" si="8"/>
        <v>-0.40068582774766692</v>
      </c>
      <c r="V16" s="383">
        <f t="shared" si="9"/>
        <v>17.454668943884425</v>
      </c>
      <c r="W16" s="402"/>
      <c r="X16" s="157">
        <f t="shared" si="10"/>
        <v>44198</v>
      </c>
      <c r="Y16" s="385">
        <f t="shared" si="11"/>
        <v>3.8420000000000001</v>
      </c>
      <c r="Z16" s="385">
        <f t="shared" si="12"/>
        <v>3.9219483049231045</v>
      </c>
      <c r="AA16" s="386">
        <f t="shared" si="13"/>
        <v>4.3850206770772857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0.1056032357099007</v>
      </c>
      <c r="AD16" s="231">
        <f>(INDEX(Models!$BJ16:$BT16,,AH16)*(1-AF16)+INDEX(Models!$BJ16:$BT16,,AH16+1)*AF16-ERP_i)*AE16*Ramure*Pc/MaxiM</f>
        <v>5.524765247902064E-4</v>
      </c>
      <c r="AE16" s="305">
        <f t="shared" si="15"/>
        <v>0.7</v>
      </c>
      <c r="AF16" s="177">
        <f t="shared" ref="AF16:AF78" si="22">(Hp_vg_s-AG16)/(INDEX(Echel_vg,AH16+1)-AG16)</f>
        <v>0.59931417225233308</v>
      </c>
      <c r="AG16" s="810">
        <f t="shared" ref="AG16:AG79" si="23">INDEX(Echel_vg,AH16)</f>
        <v>-1</v>
      </c>
      <c r="AH16" s="176">
        <f t="shared" si="16"/>
        <v>5</v>
      </c>
      <c r="AI16" s="225">
        <f t="shared" si="17"/>
        <v>-0.40068582774766692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6">
        <v>17.437999999999999</v>
      </c>
      <c r="C17" s="390"/>
      <c r="D17" s="393">
        <f t="shared" si="0"/>
        <v>17.801282179918612</v>
      </c>
      <c r="E17" s="385">
        <f t="shared" si="1"/>
        <v>19.904598748988061</v>
      </c>
      <c r="F17" s="385">
        <f t="shared" si="2"/>
        <v>19.915594108485788</v>
      </c>
      <c r="G17" s="110">
        <f t="shared" si="21"/>
        <v>0.99396260906745737</v>
      </c>
      <c r="H17" s="414" t="b">
        <f>Wh_hp&gt;='2020'!Maxi_hp</f>
        <v>1</v>
      </c>
      <c r="I17" s="380">
        <f>IF(H17,Wh_hp,'2020'!Maxi_hp)</f>
        <v>19.915594108485788</v>
      </c>
      <c r="J17" s="85">
        <f>IF(H17,An,'2020'!An_max)</f>
        <v>2021</v>
      </c>
      <c r="K17" s="197">
        <f t="shared" si="3"/>
        <v>44199</v>
      </c>
      <c r="L17" s="147">
        <f>IF(t&lt;Tvie,1-EXP((T0-t)*PertePVj)+'2020'!Pspv,1-EXP((T0-t)*PertePVj)+Pspv)</f>
        <v>2.0407641216340422E-2</v>
      </c>
      <c r="M17" s="844"/>
      <c r="N17" s="844"/>
      <c r="O17" s="48">
        <f>IF(t&lt;Tnet,'2020'!Resal+('2020'!Salim-'2020'!Resal)*(1-EXP(('2020'!Tnet-t)/('2020'!Tau_j))),Resal+(Salim-Resal)*(1-EXP((Tnet-t)/(Tau_j))))*Salcycl</f>
        <v>0.10566988039265945</v>
      </c>
      <c r="P17" s="169">
        <f>(INDEX(Models!$BJ17:$BT17,,T17)*(1-R17)+INDEX(Models!$BJ17:$BT17,,T17+1)*R17-ERP_i)*Q17*Ramure*Pc/MaxiM</f>
        <v>5.5689734661257956E-4</v>
      </c>
      <c r="Q17" s="305">
        <f t="shared" si="4"/>
        <v>0.7</v>
      </c>
      <c r="R17" s="177">
        <f t="shared" si="5"/>
        <v>0.5993385215287248</v>
      </c>
      <c r="S17" s="810">
        <f t="shared" si="6"/>
        <v>-1</v>
      </c>
      <c r="T17" s="176">
        <f t="shared" si="7"/>
        <v>5</v>
      </c>
      <c r="U17" s="251">
        <f t="shared" si="8"/>
        <v>-0.40066147847127526</v>
      </c>
      <c r="V17" s="383">
        <f t="shared" si="9"/>
        <v>17.543835254493839</v>
      </c>
      <c r="W17" s="402"/>
      <c r="X17" s="157">
        <f t="shared" si="10"/>
        <v>44199</v>
      </c>
      <c r="Y17" s="385">
        <f t="shared" si="11"/>
        <v>17.437999999999999</v>
      </c>
      <c r="Z17" s="385">
        <f t="shared" si="12"/>
        <v>17.801282179918612</v>
      </c>
      <c r="AA17" s="386">
        <f t="shared" si="13"/>
        <v>19.904598748988061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0.10566988039265945</v>
      </c>
      <c r="AD17" s="231">
        <f>(INDEX(Models!$BJ17:$BT17,,AH17)*(1-AF17)+INDEX(Models!$BJ17:$BT17,,AH17+1)*AF17-ERP_i)*AE17*Ramure*Pc/MaxiM</f>
        <v>5.5689734661257956E-4</v>
      </c>
      <c r="AE17" s="305">
        <f t="shared" si="15"/>
        <v>0.7</v>
      </c>
      <c r="AF17" s="177">
        <f>(Hp_vg_s-AG17)/(INDEX(Echel_vg,AH17+1)-AG17)</f>
        <v>0.5993385215287248</v>
      </c>
      <c r="AG17" s="810">
        <f>INDEX(Echel_vg,AH17)</f>
        <v>-1</v>
      </c>
      <c r="AH17" s="176">
        <f t="shared" si="16"/>
        <v>5</v>
      </c>
      <c r="AI17" s="225">
        <f t="shared" si="17"/>
        <v>-0.40066147847127526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6">
        <v>14.495000000000001</v>
      </c>
      <c r="C18" s="390"/>
      <c r="D18" s="393">
        <f t="shared" si="0"/>
        <v>14.797315636143297</v>
      </c>
      <c r="E18" s="385">
        <f t="shared" si="1"/>
        <v>16.546932990254231</v>
      </c>
      <c r="F18" s="385">
        <f t="shared" si="2"/>
        <v>16.553865595215505</v>
      </c>
      <c r="G18" s="110">
        <f t="shared" si="21"/>
        <v>0.82156156157673166</v>
      </c>
      <c r="H18" s="414" t="b">
        <f>Wh_hp&gt;='2020'!Maxi_hp</f>
        <v>0</v>
      </c>
      <c r="I18" s="380">
        <f>IF(H18,Wh_hp,'2020'!Maxi_hp)</f>
        <v>20.019430838359703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2.0430437761621678E-2</v>
      </c>
      <c r="M18" s="844"/>
      <c r="N18" s="844"/>
      <c r="O18" s="48">
        <f>IF(t&lt;Tnet,'2020'!Resal+('2020'!Salim-'2020'!Resal)*(1-EXP(('2020'!Tnet-t)/('2020'!Tau_j))),Resal+(Salim-Resal)*(1-EXP((Tnet-t)/(Tau_j))))*Salcycl</f>
        <v>0.10573665555673786</v>
      </c>
      <c r="P18" s="169">
        <f>(INDEX(Models!$BJ18:$BT18,,T18)*(1-R18)+INDEX(Models!$BJ18:$BT18,,T18+1)*R18-ERP_i)*Q18*Ramure*Pc/MaxiM</f>
        <v>5.6194203292714404E-4</v>
      </c>
      <c r="Q18" s="305">
        <f t="shared" si="4"/>
        <v>0.7</v>
      </c>
      <c r="R18" s="177">
        <f t="shared" si="5"/>
        <v>0.59936388915376093</v>
      </c>
      <c r="S18" s="810">
        <f t="shared" si="6"/>
        <v>-1</v>
      </c>
      <c r="T18" s="176">
        <f t="shared" si="7"/>
        <v>5</v>
      </c>
      <c r="U18" s="251">
        <f t="shared" si="8"/>
        <v>-0.40063611084623912</v>
      </c>
      <c r="V18" s="383">
        <f t="shared" si="9"/>
        <v>17.640703788854964</v>
      </c>
      <c r="W18" s="402"/>
      <c r="X18" s="157">
        <f t="shared" si="10"/>
        <v>44200</v>
      </c>
      <c r="Y18" s="385">
        <f t="shared" si="11"/>
        <v>14.495000000000001</v>
      </c>
      <c r="Z18" s="385">
        <f>Wh_sa_s*(1-Psa_s)</f>
        <v>14.797315636143297</v>
      </c>
      <c r="AA18" s="386">
        <f t="shared" si="13"/>
        <v>16.546932990254231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0.10573665555673786</v>
      </c>
      <c r="AD18" s="231">
        <f>(INDEX(Models!$BJ18:$BT18,,AH18)*(1-AF18)+INDEX(Models!$BJ18:$BT18,,AH18+1)*AF18-ERP_i)*AE18*Ramure*Pc/MaxiM</f>
        <v>5.6194203292714404E-4</v>
      </c>
      <c r="AE18" s="305">
        <f t="shared" si="15"/>
        <v>0.7</v>
      </c>
      <c r="AF18" s="177">
        <f t="shared" si="22"/>
        <v>0.59936388915376093</v>
      </c>
      <c r="AG18" s="810">
        <f t="shared" si="23"/>
        <v>-1</v>
      </c>
      <c r="AH18" s="176">
        <f t="shared" si="16"/>
        <v>5</v>
      </c>
      <c r="AI18" s="225">
        <f t="shared" si="17"/>
        <v>-0.40063611084623912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6">
        <v>2.984</v>
      </c>
      <c r="C19" s="390"/>
      <c r="D19" s="393">
        <f t="shared" si="0"/>
        <v>3.0463068256598453</v>
      </c>
      <c r="E19" s="385">
        <f t="shared" si="1"/>
        <v>3.4067533953190727</v>
      </c>
      <c r="F19" s="385">
        <f t="shared" si="2"/>
        <v>3.4067533953190727</v>
      </c>
      <c r="G19" s="110">
        <f t="shared" si="21"/>
        <v>0.16805722430160586</v>
      </c>
      <c r="H19" s="414" t="b">
        <f>Wh_hp&gt;='2020'!Maxi_hp</f>
        <v>0</v>
      </c>
      <c r="I19" s="380">
        <f>IF(H19,Wh_hp,'2020'!Maxi_hp)</f>
        <v>19.724952113879578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2.0453233776393964E-2</v>
      </c>
      <c r="M19" s="844"/>
      <c r="N19" s="844"/>
      <c r="O19" s="48">
        <f>IF(t&lt;Tnet,'2020'!Resal+('2020'!Salim-'2020'!Resal)*(1-EXP(('2020'!Tnet-t)/('2020'!Tau_j))),Resal+(Salim-Resal)*(1-EXP((Tnet-t)/(Tau_j))))*Salcycl</f>
        <v>0.10580354015482486</v>
      </c>
      <c r="P19" s="169">
        <f>(INDEX(Models!$BJ19:$BT19,,T19)*(1-R19)+INDEX(Models!$BJ19:$BT19,,T19+1)*R19-ERP_i)*Q19*Ramure*Pc/MaxiM</f>
        <v>5.675760471720811E-4</v>
      </c>
      <c r="Q19" s="305">
        <f t="shared" si="4"/>
        <v>0.7</v>
      </c>
      <c r="R19" s="177">
        <f t="shared" si="5"/>
        <v>0.59939031757981021</v>
      </c>
      <c r="S19" s="810">
        <f t="shared" si="6"/>
        <v>-1</v>
      </c>
      <c r="T19" s="176">
        <f t="shared" si="7"/>
        <v>5</v>
      </c>
      <c r="U19" s="251">
        <f t="shared" si="8"/>
        <v>-0.40060968242018979</v>
      </c>
      <c r="V19" s="383">
        <f t="shared" si="9"/>
        <v>17.7457789480267</v>
      </c>
      <c r="W19" s="402"/>
      <c r="X19" s="157">
        <f t="shared" si="10"/>
        <v>44201</v>
      </c>
      <c r="Y19" s="385">
        <f t="shared" si="11"/>
        <v>2.984</v>
      </c>
      <c r="Z19" s="385">
        <f t="shared" si="12"/>
        <v>3.0463068256598453</v>
      </c>
      <c r="AA19" s="386">
        <f t="shared" si="13"/>
        <v>3.4067533953190727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0.10580354015482486</v>
      </c>
      <c r="AD19" s="231">
        <f>(INDEX(Models!$BJ19:$BT19,,AH19)*(1-AF19)+INDEX(Models!$BJ19:$BT19,,AH19+1)*AF19-ERP_i)*AE19*Ramure*Pc/MaxiM</f>
        <v>5.675760471720811E-4</v>
      </c>
      <c r="AE19" s="305">
        <f t="shared" si="15"/>
        <v>0.7</v>
      </c>
      <c r="AF19" s="177">
        <f t="shared" si="22"/>
        <v>0.59939031757981021</v>
      </c>
      <c r="AG19" s="810">
        <f t="shared" si="23"/>
        <v>-1</v>
      </c>
      <c r="AH19" s="176">
        <f t="shared" si="16"/>
        <v>5</v>
      </c>
      <c r="AI19" s="225">
        <f t="shared" si="17"/>
        <v>-0.40060968242018979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6">
        <v>6.7650000000000006</v>
      </c>
      <c r="C20" s="390"/>
      <c r="D20" s="393">
        <f t="shared" si="0"/>
        <v>6.9064159756028003</v>
      </c>
      <c r="E20" s="385">
        <f t="shared" si="1"/>
        <v>7.7241787688829984</v>
      </c>
      <c r="F20" s="385">
        <f t="shared" si="2"/>
        <v>7.7246776289728158</v>
      </c>
      <c r="G20" s="110">
        <f t="shared" si="21"/>
        <v>0.37859573834208166</v>
      </c>
      <c r="H20" s="414" t="b">
        <f>Wh_hp&gt;='2020'!Maxi_hp</f>
        <v>0</v>
      </c>
      <c r="I20" s="380">
        <f>IF(H20,Wh_hp,'2020'!Maxi_hp)</f>
        <v>19.527156693189088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2.0476029260669715E-2</v>
      </c>
      <c r="M20" s="844"/>
      <c r="N20" s="844"/>
      <c r="O20" s="48">
        <f>IF(t&lt;Tnet,'2020'!Resal+('2020'!Salim-'2020'!Resal)*(1-EXP(('2020'!Tnet-t)/('2020'!Tau_j))),Resal+(Salim-Resal)*(1-EXP((Tnet-t)/(Tau_j))))*Salcycl</f>
        <v>0.10587051617378032</v>
      </c>
      <c r="P20" s="169">
        <f>(INDEX(Models!$BJ20:$BT20,,T20)*(1-R20)+INDEX(Models!$BJ20:$BT20,,T20+1)*R20-ERP_i)*Q20*Ramure*Pc/MaxiM</f>
        <v>5.7376350670032723E-4</v>
      </c>
      <c r="Q20" s="305">
        <f t="shared" si="4"/>
        <v>0.7</v>
      </c>
      <c r="R20" s="177">
        <f t="shared" si="5"/>
        <v>0.59941785101721079</v>
      </c>
      <c r="S20" s="810">
        <f t="shared" si="6"/>
        <v>-1</v>
      </c>
      <c r="T20" s="176">
        <f t="shared" si="7"/>
        <v>5</v>
      </c>
      <c r="U20" s="251">
        <f t="shared" si="8"/>
        <v>-0.40058214898278921</v>
      </c>
      <c r="V20" s="383">
        <f t="shared" si="9"/>
        <v>17.859564878031001</v>
      </c>
      <c r="W20" s="402"/>
      <c r="X20" s="157">
        <f t="shared" si="10"/>
        <v>44202</v>
      </c>
      <c r="Y20" s="385">
        <f t="shared" si="11"/>
        <v>6.7650000000000006</v>
      </c>
      <c r="Z20" s="385">
        <f t="shared" si="12"/>
        <v>6.9064159756028003</v>
      </c>
      <c r="AA20" s="386">
        <f t="shared" si="13"/>
        <v>7.7241787688829984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0.10587051617378032</v>
      </c>
      <c r="AD20" s="231">
        <f>(INDEX(Models!$BJ20:$BT20,,AH20)*(1-AF20)+INDEX(Models!$BJ20:$BT20,,AH20+1)*AF20-ERP_i)*AE20*Ramure*Pc/MaxiM</f>
        <v>5.7376350670032723E-4</v>
      </c>
      <c r="AE20" s="305">
        <f t="shared" si="15"/>
        <v>0.7</v>
      </c>
      <c r="AF20" s="177">
        <f t="shared" si="22"/>
        <v>0.59941785101721079</v>
      </c>
      <c r="AG20" s="810">
        <f t="shared" si="23"/>
        <v>-1</v>
      </c>
      <c r="AH20" s="176">
        <f t="shared" si="16"/>
        <v>5</v>
      </c>
      <c r="AI20" s="225">
        <f t="shared" si="17"/>
        <v>-0.40058214898278921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6">
        <v>10.904</v>
      </c>
      <c r="C21" s="390"/>
      <c r="D21" s="393">
        <f t="shared" si="0"/>
        <v>11.132196948365301</v>
      </c>
      <c r="E21" s="385">
        <f t="shared" si="1"/>
        <v>12.451252347013199</v>
      </c>
      <c r="F21" s="385">
        <f t="shared" si="2"/>
        <v>12.454416389518343</v>
      </c>
      <c r="G21" s="110">
        <f t="shared" si="21"/>
        <v>0.60616711551522917</v>
      </c>
      <c r="H21" s="414" t="b">
        <f>Wh_hp&gt;='2020'!Maxi_hp</f>
        <v>1</v>
      </c>
      <c r="I21" s="380">
        <f>IF(H21,Wh_hp,'2020'!Maxi_hp)</f>
        <v>12.454416389518343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2.0498824214461253E-2</v>
      </c>
      <c r="M21" s="844"/>
      <c r="N21" s="844"/>
      <c r="O21" s="48">
        <f>IF(t&lt;Tnet,'2020'!Resal+('2020'!Salim-'2020'!Resal)*(1-EXP(('2020'!Tnet-t)/('2020'!Tau_j))),Resal+(Salim-Resal)*(1-EXP((Tnet-t)/(Tau_j))))*Salcycl</f>
        <v>0.10593756851810264</v>
      </c>
      <c r="P21" s="169">
        <f>(INDEX(Models!$BJ21:$BT21,,T21)*(1-R21)+INDEX(Models!$BJ21:$BT21,,T21+1)*R21-ERP_i)*Q21*Ramure*Pc/MaxiM</f>
        <v>5.8046720181257542E-4</v>
      </c>
      <c r="Q21" s="305">
        <f t="shared" si="4"/>
        <v>0.7</v>
      </c>
      <c r="R21" s="177">
        <f t="shared" si="5"/>
        <v>0.59944653550606131</v>
      </c>
      <c r="S21" s="810">
        <f t="shared" si="6"/>
        <v>-1</v>
      </c>
      <c r="T21" s="176">
        <f t="shared" si="7"/>
        <v>5</v>
      </c>
      <c r="U21" s="251">
        <f t="shared" si="8"/>
        <v>-0.40055346449393869</v>
      </c>
      <c r="V21" s="383">
        <f t="shared" si="9"/>
        <v>17.982565470210425</v>
      </c>
      <c r="W21" s="402"/>
      <c r="X21" s="157">
        <f t="shared" si="10"/>
        <v>44203</v>
      </c>
      <c r="Y21" s="385">
        <f t="shared" si="11"/>
        <v>10.904</v>
      </c>
      <c r="Z21" s="385">
        <f t="shared" si="12"/>
        <v>11.132196948365301</v>
      </c>
      <c r="AA21" s="386">
        <f t="shared" si="13"/>
        <v>12.451252347013199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0.10593756851810264</v>
      </c>
      <c r="AD21" s="231">
        <f>(INDEX(Models!$BJ21:$BT21,,AH21)*(1-AF21)+INDEX(Models!$BJ21:$BT21,,AH21+1)*AF21-ERP_i)*AE21*Ramure*Pc/MaxiM</f>
        <v>5.8046720181257542E-4</v>
      </c>
      <c r="AE21" s="305">
        <f t="shared" si="15"/>
        <v>0.7</v>
      </c>
      <c r="AF21" s="177">
        <f t="shared" si="22"/>
        <v>0.59944653550606131</v>
      </c>
      <c r="AG21" s="810">
        <f t="shared" si="23"/>
        <v>-1</v>
      </c>
      <c r="AH21" s="176">
        <f t="shared" si="16"/>
        <v>5</v>
      </c>
      <c r="AI21" s="225">
        <f t="shared" si="17"/>
        <v>-0.40055346449393869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6">
        <v>13.531000000000001</v>
      </c>
      <c r="C22" s="390"/>
      <c r="D22" s="393">
        <f t="shared" si="0"/>
        <v>13.814495814784223</v>
      </c>
      <c r="E22" s="385">
        <f t="shared" si="1"/>
        <v>15.452537145342362</v>
      </c>
      <c r="F22" s="385">
        <f t="shared" si="2"/>
        <v>15.458337172992977</v>
      </c>
      <c r="G22" s="110">
        <f t="shared" si="21"/>
        <v>0.74677957357453995</v>
      </c>
      <c r="H22" s="414" t="b">
        <f>Wh_hp&gt;='2020'!Maxi_hp</f>
        <v>1</v>
      </c>
      <c r="I22" s="380">
        <f>IF(H22,Wh_hp,'2020'!Maxi_hp)</f>
        <v>15.458337172992977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2.0521618637780903E-2</v>
      </c>
      <c r="M22" s="844"/>
      <c r="N22" s="844"/>
      <c r="O22" s="48">
        <f>IF(t&lt;Tnet,'2020'!Resal+('2020'!Salim-'2020'!Resal)*(1-EXP(('2020'!Tnet-t)/('2020'!Tau_j))),Resal+(Salim-Resal)*(1-EXP((Tnet-t)/(Tau_j))))*Salcycl</f>
        <v>0.10600468487156305</v>
      </c>
      <c r="P22" s="169">
        <f>(INDEX(Models!$BJ22:$BT22,,T22)*(1-R22)+INDEX(Models!$BJ22:$BT22,,T22+1)*R22-ERP_i)*Q22*Ramure*Pc/MaxiM</f>
        <v>5.8764864574395198E-4</v>
      </c>
      <c r="Q22" s="305">
        <f t="shared" si="4"/>
        <v>0.7</v>
      </c>
      <c r="R22" s="177">
        <f t="shared" si="5"/>
        <v>0.59947641899085902</v>
      </c>
      <c r="S22" s="810">
        <f t="shared" si="6"/>
        <v>-1</v>
      </c>
      <c r="T22" s="176">
        <f t="shared" si="7"/>
        <v>5</v>
      </c>
      <c r="U22" s="251">
        <f t="shared" si="8"/>
        <v>-0.40052358100914098</v>
      </c>
      <c r="V22" s="383">
        <f t="shared" si="9"/>
        <v>18.11528436132479</v>
      </c>
      <c r="W22" s="402"/>
      <c r="X22" s="157">
        <f t="shared" si="10"/>
        <v>44204</v>
      </c>
      <c r="Y22" s="385">
        <f t="shared" si="11"/>
        <v>13.531000000000001</v>
      </c>
      <c r="Z22" s="385">
        <f t="shared" si="12"/>
        <v>13.814495814784223</v>
      </c>
      <c r="AA22" s="386">
        <f t="shared" si="13"/>
        <v>15.452537145342362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0.10600468487156305</v>
      </c>
      <c r="AD22" s="231">
        <f>(INDEX(Models!$BJ22:$BT22,,AH22)*(1-AF22)+INDEX(Models!$BJ22:$BT22,,AH22+1)*AF22-ERP_i)*AE22*Ramure*Pc/MaxiM</f>
        <v>5.8764864574395198E-4</v>
      </c>
      <c r="AE22" s="305">
        <f t="shared" si="15"/>
        <v>0.7</v>
      </c>
      <c r="AF22" s="177">
        <f t="shared" si="22"/>
        <v>0.59947641899085902</v>
      </c>
      <c r="AG22" s="810">
        <f t="shared" si="23"/>
        <v>-1</v>
      </c>
      <c r="AH22" s="176">
        <f t="shared" si="16"/>
        <v>5</v>
      </c>
      <c r="AI22" s="225">
        <f t="shared" si="17"/>
        <v>-0.40052358100914098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6">
        <v>5.7140000000000004</v>
      </c>
      <c r="C23" s="390"/>
      <c r="D23" s="393">
        <f t="shared" si="0"/>
        <v>5.8338530844092569</v>
      </c>
      <c r="E23" s="385">
        <f t="shared" si="1"/>
        <v>6.5260872706132167</v>
      </c>
      <c r="F23" s="385">
        <f t="shared" si="2"/>
        <v>6.5261592116219207</v>
      </c>
      <c r="G23" s="110">
        <f t="shared" si="21"/>
        <v>0.31277978606601703</v>
      </c>
      <c r="H23" s="414" t="b">
        <f>Wh_hp&gt;='2020'!Maxi_hp</f>
        <v>0</v>
      </c>
      <c r="I23" s="380">
        <f>IF(H23,Wh_hp,'2020'!Maxi_hp)</f>
        <v>19.717901161584987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2.0544412530640987E-2</v>
      </c>
      <c r="M23" s="844"/>
      <c r="N23" s="844"/>
      <c r="O23" s="48">
        <f>IF(t&lt;Tnet,'2020'!Resal+('2020'!Salim-'2020'!Resal)*(1-EXP(('2020'!Tnet-t)/('2020'!Tau_j))),Resal+(Salim-Resal)*(1-EXP((Tnet-t)/(Tau_j))))*Salcycl</f>
        <v>0.10607185553908705</v>
      </c>
      <c r="P23" s="169">
        <f>(INDEX(Models!$BJ23:$BT23,,T23)*(1-R23)+INDEX(Models!$BJ23:$BT23,,T23+1)*R23-ERP_i)*Q23*Ramure*Pc/MaxiM</f>
        <v>5.9528296692010706E-4</v>
      </c>
      <c r="Q23" s="305">
        <f t="shared" si="4"/>
        <v>0.7</v>
      </c>
      <c r="R23" s="177">
        <f t="shared" si="5"/>
        <v>0.5995075513980872</v>
      </c>
      <c r="S23" s="810">
        <f t="shared" si="6"/>
        <v>-1</v>
      </c>
      <c r="T23" s="176">
        <f t="shared" si="7"/>
        <v>5</v>
      </c>
      <c r="U23" s="251">
        <f t="shared" si="8"/>
        <v>-0.40049244860191285</v>
      </c>
      <c r="V23" s="383">
        <f t="shared" si="9"/>
        <v>18.257770351261897</v>
      </c>
      <c r="W23" s="402"/>
      <c r="X23" s="157">
        <f t="shared" si="10"/>
        <v>44205</v>
      </c>
      <c r="Y23" s="385">
        <f t="shared" si="11"/>
        <v>5.7140000000000004</v>
      </c>
      <c r="Z23" s="385">
        <f t="shared" si="12"/>
        <v>5.8338530844092569</v>
      </c>
      <c r="AA23" s="386">
        <f t="shared" si="13"/>
        <v>6.5260872706132167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0.10607185553908705</v>
      </c>
      <c r="AD23" s="231">
        <f>(INDEX(Models!$BJ23:$BT23,,AH23)*(1-AF23)+INDEX(Models!$BJ23:$BT23,,AH23+1)*AF23-ERP_i)*AE23*Ramure*Pc/MaxiM</f>
        <v>5.9528296692010706E-4</v>
      </c>
      <c r="AE23" s="305">
        <f t="shared" si="15"/>
        <v>0.7</v>
      </c>
      <c r="AF23" s="177">
        <f t="shared" si="22"/>
        <v>0.5995075513980872</v>
      </c>
      <c r="AG23" s="810">
        <f t="shared" si="23"/>
        <v>-1</v>
      </c>
      <c r="AH23" s="176">
        <f t="shared" si="16"/>
        <v>5</v>
      </c>
      <c r="AI23" s="225">
        <f t="shared" si="17"/>
        <v>-0.40049244860191285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6">
        <v>5.1040000000000001</v>
      </c>
      <c r="C24" s="390"/>
      <c r="D24" s="393">
        <f t="shared" si="0"/>
        <v>5.2111793996584161</v>
      </c>
      <c r="E24" s="385">
        <f t="shared" si="1"/>
        <v>5.8299666579328377</v>
      </c>
      <c r="F24" s="385">
        <f t="shared" si="2"/>
        <v>5.8299666579328377</v>
      </c>
      <c r="G24" s="110">
        <f t="shared" si="21"/>
        <v>0.27708148806434324</v>
      </c>
      <c r="H24" s="414" t="b">
        <f>Wh_hp&gt;='2020'!Maxi_hp</f>
        <v>0</v>
      </c>
      <c r="I24" s="380">
        <f>IF(H24,Wh_hp,'2020'!Maxi_hp)</f>
        <v>10.382626561505731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2.0567205893053941E-2</v>
      </c>
      <c r="M24" s="844"/>
      <c r="N24" s="844"/>
      <c r="O24" s="48">
        <f>IF(t&lt;Tnet,'2020'!Resal+('2020'!Salim-'2020'!Resal)*(1-EXP(('2020'!Tnet-t)/('2020'!Tau_j))),Resal+(Salim-Resal)*(1-EXP((Tnet-t)/(Tau_j))))*Salcycl</f>
        <v>0.10613907327110322</v>
      </c>
      <c r="P24" s="169">
        <f>(INDEX(Models!$BJ24:$BT24,,T24)*(1-R24)+INDEX(Models!$BJ24:$BT24,,T24+1)*R24-ERP_i)*Q24*Ramure*Pc/MaxiM</f>
        <v>6.0380168515918259E-4</v>
      </c>
      <c r="Q24" s="305">
        <f t="shared" si="4"/>
        <v>0.7</v>
      </c>
      <c r="R24" s="177">
        <f t="shared" si="5"/>
        <v>0.59953998471686276</v>
      </c>
      <c r="S24" s="810">
        <f t="shared" si="6"/>
        <v>-1</v>
      </c>
      <c r="T24" s="176">
        <f t="shared" si="7"/>
        <v>5</v>
      </c>
      <c r="U24" s="251">
        <f t="shared" si="8"/>
        <v>-0.40046001528313724</v>
      </c>
      <c r="V24" s="383">
        <f t="shared" si="9"/>
        <v>18.409451428290382</v>
      </c>
      <c r="W24" s="402"/>
      <c r="X24" s="157">
        <f t="shared" si="10"/>
        <v>44206</v>
      </c>
      <c r="Y24" s="385">
        <f t="shared" si="11"/>
        <v>5.1040000000000001</v>
      </c>
      <c r="Z24" s="385">
        <f t="shared" si="12"/>
        <v>5.2111793996584161</v>
      </c>
      <c r="AA24" s="386">
        <f t="shared" si="13"/>
        <v>5.8299666579328377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0.10613907327110322</v>
      </c>
      <c r="AD24" s="231">
        <f>(INDEX(Models!$BJ24:$BT24,,AH24)*(1-AF24)+INDEX(Models!$BJ24:$BT24,,AH24+1)*AF24-ERP_i)*AE24*Ramure*Pc/MaxiM</f>
        <v>6.0380168515918259E-4</v>
      </c>
      <c r="AE24" s="305">
        <f t="shared" si="15"/>
        <v>0.7</v>
      </c>
      <c r="AF24" s="177">
        <f t="shared" si="22"/>
        <v>0.59953998471686276</v>
      </c>
      <c r="AG24" s="810">
        <f t="shared" si="23"/>
        <v>-1</v>
      </c>
      <c r="AH24" s="176">
        <f t="shared" si="16"/>
        <v>5</v>
      </c>
      <c r="AI24" s="225">
        <f t="shared" si="17"/>
        <v>-0.40046001528313724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6">
        <v>4.6920000000000002</v>
      </c>
      <c r="C25" s="390"/>
      <c r="D25" s="393">
        <f t="shared" si="0"/>
        <v>4.7906392561767683</v>
      </c>
      <c r="E25" s="385">
        <f t="shared" si="1"/>
        <v>5.3598939368703356</v>
      </c>
      <c r="F25" s="385">
        <f t="shared" si="2"/>
        <v>5.3598939368703356</v>
      </c>
      <c r="G25" s="110">
        <f t="shared" si="21"/>
        <v>0.25251185604360632</v>
      </c>
      <c r="H25" s="414" t="b">
        <f>Wh_hp&gt;='2020'!Maxi_hp</f>
        <v>0</v>
      </c>
      <c r="I25" s="380">
        <f>IF(H25,Wh_hp,'2020'!Maxi_hp)</f>
        <v>21.254088345725958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2.0589998725031977E-2</v>
      </c>
      <c r="M25" s="844"/>
      <c r="N25" s="844"/>
      <c r="O25" s="48">
        <f>IF(t&lt;Tnet,'2020'!Resal+('2020'!Salim-'2020'!Resal)*(1-EXP(('2020'!Tnet-t)/('2020'!Tau_j))),Resal+(Salim-Resal)*(1-EXP((Tnet-t)/(Tau_j))))*Salcycl</f>
        <v>0.10620633307269463</v>
      </c>
      <c r="P25" s="169">
        <f>(INDEX(Models!$BJ25:$BT25,,T25)*(1-R25)+INDEX(Models!$BJ25:$BT25,,T25+1)*R25-ERP_i)*Q25*Ramure*Pc/MaxiM</f>
        <v>6.1267215986872414E-4</v>
      </c>
      <c r="Q25" s="305">
        <f t="shared" si="4"/>
        <v>0.7</v>
      </c>
      <c r="R25" s="177">
        <f t="shared" si="5"/>
        <v>0.59957377308275561</v>
      </c>
      <c r="S25" s="810">
        <f t="shared" si="6"/>
        <v>-1</v>
      </c>
      <c r="T25" s="176">
        <f t="shared" si="7"/>
        <v>5</v>
      </c>
      <c r="U25" s="251">
        <f t="shared" si="8"/>
        <v>-0.40042622691724439</v>
      </c>
      <c r="V25" s="383">
        <f t="shared" si="9"/>
        <v>18.569921490799743</v>
      </c>
      <c r="W25" s="402"/>
      <c r="X25" s="157">
        <f t="shared" si="10"/>
        <v>44207</v>
      </c>
      <c r="Y25" s="385">
        <f t="shared" si="11"/>
        <v>4.6920000000000002</v>
      </c>
      <c r="Z25" s="385">
        <f t="shared" si="12"/>
        <v>4.7906392561767683</v>
      </c>
      <c r="AA25" s="386">
        <f t="shared" si="13"/>
        <v>5.3598939368703356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0.10620633307269463</v>
      </c>
      <c r="AD25" s="231">
        <f>(INDEX(Models!$BJ25:$BT25,,AH25)*(1-AF25)+INDEX(Models!$BJ25:$BT25,,AH25+1)*AF25-ERP_i)*AE25*Ramure*Pc/MaxiM</f>
        <v>6.1267215986872414E-4</v>
      </c>
      <c r="AE25" s="305">
        <f t="shared" si="15"/>
        <v>0.7</v>
      </c>
      <c r="AF25" s="177">
        <f t="shared" si="22"/>
        <v>0.59957377308275561</v>
      </c>
      <c r="AG25" s="810">
        <f t="shared" si="23"/>
        <v>-1</v>
      </c>
      <c r="AH25" s="176">
        <f t="shared" si="16"/>
        <v>5</v>
      </c>
      <c r="AI25" s="225">
        <f t="shared" si="17"/>
        <v>-0.40042622691724439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6">
        <v>9.4550000000000001</v>
      </c>
      <c r="C26" s="390"/>
      <c r="D26" s="393">
        <f t="shared" si="0"/>
        <v>9.6539957979547975</v>
      </c>
      <c r="E26" s="385">
        <f t="shared" si="1"/>
        <v>10.801959238998943</v>
      </c>
      <c r="F26" s="385">
        <f t="shared" si="2"/>
        <v>10.803922750372831</v>
      </c>
      <c r="G26" s="110">
        <f t="shared" si="21"/>
        <v>0.50434687880332896</v>
      </c>
      <c r="H26" s="414" t="b">
        <f>Wh_hp&gt;='2020'!Maxi_hp</f>
        <v>0</v>
      </c>
      <c r="I26" s="380">
        <f>IF(H26,Wh_hp,'2020'!Maxi_hp)</f>
        <v>20.947040284507079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2.061279102658764E-2</v>
      </c>
      <c r="M26" s="844"/>
      <c r="N26" s="844"/>
      <c r="O26" s="48">
        <f>IF(t&lt;Tnet,'2020'!Resal+('2020'!Salim-'2020'!Resal)*(1-EXP(('2020'!Tnet-t)/('2020'!Tau_j))),Resal+(Salim-Resal)*(1-EXP((Tnet-t)/(Tau_j))))*Salcycl</f>
        <v>0.106273631999979</v>
      </c>
      <c r="P26" s="169">
        <f>(INDEX(Models!$BJ26:$BT26,,T26)*(1-R26)+INDEX(Models!$BJ26:$BT26,,T26+1)*R26-ERP_i)*Q26*Ramure*Pc/MaxiM</f>
        <v>6.2188511742928946E-4</v>
      </c>
      <c r="Q26" s="305">
        <f t="shared" si="4"/>
        <v>0.7</v>
      </c>
      <c r="R26" s="177">
        <f t="shared" si="5"/>
        <v>0.59960897286489245</v>
      </c>
      <c r="S26" s="810">
        <f t="shared" si="6"/>
        <v>-1</v>
      </c>
      <c r="T26" s="176">
        <f t="shared" si="7"/>
        <v>5</v>
      </c>
      <c r="U26" s="251">
        <f t="shared" si="8"/>
        <v>-0.40039102713510755</v>
      </c>
      <c r="V26" s="383">
        <f t="shared" si="9"/>
        <v>18.738765072807247</v>
      </c>
      <c r="W26" s="402"/>
      <c r="X26" s="157">
        <f t="shared" si="10"/>
        <v>44208</v>
      </c>
      <c r="Y26" s="385">
        <f t="shared" si="11"/>
        <v>9.4550000000000001</v>
      </c>
      <c r="Z26" s="385">
        <f t="shared" si="12"/>
        <v>9.6539957979547975</v>
      </c>
      <c r="AA26" s="386">
        <f t="shared" si="13"/>
        <v>10.801959238998943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0.106273631999979</v>
      </c>
      <c r="AD26" s="231">
        <f>(INDEX(Models!$BJ26:$BT26,,AH26)*(1-AF26)+INDEX(Models!$BJ26:$BT26,,AH26+1)*AF26-ERP_i)*AE26*Ramure*Pc/MaxiM</f>
        <v>6.2188511742928946E-4</v>
      </c>
      <c r="AE26" s="305">
        <f t="shared" si="15"/>
        <v>0.7</v>
      </c>
      <c r="AF26" s="177">
        <f t="shared" si="22"/>
        <v>0.59960897286489245</v>
      </c>
      <c r="AG26" s="810">
        <f t="shared" si="23"/>
        <v>-1</v>
      </c>
      <c r="AH26" s="176">
        <f t="shared" si="16"/>
        <v>5</v>
      </c>
      <c r="AI26" s="225">
        <f t="shared" si="17"/>
        <v>-0.40039102713510755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6">
        <v>8.6059999999999999</v>
      </c>
      <c r="C27" s="390"/>
      <c r="D27" s="393">
        <f t="shared" si="0"/>
        <v>8.7873317110954545</v>
      </c>
      <c r="E27" s="385">
        <f t="shared" si="1"/>
        <v>9.8329803714214865</v>
      </c>
      <c r="F27" s="385">
        <f t="shared" si="2"/>
        <v>9.834355107607772</v>
      </c>
      <c r="G27" s="110">
        <f t="shared" si="21"/>
        <v>0.45474547027557649</v>
      </c>
      <c r="H27" s="414" t="b">
        <f>Wh_hp&gt;='2020'!Maxi_hp</f>
        <v>0</v>
      </c>
      <c r="I27" s="380">
        <f>IF(H27,Wh_hp,'2020'!Maxi_hp)</f>
        <v>14.546314827403963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2.0635582797733032E-2</v>
      </c>
      <c r="M27" s="844"/>
      <c r="N27" s="844"/>
      <c r="O27" s="48">
        <f>IF(t&lt;Tnet,'2020'!Resal+('2020'!Salim-'2020'!Resal)*(1-EXP(('2020'!Tnet-t)/('2020'!Tau_j))),Resal+(Salim-Resal)*(1-EXP((Tnet-t)/(Tau_j))))*Salcycl</f>
        <v>0.10634096894621065</v>
      </c>
      <c r="P27" s="169">
        <f>(INDEX(Models!$BJ27:$BT27,,T27)*(1-R27)+INDEX(Models!$BJ27:$BT27,,T27+1)*R27-ERP_i)*Q27*Ramure*Pc/MaxiM</f>
        <v>6.3143139763693337E-4</v>
      </c>
      <c r="Q27" s="305">
        <f t="shared" si="4"/>
        <v>0.7</v>
      </c>
      <c r="R27" s="177">
        <f t="shared" si="5"/>
        <v>0.59964564275646781</v>
      </c>
      <c r="S27" s="810">
        <f t="shared" si="6"/>
        <v>-1</v>
      </c>
      <c r="T27" s="176">
        <f t="shared" si="7"/>
        <v>5</v>
      </c>
      <c r="U27" s="251">
        <f t="shared" si="8"/>
        <v>-0.40035435724353224</v>
      </c>
      <c r="V27" s="383">
        <f t="shared" si="9"/>
        <v>18.915566833689837</v>
      </c>
      <c r="W27" s="402"/>
      <c r="X27" s="157">
        <f t="shared" si="10"/>
        <v>44209</v>
      </c>
      <c r="Y27" s="385">
        <f t="shared" si="11"/>
        <v>8.6059999999999999</v>
      </c>
      <c r="Z27" s="385">
        <f t="shared" si="12"/>
        <v>8.7873317110954545</v>
      </c>
      <c r="AA27" s="386">
        <f t="shared" si="13"/>
        <v>9.8329803714214865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0.10634096894621065</v>
      </c>
      <c r="AD27" s="231">
        <f>(INDEX(Models!$BJ27:$BT27,,AH27)*(1-AF27)+INDEX(Models!$BJ27:$BT27,,AH27+1)*AF27-ERP_i)*AE27*Ramure*Pc/MaxiM</f>
        <v>6.3143139763693337E-4</v>
      </c>
      <c r="AE27" s="305">
        <f t="shared" si="15"/>
        <v>0.7</v>
      </c>
      <c r="AF27" s="177">
        <f t="shared" si="22"/>
        <v>0.59964564275646781</v>
      </c>
      <c r="AG27" s="810">
        <f t="shared" si="23"/>
        <v>-1</v>
      </c>
      <c r="AH27" s="176">
        <f t="shared" si="16"/>
        <v>5</v>
      </c>
      <c r="AI27" s="225">
        <f t="shared" si="17"/>
        <v>-0.40035435724353224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6">
        <v>9.7780000000000005</v>
      </c>
      <c r="C28" s="390"/>
      <c r="D28" s="393">
        <f t="shared" si="0"/>
        <v>9.9842585475726544</v>
      </c>
      <c r="E28" s="385">
        <f t="shared" si="1"/>
        <v>11.17317791099307</v>
      </c>
      <c r="F28" s="385">
        <f t="shared" si="2"/>
        <v>11.175347800522363</v>
      </c>
      <c r="G28" s="110">
        <f t="shared" si="21"/>
        <v>0.5117105929622161</v>
      </c>
      <c r="H28" s="414" t="b">
        <f>Wh_hp&gt;='2020'!Maxi_hp</f>
        <v>0</v>
      </c>
      <c r="I28" s="380">
        <f>IF(H28,Wh_hp,'2020'!Maxi_hp)</f>
        <v>21.020639575566872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2.0658374038480698E-2</v>
      </c>
      <c r="M28" s="844"/>
      <c r="N28" s="844"/>
      <c r="O28" s="48">
        <f>IF(t&lt;Tnet,'2020'!Resal+('2020'!Salim-'2020'!Resal)*(1-EXP(('2020'!Tnet-t)/('2020'!Tau_j))),Resal+(Salim-Resal)*(1-EXP((Tnet-t)/(Tau_j))))*Salcycl</f>
        <v>0.10640834442013697</v>
      </c>
      <c r="P28" s="169">
        <f>(INDEX(Models!$BJ28:$BT28,,T28)*(1-R28)+INDEX(Models!$BJ28:$BT28,,T28+1)*R28-ERP_i)*Q28*Ramure*Pc/MaxiM</f>
        <v>6.413020407211483E-4</v>
      </c>
      <c r="Q28" s="305">
        <f t="shared" si="4"/>
        <v>0.7</v>
      </c>
      <c r="R28" s="177">
        <f t="shared" si="5"/>
        <v>0.59968384386877938</v>
      </c>
      <c r="S28" s="810">
        <f t="shared" si="6"/>
        <v>-1</v>
      </c>
      <c r="T28" s="176">
        <f t="shared" si="7"/>
        <v>5</v>
      </c>
      <c r="U28" s="251">
        <f t="shared" si="8"/>
        <v>-0.40031615613122062</v>
      </c>
      <c r="V28" s="383">
        <f t="shared" si="9"/>
        <v>19.099911559312833</v>
      </c>
      <c r="W28" s="402"/>
      <c r="X28" s="157">
        <f t="shared" si="10"/>
        <v>44210</v>
      </c>
      <c r="Y28" s="385">
        <f t="shared" si="11"/>
        <v>9.7780000000000005</v>
      </c>
      <c r="Z28" s="385">
        <f t="shared" si="12"/>
        <v>9.9842585475726544</v>
      </c>
      <c r="AA28" s="386">
        <f t="shared" si="13"/>
        <v>11.17317791099307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0.10640834442013697</v>
      </c>
      <c r="AD28" s="231">
        <f>(INDEX(Models!$BJ28:$BT28,,AH28)*(1-AF28)+INDEX(Models!$BJ28:$BT28,,AH28+1)*AF28-ERP_i)*AE28*Ramure*Pc/MaxiM</f>
        <v>6.413020407211483E-4</v>
      </c>
      <c r="AE28" s="305">
        <f t="shared" si="15"/>
        <v>0.7</v>
      </c>
      <c r="AF28" s="177">
        <f t="shared" si="22"/>
        <v>0.59968384386877938</v>
      </c>
      <c r="AG28" s="810">
        <f t="shared" si="23"/>
        <v>-1</v>
      </c>
      <c r="AH28" s="176">
        <f t="shared" si="16"/>
        <v>5</v>
      </c>
      <c r="AI28" s="225">
        <f t="shared" si="17"/>
        <v>-0.40031615613122062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6">
        <v>13.632</v>
      </c>
      <c r="C29" s="390"/>
      <c r="D29" s="393">
        <f t="shared" si="0"/>
        <v>13.919879317448155</v>
      </c>
      <c r="E29" s="385">
        <f t="shared" si="1"/>
        <v>15.578625289919627</v>
      </c>
      <c r="F29" s="385">
        <f t="shared" si="2"/>
        <v>15.584523343540283</v>
      </c>
      <c r="G29" s="110">
        <f t="shared" si="21"/>
        <v>0.70644368954487224</v>
      </c>
      <c r="H29" s="414" t="b">
        <f>Wh_hp&gt;='2020'!Maxi_hp</f>
        <v>0</v>
      </c>
      <c r="I29" s="380">
        <f>IF(H29,Wh_hp,'2020'!Maxi_hp)</f>
        <v>21.52059891366666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2.0681164748842851E-2</v>
      </c>
      <c r="M29" s="844"/>
      <c r="N29" s="844"/>
      <c r="O29" s="48">
        <f>IF(t&lt;Tnet,'2020'!Resal+('2020'!Salim-'2020'!Resal)*(1-EXP(('2020'!Tnet-t)/('2020'!Tau_j))),Resal+(Salim-Resal)*(1-EXP((Tnet-t)/(Tau_j))))*Salcycl</f>
        <v>0.10647576031915912</v>
      </c>
      <c r="P29" s="169">
        <f>(INDEX(Models!$BJ29:$BT29,,T29)*(1-R29)+INDEX(Models!$BJ29:$BT29,,T29+1)*R29-ERP_i)*Q29*Ramure*Pc/MaxiM</f>
        <v>6.5148836383699176E-4</v>
      </c>
      <c r="Q29" s="305">
        <f t="shared" si="4"/>
        <v>0.7</v>
      </c>
      <c r="R29" s="177">
        <f t="shared" si="5"/>
        <v>0.59972363982891719</v>
      </c>
      <c r="S29" s="810">
        <f t="shared" si="6"/>
        <v>-1</v>
      </c>
      <c r="T29" s="176">
        <f t="shared" si="7"/>
        <v>5</v>
      </c>
      <c r="U29" s="251">
        <f t="shared" si="8"/>
        <v>-0.40027636017108281</v>
      </c>
      <c r="V29" s="383">
        <f t="shared" si="9"/>
        <v>19.291384172539274</v>
      </c>
      <c r="W29" s="402"/>
      <c r="X29" s="157">
        <f t="shared" si="10"/>
        <v>44211</v>
      </c>
      <c r="Y29" s="385">
        <f t="shared" si="11"/>
        <v>13.632</v>
      </c>
      <c r="Z29" s="385">
        <f t="shared" si="12"/>
        <v>13.919879317448155</v>
      </c>
      <c r="AA29" s="386">
        <f t="shared" si="13"/>
        <v>15.578625289919627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0.10647576031915912</v>
      </c>
      <c r="AD29" s="231">
        <f>(INDEX(Models!$BJ29:$BT29,,AH29)*(1-AF29)+INDEX(Models!$BJ29:$BT29,,AH29+1)*AF29-ERP_i)*AE29*Ramure*Pc/MaxiM</f>
        <v>6.5148836383699176E-4</v>
      </c>
      <c r="AE29" s="305">
        <f t="shared" si="15"/>
        <v>0.7</v>
      </c>
      <c r="AF29" s="177">
        <f t="shared" si="22"/>
        <v>0.59972363982891719</v>
      </c>
      <c r="AG29" s="810">
        <f t="shared" si="23"/>
        <v>-1</v>
      </c>
      <c r="AH29" s="176">
        <f t="shared" si="16"/>
        <v>5</v>
      </c>
      <c r="AI29" s="225">
        <f t="shared" si="17"/>
        <v>-0.40027636017108281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6">
        <v>12.489000000000001</v>
      </c>
      <c r="C30" s="390"/>
      <c r="D30" s="393">
        <f t="shared" si="0"/>
        <v>12.753038330806687</v>
      </c>
      <c r="E30" s="385">
        <f t="shared" si="1"/>
        <v>14.27381672174698</v>
      </c>
      <c r="F30" s="385">
        <f t="shared" si="2"/>
        <v>14.278433493198877</v>
      </c>
      <c r="G30" s="110">
        <f t="shared" si="21"/>
        <v>0.64058722123026079</v>
      </c>
      <c r="H30" s="414" t="b">
        <f>Wh_hp&gt;='2020'!Maxi_hp</f>
        <v>0</v>
      </c>
      <c r="I30" s="380">
        <f>IF(H30,Wh_hp,'2020'!Maxi_hp)</f>
        <v>21.236104947240008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2.0703954928831814E-2</v>
      </c>
      <c r="M30" s="844"/>
      <c r="N30" s="844"/>
      <c r="O30" s="48">
        <f>IF(t&lt;Tnet,'2020'!Resal+('2020'!Salim-'2020'!Resal)*(1-EXP(('2020'!Tnet-t)/('2020'!Tau_j))),Resal+(Salim-Resal)*(1-EXP((Tnet-t)/(Tau_j))))*Salcycl</f>
        <v>0.10654321969983686</v>
      </c>
      <c r="P30" s="169">
        <f>(INDEX(Models!$BJ30:$BT30,,T30)*(1-R30)+INDEX(Models!$BJ30:$BT30,,T30+1)*R30-ERP_i)*Q30*Ramure*Pc/MaxiM</f>
        <v>6.6412379786188916E-4</v>
      </c>
      <c r="Q30" s="305">
        <f t="shared" si="4"/>
        <v>0.7</v>
      </c>
      <c r="R30" s="177">
        <f t="shared" si="5"/>
        <v>0.59976509688123181</v>
      </c>
      <c r="S30" s="810">
        <f t="shared" si="6"/>
        <v>-1</v>
      </c>
      <c r="T30" s="176">
        <f t="shared" si="7"/>
        <v>5</v>
      </c>
      <c r="U30" s="251">
        <f t="shared" si="8"/>
        <v>-0.40023490311876819</v>
      </c>
      <c r="V30" s="383">
        <f t="shared" si="9"/>
        <v>19.489527960769557</v>
      </c>
      <c r="W30" s="402"/>
      <c r="X30" s="157">
        <f t="shared" si="10"/>
        <v>44212</v>
      </c>
      <c r="Y30" s="385">
        <f t="shared" si="11"/>
        <v>12.489000000000001</v>
      </c>
      <c r="Z30" s="385">
        <f t="shared" si="12"/>
        <v>12.753038330806687</v>
      </c>
      <c r="AA30" s="386">
        <f t="shared" si="13"/>
        <v>14.27381672174698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0.10654321969983686</v>
      </c>
      <c r="AD30" s="231">
        <f>(INDEX(Models!$BJ30:$BT30,,AH30)*(1-AF30)+INDEX(Models!$BJ30:$BT30,,AH30+1)*AF30-ERP_i)*AE30*Ramure*Pc/MaxiM</f>
        <v>6.6412379786188916E-4</v>
      </c>
      <c r="AE30" s="305">
        <f t="shared" si="15"/>
        <v>0.7</v>
      </c>
      <c r="AF30" s="177">
        <f t="shared" si="22"/>
        <v>0.59976509688123181</v>
      </c>
      <c r="AG30" s="810">
        <f t="shared" si="23"/>
        <v>-1</v>
      </c>
      <c r="AH30" s="176">
        <f t="shared" si="16"/>
        <v>5</v>
      </c>
      <c r="AI30" s="225">
        <f t="shared" si="17"/>
        <v>-0.40023490311876819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6">
        <v>6.9320000000000004</v>
      </c>
      <c r="C31" s="390"/>
      <c r="D31" s="393">
        <f t="shared" si="0"/>
        <v>7.0787187964364842</v>
      </c>
      <c r="E31" s="385">
        <f t="shared" si="1"/>
        <v>7.9234427889274821</v>
      </c>
      <c r="F31" s="385">
        <f t="shared" si="2"/>
        <v>7.9238422508946789</v>
      </c>
      <c r="G31" s="110">
        <f t="shared" si="21"/>
        <v>0.3517653483183521</v>
      </c>
      <c r="H31" s="414" t="b">
        <f>Wh_hp&gt;='2020'!Maxi_hp</f>
        <v>0</v>
      </c>
      <c r="I31" s="380">
        <f>IF(H31,Wh_hp,'2020'!Maxi_hp)</f>
        <v>10.408297971270743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2.0726744578460132E-2</v>
      </c>
      <c r="M31" s="844"/>
      <c r="N31" s="844"/>
      <c r="O31" s="48">
        <f>IF(t&lt;Tnet,'2020'!Resal+('2020'!Salim-'2020'!Resal)*(1-EXP(('2020'!Tnet-t)/('2020'!Tau_j))),Resal+(Salim-Resal)*(1-EXP((Tnet-t)/(Tau_j))))*Salcycl</f>
        <v>0.10661072654824337</v>
      </c>
      <c r="P31" s="169">
        <f>(INDEX(Models!$BJ31:$BT31,,T31)*(1-R31)+INDEX(Models!$BJ31:$BT31,,T31+1)*R31-ERP_i)*Q31*Ramure*Pc/MaxiM</f>
        <v>6.788075927825995E-4</v>
      </c>
      <c r="Q31" s="305">
        <f t="shared" si="4"/>
        <v>0.7</v>
      </c>
      <c r="R31" s="177">
        <f t="shared" si="5"/>
        <v>0.59980828399271513</v>
      </c>
      <c r="S31" s="810">
        <f t="shared" si="6"/>
        <v>-1</v>
      </c>
      <c r="T31" s="176">
        <f t="shared" si="7"/>
        <v>5</v>
      </c>
      <c r="U31" s="251">
        <f t="shared" si="8"/>
        <v>-0.40019171600728487</v>
      </c>
      <c r="V31" s="383">
        <f t="shared" si="9"/>
        <v>19.693934549936678</v>
      </c>
      <c r="W31" s="402"/>
      <c r="X31" s="157">
        <f t="shared" si="10"/>
        <v>44213</v>
      </c>
      <c r="Y31" s="385">
        <f t="shared" si="11"/>
        <v>6.9320000000000004</v>
      </c>
      <c r="Z31" s="385">
        <f t="shared" si="12"/>
        <v>7.0787187964364842</v>
      </c>
      <c r="AA31" s="386">
        <f t="shared" si="13"/>
        <v>7.9234427889274821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0.10661072654824337</v>
      </c>
      <c r="AD31" s="231">
        <f>(INDEX(Models!$BJ31:$BT31,,AH31)*(1-AF31)+INDEX(Models!$BJ31:$BT31,,AH31+1)*AF31-ERP_i)*AE31*Ramure*Pc/MaxiM</f>
        <v>6.788075927825995E-4</v>
      </c>
      <c r="AE31" s="305">
        <f t="shared" si="15"/>
        <v>0.7</v>
      </c>
      <c r="AF31" s="177">
        <f t="shared" si="22"/>
        <v>0.59980828399271513</v>
      </c>
      <c r="AG31" s="810">
        <f t="shared" si="23"/>
        <v>-1</v>
      </c>
      <c r="AH31" s="176">
        <f t="shared" si="16"/>
        <v>5</v>
      </c>
      <c r="AI31" s="225">
        <f t="shared" si="17"/>
        <v>-0.40019171600728487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6">
        <v>19.712</v>
      </c>
      <c r="C32" s="390"/>
      <c r="D32" s="393">
        <f t="shared" si="0"/>
        <v>20.129681504706681</v>
      </c>
      <c r="E32" s="385">
        <f t="shared" si="1"/>
        <v>22.53351864077224</v>
      </c>
      <c r="F32" s="385">
        <f t="shared" si="2"/>
        <v>22.54898457519629</v>
      </c>
      <c r="G32" s="110">
        <f t="shared" si="21"/>
        <v>0.99033477263129377</v>
      </c>
      <c r="H32" s="414" t="b">
        <f>Wh_hp&gt;='2020'!Maxi_hp</f>
        <v>1</v>
      </c>
      <c r="I32" s="380">
        <f>IF(H32,Wh_hp,'2020'!Maxi_hp)</f>
        <v>22.54898457519629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2.0749533697739908E-2</v>
      </c>
      <c r="M32" s="844"/>
      <c r="N32" s="844"/>
      <c r="O32" s="48">
        <f>IF(t&lt;Tnet,'2020'!Resal+('2020'!Salim-'2020'!Resal)*(1-EXP(('2020'!Tnet-t)/('2020'!Tau_j))),Resal+(Salim-Resal)*(1-EXP((Tnet-t)/(Tau_j))))*Salcycl</f>
        <v>0.10667828555261877</v>
      </c>
      <c r="P32" s="169">
        <f>(INDEX(Models!$BJ32:$BT32,,T32)*(1-R32)+INDEX(Models!$BJ32:$BT32,,T32+1)*R32-ERP_i)*Q32*Ramure*Pc/MaxiM</f>
        <v>6.9547493769327748E-4</v>
      </c>
      <c r="Q32" s="305">
        <f t="shared" si="4"/>
        <v>0.7</v>
      </c>
      <c r="R32" s="177">
        <f t="shared" si="5"/>
        <v>0.59985327296242841</v>
      </c>
      <c r="S32" s="810">
        <f t="shared" si="6"/>
        <v>-1</v>
      </c>
      <c r="T32" s="176">
        <f t="shared" si="7"/>
        <v>5</v>
      </c>
      <c r="U32" s="251">
        <f t="shared" si="8"/>
        <v>-0.40014672703757154</v>
      </c>
      <c r="V32" s="383">
        <f t="shared" si="9"/>
        <v>19.904189282040594</v>
      </c>
      <c r="W32" s="402"/>
      <c r="X32" s="157">
        <f t="shared" si="10"/>
        <v>44214</v>
      </c>
      <c r="Y32" s="385">
        <f t="shared" si="11"/>
        <v>19.712</v>
      </c>
      <c r="Z32" s="385">
        <f t="shared" si="12"/>
        <v>20.129681504706681</v>
      </c>
      <c r="AA32" s="386">
        <f t="shared" si="13"/>
        <v>22.53351864077224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0.10667828555261877</v>
      </c>
      <c r="AD32" s="231">
        <f>(INDEX(Models!$BJ32:$BT32,,AH32)*(1-AF32)+INDEX(Models!$BJ32:$BT32,,AH32+1)*AF32-ERP_i)*AE32*Ramure*Pc/MaxiM</f>
        <v>6.9547493769327748E-4</v>
      </c>
      <c r="AE32" s="305">
        <f t="shared" si="15"/>
        <v>0.7</v>
      </c>
      <c r="AF32" s="177">
        <f t="shared" si="22"/>
        <v>0.59985327296242841</v>
      </c>
      <c r="AG32" s="810">
        <f t="shared" si="23"/>
        <v>-1</v>
      </c>
      <c r="AH32" s="176">
        <f t="shared" si="16"/>
        <v>5</v>
      </c>
      <c r="AI32" s="225">
        <f t="shared" si="17"/>
        <v>-0.40014672703757154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6">
        <v>20.206</v>
      </c>
      <c r="C33" s="390"/>
      <c r="D33" s="393">
        <f t="shared" si="0"/>
        <v>20.634629167329983</v>
      </c>
      <c r="E33" s="385">
        <f t="shared" si="1"/>
        <v>23.100514412164348</v>
      </c>
      <c r="F33" s="385">
        <f t="shared" si="2"/>
        <v>23.11702137632702</v>
      </c>
      <c r="G33" s="110">
        <f t="shared" si="21"/>
        <v>1.0042804605490783</v>
      </c>
      <c r="H33" s="414" t="b">
        <f>Wh_hp&gt;='2020'!Maxi_hp</f>
        <v>0</v>
      </c>
      <c r="I33" s="380">
        <f>IF(H33,Wh_hp,'2020'!Maxi_hp)</f>
        <v>23.630965099383026</v>
      </c>
      <c r="J33" s="85">
        <f>IF(H33,An,'2020'!An_max)</f>
        <v>2020</v>
      </c>
      <c r="K33" s="197">
        <f t="shared" si="3"/>
        <v>44215</v>
      </c>
      <c r="L33" s="147">
        <f>IF(t&lt;Tvie,1-EXP((T0-t)*PertePVj)+'2020'!Pspv,1-EXP((T0-t)*PertePVj)+Pspv)</f>
        <v>2.0772322286683687E-2</v>
      </c>
      <c r="M33" s="844"/>
      <c r="N33" s="844"/>
      <c r="O33" s="48">
        <f>IF(t&lt;Tnet,'2020'!Resal+('2020'!Salim-'2020'!Resal)*(1-EXP(('2020'!Tnet-t)/('2020'!Tau_j))),Resal+(Salim-Resal)*(1-EXP((Tnet-t)/(Tau_j))))*Salcycl</f>
        <v>0.10674590188069021</v>
      </c>
      <c r="P33" s="169">
        <f>(INDEX(Models!$BJ33:$BT33,,T33)*(1-R33)+INDEX(Models!$BJ33:$BT33,,T33+1)*R33-ERP_i)*Q33*Ramure*Pc/MaxiM</f>
        <v>7.1406103294853072E-4</v>
      </c>
      <c r="Q33" s="305">
        <f t="shared" si="4"/>
        <v>0.7</v>
      </c>
      <c r="R33" s="177">
        <f t="shared" si="5"/>
        <v>0.59990013853511726</v>
      </c>
      <c r="S33" s="810">
        <f t="shared" si="6"/>
        <v>-1</v>
      </c>
      <c r="T33" s="176">
        <f t="shared" si="7"/>
        <v>5</v>
      </c>
      <c r="U33" s="251">
        <f t="shared" si="8"/>
        <v>-0.4000998614648828</v>
      </c>
      <c r="V33" s="383">
        <f t="shared" si="9"/>
        <v>20.119877657435065</v>
      </c>
      <c r="W33" s="402"/>
      <c r="X33" s="157">
        <f t="shared" si="10"/>
        <v>44215</v>
      </c>
      <c r="Y33" s="385">
        <f t="shared" si="11"/>
        <v>20.206</v>
      </c>
      <c r="Z33" s="385">
        <f t="shared" si="12"/>
        <v>20.634629167329983</v>
      </c>
      <c r="AA33" s="386">
        <f t="shared" si="13"/>
        <v>23.100514412164348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0.10674590188069021</v>
      </c>
      <c r="AD33" s="231">
        <f>(INDEX(Models!$BJ33:$BT33,,AH33)*(1-AF33)+INDEX(Models!$BJ33:$BT33,,AH33+1)*AF33-ERP_i)*AE33*Ramure*Pc/MaxiM</f>
        <v>7.1406103294853072E-4</v>
      </c>
      <c r="AE33" s="305">
        <f t="shared" si="15"/>
        <v>0.7</v>
      </c>
      <c r="AF33" s="177">
        <f t="shared" si="22"/>
        <v>0.59990013853511726</v>
      </c>
      <c r="AG33" s="810">
        <f t="shared" si="23"/>
        <v>-1</v>
      </c>
      <c r="AH33" s="176">
        <f t="shared" si="16"/>
        <v>5</v>
      </c>
      <c r="AI33" s="225">
        <f t="shared" si="17"/>
        <v>-0.4000998614648828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6">
        <v>5.69</v>
      </c>
      <c r="C34" s="390"/>
      <c r="D34" s="393">
        <f t="shared" si="0"/>
        <v>5.8108369965416564</v>
      </c>
      <c r="E34" s="385">
        <f t="shared" si="1"/>
        <v>6.5057381893610708</v>
      </c>
      <c r="F34" s="385">
        <f t="shared" si="2"/>
        <v>6.5057381893610708</v>
      </c>
      <c r="G34" s="110">
        <f t="shared" si="21"/>
        <v>0.27953082924319833</v>
      </c>
      <c r="H34" s="414" t="b">
        <f>Wh_hp&gt;='2020'!Maxi_hp</f>
        <v>0</v>
      </c>
      <c r="I34" s="380">
        <f>IF(H34,Wh_hp,'2020'!Maxi_hp)</f>
        <v>11.506630779358042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2.0795110345303569E-2</v>
      </c>
      <c r="M34" s="844"/>
      <c r="N34" s="844"/>
      <c r="O34" s="48">
        <f>IF(t&lt;Tnet,'2020'!Resal+('2020'!Salim-'2020'!Resal)*(1-EXP(('2020'!Tnet-t)/('2020'!Tau_j))),Resal+(Salim-Resal)*(1-EXP((Tnet-t)/(Tau_j))))*Salcycl</f>
        <v>0.10681358096392445</v>
      </c>
      <c r="P34" s="169">
        <f>(INDEX(Models!$BJ34:$BT34,,T34)*(1-R34)+INDEX(Models!$BJ34:$BT34,,T34+1)*R34-ERP_i)*Q34*Ramure*Pc/MaxiM</f>
        <v>7.34505705656953E-4</v>
      </c>
      <c r="Q34" s="305">
        <f t="shared" si="4"/>
        <v>0.7</v>
      </c>
      <c r="R34" s="177">
        <f t="shared" si="5"/>
        <v>0.59994895851915131</v>
      </c>
      <c r="S34" s="810">
        <f t="shared" si="6"/>
        <v>-1</v>
      </c>
      <c r="T34" s="176">
        <f t="shared" si="7"/>
        <v>5</v>
      </c>
      <c r="U34" s="251">
        <f t="shared" si="8"/>
        <v>-0.40005104148084869</v>
      </c>
      <c r="V34" s="383">
        <f t="shared" si="9"/>
        <v>20.34058525111023</v>
      </c>
      <c r="W34" s="402"/>
      <c r="X34" s="157">
        <f t="shared" si="10"/>
        <v>44216</v>
      </c>
      <c r="Y34" s="385">
        <f t="shared" si="11"/>
        <v>5.69</v>
      </c>
      <c r="Z34" s="385">
        <f t="shared" si="12"/>
        <v>5.8108369965416564</v>
      </c>
      <c r="AA34" s="386">
        <f t="shared" si="13"/>
        <v>6.5057381893610708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0.10681358096392445</v>
      </c>
      <c r="AD34" s="231">
        <f>(INDEX(Models!$BJ34:$BT34,,AH34)*(1-AF34)+INDEX(Models!$BJ34:$BT34,,AH34+1)*AF34-ERP_i)*AE34*Ramure*Pc/MaxiM</f>
        <v>7.34505705656953E-4</v>
      </c>
      <c r="AE34" s="305">
        <f t="shared" si="15"/>
        <v>0.7</v>
      </c>
      <c r="AF34" s="177">
        <f t="shared" si="22"/>
        <v>0.59994895851915131</v>
      </c>
      <c r="AG34" s="810">
        <f t="shared" si="23"/>
        <v>-1</v>
      </c>
      <c r="AH34" s="176">
        <f t="shared" si="16"/>
        <v>5</v>
      </c>
      <c r="AI34" s="225">
        <f t="shared" si="17"/>
        <v>-0.40005104148084869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6">
        <v>10.708</v>
      </c>
      <c r="C35" s="390"/>
      <c r="D35" s="393">
        <f t="shared" si="0"/>
        <v>10.935657398911347</v>
      </c>
      <c r="E35" s="385">
        <f t="shared" si="1"/>
        <v>12.244349765954377</v>
      </c>
      <c r="F35" s="385">
        <f t="shared" si="2"/>
        <v>12.247271454207658</v>
      </c>
      <c r="G35" s="110">
        <f t="shared" si="21"/>
        <v>0.52039789282057236</v>
      </c>
      <c r="H35" s="414" t="b">
        <f>Wh_hp&gt;='2020'!Maxi_hp</f>
        <v>1</v>
      </c>
      <c r="I35" s="380">
        <f>IF(H35,Wh_hp,'2020'!Maxi_hp)</f>
        <v>12.247271454207658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2.0817897873612101E-2</v>
      </c>
      <c r="M35" s="844"/>
      <c r="N35" s="844"/>
      <c r="O35" s="48">
        <f>IF(t&lt;Tnet,'2020'!Resal+('2020'!Salim-'2020'!Resal)*(1-EXP(('2020'!Tnet-t)/('2020'!Tau_j))),Resal+(Salim-Resal)*(1-EXP((Tnet-t)/(Tau_j))))*Salcycl</f>
        <v>0.10688132829085553</v>
      </c>
      <c r="P35" s="169">
        <f>(INDEX(Models!$BJ35:$BT35,,T35)*(1-R35)+INDEX(Models!$BJ35:$BT35,,T35+1)*R35-ERP_i)*Q35*Ramure*Pc/MaxiM</f>
        <v>7.5675217205646637E-4</v>
      </c>
      <c r="Q35" s="305">
        <f t="shared" si="4"/>
        <v>0.7</v>
      </c>
      <c r="R35" s="177">
        <f t="shared" si="5"/>
        <v>0.59999981390894019</v>
      </c>
      <c r="S35" s="810">
        <f t="shared" si="6"/>
        <v>-1</v>
      </c>
      <c r="T35" s="176">
        <f t="shared" si="7"/>
        <v>5</v>
      </c>
      <c r="U35" s="251">
        <f t="shared" si="8"/>
        <v>-0.40000018609105975</v>
      </c>
      <c r="V35" s="383">
        <f t="shared" si="9"/>
        <v>20.56589775560694</v>
      </c>
      <c r="W35" s="402"/>
      <c r="X35" s="157">
        <f t="shared" si="10"/>
        <v>44217</v>
      </c>
      <c r="Y35" s="385">
        <f t="shared" si="11"/>
        <v>10.708</v>
      </c>
      <c r="Z35" s="385">
        <f t="shared" si="12"/>
        <v>10.935657398911347</v>
      </c>
      <c r="AA35" s="386">
        <f t="shared" si="13"/>
        <v>12.244349765954377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0.10688132829085553</v>
      </c>
      <c r="AD35" s="231">
        <f>(INDEX(Models!$BJ35:$BT35,,AH35)*(1-AF35)+INDEX(Models!$BJ35:$BT35,,AH35+1)*AF35-ERP_i)*AE35*Ramure*Pc/MaxiM</f>
        <v>7.5675217205646637E-4</v>
      </c>
      <c r="AE35" s="305">
        <f t="shared" si="15"/>
        <v>0.7</v>
      </c>
      <c r="AF35" s="177">
        <f t="shared" si="22"/>
        <v>0.59999981390894019</v>
      </c>
      <c r="AG35" s="810">
        <f t="shared" si="23"/>
        <v>-1</v>
      </c>
      <c r="AH35" s="176">
        <f t="shared" si="16"/>
        <v>5</v>
      </c>
      <c r="AI35" s="225">
        <f t="shared" si="17"/>
        <v>-0.40000018609105975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6">
        <v>5.875</v>
      </c>
      <c r="C36" s="390"/>
      <c r="D36" s="393">
        <f t="shared" si="0"/>
        <v>6.0000450480621978</v>
      </c>
      <c r="E36" s="385">
        <f t="shared" si="1"/>
        <v>6.7185928357433591</v>
      </c>
      <c r="F36" s="385">
        <f t="shared" si="2"/>
        <v>6.7185928357433591</v>
      </c>
      <c r="G36" s="110">
        <f t="shared" si="21"/>
        <v>0.28229381662787223</v>
      </c>
      <c r="H36" s="414" t="b">
        <f>Wh_hp&gt;='2020'!Maxi_hp</f>
        <v>0</v>
      </c>
      <c r="I36" s="380">
        <f>IF(H36,Wh_hp,'2020'!Maxi_hp)</f>
        <v>9.7513802293931189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2.0840684871621606E-2</v>
      </c>
      <c r="M36" s="844"/>
      <c r="N36" s="844"/>
      <c r="O36" s="48">
        <f>IF(t&lt;Tnet,'2020'!Resal+('2020'!Salim-'2020'!Resal)*(1-EXP(('2020'!Tnet-t)/('2020'!Tau_j))),Resal+(Salim-Resal)*(1-EXP((Tnet-t)/(Tau_j))))*Salcycl</f>
        <v>0.10694914921148962</v>
      </c>
      <c r="P36" s="169">
        <f>(INDEX(Models!$BJ36:$BT36,,T36)*(1-R36)+INDEX(Models!$BJ36:$BT36,,T36+1)*R36-ERP_i)*Q36*Ramure*Pc/MaxiM</f>
        <v>7.8074249558918337E-4</v>
      </c>
      <c r="Q36" s="305">
        <f t="shared" si="4"/>
        <v>0.7</v>
      </c>
      <c r="R36" s="177">
        <f t="shared" si="5"/>
        <v>0.60005278901196601</v>
      </c>
      <c r="S36" s="810">
        <f t="shared" si="6"/>
        <v>-1</v>
      </c>
      <c r="T36" s="176">
        <f t="shared" si="7"/>
        <v>5</v>
      </c>
      <c r="U36" s="251">
        <f t="shared" si="8"/>
        <v>-0.39994721098803404</v>
      </c>
      <c r="V36" s="383">
        <f t="shared" si="9"/>
        <v>20.795401075245511</v>
      </c>
      <c r="W36" s="402"/>
      <c r="X36" s="157">
        <f t="shared" si="10"/>
        <v>44218</v>
      </c>
      <c r="Y36" s="385">
        <f t="shared" si="11"/>
        <v>5.875</v>
      </c>
      <c r="Z36" s="385">
        <f t="shared" si="12"/>
        <v>6.0000450480621978</v>
      </c>
      <c r="AA36" s="386">
        <f t="shared" si="13"/>
        <v>6.7185928357433591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0.10694914921148962</v>
      </c>
      <c r="AD36" s="231">
        <f>(INDEX(Models!$BJ36:$BT36,,AH36)*(1-AF36)+INDEX(Models!$BJ36:$BT36,,AH36+1)*AF36-ERP_i)*AE36*Ramure*Pc/MaxiM</f>
        <v>7.8074249558918337E-4</v>
      </c>
      <c r="AE36" s="305">
        <f t="shared" si="15"/>
        <v>0.7</v>
      </c>
      <c r="AF36" s="177">
        <f t="shared" si="22"/>
        <v>0.60005278901196601</v>
      </c>
      <c r="AG36" s="810">
        <f t="shared" si="23"/>
        <v>-1</v>
      </c>
      <c r="AH36" s="176">
        <f t="shared" si="16"/>
        <v>5</v>
      </c>
      <c r="AI36" s="225">
        <f t="shared" si="17"/>
        <v>-0.39994721098803404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6">
        <v>7.4340000000000002</v>
      </c>
      <c r="C37" s="390"/>
      <c r="D37" s="393">
        <f t="shared" si="0"/>
        <v>7.5924039011891864</v>
      </c>
      <c r="E37" s="385">
        <f t="shared" si="1"/>
        <v>8.5022943501896382</v>
      </c>
      <c r="F37" s="385">
        <f t="shared" si="2"/>
        <v>8.5028182252571849</v>
      </c>
      <c r="G37" s="110">
        <f t="shared" si="21"/>
        <v>0.35322264407079329</v>
      </c>
      <c r="H37" s="414" t="b">
        <f>Wh_hp&gt;='2020'!Maxi_hp</f>
        <v>0</v>
      </c>
      <c r="I37" s="380">
        <f>IF(H37,Wh_hp,'2020'!Maxi_hp)</f>
        <v>13.528734811569544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2.0863471339344297E-2</v>
      </c>
      <c r="M37" s="844"/>
      <c r="N37" s="844"/>
      <c r="O37" s="48">
        <f>IF(t&lt;Tnet,'2020'!Resal+('2020'!Salim-'2020'!Resal)*(1-EXP(('2020'!Tnet-t)/('2020'!Tau_j))),Resal+(Salim-Resal)*(1-EXP((Tnet-t)/(Tau_j))))*Salcycl</f>
        <v>0.10701704875462911</v>
      </c>
      <c r="P37" s="169">
        <f>(INDEX(Models!$BJ37:$BT37,,T37)*(1-R37)+INDEX(Models!$BJ37:$BT37,,T37+1)*R37-ERP_i)*Q37*Ramure*Pc/MaxiM</f>
        <v>8.0634973658928386E-4</v>
      </c>
      <c r="Q37" s="305">
        <f t="shared" si="4"/>
        <v>0.7</v>
      </c>
      <c r="R37" s="177">
        <f t="shared" si="5"/>
        <v>0.60010797158058771</v>
      </c>
      <c r="S37" s="810">
        <f t="shared" si="6"/>
        <v>-1</v>
      </c>
      <c r="T37" s="176">
        <f t="shared" si="7"/>
        <v>5</v>
      </c>
      <c r="U37" s="251">
        <f t="shared" si="8"/>
        <v>-0.39989202841941224</v>
      </c>
      <c r="V37" s="383">
        <f t="shared" si="9"/>
        <v>21.030540942759604</v>
      </c>
      <c r="W37" s="402"/>
      <c r="X37" s="157">
        <f t="shared" si="10"/>
        <v>44219</v>
      </c>
      <c r="Y37" s="385">
        <f t="shared" si="11"/>
        <v>7.4339999999999993</v>
      </c>
      <c r="Z37" s="385">
        <f t="shared" si="12"/>
        <v>7.5924039011891855</v>
      </c>
      <c r="AA37" s="386">
        <f t="shared" si="13"/>
        <v>8.5022943501896382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0.10701704875462911</v>
      </c>
      <c r="AD37" s="231">
        <f>(INDEX(Models!$BJ37:$BT37,,AH37)*(1-AF37)+INDEX(Models!$BJ37:$BT37,,AH37+1)*AF37-ERP_i)*AE37*Ramure*Pc/MaxiM</f>
        <v>8.0634973658928386E-4</v>
      </c>
      <c r="AE37" s="305">
        <f t="shared" si="15"/>
        <v>0.7</v>
      </c>
      <c r="AF37" s="177">
        <f t="shared" si="22"/>
        <v>0.60010797158058771</v>
      </c>
      <c r="AG37" s="810">
        <f t="shared" si="23"/>
        <v>-1</v>
      </c>
      <c r="AH37" s="176">
        <f t="shared" si="16"/>
        <v>5</v>
      </c>
      <c r="AI37" s="225">
        <f t="shared" si="17"/>
        <v>-0.39989202841941224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6">
        <v>12.698</v>
      </c>
      <c r="C38" s="390"/>
      <c r="D38" s="393">
        <f t="shared" si="0"/>
        <v>12.968871180056237</v>
      </c>
      <c r="E38" s="385">
        <f t="shared" si="1"/>
        <v>14.524195065582171</v>
      </c>
      <c r="F38" s="385">
        <f t="shared" si="2"/>
        <v>14.529343428330815</v>
      </c>
      <c r="G38" s="110">
        <f t="shared" si="21"/>
        <v>0.59662689556741222</v>
      </c>
      <c r="H38" s="414" t="b">
        <f>Wh_hp&gt;='2020'!Maxi_hp</f>
        <v>0</v>
      </c>
      <c r="I38" s="380">
        <f>IF(H38,Wh_hp,'2020'!Maxi_hp)</f>
        <v>16.182546783871064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2.0886257276792719E-2</v>
      </c>
      <c r="M38" s="844"/>
      <c r="N38" s="844"/>
      <c r="O38" s="48">
        <f>IF(t&lt;Tnet,'2020'!Resal+('2020'!Salim-'2020'!Resal)*(1-EXP(('2020'!Tnet-t)/('2020'!Tau_j))),Resal+(Salim-Resal)*(1-EXP((Tnet-t)/(Tau_j))))*Salcycl</f>
        <v>0.10708503145978597</v>
      </c>
      <c r="P38" s="169">
        <f>(INDEX(Models!$BJ38:$BT38,,T38)*(1-R38)+INDEX(Models!$BJ38:$BT38,,T38+1)*R38-ERP_i)*Q38*Ramure*Pc/MaxiM</f>
        <v>8.353919876925033E-4</v>
      </c>
      <c r="Q38" s="305">
        <f t="shared" si="4"/>
        <v>0.7</v>
      </c>
      <c r="R38" s="177">
        <f t="shared" si="5"/>
        <v>0.60016545294877133</v>
      </c>
      <c r="S38" s="810">
        <f t="shared" si="6"/>
        <v>-1</v>
      </c>
      <c r="T38" s="176">
        <f t="shared" si="7"/>
        <v>5</v>
      </c>
      <c r="U38" s="251">
        <f t="shared" si="8"/>
        <v>-0.39983454705122867</v>
      </c>
      <c r="V38" s="383">
        <f t="shared" si="9"/>
        <v>21.27274107435376</v>
      </c>
      <c r="W38" s="402"/>
      <c r="X38" s="157">
        <f t="shared" si="10"/>
        <v>44220</v>
      </c>
      <c r="Y38" s="385">
        <f t="shared" si="11"/>
        <v>12.698</v>
      </c>
      <c r="Z38" s="385">
        <f t="shared" si="12"/>
        <v>12.968871180056237</v>
      </c>
      <c r="AA38" s="386">
        <f t="shared" si="13"/>
        <v>14.524195065582171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0.10708503145978597</v>
      </c>
      <c r="AD38" s="231">
        <f>(INDEX(Models!$BJ38:$BT38,,AH38)*(1-AF38)+INDEX(Models!$BJ38:$BT38,,AH38+1)*AF38-ERP_i)*AE38*Ramure*Pc/MaxiM</f>
        <v>8.353919876925033E-4</v>
      </c>
      <c r="AE38" s="305">
        <f t="shared" si="15"/>
        <v>0.7</v>
      </c>
      <c r="AF38" s="177">
        <f t="shared" si="22"/>
        <v>0.60016545294877133</v>
      </c>
      <c r="AG38" s="810">
        <f t="shared" si="23"/>
        <v>-1</v>
      </c>
      <c r="AH38" s="176">
        <f t="shared" si="16"/>
        <v>5</v>
      </c>
      <c r="AI38" s="225">
        <f t="shared" si="17"/>
        <v>-0.39983454705122867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6">
        <v>7.5490000000000004</v>
      </c>
      <c r="C39" s="390"/>
      <c r="D39" s="393">
        <f t="shared" si="0"/>
        <v>7.7102131764080939</v>
      </c>
      <c r="E39" s="385">
        <f t="shared" si="1"/>
        <v>8.6355378363166739</v>
      </c>
      <c r="F39" s="385">
        <f t="shared" si="2"/>
        <v>8.6360810518936066</v>
      </c>
      <c r="G39" s="110">
        <f t="shared" si="21"/>
        <v>0.35048128279478785</v>
      </c>
      <c r="H39" s="414" t="b">
        <f>Wh_hp&gt;='2020'!Maxi_hp</f>
        <v>0</v>
      </c>
      <c r="I39" s="380">
        <f>IF(H39,Wh_hp,'2020'!Maxi_hp)</f>
        <v>14.91670595346323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2.0909042683978973E-2</v>
      </c>
      <c r="M39" s="844"/>
      <c r="N39" s="844"/>
      <c r="O39" s="48">
        <f>IF(t&lt;Tnet,'2020'!Resal+('2020'!Salim-'2020'!Resal)*(1-EXP(('2020'!Tnet-t)/('2020'!Tau_j))),Resal+(Salim-Resal)*(1-EXP((Tnet-t)/(Tau_j))))*Salcycl</f>
        <v>0.10715310122516469</v>
      </c>
      <c r="P39" s="169">
        <f>(INDEX(Models!$BJ39:$BT39,,T39)*(1-R39)+INDEX(Models!$BJ39:$BT39,,T39+1)*R39-ERP_i)*Q39*Ramure*Pc/MaxiM</f>
        <v>8.673655733736238E-4</v>
      </c>
      <c r="Q39" s="305">
        <f t="shared" si="4"/>
        <v>0.7</v>
      </c>
      <c r="R39" s="177">
        <f t="shared" si="5"/>
        <v>0.60022532817389795</v>
      </c>
      <c r="S39" s="810">
        <f t="shared" si="6"/>
        <v>-1</v>
      </c>
      <c r="T39" s="176">
        <f t="shared" si="7"/>
        <v>5</v>
      </c>
      <c r="U39" s="251">
        <f t="shared" si="8"/>
        <v>-0.39977467182610205</v>
      </c>
      <c r="V39" s="383">
        <f t="shared" si="9"/>
        <v>21.521624928263709</v>
      </c>
      <c r="W39" s="402"/>
      <c r="X39" s="157">
        <f t="shared" si="10"/>
        <v>44221</v>
      </c>
      <c r="Y39" s="385">
        <f t="shared" si="11"/>
        <v>7.5489999999999995</v>
      </c>
      <c r="Z39" s="385">
        <f t="shared" si="12"/>
        <v>7.710213176408093</v>
      </c>
      <c r="AA39" s="386">
        <f t="shared" si="13"/>
        <v>8.6355378363166739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0.10715310122516469</v>
      </c>
      <c r="AD39" s="231">
        <f>(INDEX(Models!$BJ39:$BT39,,AH39)*(1-AF39)+INDEX(Models!$BJ39:$BT39,,AH39+1)*AF39-ERP_i)*AE39*Ramure*Pc/MaxiM</f>
        <v>8.673655733736238E-4</v>
      </c>
      <c r="AE39" s="305">
        <f t="shared" si="15"/>
        <v>0.7</v>
      </c>
      <c r="AF39" s="177">
        <f t="shared" si="22"/>
        <v>0.60022532817389795</v>
      </c>
      <c r="AG39" s="810">
        <f t="shared" si="23"/>
        <v>-1</v>
      </c>
      <c r="AH39" s="176">
        <f t="shared" si="16"/>
        <v>5</v>
      </c>
      <c r="AI39" s="225">
        <f t="shared" si="17"/>
        <v>-0.39977467182610205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6">
        <v>14.811</v>
      </c>
      <c r="C40" s="390"/>
      <c r="D40" s="393">
        <f t="shared" si="0"/>
        <v>15.127649347544804</v>
      </c>
      <c r="E40" s="385">
        <f t="shared" si="1"/>
        <v>16.94445520445597</v>
      </c>
      <c r="F40" s="385">
        <f t="shared" si="2"/>
        <v>16.952760460263395</v>
      </c>
      <c r="G40" s="110">
        <f t="shared" si="21"/>
        <v>0.6798467032910841</v>
      </c>
      <c r="H40" s="414" t="b">
        <f>Wh_hp&gt;='2020'!Maxi_hp</f>
        <v>1</v>
      </c>
      <c r="I40" s="380">
        <f>IF(H40,Wh_hp,'2020'!Maxi_hp)</f>
        <v>16.952760460263395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2.0931827560915495E-2</v>
      </c>
      <c r="M40" s="844"/>
      <c r="N40" s="844"/>
      <c r="O40" s="48">
        <f>IF(t&lt;Tnet,'2020'!Resal+('2020'!Salim-'2020'!Resal)*(1-EXP(('2020'!Tnet-t)/('2020'!Tau_j))),Resal+(Salim-Resal)*(1-EXP((Tnet-t)/(Tau_j))))*Salcycl</f>
        <v>0.10722126117299954</v>
      </c>
      <c r="P40" s="169">
        <f>(INDEX(Models!$BJ40:$BT40,,T40)*(1-R40)+INDEX(Models!$BJ40:$BT40,,T40+1)*R40-ERP_i)*Q40*Ramure*Pc/MaxiM</f>
        <v>9.0215602675274465E-4</v>
      </c>
      <c r="Q40" s="305">
        <f t="shared" si="4"/>
        <v>0.7</v>
      </c>
      <c r="R40" s="177">
        <f t="shared" si="5"/>
        <v>0.60028769618381206</v>
      </c>
      <c r="S40" s="810">
        <f t="shared" si="6"/>
        <v>-1</v>
      </c>
      <c r="T40" s="176">
        <f t="shared" si="7"/>
        <v>5</v>
      </c>
      <c r="U40" s="251">
        <f t="shared" si="8"/>
        <v>-0.39971230381618794</v>
      </c>
      <c r="V40" s="383">
        <f t="shared" si="9"/>
        <v>21.776808062149694</v>
      </c>
      <c r="W40" s="402"/>
      <c r="X40" s="157">
        <f t="shared" si="10"/>
        <v>44222</v>
      </c>
      <c r="Y40" s="385">
        <f t="shared" si="11"/>
        <v>14.811000000000002</v>
      </c>
      <c r="Z40" s="385">
        <f t="shared" si="12"/>
        <v>15.127649347544805</v>
      </c>
      <c r="AA40" s="386">
        <f t="shared" si="13"/>
        <v>16.94445520445597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0.10722126117299954</v>
      </c>
      <c r="AD40" s="231">
        <f>(INDEX(Models!$BJ40:$BT40,,AH40)*(1-AF40)+INDEX(Models!$BJ40:$BT40,,AH40+1)*AF40-ERP_i)*AE40*Ramure*Pc/MaxiM</f>
        <v>9.0215602675274465E-4</v>
      </c>
      <c r="AE40" s="305">
        <f t="shared" si="15"/>
        <v>0.7</v>
      </c>
      <c r="AF40" s="177">
        <f t="shared" si="22"/>
        <v>0.60028769618381206</v>
      </c>
      <c r="AG40" s="810">
        <f t="shared" si="23"/>
        <v>-1</v>
      </c>
      <c r="AH40" s="176">
        <f t="shared" si="16"/>
        <v>5</v>
      </c>
      <c r="AI40" s="225">
        <f t="shared" si="17"/>
        <v>-0.39971230381618794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6">
        <v>5.2160000000000002</v>
      </c>
      <c r="C41" s="390"/>
      <c r="D41" s="393">
        <f t="shared" si="0"/>
        <v>5.3276385992309123</v>
      </c>
      <c r="E41" s="385">
        <f t="shared" si="1"/>
        <v>5.9679354953222781</v>
      </c>
      <c r="F41" s="385">
        <f t="shared" si="2"/>
        <v>5.9679354953222781</v>
      </c>
      <c r="G41" s="110">
        <f t="shared" si="21"/>
        <v>0.23646070230093716</v>
      </c>
      <c r="H41" s="414" t="b">
        <f>Wh_hp&gt;='2020'!Maxi_hp</f>
        <v>0</v>
      </c>
      <c r="I41" s="380">
        <f>IF(H41,Wh_hp,'2020'!Maxi_hp)</f>
        <v>13.988346832149588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2.0954611907614717E-2</v>
      </c>
      <c r="M41" s="844"/>
      <c r="N41" s="844"/>
      <c r="O41" s="48">
        <f>IF(t&lt;Tnet,'2020'!Resal+('2020'!Salim-'2020'!Resal)*(1-EXP(('2020'!Tnet-t)/('2020'!Tau_j))),Resal+(Salim-Resal)*(1-EXP((Tnet-t)/(Tau_j))))*Salcycl</f>
        <v>0.10728951353332092</v>
      </c>
      <c r="P41" s="169">
        <f>(INDEX(Models!$BJ41:$BT41,,T41)*(1-R41)+INDEX(Models!$BJ41:$BT41,,T41+1)*R41-ERP_i)*Q41*Ramure*Pc/MaxiM</f>
        <v>9.3965165540228258E-4</v>
      </c>
      <c r="Q41" s="305">
        <f t="shared" si="4"/>
        <v>0.7</v>
      </c>
      <c r="R41" s="177">
        <f t="shared" si="5"/>
        <v>0.60035265992926945</v>
      </c>
      <c r="S41" s="810">
        <f t="shared" si="6"/>
        <v>-1</v>
      </c>
      <c r="T41" s="176">
        <f t="shared" si="7"/>
        <v>5</v>
      </c>
      <c r="U41" s="251">
        <f t="shared" si="8"/>
        <v>-0.39964734007073055</v>
      </c>
      <c r="V41" s="383">
        <f t="shared" si="9"/>
        <v>22.037906198609683</v>
      </c>
      <c r="W41" s="402"/>
      <c r="X41" s="157">
        <f t="shared" si="10"/>
        <v>44223</v>
      </c>
      <c r="Y41" s="385">
        <f t="shared" si="11"/>
        <v>5.2160000000000002</v>
      </c>
      <c r="Z41" s="385">
        <f t="shared" si="12"/>
        <v>5.3276385992309123</v>
      </c>
      <c r="AA41" s="386">
        <f t="shared" si="13"/>
        <v>5.9679354953222781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0.10728951353332092</v>
      </c>
      <c r="AD41" s="231">
        <f>(INDEX(Models!$BJ41:$BT41,,AH41)*(1-AF41)+INDEX(Models!$BJ41:$BT41,,AH41+1)*AF41-ERP_i)*AE41*Ramure*Pc/MaxiM</f>
        <v>9.3965165540228258E-4</v>
      </c>
      <c r="AE41" s="305">
        <f t="shared" si="15"/>
        <v>0.7</v>
      </c>
      <c r="AF41" s="177">
        <f t="shared" si="22"/>
        <v>0.60035265992926945</v>
      </c>
      <c r="AG41" s="810">
        <f t="shared" si="23"/>
        <v>-1</v>
      </c>
      <c r="AH41" s="176">
        <f t="shared" si="16"/>
        <v>5</v>
      </c>
      <c r="AI41" s="225">
        <f t="shared" si="17"/>
        <v>-0.39964734007073055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6">
        <v>14.887</v>
      </c>
      <c r="C42" s="390"/>
      <c r="D42" s="393">
        <f t="shared" si="0"/>
        <v>15.205981899682984</v>
      </c>
      <c r="E42" s="385">
        <f t="shared" si="1"/>
        <v>17.03480175377609</v>
      </c>
      <c r="F42" s="385">
        <f t="shared" si="2"/>
        <v>17.043567014086992</v>
      </c>
      <c r="G42" s="110">
        <f t="shared" si="21"/>
        <v>0.66713190826634039</v>
      </c>
      <c r="H42" s="414" t="b">
        <f>Wh_hp&gt;='2020'!Maxi_hp</f>
        <v>0</v>
      </c>
      <c r="I42" s="380">
        <f>IF(H42,Wh_hp,'2020'!Maxi_hp)</f>
        <v>17.271645259588524</v>
      </c>
      <c r="J42" s="85">
        <f>IF(H42,An,'2020'!An_max)</f>
        <v>2020</v>
      </c>
      <c r="K42" s="197">
        <f t="shared" si="3"/>
        <v>44224</v>
      </c>
      <c r="L42" s="147">
        <f>IF(t&lt;Tvie,1-EXP((T0-t)*PertePVj)+'2020'!Pspv,1-EXP((T0-t)*PertePVj)+Pspv)</f>
        <v>2.0977395724088854E-2</v>
      </c>
      <c r="M42" s="844"/>
      <c r="N42" s="844"/>
      <c r="O42" s="48">
        <f>IF(t&lt;Tnet,'2020'!Resal+('2020'!Salim-'2020'!Resal)*(1-EXP(('2020'!Tnet-t)/('2020'!Tau_j))),Resal+(Salim-Resal)*(1-EXP((Tnet-t)/(Tau_j))))*Salcycl</f>
        <v>0.10735785954701314</v>
      </c>
      <c r="P42" s="169">
        <f>(INDEX(Models!$BJ42:$BT42,,T42)*(1-R42)+INDEX(Models!$BJ42:$BT42,,T42+1)*R42-ERP_i)*Q42*Ramure*Pc/MaxiM</f>
        <v>9.7974419871432934E-4</v>
      </c>
      <c r="Q42" s="305">
        <f t="shared" si="4"/>
        <v>0.7</v>
      </c>
      <c r="R42" s="177">
        <f t="shared" si="5"/>
        <v>0.60042032654194621</v>
      </c>
      <c r="S42" s="810">
        <f t="shared" si="6"/>
        <v>-1</v>
      </c>
      <c r="T42" s="176">
        <f t="shared" si="7"/>
        <v>5</v>
      </c>
      <c r="U42" s="251">
        <f t="shared" si="8"/>
        <v>-0.39957967345805379</v>
      </c>
      <c r="V42" s="383">
        <f t="shared" si="9"/>
        <v>22.304535231071359</v>
      </c>
      <c r="W42" s="402"/>
      <c r="X42" s="157">
        <f t="shared" si="10"/>
        <v>44224</v>
      </c>
      <c r="Y42" s="385">
        <f t="shared" si="11"/>
        <v>14.887</v>
      </c>
      <c r="Z42" s="385">
        <f t="shared" si="12"/>
        <v>15.205981899682984</v>
      </c>
      <c r="AA42" s="386">
        <f t="shared" si="13"/>
        <v>17.03480175377609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0.10735785954701314</v>
      </c>
      <c r="AD42" s="231">
        <f>(INDEX(Models!$BJ42:$BT42,,AH42)*(1-AF42)+INDEX(Models!$BJ42:$BT42,,AH42+1)*AF42-ERP_i)*AE42*Ramure*Pc/MaxiM</f>
        <v>9.7974419871432934E-4</v>
      </c>
      <c r="AE42" s="305">
        <f t="shared" si="15"/>
        <v>0.7</v>
      </c>
      <c r="AF42" s="177">
        <f t="shared" si="22"/>
        <v>0.60042032654194621</v>
      </c>
      <c r="AG42" s="810">
        <f t="shared" si="23"/>
        <v>-1</v>
      </c>
      <c r="AH42" s="176">
        <f t="shared" si="16"/>
        <v>5</v>
      </c>
      <c r="AI42" s="225">
        <f t="shared" si="17"/>
        <v>-0.39957967345805379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6">
        <v>13.633000000000001</v>
      </c>
      <c r="C43" s="390"/>
      <c r="D43" s="393">
        <f t="shared" si="0"/>
        <v>13.925436662714297</v>
      </c>
      <c r="E43" s="385">
        <f t="shared" si="1"/>
        <v>15.601441822875579</v>
      </c>
      <c r="F43" s="385">
        <f t="shared" si="2"/>
        <v>15.608368551900888</v>
      </c>
      <c r="G43" s="110">
        <f t="shared" si="21"/>
        <v>0.60351352546546311</v>
      </c>
      <c r="H43" s="414" t="b">
        <f>Wh_hp&gt;='2020'!Maxi_hp</f>
        <v>0</v>
      </c>
      <c r="I43" s="380">
        <f>IF(H43,Wh_hp,'2020'!Maxi_hp)</f>
        <v>16.235625620989971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2.1000179010350339E-2</v>
      </c>
      <c r="M43" s="844"/>
      <c r="N43" s="844"/>
      <c r="O43" s="48">
        <f>IF(t&lt;Tnet,'2020'!Resal+('2020'!Salim-'2020'!Resal)*(1-EXP(('2020'!Tnet-t)/('2020'!Tau_j))),Resal+(Salim-Resal)*(1-EXP((Tnet-t)/(Tau_j))))*Salcycl</f>
        <v>0.10742629938880666</v>
      </c>
      <c r="P43" s="169">
        <f>(INDEX(Models!$BJ43:$BT43,,T43)*(1-R43)+INDEX(Models!$BJ43:$BT43,,T43+1)*R43-ERP_i)*Q43*Ramure*Pc/MaxiM</f>
        <v>1.022329384693086E-3</v>
      </c>
      <c r="Q43" s="305">
        <f t="shared" si="4"/>
        <v>0.7</v>
      </c>
      <c r="R43" s="177">
        <f t="shared" si="5"/>
        <v>0.60049080749817452</v>
      </c>
      <c r="S43" s="810">
        <f t="shared" si="6"/>
        <v>-1</v>
      </c>
      <c r="T43" s="176">
        <f t="shared" si="7"/>
        <v>5</v>
      </c>
      <c r="U43" s="251">
        <f t="shared" si="8"/>
        <v>-0.39950919250182554</v>
      </c>
      <c r="V43" s="383">
        <f t="shared" si="9"/>
        <v>22.576311218821857</v>
      </c>
      <c r="W43" s="402"/>
      <c r="X43" s="157">
        <f t="shared" si="10"/>
        <v>44225</v>
      </c>
      <c r="Y43" s="385">
        <f t="shared" si="11"/>
        <v>13.633000000000001</v>
      </c>
      <c r="Z43" s="385">
        <f t="shared" si="12"/>
        <v>13.925436662714297</v>
      </c>
      <c r="AA43" s="386">
        <f t="shared" si="13"/>
        <v>15.601441822875579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0.10742629938880666</v>
      </c>
      <c r="AD43" s="231">
        <f>(INDEX(Models!$BJ43:$BT43,,AH43)*(1-AF43)+INDEX(Models!$BJ43:$BT43,,AH43+1)*AF43-ERP_i)*AE43*Ramure*Pc/MaxiM</f>
        <v>1.022329384693086E-3</v>
      </c>
      <c r="AE43" s="305">
        <f t="shared" si="15"/>
        <v>0.7</v>
      </c>
      <c r="AF43" s="177">
        <f t="shared" si="22"/>
        <v>0.60049080749817452</v>
      </c>
      <c r="AG43" s="810">
        <f t="shared" si="23"/>
        <v>-1</v>
      </c>
      <c r="AH43" s="176">
        <f t="shared" si="16"/>
        <v>5</v>
      </c>
      <c r="AI43" s="225">
        <f t="shared" si="17"/>
        <v>-0.39950919250182554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6">
        <v>7.9450000000000003</v>
      </c>
      <c r="C44" s="390"/>
      <c r="D44" s="393">
        <f t="shared" si="0"/>
        <v>8.1156142480476507</v>
      </c>
      <c r="E44" s="385">
        <f t="shared" si="1"/>
        <v>9.0930725558034986</v>
      </c>
      <c r="F44" s="385">
        <f t="shared" si="2"/>
        <v>9.0937331945528381</v>
      </c>
      <c r="G44" s="110">
        <f t="shared" si="21"/>
        <v>0.34731321103873708</v>
      </c>
      <c r="H44" s="414" t="b">
        <f>Wh_hp&gt;='2020'!Maxi_hp</f>
        <v>0</v>
      </c>
      <c r="I44" s="380">
        <f>IF(H44,Wh_hp,'2020'!Maxi_hp)</f>
        <v>11.307083616802787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2.1022961766411496E-2</v>
      </c>
      <c r="M44" s="844"/>
      <c r="N44" s="844"/>
      <c r="O44" s="48">
        <f>IF(t&lt;Tnet,'2020'!Resal+('2020'!Salim-'2020'!Resal)*(1-EXP(('2020'!Tnet-t)/('2020'!Tau_j))),Resal+(Salim-Resal)*(1-EXP((Tnet-t)/(Tau_j))))*Salcycl</f>
        <v>0.10749483211062705</v>
      </c>
      <c r="P44" s="169">
        <f>(INDEX(Models!$BJ44:$BT44,,T44)*(1-R44)+INDEX(Models!$BJ44:$BT44,,T44+1)*R44-ERP_i)*Q44*Ramure*Pc/MaxiM</f>
        <v>1.0670271909784975E-3</v>
      </c>
      <c r="Q44" s="305">
        <f t="shared" si="4"/>
        <v>0.7</v>
      </c>
      <c r="R44" s="177">
        <f t="shared" si="5"/>
        <v>0.60056421878856925</v>
      </c>
      <c r="S44" s="810">
        <f t="shared" si="6"/>
        <v>-1</v>
      </c>
      <c r="T44" s="176">
        <f t="shared" si="7"/>
        <v>5</v>
      </c>
      <c r="U44" s="251">
        <f t="shared" si="8"/>
        <v>-0.39943578121143075</v>
      </c>
      <c r="V44" s="383">
        <f t="shared" si="9"/>
        <v>22.852856812378025</v>
      </c>
      <c r="W44" s="402"/>
      <c r="X44" s="157">
        <f t="shared" si="10"/>
        <v>44226</v>
      </c>
      <c r="Y44" s="385">
        <f t="shared" si="11"/>
        <v>7.9450000000000003</v>
      </c>
      <c r="Z44" s="385">
        <f t="shared" si="12"/>
        <v>8.1156142480476507</v>
      </c>
      <c r="AA44" s="386">
        <f t="shared" si="13"/>
        <v>9.0930725558034986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0.10749483211062705</v>
      </c>
      <c r="AD44" s="231">
        <f>(INDEX(Models!$BJ44:$BT44,,AH44)*(1-AF44)+INDEX(Models!$BJ44:$BT44,,AH44+1)*AF44-ERP_i)*AE44*Ramure*Pc/MaxiM</f>
        <v>1.0670271909784975E-3</v>
      </c>
      <c r="AE44" s="305">
        <f t="shared" si="15"/>
        <v>0.7</v>
      </c>
      <c r="AF44" s="177">
        <f t="shared" si="22"/>
        <v>0.60056421878856925</v>
      </c>
      <c r="AG44" s="810">
        <f t="shared" si="23"/>
        <v>-1</v>
      </c>
      <c r="AH44" s="176">
        <f t="shared" si="16"/>
        <v>5</v>
      </c>
      <c r="AI44" s="225">
        <f t="shared" si="17"/>
        <v>-0.39943578121143075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6">
        <v>8.1419999999999995</v>
      </c>
      <c r="C45" s="390"/>
      <c r="D45" s="393">
        <f t="shared" si="0"/>
        <v>8.3170382579508697</v>
      </c>
      <c r="E45" s="385">
        <f t="shared" si="1"/>
        <v>9.3194729756319354</v>
      </c>
      <c r="F45" s="385">
        <f t="shared" si="2"/>
        <v>9.3202421370821824</v>
      </c>
      <c r="G45" s="110">
        <f t="shared" si="21"/>
        <v>0.35158975732342884</v>
      </c>
      <c r="H45" s="414" t="b">
        <f>Wh_hp&gt;='2020'!Maxi_hp</f>
        <v>0</v>
      </c>
      <c r="I45" s="380">
        <f>IF(H45,Wh_hp,'2020'!Maxi_hp)</f>
        <v>20.821047723853216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2.1045743992284538E-2</v>
      </c>
      <c r="M45" s="844"/>
      <c r="N45" s="844"/>
      <c r="O45" s="48">
        <f>IF(t&lt;Tnet,'2020'!Resal+('2020'!Salim-'2020'!Resal)*(1-EXP(('2020'!Tnet-t)/('2020'!Tau_j))),Resal+(Salim-Resal)*(1-EXP((Tnet-t)/(Tau_j))))*Salcycl</f>
        <v>0.10756345560550244</v>
      </c>
      <c r="P45" s="169">
        <f>(INDEX(Models!$BJ45:$BT45,,T45)*(1-R45)+INDEX(Models!$BJ45:$BT45,,T45+1)*R45-ERP_i)*Q45*Ramure*Pc/MaxiM</f>
        <v>1.11195007135784E-3</v>
      </c>
      <c r="Q45" s="305">
        <f t="shared" si="4"/>
        <v>0.7</v>
      </c>
      <c r="R45" s="177">
        <f t="shared" si="5"/>
        <v>0.60064068109371327</v>
      </c>
      <c r="S45" s="810">
        <f t="shared" si="6"/>
        <v>-1</v>
      </c>
      <c r="T45" s="176">
        <f t="shared" si="7"/>
        <v>5</v>
      </c>
      <c r="U45" s="251">
        <f t="shared" si="8"/>
        <v>-0.39935931890628673</v>
      </c>
      <c r="V45" s="383">
        <f t="shared" si="9"/>
        <v>23.133830173642856</v>
      </c>
      <c r="W45" s="402"/>
      <c r="X45" s="157">
        <f t="shared" si="10"/>
        <v>44227</v>
      </c>
      <c r="Y45" s="385">
        <f t="shared" si="11"/>
        <v>8.1419999999999995</v>
      </c>
      <c r="Z45" s="385">
        <f t="shared" si="12"/>
        <v>8.3170382579508697</v>
      </c>
      <c r="AA45" s="386">
        <f t="shared" si="13"/>
        <v>9.3194729756319354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0.10756345560550244</v>
      </c>
      <c r="AD45" s="231">
        <f>(INDEX(Models!$BJ45:$BT45,,AH45)*(1-AF45)+INDEX(Models!$BJ45:$BT45,,AH45+1)*AF45-ERP_i)*AE45*Ramure*Pc/MaxiM</f>
        <v>1.11195007135784E-3</v>
      </c>
      <c r="AE45" s="305">
        <f t="shared" si="15"/>
        <v>0.7</v>
      </c>
      <c r="AF45" s="177">
        <f t="shared" si="22"/>
        <v>0.60064068109371327</v>
      </c>
      <c r="AG45" s="810">
        <f t="shared" si="23"/>
        <v>-1</v>
      </c>
      <c r="AH45" s="176">
        <f t="shared" si="16"/>
        <v>5</v>
      </c>
      <c r="AI45" s="225">
        <f t="shared" si="17"/>
        <v>-0.39935931890628673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6">
        <v>7.3940000000000001</v>
      </c>
      <c r="C46" s="390"/>
      <c r="D46" s="393">
        <f t="shared" si="0"/>
        <v>7.5531333847411739</v>
      </c>
      <c r="E46" s="385">
        <f t="shared" si="1"/>
        <v>8.4641479690000327</v>
      </c>
      <c r="F46" s="385">
        <f t="shared" si="2"/>
        <v>8.4643680343385679</v>
      </c>
      <c r="G46" s="110">
        <f t="shared" si="21"/>
        <v>0.31537147219310258</v>
      </c>
      <c r="H46" s="414" t="b">
        <f>Wh_hp&gt;='2020'!Maxi_hp</f>
        <v>0</v>
      </c>
      <c r="I46" s="380">
        <f>IF(H46,Wh_hp,'2020'!Maxi_hp)</f>
        <v>21.147132908302876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2.1068525687982009E-2</v>
      </c>
      <c r="M46" s="844"/>
      <c r="N46" s="844"/>
      <c r="O46" s="48">
        <f>IF(t&lt;Tnet,'2020'!Resal+('2020'!Salim-'2020'!Resal)*(1-EXP(('2020'!Tnet-t)/('2020'!Tau_j))),Resal+(Salim-Resal)*(1-EXP((Tnet-t)/(Tau_j))))*Salcycl</f>
        <v>0.10763216659201284</v>
      </c>
      <c r="P46" s="169">
        <f>(INDEX(Models!$BJ46:$BT46,,T46)*(1-R46)+INDEX(Models!$BJ46:$BT46,,T46+1)*R46-ERP_i)*Q46*Ramure*Pc/MaxiM</f>
        <v>1.157084684502058E-3</v>
      </c>
      <c r="Q46" s="305">
        <f t="shared" si="4"/>
        <v>0.7</v>
      </c>
      <c r="R46" s="177">
        <f t="shared" si="5"/>
        <v>0.60072031996606567</v>
      </c>
      <c r="S46" s="810">
        <f t="shared" si="6"/>
        <v>-1</v>
      </c>
      <c r="T46" s="176">
        <f t="shared" si="7"/>
        <v>5</v>
      </c>
      <c r="U46" s="251">
        <f t="shared" si="8"/>
        <v>-0.39927968003393433</v>
      </c>
      <c r="V46" s="383">
        <f t="shared" si="9"/>
        <v>23.418847887068932</v>
      </c>
      <c r="W46" s="402"/>
      <c r="X46" s="157">
        <f t="shared" si="10"/>
        <v>44228</v>
      </c>
      <c r="Y46" s="385">
        <f t="shared" si="11"/>
        <v>7.394000000000001</v>
      </c>
      <c r="Z46" s="385">
        <f t="shared" si="12"/>
        <v>7.5531333847411748</v>
      </c>
      <c r="AA46" s="386">
        <f t="shared" si="13"/>
        <v>8.4641479690000327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0.10763216659201284</v>
      </c>
      <c r="AD46" s="231">
        <f>(INDEX(Models!$BJ46:$BT46,,AH46)*(1-AF46)+INDEX(Models!$BJ46:$BT46,,AH46+1)*AF46-ERP_i)*AE46*Ramure*Pc/MaxiM</f>
        <v>1.157084684502058E-3</v>
      </c>
      <c r="AE46" s="305">
        <f t="shared" si="15"/>
        <v>0.7</v>
      </c>
      <c r="AF46" s="177">
        <f t="shared" si="22"/>
        <v>0.60072031996606567</v>
      </c>
      <c r="AG46" s="810">
        <f t="shared" si="23"/>
        <v>-1</v>
      </c>
      <c r="AH46" s="176">
        <f t="shared" si="16"/>
        <v>5</v>
      </c>
      <c r="AI46" s="225">
        <f t="shared" si="17"/>
        <v>-0.39927968003393433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6">
        <v>21.411999999999999</v>
      </c>
      <c r="C47" s="390"/>
      <c r="D47" s="393">
        <f t="shared" si="0"/>
        <v>21.873337268234788</v>
      </c>
      <c r="E47" s="385">
        <f t="shared" si="1"/>
        <v>24.513460513652308</v>
      </c>
      <c r="F47" s="385">
        <f t="shared" si="2"/>
        <v>24.538885185791113</v>
      </c>
      <c r="G47" s="110">
        <f t="shared" si="21"/>
        <v>0.90302270809771668</v>
      </c>
      <c r="H47" s="414" t="b">
        <f>Wh_hp&gt;='2020'!Maxi_hp</f>
        <v>0</v>
      </c>
      <c r="I47" s="380">
        <f>IF(H47,Wh_hp,'2020'!Maxi_hp)</f>
        <v>24.623005802832068</v>
      </c>
      <c r="J47" s="85">
        <f>IF(H47,An,'2020'!An_max)</f>
        <v>2020</v>
      </c>
      <c r="K47" s="197">
        <f t="shared" si="3"/>
        <v>44229</v>
      </c>
      <c r="L47" s="147">
        <f>IF(t&lt;Tvie,1-EXP((T0-t)*PertePVj)+'2020'!Pspv,1-EXP((T0-t)*PertePVj)+Pspv)</f>
        <v>2.1091306853516123E-2</v>
      </c>
      <c r="M47" s="844"/>
      <c r="N47" s="844"/>
      <c r="O47" s="48">
        <f>IF(t&lt;Tnet,'2020'!Resal+('2020'!Salim-'2020'!Resal)*(1-EXP(('2020'!Tnet-t)/('2020'!Tau_j))),Resal+(Salim-Resal)*(1-EXP((Tnet-t)/(Tau_j))))*Salcycl</f>
        <v>0.10770096061905064</v>
      </c>
      <c r="P47" s="169">
        <f>(INDEX(Models!$BJ47:$BT47,,T47)*(1-R47)+INDEX(Models!$BJ47:$BT47,,T47+1)*R47-ERP_i)*Q47*Ramure*Pc/MaxiM</f>
        <v>1.2024211865827978E-3</v>
      </c>
      <c r="Q47" s="305">
        <f t="shared" si="4"/>
        <v>0.7</v>
      </c>
      <c r="R47" s="177">
        <f t="shared" si="5"/>
        <v>0.60080326601826162</v>
      </c>
      <c r="S47" s="810">
        <f t="shared" si="6"/>
        <v>-1</v>
      </c>
      <c r="T47" s="176">
        <f t="shared" si="7"/>
        <v>5</v>
      </c>
      <c r="U47" s="251">
        <f t="shared" si="8"/>
        <v>-0.39919673398173844</v>
      </c>
      <c r="V47" s="383">
        <f t="shared" si="9"/>
        <v>23.707526717520356</v>
      </c>
      <c r="W47" s="402"/>
      <c r="X47" s="157">
        <f t="shared" si="10"/>
        <v>44229</v>
      </c>
      <c r="Y47" s="385">
        <f t="shared" si="11"/>
        <v>21.411999999999999</v>
      </c>
      <c r="Z47" s="385">
        <f t="shared" si="12"/>
        <v>21.873337268234788</v>
      </c>
      <c r="AA47" s="386">
        <f t="shared" si="13"/>
        <v>24.513460513652308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0.10770096061905064</v>
      </c>
      <c r="AD47" s="231">
        <f>(INDEX(Models!$BJ47:$BT47,,AH47)*(1-AF47)+INDEX(Models!$BJ47:$BT47,,AH47+1)*AF47-ERP_i)*AE47*Ramure*Pc/MaxiM</f>
        <v>1.2024211865827978E-3</v>
      </c>
      <c r="AE47" s="305">
        <f t="shared" si="15"/>
        <v>0.7</v>
      </c>
      <c r="AF47" s="177">
        <f t="shared" si="22"/>
        <v>0.60080326601826162</v>
      </c>
      <c r="AG47" s="810">
        <f t="shared" si="23"/>
        <v>-1</v>
      </c>
      <c r="AH47" s="176">
        <f t="shared" si="16"/>
        <v>5</v>
      </c>
      <c r="AI47" s="225">
        <f t="shared" si="17"/>
        <v>-0.39919673398173844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6">
        <v>16.367000000000001</v>
      </c>
      <c r="C48" s="390"/>
      <c r="D48" s="393">
        <f t="shared" si="0"/>
        <v>16.720028136899352</v>
      </c>
      <c r="E48" s="385">
        <f t="shared" si="1"/>
        <v>18.739590677676407</v>
      </c>
      <c r="F48" s="385">
        <f t="shared" si="2"/>
        <v>18.752360616916317</v>
      </c>
      <c r="G48" s="110">
        <f t="shared" si="21"/>
        <v>0.68158608140796872</v>
      </c>
      <c r="H48" s="414" t="b">
        <f>Wh_hp&gt;='2020'!Maxi_hp</f>
        <v>0</v>
      </c>
      <c r="I48" s="380">
        <f>IF(H48,Wh_hp,'2020'!Maxi_hp)</f>
        <v>23.131615520800864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2.1114087488899203E-2</v>
      </c>
      <c r="M48" s="844"/>
      <c r="N48" s="844"/>
      <c r="O48" s="48">
        <f>IF(t&lt;Tnet,'2020'!Resal+('2020'!Salim-'2020'!Resal)*(1-EXP(('2020'!Tnet-t)/('2020'!Tau_j))),Resal+(Salim-Resal)*(1-EXP((Tnet-t)/(Tau_j))))*Salcycl</f>
        <v>0.10776983209045572</v>
      </c>
      <c r="P48" s="169">
        <f>(INDEX(Models!$BJ48:$BT48,,T48)*(1-R48)+INDEX(Models!$BJ48:$BT48,,T48+1)*R48-ERP_i)*Q48*Ramure*Pc/MaxiM</f>
        <v>1.24795306331088E-3</v>
      </c>
      <c r="Q48" s="305">
        <f t="shared" si="4"/>
        <v>0.7</v>
      </c>
      <c r="R48" s="177">
        <f t="shared" si="5"/>
        <v>0.60088965511796788</v>
      </c>
      <c r="S48" s="810">
        <f t="shared" si="6"/>
        <v>-1</v>
      </c>
      <c r="T48" s="176">
        <f t="shared" si="7"/>
        <v>5</v>
      </c>
      <c r="U48" s="251">
        <f t="shared" si="8"/>
        <v>-0.39911034488203206</v>
      </c>
      <c r="V48" s="383">
        <f t="shared" si="9"/>
        <v>23.999483611418512</v>
      </c>
      <c r="W48" s="402"/>
      <c r="X48" s="157">
        <f t="shared" si="10"/>
        <v>44230</v>
      </c>
      <c r="Y48" s="385">
        <f t="shared" si="11"/>
        <v>16.367000000000001</v>
      </c>
      <c r="Z48" s="385">
        <f t="shared" si="12"/>
        <v>16.720028136899352</v>
      </c>
      <c r="AA48" s="386">
        <f t="shared" si="13"/>
        <v>18.739590677676407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0.10776983209045572</v>
      </c>
      <c r="AD48" s="231">
        <f>(INDEX(Models!$BJ48:$BT48,,AH48)*(1-AF48)+INDEX(Models!$BJ48:$BT48,,AH48+1)*AF48-ERP_i)*AE48*Ramure*Pc/MaxiM</f>
        <v>1.24795306331088E-3</v>
      </c>
      <c r="AE48" s="305">
        <f t="shared" si="15"/>
        <v>0.7</v>
      </c>
      <c r="AF48" s="177">
        <f t="shared" si="22"/>
        <v>0.60088965511796788</v>
      </c>
      <c r="AG48" s="810">
        <f t="shared" si="23"/>
        <v>-1</v>
      </c>
      <c r="AH48" s="176">
        <f t="shared" si="16"/>
        <v>5</v>
      </c>
      <c r="AI48" s="225">
        <f t="shared" si="17"/>
        <v>-0.39911034488203206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6">
        <v>14.729000000000001</v>
      </c>
      <c r="C49" s="390"/>
      <c r="D49" s="393">
        <f t="shared" si="0"/>
        <v>15.047047449625532</v>
      </c>
      <c r="E49" s="385">
        <f t="shared" si="1"/>
        <v>16.865838837559153</v>
      </c>
      <c r="F49" s="385">
        <f t="shared" si="2"/>
        <v>16.875390750766375</v>
      </c>
      <c r="G49" s="110">
        <f t="shared" si="21"/>
        <v>0.60583160378976331</v>
      </c>
      <c r="H49" s="414" t="b">
        <f>Wh_hp&gt;='2020'!Maxi_hp</f>
        <v>0</v>
      </c>
      <c r="I49" s="380">
        <f>IF(H49,Wh_hp,'2020'!Maxi_hp)</f>
        <v>21.711002332701614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2.1136867594143571E-2</v>
      </c>
      <c r="M49" s="844"/>
      <c r="N49" s="844"/>
      <c r="O49" s="48">
        <f>IF(t&lt;Tnet,'2020'!Resal+('2020'!Salim-'2020'!Resal)*(1-EXP(('2020'!Tnet-t)/('2020'!Tau_j))),Resal+(Salim-Resal)*(1-EXP((Tnet-t)/(Tau_j))))*Salcycl</f>
        <v>0.10783877430888796</v>
      </c>
      <c r="P49" s="169">
        <f>(INDEX(Models!$BJ49:$BT49,,T49)*(1-R49)+INDEX(Models!$BJ49:$BT49,,T49+1)*R49-ERP_i)*Q49*Ramure*Pc/MaxiM</f>
        <v>1.293676964485075E-3</v>
      </c>
      <c r="Q49" s="305">
        <f t="shared" si="4"/>
        <v>0.7</v>
      </c>
      <c r="R49" s="177">
        <f t="shared" si="5"/>
        <v>0.60097962858946063</v>
      </c>
      <c r="S49" s="810">
        <f t="shared" si="6"/>
        <v>-1</v>
      </c>
      <c r="T49" s="176">
        <f t="shared" si="7"/>
        <v>5</v>
      </c>
      <c r="U49" s="251">
        <f t="shared" si="8"/>
        <v>-0.39902037141053931</v>
      </c>
      <c r="V49" s="383">
        <f t="shared" si="9"/>
        <v>24.294335702989009</v>
      </c>
      <c r="W49" s="402"/>
      <c r="X49" s="157">
        <f t="shared" si="10"/>
        <v>44231</v>
      </c>
      <c r="Y49" s="385">
        <f t="shared" si="11"/>
        <v>14.729000000000003</v>
      </c>
      <c r="Z49" s="385">
        <f t="shared" si="12"/>
        <v>15.047047449625534</v>
      </c>
      <c r="AA49" s="386">
        <f t="shared" si="13"/>
        <v>16.865838837559153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0.10783877430888796</v>
      </c>
      <c r="AD49" s="231">
        <f>(INDEX(Models!$BJ49:$BT49,,AH49)*(1-AF49)+INDEX(Models!$BJ49:$BT49,,AH49+1)*AF49-ERP_i)*AE49*Ramure*Pc/MaxiM</f>
        <v>1.293676964485075E-3</v>
      </c>
      <c r="AE49" s="305">
        <f t="shared" si="15"/>
        <v>0.7</v>
      </c>
      <c r="AF49" s="177">
        <f t="shared" si="22"/>
        <v>0.60097962858946063</v>
      </c>
      <c r="AG49" s="810">
        <f t="shared" si="23"/>
        <v>-1</v>
      </c>
      <c r="AH49" s="176">
        <f t="shared" si="16"/>
        <v>5</v>
      </c>
      <c r="AI49" s="225">
        <f t="shared" si="17"/>
        <v>-0.39902037141053931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6">
        <v>11.811</v>
      </c>
      <c r="C50" s="390"/>
      <c r="D50" s="393">
        <f t="shared" si="0"/>
        <v>12.066319053810366</v>
      </c>
      <c r="E50" s="385">
        <f t="shared" si="1"/>
        <v>13.525865125875631</v>
      </c>
      <c r="F50" s="385">
        <f t="shared" si="2"/>
        <v>13.530533296943007</v>
      </c>
      <c r="G50" s="110">
        <f t="shared" si="21"/>
        <v>0.47980614530702037</v>
      </c>
      <c r="H50" s="414" t="b">
        <f>Wh_hp&gt;='2020'!Maxi_hp</f>
        <v>0</v>
      </c>
      <c r="I50" s="380">
        <f>IF(H50,Wh_hp,'2020'!Maxi_hp)</f>
        <v>28.631560461107572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2.1159647169261664E-2</v>
      </c>
      <c r="M50" s="844"/>
      <c r="N50" s="844"/>
      <c r="O50" s="48">
        <f>IF(t&lt;Tnet,'2020'!Resal+('2020'!Salim-'2020'!Resal)*(1-EXP(('2020'!Tnet-t)/('2020'!Tau_j))),Resal+(Salim-Resal)*(1-EXP((Tnet-t)/(Tau_j))))*Salcycl</f>
        <v>0.10790777953811491</v>
      </c>
      <c r="P50" s="169">
        <f>(INDEX(Models!$BJ50:$BT50,,T50)*(1-R50)+INDEX(Models!$BJ50:$BT50,,T50+1)*R50-ERP_i)*Q50*Ramure*Pc/MaxiM</f>
        <v>1.339592544445179E-3</v>
      </c>
      <c r="Q50" s="305">
        <f t="shared" si="4"/>
        <v>0.7</v>
      </c>
      <c r="R50" s="177">
        <f t="shared" si="5"/>
        <v>0.60107333342208547</v>
      </c>
      <c r="S50" s="810">
        <f t="shared" si="6"/>
        <v>-1</v>
      </c>
      <c r="T50" s="176">
        <f t="shared" si="7"/>
        <v>5</v>
      </c>
      <c r="U50" s="251">
        <f t="shared" si="8"/>
        <v>-0.39892666657791459</v>
      </c>
      <c r="V50" s="383">
        <f t="shared" si="9"/>
        <v>24.591700311235634</v>
      </c>
      <c r="W50" s="402"/>
      <c r="X50" s="157">
        <f t="shared" si="10"/>
        <v>44232</v>
      </c>
      <c r="Y50" s="385">
        <f t="shared" si="11"/>
        <v>11.811</v>
      </c>
      <c r="Z50" s="385">
        <f t="shared" si="12"/>
        <v>12.066319053810366</v>
      </c>
      <c r="AA50" s="386">
        <f t="shared" si="13"/>
        <v>13.525865125875631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0.10790777953811491</v>
      </c>
      <c r="AD50" s="231">
        <f>(INDEX(Models!$BJ50:$BT50,,AH50)*(1-AF50)+INDEX(Models!$BJ50:$BT50,,AH50+1)*AF50-ERP_i)*AE50*Ramure*Pc/MaxiM</f>
        <v>1.339592544445179E-3</v>
      </c>
      <c r="AE50" s="305">
        <f t="shared" si="15"/>
        <v>0.7</v>
      </c>
      <c r="AF50" s="177">
        <f t="shared" si="22"/>
        <v>0.60107333342208547</v>
      </c>
      <c r="AG50" s="810">
        <f t="shared" si="23"/>
        <v>-1</v>
      </c>
      <c r="AH50" s="176">
        <f t="shared" si="16"/>
        <v>5</v>
      </c>
      <c r="AI50" s="225">
        <f t="shared" si="17"/>
        <v>-0.39892666657791459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6">
        <v>8.7759999999999998</v>
      </c>
      <c r="C51" s="390"/>
      <c r="D51" s="393">
        <f t="shared" si="0"/>
        <v>8.9659199375195211</v>
      </c>
      <c r="E51" s="385">
        <f t="shared" si="1"/>
        <v>10.051218769140124</v>
      </c>
      <c r="F51" s="385">
        <f t="shared" si="2"/>
        <v>10.052264449592363</v>
      </c>
      <c r="G51" s="110">
        <f t="shared" si="21"/>
        <v>0.35210029213177457</v>
      </c>
      <c r="H51" s="414" t="b">
        <f>Wh_hp&gt;='2020'!Maxi_hp</f>
        <v>0</v>
      </c>
      <c r="I51" s="380">
        <f>IF(H51,Wh_hp,'2020'!Maxi_hp)</f>
        <v>29.492309215343429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2.1182426214265804E-2</v>
      </c>
      <c r="M51" s="844"/>
      <c r="N51" s="844"/>
      <c r="O51" s="48">
        <f>IF(t&lt;Tnet,'2020'!Resal+('2020'!Salim-'2020'!Resal)*(1-EXP(('2020'!Tnet-t)/('2020'!Tau_j))),Resal+(Salim-Resal)*(1-EXP((Tnet-t)/(Tau_j))))*Salcycl</f>
        <v>0.10797683908271455</v>
      </c>
      <c r="P51" s="169">
        <f>(INDEX(Models!$BJ51:$BT51,,T51)*(1-R51)+INDEX(Models!$BJ51:$BT51,,T51+1)*R51-ERP_i)*Q51*Ramure*Pc/MaxiM</f>
        <v>1.3856147523358447E-3</v>
      </c>
      <c r="Q51" s="305">
        <f t="shared" si="4"/>
        <v>0.7</v>
      </c>
      <c r="R51" s="177">
        <f t="shared" si="5"/>
        <v>0.60117092248576065</v>
      </c>
      <c r="S51" s="810">
        <f t="shared" si="6"/>
        <v>-1</v>
      </c>
      <c r="T51" s="176">
        <f t="shared" si="7"/>
        <v>5</v>
      </c>
      <c r="U51" s="251">
        <f t="shared" si="8"/>
        <v>-0.39882907751423929</v>
      </c>
      <c r="V51" s="383">
        <f t="shared" si="9"/>
        <v>24.892770010525286</v>
      </c>
      <c r="W51" s="402"/>
      <c r="X51" s="157">
        <f t="shared" si="10"/>
        <v>44233</v>
      </c>
      <c r="Y51" s="385">
        <f t="shared" si="11"/>
        <v>8.7759999999999998</v>
      </c>
      <c r="Z51" s="385">
        <f t="shared" si="12"/>
        <v>8.9659199375195211</v>
      </c>
      <c r="AA51" s="386">
        <f t="shared" si="13"/>
        <v>10.051218769140124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0.10797683908271455</v>
      </c>
      <c r="AD51" s="231">
        <f>(INDEX(Models!$BJ51:$BT51,,AH51)*(1-AF51)+INDEX(Models!$BJ51:$BT51,,AH51+1)*AF51-ERP_i)*AE51*Ramure*Pc/MaxiM</f>
        <v>1.3856147523358447E-3</v>
      </c>
      <c r="AE51" s="305">
        <f t="shared" si="15"/>
        <v>0.7</v>
      </c>
      <c r="AF51" s="177">
        <f t="shared" si="22"/>
        <v>0.60117092248576065</v>
      </c>
      <c r="AG51" s="810">
        <f t="shared" si="23"/>
        <v>-1</v>
      </c>
      <c r="AH51" s="176">
        <f t="shared" si="16"/>
        <v>5</v>
      </c>
      <c r="AI51" s="225">
        <f t="shared" si="17"/>
        <v>-0.39882907751423929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6">
        <v>15.255000000000001</v>
      </c>
      <c r="C52" s="390"/>
      <c r="D52" s="393">
        <f t="shared" si="0"/>
        <v>15.58549358221603</v>
      </c>
      <c r="E52" s="385">
        <f t="shared" si="1"/>
        <v>17.47342642439083</v>
      </c>
      <c r="F52" s="385">
        <f t="shared" si="2"/>
        <v>17.484315975108089</v>
      </c>
      <c r="G52" s="110">
        <f t="shared" si="21"/>
        <v>0.60489599665609584</v>
      </c>
      <c r="H52" s="414" t="b">
        <f>Wh_hp&gt;='2020'!Maxi_hp</f>
        <v>0</v>
      </c>
      <c r="I52" s="380">
        <f>IF(H52,Wh_hp,'2020'!Maxi_hp)</f>
        <v>20.449279964874634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2.1205204729168203E-2</v>
      </c>
      <c r="M52" s="844"/>
      <c r="N52" s="844"/>
      <c r="O52" s="48">
        <f>IF(t&lt;Tnet,'2020'!Resal+('2020'!Salim-'2020'!Resal)*(1-EXP(('2020'!Tnet-t)/('2020'!Tau_j))),Resal+(Salim-Resal)*(1-EXP((Tnet-t)/(Tau_j))))*Salcycl</f>
        <v>0.10804594338403305</v>
      </c>
      <c r="P52" s="169">
        <f>(INDEX(Models!$BJ52:$BT52,,T52)*(1-R52)+INDEX(Models!$BJ52:$BT52,,T52+1)*R52-ERP_i)*Q52*Ramure*Pc/MaxiM</f>
        <v>1.4276237494883724E-3</v>
      </c>
      <c r="Q52" s="305">
        <f t="shared" si="4"/>
        <v>0.7</v>
      </c>
      <c r="R52" s="177">
        <f t="shared" si="5"/>
        <v>0.60127255475368191</v>
      </c>
      <c r="S52" s="810">
        <f t="shared" si="6"/>
        <v>-1</v>
      </c>
      <c r="T52" s="176">
        <f t="shared" si="7"/>
        <v>5</v>
      </c>
      <c r="U52" s="251">
        <f t="shared" si="8"/>
        <v>-0.39872744524631809</v>
      </c>
      <c r="V52" s="383">
        <f t="shared" si="9"/>
        <v>25.198902166250882</v>
      </c>
      <c r="W52" s="402"/>
      <c r="X52" s="157">
        <f t="shared" si="10"/>
        <v>44234</v>
      </c>
      <c r="Y52" s="385">
        <f t="shared" si="11"/>
        <v>15.255000000000003</v>
      </c>
      <c r="Z52" s="385">
        <f t="shared" si="12"/>
        <v>15.585493582216031</v>
      </c>
      <c r="AA52" s="386">
        <f t="shared" si="13"/>
        <v>17.47342642439083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0.10804594338403305</v>
      </c>
      <c r="AD52" s="231">
        <f>(INDEX(Models!$BJ52:$BT52,,AH52)*(1-AF52)+INDEX(Models!$BJ52:$BT52,,AH52+1)*AF52-ERP_i)*AE52*Ramure*Pc/MaxiM</f>
        <v>1.4276237494883724E-3</v>
      </c>
      <c r="AE52" s="305">
        <f t="shared" si="15"/>
        <v>0.7</v>
      </c>
      <c r="AF52" s="177">
        <f t="shared" si="22"/>
        <v>0.60127255475368191</v>
      </c>
      <c r="AG52" s="810">
        <f t="shared" si="23"/>
        <v>-1</v>
      </c>
      <c r="AH52" s="176">
        <f t="shared" si="16"/>
        <v>5</v>
      </c>
      <c r="AI52" s="225">
        <f t="shared" si="17"/>
        <v>-0.39872744524631809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6">
        <v>4.2919999999999998</v>
      </c>
      <c r="C53" s="390"/>
      <c r="D53" s="393">
        <f t="shared" si="0"/>
        <v>4.3850865412979854</v>
      </c>
      <c r="E53" s="385">
        <f t="shared" si="1"/>
        <v>4.9166506277242714</v>
      </c>
      <c r="F53" s="385">
        <f t="shared" si="2"/>
        <v>4.9166506277242714</v>
      </c>
      <c r="G53" s="110">
        <f t="shared" si="21"/>
        <v>0.16800239244074261</v>
      </c>
      <c r="H53" s="414" t="b">
        <f>Wh_hp&gt;='2020'!Maxi_hp</f>
        <v>0</v>
      </c>
      <c r="I53" s="380">
        <f>IF(H53,Wh_hp,'2020'!Maxi_hp)</f>
        <v>24.349491627953295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2.1227982713981297E-2</v>
      </c>
      <c r="M53" s="844"/>
      <c r="N53" s="844"/>
      <c r="O53" s="48">
        <f>IF(t&lt;Tnet,'2020'!Resal+('2020'!Salim-'2020'!Resal)*(1-EXP(('2020'!Tnet-t)/('2020'!Tau_j))),Resal+(Salim-Resal)*(1-EXP((Tnet-t)/(Tau_j))))*Salcycl</f>
        <v>0.10811508213109024</v>
      </c>
      <c r="P53" s="169">
        <f>(INDEX(Models!$BJ53:$BT53,,T53)*(1-R53)+INDEX(Models!$BJ53:$BT53,,T53+1)*R53-ERP_i)*Q53*Ramure*Pc/MaxiM</f>
        <v>1.464134975250857E-3</v>
      </c>
      <c r="Q53" s="305">
        <f t="shared" si="4"/>
        <v>0.7</v>
      </c>
      <c r="R53" s="177">
        <f t="shared" si="5"/>
        <v>0.60137839553237482</v>
      </c>
      <c r="S53" s="810">
        <f t="shared" si="6"/>
        <v>-1</v>
      </c>
      <c r="T53" s="176">
        <f t="shared" si="7"/>
        <v>5</v>
      </c>
      <c r="U53" s="251">
        <f t="shared" si="8"/>
        <v>-0.39862160446762512</v>
      </c>
      <c r="V53" s="383">
        <f t="shared" si="9"/>
        <v>25.509850606430323</v>
      </c>
      <c r="W53" s="402"/>
      <c r="X53" s="157">
        <f t="shared" si="10"/>
        <v>44235</v>
      </c>
      <c r="Y53" s="385">
        <f t="shared" si="11"/>
        <v>4.2919999999999998</v>
      </c>
      <c r="Z53" s="385">
        <f t="shared" si="12"/>
        <v>4.3850865412979854</v>
      </c>
      <c r="AA53" s="386">
        <f t="shared" si="13"/>
        <v>4.9166506277242714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0.10811508213109024</v>
      </c>
      <c r="AD53" s="231">
        <f>(INDEX(Models!$BJ53:$BT53,,AH53)*(1-AF53)+INDEX(Models!$BJ53:$BT53,,AH53+1)*AF53-ERP_i)*AE53*Ramure*Pc/MaxiM</f>
        <v>1.464134975250857E-3</v>
      </c>
      <c r="AE53" s="305">
        <f t="shared" si="15"/>
        <v>0.7</v>
      </c>
      <c r="AF53" s="177">
        <f t="shared" si="22"/>
        <v>0.60137839553237482</v>
      </c>
      <c r="AG53" s="810">
        <f t="shared" si="23"/>
        <v>-1</v>
      </c>
      <c r="AH53" s="176">
        <f t="shared" si="16"/>
        <v>5</v>
      </c>
      <c r="AI53" s="225">
        <f t="shared" si="17"/>
        <v>-0.39862160446762512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6">
        <v>11.383000000000001</v>
      </c>
      <c r="C54" s="390"/>
      <c r="D54" s="393">
        <f t="shared" si="0"/>
        <v>11.630149518136239</v>
      </c>
      <c r="E54" s="385">
        <f t="shared" si="1"/>
        <v>13.040977853229327</v>
      </c>
      <c r="F54" s="385">
        <f t="shared" si="2"/>
        <v>13.044900608004674</v>
      </c>
      <c r="G54" s="110">
        <f t="shared" si="21"/>
        <v>0.44024213200235712</v>
      </c>
      <c r="H54" s="414" t="b">
        <f>Wh_hp&gt;='2020'!Maxi_hp</f>
        <v>0</v>
      </c>
      <c r="I54" s="380">
        <f>IF(H54,Wh_hp,'2020'!Maxi_hp)</f>
        <v>26.172012335297985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2.1250760168717409E-2</v>
      </c>
      <c r="M54" s="844"/>
      <c r="N54" s="844"/>
      <c r="O54" s="48">
        <f>IF(t&lt;Tnet,'2020'!Resal+('2020'!Salim-'2020'!Resal)*(1-EXP(('2020'!Tnet-t)/('2020'!Tau_j))),Resal+(Salim-Resal)*(1-EXP((Tnet-t)/(Tau_j))))*Salcycl</f>
        <v>0.10818424438499644</v>
      </c>
      <c r="P54" s="169">
        <f>(INDEX(Models!$BJ54:$BT54,,T54)*(1-R54)+INDEX(Models!$BJ54:$BT54,,T54+1)*R54-ERP_i)*Q54*Ramure*Pc/MaxiM</f>
        <v>1.4953466017655281E-3</v>
      </c>
      <c r="Q54" s="305">
        <f t="shared" si="4"/>
        <v>0.7</v>
      </c>
      <c r="R54" s="177">
        <f t="shared" si="5"/>
        <v>0.6014886166992478</v>
      </c>
      <c r="S54" s="810">
        <f t="shared" si="6"/>
        <v>-1</v>
      </c>
      <c r="T54" s="176">
        <f t="shared" si="7"/>
        <v>5</v>
      </c>
      <c r="U54" s="251">
        <f t="shared" si="8"/>
        <v>-0.3985113833007522</v>
      </c>
      <c r="V54" s="383">
        <f t="shared" si="9"/>
        <v>25.825327824038904</v>
      </c>
      <c r="W54" s="402"/>
      <c r="X54" s="157">
        <f t="shared" si="10"/>
        <v>44236</v>
      </c>
      <c r="Y54" s="385">
        <f t="shared" si="11"/>
        <v>11.383000000000001</v>
      </c>
      <c r="Z54" s="385">
        <f t="shared" si="12"/>
        <v>11.630149518136239</v>
      </c>
      <c r="AA54" s="386">
        <f t="shared" si="13"/>
        <v>13.040977853229327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0.10818424438499644</v>
      </c>
      <c r="AD54" s="231">
        <f>(INDEX(Models!$BJ54:$BT54,,AH54)*(1-AF54)+INDEX(Models!$BJ54:$BT54,,AH54+1)*AF54-ERP_i)*AE54*Ramure*Pc/MaxiM</f>
        <v>1.4953466017655281E-3</v>
      </c>
      <c r="AE54" s="305">
        <f t="shared" si="15"/>
        <v>0.7</v>
      </c>
      <c r="AF54" s="177">
        <f t="shared" si="22"/>
        <v>0.6014886166992478</v>
      </c>
      <c r="AG54" s="810">
        <f t="shared" si="23"/>
        <v>-1</v>
      </c>
      <c r="AH54" s="176">
        <f t="shared" si="16"/>
        <v>5</v>
      </c>
      <c r="AI54" s="225">
        <f t="shared" si="17"/>
        <v>-0.3985113833007522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6">
        <v>13.452999999999999</v>
      </c>
      <c r="C55" s="390"/>
      <c r="D55" s="393">
        <f t="shared" si="0"/>
        <v>13.745413565346368</v>
      </c>
      <c r="E55" s="385">
        <f t="shared" si="1"/>
        <v>15.414035617097019</v>
      </c>
      <c r="F55" s="385">
        <f t="shared" si="2"/>
        <v>15.421227015802694</v>
      </c>
      <c r="G55" s="110">
        <f t="shared" si="21"/>
        <v>0.51400936813506348</v>
      </c>
      <c r="H55" s="414" t="b">
        <f>Wh_hp&gt;='2020'!Maxi_hp</f>
        <v>1</v>
      </c>
      <c r="I55" s="380">
        <f>IF(H55,Wh_hp,'2020'!Maxi_hp)</f>
        <v>15.421227015802694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2.1273537093388972E-2</v>
      </c>
      <c r="M55" s="844"/>
      <c r="N55" s="844"/>
      <c r="O55" s="48">
        <f>IF(t&lt;Tnet,'2020'!Resal+('2020'!Salim-'2020'!Resal)*(1-EXP(('2020'!Tnet-t)/('2020'!Tau_j))),Resal+(Salim-Resal)*(1-EXP((Tnet-t)/(Tau_j))))*Salcycl</f>
        <v>0.10825341871533246</v>
      </c>
      <c r="P55" s="169">
        <f>(INDEX(Models!$BJ55:$BT55,,T55)*(1-R55)+INDEX(Models!$BJ55:$BT55,,T55+1)*R55-ERP_i)*Q55*Ramure*Pc/MaxiM</f>
        <v>1.5214539839505082E-3</v>
      </c>
      <c r="Q55" s="305">
        <f t="shared" si="4"/>
        <v>0.7</v>
      </c>
      <c r="R55" s="177">
        <f t="shared" si="5"/>
        <v>0.60160339694777787</v>
      </c>
      <c r="S55" s="810">
        <f t="shared" si="6"/>
        <v>-1</v>
      </c>
      <c r="T55" s="176">
        <f t="shared" si="7"/>
        <v>5</v>
      </c>
      <c r="U55" s="251">
        <f t="shared" si="8"/>
        <v>-0.39839660305222219</v>
      </c>
      <c r="V55" s="383">
        <f t="shared" si="9"/>
        <v>26.145046458921136</v>
      </c>
      <c r="W55" s="402"/>
      <c r="X55" s="157">
        <f t="shared" si="10"/>
        <v>44237</v>
      </c>
      <c r="Y55" s="385">
        <f t="shared" si="11"/>
        <v>13.452999999999999</v>
      </c>
      <c r="Z55" s="385">
        <f t="shared" si="12"/>
        <v>13.745413565346368</v>
      </c>
      <c r="AA55" s="386">
        <f t="shared" si="13"/>
        <v>15.414035617097019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0.10825341871533246</v>
      </c>
      <c r="AD55" s="231">
        <f>(INDEX(Models!$BJ55:$BT55,,AH55)*(1-AF55)+INDEX(Models!$BJ55:$BT55,,AH55+1)*AF55-ERP_i)*AE55*Ramure*Pc/MaxiM</f>
        <v>1.5214539839505082E-3</v>
      </c>
      <c r="AE55" s="305">
        <f t="shared" si="15"/>
        <v>0.7</v>
      </c>
      <c r="AF55" s="177">
        <f t="shared" si="22"/>
        <v>0.60160339694777787</v>
      </c>
      <c r="AG55" s="810">
        <f t="shared" si="23"/>
        <v>-1</v>
      </c>
      <c r="AH55" s="176">
        <f t="shared" si="16"/>
        <v>5</v>
      </c>
      <c r="AI55" s="225">
        <f t="shared" si="17"/>
        <v>-0.39839660305222219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6">
        <v>22.022000000000002</v>
      </c>
      <c r="C56" s="390"/>
      <c r="D56" s="393">
        <f t="shared" si="0"/>
        <v>22.501192448231542</v>
      </c>
      <c r="E56" s="385">
        <f t="shared" si="1"/>
        <v>25.234678237153307</v>
      </c>
      <c r="F56" s="385">
        <f t="shared" si="2"/>
        <v>25.264298487786281</v>
      </c>
      <c r="G56" s="110">
        <f t="shared" si="21"/>
        <v>0.83169256874431685</v>
      </c>
      <c r="H56" s="414" t="b">
        <f>Wh_hp&gt;='2020'!Maxi_hp</f>
        <v>1</v>
      </c>
      <c r="I56" s="380">
        <f>IF(H56,Wh_hp,'2020'!Maxi_hp)</f>
        <v>25.264298487786281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2.129631348800809E-2</v>
      </c>
      <c r="M56" s="844"/>
      <c r="N56" s="844"/>
      <c r="O56" s="48">
        <f>IF(t&lt;Tnet,'2020'!Resal+('2020'!Salim-'2020'!Resal)*(1-EXP(('2020'!Tnet-t)/('2020'!Tau_j))),Resal+(Salim-Resal)*(1-EXP((Tnet-t)/(Tau_j))))*Salcycl</f>
        <v>0.10832259334685018</v>
      </c>
      <c r="P56" s="169">
        <f>(INDEX(Models!$BJ56:$BT56,,T56)*(1-R56)+INDEX(Models!$BJ56:$BT56,,T56+1)*R56-ERP_i)*Q56*Ramure*Pc/MaxiM</f>
        <v>1.5426489404155434E-3</v>
      </c>
      <c r="Q56" s="305">
        <f t="shared" si="4"/>
        <v>0.7</v>
      </c>
      <c r="R56" s="177">
        <f t="shared" si="5"/>
        <v>0.60172292204046673</v>
      </c>
      <c r="S56" s="810">
        <f t="shared" si="6"/>
        <v>-1</v>
      </c>
      <c r="T56" s="176">
        <f t="shared" si="7"/>
        <v>5</v>
      </c>
      <c r="U56" s="251">
        <f t="shared" si="8"/>
        <v>-0.39827707795953321</v>
      </c>
      <c r="V56" s="383">
        <f t="shared" si="9"/>
        <v>26.468719298794941</v>
      </c>
      <c r="W56" s="402"/>
      <c r="X56" s="157">
        <f t="shared" si="10"/>
        <v>44238</v>
      </c>
      <c r="Y56" s="385">
        <f t="shared" si="11"/>
        <v>22.022000000000002</v>
      </c>
      <c r="Z56" s="385">
        <f t="shared" si="12"/>
        <v>22.501192448231542</v>
      </c>
      <c r="AA56" s="386">
        <f t="shared" si="13"/>
        <v>25.234678237153307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0.10832259334685018</v>
      </c>
      <c r="AD56" s="231">
        <f>(INDEX(Models!$BJ56:$BT56,,AH56)*(1-AF56)+INDEX(Models!$BJ56:$BT56,,AH56+1)*AF56-ERP_i)*AE56*Ramure*Pc/MaxiM</f>
        <v>1.5426489404155434E-3</v>
      </c>
      <c r="AE56" s="305">
        <f t="shared" si="15"/>
        <v>0.7</v>
      </c>
      <c r="AF56" s="177">
        <f t="shared" si="22"/>
        <v>0.60172292204046673</v>
      </c>
      <c r="AG56" s="810">
        <f t="shared" si="23"/>
        <v>-1</v>
      </c>
      <c r="AH56" s="176">
        <f t="shared" si="16"/>
        <v>5</v>
      </c>
      <c r="AI56" s="225">
        <f t="shared" si="17"/>
        <v>-0.39827707795953321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6">
        <v>4.8870000000000005</v>
      </c>
      <c r="C57" s="390"/>
      <c r="D57" s="393">
        <f t="shared" si="0"/>
        <v>4.9934559332184927</v>
      </c>
      <c r="E57" s="385">
        <f t="shared" si="1"/>
        <v>5.600504446414031</v>
      </c>
      <c r="F57" s="385">
        <f t="shared" si="2"/>
        <v>5.600504446414031</v>
      </c>
      <c r="G57" s="110">
        <f t="shared" si="21"/>
        <v>0.18209321508687776</v>
      </c>
      <c r="H57" s="414" t="b">
        <f>Wh_hp&gt;='2020'!Maxi_hp</f>
        <v>0</v>
      </c>
      <c r="I57" s="380">
        <f>IF(H57,Wh_hp,'2020'!Maxi_hp)</f>
        <v>31.080312640486358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2.1319089352587306E-2</v>
      </c>
      <c r="M57" s="844"/>
      <c r="N57" s="844"/>
      <c r="O57" s="48">
        <f>IF(t&lt;Tnet,'2020'!Resal+('2020'!Salim-'2020'!Resal)*(1-EXP(('2020'!Tnet-t)/('2020'!Tau_j))),Resal+(Salim-Resal)*(1-EXP((Tnet-t)/(Tau_j))))*Salcycl</f>
        <v>0.10839175631477761</v>
      </c>
      <c r="P57" s="169">
        <f>(INDEX(Models!$BJ57:$BT57,,T57)*(1-R57)+INDEX(Models!$BJ57:$BT57,,T57+1)*R57-ERP_i)*Q57*Ramure*Pc/MaxiM</f>
        <v>1.5591191412705492E-3</v>
      </c>
      <c r="Q57" s="305">
        <f t="shared" si="4"/>
        <v>0.7</v>
      </c>
      <c r="R57" s="177">
        <f t="shared" si="5"/>
        <v>0.60184738506968505</v>
      </c>
      <c r="S57" s="810">
        <f t="shared" si="6"/>
        <v>-1</v>
      </c>
      <c r="T57" s="176">
        <f t="shared" si="7"/>
        <v>5</v>
      </c>
      <c r="U57" s="251">
        <f t="shared" si="8"/>
        <v>-0.39815261493031495</v>
      </c>
      <c r="V57" s="383">
        <f t="shared" si="9"/>
        <v>26.796059273425591</v>
      </c>
      <c r="W57" s="402"/>
      <c r="X57" s="157">
        <f t="shared" si="10"/>
        <v>44239</v>
      </c>
      <c r="Y57" s="385">
        <f t="shared" si="11"/>
        <v>4.8870000000000005</v>
      </c>
      <c r="Z57" s="385">
        <f t="shared" si="12"/>
        <v>4.9934559332184927</v>
      </c>
      <c r="AA57" s="386">
        <f t="shared" si="13"/>
        <v>5.600504446414031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0.10839175631477761</v>
      </c>
      <c r="AD57" s="231">
        <f>(INDEX(Models!$BJ57:$BT57,,AH57)*(1-AF57)+INDEX(Models!$BJ57:$BT57,,AH57+1)*AF57-ERP_i)*AE57*Ramure*Pc/MaxiM</f>
        <v>1.5591191412705492E-3</v>
      </c>
      <c r="AE57" s="305">
        <f t="shared" si="15"/>
        <v>0.7</v>
      </c>
      <c r="AF57" s="177">
        <f t="shared" si="22"/>
        <v>0.60184738506968505</v>
      </c>
      <c r="AG57" s="810">
        <f t="shared" si="23"/>
        <v>-1</v>
      </c>
      <c r="AH57" s="176">
        <f t="shared" si="16"/>
        <v>5</v>
      </c>
      <c r="AI57" s="225">
        <f t="shared" si="17"/>
        <v>-0.39815261493031495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6">
        <v>7.5170000000000003</v>
      </c>
      <c r="C58" s="390"/>
      <c r="D58" s="393">
        <f t="shared" si="0"/>
        <v>7.6809252677360487</v>
      </c>
      <c r="E58" s="385">
        <f t="shared" si="1"/>
        <v>8.6153543126271579</v>
      </c>
      <c r="F58" s="385">
        <f t="shared" si="2"/>
        <v>8.6153543126271579</v>
      </c>
      <c r="G58" s="110">
        <f t="shared" si="21"/>
        <v>0.27667089818037194</v>
      </c>
      <c r="H58" s="414" t="b">
        <f>Wh_hp&gt;='2020'!Maxi_hp</f>
        <v>0</v>
      </c>
      <c r="I58" s="380">
        <f>IF(H58,Wh_hp,'2020'!Maxi_hp)</f>
        <v>32.091869543727995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2.1341864687138834E-2</v>
      </c>
      <c r="M58" s="844"/>
      <c r="N58" s="844"/>
      <c r="O58" s="48">
        <f>IF(t&lt;Tnet,'2020'!Resal+('2020'!Salim-'2020'!Resal)*(1-EXP(('2020'!Tnet-t)/('2020'!Tau_j))),Resal+(Salim-Resal)*(1-EXP((Tnet-t)/(Tau_j))))*Salcycl</f>
        <v>0.10846089562695717</v>
      </c>
      <c r="P58" s="169">
        <f>(INDEX(Models!$BJ58:$BT58,,T58)*(1-R58)+INDEX(Models!$BJ58:$BT58,,T58+1)*R58-ERP_i)*Q58*Ramure*Pc/MaxiM</f>
        <v>1.5664809345622059E-3</v>
      </c>
      <c r="Q58" s="305">
        <f t="shared" si="4"/>
        <v>0.7</v>
      </c>
      <c r="R58" s="177">
        <f t="shared" si="5"/>
        <v>0.60197698672651634</v>
      </c>
      <c r="S58" s="810">
        <f t="shared" si="6"/>
        <v>-1</v>
      </c>
      <c r="T58" s="176">
        <f t="shared" si="7"/>
        <v>5</v>
      </c>
      <c r="U58" s="251">
        <f t="shared" si="8"/>
        <v>-0.39802301327348361</v>
      </c>
      <c r="V58" s="383">
        <f t="shared" si="9"/>
        <v>27.126903523918745</v>
      </c>
      <c r="W58" s="402"/>
      <c r="X58" s="157">
        <f t="shared" si="10"/>
        <v>44240</v>
      </c>
      <c r="Y58" s="385">
        <f t="shared" si="11"/>
        <v>7.5170000000000003</v>
      </c>
      <c r="Z58" s="385">
        <f t="shared" si="12"/>
        <v>7.6809252677360487</v>
      </c>
      <c r="AA58" s="386">
        <f t="shared" si="13"/>
        <v>8.6153543126271579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0.10846089562695717</v>
      </c>
      <c r="AD58" s="231">
        <f>(INDEX(Models!$BJ58:$BT58,,AH58)*(1-AF58)+INDEX(Models!$BJ58:$BT58,,AH58+1)*AF58-ERP_i)*AE58*Ramure*Pc/MaxiM</f>
        <v>1.5664809345622059E-3</v>
      </c>
      <c r="AE58" s="305">
        <f t="shared" si="15"/>
        <v>0.7</v>
      </c>
      <c r="AF58" s="177">
        <f t="shared" si="22"/>
        <v>0.60197698672651634</v>
      </c>
      <c r="AG58" s="810">
        <f t="shared" si="23"/>
        <v>-1</v>
      </c>
      <c r="AH58" s="176">
        <f t="shared" si="16"/>
        <v>5</v>
      </c>
      <c r="AI58" s="225">
        <f t="shared" si="17"/>
        <v>-0.39802301327348361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6">
        <v>27.794</v>
      </c>
      <c r="C59" s="390"/>
      <c r="D59" s="393">
        <f t="shared" si="0"/>
        <v>28.400772260633605</v>
      </c>
      <c r="E59" s="385">
        <f t="shared" si="1"/>
        <v>31.858360059796198</v>
      </c>
      <c r="F59" s="385">
        <f t="shared" si="2"/>
        <v>31.908306457001551</v>
      </c>
      <c r="G59" s="110">
        <f t="shared" si="21"/>
        <v>1.012127803396822</v>
      </c>
      <c r="H59" s="414" t="b">
        <f>Wh_hp&gt;='2020'!Maxi_hp</f>
        <v>0</v>
      </c>
      <c r="I59" s="380">
        <f>IF(H59,Wh_hp,'2020'!Maxi_hp)</f>
        <v>32.218134869509122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2.1364639491675108E-2</v>
      </c>
      <c r="M59" s="844"/>
      <c r="N59" s="844"/>
      <c r="O59" s="48">
        <f>IF(t&lt;Tnet,'2020'!Resal+('2020'!Salim-'2020'!Resal)*(1-EXP(('2020'!Tnet-t)/('2020'!Tau_j))),Resal+(Salim-Resal)*(1-EXP((Tnet-t)/(Tau_j))))*Salcycl</f>
        <v>0.10852999943100998</v>
      </c>
      <c r="P59" s="169">
        <f>(INDEX(Models!$BJ59:$BT59,,T59)*(1-R59)+INDEX(Models!$BJ59:$BT59,,T59+1)*R59-ERP_i)*Q59*Ramure*Pc/MaxiM</f>
        <v>1.5653101888267293E-3</v>
      </c>
      <c r="Q59" s="305">
        <f t="shared" si="4"/>
        <v>0.7</v>
      </c>
      <c r="R59" s="177">
        <f t="shared" si="5"/>
        <v>0.60211193557770182</v>
      </c>
      <c r="S59" s="810">
        <f t="shared" si="6"/>
        <v>-1</v>
      </c>
      <c r="T59" s="176">
        <f t="shared" si="7"/>
        <v>5</v>
      </c>
      <c r="U59" s="251">
        <f t="shared" si="8"/>
        <v>-0.39788806442229824</v>
      </c>
      <c r="V59" s="383">
        <f t="shared" si="9"/>
        <v>27.460958889499942</v>
      </c>
      <c r="W59" s="402"/>
      <c r="X59" s="157">
        <f t="shared" si="10"/>
        <v>44241</v>
      </c>
      <c r="Y59" s="385">
        <f t="shared" si="11"/>
        <v>27.794</v>
      </c>
      <c r="Z59" s="385">
        <f t="shared" si="12"/>
        <v>28.400772260633605</v>
      </c>
      <c r="AA59" s="386">
        <f t="shared" si="13"/>
        <v>31.858360059796198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0.10852999943100998</v>
      </c>
      <c r="AD59" s="231">
        <f>(INDEX(Models!$BJ59:$BT59,,AH59)*(1-AF59)+INDEX(Models!$BJ59:$BT59,,AH59+1)*AF59-ERP_i)*AE59*Ramure*Pc/MaxiM</f>
        <v>1.5653101888267293E-3</v>
      </c>
      <c r="AE59" s="305">
        <f t="shared" si="15"/>
        <v>0.7</v>
      </c>
      <c r="AF59" s="177">
        <f t="shared" si="22"/>
        <v>0.60211193557770182</v>
      </c>
      <c r="AG59" s="810">
        <f t="shared" si="23"/>
        <v>-1</v>
      </c>
      <c r="AH59" s="176">
        <f t="shared" si="16"/>
        <v>5</v>
      </c>
      <c r="AI59" s="225">
        <f t="shared" si="17"/>
        <v>-0.39788806442229824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6">
        <v>25.658999999999999</v>
      </c>
      <c r="C60" s="390"/>
      <c r="D60" s="393">
        <f t="shared" si="0"/>
        <v>26.219773136935757</v>
      </c>
      <c r="E60" s="385">
        <f t="shared" si="1"/>
        <v>29.41411866215018</v>
      </c>
      <c r="F60" s="385">
        <f t="shared" si="2"/>
        <v>29.454910721615065</v>
      </c>
      <c r="G60" s="110">
        <f t="shared" si="21"/>
        <v>0.9228959612712887</v>
      </c>
      <c r="H60" s="414" t="b">
        <f>Wh_hp&gt;='2020'!Maxi_hp</f>
        <v>0</v>
      </c>
      <c r="I60" s="380">
        <f>IF(H60,Wh_hp,'2020'!Maxi_hp)</f>
        <v>32.495097407012501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2.1387413766208341E-2</v>
      </c>
      <c r="M60" s="844"/>
      <c r="N60" s="844"/>
      <c r="O60" s="48">
        <f>IF(t&lt;Tnet,'2020'!Resal+('2020'!Salim-'2020'!Resal)*(1-EXP(('2020'!Tnet-t)/('2020'!Tau_j))),Resal+(Salim-Resal)*(1-EXP((Tnet-t)/(Tau_j))))*Salcycl</f>
        <v>0.10859905618470489</v>
      </c>
      <c r="P60" s="169">
        <f>(INDEX(Models!$BJ60:$BT60,,T60)*(1-R60)+INDEX(Models!$BJ60:$BT60,,T60+1)*R60-ERP_i)*Q60*Ramure*Pc/MaxiM</f>
        <v>1.5559306516470398E-3</v>
      </c>
      <c r="Q60" s="305">
        <f t="shared" si="4"/>
        <v>0.7</v>
      </c>
      <c r="R60" s="177">
        <f t="shared" si="5"/>
        <v>0.60225244835076608</v>
      </c>
      <c r="S60" s="810">
        <f t="shared" si="6"/>
        <v>-1</v>
      </c>
      <c r="T60" s="176">
        <f t="shared" si="7"/>
        <v>5</v>
      </c>
      <c r="U60" s="251">
        <f t="shared" si="8"/>
        <v>-0.39774755164923387</v>
      </c>
      <c r="V60" s="383">
        <f t="shared" si="9"/>
        <v>27.7979387434724</v>
      </c>
      <c r="W60" s="402"/>
      <c r="X60" s="157">
        <f t="shared" si="10"/>
        <v>44242</v>
      </c>
      <c r="Y60" s="385">
        <f t="shared" si="11"/>
        <v>25.658999999999999</v>
      </c>
      <c r="Z60" s="385">
        <f t="shared" si="12"/>
        <v>26.219773136935757</v>
      </c>
      <c r="AA60" s="386">
        <f t="shared" si="13"/>
        <v>29.41411866215018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0.10859905618470489</v>
      </c>
      <c r="AD60" s="231">
        <f>(INDEX(Models!$BJ60:$BT60,,AH60)*(1-AF60)+INDEX(Models!$BJ60:$BT60,,AH60+1)*AF60-ERP_i)*AE60*Ramure*Pc/MaxiM</f>
        <v>1.5559306516470398E-3</v>
      </c>
      <c r="AE60" s="305">
        <f t="shared" si="15"/>
        <v>0.7</v>
      </c>
      <c r="AF60" s="177">
        <f t="shared" si="22"/>
        <v>0.60225244835076608</v>
      </c>
      <c r="AG60" s="810">
        <f t="shared" si="23"/>
        <v>-1</v>
      </c>
      <c r="AH60" s="176">
        <f t="shared" si="16"/>
        <v>5</v>
      </c>
      <c r="AI60" s="225">
        <f t="shared" si="17"/>
        <v>-0.39774755164923387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6">
        <v>25.241</v>
      </c>
      <c r="C61" s="390"/>
      <c r="D61" s="393">
        <f t="shared" si="0"/>
        <v>25.793238063447859</v>
      </c>
      <c r="E61" s="385">
        <f t="shared" si="1"/>
        <v>28.937858901110346</v>
      </c>
      <c r="F61" s="385">
        <f t="shared" si="2"/>
        <v>28.975886231853067</v>
      </c>
      <c r="G61" s="110">
        <f t="shared" si="21"/>
        <v>0.896854031321908</v>
      </c>
      <c r="H61" s="414" t="b">
        <f>Wh_hp&gt;='2020'!Maxi_hp</f>
        <v>0</v>
      </c>
      <c r="I61" s="380">
        <f>IF(H61,Wh_hp,'2020'!Maxi_hp)</f>
        <v>33.091277518761402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2.1410187510750966E-2</v>
      </c>
      <c r="M61" s="844"/>
      <c r="N61" s="844"/>
      <c r="O61" s="48">
        <f>IF(t&lt;Tnet,'2020'!Resal+('2020'!Salim-'2020'!Resal)*(1-EXP(('2020'!Tnet-t)/('2020'!Tau_j))),Resal+(Salim-Resal)*(1-EXP((Tnet-t)/(Tau_j))))*Salcycl</f>
        <v>0.10866805482771316</v>
      </c>
      <c r="P61" s="169">
        <f>(INDEX(Models!$BJ61:$BT61,,T61)*(1-R61)+INDEX(Models!$BJ61:$BT61,,T61+1)*R61-ERP_i)*Q61*Ramure*Pc/MaxiM</f>
        <v>1.5386546567260366E-3</v>
      </c>
      <c r="Q61" s="305">
        <f t="shared" si="4"/>
        <v>0.7</v>
      </c>
      <c r="R61" s="177">
        <f t="shared" si="5"/>
        <v>0.60239875022739664</v>
      </c>
      <c r="S61" s="810">
        <f t="shared" si="6"/>
        <v>-1</v>
      </c>
      <c r="T61" s="176">
        <f t="shared" si="7"/>
        <v>5</v>
      </c>
      <c r="U61" s="251">
        <f t="shared" si="8"/>
        <v>-0.39760124977260342</v>
      </c>
      <c r="V61" s="383">
        <f t="shared" si="9"/>
        <v>28.137556589302456</v>
      </c>
      <c r="W61" s="402"/>
      <c r="X61" s="157">
        <f t="shared" si="10"/>
        <v>44243</v>
      </c>
      <c r="Y61" s="385">
        <f t="shared" si="11"/>
        <v>25.241</v>
      </c>
      <c r="Z61" s="385">
        <f t="shared" si="12"/>
        <v>25.793238063447859</v>
      </c>
      <c r="AA61" s="386">
        <f t="shared" si="13"/>
        <v>28.937858901110346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0.10866805482771316</v>
      </c>
      <c r="AD61" s="231">
        <f>(INDEX(Models!$BJ61:$BT61,,AH61)*(1-AF61)+INDEX(Models!$BJ61:$BT61,,AH61+1)*AF61-ERP_i)*AE61*Ramure*Pc/MaxiM</f>
        <v>1.5386546567260366E-3</v>
      </c>
      <c r="AE61" s="305">
        <f t="shared" si="15"/>
        <v>0.7</v>
      </c>
      <c r="AF61" s="177">
        <f t="shared" si="22"/>
        <v>0.60239875022739664</v>
      </c>
      <c r="AG61" s="810">
        <f t="shared" si="23"/>
        <v>-1</v>
      </c>
      <c r="AH61" s="176">
        <f t="shared" si="16"/>
        <v>5</v>
      </c>
      <c r="AI61" s="225">
        <f t="shared" si="17"/>
        <v>-0.39760124977260342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6">
        <v>26.966000000000001</v>
      </c>
      <c r="C62" s="390"/>
      <c r="D62" s="393">
        <f t="shared" si="0"/>
        <v>27.556619953178924</v>
      </c>
      <c r="E62" s="385">
        <f t="shared" si="1"/>
        <v>30.918617162324765</v>
      </c>
      <c r="F62" s="385">
        <f t="shared" si="2"/>
        <v>30.961928427298869</v>
      </c>
      <c r="G62" s="110">
        <f t="shared" si="21"/>
        <v>0.94674667262123435</v>
      </c>
      <c r="H62" s="414" t="b">
        <f>Wh_hp&gt;='2020'!Maxi_hp</f>
        <v>0</v>
      </c>
      <c r="I62" s="380">
        <f>IF(H62,Wh_hp,'2020'!Maxi_hp)</f>
        <v>33.499351483700778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2.1432960725315309E-2</v>
      </c>
      <c r="M62" s="844"/>
      <c r="N62" s="844"/>
      <c r="O62" s="48">
        <f>IF(t&lt;Tnet,'2020'!Resal+('2020'!Salim-'2020'!Resal)*(1-EXP(('2020'!Tnet-t)/('2020'!Tau_j))),Resal+(Salim-Resal)*(1-EXP((Tnet-t)/(Tau_j))))*Salcycl</f>
        <v>0.10873698495295361</v>
      </c>
      <c r="P62" s="169">
        <f>(INDEX(Models!$BJ62:$BT62,,T62)*(1-R62)+INDEX(Models!$BJ62:$BT62,,T62+1)*R62-ERP_i)*Q62*Ramure*Pc/MaxiM</f>
        <v>1.513782685975372E-3</v>
      </c>
      <c r="Q62" s="305">
        <f t="shared" si="4"/>
        <v>0.7</v>
      </c>
      <c r="R62" s="177">
        <f t="shared" si="5"/>
        <v>0.60255107514512163</v>
      </c>
      <c r="S62" s="810">
        <f t="shared" si="6"/>
        <v>-1</v>
      </c>
      <c r="T62" s="176">
        <f t="shared" si="7"/>
        <v>5</v>
      </c>
      <c r="U62" s="251">
        <f t="shared" si="8"/>
        <v>-0.39744892485487837</v>
      </c>
      <c r="V62" s="383">
        <f t="shared" si="9"/>
        <v>28.479526057916136</v>
      </c>
      <c r="W62" s="402"/>
      <c r="X62" s="157">
        <f t="shared" si="10"/>
        <v>44244</v>
      </c>
      <c r="Y62" s="385">
        <f t="shared" si="11"/>
        <v>26.966000000000001</v>
      </c>
      <c r="Z62" s="385">
        <f t="shared" si="12"/>
        <v>27.556619953178924</v>
      </c>
      <c r="AA62" s="386">
        <f t="shared" si="13"/>
        <v>30.918617162324765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0.10873698495295361</v>
      </c>
      <c r="AD62" s="231">
        <f>(INDEX(Models!$BJ62:$BT62,,AH62)*(1-AF62)+INDEX(Models!$BJ62:$BT62,,AH62+1)*AF62-ERP_i)*AE62*Ramure*Pc/MaxiM</f>
        <v>1.513782685975372E-3</v>
      </c>
      <c r="AE62" s="305">
        <f t="shared" si="15"/>
        <v>0.7</v>
      </c>
      <c r="AF62" s="177">
        <f t="shared" si="22"/>
        <v>0.60255107514512163</v>
      </c>
      <c r="AG62" s="810">
        <f t="shared" si="23"/>
        <v>-1</v>
      </c>
      <c r="AH62" s="176">
        <f t="shared" si="16"/>
        <v>5</v>
      </c>
      <c r="AI62" s="225">
        <f t="shared" si="17"/>
        <v>-0.39744892485487837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6">
        <v>15.217000000000001</v>
      </c>
      <c r="C63" s="390"/>
      <c r="D63" s="393">
        <f t="shared" si="0"/>
        <v>15.550650613923043</v>
      </c>
      <c r="E63" s="385">
        <f t="shared" si="1"/>
        <v>17.449228528553924</v>
      </c>
      <c r="F63" s="385">
        <f t="shared" si="2"/>
        <v>17.457650870027873</v>
      </c>
      <c r="G63" s="110">
        <f t="shared" si="21"/>
        <v>0.52740841120403548</v>
      </c>
      <c r="H63" s="414" t="b">
        <f>Wh_hp&gt;='2020'!Maxi_hp</f>
        <v>0</v>
      </c>
      <c r="I63" s="380">
        <f>IF(H63,Wh_hp,'2020'!Maxi_hp)</f>
        <v>33.359346298317604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2.1455733409913691E-2</v>
      </c>
      <c r="M63" s="844"/>
      <c r="N63" s="844"/>
      <c r="O63" s="48">
        <f>IF(t&lt;Tnet,'2020'!Resal+('2020'!Salim-'2020'!Resal)*(1-EXP(('2020'!Tnet-t)/('2020'!Tau_j))),Resal+(Salim-Resal)*(1-EXP((Tnet-t)/(Tau_j))))*Salcycl</f>
        <v>0.10880583697577489</v>
      </c>
      <c r="P63" s="169">
        <f>(INDEX(Models!$BJ63:$BT63,,T63)*(1-R63)+INDEX(Models!$BJ63:$BT63,,T63+1)*R63-ERP_i)*Q63*Ramure*Pc/MaxiM</f>
        <v>1.4816030314859252E-3</v>
      </c>
      <c r="Q63" s="305">
        <f t="shared" si="4"/>
        <v>0.7</v>
      </c>
      <c r="R63" s="177">
        <f t="shared" si="5"/>
        <v>0.60270966610732024</v>
      </c>
      <c r="S63" s="810">
        <f t="shared" si="6"/>
        <v>-1</v>
      </c>
      <c r="T63" s="176">
        <f t="shared" si="7"/>
        <v>5</v>
      </c>
      <c r="U63" s="251">
        <f t="shared" si="8"/>
        <v>-0.39729033389267976</v>
      </c>
      <c r="V63" s="383">
        <f t="shared" si="9"/>
        <v>28.823560901928847</v>
      </c>
      <c r="W63" s="402"/>
      <c r="X63" s="157">
        <f t="shared" si="10"/>
        <v>44245</v>
      </c>
      <c r="Y63" s="385">
        <f t="shared" si="11"/>
        <v>15.217000000000001</v>
      </c>
      <c r="Z63" s="385">
        <f t="shared" si="12"/>
        <v>15.550650613923045</v>
      </c>
      <c r="AA63" s="386">
        <f t="shared" si="13"/>
        <v>17.449228528553924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0.10880583697577489</v>
      </c>
      <c r="AD63" s="231">
        <f>(INDEX(Models!$BJ63:$BT63,,AH63)*(1-AF63)+INDEX(Models!$BJ63:$BT63,,AH63+1)*AF63-ERP_i)*AE63*Ramure*Pc/MaxiM</f>
        <v>1.4816030314859252E-3</v>
      </c>
      <c r="AE63" s="305">
        <f t="shared" si="15"/>
        <v>0.7</v>
      </c>
      <c r="AF63" s="177">
        <f t="shared" si="22"/>
        <v>0.60270966610732024</v>
      </c>
      <c r="AG63" s="810">
        <f t="shared" si="23"/>
        <v>-1</v>
      </c>
      <c r="AH63" s="176">
        <f t="shared" si="16"/>
        <v>5</v>
      </c>
      <c r="AI63" s="225">
        <f t="shared" si="17"/>
        <v>-0.39729033389267976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6">
        <v>29.14</v>
      </c>
      <c r="C64" s="390"/>
      <c r="D64" s="393">
        <f t="shared" si="0"/>
        <v>29.779621771939038</v>
      </c>
      <c r="E64" s="385">
        <f t="shared" si="1"/>
        <v>33.417992404633864</v>
      </c>
      <c r="F64" s="385">
        <f t="shared" si="2"/>
        <v>33.466194315132412</v>
      </c>
      <c r="G64" s="110">
        <f t="shared" si="21"/>
        <v>0.99899087508968853</v>
      </c>
      <c r="H64" s="414" t="b">
        <f>Wh_hp&gt;='2020'!Maxi_hp</f>
        <v>1</v>
      </c>
      <c r="I64" s="380">
        <f>IF(H64,Wh_hp,'2020'!Maxi_hp)</f>
        <v>33.466194315132412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2.1478505564558437E-2</v>
      </c>
      <c r="M64" s="844"/>
      <c r="N64" s="844"/>
      <c r="O64" s="48">
        <f>IF(t&lt;Tnet,'2020'!Resal+('2020'!Salim-'2020'!Resal)*(1-EXP(('2020'!Tnet-t)/('2020'!Tau_j))),Resal+(Salim-Resal)*(1-EXP((Tnet-t)/(Tau_j))))*Salcycl</f>
        <v>0.10887460229927864</v>
      </c>
      <c r="P64" s="169">
        <f>(INDEX(Models!$BJ64:$BT64,,T64)*(1-R64)+INDEX(Models!$BJ64:$BT64,,T64+1)*R64-ERP_i)*Q64*Ramure*Pc/MaxiM</f>
        <v>1.4423915432680509E-3</v>
      </c>
      <c r="Q64" s="305">
        <f t="shared" si="4"/>
        <v>0.7</v>
      </c>
      <c r="R64" s="177">
        <f t="shared" si="5"/>
        <v>0.60287477550156743</v>
      </c>
      <c r="S64" s="810">
        <f t="shared" si="6"/>
        <v>-1</v>
      </c>
      <c r="T64" s="176">
        <f t="shared" si="7"/>
        <v>5</v>
      </c>
      <c r="U64" s="251">
        <f t="shared" si="8"/>
        <v>-0.39712522449843257</v>
      </c>
      <c r="V64" s="383">
        <f t="shared" si="9"/>
        <v>29.169374987749727</v>
      </c>
      <c r="W64" s="402"/>
      <c r="X64" s="157">
        <f t="shared" si="10"/>
        <v>44246</v>
      </c>
      <c r="Y64" s="385">
        <f t="shared" si="11"/>
        <v>29.140000000000004</v>
      </c>
      <c r="Z64" s="385">
        <f t="shared" si="12"/>
        <v>29.779621771939041</v>
      </c>
      <c r="AA64" s="386">
        <f t="shared" si="13"/>
        <v>33.417992404633864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0.10887460229927864</v>
      </c>
      <c r="AD64" s="231">
        <f>(INDEX(Models!$BJ64:$BT64,,AH64)*(1-AF64)+INDEX(Models!$BJ64:$BT64,,AH64+1)*AF64-ERP_i)*AE64*Ramure*Pc/MaxiM</f>
        <v>1.4423915432680509E-3</v>
      </c>
      <c r="AE64" s="305">
        <f t="shared" si="15"/>
        <v>0.7</v>
      </c>
      <c r="AF64" s="177">
        <f t="shared" si="22"/>
        <v>0.60287477550156743</v>
      </c>
      <c r="AG64" s="810">
        <f t="shared" si="23"/>
        <v>-1</v>
      </c>
      <c r="AH64" s="176">
        <f t="shared" si="16"/>
        <v>5</v>
      </c>
      <c r="AI64" s="225">
        <f t="shared" si="17"/>
        <v>-0.39712522449843257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6">
        <v>23.492000000000001</v>
      </c>
      <c r="C65" s="390"/>
      <c r="D65" s="393">
        <f t="shared" si="0"/>
        <v>24.008207116018728</v>
      </c>
      <c r="E65" s="385">
        <f t="shared" si="1"/>
        <v>26.943522675177999</v>
      </c>
      <c r="F65" s="385">
        <f t="shared" si="2"/>
        <v>26.970199903683085</v>
      </c>
      <c r="G65" s="110">
        <f t="shared" si="21"/>
        <v>0.79553408132162418</v>
      </c>
      <c r="H65" s="414" t="b">
        <f>Wh_hp&gt;='2020'!Maxi_hp</f>
        <v>0</v>
      </c>
      <c r="I65" s="380">
        <f>IF(H65,Wh_hp,'2020'!Maxi_hp)</f>
        <v>34.378402325425711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2.1501277189261869E-2</v>
      </c>
      <c r="M65" s="844"/>
      <c r="N65" s="844"/>
      <c r="O65" s="48">
        <f>IF(t&lt;Tnet,'2020'!Resal+('2020'!Salim-'2020'!Resal)*(1-EXP(('2020'!Tnet-t)/('2020'!Tau_j))),Resal+(Salim-Resal)*(1-EXP((Tnet-t)/(Tau_j))))*Salcycl</f>
        <v>0.10894327347416452</v>
      </c>
      <c r="P65" s="169">
        <f>(INDEX(Models!$BJ65:$BT65,,T65)*(1-R65)+INDEX(Models!$BJ65:$BT65,,T65+1)*R65-ERP_i)*Q65*Ramure*Pc/MaxiM</f>
        <v>1.3963581611001257E-3</v>
      </c>
      <c r="Q65" s="305">
        <f t="shared" si="4"/>
        <v>0.7</v>
      </c>
      <c r="R65" s="177">
        <f t="shared" si="5"/>
        <v>0.60304666542629559</v>
      </c>
      <c r="S65" s="810">
        <f t="shared" si="6"/>
        <v>-1</v>
      </c>
      <c r="T65" s="176">
        <f t="shared" si="7"/>
        <v>5</v>
      </c>
      <c r="U65" s="251">
        <f t="shared" si="8"/>
        <v>-0.39695333457370435</v>
      </c>
      <c r="V65" s="383">
        <f t="shared" si="9"/>
        <v>29.517810292565915</v>
      </c>
      <c r="W65" s="402"/>
      <c r="X65" s="157">
        <f t="shared" si="10"/>
        <v>44247</v>
      </c>
      <c r="Y65" s="385">
        <f t="shared" si="11"/>
        <v>23.492000000000001</v>
      </c>
      <c r="Z65" s="385">
        <f t="shared" si="12"/>
        <v>24.008207116018728</v>
      </c>
      <c r="AA65" s="386">
        <f t="shared" si="13"/>
        <v>26.943522675177999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0.10894327347416452</v>
      </c>
      <c r="AD65" s="231">
        <f>(INDEX(Models!$BJ65:$BT65,,AH65)*(1-AF65)+INDEX(Models!$BJ65:$BT65,,AH65+1)*AF65-ERP_i)*AE65*Ramure*Pc/MaxiM</f>
        <v>1.3963581611001257E-3</v>
      </c>
      <c r="AE65" s="305">
        <f t="shared" si="15"/>
        <v>0.7</v>
      </c>
      <c r="AF65" s="177">
        <f t="shared" si="22"/>
        <v>0.60304666542629559</v>
      </c>
      <c r="AG65" s="810">
        <f t="shared" si="23"/>
        <v>-1</v>
      </c>
      <c r="AH65" s="176">
        <f t="shared" si="16"/>
        <v>5</v>
      </c>
      <c r="AI65" s="225">
        <f t="shared" si="17"/>
        <v>-0.39695333457370435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6">
        <v>10.608000000000001</v>
      </c>
      <c r="C66" s="390"/>
      <c r="D66" s="393">
        <f t="shared" si="0"/>
        <v>10.84134973516379</v>
      </c>
      <c r="E66" s="385">
        <f t="shared" si="1"/>
        <v>12.167782103987458</v>
      </c>
      <c r="F66" s="385">
        <f t="shared" si="2"/>
        <v>12.169071975607139</v>
      </c>
      <c r="G66" s="110">
        <f t="shared" si="21"/>
        <v>0.35470203675027895</v>
      </c>
      <c r="H66" s="414" t="b">
        <f>Wh_hp&gt;='2020'!Maxi_hp</f>
        <v>0</v>
      </c>
      <c r="I66" s="380">
        <f>IF(H66,Wh_hp,'2020'!Maxi_hp)</f>
        <v>33.562567282376634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2.1524048284036312E-2</v>
      </c>
      <c r="M66" s="844"/>
      <c r="N66" s="844"/>
      <c r="O66" s="48">
        <f>IF(t&lt;Tnet,'2020'!Resal+('2020'!Salim-'2020'!Resal)*(1-EXP(('2020'!Tnet-t)/('2020'!Tau_j))),Resal+(Salim-Resal)*(1-EXP((Tnet-t)/(Tau_j))))*Salcycl</f>
        <v>0.10901184435156731</v>
      </c>
      <c r="P66" s="169">
        <f>(INDEX(Models!$BJ66:$BT66,,T66)*(1-R66)+INDEX(Models!$BJ66:$BT66,,T66+1)*R66-ERP_i)*Q66*Ramure*Pc/MaxiM</f>
        <v>1.3455571824139553E-3</v>
      </c>
      <c r="Q66" s="305">
        <f t="shared" si="4"/>
        <v>0.7</v>
      </c>
      <c r="R66" s="177">
        <f t="shared" si="5"/>
        <v>0.603225608025725</v>
      </c>
      <c r="S66" s="810">
        <f t="shared" si="6"/>
        <v>-1</v>
      </c>
      <c r="T66" s="176">
        <f t="shared" si="7"/>
        <v>5</v>
      </c>
      <c r="U66" s="251">
        <f t="shared" si="8"/>
        <v>-0.39677439197427505</v>
      </c>
      <c r="V66" s="383">
        <f t="shared" si="9"/>
        <v>29.869716669706452</v>
      </c>
      <c r="W66" s="402"/>
      <c r="X66" s="157">
        <f t="shared" si="10"/>
        <v>44248</v>
      </c>
      <c r="Y66" s="385">
        <f t="shared" si="11"/>
        <v>10.608000000000001</v>
      </c>
      <c r="Z66" s="385">
        <f t="shared" si="12"/>
        <v>10.84134973516379</v>
      </c>
      <c r="AA66" s="386">
        <f t="shared" si="13"/>
        <v>12.167782103987458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0.10901184435156731</v>
      </c>
      <c r="AD66" s="231">
        <f>(INDEX(Models!$BJ66:$BT66,,AH66)*(1-AF66)+INDEX(Models!$BJ66:$BT66,,AH66+1)*AF66-ERP_i)*AE66*Ramure*Pc/MaxiM</f>
        <v>1.3455571824139553E-3</v>
      </c>
      <c r="AE66" s="305">
        <f t="shared" si="15"/>
        <v>0.7</v>
      </c>
      <c r="AF66" s="177">
        <f t="shared" si="22"/>
        <v>0.603225608025725</v>
      </c>
      <c r="AG66" s="810">
        <f t="shared" si="23"/>
        <v>-1</v>
      </c>
      <c r="AH66" s="176">
        <f t="shared" si="16"/>
        <v>5</v>
      </c>
      <c r="AI66" s="225">
        <f t="shared" si="17"/>
        <v>-0.39677439197427505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6">
        <v>7.8840000000000003</v>
      </c>
      <c r="C67" s="390"/>
      <c r="D67" s="393">
        <f t="shared" si="0"/>
        <v>8.0576159921365171</v>
      </c>
      <c r="E67" s="385">
        <f t="shared" si="1"/>
        <v>9.0441552528642859</v>
      </c>
      <c r="F67" s="385">
        <f t="shared" si="2"/>
        <v>9.0441552528642859</v>
      </c>
      <c r="G67" s="110">
        <f t="shared" si="21"/>
        <v>0.26050797531366615</v>
      </c>
      <c r="H67" s="414" t="b">
        <f>Wh_hp&gt;='2020'!Maxi_hp</f>
        <v>0</v>
      </c>
      <c r="I67" s="380">
        <f>IF(H67,Wh_hp,'2020'!Maxi_hp)</f>
        <v>34.11239789666849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2.1546818848894089E-2</v>
      </c>
      <c r="M67" s="844"/>
      <c r="N67" s="844"/>
      <c r="O67" s="48">
        <f>IF(t&lt;Tnet,'2020'!Resal+('2020'!Salim-'2020'!Resal)*(1-EXP(('2020'!Tnet-t)/('2020'!Tau_j))),Resal+(Salim-Resal)*(1-EXP((Tnet-t)/(Tau_j))))*Salcycl</f>
        <v>0.1090803102274623</v>
      </c>
      <c r="P67" s="169">
        <f>(INDEX(Models!$BJ67:$BT67,,T67)*(1-R67)+INDEX(Models!$BJ67:$BT67,,T67+1)*R67-ERP_i)*Q67*Ramure*Pc/MaxiM</f>
        <v>1.2935302906759299E-3</v>
      </c>
      <c r="Q67" s="305">
        <f t="shared" si="4"/>
        <v>0.7</v>
      </c>
      <c r="R67" s="177">
        <f t="shared" si="5"/>
        <v>0.60341188583298044</v>
      </c>
      <c r="S67" s="810">
        <f t="shared" si="6"/>
        <v>-1</v>
      </c>
      <c r="T67" s="176">
        <f t="shared" si="7"/>
        <v>5</v>
      </c>
      <c r="U67" s="251">
        <f t="shared" si="8"/>
        <v>-0.39658811416701961</v>
      </c>
      <c r="V67" s="383">
        <f t="shared" si="9"/>
        <v>30.224801362445096</v>
      </c>
      <c r="W67" s="402"/>
      <c r="X67" s="157">
        <f t="shared" si="10"/>
        <v>44249</v>
      </c>
      <c r="Y67" s="385">
        <f t="shared" si="11"/>
        <v>7.8839999999999995</v>
      </c>
      <c r="Z67" s="385">
        <f t="shared" si="12"/>
        <v>8.0576159921365171</v>
      </c>
      <c r="AA67" s="386">
        <f t="shared" si="13"/>
        <v>9.0441552528642859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0.1090803102274623</v>
      </c>
      <c r="AD67" s="231">
        <f>(INDEX(Models!$BJ67:$BT67,,AH67)*(1-AF67)+INDEX(Models!$BJ67:$BT67,,AH67+1)*AF67-ERP_i)*AE67*Ramure*Pc/MaxiM</f>
        <v>1.2935302906759299E-3</v>
      </c>
      <c r="AE67" s="305">
        <f t="shared" si="15"/>
        <v>0.7</v>
      </c>
      <c r="AF67" s="177">
        <f t="shared" si="22"/>
        <v>0.60341188583298044</v>
      </c>
      <c r="AG67" s="810">
        <f t="shared" si="23"/>
        <v>-1</v>
      </c>
      <c r="AH67" s="176">
        <f t="shared" si="16"/>
        <v>5</v>
      </c>
      <c r="AI67" s="225">
        <f t="shared" si="17"/>
        <v>-0.39658811416701961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6">
        <v>26.190999999999999</v>
      </c>
      <c r="C68" s="390"/>
      <c r="D68" s="393">
        <f t="shared" si="0"/>
        <v>26.768383016756811</v>
      </c>
      <c r="E68" s="385">
        <f t="shared" si="1"/>
        <v>30.04809226246482</v>
      </c>
      <c r="F68" s="385">
        <f t="shared" si="2"/>
        <v>30.077745264090815</v>
      </c>
      <c r="G68" s="110">
        <f t="shared" si="21"/>
        <v>0.85617622228535306</v>
      </c>
      <c r="H68" s="414" t="b">
        <f>Wh_hp&gt;='2020'!Maxi_hp</f>
        <v>0</v>
      </c>
      <c r="I68" s="380">
        <f>IF(H68,Wh_hp,'2020'!Maxi_hp)</f>
        <v>35.162786198923072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2.1569588883847524E-2</v>
      </c>
      <c r="M68" s="844"/>
      <c r="N68" s="844"/>
      <c r="O68" s="48">
        <f>IF(t&lt;Tnet,'2020'!Resal+('2020'!Salim-'2020'!Resal)*(1-EXP(('2020'!Tnet-t)/('2020'!Tau_j))),Resal+(Salim-Resal)*(1-EXP((Tnet-t)/(Tau_j))))*Salcycl</f>
        <v>0.10914866797733187</v>
      </c>
      <c r="P68" s="169">
        <f>(INDEX(Models!$BJ68:$BT68,,T68)*(1-R68)+INDEX(Models!$BJ68:$BT68,,T68+1)*R68-ERP_i)*Q68*Ramure*Pc/MaxiM</f>
        <v>1.2403341805381962E-3</v>
      </c>
      <c r="Q68" s="305">
        <f t="shared" si="4"/>
        <v>0.7</v>
      </c>
      <c r="R68" s="177">
        <f t="shared" si="5"/>
        <v>0.60360579212128274</v>
      </c>
      <c r="S68" s="810">
        <f t="shared" si="6"/>
        <v>-1</v>
      </c>
      <c r="T68" s="176">
        <f t="shared" si="7"/>
        <v>5</v>
      </c>
      <c r="U68" s="251">
        <f t="shared" si="8"/>
        <v>-0.39639420787871732</v>
      </c>
      <c r="V68" s="383">
        <f t="shared" si="9"/>
        <v>30.582873352750752</v>
      </c>
      <c r="W68" s="402"/>
      <c r="X68" s="157">
        <f t="shared" si="10"/>
        <v>44250</v>
      </c>
      <c r="Y68" s="385">
        <f t="shared" si="11"/>
        <v>26.190999999999999</v>
      </c>
      <c r="Z68" s="385">
        <f t="shared" si="12"/>
        <v>26.768383016756811</v>
      </c>
      <c r="AA68" s="386">
        <f t="shared" si="13"/>
        <v>30.04809226246482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0.10914866797733187</v>
      </c>
      <c r="AD68" s="231">
        <f>(INDEX(Models!$BJ68:$BT68,,AH68)*(1-AF68)+INDEX(Models!$BJ68:$BT68,,AH68+1)*AF68-ERP_i)*AE68*Ramure*Pc/MaxiM</f>
        <v>1.2403341805381962E-3</v>
      </c>
      <c r="AE68" s="305">
        <f t="shared" si="15"/>
        <v>0.7</v>
      </c>
      <c r="AF68" s="177">
        <f t="shared" si="22"/>
        <v>0.60360579212128274</v>
      </c>
      <c r="AG68" s="810">
        <f t="shared" si="23"/>
        <v>-1</v>
      </c>
      <c r="AH68" s="176">
        <f t="shared" si="16"/>
        <v>5</v>
      </c>
      <c r="AI68" s="225">
        <f t="shared" si="17"/>
        <v>-0.39639420787871732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6">
        <v>30.436</v>
      </c>
      <c r="C69" s="390"/>
      <c r="D69" s="393">
        <f t="shared" si="0"/>
        <v>31.10768835562515</v>
      </c>
      <c r="E69" s="385">
        <f t="shared" si="1"/>
        <v>34.921732260811595</v>
      </c>
      <c r="F69" s="385">
        <f t="shared" si="2"/>
        <v>34.962226475955411</v>
      </c>
      <c r="G69" s="110">
        <f t="shared" si="21"/>
        <v>0.98356408892226277</v>
      </c>
      <c r="H69" s="414" t="b">
        <f>Wh_hp&gt;='2020'!Maxi_hp</f>
        <v>0</v>
      </c>
      <c r="I69" s="380">
        <f>IF(H69,Wh_hp,'2020'!Maxi_hp)</f>
        <v>36.637666820783267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2.159235838890905E-2</v>
      </c>
      <c r="M69" s="844"/>
      <c r="N69" s="844"/>
      <c r="O69" s="48">
        <f>IF(t&lt;Tnet,'2020'!Resal+('2020'!Salim-'2020'!Resal)*(1-EXP(('2020'!Tnet-t)/('2020'!Tau_j))),Resal+(Salim-Resal)*(1-EXP((Tnet-t)/(Tau_j))))*Salcycl</f>
        <v>0.10921691617991373</v>
      </c>
      <c r="P69" s="169">
        <f>(INDEX(Models!$BJ69:$BT69,,T69)*(1-R69)+INDEX(Models!$BJ69:$BT69,,T69+1)*R69-ERP_i)*Q69*Ramure*Pc/MaxiM</f>
        <v>1.1860290101616943E-3</v>
      </c>
      <c r="Q69" s="305">
        <f t="shared" si="4"/>
        <v>0.7</v>
      </c>
      <c r="R69" s="177">
        <f t="shared" si="5"/>
        <v>0.60380763126305736</v>
      </c>
      <c r="S69" s="810">
        <f t="shared" si="6"/>
        <v>-1</v>
      </c>
      <c r="T69" s="176">
        <f t="shared" si="7"/>
        <v>5</v>
      </c>
      <c r="U69" s="251">
        <f t="shared" si="8"/>
        <v>-0.39619236873694269</v>
      </c>
      <c r="V69" s="383">
        <f t="shared" si="9"/>
        <v>30.94374143731843</v>
      </c>
      <c r="W69" s="402"/>
      <c r="X69" s="157">
        <f t="shared" si="10"/>
        <v>44251</v>
      </c>
      <c r="Y69" s="385">
        <f t="shared" si="11"/>
        <v>30.435999999999996</v>
      </c>
      <c r="Z69" s="385">
        <f t="shared" si="12"/>
        <v>31.107688355625147</v>
      </c>
      <c r="AA69" s="386">
        <f t="shared" si="13"/>
        <v>34.921732260811595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0.10921691617991373</v>
      </c>
      <c r="AD69" s="231">
        <f>(INDEX(Models!$BJ69:$BT69,,AH69)*(1-AF69)+INDEX(Models!$BJ69:$BT69,,AH69+1)*AF69-ERP_i)*AE69*Ramure*Pc/MaxiM</f>
        <v>1.1860290101616943E-3</v>
      </c>
      <c r="AE69" s="305">
        <f t="shared" si="15"/>
        <v>0.7</v>
      </c>
      <c r="AF69" s="177">
        <f t="shared" si="22"/>
        <v>0.60380763126305736</v>
      </c>
      <c r="AG69" s="810">
        <f t="shared" si="23"/>
        <v>-1</v>
      </c>
      <c r="AH69" s="176">
        <f t="shared" si="16"/>
        <v>5</v>
      </c>
      <c r="AI69" s="225">
        <f t="shared" si="17"/>
        <v>-0.39619236873694269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6">
        <v>27.901</v>
      </c>
      <c r="C70" s="390"/>
      <c r="D70" s="393">
        <f t="shared" si="0"/>
        <v>28.517407392891005</v>
      </c>
      <c r="E70" s="385">
        <f t="shared" si="1"/>
        <v>32.016311795714252</v>
      </c>
      <c r="F70" s="385">
        <f t="shared" si="2"/>
        <v>32.046914465330389</v>
      </c>
      <c r="G70" s="110">
        <f t="shared" si="21"/>
        <v>0.8910435678479327</v>
      </c>
      <c r="H70" s="414" t="b">
        <f>Wh_hp&gt;='2020'!Maxi_hp</f>
        <v>0</v>
      </c>
      <c r="I70" s="380">
        <f>IF(H70,Wh_hp,'2020'!Maxi_hp)</f>
        <v>35.339882745455832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2.161512736409088E-2</v>
      </c>
      <c r="M70" s="844"/>
      <c r="N70" s="844"/>
      <c r="O70" s="48">
        <f>IF(t&lt;Tnet,'2020'!Resal+('2020'!Salim-'2020'!Resal)*(1-EXP(('2020'!Tnet-t)/('2020'!Tau_j))),Resal+(Salim-Resal)*(1-EXP((Tnet-t)/(Tau_j))))*Salcycl</f>
        <v>0.10928505522899157</v>
      </c>
      <c r="P70" s="169">
        <f>(INDEX(Models!$BJ70:$BT70,,T70)*(1-R70)+INDEX(Models!$BJ70:$BT70,,T70+1)*R70-ERP_i)*Q70*Ramure*Pc/MaxiM</f>
        <v>1.1306715399637579E-3</v>
      </c>
      <c r="Q70" s="305">
        <f t="shared" si="4"/>
        <v>0.7</v>
      </c>
      <c r="R70" s="177">
        <f t="shared" si="5"/>
        <v>0.60401771909676616</v>
      </c>
      <c r="S70" s="810">
        <f t="shared" si="6"/>
        <v>-1</v>
      </c>
      <c r="T70" s="176">
        <f t="shared" si="7"/>
        <v>5</v>
      </c>
      <c r="U70" s="251">
        <f t="shared" si="8"/>
        <v>-0.39598228090323384</v>
      </c>
      <c r="V70" s="383">
        <f t="shared" si="9"/>
        <v>31.307214428701915</v>
      </c>
      <c r="W70" s="402"/>
      <c r="X70" s="157">
        <f t="shared" si="10"/>
        <v>44252</v>
      </c>
      <c r="Y70" s="385">
        <f t="shared" si="11"/>
        <v>27.901</v>
      </c>
      <c r="Z70" s="385">
        <f t="shared" si="12"/>
        <v>28.517407392891005</v>
      </c>
      <c r="AA70" s="386">
        <f t="shared" si="13"/>
        <v>32.016311795714252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0.10928505522899157</v>
      </c>
      <c r="AD70" s="231">
        <f>(INDEX(Models!$BJ70:$BT70,,AH70)*(1-AF70)+INDEX(Models!$BJ70:$BT70,,AH70+1)*AF70-ERP_i)*AE70*Ramure*Pc/MaxiM</f>
        <v>1.1306715399637579E-3</v>
      </c>
      <c r="AE70" s="305">
        <f t="shared" si="15"/>
        <v>0.7</v>
      </c>
      <c r="AF70" s="177">
        <f t="shared" si="22"/>
        <v>0.60401771909676616</v>
      </c>
      <c r="AG70" s="810">
        <f t="shared" si="23"/>
        <v>-1</v>
      </c>
      <c r="AH70" s="176">
        <f t="shared" si="16"/>
        <v>5</v>
      </c>
      <c r="AI70" s="225">
        <f t="shared" si="17"/>
        <v>-0.39598228090323384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6">
        <v>8.1289999999999996</v>
      </c>
      <c r="C71" s="390"/>
      <c r="D71" s="393">
        <f t="shared" si="0"/>
        <v>8.308784615819901</v>
      </c>
      <c r="E71" s="385">
        <f t="shared" si="1"/>
        <v>9.3289321487302832</v>
      </c>
      <c r="F71" s="385">
        <f t="shared" si="2"/>
        <v>9.3289321487302832</v>
      </c>
      <c r="G71" s="110">
        <f t="shared" si="21"/>
        <v>0.25637738643155034</v>
      </c>
      <c r="H71" s="414" t="b">
        <f>Wh_hp&gt;='2020'!Maxi_hp</f>
        <v>0</v>
      </c>
      <c r="I71" s="380">
        <f>IF(H71,Wh_hp,'2020'!Maxi_hp)</f>
        <v>31.970796845433078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2.163789580940545E-2</v>
      </c>
      <c r="M71" s="844"/>
      <c r="N71" s="844"/>
      <c r="O71" s="48">
        <f>IF(t&lt;Tnet,'2020'!Resal+('2020'!Salim-'2020'!Resal)*(1-EXP(('2020'!Tnet-t)/('2020'!Tau_j))),Resal+(Salim-Resal)*(1-EXP((Tnet-t)/(Tau_j))))*Salcycl</f>
        <v>0.10935308743233051</v>
      </c>
      <c r="P71" s="169">
        <f>(INDEX(Models!$BJ71:$BT71,,T71)*(1-R71)+INDEX(Models!$BJ71:$BT71,,T71+1)*R71-ERP_i)*Q71*Ramure*Pc/MaxiM</f>
        <v>1.0743151917972699E-3</v>
      </c>
      <c r="Q71" s="305">
        <f t="shared" si="4"/>
        <v>0.7</v>
      </c>
      <c r="R71" s="177">
        <f t="shared" si="5"/>
        <v>0.60423638330121832</v>
      </c>
      <c r="S71" s="810">
        <f t="shared" si="6"/>
        <v>-1</v>
      </c>
      <c r="T71" s="176">
        <f t="shared" si="7"/>
        <v>5</v>
      </c>
      <c r="U71" s="251">
        <f t="shared" si="8"/>
        <v>-0.39576361669878163</v>
      </c>
      <c r="V71" s="383">
        <f t="shared" si="9"/>
        <v>31.673101145267712</v>
      </c>
      <c r="W71" s="402"/>
      <c r="X71" s="157">
        <f t="shared" si="10"/>
        <v>44253</v>
      </c>
      <c r="Y71" s="385">
        <f t="shared" si="11"/>
        <v>8.1289999999999996</v>
      </c>
      <c r="Z71" s="385">
        <f t="shared" si="12"/>
        <v>8.308784615819901</v>
      </c>
      <c r="AA71" s="386">
        <f t="shared" si="13"/>
        <v>9.3289321487302832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0.10935308743233051</v>
      </c>
      <c r="AD71" s="231">
        <f>(INDEX(Models!$BJ71:$BT71,,AH71)*(1-AF71)+INDEX(Models!$BJ71:$BT71,,AH71+1)*AF71-ERP_i)*AE71*Ramure*Pc/MaxiM</f>
        <v>1.0743151917972699E-3</v>
      </c>
      <c r="AE71" s="305">
        <f t="shared" si="15"/>
        <v>0.7</v>
      </c>
      <c r="AF71" s="177">
        <f t="shared" si="22"/>
        <v>0.60423638330121832</v>
      </c>
      <c r="AG71" s="810">
        <f t="shared" si="23"/>
        <v>-1</v>
      </c>
      <c r="AH71" s="176">
        <f t="shared" si="16"/>
        <v>5</v>
      </c>
      <c r="AI71" s="225">
        <f t="shared" si="17"/>
        <v>-0.39576361669878163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6">
        <v>32.246000000000002</v>
      </c>
      <c r="C72" s="390"/>
      <c r="D72" s="393">
        <f t="shared" si="0"/>
        <v>32.959934047803195</v>
      </c>
      <c r="E72" s="385">
        <f t="shared" si="1"/>
        <v>37.009557468294361</v>
      </c>
      <c r="F72" s="385">
        <f t="shared" si="2"/>
        <v>37.047346489228502</v>
      </c>
      <c r="G72" s="110">
        <f t="shared" si="21"/>
        <v>1.006394475581978</v>
      </c>
      <c r="H72" s="414" t="b">
        <f>Wh_hp&gt;='2020'!Maxi_hp</f>
        <v>1</v>
      </c>
      <c r="I72" s="380">
        <f>IF(H72,Wh_hp,'2020'!Maxi_hp)</f>
        <v>37.047346489228502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2.166066372486497E-2</v>
      </c>
      <c r="M72" s="844"/>
      <c r="N72" s="844"/>
      <c r="O72" s="48">
        <f>IF(t&lt;Tnet,'2020'!Resal+('2020'!Salim-'2020'!Resal)*(1-EXP(('2020'!Tnet-t)/('2020'!Tau_j))),Resal+(Salim-Resal)*(1-EXP((Tnet-t)/(Tau_j))))*Salcycl</f>
        <v>0.10942101709701411</v>
      </c>
      <c r="P72" s="169">
        <f>(INDEX(Models!$BJ72:$BT72,,T72)*(1-R72)+INDEX(Models!$BJ72:$BT72,,T72+1)*R72-ERP_i)*Q72*Ramure*Pc/MaxiM</f>
        <v>1.0200196374421952E-3</v>
      </c>
      <c r="Q72" s="305">
        <f t="shared" si="4"/>
        <v>0.7</v>
      </c>
      <c r="R72" s="177">
        <f t="shared" si="5"/>
        <v>0.60446396377706657</v>
      </c>
      <c r="S72" s="810">
        <f t="shared" si="6"/>
        <v>-1</v>
      </c>
      <c r="T72" s="176">
        <f t="shared" si="7"/>
        <v>5</v>
      </c>
      <c r="U72" s="251">
        <f t="shared" si="8"/>
        <v>-0.39553603622293348</v>
      </c>
      <c r="V72" s="383">
        <f t="shared" si="9"/>
        <v>32.041113879677027</v>
      </c>
      <c r="W72" s="402"/>
      <c r="X72" s="157">
        <f t="shared" si="10"/>
        <v>44254</v>
      </c>
      <c r="Y72" s="385">
        <f t="shared" si="11"/>
        <v>32.246000000000002</v>
      </c>
      <c r="Z72" s="385">
        <f t="shared" si="12"/>
        <v>32.959934047803195</v>
      </c>
      <c r="AA72" s="386">
        <f t="shared" si="13"/>
        <v>37.009557468294361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0.10942101709701411</v>
      </c>
      <c r="AD72" s="231">
        <f>(INDEX(Models!$BJ72:$BT72,,AH72)*(1-AF72)+INDEX(Models!$BJ72:$BT72,,AH72+1)*AF72-ERP_i)*AE72*Ramure*Pc/MaxiM</f>
        <v>1.0200196374421952E-3</v>
      </c>
      <c r="AE72" s="305">
        <f t="shared" si="15"/>
        <v>0.7</v>
      </c>
      <c r="AF72" s="177">
        <f t="shared" si="22"/>
        <v>0.60446396377706657</v>
      </c>
      <c r="AG72" s="810">
        <f t="shared" si="23"/>
        <v>-1</v>
      </c>
      <c r="AH72" s="176">
        <f t="shared" si="16"/>
        <v>5</v>
      </c>
      <c r="AI72" s="225">
        <f t="shared" si="17"/>
        <v>-0.39553603622293348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6">
        <v>27.548999999999999</v>
      </c>
      <c r="C73" s="390"/>
      <c r="D73" s="393">
        <f t="shared" si="0"/>
        <v>28.159596674592478</v>
      </c>
      <c r="E73" s="385">
        <f t="shared" si="1"/>
        <v>31.621835047864728</v>
      </c>
      <c r="F73" s="385">
        <f t="shared" si="2"/>
        <v>31.645992345157772</v>
      </c>
      <c r="G73" s="110">
        <f t="shared" si="21"/>
        <v>0.84981374606949966</v>
      </c>
      <c r="H73" s="414" t="b">
        <f>Wh_hp&gt;='2020'!Maxi_hp</f>
        <v>1</v>
      </c>
      <c r="I73" s="380">
        <f>IF(H73,Wh_hp,'2020'!Maxi_hp)</f>
        <v>31.645992345157772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2.1683431110481877E-2</v>
      </c>
      <c r="M73" s="844"/>
      <c r="N73" s="844"/>
      <c r="O73" s="48">
        <f>IF(t&lt;Tnet,'2020'!Resal+('2020'!Salim-'2020'!Resal)*(1-EXP(('2020'!Tnet-t)/('2020'!Tau_j))),Resal+(Salim-Resal)*(1-EXP((Tnet-t)/(Tau_j))))*Salcycl</f>
        <v>0.10948885060059275</v>
      </c>
      <c r="P73" s="169">
        <f>(INDEX(Models!$BJ73:$BT73,,T73)*(1-R73)+INDEX(Models!$BJ73:$BT73,,T73+1)*R73-ERP_i)*Q73*Ramure*Pc/MaxiM</f>
        <v>9.7156575310999957E-4</v>
      </c>
      <c r="Q73" s="305">
        <f t="shared" si="4"/>
        <v>0.7</v>
      </c>
      <c r="R73" s="177">
        <f t="shared" si="5"/>
        <v>0.60470081303513656</v>
      </c>
      <c r="S73" s="810">
        <f t="shared" si="6"/>
        <v>-1</v>
      </c>
      <c r="T73" s="176">
        <f t="shared" si="7"/>
        <v>5</v>
      </c>
      <c r="U73" s="251">
        <f t="shared" si="8"/>
        <v>-0.39529918696486338</v>
      </c>
      <c r="V73" s="383">
        <f t="shared" si="9"/>
        <v>32.410936980228726</v>
      </c>
      <c r="W73" s="402"/>
      <c r="X73" s="157">
        <f t="shared" si="10"/>
        <v>44255</v>
      </c>
      <c r="Y73" s="385">
        <f t="shared" si="11"/>
        <v>27.548999999999999</v>
      </c>
      <c r="Z73" s="385">
        <f t="shared" si="12"/>
        <v>28.159596674592478</v>
      </c>
      <c r="AA73" s="386">
        <f t="shared" si="13"/>
        <v>31.621835047864728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0.10948885060059275</v>
      </c>
      <c r="AD73" s="231">
        <f>(INDEX(Models!$BJ73:$BT73,,AH73)*(1-AF73)+INDEX(Models!$BJ73:$BT73,,AH73+1)*AF73-ERP_i)*AE73*Ramure*Pc/MaxiM</f>
        <v>9.7156575310999957E-4</v>
      </c>
      <c r="AE73" s="305">
        <f t="shared" si="15"/>
        <v>0.7</v>
      </c>
      <c r="AF73" s="177">
        <f t="shared" si="22"/>
        <v>0.60470081303513656</v>
      </c>
      <c r="AG73" s="810">
        <f t="shared" si="23"/>
        <v>-1</v>
      </c>
      <c r="AH73" s="176">
        <f t="shared" si="16"/>
        <v>5</v>
      </c>
      <c r="AI73" s="225">
        <f t="shared" si="17"/>
        <v>-0.39529918696486338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6">
        <v>30.187000000000001</v>
      </c>
      <c r="C74" s="390"/>
      <c r="D74" s="393">
        <f t="shared" si="0"/>
        <v>30.856783450171704</v>
      </c>
      <c r="E74" s="385">
        <f t="shared" si="1"/>
        <v>34.653278722791107</v>
      </c>
      <c r="F74" s="385">
        <f t="shared" si="2"/>
        <v>34.681847181674577</v>
      </c>
      <c r="G74" s="110">
        <f t="shared" si="21"/>
        <v>0.92073324948779367</v>
      </c>
      <c r="H74" s="414" t="b">
        <f>Wh_hp&gt;='2020'!Maxi_hp</f>
        <v>1</v>
      </c>
      <c r="I74" s="380">
        <f>IF(H74,Wh_hp,'2020'!Maxi_hp)</f>
        <v>34.681847181674577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2.1706197966268492E-2</v>
      </c>
      <c r="M74" s="844"/>
      <c r="N74" s="844"/>
      <c r="O74" s="48">
        <f>IF(t&lt;Tnet,'2020'!Resal+('2020'!Salim-'2020'!Resal)*(1-EXP(('2020'!Tnet-t)/('2020'!Tau_j))),Resal+(Salim-Resal)*(1-EXP((Tnet-t)/(Tau_j))))*Salcycl</f>
        <v>0.10955659644761087</v>
      </c>
      <c r="P74" s="169">
        <f>(INDEX(Models!$BJ74:$BT74,,T74)*(1-R74)+INDEX(Models!$BJ74:$BT74,,T74+1)*R74-ERP_i)*Q74*Ramure*Pc/MaxiM</f>
        <v>9.2877367643629839E-4</v>
      </c>
      <c r="Q74" s="305">
        <f t="shared" si="4"/>
        <v>0.7</v>
      </c>
      <c r="R74" s="177">
        <f t="shared" si="5"/>
        <v>0.60494729659118363</v>
      </c>
      <c r="S74" s="810">
        <f t="shared" si="6"/>
        <v>-1</v>
      </c>
      <c r="T74" s="176">
        <f t="shared" si="7"/>
        <v>5</v>
      </c>
      <c r="U74" s="251">
        <f t="shared" si="8"/>
        <v>-0.39505270340881637</v>
      </c>
      <c r="V74" s="383">
        <f t="shared" si="9"/>
        <v>32.78237907942966</v>
      </c>
      <c r="W74" s="402"/>
      <c r="X74" s="157">
        <f t="shared" si="10"/>
        <v>44256</v>
      </c>
      <c r="Y74" s="385">
        <f t="shared" si="11"/>
        <v>30.186999999999998</v>
      </c>
      <c r="Z74" s="385">
        <f t="shared" si="12"/>
        <v>30.856783450171701</v>
      </c>
      <c r="AA74" s="386">
        <f t="shared" si="13"/>
        <v>34.653278722791107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0.10955659644761087</v>
      </c>
      <c r="AD74" s="231">
        <f>(INDEX(Models!$BJ74:$BT74,,AH74)*(1-AF74)+INDEX(Models!$BJ74:$BT74,,AH74+1)*AF74-ERP_i)*AE74*Ramure*Pc/MaxiM</f>
        <v>9.2877367643629839E-4</v>
      </c>
      <c r="AE74" s="305">
        <f t="shared" si="15"/>
        <v>0.7</v>
      </c>
      <c r="AF74" s="177">
        <f t="shared" si="22"/>
        <v>0.60494729659118363</v>
      </c>
      <c r="AG74" s="810">
        <f t="shared" si="23"/>
        <v>-1</v>
      </c>
      <c r="AH74" s="176">
        <f t="shared" si="16"/>
        <v>5</v>
      </c>
      <c r="AI74" s="225">
        <f t="shared" si="17"/>
        <v>-0.39505270340881637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6">
        <v>15.030000000000001</v>
      </c>
      <c r="C75" s="390"/>
      <c r="D75" s="393">
        <f t="shared" si="0"/>
        <v>15.36384033809817</v>
      </c>
      <c r="E75" s="385">
        <f t="shared" si="1"/>
        <v>17.255457150872076</v>
      </c>
      <c r="F75" s="385">
        <f t="shared" si="2"/>
        <v>17.258827102318278</v>
      </c>
      <c r="G75" s="110">
        <f t="shared" si="21"/>
        <v>0.45300622016732051</v>
      </c>
      <c r="H75" s="414" t="b">
        <f>Wh_hp&gt;='2020'!Maxi_hp</f>
        <v>0</v>
      </c>
      <c r="I75" s="380">
        <f>IF(H75,Wh_hp,'2020'!Maxi_hp)</f>
        <v>27.571693836230367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2.1728964292237141E-2</v>
      </c>
      <c r="M75" s="844"/>
      <c r="N75" s="844"/>
      <c r="O75" s="48">
        <f>IF(t&lt;Tnet,'2020'!Resal+('2020'!Salim-'2020'!Resal)*(1-EXP(('2020'!Tnet-t)/('2020'!Tau_j))),Resal+(Salim-Resal)*(1-EXP((Tnet-t)/(Tau_j))))*Salcycl</f>
        <v>0.10962426531123839</v>
      </c>
      <c r="P75" s="169">
        <f>(INDEX(Models!$BJ75:$BT75,,T75)*(1-R75)+INDEX(Models!$BJ75:$BT75,,T75+1)*R75-ERP_i)*Q75*Ramure*Pc/MaxiM</f>
        <v>8.9146899869898958E-4</v>
      </c>
      <c r="Q75" s="305">
        <f t="shared" si="4"/>
        <v>0.7</v>
      </c>
      <c r="R75" s="177">
        <f t="shared" si="5"/>
        <v>0.60520379336659291</v>
      </c>
      <c r="S75" s="810">
        <f t="shared" si="6"/>
        <v>-1</v>
      </c>
      <c r="T75" s="176">
        <f t="shared" si="7"/>
        <v>5</v>
      </c>
      <c r="U75" s="251">
        <f t="shared" si="8"/>
        <v>-0.39479620663340709</v>
      </c>
      <c r="V75" s="383">
        <f t="shared" si="9"/>
        <v>33.155248780885984</v>
      </c>
      <c r="W75" s="402"/>
      <c r="X75" s="157">
        <f t="shared" si="10"/>
        <v>44257</v>
      </c>
      <c r="Y75" s="385">
        <f t="shared" si="11"/>
        <v>15.030000000000001</v>
      </c>
      <c r="Z75" s="385">
        <f t="shared" si="12"/>
        <v>15.36384033809817</v>
      </c>
      <c r="AA75" s="386">
        <f t="shared" si="13"/>
        <v>17.255457150872076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0.10962426531123839</v>
      </c>
      <c r="AD75" s="231">
        <f>(INDEX(Models!$BJ75:$BT75,,AH75)*(1-AF75)+INDEX(Models!$BJ75:$BT75,,AH75+1)*AF75-ERP_i)*AE75*Ramure*Pc/MaxiM</f>
        <v>8.9146899869898958E-4</v>
      </c>
      <c r="AE75" s="305">
        <f t="shared" si="15"/>
        <v>0.7</v>
      </c>
      <c r="AF75" s="177">
        <f t="shared" si="22"/>
        <v>0.60520379336659291</v>
      </c>
      <c r="AG75" s="810">
        <f t="shared" si="23"/>
        <v>-1</v>
      </c>
      <c r="AH75" s="176">
        <f t="shared" si="16"/>
        <v>5</v>
      </c>
      <c r="AI75" s="225">
        <f t="shared" si="17"/>
        <v>-0.39479620663340709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6">
        <v>14.563000000000001</v>
      </c>
      <c r="C76" s="390"/>
      <c r="D76" s="393">
        <f t="shared" si="0"/>
        <v>14.886813959114894</v>
      </c>
      <c r="E76" s="385">
        <f t="shared" si="1"/>
        <v>16.720968233903761</v>
      </c>
      <c r="F76" s="385">
        <f t="shared" si="2"/>
        <v>16.723726677484859</v>
      </c>
      <c r="G76" s="110">
        <f t="shared" si="21"/>
        <v>0.43403411372314815</v>
      </c>
      <c r="H76" s="414" t="b">
        <f>Wh_hp&gt;='2020'!Maxi_hp</f>
        <v>0</v>
      </c>
      <c r="I76" s="380">
        <f>IF(H76,Wh_hp,'2020'!Maxi_hp)</f>
        <v>33.909920443692066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2.1751730088400034E-2</v>
      </c>
      <c r="M76" s="844"/>
      <c r="N76" s="844"/>
      <c r="O76" s="48">
        <f>IF(t&lt;Tnet,'2020'!Resal+('2020'!Salim-'2020'!Resal)*(1-EXP(('2020'!Tnet-t)/('2020'!Tau_j))),Resal+(Salim-Resal)*(1-EXP((Tnet-t)/(Tau_j))))*Salcycl</f>
        <v>0.10969187005988684</v>
      </c>
      <c r="P76" s="169">
        <f>(INDEX(Models!$BJ76:$BT76,,T76)*(1-R76)+INDEX(Models!$BJ76:$BT76,,T76+1)*R76-ERP_i)*Q76*Ramure*Pc/MaxiM</f>
        <v>8.5948287855620029E-4</v>
      </c>
      <c r="Q76" s="305">
        <f t="shared" si="4"/>
        <v>0.7</v>
      </c>
      <c r="R76" s="177">
        <f t="shared" si="5"/>
        <v>0.60547069609447912</v>
      </c>
      <c r="S76" s="810">
        <f t="shared" si="6"/>
        <v>-1</v>
      </c>
      <c r="T76" s="176">
        <f t="shared" si="7"/>
        <v>5</v>
      </c>
      <c r="U76" s="251">
        <f t="shared" si="8"/>
        <v>-0.39452930390552082</v>
      </c>
      <c r="V76" s="383">
        <f t="shared" si="9"/>
        <v>33.529354655059826</v>
      </c>
      <c r="W76" s="402"/>
      <c r="X76" s="157">
        <f t="shared" si="10"/>
        <v>44258</v>
      </c>
      <c r="Y76" s="385">
        <f t="shared" si="11"/>
        <v>14.563000000000002</v>
      </c>
      <c r="Z76" s="385">
        <f t="shared" si="12"/>
        <v>14.886813959114896</v>
      </c>
      <c r="AA76" s="386">
        <f t="shared" si="13"/>
        <v>16.720968233903761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0.10969187005988684</v>
      </c>
      <c r="AD76" s="231">
        <f>(INDEX(Models!$BJ76:$BT76,,AH76)*(1-AF76)+INDEX(Models!$BJ76:$BT76,,AH76+1)*AF76-ERP_i)*AE76*Ramure*Pc/MaxiM</f>
        <v>8.5948287855620029E-4</v>
      </c>
      <c r="AE76" s="305">
        <f t="shared" si="15"/>
        <v>0.7</v>
      </c>
      <c r="AF76" s="177">
        <f t="shared" si="22"/>
        <v>0.60547069609447912</v>
      </c>
      <c r="AG76" s="810">
        <f t="shared" si="23"/>
        <v>-1</v>
      </c>
      <c r="AH76" s="176">
        <f t="shared" si="16"/>
        <v>5</v>
      </c>
      <c r="AI76" s="225">
        <f t="shared" si="17"/>
        <v>-0.39452930390552082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6">
        <v>26.498999999999999</v>
      </c>
      <c r="C77" s="390"/>
      <c r="D77" s="393">
        <f t="shared" si="0"/>
        <v>27.088845950311118</v>
      </c>
      <c r="E77" s="385">
        <f t="shared" si="1"/>
        <v>30.428680442593866</v>
      </c>
      <c r="F77" s="385">
        <f t="shared" si="2"/>
        <v>30.44612113653443</v>
      </c>
      <c r="G77" s="110">
        <f t="shared" si="21"/>
        <v>0.78137436481794542</v>
      </c>
      <c r="H77" s="414" t="b">
        <f>Wh_hp&gt;='2020'!Maxi_hp</f>
        <v>1</v>
      </c>
      <c r="I77" s="380">
        <f>IF(H77,Wh_hp,'2020'!Maxi_hp)</f>
        <v>30.44612113653443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2.1774495354769607E-2</v>
      </c>
      <c r="M77" s="844"/>
      <c r="N77" s="844"/>
      <c r="O77" s="48">
        <f>IF(t&lt;Tnet,'2020'!Resal+('2020'!Salim-'2020'!Resal)*(1-EXP(('2020'!Tnet-t)/('2020'!Tau_j))),Resal+(Salim-Resal)*(1-EXP((Tnet-t)/(Tau_j))))*Salcycl</f>
        <v>0.10975942576884373</v>
      </c>
      <c r="P77" s="169">
        <f>(INDEX(Models!$BJ77:$BT77,,T77)*(1-R77)+INDEX(Models!$BJ77:$BT77,,T77+1)*R77-ERP_i)*Q77*Ramure*Pc/MaxiM</f>
        <v>8.3265213598853166E-4</v>
      </c>
      <c r="Q77" s="305">
        <f t="shared" si="4"/>
        <v>0.7</v>
      </c>
      <c r="R77" s="177">
        <f t="shared" si="5"/>
        <v>0.60574841173055782</v>
      </c>
      <c r="S77" s="810">
        <f t="shared" si="6"/>
        <v>-1</v>
      </c>
      <c r="T77" s="176">
        <f t="shared" si="7"/>
        <v>5</v>
      </c>
      <c r="U77" s="251">
        <f t="shared" si="8"/>
        <v>-0.39425158826944218</v>
      </c>
      <c r="V77" s="383">
        <f t="shared" si="9"/>
        <v>33.904505229314701</v>
      </c>
      <c r="W77" s="402"/>
      <c r="X77" s="157">
        <f t="shared" si="10"/>
        <v>44259</v>
      </c>
      <c r="Y77" s="385">
        <f t="shared" si="11"/>
        <v>26.498999999999999</v>
      </c>
      <c r="Z77" s="385">
        <f t="shared" si="12"/>
        <v>27.088845950311118</v>
      </c>
      <c r="AA77" s="386">
        <f t="shared" si="13"/>
        <v>30.428680442593866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0.10975942576884373</v>
      </c>
      <c r="AD77" s="231">
        <f>(INDEX(Models!$BJ77:$BT77,,AH77)*(1-AF77)+INDEX(Models!$BJ77:$BT77,,AH77+1)*AF77-ERP_i)*AE77*Ramure*Pc/MaxiM</f>
        <v>8.3265213598853166E-4</v>
      </c>
      <c r="AE77" s="305">
        <f t="shared" si="15"/>
        <v>0.7</v>
      </c>
      <c r="AF77" s="177">
        <f t="shared" si="22"/>
        <v>0.60574841173055782</v>
      </c>
      <c r="AG77" s="810">
        <f t="shared" si="23"/>
        <v>-1</v>
      </c>
      <c r="AH77" s="176">
        <f t="shared" si="16"/>
        <v>5</v>
      </c>
      <c r="AI77" s="225">
        <f t="shared" si="17"/>
        <v>-0.39425158826944218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6">
        <v>29.779</v>
      </c>
      <c r="C78" s="390"/>
      <c r="D78" s="393">
        <f t="shared" si="0"/>
        <v>30.442564496170984</v>
      </c>
      <c r="E78" s="385">
        <f t="shared" si="1"/>
        <v>34.19847914570817</v>
      </c>
      <c r="F78" s="385">
        <f t="shared" si="2"/>
        <v>34.221021101489342</v>
      </c>
      <c r="G78" s="110">
        <f t="shared" si="21"/>
        <v>0.86855383506318129</v>
      </c>
      <c r="H78" s="414" t="b">
        <f>Wh_hp&gt;='2020'!Maxi_hp</f>
        <v>0</v>
      </c>
      <c r="I78" s="380">
        <f>IF(H78,Wh_hp,'2020'!Maxi_hp)</f>
        <v>38.571800708819332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2.1797260091358184E-2</v>
      </c>
      <c r="M78" s="844"/>
      <c r="N78" s="844"/>
      <c r="O78" s="48">
        <f>IF(t&lt;Tnet,'2020'!Resal+('2020'!Salim-'2020'!Resal)*(1-EXP(('2020'!Tnet-t)/('2020'!Tau_j))),Resal+(Salim-Resal)*(1-EXP((Tnet-t)/(Tau_j))))*Salcycl</f>
        <v>0.10982694971710578</v>
      </c>
      <c r="P78" s="169">
        <f>(INDEX(Models!$BJ78:$BT78,,T78)*(1-R78)+INDEX(Models!$BJ78:$BT78,,T78+1)*R78-ERP_i)*Q78*Ramure*Pc/MaxiM</f>
        <v>8.1081932891511428E-4</v>
      </c>
      <c r="Q78" s="305">
        <f t="shared" si="4"/>
        <v>0.7</v>
      </c>
      <c r="R78" s="177">
        <f t="shared" si="5"/>
        <v>0.60603736186807433</v>
      </c>
      <c r="S78" s="810">
        <f t="shared" si="6"/>
        <v>-1</v>
      </c>
      <c r="T78" s="176">
        <f t="shared" si="7"/>
        <v>5</v>
      </c>
      <c r="U78" s="251">
        <f t="shared" si="8"/>
        <v>-0.39396263813192567</v>
      </c>
      <c r="V78" s="383">
        <f t="shared" si="9"/>
        <v>34.28050898656916</v>
      </c>
      <c r="W78" s="402"/>
      <c r="X78" s="157">
        <f t="shared" si="10"/>
        <v>44260</v>
      </c>
      <c r="Y78" s="385">
        <f t="shared" si="11"/>
        <v>29.779000000000003</v>
      </c>
      <c r="Z78" s="385">
        <f t="shared" si="12"/>
        <v>30.442564496170988</v>
      </c>
      <c r="AA78" s="386">
        <f t="shared" si="13"/>
        <v>34.19847914570817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0.10982694971710578</v>
      </c>
      <c r="AD78" s="231">
        <f>(INDEX(Models!$BJ78:$BT78,,AH78)*(1-AF78)+INDEX(Models!$BJ78:$BT78,,AH78+1)*AF78-ERP_i)*AE78*Ramure*Pc/MaxiM</f>
        <v>8.1081932891511428E-4</v>
      </c>
      <c r="AE78" s="305">
        <f t="shared" si="15"/>
        <v>0.7</v>
      </c>
      <c r="AF78" s="177">
        <f t="shared" si="22"/>
        <v>0.60603736186807433</v>
      </c>
      <c r="AG78" s="810">
        <f t="shared" si="23"/>
        <v>-1</v>
      </c>
      <c r="AH78" s="176">
        <f t="shared" si="16"/>
        <v>5</v>
      </c>
      <c r="AI78" s="225">
        <f t="shared" si="17"/>
        <v>-0.39396263813192567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6">
        <v>10.818</v>
      </c>
      <c r="C79" s="390"/>
      <c r="D79" s="393">
        <f t="shared" ref="D79:D142" si="24">Wh/(1-Ppv)</f>
        <v>11.059314511359048</v>
      </c>
      <c r="E79" s="385">
        <f t="shared" si="1"/>
        <v>12.424722722630857</v>
      </c>
      <c r="F79" s="385">
        <f t="shared" ref="F79:F142" si="25">Wh_sa/(1-Pvg*MEDIAN((-Sdif+Wh/Env_an)/Csdif,0,1))</f>
        <v>12.424893707662559</v>
      </c>
      <c r="G79" s="110">
        <f t="shared" si="21"/>
        <v>0.31189167589056765</v>
      </c>
      <c r="H79" s="414" t="b">
        <f>Wh_hp&gt;='2020'!Maxi_hp</f>
        <v>0</v>
      </c>
      <c r="I79" s="380">
        <f>IF(H79,Wh_hp,'2020'!Maxi_hp)</f>
        <v>22.950602771895554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2.1820024298178087E-2</v>
      </c>
      <c r="M79" s="844"/>
      <c r="N79" s="844"/>
      <c r="O79" s="48">
        <f>IF(t&lt;Tnet,'2020'!Resal+('2020'!Salim-'2020'!Resal)*(1-EXP(('2020'!Tnet-t)/('2020'!Tau_j))),Resal+(Salim-Resal)*(1-EXP((Tnet-t)/(Tau_j))))*Salcycl</f>
        <v>0.10989446136973371</v>
      </c>
      <c r="P79" s="169">
        <f>(INDEX(Models!$BJ79:$BT79,,T79)*(1-R79)+INDEX(Models!$BJ79:$BT79,,T79+1)*R79-ERP_i)*Q79*Ramure*Pc/MaxiM</f>
        <v>7.9381248185524155E-4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0.60633798315599285</v>
      </c>
      <c r="S79" s="810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-0.39366201684400715</v>
      </c>
      <c r="V79" s="383">
        <f t="shared" ref="V79:V142" si="32">MaxiM*(1-Ppv)*(1-Pvg)*(1-Psa)</f>
        <v>34.658062807733508</v>
      </c>
      <c r="W79" s="402"/>
      <c r="X79" s="157">
        <f t="shared" ref="X79:X142" si="33">t</f>
        <v>44261</v>
      </c>
      <c r="Y79" s="385">
        <f t="shared" ref="Y79:Y142" si="34">Wh_pvt_s*(1-Ppv)</f>
        <v>10.818</v>
      </c>
      <c r="Z79" s="385">
        <f t="shared" ref="Z79:Z142" si="35">Wh_sa_s*(1-Psa_s)</f>
        <v>11.059314511359048</v>
      </c>
      <c r="AA79" s="386">
        <f t="shared" ref="AA79:AA142" si="36">Wh_hp*(1-Pvg_s*MEDIAN((-Sdif+Wh/Env_an)/Csdif,0,1))</f>
        <v>12.424722722630857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0.10989446136973371</v>
      </c>
      <c r="AD79" s="231">
        <f>(INDEX(Models!$BJ79:$BT79,,AH79)*(1-AF79)+INDEX(Models!$BJ79:$BT79,,AH79+1)*AF79-ERP_i)*AE79*Ramure*Pc/MaxiM</f>
        <v>7.9381248185524155E-4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0.60633798315599285</v>
      </c>
      <c r="AG79" s="810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-0.39366201684400715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6">
        <v>10.399000000000001</v>
      </c>
      <c r="C80" s="390"/>
      <c r="D80" s="393">
        <f t="shared" si="24"/>
        <v>10.631215383541832</v>
      </c>
      <c r="E80" s="385">
        <f t="shared" ref="E80:E143" si="45">Wh_pvt/(1-Psa)</f>
        <v>11.944675589887968</v>
      </c>
      <c r="F80" s="385">
        <f t="shared" si="25"/>
        <v>11.944675589887968</v>
      </c>
      <c r="G80" s="110">
        <f t="shared" ref="G80:G143" si="46">+Wh_hp/MaxiM</f>
        <v>0.29656127913526642</v>
      </c>
      <c r="H80" s="414" t="b">
        <f>Wh_hp&gt;='2020'!Maxi_hp</f>
        <v>0</v>
      </c>
      <c r="I80" s="380">
        <f>IF(H80,Wh_hp,'2020'!Maxi_hp)</f>
        <v>36.508597128354168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2.184278797524164E-2</v>
      </c>
      <c r="M80" s="844"/>
      <c r="N80" s="844"/>
      <c r="O80" s="48">
        <f>IF(t&lt;Tnet,'2020'!Resal+('2020'!Salim-'2020'!Resal)*(1-EXP(('2020'!Tnet-t)/('2020'!Tau_j))),Resal+(Salim-Resal)*(1-EXP((Tnet-t)/(Tau_j))))*Salcycl</f>
        <v>0.1099619823461824</v>
      </c>
      <c r="P80" s="169">
        <f>(INDEX(Models!$BJ80:$BT80,,T80)*(1-R80)+INDEX(Models!$BJ80:$BT80,,T80+1)*R80-ERP_i)*Q80*Ramure*Pc/MaxiM</f>
        <v>7.8123264700464786E-4</v>
      </c>
      <c r="Q80" s="305">
        <f t="shared" si="27"/>
        <v>0.7</v>
      </c>
      <c r="R80" s="177">
        <f t="shared" si="28"/>
        <v>0.60665072771954132</v>
      </c>
      <c r="S80" s="810">
        <f t="shared" si="29"/>
        <v>-1</v>
      </c>
      <c r="T80" s="176">
        <f t="shared" si="30"/>
        <v>5</v>
      </c>
      <c r="U80" s="251">
        <f t="shared" si="31"/>
        <v>-0.39334927228045868</v>
      </c>
      <c r="V80" s="383">
        <f t="shared" si="32"/>
        <v>35.037871403853607</v>
      </c>
      <c r="W80" s="402"/>
      <c r="X80" s="157">
        <f t="shared" si="33"/>
        <v>44262</v>
      </c>
      <c r="Y80" s="385">
        <f t="shared" si="34"/>
        <v>10.399000000000001</v>
      </c>
      <c r="Z80" s="385">
        <f t="shared" si="35"/>
        <v>10.631215383541832</v>
      </c>
      <c r="AA80" s="386">
        <f t="shared" si="36"/>
        <v>11.944675589887968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0.1099619823461824</v>
      </c>
      <c r="AD80" s="231">
        <f>(INDEX(Models!$BJ80:$BT80,,AH80)*(1-AF80)+INDEX(Models!$BJ80:$BT80,,AH80+1)*AF80-ERP_i)*AE80*Ramure*Pc/MaxiM</f>
        <v>7.8123264700464786E-4</v>
      </c>
      <c r="AE80" s="305">
        <f t="shared" si="38"/>
        <v>0.7</v>
      </c>
      <c r="AF80" s="177">
        <f t="shared" si="39"/>
        <v>0.60665072771954132</v>
      </c>
      <c r="AG80" s="810">
        <f t="shared" ref="AG80:AG143" si="47">INDEX(Echel_vg,AH80)</f>
        <v>-1</v>
      </c>
      <c r="AH80" s="176">
        <f t="shared" si="40"/>
        <v>5</v>
      </c>
      <c r="AI80" s="225">
        <f t="shared" si="41"/>
        <v>-0.39334927228045868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6">
        <v>22.498000000000001</v>
      </c>
      <c r="C81" s="390"/>
      <c r="D81" s="393">
        <f t="shared" si="24"/>
        <v>23.000927966313782</v>
      </c>
      <c r="E81" s="385">
        <f t="shared" si="45"/>
        <v>25.844596991041598</v>
      </c>
      <c r="F81" s="385">
        <f t="shared" si="25"/>
        <v>25.854146541355799</v>
      </c>
      <c r="G81" s="110">
        <f t="shared" si="46"/>
        <v>0.63492603612478749</v>
      </c>
      <c r="H81" s="414" t="b">
        <f>Wh_hp&gt;='2020'!Maxi_hp</f>
        <v>0</v>
      </c>
      <c r="I81" s="380">
        <f>IF(H81,Wh_hp,'2020'!Maxi_hp)</f>
        <v>27.100436200648318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2.1865551122561167E-2</v>
      </c>
      <c r="M81" s="844"/>
      <c r="N81" s="844"/>
      <c r="O81" s="48">
        <f>IF(t&lt;Tnet,'2020'!Resal+('2020'!Salim-'2020'!Resal)*(1-EXP(('2020'!Tnet-t)/('2020'!Tau_j))),Resal+(Salim-Resal)*(1-EXP((Tnet-t)/(Tau_j))))*Salcycl</f>
        <v>0.11002953637518528</v>
      </c>
      <c r="P81" s="169">
        <f>(INDEX(Models!$BJ81:$BT81,,T81)*(1-R81)+INDEX(Models!$BJ81:$BT81,,T81+1)*R81-ERP_i)*Q81*Ramure*Pc/MaxiM</f>
        <v>7.713841865381331E-4</v>
      </c>
      <c r="Q81" s="305">
        <f t="shared" si="27"/>
        <v>0.7</v>
      </c>
      <c r="R81" s="177">
        <f t="shared" si="28"/>
        <v>0.60697606358210932</v>
      </c>
      <c r="S81" s="810">
        <f t="shared" si="29"/>
        <v>-1</v>
      </c>
      <c r="T81" s="176">
        <f t="shared" si="30"/>
        <v>5</v>
      </c>
      <c r="U81" s="251">
        <f t="shared" si="31"/>
        <v>-0.39302393641789063</v>
      </c>
      <c r="V81" s="383">
        <f t="shared" si="32"/>
        <v>35.419798044054801</v>
      </c>
      <c r="W81" s="402"/>
      <c r="X81" s="157">
        <f t="shared" si="33"/>
        <v>44263</v>
      </c>
      <c r="Y81" s="385">
        <f t="shared" si="34"/>
        <v>22.498000000000001</v>
      </c>
      <c r="Z81" s="385">
        <f t="shared" si="35"/>
        <v>23.000927966313782</v>
      </c>
      <c r="AA81" s="386">
        <f t="shared" si="36"/>
        <v>25.844596991041598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0.11002953637518528</v>
      </c>
      <c r="AD81" s="231">
        <f>(INDEX(Models!$BJ81:$BT81,,AH81)*(1-AF81)+INDEX(Models!$BJ81:$BT81,,AH81+1)*AF81-ERP_i)*AE81*Ramure*Pc/MaxiM</f>
        <v>7.713841865381331E-4</v>
      </c>
      <c r="AE81" s="305">
        <f t="shared" si="38"/>
        <v>0.7</v>
      </c>
      <c r="AF81" s="177">
        <f t="shared" si="39"/>
        <v>0.60697606358210932</v>
      </c>
      <c r="AG81" s="810">
        <f t="shared" si="47"/>
        <v>-1</v>
      </c>
      <c r="AH81" s="176">
        <f t="shared" si="40"/>
        <v>5</v>
      </c>
      <c r="AI81" s="225">
        <f t="shared" si="41"/>
        <v>-0.39302393641789063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6">
        <v>35.225999999999999</v>
      </c>
      <c r="C82" s="390"/>
      <c r="D82" s="393">
        <f t="shared" si="24"/>
        <v>36.014292125164985</v>
      </c>
      <c r="E82" s="385">
        <f t="shared" si="45"/>
        <v>40.469914321863037</v>
      </c>
      <c r="F82" s="385">
        <f t="shared" si="25"/>
        <v>40.500150797480835</v>
      </c>
      <c r="G82" s="110">
        <f t="shared" si="46"/>
        <v>0.98384881467019547</v>
      </c>
      <c r="H82" s="414" t="b">
        <f>Wh_hp&gt;='2020'!Maxi_hp</f>
        <v>1</v>
      </c>
      <c r="I82" s="380">
        <f>IF(H82,Wh_hp,'2020'!Maxi_hp)</f>
        <v>40.500150797480835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2.188831374014899E-2</v>
      </c>
      <c r="M82" s="844"/>
      <c r="N82" s="844"/>
      <c r="O82" s="48">
        <f>IF(t&lt;Tnet,'2020'!Resal+('2020'!Salim-'2020'!Resal)*(1-EXP(('2020'!Tnet-t)/('2020'!Tau_j))),Resal+(Salim-Resal)*(1-EXP((Tnet-t)/(Tau_j))))*Salcycl</f>
        <v>0.11009714923688377</v>
      </c>
      <c r="P82" s="169">
        <f>(INDEX(Models!$BJ82:$BT82,,T82)*(1-R82)+INDEX(Models!$BJ82:$BT82,,T82+1)*R82-ERP_i)*Q82*Ramure*Pc/MaxiM</f>
        <v>7.6419018602788503E-4</v>
      </c>
      <c r="Q82" s="305">
        <f t="shared" si="27"/>
        <v>0.7</v>
      </c>
      <c r="R82" s="177">
        <f t="shared" si="28"/>
        <v>0.6073144750873789</v>
      </c>
      <c r="S82" s="810">
        <f t="shared" si="29"/>
        <v>-1</v>
      </c>
      <c r="T82" s="176">
        <f t="shared" si="30"/>
        <v>5</v>
      </c>
      <c r="U82" s="251">
        <f t="shared" si="31"/>
        <v>-0.3926855249126211</v>
      </c>
      <c r="V82" s="383">
        <f t="shared" si="32"/>
        <v>35.803650484050522</v>
      </c>
      <c r="W82" s="402"/>
      <c r="X82" s="157">
        <f t="shared" si="33"/>
        <v>44264</v>
      </c>
      <c r="Y82" s="385">
        <f t="shared" si="34"/>
        <v>35.225999999999999</v>
      </c>
      <c r="Z82" s="385">
        <f t="shared" si="35"/>
        <v>36.014292125164985</v>
      </c>
      <c r="AA82" s="386">
        <f t="shared" si="36"/>
        <v>40.469914321863037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0.11009714923688377</v>
      </c>
      <c r="AD82" s="231">
        <f>(INDEX(Models!$BJ82:$BT82,,AH82)*(1-AF82)+INDEX(Models!$BJ82:$BT82,,AH82+1)*AF82-ERP_i)*AE82*Ramure*Pc/MaxiM</f>
        <v>7.6419018602788503E-4</v>
      </c>
      <c r="AE82" s="305">
        <f t="shared" si="38"/>
        <v>0.7</v>
      </c>
      <c r="AF82" s="177">
        <f t="shared" si="39"/>
        <v>0.6073144750873789</v>
      </c>
      <c r="AG82" s="810">
        <f t="shared" si="47"/>
        <v>-1</v>
      </c>
      <c r="AH82" s="176">
        <f t="shared" si="40"/>
        <v>5</v>
      </c>
      <c r="AI82" s="225">
        <f t="shared" si="41"/>
        <v>-0.3926855249126211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6">
        <v>34.817999999999998</v>
      </c>
      <c r="C83" s="390"/>
      <c r="D83" s="393">
        <f t="shared" si="24"/>
        <v>35.59799026399952</v>
      </c>
      <c r="E83" s="385">
        <f t="shared" si="45"/>
        <v>40.005151753909139</v>
      </c>
      <c r="F83" s="385">
        <f t="shared" si="25"/>
        <v>40.033914552307429</v>
      </c>
      <c r="G83" s="110">
        <f t="shared" si="46"/>
        <v>0.96206968861283948</v>
      </c>
      <c r="H83" s="414" t="b">
        <f>Wh_hp&gt;='2020'!Maxi_hp</f>
        <v>1</v>
      </c>
      <c r="I83" s="380">
        <f>IF(H83,Wh_hp,'2020'!Maxi_hp)</f>
        <v>40.033914552307429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2.1911075828017434E-2</v>
      </c>
      <c r="M83" s="844"/>
      <c r="N83" s="844"/>
      <c r="O83" s="48">
        <f>IF(t&lt;Tnet,'2020'!Resal+('2020'!Salim-'2020'!Resal)*(1-EXP(('2020'!Tnet-t)/('2020'!Tau_j))),Resal+(Salim-Resal)*(1-EXP((Tnet-t)/(Tau_j))))*Salcycl</f>
        <v>0.11016484869299283</v>
      </c>
      <c r="P83" s="169">
        <f>(INDEX(Models!$BJ83:$BT83,,T83)*(1-R83)+INDEX(Models!$BJ83:$BT83,,T83+1)*R83-ERP_i)*Q83*Ramure*Pc/MaxiM</f>
        <v>7.59576374065447E-4</v>
      </c>
      <c r="Q83" s="305">
        <f t="shared" si="27"/>
        <v>0.7</v>
      </c>
      <c r="R83" s="177">
        <f t="shared" si="28"/>
        <v>0.60766646332044827</v>
      </c>
      <c r="S83" s="810">
        <f t="shared" si="29"/>
        <v>-1</v>
      </c>
      <c r="T83" s="176">
        <f t="shared" si="30"/>
        <v>5</v>
      </c>
      <c r="U83" s="251">
        <f t="shared" si="31"/>
        <v>-0.39233353667955168</v>
      </c>
      <c r="V83" s="383">
        <f t="shared" si="32"/>
        <v>36.189236414867061</v>
      </c>
      <c r="W83" s="402"/>
      <c r="X83" s="157">
        <f t="shared" si="33"/>
        <v>44265</v>
      </c>
      <c r="Y83" s="385">
        <f t="shared" si="34"/>
        <v>34.817999999999998</v>
      </c>
      <c r="Z83" s="385">
        <f t="shared" si="35"/>
        <v>35.59799026399952</v>
      </c>
      <c r="AA83" s="386">
        <f t="shared" si="36"/>
        <v>40.005151753909139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0.11016484869299283</v>
      </c>
      <c r="AD83" s="231">
        <f>(INDEX(Models!$BJ83:$BT83,,AH83)*(1-AF83)+INDEX(Models!$BJ83:$BT83,,AH83+1)*AF83-ERP_i)*AE83*Ramure*Pc/MaxiM</f>
        <v>7.59576374065447E-4</v>
      </c>
      <c r="AE83" s="305">
        <f t="shared" si="38"/>
        <v>0.7</v>
      </c>
      <c r="AF83" s="177">
        <f t="shared" si="39"/>
        <v>0.60766646332044827</v>
      </c>
      <c r="AG83" s="810">
        <f t="shared" si="47"/>
        <v>-1</v>
      </c>
      <c r="AH83" s="176">
        <f t="shared" si="40"/>
        <v>5</v>
      </c>
      <c r="AI83" s="225">
        <f t="shared" si="41"/>
        <v>-0.39233353667955168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6">
        <v>25.738</v>
      </c>
      <c r="C84" s="390"/>
      <c r="D84" s="393">
        <f t="shared" si="24"/>
        <v>26.315193167726807</v>
      </c>
      <c r="E84" s="385">
        <f t="shared" si="45"/>
        <v>29.57536438461814</v>
      </c>
      <c r="F84" s="385">
        <f t="shared" si="25"/>
        <v>29.58828917621565</v>
      </c>
      <c r="G84" s="110">
        <f t="shared" si="46"/>
        <v>0.70345275124339535</v>
      </c>
      <c r="H84" s="414" t="b">
        <f>Wh_hp&gt;='2020'!Maxi_hp</f>
        <v>0</v>
      </c>
      <c r="I84" s="380">
        <f>IF(H84,Wh_hp,'2020'!Maxi_hp)</f>
        <v>32.943027804132434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2.1933837386178934E-2</v>
      </c>
      <c r="M84" s="844"/>
      <c r="N84" s="844"/>
      <c r="O84" s="48">
        <f>IF(t&lt;Tnet,'2020'!Resal+('2020'!Salim-'2020'!Resal)*(1-EXP(('2020'!Tnet-t)/('2020'!Tau_j))),Resal+(Salim-Resal)*(1-EXP((Tnet-t)/(Tau_j))))*Salcycl</f>
        <v>0.11023266440588358</v>
      </c>
      <c r="P84" s="169">
        <f>(INDEX(Models!$BJ84:$BT84,,T84)*(1-R84)+INDEX(Models!$BJ84:$BT84,,T84+1)*R84-ERP_i)*Q84*Ramure*Pc/MaxiM</f>
        <v>7.5747121210646955E-4</v>
      </c>
      <c r="Q84" s="305">
        <f t="shared" si="27"/>
        <v>0.7</v>
      </c>
      <c r="R84" s="177">
        <f t="shared" si="28"/>
        <v>0.60803254652658012</v>
      </c>
      <c r="S84" s="810">
        <f t="shared" si="29"/>
        <v>-1</v>
      </c>
      <c r="T84" s="176">
        <f t="shared" si="30"/>
        <v>5</v>
      </c>
      <c r="U84" s="251">
        <f t="shared" si="31"/>
        <v>-0.39196745347341982</v>
      </c>
      <c r="V84" s="383">
        <f t="shared" si="32"/>
        <v>36.576363455200955</v>
      </c>
      <c r="W84" s="402"/>
      <c r="X84" s="157">
        <f t="shared" si="33"/>
        <v>44266</v>
      </c>
      <c r="Y84" s="385">
        <f t="shared" si="34"/>
        <v>25.738</v>
      </c>
      <c r="Z84" s="385">
        <f t="shared" si="35"/>
        <v>26.315193167726807</v>
      </c>
      <c r="AA84" s="386">
        <f t="shared" si="36"/>
        <v>29.57536438461814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0.11023266440588358</v>
      </c>
      <c r="AD84" s="231">
        <f>(INDEX(Models!$BJ84:$BT84,,AH84)*(1-AF84)+INDEX(Models!$BJ84:$BT84,,AH84+1)*AF84-ERP_i)*AE84*Ramure*Pc/MaxiM</f>
        <v>7.5747121210646955E-4</v>
      </c>
      <c r="AE84" s="305">
        <f t="shared" si="38"/>
        <v>0.7</v>
      </c>
      <c r="AF84" s="177">
        <f t="shared" si="39"/>
        <v>0.60803254652658012</v>
      </c>
      <c r="AG84" s="810">
        <f t="shared" si="47"/>
        <v>-1</v>
      </c>
      <c r="AH84" s="176">
        <f t="shared" si="40"/>
        <v>5</v>
      </c>
      <c r="AI84" s="225">
        <f t="shared" si="41"/>
        <v>-0.39196745347341982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6">
        <v>29.384</v>
      </c>
      <c r="C85" s="390"/>
      <c r="D85" s="393">
        <f t="shared" si="24"/>
        <v>30.043656500693277</v>
      </c>
      <c r="E85" s="385">
        <f t="shared" si="45"/>
        <v>33.768323819323584</v>
      </c>
      <c r="F85" s="385">
        <f t="shared" si="25"/>
        <v>33.786426175671522</v>
      </c>
      <c r="G85" s="110">
        <f t="shared" si="46"/>
        <v>0.79474098619458999</v>
      </c>
      <c r="H85" s="414" t="b">
        <f>Wh_hp&gt;='2020'!Maxi_hp</f>
        <v>0</v>
      </c>
      <c r="I85" s="380">
        <f>IF(H85,Wh_hp,'2020'!Maxi_hp)</f>
        <v>41.337289787164842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2.1956598414645589E-2</v>
      </c>
      <c r="M85" s="844"/>
      <c r="N85" s="844"/>
      <c r="O85" s="48">
        <f>IF(t&lt;Tnet,'2020'!Resal+('2020'!Salim-'2020'!Resal)*(1-EXP(('2020'!Tnet-t)/('2020'!Tau_j))),Resal+(Salim-Resal)*(1-EXP((Tnet-t)/(Tau_j))))*Salcycl</f>
        <v>0.11030062784753621</v>
      </c>
      <c r="P85" s="169">
        <f>(INDEX(Models!$BJ85:$BT85,,T85)*(1-R85)+INDEX(Models!$BJ85:$BT85,,T85+1)*R85-ERP_i)*Q85*Ramure*Pc/MaxiM</f>
        <v>7.5780597420965713E-4</v>
      </c>
      <c r="Q85" s="305">
        <f t="shared" si="27"/>
        <v>0.7</v>
      </c>
      <c r="R85" s="177">
        <f t="shared" si="28"/>
        <v>0.60841326052606437</v>
      </c>
      <c r="S85" s="810">
        <f t="shared" si="29"/>
        <v>-1</v>
      </c>
      <c r="T85" s="176">
        <f t="shared" si="30"/>
        <v>5</v>
      </c>
      <c r="U85" s="251">
        <f t="shared" si="31"/>
        <v>-0.39158673947393563</v>
      </c>
      <c r="V85" s="383">
        <f t="shared" si="32"/>
        <v>36.964839151702122</v>
      </c>
      <c r="W85" s="402"/>
      <c r="X85" s="157">
        <f t="shared" si="33"/>
        <v>44267</v>
      </c>
      <c r="Y85" s="385">
        <f t="shared" si="34"/>
        <v>29.384000000000004</v>
      </c>
      <c r="Z85" s="385">
        <f t="shared" si="35"/>
        <v>30.043656500693281</v>
      </c>
      <c r="AA85" s="386">
        <f t="shared" si="36"/>
        <v>33.768323819323584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0.11030062784753621</v>
      </c>
      <c r="AD85" s="231">
        <f>(INDEX(Models!$BJ85:$BT85,,AH85)*(1-AF85)+INDEX(Models!$BJ85:$BT85,,AH85+1)*AF85-ERP_i)*AE85*Ramure*Pc/MaxiM</f>
        <v>7.5780597420965713E-4</v>
      </c>
      <c r="AE85" s="305">
        <f t="shared" si="38"/>
        <v>0.7</v>
      </c>
      <c r="AF85" s="177">
        <f t="shared" si="39"/>
        <v>0.60841326052606437</v>
      </c>
      <c r="AG85" s="810">
        <f t="shared" si="47"/>
        <v>-1</v>
      </c>
      <c r="AH85" s="176">
        <f t="shared" si="40"/>
        <v>5</v>
      </c>
      <c r="AI85" s="225">
        <f t="shared" si="41"/>
        <v>-0.39158673947393563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6">
        <v>34.734000000000002</v>
      </c>
      <c r="C86" s="390"/>
      <c r="D86" s="393">
        <f t="shared" si="24"/>
        <v>35.514587873534971</v>
      </c>
      <c r="E86" s="385">
        <f t="shared" si="45"/>
        <v>39.920572439139129</v>
      </c>
      <c r="F86" s="385">
        <f t="shared" si="25"/>
        <v>39.947876857948046</v>
      </c>
      <c r="G86" s="110">
        <f t="shared" si="46"/>
        <v>0.92977687197314329</v>
      </c>
      <c r="H86" s="414" t="b">
        <f>Wh_hp&gt;='2020'!Maxi_hp</f>
        <v>1</v>
      </c>
      <c r="I86" s="380">
        <f>IF(H86,Wh_hp,'2020'!Maxi_hp)</f>
        <v>39.947876857948046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2.1979358913429947E-2</v>
      </c>
      <c r="M86" s="844"/>
      <c r="N86" s="844"/>
      <c r="O86" s="48">
        <f>IF(t&lt;Tnet,'2020'!Resal+('2020'!Salim-'2020'!Resal)*(1-EXP(('2020'!Tnet-t)/('2020'!Tau_j))),Resal+(Salim-Resal)*(1-EXP((Tnet-t)/(Tau_j))))*Salcycl</f>
        <v>0.11036877219937904</v>
      </c>
      <c r="P86" s="169">
        <f>(INDEX(Models!$BJ86:$BT86,,T86)*(1-R86)+INDEX(Models!$BJ86:$BT86,,T86+1)*R86-ERP_i)*Q86*Ramure*Pc/MaxiM</f>
        <v>7.5962932312698399E-4</v>
      </c>
      <c r="Q86" s="305">
        <f t="shared" si="27"/>
        <v>0.7</v>
      </c>
      <c r="R86" s="177">
        <f t="shared" si="28"/>
        <v>0.60880915912354094</v>
      </c>
      <c r="S86" s="810">
        <f t="shared" si="29"/>
        <v>-1</v>
      </c>
      <c r="T86" s="176">
        <f t="shared" si="30"/>
        <v>5</v>
      </c>
      <c r="U86" s="251">
        <f t="shared" si="31"/>
        <v>-0.391190840876459</v>
      </c>
      <c r="V86" s="383">
        <f t="shared" si="32"/>
        <v>37.35450407678568</v>
      </c>
      <c r="W86" s="402"/>
      <c r="X86" s="157">
        <f t="shared" si="33"/>
        <v>44268</v>
      </c>
      <c r="Y86" s="385">
        <f t="shared" si="34"/>
        <v>34.734000000000002</v>
      </c>
      <c r="Z86" s="385">
        <f t="shared" si="35"/>
        <v>35.514587873534971</v>
      </c>
      <c r="AA86" s="386">
        <f t="shared" si="36"/>
        <v>39.920572439139129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0.11036877219937904</v>
      </c>
      <c r="AD86" s="231">
        <f>(INDEX(Models!$BJ86:$BT86,,AH86)*(1-AF86)+INDEX(Models!$BJ86:$BT86,,AH86+1)*AF86-ERP_i)*AE86*Ramure*Pc/MaxiM</f>
        <v>7.5962932312698399E-4</v>
      </c>
      <c r="AE86" s="305">
        <f t="shared" si="38"/>
        <v>0.7</v>
      </c>
      <c r="AF86" s="177">
        <f t="shared" si="39"/>
        <v>0.60880915912354094</v>
      </c>
      <c r="AG86" s="810">
        <f t="shared" si="47"/>
        <v>-1</v>
      </c>
      <c r="AH86" s="176">
        <f t="shared" si="40"/>
        <v>5</v>
      </c>
      <c r="AI86" s="225">
        <f t="shared" si="41"/>
        <v>-0.391190840876459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6">
        <v>25.699000000000002</v>
      </c>
      <c r="C87" s="390"/>
      <c r="D87" s="393">
        <f t="shared" si="24"/>
        <v>26.277153045195195</v>
      </c>
      <c r="E87" s="385">
        <f t="shared" si="45"/>
        <v>29.53939962836332</v>
      </c>
      <c r="F87" s="385">
        <f t="shared" si="25"/>
        <v>29.551624566373643</v>
      </c>
      <c r="G87" s="110">
        <f t="shared" si="46"/>
        <v>0.68061753405816239</v>
      </c>
      <c r="H87" s="414" t="b">
        <f>Wh_hp&gt;='2020'!Maxi_hp</f>
        <v>0</v>
      </c>
      <c r="I87" s="380">
        <f>IF(H87,Wh_hp,'2020'!Maxi_hp)</f>
        <v>39.828022010256511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2.2002118882544219E-2</v>
      </c>
      <c r="M87" s="844"/>
      <c r="N87" s="844"/>
      <c r="O87" s="48">
        <f>IF(t&lt;Tnet,'2020'!Resal+('2020'!Salim-'2020'!Resal)*(1-EXP(('2020'!Tnet-t)/('2020'!Tau_j))),Resal+(Salim-Resal)*(1-EXP((Tnet-t)/(Tau_j))))*Salcycl</f>
        <v>0.11043713224407442</v>
      </c>
      <c r="P87" s="169">
        <f>(INDEX(Models!$BJ87:$BT87,,T87)*(1-R87)+INDEX(Models!$BJ87:$BT87,,T87+1)*R87-ERP_i)*Q87*Ramure*Pc/MaxiM</f>
        <v>7.6033541495924969E-4</v>
      </c>
      <c r="Q87" s="305">
        <f t="shared" si="27"/>
        <v>0.7</v>
      </c>
      <c r="R87" s="177">
        <f t="shared" si="28"/>
        <v>0.60922081450997112</v>
      </c>
      <c r="S87" s="810">
        <f t="shared" si="29"/>
        <v>-1</v>
      </c>
      <c r="T87" s="176">
        <f t="shared" si="30"/>
        <v>5</v>
      </c>
      <c r="U87" s="251">
        <f t="shared" si="31"/>
        <v>-0.39077918549002888</v>
      </c>
      <c r="V87" s="383">
        <f t="shared" si="32"/>
        <v>37.745262719779646</v>
      </c>
      <c r="W87" s="402"/>
      <c r="X87" s="157">
        <f t="shared" si="33"/>
        <v>44269</v>
      </c>
      <c r="Y87" s="385">
        <f t="shared" si="34"/>
        <v>25.699000000000002</v>
      </c>
      <c r="Z87" s="385">
        <f t="shared" si="35"/>
        <v>26.277153045195195</v>
      </c>
      <c r="AA87" s="386">
        <f t="shared" si="36"/>
        <v>29.53939962836332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0.11043713224407442</v>
      </c>
      <c r="AD87" s="231">
        <f>(INDEX(Models!$BJ87:$BT87,,AH87)*(1-AF87)+INDEX(Models!$BJ87:$BT87,,AH87+1)*AF87-ERP_i)*AE87*Ramure*Pc/MaxiM</f>
        <v>7.6033541495924969E-4</v>
      </c>
      <c r="AE87" s="305">
        <f t="shared" si="38"/>
        <v>0.7</v>
      </c>
      <c r="AF87" s="177">
        <f t="shared" si="39"/>
        <v>0.60922081450997112</v>
      </c>
      <c r="AG87" s="810">
        <f t="shared" si="47"/>
        <v>-1</v>
      </c>
      <c r="AH87" s="176">
        <f t="shared" si="40"/>
        <v>5</v>
      </c>
      <c r="AI87" s="225">
        <f t="shared" si="41"/>
        <v>-0.39077918549002888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6">
        <v>17.654</v>
      </c>
      <c r="C88" s="390"/>
      <c r="D88" s="393">
        <f t="shared" si="24"/>
        <v>18.051583939793332</v>
      </c>
      <c r="E88" s="385">
        <f t="shared" si="45"/>
        <v>20.294210809241985</v>
      </c>
      <c r="F88" s="385">
        <f t="shared" si="25"/>
        <v>20.297800809091964</v>
      </c>
      <c r="G88" s="110">
        <f t="shared" si="46"/>
        <v>0.46264100404082992</v>
      </c>
      <c r="H88" s="414" t="b">
        <f>Wh_hp&gt;='2020'!Maxi_hp</f>
        <v>0</v>
      </c>
      <c r="I88" s="380">
        <f>IF(H88,Wh_hp,'2020'!Maxi_hp)</f>
        <v>32.760869095233581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2.202487832200084E-2</v>
      </c>
      <c r="M88" s="844"/>
      <c r="N88" s="844"/>
      <c r="O88" s="48">
        <f>IF(t&lt;Tnet,'2020'!Resal+('2020'!Salim-'2020'!Resal)*(1-EXP(('2020'!Tnet-t)/('2020'!Tau_j))),Resal+(Salim-Resal)*(1-EXP((Tnet-t)/(Tau_j))))*Salcycl</f>
        <v>0.11050574425034351</v>
      </c>
      <c r="P88" s="169">
        <f>(INDEX(Models!$BJ88:$BT88,,T88)*(1-R88)+INDEX(Models!$BJ88:$BT88,,T88+1)*R88-ERP_i)*Q88*Ramure*Pc/MaxiM</f>
        <v>7.5996421630290074E-4</v>
      </c>
      <c r="Q88" s="305">
        <f t="shared" si="27"/>
        <v>0.7</v>
      </c>
      <c r="R88" s="177">
        <f t="shared" si="28"/>
        <v>0.60964881765527634</v>
      </c>
      <c r="S88" s="810">
        <f t="shared" si="29"/>
        <v>-1</v>
      </c>
      <c r="T88" s="176">
        <f t="shared" si="30"/>
        <v>5</v>
      </c>
      <c r="U88" s="251">
        <f t="shared" si="31"/>
        <v>-0.3903511823447236</v>
      </c>
      <c r="V88" s="383">
        <f t="shared" si="32"/>
        <v>38.136922617831424</v>
      </c>
      <c r="W88" s="402"/>
      <c r="X88" s="157">
        <f t="shared" si="33"/>
        <v>44270</v>
      </c>
      <c r="Y88" s="385">
        <f t="shared" si="34"/>
        <v>17.654</v>
      </c>
      <c r="Z88" s="385">
        <f t="shared" si="35"/>
        <v>18.051583939793332</v>
      </c>
      <c r="AA88" s="386">
        <f t="shared" si="36"/>
        <v>20.294210809241985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0.11050574425034351</v>
      </c>
      <c r="AD88" s="231">
        <f>(INDEX(Models!$BJ88:$BT88,,AH88)*(1-AF88)+INDEX(Models!$BJ88:$BT88,,AH88+1)*AF88-ERP_i)*AE88*Ramure*Pc/MaxiM</f>
        <v>7.5996421630290074E-4</v>
      </c>
      <c r="AE88" s="305">
        <f t="shared" si="38"/>
        <v>0.7</v>
      </c>
      <c r="AF88" s="177">
        <f t="shared" si="39"/>
        <v>0.60964881765527634</v>
      </c>
      <c r="AG88" s="810">
        <f t="shared" si="47"/>
        <v>-1</v>
      </c>
      <c r="AH88" s="176">
        <f t="shared" si="40"/>
        <v>5</v>
      </c>
      <c r="AI88" s="225">
        <f t="shared" si="41"/>
        <v>-0.3903511823447236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6">
        <v>27.98</v>
      </c>
      <c r="C89" s="390"/>
      <c r="D89" s="393">
        <f t="shared" si="24"/>
        <v>28.610800551470547</v>
      </c>
      <c r="E89" s="385">
        <f t="shared" si="45"/>
        <v>32.167736638085287</v>
      </c>
      <c r="F89" s="385">
        <f t="shared" si="25"/>
        <v>32.182600234745557</v>
      </c>
      <c r="G89" s="110">
        <f t="shared" si="46"/>
        <v>0.72598517961773246</v>
      </c>
      <c r="H89" s="414" t="b">
        <f>Wh_hp&gt;='2020'!Maxi_hp</f>
        <v>0</v>
      </c>
      <c r="I89" s="380">
        <f>IF(H89,Wh_hp,'2020'!Maxi_hp)</f>
        <v>45.209296903916872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2.2047637231811912E-2</v>
      </c>
      <c r="M89" s="844"/>
      <c r="N89" s="844"/>
      <c r="O89" s="48">
        <f>IF(t&lt;Tnet,'2020'!Resal+('2020'!Salim-'2020'!Resal)*(1-EXP(('2020'!Tnet-t)/('2020'!Tau_j))),Resal+(Salim-Resal)*(1-EXP((Tnet-t)/(Tau_j))))*Salcycl</f>
        <v>0.1105746458519395</v>
      </c>
      <c r="P89" s="169">
        <f>(INDEX(Models!$BJ89:$BT89,,T89)*(1-R89)+INDEX(Models!$BJ89:$BT89,,T89+1)*R89-ERP_i)*Q89*Ramure*Pc/MaxiM</f>
        <v>7.5855419965435863E-4</v>
      </c>
      <c r="Q89" s="305">
        <f t="shared" si="27"/>
        <v>0.7</v>
      </c>
      <c r="R89" s="177">
        <f t="shared" si="28"/>
        <v>0.61009377868949399</v>
      </c>
      <c r="S89" s="810">
        <f t="shared" si="29"/>
        <v>-1</v>
      </c>
      <c r="T89" s="176">
        <f t="shared" si="30"/>
        <v>5</v>
      </c>
      <c r="U89" s="251">
        <f t="shared" si="31"/>
        <v>-0.38990622131050606</v>
      </c>
      <c r="V89" s="383">
        <f t="shared" si="32"/>
        <v>38.529291258851138</v>
      </c>
      <c r="W89" s="402"/>
      <c r="X89" s="157">
        <f t="shared" si="33"/>
        <v>44271</v>
      </c>
      <c r="Y89" s="385">
        <f t="shared" si="34"/>
        <v>27.98</v>
      </c>
      <c r="Z89" s="385">
        <f t="shared" si="35"/>
        <v>28.610800551470547</v>
      </c>
      <c r="AA89" s="386">
        <f t="shared" si="36"/>
        <v>32.167736638085287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0.1105746458519395</v>
      </c>
      <c r="AD89" s="231">
        <f>(INDEX(Models!$BJ89:$BT89,,AH89)*(1-AF89)+INDEX(Models!$BJ89:$BT89,,AH89+1)*AF89-ERP_i)*AE89*Ramure*Pc/MaxiM</f>
        <v>7.5855419965435863E-4</v>
      </c>
      <c r="AE89" s="305">
        <f t="shared" si="38"/>
        <v>0.7</v>
      </c>
      <c r="AF89" s="177">
        <f t="shared" si="39"/>
        <v>0.61009377868949399</v>
      </c>
      <c r="AG89" s="810">
        <f t="shared" si="47"/>
        <v>-1</v>
      </c>
      <c r="AH89" s="176">
        <f t="shared" si="40"/>
        <v>5</v>
      </c>
      <c r="AI89" s="225">
        <f t="shared" si="41"/>
        <v>-0.38990622131050606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6">
        <v>22.873999999999999</v>
      </c>
      <c r="C90" s="390"/>
      <c r="D90" s="393">
        <f t="shared" si="24"/>
        <v>23.390231666332042</v>
      </c>
      <c r="E90" s="385">
        <f t="shared" si="45"/>
        <v>26.300186205585121</v>
      </c>
      <c r="F90" s="385">
        <f t="shared" si="25"/>
        <v>26.308361762464799</v>
      </c>
      <c r="G90" s="110">
        <f t="shared" si="46"/>
        <v>0.58742371136329397</v>
      </c>
      <c r="H90" s="414" t="b">
        <f>Wh_hp&gt;='2020'!Maxi_hp</f>
        <v>1</v>
      </c>
      <c r="I90" s="380">
        <f>IF(H90,Wh_hp,'2020'!Maxi_hp)</f>
        <v>26.308361762464799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2.2070395611989979E-2</v>
      </c>
      <c r="M90" s="844"/>
      <c r="N90" s="844"/>
      <c r="O90" s="48">
        <f>IF(t&lt;Tnet,'2020'!Resal+('2020'!Salim-'2020'!Resal)*(1-EXP(('2020'!Tnet-t)/('2020'!Tau_j))),Resal+(Salim-Resal)*(1-EXP((Tnet-t)/(Tau_j))))*Salcycl</f>
        <v>0.11064387592187915</v>
      </c>
      <c r="P90" s="169">
        <f>(INDEX(Models!$BJ90:$BT90,,T90)*(1-R90)+INDEX(Models!$BJ90:$BT90,,T90+1)*R90-ERP_i)*Q90*Ramure*Pc/MaxiM</f>
        <v>7.5614232556640067E-4</v>
      </c>
      <c r="Q90" s="305">
        <f t="shared" si="27"/>
        <v>0.7</v>
      </c>
      <c r="R90" s="177">
        <f t="shared" si="28"/>
        <v>0.61055632727010534</v>
      </c>
      <c r="S90" s="810">
        <f t="shared" si="29"/>
        <v>-1</v>
      </c>
      <c r="T90" s="176">
        <f t="shared" si="30"/>
        <v>5</v>
      </c>
      <c r="U90" s="251">
        <f t="shared" si="31"/>
        <v>-0.38944367272989466</v>
      </c>
      <c r="V90" s="383">
        <f t="shared" si="32"/>
        <v>38.922176088134449</v>
      </c>
      <c r="W90" s="402"/>
      <c r="X90" s="157">
        <f t="shared" si="33"/>
        <v>44272</v>
      </c>
      <c r="Y90" s="385">
        <f t="shared" si="34"/>
        <v>22.873999999999999</v>
      </c>
      <c r="Z90" s="385">
        <f t="shared" si="35"/>
        <v>23.390231666332042</v>
      </c>
      <c r="AA90" s="386">
        <f t="shared" si="36"/>
        <v>26.300186205585121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0.11064387592187915</v>
      </c>
      <c r="AD90" s="231">
        <f>(INDEX(Models!$BJ90:$BT90,,AH90)*(1-AF90)+INDEX(Models!$BJ90:$BT90,,AH90+1)*AF90-ERP_i)*AE90*Ramure*Pc/MaxiM</f>
        <v>7.5614232556640067E-4</v>
      </c>
      <c r="AE90" s="305">
        <f t="shared" si="38"/>
        <v>0.7</v>
      </c>
      <c r="AF90" s="177">
        <f t="shared" si="39"/>
        <v>0.61055632727010534</v>
      </c>
      <c r="AG90" s="810">
        <f t="shared" si="47"/>
        <v>-1</v>
      </c>
      <c r="AH90" s="176">
        <f t="shared" si="40"/>
        <v>5</v>
      </c>
      <c r="AI90" s="225">
        <f t="shared" si="41"/>
        <v>-0.38944367272989466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6">
        <v>18.196000000000002</v>
      </c>
      <c r="C91" s="390"/>
      <c r="D91" s="393">
        <f t="shared" si="24"/>
        <v>18.607089278930736</v>
      </c>
      <c r="E91" s="385">
        <f t="shared" si="45"/>
        <v>20.923615442477278</v>
      </c>
      <c r="F91" s="385">
        <f t="shared" si="25"/>
        <v>20.927279691599349</v>
      </c>
      <c r="G91" s="110">
        <f t="shared" si="46"/>
        <v>0.4625539622442339</v>
      </c>
      <c r="H91" s="414" t="b">
        <f>Wh_hp&gt;='2020'!Maxi_hp</f>
        <v>0</v>
      </c>
      <c r="I91" s="380">
        <f>IF(H91,Wh_hp,'2020'!Maxi_hp)</f>
        <v>32.389497861269035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2.2093153462547366E-2</v>
      </c>
      <c r="M91" s="844"/>
      <c r="N91" s="844"/>
      <c r="O91" s="48">
        <f>IF(t&lt;Tnet,'2020'!Resal+('2020'!Salim-'2020'!Resal)*(1-EXP(('2020'!Tnet-t)/('2020'!Tau_j))),Resal+(Salim-Resal)*(1-EXP((Tnet-t)/(Tau_j))))*Salcycl</f>
        <v>0.11071347444303216</v>
      </c>
      <c r="P91" s="169">
        <f>(INDEX(Models!$BJ91:$BT91,,T91)*(1-R91)+INDEX(Models!$BJ91:$BT91,,T91+1)*R91-ERP_i)*Q91*Ramure*Pc/MaxiM</f>
        <v>7.5276402787181462E-4</v>
      </c>
      <c r="Q91" s="305">
        <f t="shared" si="27"/>
        <v>0.7</v>
      </c>
      <c r="R91" s="177">
        <f t="shared" si="28"/>
        <v>0.61103711293300567</v>
      </c>
      <c r="S91" s="810">
        <f t="shared" si="29"/>
        <v>-1</v>
      </c>
      <c r="T91" s="176">
        <f t="shared" si="30"/>
        <v>5</v>
      </c>
      <c r="U91" s="251">
        <f t="shared" si="31"/>
        <v>-0.38896288706699433</v>
      </c>
      <c r="V91" s="383">
        <f t="shared" si="32"/>
        <v>39.315384510205455</v>
      </c>
      <c r="W91" s="402"/>
      <c r="X91" s="157">
        <f t="shared" si="33"/>
        <v>44273</v>
      </c>
      <c r="Y91" s="385">
        <f t="shared" si="34"/>
        <v>18.196000000000002</v>
      </c>
      <c r="Z91" s="385">
        <f t="shared" si="35"/>
        <v>18.607089278930736</v>
      </c>
      <c r="AA91" s="386">
        <f t="shared" si="36"/>
        <v>20.923615442477278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0.11071347444303216</v>
      </c>
      <c r="AD91" s="231">
        <f>(INDEX(Models!$BJ91:$BT91,,AH91)*(1-AF91)+INDEX(Models!$BJ91:$BT91,,AH91+1)*AF91-ERP_i)*AE91*Ramure*Pc/MaxiM</f>
        <v>7.5276402787181462E-4</v>
      </c>
      <c r="AE91" s="305">
        <f t="shared" si="38"/>
        <v>0.7</v>
      </c>
      <c r="AF91" s="177">
        <f t="shared" si="39"/>
        <v>0.61103711293300567</v>
      </c>
      <c r="AG91" s="810">
        <f t="shared" si="47"/>
        <v>-1</v>
      </c>
      <c r="AH91" s="176">
        <f t="shared" si="40"/>
        <v>5</v>
      </c>
      <c r="AI91" s="225">
        <f t="shared" si="41"/>
        <v>-0.38896288706699433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6">
        <v>9.370000000000001</v>
      </c>
      <c r="C92" s="390"/>
      <c r="D92" s="393">
        <f t="shared" si="24"/>
        <v>9.5819127270057063</v>
      </c>
      <c r="E92" s="385">
        <f t="shared" si="45"/>
        <v>10.775680092639568</v>
      </c>
      <c r="F92" s="385">
        <f t="shared" si="25"/>
        <v>10.775680092639568</v>
      </c>
      <c r="G92" s="110">
        <f t="shared" si="46"/>
        <v>0.2357916869296168</v>
      </c>
      <c r="H92" s="414" t="b">
        <f>Wh_hp&gt;='2020'!Maxi_hp</f>
        <v>0</v>
      </c>
      <c r="I92" s="380">
        <f>IF(H92,Wh_hp,'2020'!Maxi_hp)</f>
        <v>42.780968964285989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2.2115910783496173E-2</v>
      </c>
      <c r="M92" s="844"/>
      <c r="N92" s="844"/>
      <c r="O92" s="48">
        <f>IF(t&lt;Tnet,'2020'!Resal+('2020'!Salim-'2020'!Resal)*(1-EXP(('2020'!Tnet-t)/('2020'!Tau_j))),Resal+(Salim-Resal)*(1-EXP((Tnet-t)/(Tau_j))))*Salcycl</f>
        <v>0.11078348237614037</v>
      </c>
      <c r="P92" s="169">
        <f>(INDEX(Models!$BJ92:$BT92,,T92)*(1-R92)+INDEX(Models!$BJ92:$BT92,,T92+1)*R92-ERP_i)*Q92*Ramure*Pc/MaxiM</f>
        <v>7.4845320156305146E-4</v>
      </c>
      <c r="Q92" s="305">
        <f t="shared" si="27"/>
        <v>0.7</v>
      </c>
      <c r="R92" s="177">
        <f t="shared" si="28"/>
        <v>0.61153680542437094</v>
      </c>
      <c r="S92" s="810">
        <f t="shared" si="29"/>
        <v>-1</v>
      </c>
      <c r="T92" s="176">
        <f t="shared" si="30"/>
        <v>5</v>
      </c>
      <c r="U92" s="251">
        <f t="shared" si="31"/>
        <v>-0.38846319457562906</v>
      </c>
      <c r="V92" s="383">
        <f t="shared" si="32"/>
        <v>39.708723897022637</v>
      </c>
      <c r="W92" s="402"/>
      <c r="X92" s="157">
        <f t="shared" si="33"/>
        <v>44274</v>
      </c>
      <c r="Y92" s="385">
        <f t="shared" si="34"/>
        <v>9.370000000000001</v>
      </c>
      <c r="Z92" s="385">
        <f t="shared" si="35"/>
        <v>9.5819127270057063</v>
      </c>
      <c r="AA92" s="386">
        <f t="shared" si="36"/>
        <v>10.775680092639568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0.11078348237614037</v>
      </c>
      <c r="AD92" s="231">
        <f>(INDEX(Models!$BJ92:$BT92,,AH92)*(1-AF92)+INDEX(Models!$BJ92:$BT92,,AH92+1)*AF92-ERP_i)*AE92*Ramure*Pc/MaxiM</f>
        <v>7.4845320156305146E-4</v>
      </c>
      <c r="AE92" s="305">
        <f t="shared" si="38"/>
        <v>0.7</v>
      </c>
      <c r="AF92" s="177">
        <f t="shared" si="39"/>
        <v>0.61153680542437094</v>
      </c>
      <c r="AG92" s="810">
        <f t="shared" si="47"/>
        <v>-1</v>
      </c>
      <c r="AH92" s="176">
        <f t="shared" si="40"/>
        <v>5</v>
      </c>
      <c r="AI92" s="225">
        <f t="shared" si="41"/>
        <v>-0.38846319457562906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6">
        <v>36.523000000000003</v>
      </c>
      <c r="C93" s="390"/>
      <c r="D93" s="393">
        <f t="shared" si="24"/>
        <v>37.349876499790525</v>
      </c>
      <c r="E93" s="385">
        <f t="shared" si="45"/>
        <v>42.006457931000647</v>
      </c>
      <c r="F93" s="385">
        <f t="shared" si="25"/>
        <v>42.033709633652428</v>
      </c>
      <c r="G93" s="110">
        <f t="shared" si="46"/>
        <v>0.91058049242828765</v>
      </c>
      <c r="H93" s="414" t="b">
        <f>Wh_hp&gt;='2020'!Maxi_hp</f>
        <v>0</v>
      </c>
      <c r="I93" s="380">
        <f>IF(H93,Wh_hp,'2020'!Maxi_hp)</f>
        <v>45.417095514762579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2.2138667574848947E-2</v>
      </c>
      <c r="M93" s="844"/>
      <c r="N93" s="844"/>
      <c r="O93" s="48">
        <f>IF(t&lt;Tnet,'2020'!Resal+('2020'!Salim-'2020'!Resal)*(1-EXP(('2020'!Tnet-t)/('2020'!Tau_j))),Resal+(Salim-Resal)*(1-EXP((Tnet-t)/(Tau_j))))*Salcycl</f>
        <v>0.11085394152629989</v>
      </c>
      <c r="P93" s="169">
        <f>(INDEX(Models!$BJ93:$BT93,,T93)*(1-R93)+INDEX(Models!$BJ93:$BT93,,T93+1)*R93-ERP_i)*Q93*Ramure*Pc/MaxiM</f>
        <v>7.4317239254896193E-4</v>
      </c>
      <c r="Q93" s="305">
        <f t="shared" si="27"/>
        <v>0.7</v>
      </c>
      <c r="R93" s="177">
        <f t="shared" si="28"/>
        <v>0.61205609501046809</v>
      </c>
      <c r="S93" s="810">
        <f t="shared" si="29"/>
        <v>-1</v>
      </c>
      <c r="T93" s="176">
        <f t="shared" si="30"/>
        <v>5</v>
      </c>
      <c r="U93" s="251">
        <f t="shared" si="31"/>
        <v>-0.38794390498953185</v>
      </c>
      <c r="V93" s="383">
        <f t="shared" si="32"/>
        <v>40.105772215673468</v>
      </c>
      <c r="W93" s="402"/>
      <c r="X93" s="157">
        <f t="shared" si="33"/>
        <v>44275</v>
      </c>
      <c r="Y93" s="385">
        <f t="shared" si="34"/>
        <v>36.523000000000003</v>
      </c>
      <c r="Z93" s="385">
        <f t="shared" si="35"/>
        <v>37.349876499790525</v>
      </c>
      <c r="AA93" s="386">
        <f t="shared" si="36"/>
        <v>42.006457931000647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0.11085394152629989</v>
      </c>
      <c r="AD93" s="231">
        <f>(INDEX(Models!$BJ93:$BT93,,AH93)*(1-AF93)+INDEX(Models!$BJ93:$BT93,,AH93+1)*AF93-ERP_i)*AE93*Ramure*Pc/MaxiM</f>
        <v>7.4317239254896193E-4</v>
      </c>
      <c r="AE93" s="305">
        <f t="shared" si="38"/>
        <v>0.7</v>
      </c>
      <c r="AF93" s="177">
        <f t="shared" si="39"/>
        <v>0.61205609501046809</v>
      </c>
      <c r="AG93" s="810">
        <f t="shared" si="47"/>
        <v>-1</v>
      </c>
      <c r="AH93" s="176">
        <f t="shared" si="40"/>
        <v>5</v>
      </c>
      <c r="AI93" s="225">
        <f t="shared" si="41"/>
        <v>-0.38794390498953185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6">
        <v>33.297000000000004</v>
      </c>
      <c r="C94" s="390"/>
      <c r="D94" s="393">
        <f t="shared" si="24"/>
        <v>34.051632663791104</v>
      </c>
      <c r="E94" s="385">
        <f t="shared" si="45"/>
        <v>38.300063121384454</v>
      </c>
      <c r="F94" s="385">
        <f t="shared" si="25"/>
        <v>38.321091198824099</v>
      </c>
      <c r="G94" s="110">
        <f t="shared" si="46"/>
        <v>0.82180629735540167</v>
      </c>
      <c r="H94" s="414" t="b">
        <f>Wh_hp&gt;='2020'!Maxi_hp</f>
        <v>0</v>
      </c>
      <c r="I94" s="380">
        <f>IF(H94,Wh_hp,'2020'!Maxi_hp)</f>
        <v>48.198985258159908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2.2161423836618011E-2</v>
      </c>
      <c r="M94" s="844"/>
      <c r="N94" s="844"/>
      <c r="O94" s="48">
        <f>IF(t&lt;Tnet,'2020'!Resal+('2020'!Salim-'2020'!Resal)*(1-EXP(('2020'!Tnet-t)/('2020'!Tau_j))),Resal+(Salim-Resal)*(1-EXP((Tnet-t)/(Tau_j))))*Salcycl</f>
        <v>0.1109248944088889</v>
      </c>
      <c r="P94" s="169">
        <f>(INDEX(Models!$BJ94:$BT94,,T94)*(1-R94)+INDEX(Models!$BJ94:$BT94,,T94+1)*R94-ERP_i)*Q94*Ramure*Pc/MaxiM</f>
        <v>7.3590597111479125E-4</v>
      </c>
      <c r="Q94" s="305">
        <f t="shared" si="27"/>
        <v>0.7</v>
      </c>
      <c r="R94" s="177">
        <f t="shared" si="28"/>
        <v>0.61259569276222825</v>
      </c>
      <c r="S94" s="810">
        <f t="shared" si="29"/>
        <v>-1</v>
      </c>
      <c r="T94" s="176">
        <f t="shared" si="30"/>
        <v>5</v>
      </c>
      <c r="U94" s="251">
        <f t="shared" si="31"/>
        <v>-0.38740430723777169</v>
      </c>
      <c r="V94" s="383">
        <f t="shared" si="32"/>
        <v>40.509259192989568</v>
      </c>
      <c r="W94" s="402"/>
      <c r="X94" s="157">
        <f t="shared" si="33"/>
        <v>44276</v>
      </c>
      <c r="Y94" s="385">
        <f t="shared" si="34"/>
        <v>33.297000000000004</v>
      </c>
      <c r="Z94" s="385">
        <f t="shared" si="35"/>
        <v>34.051632663791104</v>
      </c>
      <c r="AA94" s="386">
        <f t="shared" si="36"/>
        <v>38.300063121384454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0.1109248944088889</v>
      </c>
      <c r="AD94" s="231">
        <f>(INDEX(Models!$BJ94:$BT94,,AH94)*(1-AF94)+INDEX(Models!$BJ94:$BT94,,AH94+1)*AF94-ERP_i)*AE94*Ramure*Pc/MaxiM</f>
        <v>7.3590597111479125E-4</v>
      </c>
      <c r="AE94" s="305">
        <f t="shared" si="38"/>
        <v>0.7</v>
      </c>
      <c r="AF94" s="177">
        <f t="shared" si="39"/>
        <v>0.61259569276222825</v>
      </c>
      <c r="AG94" s="810">
        <f t="shared" si="47"/>
        <v>-1</v>
      </c>
      <c r="AH94" s="176">
        <f t="shared" si="40"/>
        <v>5</v>
      </c>
      <c r="AI94" s="225">
        <f t="shared" si="41"/>
        <v>-0.38740430723777169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6">
        <v>36.301000000000002</v>
      </c>
      <c r="C95" s="390"/>
      <c r="D95" s="393">
        <f t="shared" si="24"/>
        <v>37.124578311682932</v>
      </c>
      <c r="E95" s="385">
        <f t="shared" si="45"/>
        <v>41.75976075728493</v>
      </c>
      <c r="F95" s="385">
        <f t="shared" si="25"/>
        <v>41.785240268285172</v>
      </c>
      <c r="G95" s="110">
        <f t="shared" si="46"/>
        <v>0.88706811837038468</v>
      </c>
      <c r="H95" s="414" t="b">
        <f>Wh_hp&gt;='2020'!Maxi_hp</f>
        <v>0</v>
      </c>
      <c r="I95" s="380">
        <f>IF(H95,Wh_hp,'2020'!Maxi_hp)</f>
        <v>46.410432138632295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2.2184179568815576E-2</v>
      </c>
      <c r="M95" s="844"/>
      <c r="N95" s="844"/>
      <c r="O95" s="48">
        <f>IF(t&lt;Tnet,'2020'!Resal+('2020'!Salim-'2020'!Resal)*(1-EXP(('2020'!Tnet-t)/('2020'!Tau_j))),Resal+(Salim-Resal)*(1-EXP((Tnet-t)/(Tau_j))))*Salcycl</f>
        <v>0.11099638411585952</v>
      </c>
      <c r="P95" s="169">
        <f>(INDEX(Models!$BJ95:$BT95,,T95)*(1-R95)+INDEX(Models!$BJ95:$BT95,,T95+1)*R95-ERP_i)*Q95*Ramure*Pc/MaxiM</f>
        <v>7.269437209103494E-4</v>
      </c>
      <c r="Q95" s="305">
        <f t="shared" si="27"/>
        <v>0.7</v>
      </c>
      <c r="R95" s="177">
        <f t="shared" si="28"/>
        <v>0.61315633081116805</v>
      </c>
      <c r="S95" s="810">
        <f t="shared" si="29"/>
        <v>-1</v>
      </c>
      <c r="T95" s="176">
        <f t="shared" si="30"/>
        <v>5</v>
      </c>
      <c r="U95" s="251">
        <f t="shared" si="31"/>
        <v>-0.38684366918883195</v>
      </c>
      <c r="V95" s="383">
        <f t="shared" si="32"/>
        <v>40.917651348881471</v>
      </c>
      <c r="W95" s="402"/>
      <c r="X95" s="157">
        <f t="shared" si="33"/>
        <v>44277</v>
      </c>
      <c r="Y95" s="385">
        <f t="shared" si="34"/>
        <v>36.301000000000002</v>
      </c>
      <c r="Z95" s="385">
        <f t="shared" si="35"/>
        <v>37.124578311682932</v>
      </c>
      <c r="AA95" s="386">
        <f t="shared" si="36"/>
        <v>41.75976075728493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0.11099638411585952</v>
      </c>
      <c r="AD95" s="231">
        <f>(INDEX(Models!$BJ95:$BT95,,AH95)*(1-AF95)+INDEX(Models!$BJ95:$BT95,,AH95+1)*AF95-ERP_i)*AE95*Ramure*Pc/MaxiM</f>
        <v>7.269437209103494E-4</v>
      </c>
      <c r="AE95" s="305">
        <f t="shared" si="38"/>
        <v>0.7</v>
      </c>
      <c r="AF95" s="177">
        <f t="shared" si="39"/>
        <v>0.61315633081116805</v>
      </c>
      <c r="AG95" s="810">
        <f t="shared" si="47"/>
        <v>-1</v>
      </c>
      <c r="AH95" s="176">
        <f t="shared" si="40"/>
        <v>5</v>
      </c>
      <c r="AI95" s="225">
        <f t="shared" si="41"/>
        <v>-0.38684366918883195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6">
        <v>42.597999999999999</v>
      </c>
      <c r="C96" s="390"/>
      <c r="D96" s="393">
        <f t="shared" si="24"/>
        <v>43.565455222412822</v>
      </c>
      <c r="E96" s="385">
        <f t="shared" si="45"/>
        <v>49.008785240470274</v>
      </c>
      <c r="F96" s="385">
        <f t="shared" si="25"/>
        <v>49.043918463336865</v>
      </c>
      <c r="G96" s="110">
        <f t="shared" si="46"/>
        <v>1.0306942566846566</v>
      </c>
      <c r="H96" s="414" t="b">
        <f>Wh_hp&gt;='2020'!Maxi_hp</f>
        <v>1</v>
      </c>
      <c r="I96" s="380">
        <f>IF(H96,Wh_hp,'2020'!Maxi_hp)</f>
        <v>49.043918463336865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2.2206934771453968E-2</v>
      </c>
      <c r="M96" s="844"/>
      <c r="N96" s="844"/>
      <c r="O96" s="48">
        <f>IF(t&lt;Tnet,'2020'!Resal+('2020'!Salim-'2020'!Resal)*(1-EXP(('2020'!Tnet-t)/('2020'!Tau_j))),Resal+(Salim-Resal)*(1-EXP((Tnet-t)/(Tau_j))))*Salcycl</f>
        <v>0.11106845418324061</v>
      </c>
      <c r="P96" s="169">
        <f>(INDEX(Models!$BJ96:$BT96,,T96)*(1-R96)+INDEX(Models!$BJ96:$BT96,,T96+1)*R96-ERP_i)*Q96*Ramure*Pc/MaxiM</f>
        <v>7.1636247607042322E-4</v>
      </c>
      <c r="Q96" s="305">
        <f t="shared" si="27"/>
        <v>0.7</v>
      </c>
      <c r="R96" s="177">
        <f t="shared" si="28"/>
        <v>0.61373876257300375</v>
      </c>
      <c r="S96" s="810">
        <f t="shared" si="29"/>
        <v>-1</v>
      </c>
      <c r="T96" s="176">
        <f t="shared" si="30"/>
        <v>5</v>
      </c>
      <c r="U96" s="251">
        <f t="shared" si="31"/>
        <v>-0.38626123742699625</v>
      </c>
      <c r="V96" s="383">
        <f t="shared" si="32"/>
        <v>41.329424049592781</v>
      </c>
      <c r="W96" s="402"/>
      <c r="X96" s="157">
        <f t="shared" si="33"/>
        <v>44278</v>
      </c>
      <c r="Y96" s="385">
        <f t="shared" si="34"/>
        <v>42.597999999999999</v>
      </c>
      <c r="Z96" s="385">
        <f t="shared" si="35"/>
        <v>43.565455222412822</v>
      </c>
      <c r="AA96" s="386">
        <f t="shared" si="36"/>
        <v>49.008785240470274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0.11106845418324061</v>
      </c>
      <c r="AD96" s="231">
        <f>(INDEX(Models!$BJ96:$BT96,,AH96)*(1-AF96)+INDEX(Models!$BJ96:$BT96,,AH96+1)*AF96-ERP_i)*AE96*Ramure*Pc/MaxiM</f>
        <v>7.1636247607042322E-4</v>
      </c>
      <c r="AE96" s="305">
        <f t="shared" si="38"/>
        <v>0.7</v>
      </c>
      <c r="AF96" s="177">
        <f t="shared" si="39"/>
        <v>0.61373876257300375</v>
      </c>
      <c r="AG96" s="810">
        <f t="shared" si="47"/>
        <v>-1</v>
      </c>
      <c r="AH96" s="176">
        <f t="shared" si="40"/>
        <v>5</v>
      </c>
      <c r="AI96" s="225">
        <f t="shared" si="41"/>
        <v>-0.38626123742699625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6">
        <v>41.93</v>
      </c>
      <c r="C97" s="390"/>
      <c r="D97" s="393">
        <f t="shared" si="24"/>
        <v>42.883282042160076</v>
      </c>
      <c r="E97" s="385">
        <f t="shared" si="45"/>
        <v>48.24532260424926</v>
      </c>
      <c r="F97" s="385">
        <f t="shared" si="25"/>
        <v>48.279322574126304</v>
      </c>
      <c r="G97" s="110">
        <f t="shared" si="46"/>
        <v>1.0044785123621125</v>
      </c>
      <c r="H97" s="414" t="b">
        <f>Wh_hp&gt;='2020'!Maxi_hp</f>
        <v>1</v>
      </c>
      <c r="I97" s="380">
        <f>IF(H97,Wh_hp,'2020'!Maxi_hp)</f>
        <v>48.279322574126304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2.2229689444545508E-2</v>
      </c>
      <c r="M97" s="844"/>
      <c r="N97" s="844"/>
      <c r="O97" s="48">
        <f>IF(t&lt;Tnet,'2020'!Resal+('2020'!Salim-'2020'!Resal)*(1-EXP(('2020'!Tnet-t)/('2020'!Tau_j))),Resal+(Salim-Resal)*(1-EXP((Tnet-t)/(Tau_j))))*Salcycl</f>
        <v>0.11114114846061605</v>
      </c>
      <c r="P97" s="169">
        <f>(INDEX(Models!$BJ97:$BT97,,T97)*(1-R97)+INDEX(Models!$BJ97:$BT97,,T97+1)*R97-ERP_i)*Q97*Ramure*Pc/MaxiM</f>
        <v>7.0423460944059563E-4</v>
      </c>
      <c r="Q97" s="305">
        <f t="shared" si="27"/>
        <v>0.7</v>
      </c>
      <c r="R97" s="177">
        <f t="shared" si="28"/>
        <v>0.61434376293505166</v>
      </c>
      <c r="S97" s="810">
        <f t="shared" si="29"/>
        <v>-1</v>
      </c>
      <c r="T97" s="176">
        <f t="shared" si="30"/>
        <v>5</v>
      </c>
      <c r="U97" s="251">
        <f t="shared" si="31"/>
        <v>-0.38565623706494839</v>
      </c>
      <c r="V97" s="383">
        <f t="shared" si="32"/>
        <v>41.743053220121375</v>
      </c>
      <c r="W97" s="402"/>
      <c r="X97" s="157">
        <f t="shared" si="33"/>
        <v>44279</v>
      </c>
      <c r="Y97" s="385">
        <f t="shared" si="34"/>
        <v>41.93</v>
      </c>
      <c r="Z97" s="385">
        <f t="shared" si="35"/>
        <v>42.883282042160076</v>
      </c>
      <c r="AA97" s="386">
        <f t="shared" si="36"/>
        <v>48.24532260424926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0.11114114846061605</v>
      </c>
      <c r="AD97" s="231">
        <f>(INDEX(Models!$BJ97:$BT97,,AH97)*(1-AF97)+INDEX(Models!$BJ97:$BT97,,AH97+1)*AF97-ERP_i)*AE97*Ramure*Pc/MaxiM</f>
        <v>7.0423460944059563E-4</v>
      </c>
      <c r="AE97" s="305">
        <f t="shared" si="38"/>
        <v>0.7</v>
      </c>
      <c r="AF97" s="177">
        <f t="shared" si="39"/>
        <v>0.61434376293505166</v>
      </c>
      <c r="AG97" s="810">
        <f t="shared" si="47"/>
        <v>-1</v>
      </c>
      <c r="AH97" s="176">
        <f t="shared" si="40"/>
        <v>5</v>
      </c>
      <c r="AI97" s="225">
        <f t="shared" si="41"/>
        <v>-0.38565623706494839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6">
        <v>33.323</v>
      </c>
      <c r="C98" s="390"/>
      <c r="D98" s="393">
        <f t="shared" si="24"/>
        <v>34.081394304157136</v>
      </c>
      <c r="E98" s="385">
        <f t="shared" si="45"/>
        <v>38.346029188506449</v>
      </c>
      <c r="F98" s="385">
        <f t="shared" si="25"/>
        <v>38.364593161682464</v>
      </c>
      <c r="G98" s="110">
        <f t="shared" si="46"/>
        <v>0.79028619628405394</v>
      </c>
      <c r="H98" s="414" t="b">
        <f>Wh_hp&gt;='2020'!Maxi_hp</f>
        <v>0</v>
      </c>
      <c r="I98" s="380">
        <f>IF(H98,Wh_hp,'2020'!Maxi_hp)</f>
        <v>41.637984914064219</v>
      </c>
      <c r="J98" s="85">
        <f>IF(H98,An,'2020'!An_max)</f>
        <v>2019</v>
      </c>
      <c r="K98" s="197">
        <f t="shared" si="26"/>
        <v>44280</v>
      </c>
      <c r="L98" s="147">
        <f>IF(t&lt;Tvie,1-EXP((T0-t)*PertePVj)+'2020'!Pspv,1-EXP((T0-t)*PertePVj)+Pspv)</f>
        <v>2.2252443588102633E-2</v>
      </c>
      <c r="M98" s="844"/>
      <c r="N98" s="844"/>
      <c r="O98" s="48">
        <f>IF(t&lt;Tnet,'2020'!Resal+('2020'!Salim-'2020'!Resal)*(1-EXP(('2020'!Tnet-t)/('2020'!Tau_j))),Resal+(Salim-Resal)*(1-EXP((Tnet-t)/(Tau_j))))*Salcycl</f>
        <v>0.11121451098325358</v>
      </c>
      <c r="P98" s="169">
        <f>(INDEX(Models!$BJ98:$BT98,,T98)*(1-R98)+INDEX(Models!$BJ98:$BT98,,T98+1)*R98-ERP_i)*Q98*Ramure*Pc/MaxiM</f>
        <v>6.9062755959733838E-4</v>
      </c>
      <c r="Q98" s="305">
        <f t="shared" si="27"/>
        <v>0.7</v>
      </c>
      <c r="R98" s="177">
        <f t="shared" si="28"/>
        <v>0.61497212840324944</v>
      </c>
      <c r="S98" s="810">
        <f t="shared" si="29"/>
        <v>-1</v>
      </c>
      <c r="T98" s="176">
        <f t="shared" si="30"/>
        <v>5</v>
      </c>
      <c r="U98" s="251">
        <f t="shared" si="31"/>
        <v>-0.38502787159675056</v>
      </c>
      <c r="V98" s="383">
        <f t="shared" si="32"/>
        <v>42.157015358928241</v>
      </c>
      <c r="W98" s="402"/>
      <c r="X98" s="157">
        <f t="shared" si="33"/>
        <v>44280</v>
      </c>
      <c r="Y98" s="385">
        <f t="shared" si="34"/>
        <v>33.323</v>
      </c>
      <c r="Z98" s="385">
        <f t="shared" si="35"/>
        <v>34.081394304157136</v>
      </c>
      <c r="AA98" s="386">
        <f t="shared" si="36"/>
        <v>38.346029188506449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0.11121451098325358</v>
      </c>
      <c r="AD98" s="231">
        <f>(INDEX(Models!$BJ98:$BT98,,AH98)*(1-AF98)+INDEX(Models!$BJ98:$BT98,,AH98+1)*AF98-ERP_i)*AE98*Ramure*Pc/MaxiM</f>
        <v>6.9062755959733838E-4</v>
      </c>
      <c r="AE98" s="305">
        <f t="shared" si="38"/>
        <v>0.7</v>
      </c>
      <c r="AF98" s="177">
        <f t="shared" si="39"/>
        <v>0.61497212840324944</v>
      </c>
      <c r="AG98" s="810">
        <f t="shared" si="47"/>
        <v>-1</v>
      </c>
      <c r="AH98" s="176">
        <f t="shared" si="40"/>
        <v>5</v>
      </c>
      <c r="AI98" s="225">
        <f t="shared" si="41"/>
        <v>-0.38502787159675056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6">
        <v>34.225000000000001</v>
      </c>
      <c r="C99" s="390"/>
      <c r="D99" s="393">
        <f t="shared" si="24"/>
        <v>35.004737429245495</v>
      </c>
      <c r="E99" s="385">
        <f t="shared" si="45"/>
        <v>39.38819381837866</v>
      </c>
      <c r="F99" s="385">
        <f t="shared" si="25"/>
        <v>39.407361926788226</v>
      </c>
      <c r="G99" s="110">
        <f t="shared" si="46"/>
        <v>0.80382176290645135</v>
      </c>
      <c r="H99" s="414" t="b">
        <f>Wh_hp&gt;='2020'!Maxi_hp</f>
        <v>0</v>
      </c>
      <c r="I99" s="380">
        <f>IF(H99,Wh_hp,'2020'!Maxi_hp)</f>
        <v>50.66707986781163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2.2275197202137664E-2</v>
      </c>
      <c r="M99" s="844"/>
      <c r="N99" s="844"/>
      <c r="O99" s="48">
        <f>IF(t&lt;Tnet,'2020'!Resal+('2020'!Salim-'2020'!Resal)*(1-EXP(('2020'!Tnet-t)/('2020'!Tau_j))),Resal+(Salim-Resal)*(1-EXP((Tnet-t)/(Tau_j))))*Salcycl</f>
        <v>0.11128858584746359</v>
      </c>
      <c r="P99" s="169">
        <f>(INDEX(Models!$BJ99:$BT99,,T99)*(1-R99)+INDEX(Models!$BJ99:$BT99,,T99+1)*R99-ERP_i)*Q99*Ramure*Pc/MaxiM</f>
        <v>6.7560343782278485E-4</v>
      </c>
      <c r="Q99" s="305">
        <f t="shared" si="27"/>
        <v>0.7</v>
      </c>
      <c r="R99" s="177">
        <f t="shared" si="28"/>
        <v>0.61562467720437231</v>
      </c>
      <c r="S99" s="810">
        <f t="shared" si="29"/>
        <v>-1</v>
      </c>
      <c r="T99" s="176">
        <f t="shared" si="30"/>
        <v>5</v>
      </c>
      <c r="U99" s="251">
        <f t="shared" si="31"/>
        <v>-0.38437532279562769</v>
      </c>
      <c r="V99" s="383">
        <f t="shared" si="32"/>
        <v>42.569787556794729</v>
      </c>
      <c r="W99" s="402"/>
      <c r="X99" s="157">
        <f t="shared" si="33"/>
        <v>44281</v>
      </c>
      <c r="Y99" s="385">
        <f t="shared" si="34"/>
        <v>34.225000000000001</v>
      </c>
      <c r="Z99" s="385">
        <f t="shared" si="35"/>
        <v>35.004737429245495</v>
      </c>
      <c r="AA99" s="386">
        <f t="shared" si="36"/>
        <v>39.38819381837866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0.11128858584746359</v>
      </c>
      <c r="AD99" s="231">
        <f>(INDEX(Models!$BJ99:$BT99,,AH99)*(1-AF99)+INDEX(Models!$BJ99:$BT99,,AH99+1)*AF99-ERP_i)*AE99*Ramure*Pc/MaxiM</f>
        <v>6.7560343782278485E-4</v>
      </c>
      <c r="AE99" s="305">
        <f t="shared" si="38"/>
        <v>0.7</v>
      </c>
      <c r="AF99" s="177">
        <f t="shared" si="39"/>
        <v>0.61562467720437231</v>
      </c>
      <c r="AG99" s="810">
        <f t="shared" si="47"/>
        <v>-1</v>
      </c>
      <c r="AH99" s="176">
        <f t="shared" si="40"/>
        <v>5</v>
      </c>
      <c r="AI99" s="225">
        <f t="shared" si="41"/>
        <v>-0.38437532279562769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6">
        <v>39.588999999999999</v>
      </c>
      <c r="C100" s="390"/>
      <c r="D100" s="393">
        <f t="shared" si="24"/>
        <v>40.491886062433345</v>
      </c>
      <c r="E100" s="385">
        <f t="shared" si="45"/>
        <v>45.566305552963208</v>
      </c>
      <c r="F100" s="385">
        <f t="shared" si="25"/>
        <v>45.592952999401035</v>
      </c>
      <c r="G100" s="110">
        <f t="shared" si="46"/>
        <v>0.92103720920113752</v>
      </c>
      <c r="H100" s="414" t="b">
        <f>Wh_hp&gt;='2020'!Maxi_hp</f>
        <v>0</v>
      </c>
      <c r="I100" s="380">
        <f>IF(H100,Wh_hp,'2020'!Maxi_hp)</f>
        <v>49.81019451356466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2.2297950286662704E-2</v>
      </c>
      <c r="M100" s="844"/>
      <c r="N100" s="844"/>
      <c r="O100" s="48">
        <f>IF(t&lt;Tnet,'2020'!Resal+('2020'!Salim-'2020'!Resal)*(1-EXP(('2020'!Tnet-t)/('2020'!Tau_j))),Resal+(Salim-Resal)*(1-EXP((Tnet-t)/(Tau_j))))*Salcycl</f>
        <v>0.11136341708966727</v>
      </c>
      <c r="P100" s="169">
        <f>(INDEX(Models!$BJ100:$BT100,,T100)*(1-R100)+INDEX(Models!$BJ100:$BT100,,T100+1)*R100-ERP_i)*Q100*Ramure*Pc/MaxiM</f>
        <v>6.5870422445517165E-4</v>
      </c>
      <c r="Q100" s="305">
        <f t="shared" si="27"/>
        <v>0.7</v>
      </c>
      <c r="R100" s="177">
        <f t="shared" si="28"/>
        <v>0.616302249338744</v>
      </c>
      <c r="S100" s="810">
        <f t="shared" si="29"/>
        <v>-1</v>
      </c>
      <c r="T100" s="176">
        <f t="shared" si="30"/>
        <v>5</v>
      </c>
      <c r="U100" s="251">
        <f t="shared" si="31"/>
        <v>-0.383697750661256</v>
      </c>
      <c r="V100" s="383">
        <f t="shared" si="32"/>
        <v>42.979869646263083</v>
      </c>
      <c r="W100" s="402"/>
      <c r="X100" s="157">
        <f t="shared" si="33"/>
        <v>44282</v>
      </c>
      <c r="Y100" s="385">
        <f t="shared" si="34"/>
        <v>39.588999999999999</v>
      </c>
      <c r="Z100" s="385">
        <f t="shared" si="35"/>
        <v>40.491886062433345</v>
      </c>
      <c r="AA100" s="386">
        <f t="shared" si="36"/>
        <v>45.566305552963208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0.11136341708966727</v>
      </c>
      <c r="AD100" s="231">
        <f>(INDEX(Models!$BJ100:$BT100,,AH100)*(1-AF100)+INDEX(Models!$BJ100:$BT100,,AH100+1)*AF100-ERP_i)*AE100*Ramure*Pc/MaxiM</f>
        <v>6.5870422445517165E-4</v>
      </c>
      <c r="AE100" s="305">
        <f t="shared" si="38"/>
        <v>0.7</v>
      </c>
      <c r="AF100" s="177">
        <f t="shared" si="39"/>
        <v>0.616302249338744</v>
      </c>
      <c r="AG100" s="810">
        <f t="shared" si="47"/>
        <v>-1</v>
      </c>
      <c r="AH100" s="176">
        <f t="shared" si="40"/>
        <v>5</v>
      </c>
      <c r="AI100" s="225">
        <f t="shared" si="41"/>
        <v>-0.383697750661256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6">
        <v>42.96</v>
      </c>
      <c r="C101" s="390"/>
      <c r="D101" s="393">
        <f t="shared" si="24"/>
        <v>43.940789300608202</v>
      </c>
      <c r="E101" s="385">
        <f t="shared" si="45"/>
        <v>49.451632136062337</v>
      </c>
      <c r="F101" s="385">
        <f t="shared" si="25"/>
        <v>49.482894626918331</v>
      </c>
      <c r="G101" s="110">
        <f t="shared" si="46"/>
        <v>0.99017896338462974</v>
      </c>
      <c r="H101" s="414" t="b">
        <f>Wh_hp&gt;='2020'!Maxi_hp</f>
        <v>1</v>
      </c>
      <c r="I101" s="380">
        <f>IF(H101,Wh_hp,'2020'!Maxi_hp)</f>
        <v>49.482894626918331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2.2320702841690299E-2</v>
      </c>
      <c r="M101" s="844"/>
      <c r="N101" s="844"/>
      <c r="O101" s="48">
        <f>IF(t&lt;Tnet,'2020'!Resal+('2020'!Salim-'2020'!Resal)*(1-EXP(('2020'!Tnet-t)/('2020'!Tau_j))),Resal+(Salim-Resal)*(1-EXP((Tnet-t)/(Tau_j))))*Salcycl</f>
        <v>0.11143904856954938</v>
      </c>
      <c r="P101" s="169">
        <f>(INDEX(Models!$BJ101:$BT101,,T101)*(1-R101)+INDEX(Models!$BJ101:$BT101,,T101+1)*R101-ERP_i)*Q101*Ramure*Pc/MaxiM</f>
        <v>6.407656219373037E-4</v>
      </c>
      <c r="Q101" s="305">
        <f t="shared" si="27"/>
        <v>0.7</v>
      </c>
      <c r="R101" s="177">
        <f t="shared" si="28"/>
        <v>0.61700570657847531</v>
      </c>
      <c r="S101" s="810">
        <f t="shared" si="29"/>
        <v>-1</v>
      </c>
      <c r="T101" s="176">
        <f t="shared" si="30"/>
        <v>5</v>
      </c>
      <c r="U101" s="251">
        <f t="shared" si="31"/>
        <v>-0.38299429342152463</v>
      </c>
      <c r="V101" s="383">
        <f t="shared" si="32"/>
        <v>43.385706508902665</v>
      </c>
      <c r="W101" s="402"/>
      <c r="X101" s="157">
        <f t="shared" si="33"/>
        <v>44283</v>
      </c>
      <c r="Y101" s="385">
        <f t="shared" si="34"/>
        <v>42.96</v>
      </c>
      <c r="Z101" s="385">
        <f t="shared" si="35"/>
        <v>43.940789300608202</v>
      </c>
      <c r="AA101" s="386">
        <f t="shared" si="36"/>
        <v>49.451632136062337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0.11143904856954938</v>
      </c>
      <c r="AD101" s="231">
        <f>(INDEX(Models!$BJ101:$BT101,,AH101)*(1-AF101)+INDEX(Models!$BJ101:$BT101,,AH101+1)*AF101-ERP_i)*AE101*Ramure*Pc/MaxiM</f>
        <v>6.407656219373037E-4</v>
      </c>
      <c r="AE101" s="305">
        <f t="shared" si="38"/>
        <v>0.7</v>
      </c>
      <c r="AF101" s="177">
        <f t="shared" si="39"/>
        <v>0.61700570657847531</v>
      </c>
      <c r="AG101" s="810">
        <f t="shared" si="47"/>
        <v>-1</v>
      </c>
      <c r="AH101" s="176">
        <f t="shared" si="40"/>
        <v>5</v>
      </c>
      <c r="AI101" s="225">
        <f t="shared" si="41"/>
        <v>-0.38299429342152463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6">
        <v>44.956000000000003</v>
      </c>
      <c r="C102" s="390"/>
      <c r="D102" s="393">
        <f t="shared" si="24"/>
        <v>45.983428662971733</v>
      </c>
      <c r="E102" s="385">
        <f t="shared" si="45"/>
        <v>51.754903881517102</v>
      </c>
      <c r="F102" s="385">
        <f t="shared" si="25"/>
        <v>51.787106415664866</v>
      </c>
      <c r="G102" s="110">
        <f t="shared" si="46"/>
        <v>1.0267260962260067</v>
      </c>
      <c r="H102" s="414" t="b">
        <f>Wh_hp&gt;='2020'!Maxi_hp</f>
        <v>1</v>
      </c>
      <c r="I102" s="380">
        <f>IF(H102,Wh_hp,'2020'!Maxi_hp)</f>
        <v>51.787106415664866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2.234345486723277E-2</v>
      </c>
      <c r="M102" s="844"/>
      <c r="N102" s="844"/>
      <c r="O102" s="48">
        <f>IF(t&lt;Tnet,'2020'!Resal+('2020'!Salim-'2020'!Resal)*(1-EXP(('2020'!Tnet-t)/('2020'!Tau_j))),Resal+(Salim-Resal)*(1-EXP((Tnet-t)/(Tau_j))))*Salcycl</f>
        <v>0.11151552385756625</v>
      </c>
      <c r="P102" s="169">
        <f>(INDEX(Models!$BJ102:$BT102,,T102)*(1-R102)+INDEX(Models!$BJ102:$BT102,,T102+1)*R102-ERP_i)*Q102*Ramure*Pc/MaxiM</f>
        <v>6.2182532249036688E-4</v>
      </c>
      <c r="Q102" s="305">
        <f t="shared" si="27"/>
        <v>0.7</v>
      </c>
      <c r="R102" s="177">
        <f t="shared" si="28"/>
        <v>0.61773593240598446</v>
      </c>
      <c r="S102" s="810">
        <f t="shared" si="29"/>
        <v>-1</v>
      </c>
      <c r="T102" s="176">
        <f t="shared" si="30"/>
        <v>5</v>
      </c>
      <c r="U102" s="251">
        <f t="shared" si="31"/>
        <v>-0.38226406759401554</v>
      </c>
      <c r="V102" s="383">
        <f t="shared" si="32"/>
        <v>43.785777107689412</v>
      </c>
      <c r="W102" s="402"/>
      <c r="X102" s="157">
        <f t="shared" si="33"/>
        <v>44284</v>
      </c>
      <c r="Y102" s="385">
        <f t="shared" si="34"/>
        <v>44.956000000000003</v>
      </c>
      <c r="Z102" s="385">
        <f t="shared" si="35"/>
        <v>45.983428662971733</v>
      </c>
      <c r="AA102" s="386">
        <f t="shared" si="36"/>
        <v>51.754903881517102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0.11151552385756625</v>
      </c>
      <c r="AD102" s="231">
        <f>(INDEX(Models!$BJ102:$BT102,,AH102)*(1-AF102)+INDEX(Models!$BJ102:$BT102,,AH102+1)*AF102-ERP_i)*AE102*Ramure*Pc/MaxiM</f>
        <v>6.2182532249036688E-4</v>
      </c>
      <c r="AE102" s="305">
        <f t="shared" si="38"/>
        <v>0.7</v>
      </c>
      <c r="AF102" s="177">
        <f t="shared" si="39"/>
        <v>0.61773593240598446</v>
      </c>
      <c r="AG102" s="810">
        <f t="shared" si="47"/>
        <v>-1</v>
      </c>
      <c r="AH102" s="176">
        <f t="shared" si="40"/>
        <v>5</v>
      </c>
      <c r="AI102" s="225">
        <f t="shared" si="41"/>
        <v>-0.38226406759401554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6">
        <v>41.789000000000001</v>
      </c>
      <c r="C103" s="390"/>
      <c r="D103" s="393">
        <f t="shared" si="24"/>
        <v>42.745044485982007</v>
      </c>
      <c r="E103" s="385">
        <f t="shared" si="45"/>
        <v>48.114252822261022</v>
      </c>
      <c r="F103" s="385">
        <f t="shared" si="25"/>
        <v>48.140990594642467</v>
      </c>
      <c r="G103" s="110">
        <f t="shared" si="46"/>
        <v>0.94586727807427795</v>
      </c>
      <c r="H103" s="414" t="b">
        <f>Wh_hp&gt;='2020'!Maxi_hp</f>
        <v>0</v>
      </c>
      <c r="I103" s="380">
        <f>IF(H103,Wh_hp,'2020'!Maxi_hp)</f>
        <v>50.64313114829168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2.2366206363302221E-2</v>
      </c>
      <c r="M103" s="844"/>
      <c r="N103" s="844"/>
      <c r="O103" s="48">
        <f>IF(t&lt;Tnet,'2020'!Resal+('2020'!Salim-'2020'!Resal)*(1-EXP(('2020'!Tnet-t)/('2020'!Tau_j))),Resal+(Salim-Resal)*(1-EXP((Tnet-t)/(Tau_j))))*Salcycl</f>
        <v>0.11159288612697406</v>
      </c>
      <c r="P103" s="169">
        <f>(INDEX(Models!$BJ103:$BT103,,T103)*(1-R103)+INDEX(Models!$BJ103:$BT103,,T103+1)*R103-ERP_i)*Q103*Ramure*Pc/MaxiM</f>
        <v>6.0191526736031917E-4</v>
      </c>
      <c r="Q103" s="305">
        <f t="shared" si="27"/>
        <v>0.7</v>
      </c>
      <c r="R103" s="177">
        <f t="shared" si="28"/>
        <v>0.61849383188727913</v>
      </c>
      <c r="S103" s="810">
        <f t="shared" si="29"/>
        <v>-1</v>
      </c>
      <c r="T103" s="176">
        <f t="shared" si="30"/>
        <v>5</v>
      </c>
      <c r="U103" s="251">
        <f t="shared" si="31"/>
        <v>-0.38150616811272087</v>
      </c>
      <c r="V103" s="383">
        <f t="shared" si="32"/>
        <v>44.178561086884159</v>
      </c>
      <c r="W103" s="402"/>
      <c r="X103" s="157">
        <f t="shared" si="33"/>
        <v>44285</v>
      </c>
      <c r="Y103" s="385">
        <f t="shared" si="34"/>
        <v>41.789000000000001</v>
      </c>
      <c r="Z103" s="385">
        <f t="shared" si="35"/>
        <v>42.745044485982007</v>
      </c>
      <c r="AA103" s="386">
        <f t="shared" si="36"/>
        <v>48.114252822261022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0.11159288612697406</v>
      </c>
      <c r="AD103" s="231">
        <f>(INDEX(Models!$BJ103:$BT103,,AH103)*(1-AF103)+INDEX(Models!$BJ103:$BT103,,AH103+1)*AF103-ERP_i)*AE103*Ramure*Pc/MaxiM</f>
        <v>6.0191526736031917E-4</v>
      </c>
      <c r="AE103" s="305">
        <f t="shared" si="38"/>
        <v>0.7</v>
      </c>
      <c r="AF103" s="177">
        <f t="shared" si="39"/>
        <v>0.61849383188727913</v>
      </c>
      <c r="AG103" s="810">
        <f t="shared" si="47"/>
        <v>-1</v>
      </c>
      <c r="AH103" s="176">
        <f t="shared" si="40"/>
        <v>5</v>
      </c>
      <c r="AI103" s="225">
        <f t="shared" si="41"/>
        <v>-0.38150616811272087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6">
        <v>40.597999999999999</v>
      </c>
      <c r="C104" s="390"/>
      <c r="D104" s="393">
        <f t="shared" si="24"/>
        <v>41.527763321000528</v>
      </c>
      <c r="E104" s="385">
        <f t="shared" si="45"/>
        <v>46.748188615407138</v>
      </c>
      <c r="F104" s="385">
        <f t="shared" si="25"/>
        <v>46.771911898558628</v>
      </c>
      <c r="G104" s="110">
        <f t="shared" si="46"/>
        <v>0.91096695650512394</v>
      </c>
      <c r="H104" s="414" t="b">
        <f>Wh_hp&gt;='2020'!Maxi_hp</f>
        <v>1</v>
      </c>
      <c r="I104" s="380">
        <f>IF(H104,Wh_hp,'2020'!Maxi_hp)</f>
        <v>46.771911898558628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2.2388957329911197E-2</v>
      </c>
      <c r="M104" s="844"/>
      <c r="N104" s="844"/>
      <c r="O104" s="48">
        <f>IF(t&lt;Tnet,'2020'!Resal+('2020'!Salim-'2020'!Resal)*(1-EXP(('2020'!Tnet-t)/('2020'!Tau_j))),Resal+(Salim-Resal)*(1-EXP((Tnet-t)/(Tau_j))))*Salcycl</f>
        <v>0.11167117805043845</v>
      </c>
      <c r="P104" s="169">
        <f>(INDEX(Models!$BJ104:$BT104,,T104)*(1-R104)+INDEX(Models!$BJ104:$BT104,,T104+1)*R104-ERP_i)*Q104*Ramure*Pc/MaxiM</f>
        <v>5.810615537977337E-4</v>
      </c>
      <c r="Q104" s="305">
        <f t="shared" si="27"/>
        <v>0.7</v>
      </c>
      <c r="R104" s="177">
        <f t="shared" si="28"/>
        <v>0.61928033147421058</v>
      </c>
      <c r="S104" s="810">
        <f t="shared" si="29"/>
        <v>-1</v>
      </c>
      <c r="T104" s="176">
        <f t="shared" si="30"/>
        <v>5</v>
      </c>
      <c r="U104" s="251">
        <f t="shared" si="31"/>
        <v>-0.38071966852578942</v>
      </c>
      <c r="V104" s="383">
        <f t="shared" si="32"/>
        <v>44.562538796343176</v>
      </c>
      <c r="W104" s="402"/>
      <c r="X104" s="157">
        <f t="shared" si="33"/>
        <v>44286</v>
      </c>
      <c r="Y104" s="385">
        <f t="shared" si="34"/>
        <v>40.597999999999999</v>
      </c>
      <c r="Z104" s="385">
        <f t="shared" si="35"/>
        <v>41.527763321000528</v>
      </c>
      <c r="AA104" s="386">
        <f t="shared" si="36"/>
        <v>46.748188615407138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0.11167117805043845</v>
      </c>
      <c r="AD104" s="231">
        <f>(INDEX(Models!$BJ104:$BT104,,AH104)*(1-AF104)+INDEX(Models!$BJ104:$BT104,,AH104+1)*AF104-ERP_i)*AE104*Ramure*Pc/MaxiM</f>
        <v>5.810615537977337E-4</v>
      </c>
      <c r="AE104" s="305">
        <f t="shared" si="38"/>
        <v>0.7</v>
      </c>
      <c r="AF104" s="177">
        <f t="shared" si="39"/>
        <v>0.61928033147421058</v>
      </c>
      <c r="AG104" s="810">
        <f t="shared" si="47"/>
        <v>-1</v>
      </c>
      <c r="AH104" s="176">
        <f t="shared" si="40"/>
        <v>5</v>
      </c>
      <c r="AI104" s="225">
        <f t="shared" si="41"/>
        <v>-0.38071966852578942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6">
        <v>41.280999999999999</v>
      </c>
      <c r="C105" s="390"/>
      <c r="D105" s="393">
        <f t="shared" si="24"/>
        <v>42.227387876863055</v>
      </c>
      <c r="E105" s="385">
        <f t="shared" si="45"/>
        <v>47.540004362892624</v>
      </c>
      <c r="F105" s="385">
        <f t="shared" si="25"/>
        <v>47.56351472577898</v>
      </c>
      <c r="G105" s="110">
        <f t="shared" si="46"/>
        <v>0.91859845245437988</v>
      </c>
      <c r="H105" s="414" t="b">
        <f>Wh_hp&gt;='2020'!Maxi_hp</f>
        <v>1</v>
      </c>
      <c r="I105" s="380">
        <f>IF(H105,Wh_hp,'2020'!Maxi_hp)</f>
        <v>47.56351472577898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2.241170776707202E-2</v>
      </c>
      <c r="M105" s="844"/>
      <c r="N105" s="844"/>
      <c r="O105" s="48">
        <f>IF(t&lt;Tnet,'2020'!Resal+('2020'!Salim-'2020'!Resal)*(1-EXP(('2020'!Tnet-t)/('2020'!Tau_j))),Resal+(Salim-Resal)*(1-EXP((Tnet-t)/(Tau_j))))*Salcycl</f>
        <v>0.11175044170118623</v>
      </c>
      <c r="P105" s="169">
        <f>(INDEX(Models!$BJ105:$BT105,,T105)*(1-R105)+INDEX(Models!$BJ105:$BT105,,T105+1)*R105-ERP_i)*Q105*Ramure*Pc/MaxiM</f>
        <v>5.5928435307876854E-4</v>
      </c>
      <c r="Q105" s="305">
        <f t="shared" si="27"/>
        <v>0.7</v>
      </c>
      <c r="R105" s="177">
        <f t="shared" si="28"/>
        <v>0.62009637872963874</v>
      </c>
      <c r="S105" s="810">
        <f t="shared" si="29"/>
        <v>-1</v>
      </c>
      <c r="T105" s="176">
        <f t="shared" si="30"/>
        <v>5</v>
      </c>
      <c r="U105" s="251">
        <f t="shared" si="31"/>
        <v>-0.37990362127036126</v>
      </c>
      <c r="V105" s="383">
        <f t="shared" si="32"/>
        <v>44.93619132354813</v>
      </c>
      <c r="W105" s="402"/>
      <c r="X105" s="157">
        <f t="shared" si="33"/>
        <v>44287</v>
      </c>
      <c r="Y105" s="385">
        <f t="shared" si="34"/>
        <v>41.280999999999999</v>
      </c>
      <c r="Z105" s="385">
        <f t="shared" si="35"/>
        <v>42.227387876863055</v>
      </c>
      <c r="AA105" s="386">
        <f t="shared" si="36"/>
        <v>47.540004362892624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0.11175044170118623</v>
      </c>
      <c r="AD105" s="231">
        <f>(INDEX(Models!$BJ105:$BT105,,AH105)*(1-AF105)+INDEX(Models!$BJ105:$BT105,,AH105+1)*AF105-ERP_i)*AE105*Ramure*Pc/MaxiM</f>
        <v>5.5928435307876854E-4</v>
      </c>
      <c r="AE105" s="305">
        <f t="shared" si="38"/>
        <v>0.7</v>
      </c>
      <c r="AF105" s="177">
        <f t="shared" si="39"/>
        <v>0.62009637872963874</v>
      </c>
      <c r="AG105" s="810">
        <f t="shared" si="47"/>
        <v>-1</v>
      </c>
      <c r="AH105" s="176">
        <f t="shared" si="40"/>
        <v>5</v>
      </c>
      <c r="AI105" s="225">
        <f t="shared" si="41"/>
        <v>-0.37990362127036126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6">
        <v>37.768000000000001</v>
      </c>
      <c r="C106" s="390"/>
      <c r="D106" s="393">
        <f t="shared" si="24"/>
        <v>38.634749655932389</v>
      </c>
      <c r="E106" s="385">
        <f t="shared" si="45"/>
        <v>43.499308587751372</v>
      </c>
      <c r="F106" s="385">
        <f t="shared" si="25"/>
        <v>43.51711445287431</v>
      </c>
      <c r="G106" s="110">
        <f t="shared" si="46"/>
        <v>0.83366119641521663</v>
      </c>
      <c r="H106" s="414" t="b">
        <f>Wh_hp&gt;='2020'!Maxi_hp</f>
        <v>1</v>
      </c>
      <c r="I106" s="380">
        <f>IF(H106,Wh_hp,'2020'!Maxi_hp)</f>
        <v>43.51711445287431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2.2434457674796793E-2</v>
      </c>
      <c r="M106" s="844"/>
      <c r="N106" s="844"/>
      <c r="O106" s="48">
        <f>IF(t&lt;Tnet,'2020'!Resal+('2020'!Salim-'2020'!Resal)*(1-EXP(('2020'!Tnet-t)/('2020'!Tau_j))),Resal+(Salim-Resal)*(1-EXP((Tnet-t)/(Tau_j))))*Salcycl</f>
        <v>0.11183071845856313</v>
      </c>
      <c r="P106" s="169">
        <f>(INDEX(Models!$BJ106:$BT106,,T106)*(1-R106)+INDEX(Models!$BJ106:$BT106,,T106+1)*R106-ERP_i)*Q106*Ramure*Pc/MaxiM</f>
        <v>5.3659783203579344E-4</v>
      </c>
      <c r="Q106" s="305">
        <f t="shared" si="27"/>
        <v>0.7</v>
      </c>
      <c r="R106" s="177">
        <f t="shared" si="28"/>
        <v>0.62094294196919031</v>
      </c>
      <c r="S106" s="810">
        <f t="shared" si="29"/>
        <v>-1</v>
      </c>
      <c r="T106" s="176">
        <f t="shared" si="30"/>
        <v>5</v>
      </c>
      <c r="U106" s="251">
        <f t="shared" si="31"/>
        <v>-0.37905705803080975</v>
      </c>
      <c r="V106" s="383">
        <f t="shared" si="32"/>
        <v>45.298000518325424</v>
      </c>
      <c r="W106" s="402"/>
      <c r="X106" s="157">
        <f t="shared" si="33"/>
        <v>44288</v>
      </c>
      <c r="Y106" s="385">
        <f t="shared" si="34"/>
        <v>37.768000000000001</v>
      </c>
      <c r="Z106" s="385">
        <f t="shared" si="35"/>
        <v>38.634749655932389</v>
      </c>
      <c r="AA106" s="386">
        <f t="shared" si="36"/>
        <v>43.499308587751372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0.11183071845856313</v>
      </c>
      <c r="AD106" s="231">
        <f>(INDEX(Models!$BJ106:$BT106,,AH106)*(1-AF106)+INDEX(Models!$BJ106:$BT106,,AH106+1)*AF106-ERP_i)*AE106*Ramure*Pc/MaxiM</f>
        <v>5.3659783203579344E-4</v>
      </c>
      <c r="AE106" s="305">
        <f t="shared" si="38"/>
        <v>0.7</v>
      </c>
      <c r="AF106" s="177">
        <f t="shared" si="39"/>
        <v>0.62094294196919031</v>
      </c>
      <c r="AG106" s="810">
        <f t="shared" si="47"/>
        <v>-1</v>
      </c>
      <c r="AH106" s="176">
        <f t="shared" si="40"/>
        <v>5</v>
      </c>
      <c r="AI106" s="225">
        <f t="shared" si="41"/>
        <v>-0.37905705803080975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6">
        <v>46.100999999999999</v>
      </c>
      <c r="C107" s="390"/>
      <c r="D107" s="393">
        <f t="shared" si="24"/>
        <v>47.160083765769329</v>
      </c>
      <c r="E107" s="385">
        <f t="shared" si="45"/>
        <v>53.102942910440142</v>
      </c>
      <c r="F107" s="385">
        <f t="shared" si="25"/>
        <v>53.130196848122523</v>
      </c>
      <c r="G107" s="110">
        <f t="shared" si="46"/>
        <v>1.009869536104032</v>
      </c>
      <c r="H107" s="414" t="b">
        <f>Wh_hp&gt;='2020'!Maxi_hp</f>
        <v>1</v>
      </c>
      <c r="I107" s="380">
        <f>IF(H107,Wh_hp,'2020'!Maxi_hp)</f>
        <v>53.130196848122523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2.2457207053098061E-2</v>
      </c>
      <c r="M107" s="844"/>
      <c r="N107" s="844"/>
      <c r="O107" s="48">
        <f>IF(t&lt;Tnet,'2020'!Resal+('2020'!Salim-'2020'!Resal)*(1-EXP(('2020'!Tnet-t)/('2020'!Tau_j))),Resal+(Salim-Resal)*(1-EXP((Tnet-t)/(Tau_j))))*Salcycl</f>
        <v>0.11191204891777157</v>
      </c>
      <c r="P107" s="169">
        <f>(INDEX(Models!$BJ107:$BT107,,T107)*(1-R107)+INDEX(Models!$BJ107:$BT107,,T107+1)*R107-ERP_i)*Q107*Ramure*Pc/MaxiM</f>
        <v>5.129651177520607E-4</v>
      </c>
      <c r="Q107" s="305">
        <f t="shared" si="27"/>
        <v>0.7</v>
      </c>
      <c r="R107" s="177">
        <f t="shared" si="28"/>
        <v>0.62182100981304111</v>
      </c>
      <c r="S107" s="810">
        <f t="shared" si="29"/>
        <v>-1</v>
      </c>
      <c r="T107" s="176">
        <f t="shared" si="30"/>
        <v>5</v>
      </c>
      <c r="U107" s="251">
        <f t="shared" si="31"/>
        <v>-0.37817899018695889</v>
      </c>
      <c r="V107" s="383">
        <f t="shared" si="32"/>
        <v>45.65045122348446</v>
      </c>
      <c r="W107" s="402"/>
      <c r="X107" s="157">
        <f t="shared" si="33"/>
        <v>44289</v>
      </c>
      <c r="Y107" s="385">
        <f t="shared" si="34"/>
        <v>46.100999999999999</v>
      </c>
      <c r="Z107" s="385">
        <f t="shared" si="35"/>
        <v>47.160083765769329</v>
      </c>
      <c r="AA107" s="386">
        <f t="shared" si="36"/>
        <v>53.102942910440142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0.11191204891777157</v>
      </c>
      <c r="AD107" s="231">
        <f>(INDEX(Models!$BJ107:$BT107,,AH107)*(1-AF107)+INDEX(Models!$BJ107:$BT107,,AH107+1)*AF107-ERP_i)*AE107*Ramure*Pc/MaxiM</f>
        <v>5.129651177520607E-4</v>
      </c>
      <c r="AE107" s="305">
        <f t="shared" si="38"/>
        <v>0.7</v>
      </c>
      <c r="AF107" s="177">
        <f t="shared" si="39"/>
        <v>0.62182100981304111</v>
      </c>
      <c r="AG107" s="810">
        <f t="shared" si="47"/>
        <v>-1</v>
      </c>
      <c r="AH107" s="176">
        <f t="shared" si="40"/>
        <v>5</v>
      </c>
      <c r="AI107" s="225">
        <f t="shared" si="41"/>
        <v>-0.37817899018695889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6">
        <v>45.454000000000001</v>
      </c>
      <c r="C108" s="390"/>
      <c r="D108" s="393">
        <f t="shared" si="24"/>
        <v>46.499302264376396</v>
      </c>
      <c r="E108" s="385">
        <f t="shared" si="45"/>
        <v>52.363753197772382</v>
      </c>
      <c r="F108" s="385">
        <f t="shared" si="25"/>
        <v>52.388924514700129</v>
      </c>
      <c r="G108" s="110">
        <f t="shared" si="46"/>
        <v>0.98818760836518116</v>
      </c>
      <c r="H108" s="414" t="b">
        <f>Wh_hp&gt;='2020'!Maxi_hp</f>
        <v>0</v>
      </c>
      <c r="I108" s="380">
        <f>IF(H108,Wh_hp,'2020'!Maxi_hp)</f>
        <v>54.788293499905031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2.2479955901988036E-2</v>
      </c>
      <c r="M108" s="844"/>
      <c r="N108" s="844"/>
      <c r="O108" s="48">
        <f>IF(t&lt;Tnet,'2020'!Resal+('2020'!Salim-'2020'!Resal)*(1-EXP(('2020'!Tnet-t)/('2020'!Tau_j))),Resal+(Salim-Resal)*(1-EXP((Tnet-t)/(Tau_j))))*Salcycl</f>
        <v>0.1119944728034786</v>
      </c>
      <c r="P108" s="169">
        <f>(INDEX(Models!$BJ108:$BT108,,T108)*(1-R108)+INDEX(Models!$BJ108:$BT108,,T108+1)*R108-ERP_i)*Q108*Ramure*Pc/MaxiM</f>
        <v>4.8871143923687264E-4</v>
      </c>
      <c r="Q108" s="305">
        <f t="shared" si="27"/>
        <v>0.7</v>
      </c>
      <c r="R108" s="177">
        <f t="shared" si="28"/>
        <v>0.6227315906409232</v>
      </c>
      <c r="S108" s="810">
        <f t="shared" si="29"/>
        <v>-1</v>
      </c>
      <c r="T108" s="176">
        <f t="shared" si="30"/>
        <v>5</v>
      </c>
      <c r="U108" s="251">
        <f t="shared" si="31"/>
        <v>-0.3772684093590768</v>
      </c>
      <c r="V108" s="383">
        <f t="shared" si="32"/>
        <v>45.996959320044688</v>
      </c>
      <c r="W108" s="402"/>
      <c r="X108" s="157">
        <f t="shared" si="33"/>
        <v>44290</v>
      </c>
      <c r="Y108" s="385">
        <f t="shared" si="34"/>
        <v>45.454000000000001</v>
      </c>
      <c r="Z108" s="385">
        <f t="shared" si="35"/>
        <v>46.499302264376396</v>
      </c>
      <c r="AA108" s="386">
        <f t="shared" si="36"/>
        <v>52.363753197772382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0.1119944728034786</v>
      </c>
      <c r="AD108" s="231">
        <f>(INDEX(Models!$BJ108:$BT108,,AH108)*(1-AF108)+INDEX(Models!$BJ108:$BT108,,AH108+1)*AF108-ERP_i)*AE108*Ramure*Pc/MaxiM</f>
        <v>4.8871143923687264E-4</v>
      </c>
      <c r="AE108" s="305">
        <f t="shared" si="38"/>
        <v>0.7</v>
      </c>
      <c r="AF108" s="177">
        <f t="shared" si="39"/>
        <v>0.6227315906409232</v>
      </c>
      <c r="AG108" s="810">
        <f t="shared" si="47"/>
        <v>-1</v>
      </c>
      <c r="AH108" s="176">
        <f t="shared" si="40"/>
        <v>5</v>
      </c>
      <c r="AI108" s="225">
        <f t="shared" si="41"/>
        <v>-0.3772684093590768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6">
        <v>44.46</v>
      </c>
      <c r="C109" s="390"/>
      <c r="D109" s="393">
        <f t="shared" si="24"/>
        <v>45.483501787685398</v>
      </c>
      <c r="E109" s="385">
        <f t="shared" si="45"/>
        <v>51.224660800619411</v>
      </c>
      <c r="F109" s="385">
        <f t="shared" si="25"/>
        <v>51.247098269080034</v>
      </c>
      <c r="G109" s="110">
        <f t="shared" si="46"/>
        <v>0.95945856842380284</v>
      </c>
      <c r="H109" s="414" t="b">
        <f>Wh_hp&gt;='2020'!Maxi_hp</f>
        <v>0</v>
      </c>
      <c r="I109" s="380">
        <f>IF(H109,Wh_hp,'2020'!Maxi_hp)</f>
        <v>55.766032914356472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2.2502704221479042E-2</v>
      </c>
      <c r="M109" s="844"/>
      <c r="N109" s="844"/>
      <c r="O109" s="48">
        <f>IF(t&lt;Tnet,'2020'!Resal+('2020'!Salim-'2020'!Resal)*(1-EXP(('2020'!Tnet-t)/('2020'!Tau_j))),Resal+(Salim-Resal)*(1-EXP((Tnet-t)/(Tau_j))))*Salcycl</f>
        <v>0.1120780288869104</v>
      </c>
      <c r="P109" s="169">
        <f>(INDEX(Models!$BJ109:$BT109,,T109)*(1-R109)+INDEX(Models!$BJ109:$BT109,,T109+1)*R109-ERP_i)*Q109*Ramure*Pc/MaxiM</f>
        <v>4.6472720513493368E-4</v>
      </c>
      <c r="Q109" s="305">
        <f t="shared" si="27"/>
        <v>0.7</v>
      </c>
      <c r="R109" s="177">
        <f t="shared" si="28"/>
        <v>0.62367571194333826</v>
      </c>
      <c r="S109" s="810">
        <f t="shared" si="29"/>
        <v>-1</v>
      </c>
      <c r="T109" s="176">
        <f t="shared" si="30"/>
        <v>5</v>
      </c>
      <c r="U109" s="251">
        <f t="shared" si="31"/>
        <v>-0.37632428805666179</v>
      </c>
      <c r="V109" s="383">
        <f t="shared" si="32"/>
        <v>46.337387613651337</v>
      </c>
      <c r="W109" s="402"/>
      <c r="X109" s="157">
        <f t="shared" si="33"/>
        <v>44291</v>
      </c>
      <c r="Y109" s="385">
        <f t="shared" si="34"/>
        <v>44.46</v>
      </c>
      <c r="Z109" s="385">
        <f t="shared" si="35"/>
        <v>45.483501787685398</v>
      </c>
      <c r="AA109" s="386">
        <f t="shared" si="36"/>
        <v>51.224660800619411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0.1120780288869104</v>
      </c>
      <c r="AD109" s="231">
        <f>(INDEX(Models!$BJ109:$BT109,,AH109)*(1-AF109)+INDEX(Models!$BJ109:$BT109,,AH109+1)*AF109-ERP_i)*AE109*Ramure*Pc/MaxiM</f>
        <v>4.6472720513493368E-4</v>
      </c>
      <c r="AE109" s="305">
        <f t="shared" si="38"/>
        <v>0.7</v>
      </c>
      <c r="AF109" s="177">
        <f t="shared" si="39"/>
        <v>0.62367571194333826</v>
      </c>
      <c r="AG109" s="810">
        <f t="shared" si="47"/>
        <v>-1</v>
      </c>
      <c r="AH109" s="176">
        <f t="shared" si="40"/>
        <v>5</v>
      </c>
      <c r="AI109" s="225">
        <f t="shared" si="41"/>
        <v>-0.37632428805666179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6">
        <v>33.49</v>
      </c>
      <c r="C110" s="390"/>
      <c r="D110" s="393">
        <f t="shared" si="24"/>
        <v>34.261761668291413</v>
      </c>
      <c r="E110" s="385">
        <f t="shared" si="45"/>
        <v>38.59013784070671</v>
      </c>
      <c r="F110" s="385">
        <f t="shared" si="25"/>
        <v>38.600292094124519</v>
      </c>
      <c r="G110" s="110">
        <f t="shared" si="46"/>
        <v>0.71743866981074178</v>
      </c>
      <c r="H110" s="414" t="b">
        <f>Wh_hp&gt;='2020'!Maxi_hp</f>
        <v>0</v>
      </c>
      <c r="I110" s="380">
        <f>IF(H110,Wh_hp,'2020'!Maxi_hp)</f>
        <v>56.273634835365598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2.2525452011583513E-2</v>
      </c>
      <c r="M110" s="844"/>
      <c r="N110" s="844"/>
      <c r="O110" s="48">
        <f>IF(t&lt;Tnet,'2020'!Resal+('2020'!Salim-'2020'!Resal)*(1-EXP(('2020'!Tnet-t)/('2020'!Tau_j))),Resal+(Salim-Resal)*(1-EXP((Tnet-t)/(Tau_j))))*Salcycl</f>
        <v>0.11216275490598331</v>
      </c>
      <c r="P110" s="169">
        <f>(INDEX(Models!$BJ110:$BT110,,T110)*(1-R110)+INDEX(Models!$BJ110:$BT110,,T110+1)*R110-ERP_i)*Q110*Ramure*Pc/MaxiM</f>
        <v>4.4099119930281975E-4</v>
      </c>
      <c r="Q110" s="305">
        <f t="shared" si="27"/>
        <v>0.7</v>
      </c>
      <c r="R110" s="177">
        <f t="shared" si="28"/>
        <v>0.62465441956177037</v>
      </c>
      <c r="S110" s="810">
        <f t="shared" si="29"/>
        <v>-1</v>
      </c>
      <c r="T110" s="176">
        <f t="shared" si="30"/>
        <v>5</v>
      </c>
      <c r="U110" s="251">
        <f t="shared" si="31"/>
        <v>-0.37534558043822963</v>
      </c>
      <c r="V110" s="383">
        <f t="shared" si="32"/>
        <v>46.671640347414424</v>
      </c>
      <c r="W110" s="402"/>
      <c r="X110" s="157">
        <f t="shared" si="33"/>
        <v>44292</v>
      </c>
      <c r="Y110" s="385">
        <f t="shared" si="34"/>
        <v>33.49</v>
      </c>
      <c r="Z110" s="385">
        <f t="shared" si="35"/>
        <v>34.261761668291413</v>
      </c>
      <c r="AA110" s="386">
        <f t="shared" si="36"/>
        <v>38.59013784070671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0.11216275490598331</v>
      </c>
      <c r="AD110" s="231">
        <f>(INDEX(Models!$BJ110:$BT110,,AH110)*(1-AF110)+INDEX(Models!$BJ110:$BT110,,AH110+1)*AF110-ERP_i)*AE110*Ramure*Pc/MaxiM</f>
        <v>4.4099119930281975E-4</v>
      </c>
      <c r="AE110" s="305">
        <f t="shared" si="38"/>
        <v>0.7</v>
      </c>
      <c r="AF110" s="177">
        <f t="shared" si="39"/>
        <v>0.62465441956177037</v>
      </c>
      <c r="AG110" s="810">
        <f t="shared" si="47"/>
        <v>-1</v>
      </c>
      <c r="AH110" s="176">
        <f t="shared" si="40"/>
        <v>5</v>
      </c>
      <c r="AI110" s="225">
        <f t="shared" si="41"/>
        <v>-0.37534558043822963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6">
        <v>47.988</v>
      </c>
      <c r="C111" s="390"/>
      <c r="D111" s="393">
        <f t="shared" si="24"/>
        <v>49.095003931932226</v>
      </c>
      <c r="E111" s="385">
        <f t="shared" si="45"/>
        <v>55.302654290659596</v>
      </c>
      <c r="F111" s="385">
        <f t="shared" si="25"/>
        <v>55.325751817582876</v>
      </c>
      <c r="G111" s="110">
        <f t="shared" si="46"/>
        <v>1.0210294910582434</v>
      </c>
      <c r="H111" s="414" t="b">
        <f>Wh_hp&gt;='2020'!Maxi_hp</f>
        <v>1</v>
      </c>
      <c r="I111" s="380">
        <f>IF(H111,Wh_hp,'2020'!Maxi_hp)</f>
        <v>55.325751817582876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2.2548199272313552E-2</v>
      </c>
      <c r="M111" s="844"/>
      <c r="N111" s="844"/>
      <c r="O111" s="48">
        <f>IF(t&lt;Tnet,'2020'!Resal+('2020'!Salim-'2020'!Resal)*(1-EXP(('2020'!Tnet-t)/('2020'!Tau_j))),Resal+(Salim-Resal)*(1-EXP((Tnet-t)/(Tau_j))))*Salcycl</f>
        <v>0.11224868748796776</v>
      </c>
      <c r="P111" s="169">
        <f>(INDEX(Models!$BJ111:$BT111,,T111)*(1-R111)+INDEX(Models!$BJ111:$BT111,,T111+1)*R111-ERP_i)*Q111*Ramure*Pc/MaxiM</f>
        <v>4.1748238685372136E-4</v>
      </c>
      <c r="Q111" s="305">
        <f t="shared" si="27"/>
        <v>0.7</v>
      </c>
      <c r="R111" s="177">
        <f t="shared" si="28"/>
        <v>0.62566877681052957</v>
      </c>
      <c r="S111" s="810">
        <f t="shared" si="29"/>
        <v>-1</v>
      </c>
      <c r="T111" s="176">
        <f t="shared" si="30"/>
        <v>5</v>
      </c>
      <c r="U111" s="251">
        <f t="shared" si="31"/>
        <v>-0.37433122318947043</v>
      </c>
      <c r="V111" s="383">
        <f t="shared" si="32"/>
        <v>46.999621872099851</v>
      </c>
      <c r="W111" s="402"/>
      <c r="X111" s="157">
        <f t="shared" si="33"/>
        <v>44293</v>
      </c>
      <c r="Y111" s="385">
        <f t="shared" si="34"/>
        <v>47.988</v>
      </c>
      <c r="Z111" s="385">
        <f t="shared" si="35"/>
        <v>49.095003931932226</v>
      </c>
      <c r="AA111" s="386">
        <f t="shared" si="36"/>
        <v>55.302654290659596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0.11224868748796776</v>
      </c>
      <c r="AD111" s="231">
        <f>(INDEX(Models!$BJ111:$BT111,,AH111)*(1-AF111)+INDEX(Models!$BJ111:$BT111,,AH111+1)*AF111-ERP_i)*AE111*Ramure*Pc/MaxiM</f>
        <v>4.1748238685372136E-4</v>
      </c>
      <c r="AE111" s="305">
        <f t="shared" si="38"/>
        <v>0.7</v>
      </c>
      <c r="AF111" s="177">
        <f t="shared" si="39"/>
        <v>0.62566877681052957</v>
      </c>
      <c r="AG111" s="810">
        <f t="shared" si="47"/>
        <v>-1</v>
      </c>
      <c r="AH111" s="176">
        <f t="shared" si="40"/>
        <v>5</v>
      </c>
      <c r="AI111" s="225">
        <f t="shared" si="41"/>
        <v>-0.37433122318947043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6">
        <v>46.698</v>
      </c>
      <c r="C112" s="390"/>
      <c r="D112" s="393">
        <f t="shared" si="24"/>
        <v>47.77635758735682</v>
      </c>
      <c r="E112" s="385">
        <f t="shared" si="45"/>
        <v>53.822561423955008</v>
      </c>
      <c r="F112" s="385">
        <f t="shared" si="25"/>
        <v>53.843386079314278</v>
      </c>
      <c r="G112" s="110">
        <f t="shared" si="46"/>
        <v>0.98682234076907749</v>
      </c>
      <c r="H112" s="414" t="b">
        <f>Wh_hp&gt;='2020'!Maxi_hp</f>
        <v>1</v>
      </c>
      <c r="I112" s="380">
        <f>IF(H112,Wh_hp,'2020'!Maxi_hp)</f>
        <v>53.843386079314278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2.2570946003681702E-2</v>
      </c>
      <c r="M112" s="844"/>
      <c r="N112" s="844"/>
      <c r="O112" s="48">
        <f>IF(t&lt;Tnet,'2020'!Resal+('2020'!Salim-'2020'!Resal)*(1-EXP(('2020'!Tnet-t)/('2020'!Tau_j))),Resal+(Salim-Resal)*(1-EXP((Tnet-t)/(Tau_j))))*Salcycl</f>
        <v>0.1123358620741372</v>
      </c>
      <c r="P112" s="169">
        <f>(INDEX(Models!$BJ112:$BT112,,T112)*(1-R112)+INDEX(Models!$BJ112:$BT112,,T112+1)*R112-ERP_i)*Q112*Ramure*Pc/MaxiM</f>
        <v>3.9417988279339463E-4</v>
      </c>
      <c r="Q112" s="305">
        <f t="shared" si="27"/>
        <v>0.7</v>
      </c>
      <c r="R112" s="177">
        <f t="shared" si="28"/>
        <v>0.62671986347272446</v>
      </c>
      <c r="S112" s="810">
        <f t="shared" si="29"/>
        <v>-1</v>
      </c>
      <c r="T112" s="176">
        <f t="shared" si="30"/>
        <v>5</v>
      </c>
      <c r="U112" s="251">
        <f t="shared" si="31"/>
        <v>-0.37328013652727554</v>
      </c>
      <c r="V112" s="383">
        <f t="shared" si="32"/>
        <v>47.321236665978709</v>
      </c>
      <c r="W112" s="402"/>
      <c r="X112" s="157">
        <f t="shared" si="33"/>
        <v>44294</v>
      </c>
      <c r="Y112" s="385">
        <f t="shared" si="34"/>
        <v>46.698</v>
      </c>
      <c r="Z112" s="385">
        <f t="shared" si="35"/>
        <v>47.77635758735682</v>
      </c>
      <c r="AA112" s="386">
        <f t="shared" si="36"/>
        <v>53.822561423955008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0.1123358620741372</v>
      </c>
      <c r="AD112" s="231">
        <f>(INDEX(Models!$BJ112:$BT112,,AH112)*(1-AF112)+INDEX(Models!$BJ112:$BT112,,AH112+1)*AF112-ERP_i)*AE112*Ramure*Pc/MaxiM</f>
        <v>3.9417988279339463E-4</v>
      </c>
      <c r="AE112" s="305">
        <f t="shared" si="38"/>
        <v>0.7</v>
      </c>
      <c r="AF112" s="177">
        <f t="shared" si="39"/>
        <v>0.62671986347272446</v>
      </c>
      <c r="AG112" s="810">
        <f t="shared" si="47"/>
        <v>-1</v>
      </c>
      <c r="AH112" s="176">
        <f t="shared" si="40"/>
        <v>5</v>
      </c>
      <c r="AI112" s="225">
        <f t="shared" si="41"/>
        <v>-0.37328013652727554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6">
        <v>28.060000000000002</v>
      </c>
      <c r="C113" s="390"/>
      <c r="D113" s="393">
        <f t="shared" si="24"/>
        <v>28.708634041172335</v>
      </c>
      <c r="E113" s="385">
        <f t="shared" si="45"/>
        <v>32.344998242595523</v>
      </c>
      <c r="F113" s="385">
        <f t="shared" si="25"/>
        <v>32.349954905545452</v>
      </c>
      <c r="G113" s="110">
        <f t="shared" si="46"/>
        <v>0.58891714472152423</v>
      </c>
      <c r="H113" s="414" t="b">
        <f>Wh_hp&gt;='2020'!Maxi_hp</f>
        <v>0</v>
      </c>
      <c r="I113" s="380">
        <f>IF(H113,Wh_hp,'2020'!Maxi_hp)</f>
        <v>46.323967550802834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2.2593692205700178E-2</v>
      </c>
      <c r="M113" s="844"/>
      <c r="N113" s="844"/>
      <c r="O113" s="48">
        <f>IF(t&lt;Tnet,'2020'!Resal+('2020'!Salim-'2020'!Resal)*(1-EXP(('2020'!Tnet-t)/('2020'!Tau_j))),Resal+(Salim-Resal)*(1-EXP((Tnet-t)/(Tau_j))))*Salcycl</f>
        <v>0.11242431284582395</v>
      </c>
      <c r="P113" s="169">
        <f>(INDEX(Models!$BJ113:$BT113,,T113)*(1-R113)+INDEX(Models!$BJ113:$BT113,,T113+1)*R113-ERP_i)*Q113*Ramure*Pc/MaxiM</f>
        <v>3.7106292230912677E-4</v>
      </c>
      <c r="Q113" s="305">
        <f t="shared" si="27"/>
        <v>0.7</v>
      </c>
      <c r="R113" s="177">
        <f t="shared" si="28"/>
        <v>0.62780877466277729</v>
      </c>
      <c r="S113" s="810">
        <f t="shared" si="29"/>
        <v>-1</v>
      </c>
      <c r="T113" s="176">
        <f t="shared" si="30"/>
        <v>5</v>
      </c>
      <c r="U113" s="251">
        <f t="shared" si="31"/>
        <v>-0.37219122533722271</v>
      </c>
      <c r="V113" s="383">
        <f t="shared" si="32"/>
        <v>47.636389337278281</v>
      </c>
      <c r="W113" s="402"/>
      <c r="X113" s="157">
        <f t="shared" si="33"/>
        <v>44295</v>
      </c>
      <c r="Y113" s="385">
        <f t="shared" si="34"/>
        <v>28.060000000000002</v>
      </c>
      <c r="Z113" s="385">
        <f t="shared" si="35"/>
        <v>28.708634041172335</v>
      </c>
      <c r="AA113" s="386">
        <f t="shared" si="36"/>
        <v>32.344998242595523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0.11242431284582395</v>
      </c>
      <c r="AD113" s="231">
        <f>(INDEX(Models!$BJ113:$BT113,,AH113)*(1-AF113)+INDEX(Models!$BJ113:$BT113,,AH113+1)*AF113-ERP_i)*AE113*Ramure*Pc/MaxiM</f>
        <v>3.7106292230912677E-4</v>
      </c>
      <c r="AE113" s="305">
        <f t="shared" si="38"/>
        <v>0.7</v>
      </c>
      <c r="AF113" s="177">
        <f t="shared" si="39"/>
        <v>0.62780877466277729</v>
      </c>
      <c r="AG113" s="810">
        <f t="shared" si="47"/>
        <v>-1</v>
      </c>
      <c r="AH113" s="176">
        <f t="shared" si="40"/>
        <v>5</v>
      </c>
      <c r="AI113" s="225">
        <f t="shared" si="41"/>
        <v>-0.37219122533722271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6">
        <v>31.079000000000001</v>
      </c>
      <c r="C114" s="390"/>
      <c r="D114" s="393">
        <f t="shared" si="24"/>
        <v>31.798161135978617</v>
      </c>
      <c r="E114" s="385">
        <f t="shared" si="45"/>
        <v>35.8294820865191</v>
      </c>
      <c r="F114" s="385">
        <f t="shared" si="25"/>
        <v>35.835697410580437</v>
      </c>
      <c r="G114" s="110">
        <f t="shared" si="46"/>
        <v>0.64810888312790194</v>
      </c>
      <c r="H114" s="414" t="b">
        <f>Wh_hp&gt;='2020'!Maxi_hp</f>
        <v>0</v>
      </c>
      <c r="I114" s="380">
        <f>IF(H114,Wh_hp,'2020'!Maxi_hp)</f>
        <v>55.540517907478055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2.261643787838119E-2</v>
      </c>
      <c r="M114" s="844"/>
      <c r="N114" s="844"/>
      <c r="O114" s="48">
        <f>IF(t&lt;Tnet,'2020'!Resal+('2020'!Salim-'2020'!Resal)*(1-EXP(('2020'!Tnet-t)/('2020'!Tau_j))),Resal+(Salim-Resal)*(1-EXP((Tnet-t)/(Tau_j))))*Salcycl</f>
        <v>0.11251407265128378</v>
      </c>
      <c r="P114" s="169">
        <f>(INDEX(Models!$BJ114:$BT114,,T114)*(1-R114)+INDEX(Models!$BJ114:$BT114,,T114+1)*R114-ERP_i)*Q114*Ramure*Pc/MaxiM</f>
        <v>3.4864958677172792E-4</v>
      </c>
      <c r="Q114" s="305">
        <f t="shared" si="27"/>
        <v>0.7</v>
      </c>
      <c r="R114" s="177">
        <f t="shared" si="28"/>
        <v>0.62893661954785129</v>
      </c>
      <c r="S114" s="810">
        <f t="shared" si="29"/>
        <v>-1</v>
      </c>
      <c r="T114" s="176">
        <f t="shared" si="30"/>
        <v>5</v>
      </c>
      <c r="U114" s="251">
        <f t="shared" si="31"/>
        <v>-0.37106338045214871</v>
      </c>
      <c r="V114" s="383">
        <f t="shared" si="32"/>
        <v>47.944958800666605</v>
      </c>
      <c r="W114" s="402"/>
      <c r="X114" s="157">
        <f t="shared" si="33"/>
        <v>44296</v>
      </c>
      <c r="Y114" s="385">
        <f t="shared" si="34"/>
        <v>31.079000000000004</v>
      </c>
      <c r="Z114" s="385">
        <f t="shared" si="35"/>
        <v>31.798161135978621</v>
      </c>
      <c r="AA114" s="386">
        <f t="shared" si="36"/>
        <v>35.8294820865191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0.11251407265128378</v>
      </c>
      <c r="AD114" s="231">
        <f>(INDEX(Models!$BJ114:$BT114,,AH114)*(1-AF114)+INDEX(Models!$BJ114:$BT114,,AH114+1)*AF114-ERP_i)*AE114*Ramure*Pc/MaxiM</f>
        <v>3.4864958677172792E-4</v>
      </c>
      <c r="AE114" s="305">
        <f t="shared" si="38"/>
        <v>0.7</v>
      </c>
      <c r="AF114" s="177">
        <f t="shared" si="39"/>
        <v>0.62893661954785129</v>
      </c>
      <c r="AG114" s="810">
        <f t="shared" si="47"/>
        <v>-1</v>
      </c>
      <c r="AH114" s="176">
        <f t="shared" si="40"/>
        <v>5</v>
      </c>
      <c r="AI114" s="225">
        <f t="shared" si="41"/>
        <v>-0.37106338045214871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6">
        <v>8.0180000000000007</v>
      </c>
      <c r="C115" s="390"/>
      <c r="D115" s="393">
        <f t="shared" si="24"/>
        <v>8.2037256463682517</v>
      </c>
      <c r="E115" s="385">
        <f t="shared" si="45"/>
        <v>9.2447300752032611</v>
      </c>
      <c r="F115" s="385">
        <f t="shared" si="25"/>
        <v>9.2447300752032611</v>
      </c>
      <c r="G115" s="110">
        <f t="shared" si="46"/>
        <v>0.16613268738028661</v>
      </c>
      <c r="H115" s="414" t="b">
        <f>Wh_hp&gt;='2020'!Maxi_hp</f>
        <v>0</v>
      </c>
      <c r="I115" s="380">
        <f>IF(H115,Wh_hp,'2020'!Maxi_hp)</f>
        <v>56.677954021859833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2.2639183021737286E-2</v>
      </c>
      <c r="M115" s="844"/>
      <c r="N115" s="844"/>
      <c r="O115" s="48">
        <f>IF(t&lt;Tnet,'2020'!Resal+('2020'!Salim-'2020'!Resal)*(1-EXP(('2020'!Tnet-t)/('2020'!Tau_j))),Resal+(Salim-Resal)*(1-EXP((Tnet-t)/(Tau_j))))*Salcycl</f>
        <v>0.1126051729327664</v>
      </c>
      <c r="P115" s="169">
        <f>(INDEX(Models!$BJ115:$BT115,,T115)*(1-R115)+INDEX(Models!$BJ115:$BT115,,T115+1)*R115-ERP_i)*Q115*Ramure*Pc/MaxiM</f>
        <v>3.2738829732826489E-4</v>
      </c>
      <c r="Q115" s="305">
        <f t="shared" si="27"/>
        <v>0.7</v>
      </c>
      <c r="R115" s="177">
        <f t="shared" si="28"/>
        <v>0.63010451992056904</v>
      </c>
      <c r="S115" s="810">
        <f t="shared" si="29"/>
        <v>-1</v>
      </c>
      <c r="T115" s="176">
        <f t="shared" si="30"/>
        <v>5</v>
      </c>
      <c r="U115" s="251">
        <f t="shared" si="31"/>
        <v>-0.36989548007943102</v>
      </c>
      <c r="V115" s="383">
        <f t="shared" si="32"/>
        <v>48.246826840791414</v>
      </c>
      <c r="W115" s="402"/>
      <c r="X115" s="157">
        <f t="shared" si="33"/>
        <v>44297</v>
      </c>
      <c r="Y115" s="385">
        <f t="shared" si="34"/>
        <v>8.0180000000000007</v>
      </c>
      <c r="Z115" s="385">
        <f t="shared" si="35"/>
        <v>8.2037256463682517</v>
      </c>
      <c r="AA115" s="386">
        <f t="shared" si="36"/>
        <v>9.2447300752032611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0.1126051729327664</v>
      </c>
      <c r="AD115" s="231">
        <f>(INDEX(Models!$BJ115:$BT115,,AH115)*(1-AF115)+INDEX(Models!$BJ115:$BT115,,AH115+1)*AF115-ERP_i)*AE115*Ramure*Pc/MaxiM</f>
        <v>3.2738829732826489E-4</v>
      </c>
      <c r="AE115" s="305">
        <f t="shared" si="38"/>
        <v>0.7</v>
      </c>
      <c r="AF115" s="177">
        <f t="shared" si="39"/>
        <v>0.63010451992056904</v>
      </c>
      <c r="AG115" s="810">
        <f t="shared" si="47"/>
        <v>-1</v>
      </c>
      <c r="AH115" s="176">
        <f t="shared" si="40"/>
        <v>5</v>
      </c>
      <c r="AI115" s="225">
        <f t="shared" si="41"/>
        <v>-0.36989548007943102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6">
        <v>41.75</v>
      </c>
      <c r="C116" s="390"/>
      <c r="D116" s="393">
        <f t="shared" si="24"/>
        <v>42.718073899449244</v>
      </c>
      <c r="E116" s="385">
        <f t="shared" si="45"/>
        <v>48.143762488502588</v>
      </c>
      <c r="F116" s="385">
        <f t="shared" si="25"/>
        <v>48.155600871716516</v>
      </c>
      <c r="G116" s="110">
        <f t="shared" si="46"/>
        <v>0.86002890300010615</v>
      </c>
      <c r="H116" s="414" t="b">
        <f>Wh_hp&gt;='2020'!Maxi_hp</f>
        <v>0</v>
      </c>
      <c r="I116" s="380">
        <f>IF(H116,Wh_hp,'2020'!Maxi_hp)</f>
        <v>57.166150894542305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2.2661927635780565E-2</v>
      </c>
      <c r="M116" s="844"/>
      <c r="N116" s="844"/>
      <c r="O116" s="48">
        <f>IF(t&lt;Tnet,'2020'!Resal+('2020'!Salim-'2020'!Resal)*(1-EXP(('2020'!Tnet-t)/('2020'!Tau_j))),Resal+(Salim-Resal)*(1-EXP((Tnet-t)/(Tau_j))))*Salcycl</f>
        <v>0.11269764365319544</v>
      </c>
      <c r="P116" s="169">
        <f>(INDEX(Models!$BJ116:$BT116,,T116)*(1-R116)+INDEX(Models!$BJ116:$BT116,,T116+1)*R116-ERP_i)*Q116*Ramure*Pc/MaxiM</f>
        <v>3.0725022972407468E-4</v>
      </c>
      <c r="Q116" s="305">
        <f t="shared" si="27"/>
        <v>0.7</v>
      </c>
      <c r="R116" s="177">
        <f t="shared" si="28"/>
        <v>0.63131360861547159</v>
      </c>
      <c r="S116" s="810">
        <f t="shared" si="29"/>
        <v>-1</v>
      </c>
      <c r="T116" s="176">
        <f t="shared" si="30"/>
        <v>5</v>
      </c>
      <c r="U116" s="251">
        <f t="shared" si="31"/>
        <v>-0.36868639138452836</v>
      </c>
      <c r="V116" s="383">
        <f t="shared" si="32"/>
        <v>48.541898048215792</v>
      </c>
      <c r="W116" s="402"/>
      <c r="X116" s="157">
        <f t="shared" si="33"/>
        <v>44298</v>
      </c>
      <c r="Y116" s="385">
        <f t="shared" si="34"/>
        <v>41.75</v>
      </c>
      <c r="Z116" s="385">
        <f t="shared" si="35"/>
        <v>42.718073899449244</v>
      </c>
      <c r="AA116" s="386">
        <f t="shared" si="36"/>
        <v>48.143762488502588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0.11269764365319544</v>
      </c>
      <c r="AD116" s="231">
        <f>(INDEX(Models!$BJ116:$BT116,,AH116)*(1-AF116)+INDEX(Models!$BJ116:$BT116,,AH116+1)*AF116-ERP_i)*AE116*Ramure*Pc/MaxiM</f>
        <v>3.0725022972407468E-4</v>
      </c>
      <c r="AE116" s="305">
        <f t="shared" si="38"/>
        <v>0.7</v>
      </c>
      <c r="AF116" s="177">
        <f t="shared" si="39"/>
        <v>0.63131360861547159</v>
      </c>
      <c r="AG116" s="810">
        <f t="shared" si="47"/>
        <v>-1</v>
      </c>
      <c r="AH116" s="176">
        <f t="shared" si="40"/>
        <v>5</v>
      </c>
      <c r="AI116" s="225">
        <f t="shared" si="41"/>
        <v>-0.36868639138452836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6">
        <v>43.381999999999998</v>
      </c>
      <c r="C117" s="390"/>
      <c r="D117" s="393">
        <f t="shared" si="24"/>
        <v>44.388948729958251</v>
      </c>
      <c r="E117" s="385">
        <f t="shared" si="45"/>
        <v>50.03215071933765</v>
      </c>
      <c r="F117" s="385">
        <f t="shared" si="25"/>
        <v>50.044275010926199</v>
      </c>
      <c r="G117" s="110">
        <f t="shared" si="46"/>
        <v>0.88838701886331295</v>
      </c>
      <c r="H117" s="414" t="b">
        <f>Wh_hp&gt;='2020'!Maxi_hp</f>
        <v>0</v>
      </c>
      <c r="I117" s="380">
        <f>IF(H117,Wh_hp,'2020'!Maxi_hp)</f>
        <v>56.753271585996224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2.2684671720523575E-2</v>
      </c>
      <c r="M117" s="844"/>
      <c r="N117" s="844"/>
      <c r="O117" s="48">
        <f>IF(t&lt;Tnet,'2020'!Resal+('2020'!Salim-'2020'!Resal)*(1-EXP(('2020'!Tnet-t)/('2020'!Tau_j))),Resal+(Salim-Resal)*(1-EXP((Tnet-t)/(Tau_j))))*Salcycl</f>
        <v>0.11279151322188263</v>
      </c>
      <c r="P117" s="169">
        <f>(INDEX(Models!$BJ117:$BT117,,T117)*(1-R117)+INDEX(Models!$BJ117:$BT117,,T117+1)*R117-ERP_i)*Q117*Ramure*Pc/MaxiM</f>
        <v>2.8820850854085908E-4</v>
      </c>
      <c r="Q117" s="305">
        <f t="shared" si="27"/>
        <v>0.7</v>
      </c>
      <c r="R117" s="177">
        <f t="shared" si="28"/>
        <v>0.6325650277618089</v>
      </c>
      <c r="S117" s="810">
        <f t="shared" si="29"/>
        <v>-1</v>
      </c>
      <c r="T117" s="176">
        <f t="shared" si="30"/>
        <v>5</v>
      </c>
      <c r="U117" s="251">
        <f t="shared" si="31"/>
        <v>-0.3674349722381911</v>
      </c>
      <c r="V117" s="383">
        <f t="shared" si="32"/>
        <v>48.830077148828238</v>
      </c>
      <c r="W117" s="402"/>
      <c r="X117" s="157">
        <f t="shared" si="33"/>
        <v>44299</v>
      </c>
      <c r="Y117" s="385">
        <f t="shared" si="34"/>
        <v>43.381999999999998</v>
      </c>
      <c r="Z117" s="385">
        <f t="shared" si="35"/>
        <v>44.388948729958251</v>
      </c>
      <c r="AA117" s="386">
        <f t="shared" si="36"/>
        <v>50.03215071933765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0.11279151322188263</v>
      </c>
      <c r="AD117" s="231">
        <f>(INDEX(Models!$BJ117:$BT117,,AH117)*(1-AF117)+INDEX(Models!$BJ117:$BT117,,AH117+1)*AF117-ERP_i)*AE117*Ramure*Pc/MaxiM</f>
        <v>2.8820850854085908E-4</v>
      </c>
      <c r="AE117" s="305">
        <f t="shared" si="38"/>
        <v>0.7</v>
      </c>
      <c r="AF117" s="177">
        <f t="shared" si="39"/>
        <v>0.6325650277618089</v>
      </c>
      <c r="AG117" s="810">
        <f t="shared" si="47"/>
        <v>-1</v>
      </c>
      <c r="AH117" s="176">
        <f t="shared" si="40"/>
        <v>5</v>
      </c>
      <c r="AI117" s="225">
        <f t="shared" si="41"/>
        <v>-0.3674349722381911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6">
        <v>49.484000000000002</v>
      </c>
      <c r="C118" s="390"/>
      <c r="D118" s="393">
        <f t="shared" si="24"/>
        <v>50.63376185748286</v>
      </c>
      <c r="E118" s="385">
        <f t="shared" si="45"/>
        <v>57.077002504301454</v>
      </c>
      <c r="F118" s="385">
        <f t="shared" si="25"/>
        <v>57.09243105824325</v>
      </c>
      <c r="G118" s="110">
        <f t="shared" si="46"/>
        <v>1.0075895207621133</v>
      </c>
      <c r="H118" s="414" t="b">
        <f>Wh_hp&gt;='2020'!Maxi_hp</f>
        <v>1</v>
      </c>
      <c r="I118" s="380">
        <f>IF(H118,Wh_hp,'2020'!Maxi_hp)</f>
        <v>57.09243105824325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2.2707415275978415E-2</v>
      </c>
      <c r="M118" s="844"/>
      <c r="N118" s="844"/>
      <c r="O118" s="48">
        <f>IF(t&lt;Tnet,'2020'!Resal+('2020'!Salim-'2020'!Resal)*(1-EXP(('2020'!Tnet-t)/('2020'!Tau_j))),Resal+(Salim-Resal)*(1-EXP((Tnet-t)/(Tau_j))))*Salcycl</f>
        <v>0.11288680841873251</v>
      </c>
      <c r="P118" s="169">
        <f>(INDEX(Models!$BJ118:$BT118,,T118)*(1-R118)+INDEX(Models!$BJ118:$BT118,,T118+1)*R118-ERP_i)*Q118*Ramure*Pc/MaxiM</f>
        <v>2.7023816740356715E-4</v>
      </c>
      <c r="Q118" s="305">
        <f t="shared" si="27"/>
        <v>0.7</v>
      </c>
      <c r="R118" s="177">
        <f t="shared" si="28"/>
        <v>0.63385992686545967</v>
      </c>
      <c r="S118" s="810">
        <f t="shared" si="29"/>
        <v>-1</v>
      </c>
      <c r="T118" s="176">
        <f t="shared" si="30"/>
        <v>5</v>
      </c>
      <c r="U118" s="251">
        <f t="shared" si="31"/>
        <v>-0.36614007313454028</v>
      </c>
      <c r="V118" s="383">
        <f t="shared" si="32"/>
        <v>49.111269004238601</v>
      </c>
      <c r="W118" s="402"/>
      <c r="X118" s="157">
        <f t="shared" si="33"/>
        <v>44300</v>
      </c>
      <c r="Y118" s="385">
        <f t="shared" si="34"/>
        <v>49.484000000000002</v>
      </c>
      <c r="Z118" s="385">
        <f t="shared" si="35"/>
        <v>50.63376185748286</v>
      </c>
      <c r="AA118" s="386">
        <f t="shared" si="36"/>
        <v>57.077002504301454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0.11288680841873251</v>
      </c>
      <c r="AD118" s="231">
        <f>(INDEX(Models!$BJ118:$BT118,,AH118)*(1-AF118)+INDEX(Models!$BJ118:$BT118,,AH118+1)*AF118-ERP_i)*AE118*Ramure*Pc/MaxiM</f>
        <v>2.7023816740356715E-4</v>
      </c>
      <c r="AE118" s="305">
        <f t="shared" si="38"/>
        <v>0.7</v>
      </c>
      <c r="AF118" s="177">
        <f t="shared" si="39"/>
        <v>0.63385992686545967</v>
      </c>
      <c r="AG118" s="810">
        <f t="shared" si="47"/>
        <v>-1</v>
      </c>
      <c r="AH118" s="176">
        <f t="shared" si="40"/>
        <v>5</v>
      </c>
      <c r="AI118" s="225">
        <f t="shared" si="41"/>
        <v>-0.36614007313454028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6">
        <v>50.262</v>
      </c>
      <c r="C119" s="390"/>
      <c r="D119" s="393">
        <f t="shared" si="24"/>
        <v>51.431035580386073</v>
      </c>
      <c r="E119" s="385">
        <f t="shared" si="45"/>
        <v>57.98205414416185</v>
      </c>
      <c r="F119" s="385">
        <f t="shared" si="25"/>
        <v>57.996745654334866</v>
      </c>
      <c r="G119" s="110">
        <f t="shared" si="46"/>
        <v>1.0177506257247746</v>
      </c>
      <c r="H119" s="414" t="b">
        <f>Wh_hp&gt;='2020'!Maxi_hp</f>
        <v>1</v>
      </c>
      <c r="I119" s="380">
        <f>IF(H119,Wh_hp,'2020'!Maxi_hp)</f>
        <v>57.996745654334866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2.2730158302157522E-2</v>
      </c>
      <c r="M119" s="844"/>
      <c r="N119" s="844"/>
      <c r="O119" s="48">
        <f>IF(t&lt;Tnet,'2020'!Resal+('2020'!Salim-'2020'!Resal)*(1-EXP(('2020'!Tnet-t)/('2020'!Tau_j))),Resal+(Salim-Resal)*(1-EXP((Tnet-t)/(Tau_j))))*Salcycl</f>
        <v>0.11298355431644178</v>
      </c>
      <c r="P119" s="169">
        <f>(INDEX(Models!$BJ119:$BT119,,T119)*(1-R119)+INDEX(Models!$BJ119:$BT119,,T119+1)*R119-ERP_i)*Q119*Ramure*Pc/MaxiM</f>
        <v>2.5331611295184608E-4</v>
      </c>
      <c r="Q119" s="305">
        <f t="shared" si="27"/>
        <v>0.7</v>
      </c>
      <c r="R119" s="177">
        <f t="shared" si="28"/>
        <v>0.63519946071308486</v>
      </c>
      <c r="S119" s="810">
        <f t="shared" si="29"/>
        <v>-1</v>
      </c>
      <c r="T119" s="176">
        <f t="shared" si="30"/>
        <v>5</v>
      </c>
      <c r="U119" s="251">
        <f t="shared" si="31"/>
        <v>-0.36480053928691508</v>
      </c>
      <c r="V119" s="383">
        <f t="shared" si="32"/>
        <v>49.385378627703361</v>
      </c>
      <c r="W119" s="402"/>
      <c r="X119" s="157">
        <f t="shared" si="33"/>
        <v>44301</v>
      </c>
      <c r="Y119" s="385">
        <f t="shared" si="34"/>
        <v>50.262</v>
      </c>
      <c r="Z119" s="385">
        <f t="shared" si="35"/>
        <v>51.431035580386073</v>
      </c>
      <c r="AA119" s="386">
        <f t="shared" si="36"/>
        <v>57.98205414416185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0.11298355431644178</v>
      </c>
      <c r="AD119" s="231">
        <f>(INDEX(Models!$BJ119:$BT119,,AH119)*(1-AF119)+INDEX(Models!$BJ119:$BT119,,AH119+1)*AF119-ERP_i)*AE119*Ramure*Pc/MaxiM</f>
        <v>2.5331611295184608E-4</v>
      </c>
      <c r="AE119" s="305">
        <f t="shared" si="38"/>
        <v>0.7</v>
      </c>
      <c r="AF119" s="177">
        <f t="shared" si="39"/>
        <v>0.63519946071308486</v>
      </c>
      <c r="AG119" s="810">
        <f t="shared" si="47"/>
        <v>-1</v>
      </c>
      <c r="AH119" s="176">
        <f t="shared" si="40"/>
        <v>5</v>
      </c>
      <c r="AI119" s="225">
        <f t="shared" si="41"/>
        <v>-0.36480053928691508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6">
        <v>41.582999999999998</v>
      </c>
      <c r="C120" s="390"/>
      <c r="D120" s="393">
        <f t="shared" si="24"/>
        <v>42.551162376436309</v>
      </c>
      <c r="E120" s="385">
        <f t="shared" si="45"/>
        <v>47.976421206213601</v>
      </c>
      <c r="F120" s="385">
        <f t="shared" si="25"/>
        <v>47.985168899839536</v>
      </c>
      <c r="G120" s="110">
        <f t="shared" si="46"/>
        <v>0.83743750265855665</v>
      </c>
      <c r="H120" s="414" t="b">
        <f>Wh_hp&gt;='2020'!Maxi_hp</f>
        <v>1</v>
      </c>
      <c r="I120" s="380">
        <f>IF(H120,Wh_hp,'2020'!Maxi_hp)</f>
        <v>47.985168899839536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2.2752900799073217E-2</v>
      </c>
      <c r="M120" s="844"/>
      <c r="N120" s="844"/>
      <c r="O120" s="48">
        <f>IF(t&lt;Tnet,'2020'!Resal+('2020'!Salim-'2020'!Resal)*(1-EXP(('2020'!Tnet-t)/('2020'!Tau_j))),Resal+(Salim-Resal)*(1-EXP((Tnet-t)/(Tau_j))))*Salcycl</f>
        <v>0.11308177420025335</v>
      </c>
      <c r="P120" s="169">
        <f>(INDEX(Models!$BJ120:$BT120,,T120)*(1-R120)+INDEX(Models!$BJ120:$BT120,,T120+1)*R120-ERP_i)*Q120*Ramure*Pc/MaxiM</f>
        <v>2.3742109252977676E-4</v>
      </c>
      <c r="Q120" s="305">
        <f t="shared" si="27"/>
        <v>0.7</v>
      </c>
      <c r="R120" s="177">
        <f t="shared" si="28"/>
        <v>0.63658478709199884</v>
      </c>
      <c r="S120" s="810">
        <f t="shared" si="29"/>
        <v>-1</v>
      </c>
      <c r="T120" s="176">
        <f t="shared" si="30"/>
        <v>5</v>
      </c>
      <c r="U120" s="251">
        <f t="shared" si="31"/>
        <v>-0.36341521290800116</v>
      </c>
      <c r="V120" s="383">
        <f t="shared" si="32"/>
        <v>49.652311184262061</v>
      </c>
      <c r="W120" s="402"/>
      <c r="X120" s="157">
        <f t="shared" si="33"/>
        <v>44302</v>
      </c>
      <c r="Y120" s="385">
        <f t="shared" si="34"/>
        <v>41.582999999999998</v>
      </c>
      <c r="Z120" s="385">
        <f t="shared" si="35"/>
        <v>42.551162376436309</v>
      </c>
      <c r="AA120" s="386">
        <f t="shared" si="36"/>
        <v>47.976421206213601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0.11308177420025335</v>
      </c>
      <c r="AD120" s="231">
        <f>(INDEX(Models!$BJ120:$BT120,,AH120)*(1-AF120)+INDEX(Models!$BJ120:$BT120,,AH120+1)*AF120-ERP_i)*AE120*Ramure*Pc/MaxiM</f>
        <v>2.3742109252977676E-4</v>
      </c>
      <c r="AE120" s="305">
        <f t="shared" si="38"/>
        <v>0.7</v>
      </c>
      <c r="AF120" s="177">
        <f t="shared" si="39"/>
        <v>0.63658478709199884</v>
      </c>
      <c r="AG120" s="810">
        <f t="shared" si="47"/>
        <v>-1</v>
      </c>
      <c r="AH120" s="176">
        <f t="shared" si="40"/>
        <v>5</v>
      </c>
      <c r="AI120" s="225">
        <f t="shared" si="41"/>
        <v>-0.36341521290800116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6">
        <v>45.100999999999999</v>
      </c>
      <c r="C121" s="390"/>
      <c r="D121" s="393">
        <f t="shared" si="24"/>
        <v>46.152144762018494</v>
      </c>
      <c r="E121" s="385">
        <f t="shared" si="45"/>
        <v>52.042378699573135</v>
      </c>
      <c r="F121" s="385">
        <f t="shared" si="25"/>
        <v>52.052367067329726</v>
      </c>
      <c r="G121" s="110">
        <f t="shared" si="46"/>
        <v>0.90358259469251212</v>
      </c>
      <c r="H121" s="414" t="b">
        <f>Wh_hp&gt;='2020'!Maxi_hp</f>
        <v>1</v>
      </c>
      <c r="I121" s="380">
        <f>IF(H121,Wh_hp,'2020'!Maxi_hp)</f>
        <v>52.052367067329726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2.2775642766737714E-2</v>
      </c>
      <c r="M121" s="844"/>
      <c r="N121" s="844"/>
      <c r="O121" s="48">
        <f>IF(t&lt;Tnet,'2020'!Resal+('2020'!Salim-'2020'!Resal)*(1-EXP(('2020'!Tnet-t)/('2020'!Tau_j))),Resal+(Salim-Resal)*(1-EXP((Tnet-t)/(Tau_j))))*Salcycl</f>
        <v>0.11318148948489463</v>
      </c>
      <c r="P121" s="169">
        <f>(INDEX(Models!$BJ121:$BT121,,T121)*(1-R121)+INDEX(Models!$BJ121:$BT121,,T121+1)*R121-ERP_i)*Q121*Ramure*Pc/MaxiM</f>
        <v>2.2253352440894332E-4</v>
      </c>
      <c r="Q121" s="305">
        <f t="shared" si="27"/>
        <v>0.7</v>
      </c>
      <c r="R121" s="177">
        <f t="shared" si="28"/>
        <v>0.63801706431974026</v>
      </c>
      <c r="S121" s="810">
        <f t="shared" si="29"/>
        <v>-1</v>
      </c>
      <c r="T121" s="176">
        <f t="shared" si="30"/>
        <v>5</v>
      </c>
      <c r="U121" s="251">
        <f t="shared" si="31"/>
        <v>-0.36198293568025974</v>
      </c>
      <c r="V121" s="383">
        <f t="shared" si="32"/>
        <v>49.91200359534556</v>
      </c>
      <c r="W121" s="402"/>
      <c r="X121" s="157">
        <f t="shared" si="33"/>
        <v>44303</v>
      </c>
      <c r="Y121" s="385">
        <f t="shared" si="34"/>
        <v>45.100999999999999</v>
      </c>
      <c r="Z121" s="385">
        <f t="shared" si="35"/>
        <v>46.152144762018494</v>
      </c>
      <c r="AA121" s="386">
        <f t="shared" si="36"/>
        <v>52.042378699573135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0.11318148948489463</v>
      </c>
      <c r="AD121" s="231">
        <f>(INDEX(Models!$BJ121:$BT121,,AH121)*(1-AF121)+INDEX(Models!$BJ121:$BT121,,AH121+1)*AF121-ERP_i)*AE121*Ramure*Pc/MaxiM</f>
        <v>2.2253352440894332E-4</v>
      </c>
      <c r="AE121" s="305">
        <f t="shared" si="38"/>
        <v>0.7</v>
      </c>
      <c r="AF121" s="177">
        <f t="shared" si="39"/>
        <v>0.63801706431974026</v>
      </c>
      <c r="AG121" s="810">
        <f t="shared" si="47"/>
        <v>-1</v>
      </c>
      <c r="AH121" s="176">
        <f t="shared" si="40"/>
        <v>5</v>
      </c>
      <c r="AI121" s="225">
        <f t="shared" si="41"/>
        <v>-0.36198293568025974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6">
        <v>34.841000000000001</v>
      </c>
      <c r="C122" s="390"/>
      <c r="D122" s="393">
        <f t="shared" si="24"/>
        <v>35.65385017467559</v>
      </c>
      <c r="E122" s="385">
        <f t="shared" si="45"/>
        <v>40.208813974770379</v>
      </c>
      <c r="F122" s="385">
        <f t="shared" si="25"/>
        <v>40.213549422725471</v>
      </c>
      <c r="G122" s="110">
        <f t="shared" si="46"/>
        <v>0.69447158838034684</v>
      </c>
      <c r="H122" s="414" t="b">
        <f>Wh_hp&gt;='2020'!Maxi_hp</f>
        <v>1</v>
      </c>
      <c r="I122" s="380">
        <f>IF(H122,Wh_hp,'2020'!Maxi_hp)</f>
        <v>40.213549422725471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2.2798384205163447E-2</v>
      </c>
      <c r="M122" s="844"/>
      <c r="N122" s="844"/>
      <c r="O122" s="48">
        <f>IF(t&lt;Tnet,'2020'!Resal+('2020'!Salim-'2020'!Resal)*(1-EXP(('2020'!Tnet-t)/('2020'!Tau_j))),Resal+(Salim-Resal)*(1-EXP((Tnet-t)/(Tau_j))))*Salcycl</f>
        <v>0.11328271962840965</v>
      </c>
      <c r="P122" s="169">
        <f>(INDEX(Models!$BJ122:$BT122,,T122)*(1-R122)+INDEX(Models!$BJ122:$BT122,,T122+1)*R122-ERP_i)*Q122*Ramure*Pc/MaxiM</f>
        <v>2.0893021622617392E-4</v>
      </c>
      <c r="Q122" s="305">
        <f t="shared" si="27"/>
        <v>0.7</v>
      </c>
      <c r="R122" s="177">
        <f t="shared" si="28"/>
        <v>0.63949744857791857</v>
      </c>
      <c r="S122" s="810">
        <f t="shared" si="29"/>
        <v>-1</v>
      </c>
      <c r="T122" s="176">
        <f t="shared" si="30"/>
        <v>5</v>
      </c>
      <c r="U122" s="251">
        <f t="shared" si="31"/>
        <v>-0.36050255142208137</v>
      </c>
      <c r="V122" s="383">
        <f t="shared" si="32"/>
        <v>50.16450443901401</v>
      </c>
      <c r="W122" s="402"/>
      <c r="X122" s="157">
        <f t="shared" si="33"/>
        <v>44304</v>
      </c>
      <c r="Y122" s="385">
        <f t="shared" si="34"/>
        <v>34.841000000000001</v>
      </c>
      <c r="Z122" s="385">
        <f t="shared" si="35"/>
        <v>35.65385017467559</v>
      </c>
      <c r="AA122" s="386">
        <f t="shared" si="36"/>
        <v>40.208813974770379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0.11328271962840965</v>
      </c>
      <c r="AD122" s="231">
        <f>(INDEX(Models!$BJ122:$BT122,,AH122)*(1-AF122)+INDEX(Models!$BJ122:$BT122,,AH122+1)*AF122-ERP_i)*AE122*Ramure*Pc/MaxiM</f>
        <v>2.0893021622617392E-4</v>
      </c>
      <c r="AE122" s="305">
        <f t="shared" si="38"/>
        <v>0.7</v>
      </c>
      <c r="AF122" s="177">
        <f t="shared" si="39"/>
        <v>0.63949744857791857</v>
      </c>
      <c r="AG122" s="810">
        <f t="shared" si="47"/>
        <v>-1</v>
      </c>
      <c r="AH122" s="176">
        <f t="shared" si="40"/>
        <v>5</v>
      </c>
      <c r="AI122" s="225">
        <f t="shared" si="41"/>
        <v>-0.36050255142208137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6">
        <v>50.308</v>
      </c>
      <c r="C123" s="390"/>
      <c r="D123" s="393">
        <f t="shared" si="24"/>
        <v>51.482897648486023</v>
      </c>
      <c r="E123" s="385">
        <f t="shared" si="45"/>
        <v>58.066833562683037</v>
      </c>
      <c r="F123" s="385">
        <f t="shared" si="25"/>
        <v>58.078197981437626</v>
      </c>
      <c r="G123" s="110">
        <f t="shared" si="46"/>
        <v>0.9979774836136136</v>
      </c>
      <c r="H123" s="414" t="b">
        <f>Wh_hp&gt;='2020'!Maxi_hp</f>
        <v>1</v>
      </c>
      <c r="I123" s="380">
        <f>IF(H123,Wh_hp,'2020'!Maxi_hp)</f>
        <v>58.078197981437626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2.2821125114362628E-2</v>
      </c>
      <c r="M123" s="844"/>
      <c r="N123" s="844"/>
      <c r="O123" s="48">
        <f>IF(t&lt;Tnet,'2020'!Resal+('2020'!Salim-'2020'!Resal)*(1-EXP(('2020'!Tnet-t)/('2020'!Tau_j))),Resal+(Salim-Resal)*(1-EXP((Tnet-t)/(Tau_j))))*Salcycl</f>
        <v>0.1133854820426822</v>
      </c>
      <c r="P123" s="169">
        <f>(INDEX(Models!$BJ123:$BT123,,T123)*(1-R123)+INDEX(Models!$BJ123:$BT123,,T123+1)*R123-ERP_i)*Q123*Ramure*Pc/MaxiM</f>
        <v>1.9624128118065333E-4</v>
      </c>
      <c r="Q123" s="305">
        <f t="shared" si="27"/>
        <v>0.7</v>
      </c>
      <c r="R123" s="177">
        <f t="shared" si="28"/>
        <v>0.64102709104562816</v>
      </c>
      <c r="S123" s="810">
        <f t="shared" si="29"/>
        <v>-1</v>
      </c>
      <c r="T123" s="176">
        <f t="shared" si="30"/>
        <v>5</v>
      </c>
      <c r="U123" s="251">
        <f t="shared" si="31"/>
        <v>-0.35897290895437189</v>
      </c>
      <c r="V123" s="383">
        <f t="shared" si="32"/>
        <v>50.409926379815801</v>
      </c>
      <c r="W123" s="402"/>
      <c r="X123" s="157">
        <f t="shared" si="33"/>
        <v>44305</v>
      </c>
      <c r="Y123" s="385">
        <f t="shared" si="34"/>
        <v>50.308</v>
      </c>
      <c r="Z123" s="385">
        <f t="shared" si="35"/>
        <v>51.482897648486023</v>
      </c>
      <c r="AA123" s="386">
        <f t="shared" si="36"/>
        <v>58.066833562683037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0.1133854820426822</v>
      </c>
      <c r="AD123" s="231">
        <f>(INDEX(Models!$BJ123:$BT123,,AH123)*(1-AF123)+INDEX(Models!$BJ123:$BT123,,AH123+1)*AF123-ERP_i)*AE123*Ramure*Pc/MaxiM</f>
        <v>1.9624128118065333E-4</v>
      </c>
      <c r="AE123" s="305">
        <f t="shared" si="38"/>
        <v>0.7</v>
      </c>
      <c r="AF123" s="177">
        <f t="shared" si="39"/>
        <v>0.64102709104562816</v>
      </c>
      <c r="AG123" s="810">
        <f t="shared" si="47"/>
        <v>-1</v>
      </c>
      <c r="AH123" s="176">
        <f t="shared" si="40"/>
        <v>5</v>
      </c>
      <c r="AI123" s="225">
        <f t="shared" si="41"/>
        <v>-0.35897290895437189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6">
        <v>37.545999999999999</v>
      </c>
      <c r="C124" s="390"/>
      <c r="D124" s="393">
        <f t="shared" si="24"/>
        <v>38.423746906112079</v>
      </c>
      <c r="E124" s="385">
        <f t="shared" si="45"/>
        <v>39.132813900167889</v>
      </c>
      <c r="F124" s="385">
        <f t="shared" si="25"/>
        <v>39.136622395721673</v>
      </c>
      <c r="G124" s="110">
        <f t="shared" si="46"/>
        <v>0.66924556950459879</v>
      </c>
      <c r="H124" s="414" t="b">
        <f>Wh_hp&gt;='2020'!Maxi_hp</f>
        <v>0</v>
      </c>
      <c r="I124" s="380">
        <f>IF(H124,Wh_hp,'2020'!Maxi_hp)</f>
        <v>49.816269691728465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2.2843865494347693E-2</v>
      </c>
      <c r="M124" s="844"/>
      <c r="N124" s="844"/>
      <c r="O124" s="48">
        <f>IF(t&lt;Tnet,'2020'!Resal+('2020'!Salim-'2020'!Resal)*(1-EXP(('2020'!Tnet-t)/('2020'!Tau_j))),Resal+(Salim-Resal)*(1-EXP((Tnet-t)/(Tau_j))))*Salcycl</f>
        <v>1.8119499299608724E-2</v>
      </c>
      <c r="P124" s="169">
        <f>(INDEX(Models!$BJ124:$BT124,,T124)*(1-R124)+INDEX(Models!$BJ124:$BT124,,T124+1)*R124-ERP_i)*Q124*Ramure*Pc/MaxiM</f>
        <v>1.8445237824440237E-4</v>
      </c>
      <c r="Q124" s="305">
        <f t="shared" si="27"/>
        <v>0.7</v>
      </c>
      <c r="R124" s="177">
        <f t="shared" si="28"/>
        <v>0.64260713482856346</v>
      </c>
      <c r="S124" s="810">
        <f t="shared" si="29"/>
        <v>-1</v>
      </c>
      <c r="T124" s="176">
        <f t="shared" si="30"/>
        <v>5</v>
      </c>
      <c r="U124" s="251">
        <f t="shared" si="31"/>
        <v>-0.35739286517143654</v>
      </c>
      <c r="V124" s="383">
        <f t="shared" si="32"/>
        <v>56.097088499170283</v>
      </c>
      <c r="W124" s="402"/>
      <c r="X124" s="157">
        <f t="shared" si="33"/>
        <v>44306</v>
      </c>
      <c r="Y124" s="385">
        <f t="shared" si="34"/>
        <v>33.899147855370231</v>
      </c>
      <c r="Z124" s="385">
        <f t="shared" si="35"/>
        <v>34.691638990241785</v>
      </c>
      <c r="AA124" s="386">
        <f t="shared" si="36"/>
        <v>39.132813900167889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0.11348979200054544</v>
      </c>
      <c r="AD124" s="231">
        <f>(INDEX(Models!$BJ124:$BT124,,AH124)*(1-AF124)+INDEX(Models!$BJ124:$BT124,,AH124+1)*AF124-ERP_i)*AE124*Ramure*Pc/MaxiM</f>
        <v>1.8445237824440237E-4</v>
      </c>
      <c r="AE124" s="305">
        <f t="shared" si="38"/>
        <v>0.7</v>
      </c>
      <c r="AF124" s="177">
        <f t="shared" si="39"/>
        <v>0.64260713482856346</v>
      </c>
      <c r="AG124" s="810">
        <f t="shared" si="47"/>
        <v>-1</v>
      </c>
      <c r="AH124" s="176">
        <f t="shared" si="40"/>
        <v>5</v>
      </c>
      <c r="AI124" s="225">
        <f t="shared" si="41"/>
        <v>-0.35739286517143654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6">
        <v>52.642000000000003</v>
      </c>
      <c r="C125" s="390"/>
      <c r="D125" s="393">
        <f t="shared" si="24"/>
        <v>53.873913518832865</v>
      </c>
      <c r="E125" s="385">
        <f t="shared" si="45"/>
        <v>54.879697069159953</v>
      </c>
      <c r="F125" s="385">
        <f t="shared" si="25"/>
        <v>54.888327904191918</v>
      </c>
      <c r="G125" s="110">
        <f t="shared" si="46"/>
        <v>0.93420885357330907</v>
      </c>
      <c r="H125" s="414" t="b">
        <f>Wh_hp&gt;='2020'!Maxi_hp</f>
        <v>1</v>
      </c>
      <c r="I125" s="380">
        <f>IF(H125,Wh_hp,'2020'!Maxi_hp)</f>
        <v>54.888327904191918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2.2866605345130853E-2</v>
      </c>
      <c r="M125" s="844"/>
      <c r="N125" s="844"/>
      <c r="O125" s="48">
        <f>IF(t&lt;Tnet,'2020'!Resal+('2020'!Salim-'2020'!Resal)*(1-EXP(('2020'!Tnet-t)/('2020'!Tau_j))),Resal+(Salim-Resal)*(1-EXP((Tnet-t)/(Tau_j))))*Salcycl</f>
        <v>1.8327060899399495E-2</v>
      </c>
      <c r="P125" s="169">
        <f>(INDEX(Models!$BJ125:$BT125,,T125)*(1-R125)+INDEX(Models!$BJ125:$BT125,,T125+1)*R125-ERP_i)*Q125*Ramure*Pc/MaxiM</f>
        <v>1.735513994831817E-4</v>
      </c>
      <c r="Q125" s="305">
        <f t="shared" si="27"/>
        <v>0.7</v>
      </c>
      <c r="R125" s="177">
        <f t="shared" si="28"/>
        <v>0.64423871168094193</v>
      </c>
      <c r="S125" s="810">
        <f t="shared" si="29"/>
        <v>-1</v>
      </c>
      <c r="T125" s="176">
        <f t="shared" si="30"/>
        <v>5</v>
      </c>
      <c r="U125" s="251">
        <f t="shared" si="31"/>
        <v>-0.35576128831905807</v>
      </c>
      <c r="V125" s="383">
        <f t="shared" si="32"/>
        <v>56.3483649136328</v>
      </c>
      <c r="W125" s="402"/>
      <c r="X125" s="157">
        <f t="shared" si="33"/>
        <v>44307</v>
      </c>
      <c r="Y125" s="385">
        <f t="shared" si="34"/>
        <v>47.531467342403026</v>
      </c>
      <c r="Z125" s="385">
        <f t="shared" si="35"/>
        <v>48.643785589982315</v>
      </c>
      <c r="AA125" s="386">
        <f t="shared" si="36"/>
        <v>54.879697069159953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0.11362875183729745</v>
      </c>
      <c r="AD125" s="231">
        <f>(INDEX(Models!$BJ125:$BT125,,AH125)*(1-AF125)+INDEX(Models!$BJ125:$BT125,,AH125+1)*AF125-ERP_i)*AE125*Ramure*Pc/MaxiM</f>
        <v>1.735513994831817E-4</v>
      </c>
      <c r="AE125" s="305">
        <f t="shared" si="38"/>
        <v>0.7</v>
      </c>
      <c r="AF125" s="177">
        <f t="shared" si="39"/>
        <v>0.64423871168094193</v>
      </c>
      <c r="AG125" s="810">
        <f t="shared" si="47"/>
        <v>-1</v>
      </c>
      <c r="AH125" s="176">
        <f t="shared" si="40"/>
        <v>5</v>
      </c>
      <c r="AI125" s="225">
        <f t="shared" si="41"/>
        <v>-0.35576128831905807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6">
        <v>57.116</v>
      </c>
      <c r="C126" s="390"/>
      <c r="D126" s="393">
        <f t="shared" si="24"/>
        <v>58.453973138302054</v>
      </c>
      <c r="E126" s="385">
        <f t="shared" si="45"/>
        <v>59.557867083441131</v>
      </c>
      <c r="F126" s="385">
        <f t="shared" si="25"/>
        <v>59.567608044722562</v>
      </c>
      <c r="G126" s="110">
        <f t="shared" si="46"/>
        <v>1.0092564108956448</v>
      </c>
      <c r="H126" s="414" t="b">
        <f>Wh_hp&gt;='2020'!Maxi_hp</f>
        <v>1</v>
      </c>
      <c r="I126" s="380">
        <f>IF(H126,Wh_hp,'2020'!Maxi_hp)</f>
        <v>59.567608044722562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2.2889344666724543E-2</v>
      </c>
      <c r="M126" s="844"/>
      <c r="N126" s="844"/>
      <c r="O126" s="48">
        <f>IF(t&lt;Tnet,'2020'!Resal+('2020'!Salim-'2020'!Resal)*(1-EXP(('2020'!Tnet-t)/('2020'!Tau_j))),Resal+(Salim-Resal)*(1-EXP((Tnet-t)/(Tau_j))))*Salcycl</f>
        <v>1.8534813269798788E-2</v>
      </c>
      <c r="P126" s="169">
        <f>(INDEX(Models!$BJ126:$BT126,,T126)*(1-R126)+INDEX(Models!$BJ126:$BT126,,T126+1)*R126-ERP_i)*Q126*Ramure*Pc/MaxiM</f>
        <v>1.6352782327800174E-4</v>
      </c>
      <c r="Q126" s="305">
        <f t="shared" si="27"/>
        <v>0.7</v>
      </c>
      <c r="R126" s="177">
        <f t="shared" si="28"/>
        <v>0.64592293851844795</v>
      </c>
      <c r="S126" s="810">
        <f t="shared" si="29"/>
        <v>-1</v>
      </c>
      <c r="T126" s="176">
        <f t="shared" si="30"/>
        <v>5</v>
      </c>
      <c r="U126" s="251">
        <f t="shared" si="31"/>
        <v>-0.3540770614815521</v>
      </c>
      <c r="V126" s="383">
        <f t="shared" si="32"/>
        <v>56.592159716194949</v>
      </c>
      <c r="W126" s="402"/>
      <c r="X126" s="157">
        <f t="shared" si="33"/>
        <v>44308</v>
      </c>
      <c r="Y126" s="385">
        <f t="shared" si="34"/>
        <v>51.573866210114055</v>
      </c>
      <c r="Z126" s="385">
        <f t="shared" si="35"/>
        <v>52.782011872056707</v>
      </c>
      <c r="AA126" s="386">
        <f t="shared" si="36"/>
        <v>59.557867083441131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0.11376927252769795</v>
      </c>
      <c r="AD126" s="231">
        <f>(INDEX(Models!$BJ126:$BT126,,AH126)*(1-AF126)+INDEX(Models!$BJ126:$BT126,,AH126+1)*AF126-ERP_i)*AE126*Ramure*Pc/MaxiM</f>
        <v>1.6352782327800174E-4</v>
      </c>
      <c r="AE126" s="305">
        <f t="shared" si="38"/>
        <v>0.7</v>
      </c>
      <c r="AF126" s="177">
        <f t="shared" si="39"/>
        <v>0.64592293851844795</v>
      </c>
      <c r="AG126" s="810">
        <f t="shared" si="47"/>
        <v>-1</v>
      </c>
      <c r="AH126" s="176">
        <f t="shared" si="40"/>
        <v>5</v>
      </c>
      <c r="AI126" s="225">
        <f t="shared" si="41"/>
        <v>-0.3540770614815521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6">
        <v>56.776000000000003</v>
      </c>
      <c r="C127" s="390"/>
      <c r="D127" s="393">
        <f t="shared" si="24"/>
        <v>58.10736069790071</v>
      </c>
      <c r="E127" s="385">
        <f t="shared" si="45"/>
        <v>59.217255852743023</v>
      </c>
      <c r="F127" s="385">
        <f t="shared" si="25"/>
        <v>59.226386677752629</v>
      </c>
      <c r="G127" s="110">
        <f t="shared" si="46"/>
        <v>0.99907452488138859</v>
      </c>
      <c r="H127" s="414" t="b">
        <f>Wh_hp&gt;='2020'!Maxi_hp</f>
        <v>1</v>
      </c>
      <c r="I127" s="380">
        <f>IF(H127,Wh_hp,'2020'!Maxi_hp)</f>
        <v>59.226386677752629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2.2912083459140975E-2</v>
      </c>
      <c r="M127" s="844"/>
      <c r="N127" s="844"/>
      <c r="O127" s="48">
        <f>IF(t&lt;Tnet,'2020'!Resal+('2020'!Salim-'2020'!Resal)*(1-EXP(('2020'!Tnet-t)/('2020'!Tau_j))),Resal+(Salim-Resal)*(1-EXP((Tnet-t)/(Tau_j))))*Salcycl</f>
        <v>1.8742765750616994E-2</v>
      </c>
      <c r="P127" s="169">
        <f>(INDEX(Models!$BJ127:$BT127,,T127)*(1-R127)+INDEX(Models!$BJ127:$BT127,,T127+1)*R127-ERP_i)*Q127*Ramure*Pc/MaxiM</f>
        <v>1.5437224466740009E-4</v>
      </c>
      <c r="Q127" s="305">
        <f t="shared" si="27"/>
        <v>0.7</v>
      </c>
      <c r="R127" s="177">
        <f t="shared" si="28"/>
        <v>0.64766091372167467</v>
      </c>
      <c r="S127" s="810">
        <f t="shared" si="29"/>
        <v>-1</v>
      </c>
      <c r="T127" s="176">
        <f t="shared" si="30"/>
        <v>5</v>
      </c>
      <c r="U127" s="251">
        <f t="shared" si="31"/>
        <v>-0.35233908627832539</v>
      </c>
      <c r="V127" s="383">
        <f t="shared" si="32"/>
        <v>56.828581851503401</v>
      </c>
      <c r="W127" s="402"/>
      <c r="X127" s="157">
        <f t="shared" si="33"/>
        <v>44309</v>
      </c>
      <c r="Y127" s="385">
        <f t="shared" si="34"/>
        <v>51.269500653855012</v>
      </c>
      <c r="Z127" s="385">
        <f t="shared" si="35"/>
        <v>52.471737482295502</v>
      </c>
      <c r="AA127" s="386">
        <f t="shared" si="36"/>
        <v>59.217255852743023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0.11391136372853482</v>
      </c>
      <c r="AD127" s="231">
        <f>(INDEX(Models!$BJ127:$BT127,,AH127)*(1-AF127)+INDEX(Models!$BJ127:$BT127,,AH127+1)*AF127-ERP_i)*AE127*Ramure*Pc/MaxiM</f>
        <v>1.5437224466740009E-4</v>
      </c>
      <c r="AE127" s="305">
        <f t="shared" si="38"/>
        <v>0.7</v>
      </c>
      <c r="AF127" s="177">
        <f t="shared" si="39"/>
        <v>0.64766091372167467</v>
      </c>
      <c r="AG127" s="810">
        <f t="shared" si="47"/>
        <v>-1</v>
      </c>
      <c r="AH127" s="176">
        <f t="shared" si="40"/>
        <v>5</v>
      </c>
      <c r="AI127" s="225">
        <f t="shared" si="41"/>
        <v>-0.35233908627832539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6">
        <v>52.228999999999999</v>
      </c>
      <c r="C128" s="390"/>
      <c r="D128" s="393">
        <f t="shared" si="24"/>
        <v>53.454980446719489</v>
      </c>
      <c r="E128" s="385">
        <f t="shared" si="45"/>
        <v>54.487570431560911</v>
      </c>
      <c r="F128" s="385">
        <f t="shared" si="25"/>
        <v>54.494579426141378</v>
      </c>
      <c r="G128" s="110">
        <f t="shared" si="46"/>
        <v>0.91535500527504565</v>
      </c>
      <c r="H128" s="414" t="b">
        <f>Wh_hp&gt;='2020'!Maxi_hp</f>
        <v>1</v>
      </c>
      <c r="I128" s="380">
        <f>IF(H128,Wh_hp,'2020'!Maxi_hp)</f>
        <v>54.494579426141378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2.2934821722392473E-2</v>
      </c>
      <c r="M128" s="844"/>
      <c r="N128" s="844"/>
      <c r="O128" s="48">
        <f>IF(t&lt;Tnet,'2020'!Resal+('2020'!Salim-'2020'!Resal)*(1-EXP(('2020'!Tnet-t)/('2020'!Tau_j))),Resal+(Salim-Resal)*(1-EXP((Tnet-t)/(Tau_j))))*Salcycl</f>
        <v>1.8950927278697554E-2</v>
      </c>
      <c r="P128" s="169">
        <f>(INDEX(Models!$BJ128:$BT128,,T128)*(1-R128)+INDEX(Models!$BJ128:$BT128,,T128+1)*R128-ERP_i)*Q128*Ramure*Pc/MaxiM</f>
        <v>1.4630638948793213E-4</v>
      </c>
      <c r="Q128" s="305">
        <f t="shared" si="27"/>
        <v>0.7</v>
      </c>
      <c r="R128" s="177">
        <f t="shared" si="28"/>
        <v>0.64945371323093981</v>
      </c>
      <c r="S128" s="810">
        <f t="shared" si="29"/>
        <v>-1</v>
      </c>
      <c r="T128" s="176">
        <f t="shared" si="30"/>
        <v>5</v>
      </c>
      <c r="U128" s="251">
        <f t="shared" si="31"/>
        <v>-0.35054628676906019</v>
      </c>
      <c r="V128" s="383">
        <f t="shared" si="32"/>
        <v>57.05772704972626</v>
      </c>
      <c r="W128" s="402"/>
      <c r="X128" s="157">
        <f t="shared" si="33"/>
        <v>44310</v>
      </c>
      <c r="Y128" s="385">
        <f t="shared" si="34"/>
        <v>47.165856419784504</v>
      </c>
      <c r="Z128" s="385">
        <f t="shared" si="35"/>
        <v>48.272988812199344</v>
      </c>
      <c r="AA128" s="386">
        <f t="shared" si="36"/>
        <v>54.487570431560911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0.11405503255402796</v>
      </c>
      <c r="AD128" s="231">
        <f>(INDEX(Models!$BJ128:$BT128,,AH128)*(1-AF128)+INDEX(Models!$BJ128:$BT128,,AH128+1)*AF128-ERP_i)*AE128*Ramure*Pc/MaxiM</f>
        <v>1.4630638948793213E-4</v>
      </c>
      <c r="AE128" s="305">
        <f t="shared" si="38"/>
        <v>0.7</v>
      </c>
      <c r="AF128" s="177">
        <f t="shared" si="39"/>
        <v>0.64945371323093981</v>
      </c>
      <c r="AG128" s="810">
        <f t="shared" si="47"/>
        <v>-1</v>
      </c>
      <c r="AH128" s="176">
        <f t="shared" si="40"/>
        <v>5</v>
      </c>
      <c r="AI128" s="225">
        <f t="shared" si="41"/>
        <v>-0.35054628676906019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6">
        <v>27.78</v>
      </c>
      <c r="C129" s="390"/>
      <c r="D129" s="393">
        <f t="shared" si="24"/>
        <v>28.432746467539889</v>
      </c>
      <c r="E129" s="385">
        <f t="shared" si="45"/>
        <v>28.988139105129072</v>
      </c>
      <c r="F129" s="385">
        <f t="shared" si="25"/>
        <v>28.989202404467626</v>
      </c>
      <c r="G129" s="110">
        <f t="shared" si="46"/>
        <v>0.48493875744710785</v>
      </c>
      <c r="H129" s="414" t="b">
        <f>Wh_hp&gt;='2020'!Maxi_hp</f>
        <v>0</v>
      </c>
      <c r="I129" s="380">
        <f>IF(H129,Wh_hp,'2020'!Maxi_hp)</f>
        <v>58.750852702335024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2.295755945649125E-2</v>
      </c>
      <c r="M129" s="844"/>
      <c r="N129" s="844"/>
      <c r="O129" s="48">
        <f>IF(t&lt;Tnet,'2020'!Resal+('2020'!Salim-'2020'!Resal)*(1-EXP(('2020'!Tnet-t)/('2020'!Tau_j))),Resal+(Salim-Resal)*(1-EXP((Tnet-t)/(Tau_j))))*Salcycl</f>
        <v>1.9159306348537315E-2</v>
      </c>
      <c r="P129" s="169">
        <f>(INDEX(Models!$BJ129:$BT129,,T129)*(1-R129)+INDEX(Models!$BJ129:$BT129,,T129+1)*R129-ERP_i)*Q129*Ramure*Pc/MaxiM</f>
        <v>1.387947672940382E-4</v>
      </c>
      <c r="Q129" s="305">
        <f t="shared" si="27"/>
        <v>0.7</v>
      </c>
      <c r="R129" s="177">
        <f t="shared" si="28"/>
        <v>0.65130238643491245</v>
      </c>
      <c r="S129" s="810">
        <f t="shared" si="29"/>
        <v>-1</v>
      </c>
      <c r="T129" s="176">
        <f t="shared" si="30"/>
        <v>5</v>
      </c>
      <c r="U129" s="251">
        <f t="shared" si="31"/>
        <v>-0.34869761356508755</v>
      </c>
      <c r="V129" s="383">
        <f t="shared" si="32"/>
        <v>57.279734188209808</v>
      </c>
      <c r="W129" s="402"/>
      <c r="X129" s="157">
        <f t="shared" si="33"/>
        <v>44311</v>
      </c>
      <c r="Y129" s="385">
        <f t="shared" si="34"/>
        <v>25.088188412895487</v>
      </c>
      <c r="Z129" s="385">
        <f t="shared" si="35"/>
        <v>25.677685402222078</v>
      </c>
      <c r="AA129" s="386">
        <f t="shared" si="36"/>
        <v>28.988139105129072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0.11420028346425497</v>
      </c>
      <c r="AD129" s="231">
        <f>(INDEX(Models!$BJ129:$BT129,,AH129)*(1-AF129)+INDEX(Models!$BJ129:$BT129,,AH129+1)*AF129-ERP_i)*AE129*Ramure*Pc/MaxiM</f>
        <v>1.387947672940382E-4</v>
      </c>
      <c r="AE129" s="305">
        <f t="shared" si="38"/>
        <v>0.7</v>
      </c>
      <c r="AF129" s="177">
        <f t="shared" si="39"/>
        <v>0.65130238643491245</v>
      </c>
      <c r="AG129" s="810">
        <f t="shared" si="47"/>
        <v>-1</v>
      </c>
      <c r="AH129" s="176">
        <f t="shared" si="40"/>
        <v>5</v>
      </c>
      <c r="AI129" s="225">
        <f t="shared" si="41"/>
        <v>-0.34869761356508755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6">
        <v>7.6020000000000003</v>
      </c>
      <c r="C130" s="390"/>
      <c r="D130" s="393">
        <f t="shared" si="24"/>
        <v>7.7808052120375795</v>
      </c>
      <c r="E130" s="385">
        <f t="shared" si="45"/>
        <v>7.9344795046910841</v>
      </c>
      <c r="F130" s="385">
        <f t="shared" si="25"/>
        <v>7.9344795046910841</v>
      </c>
      <c r="G130" s="110">
        <f t="shared" si="46"/>
        <v>0.13220342419371206</v>
      </c>
      <c r="H130" s="414" t="b">
        <f>Wh_hp&gt;='2020'!Maxi_hp</f>
        <v>0</v>
      </c>
      <c r="I130" s="380">
        <f>IF(H130,Wh_hp,'2020'!Maxi_hp)</f>
        <v>45.481404743952403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2.2980296661449851E-2</v>
      </c>
      <c r="M130" s="844"/>
      <c r="N130" s="844"/>
      <c r="O130" s="48">
        <f>IF(t&lt;Tnet,'2020'!Resal+('2020'!Salim-'2020'!Resal)*(1-EXP(('2020'!Tnet-t)/('2020'!Tau_j))),Resal+(Salim-Resal)*(1-EXP((Tnet-t)/(Tau_j))))*Salcycl</f>
        <v>1.936791097168352E-2</v>
      </c>
      <c r="P130" s="169">
        <f>(INDEX(Models!$BJ130:$BT130,,T130)*(1-R130)+INDEX(Models!$BJ130:$BT130,,T130+1)*R130-ERP_i)*Q130*Ramure*Pc/MaxiM</f>
        <v>1.3183163596769846E-4</v>
      </c>
      <c r="Q130" s="305">
        <f t="shared" si="27"/>
        <v>0.7</v>
      </c>
      <c r="R130" s="177">
        <f t="shared" si="28"/>
        <v>0.6532079518571996</v>
      </c>
      <c r="S130" s="810">
        <f t="shared" si="29"/>
        <v>-1</v>
      </c>
      <c r="T130" s="176">
        <f t="shared" si="30"/>
        <v>5</v>
      </c>
      <c r="U130" s="251">
        <f t="shared" si="31"/>
        <v>-0.34679204814280035</v>
      </c>
      <c r="V130" s="383">
        <f t="shared" si="32"/>
        <v>57.494712124596369</v>
      </c>
      <c r="W130" s="402"/>
      <c r="X130" s="157">
        <f t="shared" si="33"/>
        <v>44312</v>
      </c>
      <c r="Y130" s="385">
        <f t="shared" si="34"/>
        <v>6.8657076217871689</v>
      </c>
      <c r="Z130" s="385">
        <f t="shared" si="35"/>
        <v>7.0271946392959395</v>
      </c>
      <c r="AA130" s="386">
        <f t="shared" si="36"/>
        <v>7.9344795046910841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0.11434711815169887</v>
      </c>
      <c r="AD130" s="231">
        <f>(INDEX(Models!$BJ130:$BT130,,AH130)*(1-AF130)+INDEX(Models!$BJ130:$BT130,,AH130+1)*AF130-ERP_i)*AE130*Ramure*Pc/MaxiM</f>
        <v>1.3183163596769846E-4</v>
      </c>
      <c r="AE130" s="305">
        <f t="shared" si="38"/>
        <v>0.7</v>
      </c>
      <c r="AF130" s="177">
        <f t="shared" si="39"/>
        <v>0.6532079518571996</v>
      </c>
      <c r="AG130" s="810">
        <f t="shared" si="47"/>
        <v>-1</v>
      </c>
      <c r="AH130" s="176">
        <f t="shared" si="40"/>
        <v>5</v>
      </c>
      <c r="AI130" s="225">
        <f t="shared" si="41"/>
        <v>-0.34679204814280035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6">
        <v>20.772000000000002</v>
      </c>
      <c r="C131" s="390"/>
      <c r="D131" s="393">
        <f t="shared" si="24"/>
        <v>21.26106908085309</v>
      </c>
      <c r="E131" s="385">
        <f t="shared" si="45"/>
        <v>21.685602673388782</v>
      </c>
      <c r="F131" s="385">
        <f t="shared" si="25"/>
        <v>21.685835720776762</v>
      </c>
      <c r="G131" s="110">
        <f t="shared" si="46"/>
        <v>0.35994144256690697</v>
      </c>
      <c r="H131" s="414" t="b">
        <f>Wh_hp&gt;='2020'!Maxi_hp</f>
        <v>0</v>
      </c>
      <c r="I131" s="380">
        <f>IF(H131,Wh_hp,'2020'!Maxi_hp)</f>
        <v>31.850011558443278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2.3003033337280487E-2</v>
      </c>
      <c r="M131" s="844"/>
      <c r="N131" s="844"/>
      <c r="O131" s="48">
        <f>IF(t&lt;Tnet,'2020'!Resal+('2020'!Salim-'2020'!Resal)*(1-EXP(('2020'!Tnet-t)/('2020'!Tau_j))),Resal+(Salim-Resal)*(1-EXP((Tnet-t)/(Tau_j))))*Salcycl</f>
        <v>1.9576748635012645E-2</v>
      </c>
      <c r="P131" s="169">
        <f>(INDEX(Models!$BJ131:$BT131,,T131)*(1-R131)+INDEX(Models!$BJ131:$BT131,,T131+1)*R131-ERP_i)*Q131*Ramure*Pc/MaxiM</f>
        <v>1.2541224888332488E-4</v>
      </c>
      <c r="Q131" s="305">
        <f t="shared" si="27"/>
        <v>0.7</v>
      </c>
      <c r="R131" s="177">
        <f t="shared" si="28"/>
        <v>0.6551713926469076</v>
      </c>
      <c r="S131" s="810">
        <f t="shared" si="29"/>
        <v>-1</v>
      </c>
      <c r="T131" s="176">
        <f t="shared" si="30"/>
        <v>5</v>
      </c>
      <c r="U131" s="251">
        <f t="shared" si="31"/>
        <v>-0.3448286073530924</v>
      </c>
      <c r="V131" s="383">
        <f t="shared" si="32"/>
        <v>57.702769622416525</v>
      </c>
      <c r="W131" s="402"/>
      <c r="X131" s="157">
        <f t="shared" si="33"/>
        <v>44313</v>
      </c>
      <c r="Y131" s="385">
        <f t="shared" si="34"/>
        <v>18.760977682353062</v>
      </c>
      <c r="Z131" s="385">
        <f t="shared" si="35"/>
        <v>19.202697984250506</v>
      </c>
      <c r="AA131" s="386">
        <f t="shared" si="36"/>
        <v>21.685602673388782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0.1144955354266055</v>
      </c>
      <c r="AD131" s="231">
        <f>(INDEX(Models!$BJ131:$BT131,,AH131)*(1-AF131)+INDEX(Models!$BJ131:$BT131,,AH131+1)*AF131-ERP_i)*AE131*Ramure*Pc/MaxiM</f>
        <v>1.2541224888332488E-4</v>
      </c>
      <c r="AE131" s="305">
        <f t="shared" si="38"/>
        <v>0.7</v>
      </c>
      <c r="AF131" s="177">
        <f t="shared" si="39"/>
        <v>0.6551713926469076</v>
      </c>
      <c r="AG131" s="810">
        <f t="shared" si="47"/>
        <v>-1</v>
      </c>
      <c r="AH131" s="176">
        <f t="shared" si="40"/>
        <v>5</v>
      </c>
      <c r="AI131" s="225">
        <f t="shared" si="41"/>
        <v>-0.3448286073530924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6">
        <v>17.231999999999999</v>
      </c>
      <c r="C132" s="390"/>
      <c r="D132" s="393">
        <f t="shared" si="24"/>
        <v>17.638131551226937</v>
      </c>
      <c r="E132" s="385">
        <f t="shared" si="45"/>
        <v>17.994160892300954</v>
      </c>
      <c r="F132" s="385">
        <f t="shared" si="25"/>
        <v>17.994160892300954</v>
      </c>
      <c r="G132" s="110">
        <f t="shared" si="46"/>
        <v>0.29756036959318261</v>
      </c>
      <c r="H132" s="414" t="b">
        <f>Wh_hp&gt;='2020'!Maxi_hp</f>
        <v>0</v>
      </c>
      <c r="I132" s="380">
        <f>IF(H132,Wh_hp,'2020'!Maxi_hp)</f>
        <v>46.447787354157064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2.3025769483995484E-2</v>
      </c>
      <c r="M132" s="844"/>
      <c r="N132" s="844"/>
      <c r="O132" s="48">
        <f>IF(t&lt;Tnet,'2020'!Resal+('2020'!Salim-'2020'!Resal)*(1-EXP(('2020'!Tnet-t)/('2020'!Tau_j))),Resal+(Salim-Resal)*(1-EXP((Tnet-t)/(Tau_j))))*Salcycl</f>
        <v>1.9785826258025031E-2</v>
      </c>
      <c r="P132" s="169">
        <f>(INDEX(Models!$BJ132:$BT132,,T132)*(1-R132)+INDEX(Models!$BJ132:$BT132,,T132+1)*R132-ERP_i)*Q132*Ramure*Pc/MaxiM</f>
        <v>1.1953283173376141E-4</v>
      </c>
      <c r="Q132" s="305">
        <f t="shared" si="27"/>
        <v>0.7</v>
      </c>
      <c r="R132" s="177">
        <f t="shared" si="28"/>
        <v>0.65719365188120948</v>
      </c>
      <c r="S132" s="810">
        <f t="shared" si="29"/>
        <v>-1</v>
      </c>
      <c r="T132" s="176">
        <f t="shared" si="30"/>
        <v>5</v>
      </c>
      <c r="U132" s="251">
        <f t="shared" si="31"/>
        <v>-0.34280634811879052</v>
      </c>
      <c r="V132" s="383">
        <f t="shared" si="32"/>
        <v>57.90401535594247</v>
      </c>
      <c r="W132" s="402"/>
      <c r="X132" s="157">
        <f t="shared" si="33"/>
        <v>44314</v>
      </c>
      <c r="Y132" s="385">
        <f t="shared" si="34"/>
        <v>15.564382373506858</v>
      </c>
      <c r="Z132" s="385">
        <f t="shared" si="35"/>
        <v>15.931210760069158</v>
      </c>
      <c r="AA132" s="386">
        <f t="shared" si="36"/>
        <v>17.994160892300954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0.11464553110195086</v>
      </c>
      <c r="AD132" s="231">
        <f>(INDEX(Models!$BJ132:$BT132,,AH132)*(1-AF132)+INDEX(Models!$BJ132:$BT132,,AH132+1)*AF132-ERP_i)*AE132*Ramure*Pc/MaxiM</f>
        <v>1.1953283173376141E-4</v>
      </c>
      <c r="AE132" s="305">
        <f t="shared" si="38"/>
        <v>0.7</v>
      </c>
      <c r="AF132" s="177">
        <f t="shared" si="39"/>
        <v>0.65719365188120948</v>
      </c>
      <c r="AG132" s="810">
        <f t="shared" si="47"/>
        <v>-1</v>
      </c>
      <c r="AH132" s="176">
        <f t="shared" si="40"/>
        <v>5</v>
      </c>
      <c r="AI132" s="225">
        <f t="shared" si="41"/>
        <v>-0.34280634811879052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6">
        <v>26.236000000000001</v>
      </c>
      <c r="C133" s="390"/>
      <c r="D133" s="393">
        <f t="shared" si="24"/>
        <v>26.854966840220307</v>
      </c>
      <c r="E133" s="385">
        <f t="shared" si="45"/>
        <v>27.402891775802992</v>
      </c>
      <c r="F133" s="385">
        <f t="shared" si="25"/>
        <v>27.403569376686381</v>
      </c>
      <c r="G133" s="110">
        <f t="shared" si="46"/>
        <v>0.45153707271183802</v>
      </c>
      <c r="H133" s="414" t="b">
        <f>Wh_hp&gt;='2020'!Maxi_hp</f>
        <v>0</v>
      </c>
      <c r="I133" s="380">
        <f>IF(H133,Wh_hp,'2020'!Maxi_hp)</f>
        <v>53.503420570987252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2.3048505101607053E-2</v>
      </c>
      <c r="M133" s="844"/>
      <c r="N133" s="844"/>
      <c r="O133" s="48">
        <f>IF(t&lt;Tnet,'2020'!Resal+('2020'!Salim-'2020'!Resal)*(1-EXP(('2020'!Tnet-t)/('2020'!Tau_j))),Resal+(Salim-Resal)*(1-EXP((Tnet-t)/(Tau_j))))*Salcycl</f>
        <v>1.999515014931777E-2</v>
      </c>
      <c r="P133" s="169">
        <f>(INDEX(Models!$BJ133:$BT133,,T133)*(1-R133)+INDEX(Models!$BJ133:$BT133,,T133+1)*R133-ERP_i)*Q133*Ramure*Pc/MaxiM</f>
        <v>1.1419056060314713E-4</v>
      </c>
      <c r="Q133" s="305">
        <f t="shared" si="27"/>
        <v>0.7</v>
      </c>
      <c r="R133" s="177">
        <f t="shared" si="28"/>
        <v>0.65927562769011505</v>
      </c>
      <c r="S133" s="810">
        <f t="shared" si="29"/>
        <v>-1</v>
      </c>
      <c r="T133" s="176">
        <f t="shared" si="30"/>
        <v>5</v>
      </c>
      <c r="U133" s="251">
        <f t="shared" si="31"/>
        <v>-0.34072437230988489</v>
      </c>
      <c r="V133" s="383">
        <f t="shared" si="32"/>
        <v>58.098557913661345</v>
      </c>
      <c r="W133" s="402"/>
      <c r="X133" s="157">
        <f t="shared" si="33"/>
        <v>44315</v>
      </c>
      <c r="Y133" s="385">
        <f t="shared" si="34"/>
        <v>23.698028987904543</v>
      </c>
      <c r="Z133" s="385">
        <f t="shared" si="35"/>
        <v>24.257119326450528</v>
      </c>
      <c r="AA133" s="386">
        <f t="shared" si="36"/>
        <v>27.402891775802992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0.11479709787892564</v>
      </c>
      <c r="AD133" s="231">
        <f>(INDEX(Models!$BJ133:$BT133,,AH133)*(1-AF133)+INDEX(Models!$BJ133:$BT133,,AH133+1)*AF133-ERP_i)*AE133*Ramure*Pc/MaxiM</f>
        <v>1.1419056060314713E-4</v>
      </c>
      <c r="AE133" s="305">
        <f t="shared" si="38"/>
        <v>0.7</v>
      </c>
      <c r="AF133" s="177">
        <f t="shared" si="39"/>
        <v>0.65927562769011505</v>
      </c>
      <c r="AG133" s="810">
        <f t="shared" si="47"/>
        <v>-1</v>
      </c>
      <c r="AH133" s="176">
        <f t="shared" si="40"/>
        <v>5</v>
      </c>
      <c r="AI133" s="225">
        <f t="shared" si="41"/>
        <v>-0.34072437230988489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6">
        <v>15.508000000000001</v>
      </c>
      <c r="C134" s="390"/>
      <c r="D134" s="393">
        <f t="shared" si="24"/>
        <v>15.874238366181514</v>
      </c>
      <c r="E134" s="385">
        <f t="shared" si="45"/>
        <v>16.20158699150123</v>
      </c>
      <c r="F134" s="385">
        <f t="shared" si="25"/>
        <v>16.20158699150123</v>
      </c>
      <c r="G134" s="110">
        <f t="shared" si="46"/>
        <v>0.26603591118724168</v>
      </c>
      <c r="H134" s="414" t="b">
        <f>Wh_hp&gt;='2020'!Maxi_hp</f>
        <v>0</v>
      </c>
      <c r="I134" s="380">
        <f>IF(H134,Wh_hp,'2020'!Maxi_hp)</f>
        <v>61.024126150933135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2.3071240190127629E-2</v>
      </c>
      <c r="M134" s="844"/>
      <c r="N134" s="844"/>
      <c r="O134" s="48">
        <f>IF(t&lt;Tnet,'2020'!Resal+('2020'!Salim-'2020'!Resal)*(1-EXP(('2020'!Tnet-t)/('2020'!Tau_j))),Resal+(Salim-Resal)*(1-EXP((Tnet-t)/(Tau_j))))*Salcycl</f>
        <v>2.0204725962427793E-2</v>
      </c>
      <c r="P134" s="169">
        <f>(INDEX(Models!$BJ134:$BT134,,T134)*(1-R134)+INDEX(Models!$BJ134:$BT134,,T134+1)*R134-ERP_i)*Q134*Ramure*Pc/MaxiM</f>
        <v>1.0938354102351239E-4</v>
      </c>
      <c r="Q134" s="305">
        <f t="shared" si="27"/>
        <v>0.7</v>
      </c>
      <c r="R134" s="177">
        <f t="shared" si="28"/>
        <v>0.66141816821593835</v>
      </c>
      <c r="S134" s="810">
        <f t="shared" si="29"/>
        <v>-1</v>
      </c>
      <c r="T134" s="176">
        <f t="shared" si="30"/>
        <v>5</v>
      </c>
      <c r="U134" s="251">
        <f t="shared" si="31"/>
        <v>-0.33858183178406159</v>
      </c>
      <c r="V134" s="383">
        <f t="shared" si="32"/>
        <v>58.286505798580492</v>
      </c>
      <c r="W134" s="402"/>
      <c r="X134" s="157">
        <f t="shared" si="33"/>
        <v>44316</v>
      </c>
      <c r="Y134" s="385">
        <f t="shared" si="34"/>
        <v>14.008387538462097</v>
      </c>
      <c r="Z134" s="385">
        <f t="shared" si="35"/>
        <v>14.339210917680811</v>
      </c>
      <c r="AA134" s="386">
        <f t="shared" si="36"/>
        <v>16.20158699150123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0.11495022523394495</v>
      </c>
      <c r="AD134" s="231">
        <f>(INDEX(Models!$BJ134:$BT134,,AH134)*(1-AF134)+INDEX(Models!$BJ134:$BT134,,AH134+1)*AF134-ERP_i)*AE134*Ramure*Pc/MaxiM</f>
        <v>1.0938354102351239E-4</v>
      </c>
      <c r="AE134" s="305">
        <f t="shared" si="38"/>
        <v>0.7</v>
      </c>
      <c r="AF134" s="177">
        <f t="shared" si="39"/>
        <v>0.66141816821593835</v>
      </c>
      <c r="AG134" s="810">
        <f t="shared" si="47"/>
        <v>-1</v>
      </c>
      <c r="AH134" s="176">
        <f t="shared" si="40"/>
        <v>5</v>
      </c>
      <c r="AI134" s="225">
        <f t="shared" si="41"/>
        <v>-0.33858183178406159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6">
        <v>19.507000000000001</v>
      </c>
      <c r="C135" s="390"/>
      <c r="D135" s="393">
        <f t="shared" si="24"/>
        <v>19.968143808918946</v>
      </c>
      <c r="E135" s="385">
        <f t="shared" si="45"/>
        <v>20.384279886219996</v>
      </c>
      <c r="F135" s="385">
        <f t="shared" si="25"/>
        <v>20.384382854864779</v>
      </c>
      <c r="G135" s="110">
        <f t="shared" si="46"/>
        <v>0.33360637403106586</v>
      </c>
      <c r="H135" s="414" t="b">
        <f>Wh_hp&gt;='2020'!Maxi_hp</f>
        <v>0</v>
      </c>
      <c r="I135" s="380">
        <f>IF(H135,Wh_hp,'2020'!Maxi_hp)</f>
        <v>55.440910682526471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2.3093974749569424E-2</v>
      </c>
      <c r="M135" s="844"/>
      <c r="N135" s="844"/>
      <c r="O135" s="48">
        <f>IF(t&lt;Tnet,'2020'!Resal+('2020'!Salim-'2020'!Resal)*(1-EXP(('2020'!Tnet-t)/('2020'!Tau_j))),Resal+(Salim-Resal)*(1-EXP((Tnet-t)/(Tau_j))))*Salcycl</f>
        <v>2.0414558651265648E-2</v>
      </c>
      <c r="P135" s="169">
        <f>(INDEX(Models!$BJ135:$BT135,,T135)*(1-R135)+INDEX(Models!$BJ135:$BT135,,T135+1)*R135-ERP_i)*Q135*Ramure*Pc/MaxiM</f>
        <v>1.0511207289133592E-4</v>
      </c>
      <c r="Q135" s="305">
        <f t="shared" si="27"/>
        <v>0.7</v>
      </c>
      <c r="R135" s="177">
        <f t="shared" si="28"/>
        <v>0.66362206642238641</v>
      </c>
      <c r="S135" s="810">
        <f t="shared" si="29"/>
        <v>-1</v>
      </c>
      <c r="T135" s="176">
        <f t="shared" si="30"/>
        <v>5</v>
      </c>
      <c r="U135" s="251">
        <f t="shared" si="31"/>
        <v>-0.33637793357761359</v>
      </c>
      <c r="V135" s="383">
        <f t="shared" si="32"/>
        <v>58.467252498584735</v>
      </c>
      <c r="W135" s="402"/>
      <c r="X135" s="157">
        <f t="shared" si="33"/>
        <v>44317</v>
      </c>
      <c r="Y135" s="385">
        <f t="shared" si="34"/>
        <v>17.62138145441072</v>
      </c>
      <c r="Z135" s="385">
        <f t="shared" si="35"/>
        <v>18.037949402444792</v>
      </c>
      <c r="AA135" s="386">
        <f t="shared" si="36"/>
        <v>20.384279886219996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0.11510489930828259</v>
      </c>
      <c r="AD135" s="231">
        <f>(INDEX(Models!$BJ135:$BT135,,AH135)*(1-AF135)+INDEX(Models!$BJ135:$BT135,,AH135+1)*AF135-ERP_i)*AE135*Ramure*Pc/MaxiM</f>
        <v>1.0511207289133592E-4</v>
      </c>
      <c r="AE135" s="305">
        <f t="shared" si="38"/>
        <v>0.7</v>
      </c>
      <c r="AF135" s="177">
        <f t="shared" si="39"/>
        <v>0.66362206642238641</v>
      </c>
      <c r="AG135" s="810">
        <f t="shared" si="47"/>
        <v>-1</v>
      </c>
      <c r="AH135" s="176">
        <f t="shared" si="40"/>
        <v>5</v>
      </c>
      <c r="AI135" s="225">
        <f t="shared" si="41"/>
        <v>-0.33637793357761359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6">
        <v>46.338000000000001</v>
      </c>
      <c r="C136" s="390"/>
      <c r="D136" s="393">
        <f t="shared" si="24"/>
        <v>47.43453022123785</v>
      </c>
      <c r="E136" s="385">
        <f t="shared" si="45"/>
        <v>48.43345336260284</v>
      </c>
      <c r="F136" s="385">
        <f t="shared" si="25"/>
        <v>48.436895497277384</v>
      </c>
      <c r="G136" s="110">
        <f t="shared" si="46"/>
        <v>0.79018397624636927</v>
      </c>
      <c r="H136" s="414" t="b">
        <f>Wh_hp&gt;='2020'!Maxi_hp</f>
        <v>1</v>
      </c>
      <c r="I136" s="380">
        <f>IF(H136,Wh_hp,'2020'!Maxi_hp)</f>
        <v>48.436895497277384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2.3116708779944872E-2</v>
      </c>
      <c r="M136" s="844"/>
      <c r="N136" s="844"/>
      <c r="O136" s="48">
        <f>IF(t&lt;Tnet,'2020'!Resal+('2020'!Salim-'2020'!Resal)*(1-EXP(('2020'!Tnet-t)/('2020'!Tau_j))),Resal+(Salim-Resal)*(1-EXP((Tnet-t)/(Tau_j))))*Salcycl</f>
        <v>2.0624652425389321E-2</v>
      </c>
      <c r="P136" s="169">
        <f>(INDEX(Models!$BJ136:$BT136,,T136)*(1-R136)+INDEX(Models!$BJ136:$BT136,,T136+1)*R136-ERP_i)*Q136*Ramure*Pc/MaxiM</f>
        <v>1.0147736802086133E-4</v>
      </c>
      <c r="Q136" s="305">
        <f t="shared" si="27"/>
        <v>0.7</v>
      </c>
      <c r="R136" s="177">
        <f t="shared" si="28"/>
        <v>0.66588805477073443</v>
      </c>
      <c r="S136" s="810">
        <f t="shared" si="29"/>
        <v>-1</v>
      </c>
      <c r="T136" s="176">
        <f t="shared" si="30"/>
        <v>5</v>
      </c>
      <c r="U136" s="251">
        <f t="shared" si="31"/>
        <v>-0.33411194522926552</v>
      </c>
      <c r="V136" s="383">
        <f t="shared" si="32"/>
        <v>58.64025595632431</v>
      </c>
      <c r="W136" s="402"/>
      <c r="X136" s="157">
        <f t="shared" si="33"/>
        <v>44318</v>
      </c>
      <c r="Y136" s="385">
        <f t="shared" si="34"/>
        <v>41.860386949611623</v>
      </c>
      <c r="Z136" s="385">
        <f t="shared" si="35"/>
        <v>42.850960115543678</v>
      </c>
      <c r="AA136" s="386">
        <f t="shared" si="36"/>
        <v>48.43345336260284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0.11526110280151118</v>
      </c>
      <c r="AD136" s="231">
        <f>(INDEX(Models!$BJ136:$BT136,,AH136)*(1-AF136)+INDEX(Models!$BJ136:$BT136,,AH136+1)*AF136-ERP_i)*AE136*Ramure*Pc/MaxiM</f>
        <v>1.0147736802086133E-4</v>
      </c>
      <c r="AE136" s="305">
        <f t="shared" si="38"/>
        <v>0.7</v>
      </c>
      <c r="AF136" s="177">
        <f t="shared" si="39"/>
        <v>0.66588805477073443</v>
      </c>
      <c r="AG136" s="810">
        <f t="shared" si="47"/>
        <v>-1</v>
      </c>
      <c r="AH136" s="176">
        <f t="shared" si="40"/>
        <v>5</v>
      </c>
      <c r="AI136" s="225">
        <f t="shared" si="41"/>
        <v>-0.33411194522926552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6">
        <v>57.173000000000002</v>
      </c>
      <c r="C137" s="390"/>
      <c r="D137" s="393">
        <f t="shared" si="24"/>
        <v>58.527288821565612</v>
      </c>
      <c r="E137" s="385">
        <f t="shared" si="45"/>
        <v>59.772652680044111</v>
      </c>
      <c r="F137" s="385">
        <f t="shared" si="25"/>
        <v>59.778288949958807</v>
      </c>
      <c r="G137" s="110">
        <f t="shared" si="46"/>
        <v>0.97223111215127167</v>
      </c>
      <c r="H137" s="414" t="b">
        <f>Wh_hp&gt;='2020'!Maxi_hp</f>
        <v>1</v>
      </c>
      <c r="I137" s="380">
        <f>IF(H137,Wh_hp,'2020'!Maxi_hp)</f>
        <v>59.778288949958807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2.3139442281266187E-2</v>
      </c>
      <c r="M137" s="844"/>
      <c r="N137" s="844"/>
      <c r="O137" s="48">
        <f>IF(t&lt;Tnet,'2020'!Resal+('2020'!Salim-'2020'!Resal)*(1-EXP(('2020'!Tnet-t)/('2020'!Tau_j))),Resal+(Salim-Resal)*(1-EXP((Tnet-t)/(Tau_j))))*Salcycl</f>
        <v>2.0835010705393717E-2</v>
      </c>
      <c r="P137" s="169">
        <f>(INDEX(Models!$BJ137:$BT137,,T137)*(1-R137)+INDEX(Models!$BJ137:$BT137,,T137+1)*R137-ERP_i)*Q137*Ramure*Pc/MaxiM</f>
        <v>9.8180510974375278E-5</v>
      </c>
      <c r="Q137" s="305">
        <f t="shared" si="27"/>
        <v>0.7</v>
      </c>
      <c r="R137" s="177">
        <f t="shared" si="28"/>
        <v>0.66821679978318549</v>
      </c>
      <c r="S137" s="810">
        <f t="shared" si="29"/>
        <v>-1</v>
      </c>
      <c r="T137" s="176">
        <f t="shared" si="30"/>
        <v>5</v>
      </c>
      <c r="U137" s="251">
        <f t="shared" si="31"/>
        <v>-0.33178320021681451</v>
      </c>
      <c r="V137" s="383">
        <f t="shared" si="32"/>
        <v>58.805747539973169</v>
      </c>
      <c r="W137" s="402"/>
      <c r="X137" s="157">
        <f t="shared" si="33"/>
        <v>44319</v>
      </c>
      <c r="Y137" s="385">
        <f t="shared" si="34"/>
        <v>51.650294537053753</v>
      </c>
      <c r="Z137" s="385">
        <f t="shared" si="35"/>
        <v>52.873763946077304</v>
      </c>
      <c r="AA137" s="386">
        <f t="shared" si="36"/>
        <v>59.772652680044111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0.11541881486999966</v>
      </c>
      <c r="AD137" s="231">
        <f>(INDEX(Models!$BJ137:$BT137,,AH137)*(1-AF137)+INDEX(Models!$BJ137:$BT137,,AH137+1)*AF137-ERP_i)*AE137*Ramure*Pc/MaxiM</f>
        <v>9.8180510974375278E-5</v>
      </c>
      <c r="AE137" s="305">
        <f t="shared" si="38"/>
        <v>0.7</v>
      </c>
      <c r="AF137" s="177">
        <f t="shared" si="39"/>
        <v>0.66821679978318549</v>
      </c>
      <c r="AG137" s="810">
        <f t="shared" si="47"/>
        <v>-1</v>
      </c>
      <c r="AH137" s="176">
        <f t="shared" si="40"/>
        <v>5</v>
      </c>
      <c r="AI137" s="225">
        <f t="shared" si="41"/>
        <v>-0.33178320021681451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6">
        <v>50.017000000000003</v>
      </c>
      <c r="C138" s="390"/>
      <c r="D138" s="393">
        <f t="shared" si="24"/>
        <v>51.2029722159687</v>
      </c>
      <c r="E138" s="385">
        <f t="shared" si="45"/>
        <v>52.303737643980682</v>
      </c>
      <c r="F138" s="385">
        <f t="shared" si="25"/>
        <v>52.307638759858655</v>
      </c>
      <c r="G138" s="110">
        <f t="shared" si="46"/>
        <v>0.84824668434695405</v>
      </c>
      <c r="H138" s="414" t="b">
        <f>Wh_hp&gt;='2020'!Maxi_hp</f>
        <v>0</v>
      </c>
      <c r="I138" s="380">
        <f>IF(H138,Wh_hp,'2020'!Maxi_hp)</f>
        <v>54.701655711301164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2.3162175253545692E-2</v>
      </c>
      <c r="M138" s="844"/>
      <c r="N138" s="844"/>
      <c r="O138" s="48">
        <f>IF(t&lt;Tnet,'2020'!Resal+('2020'!Salim-'2020'!Resal)*(1-EXP(('2020'!Tnet-t)/('2020'!Tau_j))),Resal+(Salim-Resal)*(1-EXP((Tnet-t)/(Tau_j))))*Salcycl</f>
        <v>2.1045636078718441E-2</v>
      </c>
      <c r="P138" s="169">
        <f>(INDEX(Models!$BJ138:$BT138,,T138)*(1-R138)+INDEX(Models!$BJ138:$BT138,,T138+1)*R138-ERP_i)*Q138*Ramure*Pc/MaxiM</f>
        <v>9.5220814213707822E-5</v>
      </c>
      <c r="Q138" s="305">
        <f t="shared" si="27"/>
        <v>0.7</v>
      </c>
      <c r="R138" s="177">
        <f t="shared" si="28"/>
        <v>0.6706088965162178</v>
      </c>
      <c r="S138" s="810">
        <f t="shared" si="29"/>
        <v>-1</v>
      </c>
      <c r="T138" s="176">
        <f t="shared" si="30"/>
        <v>5</v>
      </c>
      <c r="U138" s="251">
        <f t="shared" si="31"/>
        <v>-0.32939110348378214</v>
      </c>
      <c r="V138" s="383">
        <f t="shared" si="32"/>
        <v>58.96394111053516</v>
      </c>
      <c r="W138" s="402"/>
      <c r="X138" s="157">
        <f t="shared" si="33"/>
        <v>44320</v>
      </c>
      <c r="Y138" s="385">
        <f t="shared" si="34"/>
        <v>45.187126440738382</v>
      </c>
      <c r="Z138" s="385">
        <f t="shared" si="35"/>
        <v>46.258575677561467</v>
      </c>
      <c r="AA138" s="386">
        <f t="shared" si="36"/>
        <v>52.303737643980682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0.11557801103177795</v>
      </c>
      <c r="AD138" s="231">
        <f>(INDEX(Models!$BJ138:$BT138,,AH138)*(1-AF138)+INDEX(Models!$BJ138:$BT138,,AH138+1)*AF138-ERP_i)*AE138*Ramure*Pc/MaxiM</f>
        <v>9.5220814213707822E-5</v>
      </c>
      <c r="AE138" s="305">
        <f t="shared" si="38"/>
        <v>0.7</v>
      </c>
      <c r="AF138" s="177">
        <f t="shared" si="39"/>
        <v>0.6706088965162178</v>
      </c>
      <c r="AG138" s="810">
        <f t="shared" si="47"/>
        <v>-1</v>
      </c>
      <c r="AH138" s="176">
        <f t="shared" si="40"/>
        <v>5</v>
      </c>
      <c r="AI138" s="225">
        <f t="shared" si="41"/>
        <v>-0.32939110348378214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6">
        <v>34.169000000000004</v>
      </c>
      <c r="C139" s="390"/>
      <c r="D139" s="393">
        <f t="shared" si="24"/>
        <v>34.980008262806322</v>
      </c>
      <c r="E139" s="385">
        <f t="shared" si="45"/>
        <v>35.739710500405984</v>
      </c>
      <c r="F139" s="385">
        <f t="shared" si="25"/>
        <v>35.741024906196465</v>
      </c>
      <c r="G139" s="110">
        <f t="shared" si="46"/>
        <v>0.57797620604155786</v>
      </c>
      <c r="H139" s="414" t="b">
        <f>Wh_hp&gt;='2020'!Maxi_hp</f>
        <v>0</v>
      </c>
      <c r="I139" s="380">
        <f>IF(H139,Wh_hp,'2020'!Maxi_hp)</f>
        <v>58.762376134897934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2.318490769679582E-2</v>
      </c>
      <c r="M139" s="844"/>
      <c r="N139" s="844"/>
      <c r="O139" s="48">
        <f>IF(t&lt;Tnet,'2020'!Resal+('2020'!Salim-'2020'!Resal)*(1-EXP(('2020'!Tnet-t)/('2020'!Tau_j))),Resal+(Salim-Resal)*(1-EXP((Tnet-t)/(Tau_j))))*Salcycl</f>
        <v>2.1256530256198801E-2</v>
      </c>
      <c r="P139" s="169">
        <f>(INDEX(Models!$BJ139:$BT139,,T139)*(1-R139)+INDEX(Models!$BJ139:$BT139,,T139+1)*R139-ERP_i)*Q139*Ramure*Pc/MaxiM</f>
        <v>9.2598183923665709E-5</v>
      </c>
      <c r="Q139" s="305">
        <f t="shared" si="27"/>
        <v>0.7</v>
      </c>
      <c r="R139" s="177">
        <f t="shared" si="28"/>
        <v>0.67306486296947898</v>
      </c>
      <c r="S139" s="810">
        <f t="shared" si="29"/>
        <v>-1</v>
      </c>
      <c r="T139" s="176">
        <f t="shared" si="30"/>
        <v>5</v>
      </c>
      <c r="U139" s="251">
        <f t="shared" si="31"/>
        <v>-0.32693513703052102</v>
      </c>
      <c r="V139" s="383">
        <f t="shared" si="32"/>
        <v>59.115050375137571</v>
      </c>
      <c r="W139" s="402"/>
      <c r="X139" s="157">
        <f t="shared" si="33"/>
        <v>44321</v>
      </c>
      <c r="Y139" s="385">
        <f t="shared" si="34"/>
        <v>30.87052588883018</v>
      </c>
      <c r="Z139" s="385">
        <f t="shared" si="35"/>
        <v>31.603244188254152</v>
      </c>
      <c r="AA139" s="386">
        <f t="shared" si="36"/>
        <v>35.739710500405984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0.11573866307912162</v>
      </c>
      <c r="AD139" s="231">
        <f>(INDEX(Models!$BJ139:$BT139,,AH139)*(1-AF139)+INDEX(Models!$BJ139:$BT139,,AH139+1)*AF139-ERP_i)*AE139*Ramure*Pc/MaxiM</f>
        <v>9.2598183923665709E-5</v>
      </c>
      <c r="AE139" s="305">
        <f t="shared" si="38"/>
        <v>0.7</v>
      </c>
      <c r="AF139" s="177">
        <f t="shared" si="39"/>
        <v>0.67306486296947898</v>
      </c>
      <c r="AG139" s="810">
        <f t="shared" si="47"/>
        <v>-1</v>
      </c>
      <c r="AH139" s="176">
        <f t="shared" si="40"/>
        <v>5</v>
      </c>
      <c r="AI139" s="225">
        <f t="shared" si="41"/>
        <v>-0.32693513703052102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6">
        <v>33.286999999999999</v>
      </c>
      <c r="C140" s="390"/>
      <c r="D140" s="393">
        <f t="shared" si="24"/>
        <v>34.077866852628418</v>
      </c>
      <c r="E140" s="385">
        <f t="shared" si="45"/>
        <v>34.82548981235476</v>
      </c>
      <c r="F140" s="385">
        <f t="shared" si="25"/>
        <v>34.826665786957271</v>
      </c>
      <c r="G140" s="110">
        <f t="shared" si="46"/>
        <v>0.56168607980171148</v>
      </c>
      <c r="H140" s="414" t="b">
        <f>Wh_hp&gt;='2020'!Maxi_hp</f>
        <v>0</v>
      </c>
      <c r="I140" s="380">
        <f>IF(H140,Wh_hp,'2020'!Maxi_hp)</f>
        <v>63.468441538808548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2.3207639611028674E-2</v>
      </c>
      <c r="M140" s="844"/>
      <c r="N140" s="844"/>
      <c r="O140" s="48">
        <f>IF(t&lt;Tnet,'2020'!Resal+('2020'!Salim-'2020'!Resal)*(1-EXP(('2020'!Tnet-t)/('2020'!Tau_j))),Resal+(Salim-Resal)*(1-EXP((Tnet-t)/(Tau_j))))*Salcycl</f>
        <v>2.146769402970795E-2</v>
      </c>
      <c r="P140" s="169">
        <f>(INDEX(Models!$BJ140:$BT140,,T140)*(1-R140)+INDEX(Models!$BJ140:$BT140,,T140+1)*R140-ERP_i)*Q140*Ramure*Pc/MaxiM</f>
        <v>9.0313100064195713E-5</v>
      </c>
      <c r="Q140" s="305">
        <f t="shared" si="27"/>
        <v>0.7</v>
      </c>
      <c r="R140" s="177">
        <f t="shared" si="28"/>
        <v>0.67558513445855206</v>
      </c>
      <c r="S140" s="810">
        <f t="shared" si="29"/>
        <v>-1</v>
      </c>
      <c r="T140" s="176">
        <f t="shared" si="30"/>
        <v>5</v>
      </c>
      <c r="U140" s="251">
        <f t="shared" si="31"/>
        <v>-0.32441486554144794</v>
      </c>
      <c r="V140" s="383">
        <f t="shared" si="32"/>
        <v>59.259288892306095</v>
      </c>
      <c r="W140" s="402"/>
      <c r="X140" s="157">
        <f t="shared" si="33"/>
        <v>44322</v>
      </c>
      <c r="Y140" s="385">
        <f t="shared" si="34"/>
        <v>30.0746453860998</v>
      </c>
      <c r="Z140" s="385">
        <f t="shared" si="35"/>
        <v>30.78918980705755</v>
      </c>
      <c r="AA140" s="386">
        <f t="shared" si="36"/>
        <v>34.82548981235476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0.11590073900023899</v>
      </c>
      <c r="AD140" s="231">
        <f>(INDEX(Models!$BJ140:$BT140,,AH140)*(1-AF140)+INDEX(Models!$BJ140:$BT140,,AH140+1)*AF140-ERP_i)*AE140*Ramure*Pc/MaxiM</f>
        <v>9.0313100064195713E-5</v>
      </c>
      <c r="AE140" s="305">
        <f t="shared" si="38"/>
        <v>0.7</v>
      </c>
      <c r="AF140" s="177">
        <f t="shared" si="39"/>
        <v>0.67558513445855206</v>
      </c>
      <c r="AG140" s="810">
        <f t="shared" si="47"/>
        <v>-1</v>
      </c>
      <c r="AH140" s="176">
        <f t="shared" si="40"/>
        <v>5</v>
      </c>
      <c r="AI140" s="225">
        <f t="shared" si="41"/>
        <v>-0.32441486554144794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6">
        <v>29.988</v>
      </c>
      <c r="C141" s="390"/>
      <c r="D141" s="393">
        <f t="shared" si="24"/>
        <v>30.701200272357237</v>
      </c>
      <c r="E141" s="385">
        <f t="shared" si="45"/>
        <v>31.381524331040616</v>
      </c>
      <c r="F141" s="385">
        <f t="shared" si="25"/>
        <v>31.382335973034188</v>
      </c>
      <c r="G141" s="110">
        <f t="shared" si="46"/>
        <v>0.50484353063397047</v>
      </c>
      <c r="H141" s="414" t="b">
        <f>Wh_hp&gt;='2020'!Maxi_hp</f>
        <v>0</v>
      </c>
      <c r="I141" s="380">
        <f>IF(H141,Wh_hp,'2020'!Maxi_hp)</f>
        <v>60.14956112877281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2.3230370996256799E-2</v>
      </c>
      <c r="M141" s="844"/>
      <c r="N141" s="844"/>
      <c r="O141" s="48">
        <f>IF(t&lt;Tnet,'2020'!Resal+('2020'!Salim-'2020'!Resal)*(1-EXP(('2020'!Tnet-t)/('2020'!Tau_j))),Resal+(Salim-Resal)*(1-EXP((Tnet-t)/(Tau_j))))*Salcycl</f>
        <v>2.1679127231255712E-2</v>
      </c>
      <c r="P141" s="169">
        <f>(INDEX(Models!$BJ141:$BT141,,T141)*(1-R141)+INDEX(Models!$BJ141:$BT141,,T141+1)*R141-ERP_i)*Q141*Ramure*Pc/MaxiM</f>
        <v>8.8366596538777835E-5</v>
      </c>
      <c r="Q141" s="305">
        <f t="shared" si="27"/>
        <v>0.7</v>
      </c>
      <c r="R141" s="177">
        <f t="shared" si="28"/>
        <v>0.67817005798267394</v>
      </c>
      <c r="S141" s="810">
        <f t="shared" si="29"/>
        <v>-1</v>
      </c>
      <c r="T141" s="176">
        <f t="shared" si="30"/>
        <v>5</v>
      </c>
      <c r="U141" s="251">
        <f t="shared" si="31"/>
        <v>-0.32182994201732606</v>
      </c>
      <c r="V141" s="383">
        <f t="shared" si="32"/>
        <v>59.396870069075234</v>
      </c>
      <c r="W141" s="402"/>
      <c r="X141" s="157">
        <f t="shared" si="33"/>
        <v>44323</v>
      </c>
      <c r="Y141" s="385">
        <f t="shared" si="34"/>
        <v>27.094859591488103</v>
      </c>
      <c r="Z141" s="385">
        <f t="shared" si="35"/>
        <v>27.739252723411887</v>
      </c>
      <c r="AA141" s="386">
        <f t="shared" si="36"/>
        <v>31.381524331040616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0.11606420291145712</v>
      </c>
      <c r="AD141" s="231">
        <f>(INDEX(Models!$BJ141:$BT141,,AH141)*(1-AF141)+INDEX(Models!$BJ141:$BT141,,AH141+1)*AF141-ERP_i)*AE141*Ramure*Pc/MaxiM</f>
        <v>8.8366596538777835E-5</v>
      </c>
      <c r="AE141" s="305">
        <f t="shared" si="38"/>
        <v>0.7</v>
      </c>
      <c r="AF141" s="177">
        <f t="shared" si="39"/>
        <v>0.67817005798267394</v>
      </c>
      <c r="AG141" s="810">
        <f t="shared" si="47"/>
        <v>-1</v>
      </c>
      <c r="AH141" s="176">
        <f t="shared" si="40"/>
        <v>5</v>
      </c>
      <c r="AI141" s="225">
        <f t="shared" si="41"/>
        <v>-0.32182994201732606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6">
        <v>54.928000000000004</v>
      </c>
      <c r="C142" s="390"/>
      <c r="D142" s="393">
        <f t="shared" si="24"/>
        <v>56.23565337568629</v>
      </c>
      <c r="E142" s="385">
        <f t="shared" si="45"/>
        <v>57.494250156753502</v>
      </c>
      <c r="F142" s="385">
        <f t="shared" si="25"/>
        <v>57.498688083785559</v>
      </c>
      <c r="G142" s="110">
        <f t="shared" si="46"/>
        <v>0.92271649128070043</v>
      </c>
      <c r="H142" s="414" t="b">
        <f>Wh_hp&gt;='2020'!Maxi_hp</f>
        <v>1</v>
      </c>
      <c r="I142" s="380">
        <f>IF(H142,Wh_hp,'2020'!Maxi_hp)</f>
        <v>57.498688083785559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2.3253101852492297E-2</v>
      </c>
      <c r="M142" s="844"/>
      <c r="N142" s="844"/>
      <c r="O142" s="48">
        <f>IF(t&lt;Tnet,'2020'!Resal+('2020'!Salim-'2020'!Resal)*(1-EXP(('2020'!Tnet-t)/('2020'!Tau_j))),Resal+(Salim-Resal)*(1-EXP((Tnet-t)/(Tau_j))))*Salcycl</f>
        <v>2.189082869392589E-2</v>
      </c>
      <c r="P142" s="169">
        <f>(INDEX(Models!$BJ142:$BT142,,T142)*(1-R142)+INDEX(Models!$BJ142:$BT142,,T142+1)*R142-ERP_i)*Q142*Ramure*Pc/MaxiM</f>
        <v>8.6760836468649313E-5</v>
      </c>
      <c r="Q142" s="305">
        <f t="shared" si="27"/>
        <v>0.7</v>
      </c>
      <c r="R142" s="177">
        <f t="shared" si="28"/>
        <v>0.68081988662118031</v>
      </c>
      <c r="S142" s="810">
        <f t="shared" si="29"/>
        <v>-1</v>
      </c>
      <c r="T142" s="176">
        <f t="shared" si="30"/>
        <v>5</v>
      </c>
      <c r="U142" s="251">
        <f t="shared" si="31"/>
        <v>-0.31918011337881974</v>
      </c>
      <c r="V142" s="383">
        <f t="shared" si="32"/>
        <v>59.5280071317287</v>
      </c>
      <c r="W142" s="402"/>
      <c r="X142" s="157">
        <f t="shared" si="33"/>
        <v>44324</v>
      </c>
      <c r="Y142" s="385">
        <f t="shared" si="34"/>
        <v>49.630219292584613</v>
      </c>
      <c r="Z142" s="385">
        <f t="shared" si="35"/>
        <v>50.811750092795776</v>
      </c>
      <c r="AA142" s="386">
        <f t="shared" si="36"/>
        <v>57.494250156753502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0.11622901500129879</v>
      </c>
      <c r="AD142" s="231">
        <f>(INDEX(Models!$BJ142:$BT142,,AH142)*(1-AF142)+INDEX(Models!$BJ142:$BT142,,AH142+1)*AF142-ERP_i)*AE142*Ramure*Pc/MaxiM</f>
        <v>8.6760836468649313E-5</v>
      </c>
      <c r="AE142" s="305">
        <f t="shared" si="38"/>
        <v>0.7</v>
      </c>
      <c r="AF142" s="177">
        <f t="shared" si="39"/>
        <v>0.68081988662118031</v>
      </c>
      <c r="AG142" s="810">
        <f t="shared" si="47"/>
        <v>-1</v>
      </c>
      <c r="AH142" s="176">
        <f t="shared" si="40"/>
        <v>5</v>
      </c>
      <c r="AI142" s="225">
        <f t="shared" si="41"/>
        <v>-0.31918011337881974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6">
        <v>21.882999999999999</v>
      </c>
      <c r="C143" s="390"/>
      <c r="D143" s="393">
        <f t="shared" ref="D143:D206" si="48">Wh/(1-Ppv)</f>
        <v>22.404482986057481</v>
      </c>
      <c r="E143" s="385">
        <f t="shared" si="45"/>
        <v>22.910877441249312</v>
      </c>
      <c r="F143" s="385">
        <f t="shared" ref="F143:F206" si="49">Wh_sa/(1-Pvg*MEDIAN((-Sdif+Wh/Env_an)/Csdif,0,1))</f>
        <v>22.911063957009276</v>
      </c>
      <c r="G143" s="110">
        <f t="shared" si="46"/>
        <v>0.36681037031670416</v>
      </c>
      <c r="H143" s="414" t="b">
        <f>Wh_hp&gt;='2020'!Maxi_hp</f>
        <v>0</v>
      </c>
      <c r="I143" s="380">
        <f>IF(H143,Wh_hp,'2020'!Maxi_hp)</f>
        <v>54.849052148485967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2.3275832179747491E-2</v>
      </c>
      <c r="M143" s="844"/>
      <c r="N143" s="844"/>
      <c r="O143" s="48">
        <f>IF(t&lt;Tnet,'2020'!Resal+('2020'!Salim-'2020'!Resal)*(1-EXP(('2020'!Tnet-t)/('2020'!Tau_j))),Resal+(Salim-Resal)*(1-EXP((Tnet-t)/(Tau_j))))*Salcycl</f>
        <v>2.2102796215046201E-2</v>
      </c>
      <c r="P143" s="169">
        <f>(INDEX(Models!$BJ143:$BT143,,T143)*(1-R143)+INDEX(Models!$BJ143:$BT143,,T143+1)*R143-ERP_i)*Q143*Ramure*Pc/MaxiM</f>
        <v>8.525906760117221E-5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0.68353477399505658</v>
      </c>
      <c r="S143" s="810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-0.31646522600494342</v>
      </c>
      <c r="V143" s="383">
        <f t="shared" ref="V143:V206" si="56">MaxiM*(1-Ppv)*(1-Pvg)*(1-Psa)</f>
        <v>59.652927450301668</v>
      </c>
      <c r="W143" s="402"/>
      <c r="X143" s="157">
        <f t="shared" ref="X143:X206" si="57">t</f>
        <v>44325</v>
      </c>
      <c r="Y143" s="385">
        <f t="shared" ref="Y143:Y206" si="58">Wh_pvt_s*(1-Ppv)</f>
        <v>19.772963111881484</v>
      </c>
      <c r="Z143" s="385">
        <f t="shared" ref="Z143:Z206" si="59">Wh_sa_s*(1-Psa_s)</f>
        <v>20.244162848973673</v>
      </c>
      <c r="AA143" s="386">
        <f t="shared" ref="AA143:AA206" si="60">Wh_hp*(1-Pvg_s*MEDIAN((-Sdif+Wh/Env_an)/Csdif,0,1))</f>
        <v>22.910877441249312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0.11639513148782422</v>
      </c>
      <c r="AD143" s="231">
        <f>(INDEX(Models!$BJ143:$BT143,,AH143)*(1-AF143)+INDEX(Models!$BJ143:$BT143,,AH143+1)*AF143-ERP_i)*AE143*Ramure*Pc/MaxiM</f>
        <v>8.525906760117221E-5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0.68353477399505658</v>
      </c>
      <c r="AG143" s="810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-0.31646522600494342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41.058999999999997</v>
      </c>
      <c r="C144" s="390"/>
      <c r="D144" s="393">
        <f t="shared" si="48"/>
        <v>42.038435085294324</v>
      </c>
      <c r="E144" s="385">
        <f t="shared" ref="E144:E169" si="69">Wh_pvt/(1-Psa)</f>
        <v>42.997935148524583</v>
      </c>
      <c r="F144" s="385">
        <f t="shared" si="49"/>
        <v>42.999928384372588</v>
      </c>
      <c r="G144" s="110">
        <f t="shared" ref="G144:G169" si="70">+Wh_hp/MaxiM</f>
        <v>0.68690301354491878</v>
      </c>
      <c r="H144" s="414" t="b">
        <f>Wh_hp&gt;='2020'!Maxi_hp</f>
        <v>0</v>
      </c>
      <c r="I144" s="380">
        <f>IF(H144,Wh_hp,'2020'!Maxi_hp)</f>
        <v>52.51633388230136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2.3298561978034926E-2</v>
      </c>
      <c r="M144" s="844"/>
      <c r="N144" s="844"/>
      <c r="O144" s="48">
        <f>IF(t&lt;Tnet,'2020'!Resal+('2020'!Salim-'2020'!Resal)*(1-EXP(('2020'!Tnet-t)/('2020'!Tau_j))),Resal+(Salim-Resal)*(1-EXP((Tnet-t)/(Tau_j))))*Salcycl</f>
        <v>2.2315026521992919E-2</v>
      </c>
      <c r="P144" s="169">
        <f>(INDEX(Models!$BJ144:$BT144,,T144)*(1-R144)+INDEX(Models!$BJ144:$BT144,,T144+1)*R144-ERP_i)*Q144*Ramure*Pc/MaxiM</f>
        <v>8.3860599804905288E-5</v>
      </c>
      <c r="Q144" s="305">
        <f t="shared" si="51"/>
        <v>0.7</v>
      </c>
      <c r="R144" s="177">
        <f t="shared" si="52"/>
        <v>0.68631476883243114</v>
      </c>
      <c r="S144" s="810">
        <f t="shared" si="53"/>
        <v>-1</v>
      </c>
      <c r="T144" s="176">
        <f t="shared" si="54"/>
        <v>5</v>
      </c>
      <c r="U144" s="251">
        <f t="shared" si="55"/>
        <v>-0.3136852311675688</v>
      </c>
      <c r="V144" s="383">
        <f t="shared" si="56"/>
        <v>59.77184428066122</v>
      </c>
      <c r="W144" s="402"/>
      <c r="X144" s="157">
        <f t="shared" si="57"/>
        <v>44326</v>
      </c>
      <c r="Y144" s="385">
        <f t="shared" si="58"/>
        <v>37.1009692365202</v>
      </c>
      <c r="Z144" s="385">
        <f t="shared" si="59"/>
        <v>37.985988135389469</v>
      </c>
      <c r="AA144" s="386">
        <f t="shared" si="60"/>
        <v>42.997935148524583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0.11656250459057431</v>
      </c>
      <c r="AD144" s="231">
        <f>(INDEX(Models!$BJ144:$BT144,,AH144)*(1-AF144)+INDEX(Models!$BJ144:$BT144,,AH144+1)*AF144-ERP_i)*AE144*Ramure*Pc/MaxiM</f>
        <v>8.3860599804905288E-5</v>
      </c>
      <c r="AE144" s="305">
        <f t="shared" si="62"/>
        <v>0.7</v>
      </c>
      <c r="AF144" s="177">
        <f t="shared" si="63"/>
        <v>0.68631476883243114</v>
      </c>
      <c r="AG144" s="810">
        <f t="shared" ref="AG144:AG207" si="71">INDEX(Echel_vg,AH144)</f>
        <v>-1</v>
      </c>
      <c r="AH144" s="176">
        <f t="shared" si="64"/>
        <v>5</v>
      </c>
      <c r="AI144" s="225">
        <f t="shared" si="65"/>
        <v>-0.3136852311675688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6">
        <v>38.264000000000003</v>
      </c>
      <c r="C145" s="390"/>
      <c r="D145" s="393">
        <f t="shared" si="48"/>
        <v>39.177673944452955</v>
      </c>
      <c r="E145" s="385">
        <f t="shared" si="69"/>
        <v>40.080590047620504</v>
      </c>
      <c r="F145" s="385">
        <f t="shared" si="49"/>
        <v>40.082192537102976</v>
      </c>
      <c r="G145" s="110">
        <f t="shared" si="70"/>
        <v>0.63893110384186103</v>
      </c>
      <c r="H145" s="414" t="b">
        <f>Wh_hp&gt;='2020'!Maxi_hp</f>
        <v>1</v>
      </c>
      <c r="I145" s="380">
        <f>IF(H145,Wh_hp,'2020'!Maxi_hp)</f>
        <v>40.082192537102976</v>
      </c>
      <c r="J145" s="85">
        <f>IF(H145,An,'2020'!An_max)</f>
        <v>2021</v>
      </c>
      <c r="K145" s="197">
        <f t="shared" si="50"/>
        <v>44327</v>
      </c>
      <c r="L145" s="147">
        <f>IF(t&lt;Tvie,1-EXP((T0-t)*PertePVj)+'2020'!Pspv,1-EXP((T0-t)*PertePVj)+Pspv)</f>
        <v>2.3321291247366593E-2</v>
      </c>
      <c r="M145" s="844"/>
      <c r="N145" s="844"/>
      <c r="O145" s="48">
        <f>IF(t&lt;Tnet,'2020'!Resal+('2020'!Salim-'2020'!Resal)*(1-EXP(('2020'!Tnet-t)/('2020'!Tau_j))),Resal+(Salim-Resal)*(1-EXP((Tnet-t)/(Tau_j))))*Salcycl</f>
        <v>2.2527515241037532E-2</v>
      </c>
      <c r="P145" s="169">
        <f>(INDEX(Models!$BJ145:$BT145,,T145)*(1-R145)+INDEX(Models!$BJ145:$BT145,,T145+1)*R145-ERP_i)*Q145*Ramure*Pc/MaxiM</f>
        <v>8.2564901303772885E-5</v>
      </c>
      <c r="Q145" s="305">
        <f t="shared" si="51"/>
        <v>0.7</v>
      </c>
      <c r="R145" s="177">
        <f t="shared" si="52"/>
        <v>0.6891598096791226</v>
      </c>
      <c r="S145" s="810">
        <f t="shared" si="53"/>
        <v>-1</v>
      </c>
      <c r="T145" s="176">
        <f t="shared" si="54"/>
        <v>5</v>
      </c>
      <c r="U145" s="251">
        <f t="shared" si="55"/>
        <v>-0.3108401903208774</v>
      </c>
      <c r="V145" s="383">
        <f t="shared" si="56"/>
        <v>59.884970757234214</v>
      </c>
      <c r="W145" s="402"/>
      <c r="X145" s="157">
        <f t="shared" si="57"/>
        <v>44327</v>
      </c>
      <c r="Y145" s="385">
        <f t="shared" si="58"/>
        <v>34.576320444304116</v>
      </c>
      <c r="Z145" s="385">
        <f t="shared" si="59"/>
        <v>35.401939383385674</v>
      </c>
      <c r="AA145" s="386">
        <f t="shared" si="60"/>
        <v>40.080590047620504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0.11673108251839692</v>
      </c>
      <c r="AD145" s="231">
        <f>(INDEX(Models!$BJ145:$BT145,,AH145)*(1-AF145)+INDEX(Models!$BJ145:$BT145,,AH145+1)*AF145-ERP_i)*AE145*Ramure*Pc/MaxiM</f>
        <v>8.2564901303772885E-5</v>
      </c>
      <c r="AE145" s="305">
        <f t="shared" si="62"/>
        <v>0.7</v>
      </c>
      <c r="AF145" s="177">
        <f t="shared" si="63"/>
        <v>0.6891598096791226</v>
      </c>
      <c r="AG145" s="810">
        <f t="shared" si="71"/>
        <v>-1</v>
      </c>
      <c r="AH145" s="176">
        <f t="shared" si="64"/>
        <v>5</v>
      </c>
      <c r="AI145" s="225">
        <f t="shared" si="65"/>
        <v>-0.3108401903208774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6">
        <v>40.584000000000003</v>
      </c>
      <c r="C146" s="390"/>
      <c r="D146" s="393">
        <f t="shared" si="48"/>
        <v>41.554038300662612</v>
      </c>
      <c r="E146" s="385">
        <f t="shared" si="69"/>
        <v>42.520976222305798</v>
      </c>
      <c r="F146" s="385">
        <f t="shared" si="49"/>
        <v>42.522837211801694</v>
      </c>
      <c r="G146" s="110">
        <f t="shared" si="70"/>
        <v>0.6764588945909491</v>
      </c>
      <c r="H146" s="414" t="b">
        <f>Wh_hp&gt;='2020'!Maxi_hp</f>
        <v>0</v>
      </c>
      <c r="I146" s="380">
        <f>IF(H146,Wh_hp,'2020'!Maxi_hp)</f>
        <v>59.107632705662361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2.3344019987755038E-2</v>
      </c>
      <c r="M146" s="844"/>
      <c r="N146" s="844"/>
      <c r="O146" s="48">
        <f>IF(t&lt;Tnet,'2020'!Resal+('2020'!Salim-'2020'!Resal)*(1-EXP(('2020'!Tnet-t)/('2020'!Tau_j))),Resal+(Salim-Resal)*(1-EXP((Tnet-t)/(Tau_j))))*Salcycl</f>
        <v>2.2740256869642317E-2</v>
      </c>
      <c r="P146" s="169">
        <f>(INDEX(Models!$BJ146:$BT146,,T146)*(1-R146)+INDEX(Models!$BJ146:$BT146,,T146+1)*R146-ERP_i)*Q146*Ramure*Pc/MaxiM</f>
        <v>8.137159257685063E-5</v>
      </c>
      <c r="Q146" s="305">
        <f t="shared" si="51"/>
        <v>0.7</v>
      </c>
      <c r="R146" s="177">
        <f t="shared" si="52"/>
        <v>0.69206971979738552</v>
      </c>
      <c r="S146" s="810">
        <f t="shared" si="53"/>
        <v>-1</v>
      </c>
      <c r="T146" s="176">
        <f t="shared" si="54"/>
        <v>5</v>
      </c>
      <c r="U146" s="251">
        <f t="shared" si="55"/>
        <v>-0.30793028020261443</v>
      </c>
      <c r="V146" s="383">
        <f t="shared" si="56"/>
        <v>59.992519885984478</v>
      </c>
      <c r="W146" s="402"/>
      <c r="X146" s="157">
        <f t="shared" si="57"/>
        <v>44328</v>
      </c>
      <c r="Y146" s="385">
        <f t="shared" si="58"/>
        <v>36.67366613658978</v>
      </c>
      <c r="Z146" s="385">
        <f t="shared" si="59"/>
        <v>37.550239682277869</v>
      </c>
      <c r="AA146" s="386">
        <f t="shared" si="60"/>
        <v>42.520976222305798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0.11690080947436869</v>
      </c>
      <c r="AD146" s="231">
        <f>(INDEX(Models!$BJ146:$BT146,,AH146)*(1-AF146)+INDEX(Models!$BJ146:$BT146,,AH146+1)*AF146-ERP_i)*AE146*Ramure*Pc/MaxiM</f>
        <v>8.137159257685063E-5</v>
      </c>
      <c r="AE146" s="305">
        <f t="shared" si="62"/>
        <v>0.7</v>
      </c>
      <c r="AF146" s="177">
        <f t="shared" si="63"/>
        <v>0.69206971979738552</v>
      </c>
      <c r="AG146" s="810">
        <f t="shared" si="71"/>
        <v>-1</v>
      </c>
      <c r="AH146" s="176">
        <f t="shared" si="64"/>
        <v>5</v>
      </c>
      <c r="AI146" s="225">
        <f t="shared" si="65"/>
        <v>-0.30793028020261443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6">
        <v>43.515000000000001</v>
      </c>
      <c r="C147" s="390"/>
      <c r="D147" s="393">
        <f t="shared" si="48"/>
        <v>44.556131915193212</v>
      </c>
      <c r="E147" s="385">
        <f t="shared" si="69"/>
        <v>45.60286565192208</v>
      </c>
      <c r="F147" s="385">
        <f t="shared" si="49"/>
        <v>45.605083850736719</v>
      </c>
      <c r="G147" s="110">
        <f t="shared" si="70"/>
        <v>0.72408415003697713</v>
      </c>
      <c r="H147" s="414" t="b">
        <f>Wh_hp&gt;='2020'!Maxi_hp</f>
        <v>0</v>
      </c>
      <c r="I147" s="380">
        <f>IF(H147,Wh_hp,'2020'!Maxi_hp)</f>
        <v>65.445503800800012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2.3366748199212473E-2</v>
      </c>
      <c r="M147" s="844"/>
      <c r="N147" s="844"/>
      <c r="O147" s="48">
        <f>IF(t&lt;Tnet,'2020'!Resal+('2020'!Salim-'2020'!Resal)*(1-EXP(('2020'!Tnet-t)/('2020'!Tau_j))),Resal+(Salim-Resal)*(1-EXP((Tnet-t)/(Tau_j))))*Salcycl</f>
        <v>2.2953244752607956E-2</v>
      </c>
      <c r="P147" s="169">
        <f>(INDEX(Models!$BJ147:$BT147,,T147)*(1-R147)+INDEX(Models!$BJ147:$BT147,,T147+1)*R147-ERP_i)*Q147*Ramure*Pc/MaxiM</f>
        <v>8.0280440244069929E-5</v>
      </c>
      <c r="Q147" s="305">
        <f t="shared" si="51"/>
        <v>0.7</v>
      </c>
      <c r="R147" s="177">
        <f t="shared" si="52"/>
        <v>0.69504420229774722</v>
      </c>
      <c r="S147" s="810">
        <f t="shared" si="53"/>
        <v>-1</v>
      </c>
      <c r="T147" s="176">
        <f t="shared" si="54"/>
        <v>5</v>
      </c>
      <c r="U147" s="251">
        <f t="shared" si="55"/>
        <v>-0.30495579770225273</v>
      </c>
      <c r="V147" s="383">
        <f t="shared" si="56"/>
        <v>60.094704553430184</v>
      </c>
      <c r="W147" s="402"/>
      <c r="X147" s="157">
        <f t="shared" si="57"/>
        <v>44329</v>
      </c>
      <c r="Y147" s="385">
        <f t="shared" si="58"/>
        <v>39.323223788663931</v>
      </c>
      <c r="Z147" s="385">
        <f t="shared" si="59"/>
        <v>40.264064034433503</v>
      </c>
      <c r="AA147" s="386">
        <f t="shared" si="60"/>
        <v>45.60286565192208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0.1170716256789348</v>
      </c>
      <c r="AD147" s="231">
        <f>(INDEX(Models!$BJ147:$BT147,,AH147)*(1-AF147)+INDEX(Models!$BJ147:$BT147,,AH147+1)*AF147-ERP_i)*AE147*Ramure*Pc/MaxiM</f>
        <v>8.0280440244069929E-5</v>
      </c>
      <c r="AE147" s="305">
        <f t="shared" si="62"/>
        <v>0.7</v>
      </c>
      <c r="AF147" s="177">
        <f t="shared" si="63"/>
        <v>0.69504420229774722</v>
      </c>
      <c r="AG147" s="810">
        <f t="shared" si="71"/>
        <v>-1</v>
      </c>
      <c r="AH147" s="176">
        <f t="shared" si="64"/>
        <v>5</v>
      </c>
      <c r="AI147" s="225">
        <f t="shared" si="65"/>
        <v>-0.30495579770225273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6">
        <v>46.642000000000003</v>
      </c>
      <c r="C148" s="390"/>
      <c r="D148" s="393">
        <f t="shared" si="48"/>
        <v>47.759059367204351</v>
      </c>
      <c r="E148" s="385">
        <f t="shared" si="69"/>
        <v>48.891707698803273</v>
      </c>
      <c r="F148" s="385">
        <f t="shared" si="49"/>
        <v>48.894337844114496</v>
      </c>
      <c r="G148" s="110">
        <f t="shared" si="70"/>
        <v>0.774870647310129</v>
      </c>
      <c r="H148" s="414" t="b">
        <f>Wh_hp&gt;='2020'!Maxi_hp</f>
        <v>0</v>
      </c>
      <c r="I148" s="380">
        <f>IF(H148,Wh_hp,'2020'!Maxi_hp)</f>
        <v>63.25386320981476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2.338947588175122E-2</v>
      </c>
      <c r="M148" s="844"/>
      <c r="N148" s="844"/>
      <c r="O148" s="48">
        <f>IF(t&lt;Tnet,'2020'!Resal+('2020'!Salim-'2020'!Resal)*(1-EXP(('2020'!Tnet-t)/('2020'!Tau_j))),Resal+(Salim-Resal)*(1-EXP((Tnet-t)/(Tau_j))))*Salcycl</f>
        <v>2.3166471062467102E-2</v>
      </c>
      <c r="P148" s="169">
        <f>(INDEX(Models!$BJ148:$BT148,,T148)*(1-R148)+INDEX(Models!$BJ148:$BT148,,T148+1)*R148-ERP_i)*Q148*Ramure*Pc/MaxiM</f>
        <v>7.9291350933565516E-5</v>
      </c>
      <c r="Q148" s="305">
        <f t="shared" si="51"/>
        <v>0.7</v>
      </c>
      <c r="R148" s="177">
        <f t="shared" si="52"/>
        <v>0.6980828355502291</v>
      </c>
      <c r="S148" s="810">
        <f t="shared" si="53"/>
        <v>-1</v>
      </c>
      <c r="T148" s="176">
        <f t="shared" si="54"/>
        <v>5</v>
      </c>
      <c r="U148" s="251">
        <f t="shared" si="55"/>
        <v>-0.30191716444977085</v>
      </c>
      <c r="V148" s="383">
        <f t="shared" si="56"/>
        <v>60.191737520733653</v>
      </c>
      <c r="W148" s="402"/>
      <c r="X148" s="157">
        <f t="shared" si="57"/>
        <v>44330</v>
      </c>
      <c r="Y148" s="385">
        <f t="shared" si="58"/>
        <v>42.14999687586392</v>
      </c>
      <c r="Z148" s="385">
        <f t="shared" si="59"/>
        <v>43.159474360487607</v>
      </c>
      <c r="AA148" s="386">
        <f t="shared" si="60"/>
        <v>48.891707698803273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0.11724346741228635</v>
      </c>
      <c r="AD148" s="231">
        <f>(INDEX(Models!$BJ148:$BT148,,AH148)*(1-AF148)+INDEX(Models!$BJ148:$BT148,,AH148+1)*AF148-ERP_i)*AE148*Ramure*Pc/MaxiM</f>
        <v>7.9291350933565516E-5</v>
      </c>
      <c r="AE148" s="305">
        <f t="shared" si="62"/>
        <v>0.7</v>
      </c>
      <c r="AF148" s="177">
        <f t="shared" si="63"/>
        <v>0.6980828355502291</v>
      </c>
      <c r="AG148" s="810">
        <f t="shared" si="71"/>
        <v>-1</v>
      </c>
      <c r="AH148" s="176">
        <f t="shared" si="64"/>
        <v>5</v>
      </c>
      <c r="AI148" s="225">
        <f t="shared" si="65"/>
        <v>-0.30191716444977085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6">
        <v>21.445</v>
      </c>
      <c r="C149" s="390"/>
      <c r="D149" s="393">
        <f t="shared" si="48"/>
        <v>21.959111169169148</v>
      </c>
      <c r="E149" s="385">
        <f t="shared" si="69"/>
        <v>22.48480424620945</v>
      </c>
      <c r="F149" s="385">
        <f t="shared" si="49"/>
        <v>22.484944629984088</v>
      </c>
      <c r="G149" s="110">
        <f t="shared" si="70"/>
        <v>0.35571526414448262</v>
      </c>
      <c r="H149" s="414" t="b">
        <f>Wh_hp&gt;='2020'!Maxi_hp</f>
        <v>0</v>
      </c>
      <c r="I149" s="380">
        <f>IF(H149,Wh_hp,'2020'!Maxi_hp)</f>
        <v>64.201306106001624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2.3412203035383605E-2</v>
      </c>
      <c r="M149" s="844"/>
      <c r="N149" s="844"/>
      <c r="O149" s="48">
        <f>IF(t&lt;Tnet,'2020'!Resal+('2020'!Salim-'2020'!Resal)*(1-EXP(('2020'!Tnet-t)/('2020'!Tau_j))),Resal+(Salim-Resal)*(1-EXP((Tnet-t)/(Tau_j))))*Salcycl</f>
        <v>2.33799267845048E-2</v>
      </c>
      <c r="P149" s="169">
        <f>(INDEX(Models!$BJ149:$BT149,,T149)*(1-R149)+INDEX(Models!$BJ149:$BT149,,T149+1)*R149-ERP_i)*Q149*Ramure*Pc/MaxiM</f>
        <v>7.8405924550693565E-5</v>
      </c>
      <c r="Q149" s="305">
        <f t="shared" si="51"/>
        <v>0.7</v>
      </c>
      <c r="R149" s="177">
        <f t="shared" si="52"/>
        <v>0.70118506892226085</v>
      </c>
      <c r="S149" s="810">
        <f t="shared" si="53"/>
        <v>-1</v>
      </c>
      <c r="T149" s="176">
        <f t="shared" si="54"/>
        <v>5</v>
      </c>
      <c r="U149" s="251">
        <f t="shared" si="55"/>
        <v>-0.29881493107773915</v>
      </c>
      <c r="V149" s="383">
        <f t="shared" si="56"/>
        <v>60.282632283954491</v>
      </c>
      <c r="W149" s="402"/>
      <c r="X149" s="157">
        <f t="shared" si="57"/>
        <v>44331</v>
      </c>
      <c r="Y149" s="385">
        <f t="shared" si="58"/>
        <v>19.380113794118294</v>
      </c>
      <c r="Z149" s="385">
        <f t="shared" si="59"/>
        <v>19.844722465665289</v>
      </c>
      <c r="AA149" s="386">
        <f t="shared" si="60"/>
        <v>22.48480424620945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0.11741626707687418</v>
      </c>
      <c r="AD149" s="231">
        <f>(INDEX(Models!$BJ149:$BT149,,AH149)*(1-AF149)+INDEX(Models!$BJ149:$BT149,,AH149+1)*AF149-ERP_i)*AE149*Ramure*Pc/MaxiM</f>
        <v>7.8405924550693565E-5</v>
      </c>
      <c r="AE149" s="305">
        <f t="shared" si="62"/>
        <v>0.7</v>
      </c>
      <c r="AF149" s="177">
        <f t="shared" si="63"/>
        <v>0.70118506892226085</v>
      </c>
      <c r="AG149" s="810">
        <f t="shared" si="71"/>
        <v>-1</v>
      </c>
      <c r="AH149" s="176">
        <f t="shared" si="64"/>
        <v>5</v>
      </c>
      <c r="AI149" s="225">
        <f t="shared" si="65"/>
        <v>-0.29881493107773915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6">
        <v>13.456</v>
      </c>
      <c r="C150" s="390"/>
      <c r="D150" s="393">
        <f t="shared" si="48"/>
        <v>13.778907733528552</v>
      </c>
      <c r="E150" s="385">
        <f t="shared" si="69"/>
        <v>14.111857273379419</v>
      </c>
      <c r="F150" s="385">
        <f t="shared" si="49"/>
        <v>14.111857273379419</v>
      </c>
      <c r="G150" s="110">
        <f t="shared" si="70"/>
        <v>0.22288788506697776</v>
      </c>
      <c r="H150" s="414" t="b">
        <f>Wh_hp&gt;='2020'!Maxi_hp</f>
        <v>0</v>
      </c>
      <c r="I150" s="380">
        <f>IF(H150,Wh_hp,'2020'!Maxi_hp)</f>
        <v>54.266250019129309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2.343492966012195E-2</v>
      </c>
      <c r="M150" s="844"/>
      <c r="N150" s="844"/>
      <c r="O150" s="48">
        <f>IF(t&lt;Tnet,'2020'!Resal+('2020'!Salim-'2020'!Resal)*(1-EXP(('2020'!Tnet-t)/('2020'!Tau_j))),Resal+(Salim-Resal)*(1-EXP((Tnet-t)/(Tau_j))))*Salcycl</f>
        <v>2.3593601706767671E-2</v>
      </c>
      <c r="P150" s="169">
        <f>(INDEX(Models!$BJ150:$BT150,,T150)*(1-R150)+INDEX(Models!$BJ150:$BT150,,T150+1)*R150-ERP_i)*Q150*Ramure*Pc/MaxiM</f>
        <v>7.7712345012378561E-5</v>
      </c>
      <c r="Q150" s="305">
        <f t="shared" si="51"/>
        <v>0.7</v>
      </c>
      <c r="R150" s="177">
        <f t="shared" si="52"/>
        <v>0.70435021889116178</v>
      </c>
      <c r="S150" s="810">
        <f t="shared" si="53"/>
        <v>-1</v>
      </c>
      <c r="T150" s="176">
        <f t="shared" si="54"/>
        <v>5</v>
      </c>
      <c r="U150" s="251">
        <f t="shared" si="55"/>
        <v>-0.29564978110883822</v>
      </c>
      <c r="V150" s="383">
        <f t="shared" si="56"/>
        <v>60.366467646468536</v>
      </c>
      <c r="W150" s="402"/>
      <c r="X150" s="157">
        <f t="shared" si="57"/>
        <v>44332</v>
      </c>
      <c r="Y150" s="385">
        <f t="shared" si="58"/>
        <v>12.160622471758266</v>
      </c>
      <c r="Z150" s="385">
        <f t="shared" si="59"/>
        <v>12.452444635897077</v>
      </c>
      <c r="AA150" s="386">
        <f t="shared" si="60"/>
        <v>14.111857273379419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0.11758995328082403</v>
      </c>
      <c r="AD150" s="231">
        <f>(INDEX(Models!$BJ150:$BT150,,AH150)*(1-AF150)+INDEX(Models!$BJ150:$BT150,,AH150+1)*AF150-ERP_i)*AE150*Ramure*Pc/MaxiM</f>
        <v>7.7712345012378561E-5</v>
      </c>
      <c r="AE150" s="305">
        <f t="shared" si="62"/>
        <v>0.7</v>
      </c>
      <c r="AF150" s="177">
        <f t="shared" si="63"/>
        <v>0.70435021889116178</v>
      </c>
      <c r="AG150" s="810">
        <f t="shared" si="71"/>
        <v>-1</v>
      </c>
      <c r="AH150" s="176">
        <f t="shared" si="64"/>
        <v>5</v>
      </c>
      <c r="AI150" s="225">
        <f t="shared" si="65"/>
        <v>-0.29564978110883822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6">
        <v>56.977000000000004</v>
      </c>
      <c r="C151" s="390"/>
      <c r="D151" s="393">
        <f t="shared" si="48"/>
        <v>58.345652224746139</v>
      </c>
      <c r="E151" s="385">
        <f t="shared" si="69"/>
        <v>59.768592048470602</v>
      </c>
      <c r="F151" s="385">
        <f t="shared" si="49"/>
        <v>59.772823260261717</v>
      </c>
      <c r="G151" s="110">
        <f t="shared" si="70"/>
        <v>0.94264190007693616</v>
      </c>
      <c r="H151" s="414" t="b">
        <f>Wh_hp&gt;='2020'!Maxi_hp</f>
        <v>1</v>
      </c>
      <c r="I151" s="380">
        <f>IF(H151,Wh_hp,'2020'!Maxi_hp)</f>
        <v>59.772823260261717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2.3457655755978468E-2</v>
      </c>
      <c r="M151" s="844"/>
      <c r="N151" s="844"/>
      <c r="O151" s="48">
        <f>IF(t&lt;Tnet,'2020'!Resal+('2020'!Salim-'2020'!Resal)*(1-EXP(('2020'!Tnet-t)/('2020'!Tau_j))),Resal+(Salim-Resal)*(1-EXP((Tnet-t)/(Tau_j))))*Salcycl</f>
        <v>2.3807484415401588E-2</v>
      </c>
      <c r="P151" s="169">
        <f>(INDEX(Models!$BJ151:$BT151,,T151)*(1-R151)+INDEX(Models!$BJ151:$BT151,,T151+1)*R151-ERP_i)*Q151*Ramure*Pc/MaxiM</f>
        <v>7.7105609082886301E-5</v>
      </c>
      <c r="Q151" s="305">
        <f t="shared" si="51"/>
        <v>0.7</v>
      </c>
      <c r="R151" s="177">
        <f t="shared" si="52"/>
        <v>0.70757746557914081</v>
      </c>
      <c r="S151" s="810">
        <f t="shared" si="53"/>
        <v>-1</v>
      </c>
      <c r="T151" s="176">
        <f t="shared" si="54"/>
        <v>5</v>
      </c>
      <c r="U151" s="251">
        <f t="shared" si="55"/>
        <v>-0.29242253442085919</v>
      </c>
      <c r="V151" s="383">
        <f t="shared" si="56"/>
        <v>60.443568256425941</v>
      </c>
      <c r="W151" s="402"/>
      <c r="X151" s="157">
        <f t="shared" si="57"/>
        <v>44333</v>
      </c>
      <c r="Y151" s="385">
        <f t="shared" si="58"/>
        <v>51.493054982628529</v>
      </c>
      <c r="Z151" s="385">
        <f t="shared" si="59"/>
        <v>52.729976622254156</v>
      </c>
      <c r="AA151" s="386">
        <f t="shared" si="60"/>
        <v>59.768592048470602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0.11776445094286865</v>
      </c>
      <c r="AD151" s="231">
        <f>(INDEX(Models!$BJ151:$BT151,,AH151)*(1-AF151)+INDEX(Models!$BJ151:$BT151,,AH151+1)*AF151-ERP_i)*AE151*Ramure*Pc/MaxiM</f>
        <v>7.7105609082886301E-5</v>
      </c>
      <c r="AE151" s="305">
        <f t="shared" si="62"/>
        <v>0.7</v>
      </c>
      <c r="AF151" s="177">
        <f t="shared" si="63"/>
        <v>0.70757746557914081</v>
      </c>
      <c r="AG151" s="810">
        <f t="shared" si="71"/>
        <v>-1</v>
      </c>
      <c r="AH151" s="176">
        <f t="shared" si="64"/>
        <v>5</v>
      </c>
      <c r="AI151" s="225">
        <f t="shared" si="65"/>
        <v>-0.29242253442085919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6">
        <v>35.326999999999998</v>
      </c>
      <c r="C152" s="390"/>
      <c r="D152" s="393">
        <f t="shared" si="48"/>
        <v>36.176436524501348</v>
      </c>
      <c r="E152" s="385">
        <f t="shared" si="69"/>
        <v>37.066839928956917</v>
      </c>
      <c r="F152" s="385">
        <f t="shared" si="49"/>
        <v>37.067990814614589</v>
      </c>
      <c r="G152" s="110">
        <f t="shared" si="70"/>
        <v>0.58375324718072064</v>
      </c>
      <c r="H152" s="414" t="b">
        <f>Wh_hp&gt;='2020'!Maxi_hp</f>
        <v>0</v>
      </c>
      <c r="I152" s="380">
        <f>IF(H152,Wh_hp,'2020'!Maxi_hp)</f>
        <v>66.086546918529152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2.3480381322965593E-2</v>
      </c>
      <c r="M152" s="844"/>
      <c r="N152" s="844"/>
      <c r="O152" s="48">
        <f>IF(t&lt;Tnet,'2020'!Resal+('2020'!Salim-'2020'!Resal)*(1-EXP(('2020'!Tnet-t)/('2020'!Tau_j))),Resal+(Salim-Resal)*(1-EXP((Tnet-t)/(Tau_j))))*Salcycl</f>
        <v>2.402156229562959E-2</v>
      </c>
      <c r="P152" s="169">
        <f>(INDEX(Models!$BJ152:$BT152,,T152)*(1-R152)+INDEX(Models!$BJ152:$BT152,,T152+1)*R152-ERP_i)*Q152*Ramure*Pc/MaxiM</f>
        <v>7.6586045179069919E-5</v>
      </c>
      <c r="Q152" s="305">
        <f t="shared" si="51"/>
        <v>0.7</v>
      </c>
      <c r="R152" s="177">
        <f t="shared" si="52"/>
        <v>0.71086584975830647</v>
      </c>
      <c r="S152" s="810">
        <f t="shared" si="53"/>
        <v>-1</v>
      </c>
      <c r="T152" s="176">
        <f t="shared" si="54"/>
        <v>5</v>
      </c>
      <c r="U152" s="251">
        <f t="shared" si="55"/>
        <v>-0.28913415024169353</v>
      </c>
      <c r="V152" s="383">
        <f t="shared" si="56"/>
        <v>60.514252206520993</v>
      </c>
      <c r="W152" s="402"/>
      <c r="X152" s="157">
        <f t="shared" si="57"/>
        <v>44334</v>
      </c>
      <c r="Y152" s="385">
        <f t="shared" si="58"/>
        <v>31.927493139905568</v>
      </c>
      <c r="Z152" s="385">
        <f t="shared" si="59"/>
        <v>32.695188636517287</v>
      </c>
      <c r="AA152" s="386">
        <f t="shared" si="60"/>
        <v>37.066839928956917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0.11793968141925319</v>
      </c>
      <c r="AD152" s="231">
        <f>(INDEX(Models!$BJ152:$BT152,,AH152)*(1-AF152)+INDEX(Models!$BJ152:$BT152,,AH152+1)*AF152-ERP_i)*AE152*Ramure*Pc/MaxiM</f>
        <v>7.6586045179069919E-5</v>
      </c>
      <c r="AE152" s="305">
        <f t="shared" si="62"/>
        <v>0.7</v>
      </c>
      <c r="AF152" s="177">
        <f t="shared" si="63"/>
        <v>0.71086584975830647</v>
      </c>
      <c r="AG152" s="810">
        <f t="shared" si="71"/>
        <v>-1</v>
      </c>
      <c r="AH152" s="176">
        <f t="shared" si="64"/>
        <v>5</v>
      </c>
      <c r="AI152" s="225">
        <f t="shared" si="65"/>
        <v>-0.28913415024169353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6">
        <v>44.109000000000002</v>
      </c>
      <c r="C153" s="390"/>
      <c r="D153" s="393">
        <f t="shared" si="48"/>
        <v>45.1706506055829</v>
      </c>
      <c r="E153" s="385">
        <f t="shared" si="69"/>
        <v>46.29258954434151</v>
      </c>
      <c r="F153" s="385">
        <f t="shared" si="49"/>
        <v>46.294745789742059</v>
      </c>
      <c r="G153" s="110">
        <f t="shared" si="70"/>
        <v>0.72810402464045143</v>
      </c>
      <c r="H153" s="414" t="b">
        <f>Wh_hp&gt;='2020'!Maxi_hp</f>
        <v>0</v>
      </c>
      <c r="I153" s="380">
        <f>IF(H153,Wh_hp,'2020'!Maxi_hp)</f>
        <v>64.867381436850934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2.3503106361095538E-2</v>
      </c>
      <c r="M153" s="844"/>
      <c r="N153" s="844"/>
      <c r="O153" s="48">
        <f>IF(t&lt;Tnet,'2020'!Resal+('2020'!Salim-'2020'!Resal)*(1-EXP(('2020'!Tnet-t)/('2020'!Tau_j))),Resal+(Salim-Resal)*(1-EXP((Tnet-t)/(Tau_j))))*Salcycl</f>
        <v>2.4235821538649435E-2</v>
      </c>
      <c r="P153" s="169">
        <f>(INDEX(Models!$BJ153:$BT153,,T153)*(1-R153)+INDEX(Models!$BJ153:$BT153,,T153+1)*R153-ERP_i)*Q153*Ramure*Pc/MaxiM</f>
        <v>7.6154112908389848E-5</v>
      </c>
      <c r="Q153" s="305">
        <f t="shared" si="51"/>
        <v>0.7</v>
      </c>
      <c r="R153" s="177">
        <f t="shared" si="52"/>
        <v>0.71421427037214369</v>
      </c>
      <c r="S153" s="810">
        <f t="shared" si="53"/>
        <v>-1</v>
      </c>
      <c r="T153" s="176">
        <f t="shared" si="54"/>
        <v>5</v>
      </c>
      <c r="U153" s="251">
        <f t="shared" si="55"/>
        <v>-0.28578572962785631</v>
      </c>
      <c r="V153" s="383">
        <f t="shared" si="56"/>
        <v>60.578837371959871</v>
      </c>
      <c r="W153" s="402"/>
      <c r="X153" s="157">
        <f t="shared" si="57"/>
        <v>44335</v>
      </c>
      <c r="Y153" s="385">
        <f t="shared" si="58"/>
        <v>39.865206681681997</v>
      </c>
      <c r="Z153" s="385">
        <f t="shared" si="59"/>
        <v>40.824714283652007</v>
      </c>
      <c r="AA153" s="386">
        <f t="shared" si="60"/>
        <v>46.29258954434151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0.1181155626528968</v>
      </c>
      <c r="AD153" s="231">
        <f>(INDEX(Models!$BJ153:$BT153,,AH153)*(1-AF153)+INDEX(Models!$BJ153:$BT153,,AH153+1)*AF153-ERP_i)*AE153*Ramure*Pc/MaxiM</f>
        <v>7.6154112908389848E-5</v>
      </c>
      <c r="AE153" s="305">
        <f t="shared" si="62"/>
        <v>0.7</v>
      </c>
      <c r="AF153" s="177">
        <f t="shared" si="63"/>
        <v>0.71421427037214369</v>
      </c>
      <c r="AG153" s="810">
        <f t="shared" si="71"/>
        <v>-1</v>
      </c>
      <c r="AH153" s="176">
        <f t="shared" si="64"/>
        <v>5</v>
      </c>
      <c r="AI153" s="225">
        <f t="shared" si="65"/>
        <v>-0.28578572962785631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6">
        <v>59.624000000000002</v>
      </c>
      <c r="C154" s="390"/>
      <c r="D154" s="393">
        <f t="shared" si="48"/>
        <v>61.060498971668537</v>
      </c>
      <c r="E154" s="385">
        <f t="shared" si="69"/>
        <v>62.590860992561794</v>
      </c>
      <c r="F154" s="385">
        <f t="shared" si="49"/>
        <v>62.595493059251645</v>
      </c>
      <c r="G154" s="110">
        <f t="shared" si="70"/>
        <v>0.98328184726410017</v>
      </c>
      <c r="H154" s="414" t="b">
        <f>Wh_hp&gt;='2020'!Maxi_hp</f>
        <v>0</v>
      </c>
      <c r="I154" s="380">
        <f>IF(H154,Wh_hp,'2020'!Maxi_hp)</f>
        <v>62.875000616079284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2.3525830870380737E-2</v>
      </c>
      <c r="M154" s="844"/>
      <c r="N154" s="844"/>
      <c r="O154" s="48">
        <f>IF(t&lt;Tnet,'2020'!Resal+('2020'!Salim-'2020'!Resal)*(1-EXP(('2020'!Tnet-t)/('2020'!Tau_j))),Resal+(Salim-Resal)*(1-EXP((Tnet-t)/(Tau_j))))*Salcycl</f>
        <v>2.445024715469447E-2</v>
      </c>
      <c r="P154" s="169">
        <f>(INDEX(Models!$BJ154:$BT154,,T154)*(1-R154)+INDEX(Models!$BJ154:$BT154,,T154+1)*R154-ERP_i)*Q154*Ramure*Pc/MaxiM</f>
        <v>7.5810395842472699E-5</v>
      </c>
      <c r="Q154" s="305">
        <f t="shared" si="51"/>
        <v>0.7</v>
      </c>
      <c r="R154" s="177">
        <f t="shared" si="52"/>
        <v>0.71762148261827219</v>
      </c>
      <c r="S154" s="810">
        <f t="shared" si="53"/>
        <v>-1</v>
      </c>
      <c r="T154" s="176">
        <f t="shared" si="54"/>
        <v>5</v>
      </c>
      <c r="U154" s="251">
        <f t="shared" si="55"/>
        <v>-0.28237851738172781</v>
      </c>
      <c r="V154" s="383">
        <f t="shared" si="56"/>
        <v>60.637641399627427</v>
      </c>
      <c r="W154" s="402"/>
      <c r="X154" s="157">
        <f t="shared" si="57"/>
        <v>44336</v>
      </c>
      <c r="Y154" s="385">
        <f t="shared" si="58"/>
        <v>53.888545490877839</v>
      </c>
      <c r="Z154" s="385">
        <f t="shared" si="59"/>
        <v>55.186862279123496</v>
      </c>
      <c r="AA154" s="386">
        <f t="shared" si="60"/>
        <v>62.590860992561794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0.11829200934491342</v>
      </c>
      <c r="AD154" s="231">
        <f>(INDEX(Models!$BJ154:$BT154,,AH154)*(1-AF154)+INDEX(Models!$BJ154:$BT154,,AH154+1)*AF154-ERP_i)*AE154*Ramure*Pc/MaxiM</f>
        <v>7.5810395842472699E-5</v>
      </c>
      <c r="AE154" s="305">
        <f t="shared" si="62"/>
        <v>0.7</v>
      </c>
      <c r="AF154" s="177">
        <f t="shared" si="63"/>
        <v>0.71762148261827219</v>
      </c>
      <c r="AG154" s="810">
        <f t="shared" si="71"/>
        <v>-1</v>
      </c>
      <c r="AH154" s="176">
        <f t="shared" si="64"/>
        <v>5</v>
      </c>
      <c r="AI154" s="225">
        <f t="shared" si="65"/>
        <v>-0.28237851738172781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6">
        <v>37.716999999999999</v>
      </c>
      <c r="C155" s="390"/>
      <c r="D155" s="393">
        <f t="shared" si="48"/>
        <v>38.626600623483327</v>
      </c>
      <c r="E155" s="385">
        <f t="shared" si="69"/>
        <v>39.603411764553556</v>
      </c>
      <c r="F155" s="385">
        <f t="shared" si="49"/>
        <v>39.60478594196524</v>
      </c>
      <c r="G155" s="110">
        <f t="shared" si="70"/>
        <v>0.62143431898739221</v>
      </c>
      <c r="H155" s="414" t="b">
        <f>Wh_hp&gt;='2020'!Maxi_hp</f>
        <v>0</v>
      </c>
      <c r="I155" s="380">
        <f>IF(H155,Wh_hp,'2020'!Maxi_hp)</f>
        <v>62.49902622803689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2.3548554850833292E-2</v>
      </c>
      <c r="M155" s="844"/>
      <c r="N155" s="844"/>
      <c r="O155" s="48">
        <f>IF(t&lt;Tnet,'2020'!Resal+('2020'!Salim-'2020'!Resal)*(1-EXP(('2020'!Tnet-t)/('2020'!Tau_j))),Resal+(Salim-Resal)*(1-EXP((Tnet-t)/(Tau_j))))*Salcycl</f>
        <v>2.4664822992460231E-2</v>
      </c>
      <c r="P155" s="169">
        <f>(INDEX(Models!$BJ155:$BT155,,T155)*(1-R155)+INDEX(Models!$BJ155:$BT155,,T155+1)*R155-ERP_i)*Q155*Ramure*Pc/MaxiM</f>
        <v>7.5555594008322989E-5</v>
      </c>
      <c r="Q155" s="305">
        <f t="shared" si="51"/>
        <v>0.7</v>
      </c>
      <c r="R155" s="177">
        <f t="shared" si="52"/>
        <v>0.72108609663502654</v>
      </c>
      <c r="S155" s="810">
        <f t="shared" si="53"/>
        <v>-1</v>
      </c>
      <c r="T155" s="176">
        <f t="shared" si="54"/>
        <v>5</v>
      </c>
      <c r="U155" s="251">
        <f t="shared" si="55"/>
        <v>-0.27891390336497351</v>
      </c>
      <c r="V155" s="383">
        <f t="shared" si="56"/>
        <v>60.690981718009425</v>
      </c>
      <c r="W155" s="402"/>
      <c r="X155" s="157">
        <f t="shared" si="57"/>
        <v>44337</v>
      </c>
      <c r="Y155" s="385">
        <f t="shared" si="58"/>
        <v>34.089519205544413</v>
      </c>
      <c r="Z155" s="385">
        <f t="shared" si="59"/>
        <v>34.911637823769887</v>
      </c>
      <c r="AA155" s="386">
        <f t="shared" si="60"/>
        <v>39.603411764553556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0.11846893314840541</v>
      </c>
      <c r="AD155" s="231">
        <f>(INDEX(Models!$BJ155:$BT155,,AH155)*(1-AF155)+INDEX(Models!$BJ155:$BT155,,AH155+1)*AF155-ERP_i)*AE155*Ramure*Pc/MaxiM</f>
        <v>7.5555594008322989E-5</v>
      </c>
      <c r="AE155" s="305">
        <f t="shared" si="62"/>
        <v>0.7</v>
      </c>
      <c r="AF155" s="177">
        <f t="shared" si="63"/>
        <v>0.72108609663502654</v>
      </c>
      <c r="AG155" s="810">
        <f t="shared" si="71"/>
        <v>-1</v>
      </c>
      <c r="AH155" s="176">
        <f t="shared" si="64"/>
        <v>5</v>
      </c>
      <c r="AI155" s="225">
        <f t="shared" si="65"/>
        <v>-0.27891390336497351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6">
        <v>27.751000000000001</v>
      </c>
      <c r="C156" s="390"/>
      <c r="D156" s="393">
        <f t="shared" si="48"/>
        <v>28.420917352527809</v>
      </c>
      <c r="E156" s="385">
        <f t="shared" si="69"/>
        <v>29.146057618882942</v>
      </c>
      <c r="F156" s="385">
        <f t="shared" si="49"/>
        <v>29.146550462067857</v>
      </c>
      <c r="G156" s="110">
        <f t="shared" si="70"/>
        <v>0.45686127309158658</v>
      </c>
      <c r="H156" s="414" t="b">
        <f>Wh_hp&gt;='2020'!Maxi_hp</f>
        <v>0</v>
      </c>
      <c r="I156" s="380">
        <f>IF(H156,Wh_hp,'2020'!Maxi_hp)</f>
        <v>62.066231268120049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2.3571278302465637E-2</v>
      </c>
      <c r="M156" s="844"/>
      <c r="N156" s="844"/>
      <c r="O156" s="48">
        <f>IF(t&lt;Tnet,'2020'!Resal+('2020'!Salim-'2020'!Resal)*(1-EXP(('2020'!Tnet-t)/('2020'!Tau_j))),Resal+(Salim-Resal)*(1-EXP((Tnet-t)/(Tau_j))))*Salcycl</f>
        <v>2.4879531765055429E-2</v>
      </c>
      <c r="P156" s="169">
        <f>(INDEX(Models!$BJ156:$BT156,,T156)*(1-R156)+INDEX(Models!$BJ156:$BT156,,T156+1)*R156-ERP_i)*Q156*Ramure*Pc/MaxiM</f>
        <v>7.544489469966355E-5</v>
      </c>
      <c r="Q156" s="305">
        <f t="shared" si="51"/>
        <v>0.7</v>
      </c>
      <c r="R156" s="177">
        <f t="shared" si="52"/>
        <v>0.72460657683147101</v>
      </c>
      <c r="S156" s="810">
        <f t="shared" si="53"/>
        <v>-1</v>
      </c>
      <c r="T156" s="176">
        <f t="shared" si="54"/>
        <v>5</v>
      </c>
      <c r="U156" s="251">
        <f t="shared" si="55"/>
        <v>-0.27539342316852899</v>
      </c>
      <c r="V156" s="383">
        <f t="shared" si="56"/>
        <v>60.739172219832703</v>
      </c>
      <c r="W156" s="402"/>
      <c r="X156" s="157">
        <f t="shared" si="57"/>
        <v>44338</v>
      </c>
      <c r="Y156" s="385">
        <f t="shared" si="58"/>
        <v>25.082488687773306</v>
      </c>
      <c r="Z156" s="385">
        <f t="shared" si="59"/>
        <v>25.687987387514642</v>
      </c>
      <c r="AA156" s="386">
        <f t="shared" si="60"/>
        <v>29.146057618882942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0.11864624288424891</v>
      </c>
      <c r="AD156" s="231">
        <f>(INDEX(Models!$BJ156:$BT156,,AH156)*(1-AF156)+INDEX(Models!$BJ156:$BT156,,AH156+1)*AF156-ERP_i)*AE156*Ramure*Pc/MaxiM</f>
        <v>7.544489469966355E-5</v>
      </c>
      <c r="AE156" s="305">
        <f t="shared" si="62"/>
        <v>0.7</v>
      </c>
      <c r="AF156" s="177">
        <f t="shared" si="63"/>
        <v>0.72460657683147101</v>
      </c>
      <c r="AG156" s="810">
        <f t="shared" si="71"/>
        <v>-1</v>
      </c>
      <c r="AH156" s="176">
        <f t="shared" si="64"/>
        <v>5</v>
      </c>
      <c r="AI156" s="225">
        <f t="shared" si="65"/>
        <v>-0.27539342316852899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6">
        <v>38.225000000000001</v>
      </c>
      <c r="C157" s="390"/>
      <c r="D157" s="393">
        <f t="shared" si="48"/>
        <v>39.148673858997675</v>
      </c>
      <c r="E157" s="385">
        <f t="shared" si="69"/>
        <v>40.156372119800494</v>
      </c>
      <c r="F157" s="385">
        <f t="shared" si="49"/>
        <v>40.15779621089046</v>
      </c>
      <c r="G157" s="110">
        <f t="shared" si="70"/>
        <v>0.62885619252366698</v>
      </c>
      <c r="H157" s="414" t="b">
        <f>Wh_hp&gt;='2020'!Maxi_hp</f>
        <v>0</v>
      </c>
      <c r="I157" s="380">
        <f>IF(H157,Wh_hp,'2020'!Maxi_hp)</f>
        <v>58.102638040850181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2.3594001225290095E-2</v>
      </c>
      <c r="M157" s="844"/>
      <c r="N157" s="844"/>
      <c r="O157" s="48">
        <f>IF(t&lt;Tnet,'2020'!Resal+('2020'!Salim-'2020'!Resal)*(1-EXP(('2020'!Tnet-t)/('2020'!Tau_j))),Resal+(Salim-Resal)*(1-EXP((Tnet-t)/(Tau_j))))*Salcycl</f>
        <v>2.5094355082588133E-2</v>
      </c>
      <c r="P157" s="169">
        <f>(INDEX(Models!$BJ157:$BT157,,T157)*(1-R157)+INDEX(Models!$BJ157:$BT157,,T157+1)*R157-ERP_i)*Q157*Ramure*Pc/MaxiM</f>
        <v>7.5479094106181019E-5</v>
      </c>
      <c r="Q157" s="305">
        <f t="shared" si="51"/>
        <v>0.7</v>
      </c>
      <c r="R157" s="177">
        <f t="shared" si="52"/>
        <v>0.72818124189688882</v>
      </c>
      <c r="S157" s="810">
        <f t="shared" si="53"/>
        <v>-1</v>
      </c>
      <c r="T157" s="176">
        <f t="shared" si="54"/>
        <v>5</v>
      </c>
      <c r="U157" s="251">
        <f t="shared" si="55"/>
        <v>-0.27181875810311118</v>
      </c>
      <c r="V157" s="383">
        <f t="shared" si="56"/>
        <v>60.782529871447572</v>
      </c>
      <c r="W157" s="402"/>
      <c r="X157" s="157">
        <f t="shared" si="57"/>
        <v>44339</v>
      </c>
      <c r="Y157" s="385">
        <f t="shared" si="58"/>
        <v>34.549967690667586</v>
      </c>
      <c r="Z157" s="385">
        <f t="shared" si="59"/>
        <v>35.38483759217403</v>
      </c>
      <c r="AA157" s="386">
        <f t="shared" si="60"/>
        <v>40.156372119800494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0.11882384477839054</v>
      </c>
      <c r="AD157" s="231">
        <f>(INDEX(Models!$BJ157:$BT157,,AH157)*(1-AF157)+INDEX(Models!$BJ157:$BT157,,AH157+1)*AF157-ERP_i)*AE157*Ramure*Pc/MaxiM</f>
        <v>7.5479094106181019E-5</v>
      </c>
      <c r="AE157" s="305">
        <f t="shared" si="62"/>
        <v>0.7</v>
      </c>
      <c r="AF157" s="177">
        <f t="shared" si="63"/>
        <v>0.72818124189688882</v>
      </c>
      <c r="AG157" s="810">
        <f t="shared" si="71"/>
        <v>-1</v>
      </c>
      <c r="AH157" s="176">
        <f t="shared" si="64"/>
        <v>5</v>
      </c>
      <c r="AI157" s="225">
        <f t="shared" si="65"/>
        <v>-0.27181875810311118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6">
        <v>28.048999999999999</v>
      </c>
      <c r="C158" s="390"/>
      <c r="D158" s="393">
        <f t="shared" si="48"/>
        <v>28.727448204534799</v>
      </c>
      <c r="E158" s="385">
        <f t="shared" si="69"/>
        <v>29.473398508098676</v>
      </c>
      <c r="F158" s="385">
        <f t="shared" si="49"/>
        <v>29.473911948934084</v>
      </c>
      <c r="G158" s="110">
        <f t="shared" si="70"/>
        <v>0.46114327542687833</v>
      </c>
      <c r="H158" s="414" t="b">
        <f>Wh_hp&gt;='2020'!Maxi_hp</f>
        <v>1</v>
      </c>
      <c r="I158" s="380">
        <f>IF(H158,Wh_hp,'2020'!Maxi_hp)</f>
        <v>29.473911948934084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2.3616723619318991E-2</v>
      </c>
      <c r="M158" s="844"/>
      <c r="N158" s="844"/>
      <c r="O158" s="48">
        <f>IF(t&lt;Tnet,'2020'!Resal+('2020'!Salim-'2020'!Resal)*(1-EXP(('2020'!Tnet-t)/('2020'!Tau_j))),Resal+(Salim-Resal)*(1-EXP((Tnet-t)/(Tau_j))))*Salcycl</f>
        <v>2.5309273491447067E-2</v>
      </c>
      <c r="P158" s="169">
        <f>(INDEX(Models!$BJ158:$BT158,,T158)*(1-R158)+INDEX(Models!$BJ158:$BT158,,T158+1)*R158-ERP_i)*Q158*Ramure*Pc/MaxiM</f>
        <v>7.5659958147779002E-5</v>
      </c>
      <c r="Q158" s="305">
        <f t="shared" si="51"/>
        <v>0.7</v>
      </c>
      <c r="R158" s="177">
        <f t="shared" si="52"/>
        <v>0.73180826552155243</v>
      </c>
      <c r="S158" s="810">
        <f t="shared" si="53"/>
        <v>-1</v>
      </c>
      <c r="T158" s="176">
        <f t="shared" si="54"/>
        <v>5</v>
      </c>
      <c r="U158" s="251">
        <f t="shared" si="55"/>
        <v>-0.26819173447844757</v>
      </c>
      <c r="V158" s="383">
        <f t="shared" si="56"/>
        <v>60.821371358015789</v>
      </c>
      <c r="W158" s="402"/>
      <c r="X158" s="157">
        <f t="shared" si="57"/>
        <v>44340</v>
      </c>
      <c r="Y158" s="385">
        <f t="shared" si="58"/>
        <v>25.352783453542557</v>
      </c>
      <c r="Z158" s="385">
        <f t="shared" si="59"/>
        <v>25.966015669094467</v>
      </c>
      <c r="AA158" s="386">
        <f t="shared" si="60"/>
        <v>29.473398508098676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0.11900164271997511</v>
      </c>
      <c r="AD158" s="231">
        <f>(INDEX(Models!$BJ158:$BT158,,AH158)*(1-AF158)+INDEX(Models!$BJ158:$BT158,,AH158+1)*AF158-ERP_i)*AE158*Ramure*Pc/MaxiM</f>
        <v>7.5659958147779002E-5</v>
      </c>
      <c r="AE158" s="305">
        <f t="shared" si="62"/>
        <v>0.7</v>
      </c>
      <c r="AF158" s="177">
        <f t="shared" si="63"/>
        <v>0.73180826552155243</v>
      </c>
      <c r="AG158" s="810">
        <f t="shared" si="71"/>
        <v>-1</v>
      </c>
      <c r="AH158" s="176">
        <f t="shared" si="64"/>
        <v>5</v>
      </c>
      <c r="AI158" s="225">
        <f t="shared" si="65"/>
        <v>-0.26819173447844757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6">
        <v>47.71</v>
      </c>
      <c r="C159" s="390"/>
      <c r="D159" s="393">
        <f t="shared" si="48"/>
        <v>48.865144929660048</v>
      </c>
      <c r="E159" s="385">
        <f t="shared" si="69"/>
        <v>50.145060826881263</v>
      </c>
      <c r="F159" s="385">
        <f t="shared" si="49"/>
        <v>50.147695563898488</v>
      </c>
      <c r="G159" s="110">
        <f t="shared" si="70"/>
        <v>0.78396330455601526</v>
      </c>
      <c r="H159" s="414" t="b">
        <f>Wh_hp&gt;='2020'!Maxi_hp</f>
        <v>0</v>
      </c>
      <c r="I159" s="380">
        <f>IF(H159,Wh_hp,'2020'!Maxi_hp)</f>
        <v>60.701429062818967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2.3639445484564536E-2</v>
      </c>
      <c r="M159" s="844"/>
      <c r="N159" s="844"/>
      <c r="O159" s="48">
        <f>IF(t&lt;Tnet,'2020'!Resal+('2020'!Salim-'2020'!Resal)*(1-EXP(('2020'!Tnet-t)/('2020'!Tau_j))),Resal+(Salim-Resal)*(1-EXP((Tnet-t)/(Tau_j))))*Salcycl</f>
        <v>2.5524266520284895E-2</v>
      </c>
      <c r="P159" s="169">
        <f>(INDEX(Models!$BJ159:$BT159,,T159)*(1-R159)+INDEX(Models!$BJ159:$BT159,,T159+1)*R159-ERP_i)*Q159*Ramure*Pc/MaxiM</f>
        <v>7.5989817359729087E-5</v>
      </c>
      <c r="Q159" s="305">
        <f t="shared" si="51"/>
        <v>0.7</v>
      </c>
      <c r="R159" s="177">
        <f t="shared" si="52"/>
        <v>0.73548567785572616</v>
      </c>
      <c r="S159" s="810">
        <f t="shared" si="53"/>
        <v>-1</v>
      </c>
      <c r="T159" s="176">
        <f t="shared" si="54"/>
        <v>5</v>
      </c>
      <c r="U159" s="251">
        <f t="shared" si="55"/>
        <v>-0.26451432214427384</v>
      </c>
      <c r="V159" s="383">
        <f t="shared" si="56"/>
        <v>60.85601309573255</v>
      </c>
      <c r="W159" s="402"/>
      <c r="X159" s="157">
        <f t="shared" si="57"/>
        <v>44341</v>
      </c>
      <c r="Y159" s="385">
        <f t="shared" si="58"/>
        <v>43.124669781383481</v>
      </c>
      <c r="Z159" s="385">
        <f t="shared" si="59"/>
        <v>44.168795617502298</v>
      </c>
      <c r="AA159" s="386">
        <f t="shared" si="60"/>
        <v>50.145060826881263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0.11917953853942223</v>
      </c>
      <c r="AD159" s="231">
        <f>(INDEX(Models!$BJ159:$BT159,,AH159)*(1-AF159)+INDEX(Models!$BJ159:$BT159,,AH159+1)*AF159-ERP_i)*AE159*Ramure*Pc/MaxiM</f>
        <v>7.5989817359729087E-5</v>
      </c>
      <c r="AE159" s="305">
        <f t="shared" si="62"/>
        <v>0.7</v>
      </c>
      <c r="AF159" s="177">
        <f t="shared" si="63"/>
        <v>0.73548567785572616</v>
      </c>
      <c r="AG159" s="810">
        <f t="shared" si="71"/>
        <v>-1</v>
      </c>
      <c r="AH159" s="176">
        <f t="shared" si="64"/>
        <v>5</v>
      </c>
      <c r="AI159" s="225">
        <f t="shared" si="65"/>
        <v>-0.26451432214427384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6">
        <v>52.585000000000001</v>
      </c>
      <c r="C160" s="390"/>
      <c r="D160" s="393">
        <f t="shared" si="48"/>
        <v>53.859430837359824</v>
      </c>
      <c r="E160" s="385">
        <f t="shared" si="69"/>
        <v>55.282360810870273</v>
      </c>
      <c r="F160" s="385">
        <f t="shared" si="49"/>
        <v>55.285765080061715</v>
      </c>
      <c r="G160" s="110">
        <f t="shared" si="70"/>
        <v>0.86363943429094236</v>
      </c>
      <c r="H160" s="414" t="b">
        <f>Wh_hp&gt;='2020'!Maxi_hp</f>
        <v>0</v>
      </c>
      <c r="I160" s="380">
        <f>IF(H160,Wh_hp,'2020'!Maxi_hp)</f>
        <v>63.484208413127426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2.3662166821039055E-2</v>
      </c>
      <c r="M160" s="844"/>
      <c r="N160" s="844"/>
      <c r="O160" s="48">
        <f>IF(t&lt;Tnet,'2020'!Resal+('2020'!Salim-'2020'!Resal)*(1-EXP(('2020'!Tnet-t)/('2020'!Tau_j))),Resal+(Salim-Resal)*(1-EXP((Tnet-t)/(Tau_j))))*Salcycl</f>
        <v>2.5739312732654715E-2</v>
      </c>
      <c r="P160" s="169">
        <f>(INDEX(Models!$BJ160:$BT160,,T160)*(1-R160)+INDEX(Models!$BJ160:$BT160,,T160+1)*R160-ERP_i)*Q160*Ramure*Pc/MaxiM</f>
        <v>7.6471098255369979E-5</v>
      </c>
      <c r="Q160" s="305">
        <f t="shared" si="51"/>
        <v>0.7</v>
      </c>
      <c r="R160" s="177">
        <f t="shared" si="52"/>
        <v>0.73921136772839202</v>
      </c>
      <c r="S160" s="810">
        <f t="shared" si="53"/>
        <v>-1</v>
      </c>
      <c r="T160" s="176">
        <f t="shared" si="54"/>
        <v>5</v>
      </c>
      <c r="U160" s="251">
        <f t="shared" si="55"/>
        <v>-0.26078863227160798</v>
      </c>
      <c r="V160" s="383">
        <f t="shared" si="56"/>
        <v>60.886771259424883</v>
      </c>
      <c r="W160" s="402"/>
      <c r="X160" s="157">
        <f t="shared" si="57"/>
        <v>44342</v>
      </c>
      <c r="Y160" s="385">
        <f t="shared" si="58"/>
        <v>47.532031239103624</v>
      </c>
      <c r="Z160" s="385">
        <f t="shared" si="59"/>
        <v>48.68400017270568</v>
      </c>
      <c r="AA160" s="386">
        <f t="shared" si="60"/>
        <v>55.282360810870273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0.11935743230537182</v>
      </c>
      <c r="AD160" s="231">
        <f>(INDEX(Models!$BJ160:$BT160,,AH160)*(1-AF160)+INDEX(Models!$BJ160:$BT160,,AH160+1)*AF160-ERP_i)*AE160*Ramure*Pc/MaxiM</f>
        <v>7.6471098255369979E-5</v>
      </c>
      <c r="AE160" s="305">
        <f t="shared" si="62"/>
        <v>0.7</v>
      </c>
      <c r="AF160" s="177">
        <f t="shared" si="63"/>
        <v>0.73921136772839202</v>
      </c>
      <c r="AG160" s="810">
        <f t="shared" si="71"/>
        <v>-1</v>
      </c>
      <c r="AH160" s="176">
        <f t="shared" si="64"/>
        <v>5</v>
      </c>
      <c r="AI160" s="225">
        <f t="shared" si="65"/>
        <v>-0.26078863227160798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6">
        <v>58.157000000000004</v>
      </c>
      <c r="C161" s="390"/>
      <c r="D161" s="393">
        <f t="shared" si="48"/>
        <v>59.567858023573976</v>
      </c>
      <c r="E161" s="385">
        <f t="shared" si="69"/>
        <v>61.155101361730551</v>
      </c>
      <c r="F161" s="385">
        <f t="shared" si="49"/>
        <v>61.159512237298877</v>
      </c>
      <c r="G161" s="110">
        <f t="shared" si="70"/>
        <v>0.95473530758268199</v>
      </c>
      <c r="H161" s="414" t="b">
        <f>Wh_hp&gt;='2020'!Maxi_hp</f>
        <v>0</v>
      </c>
      <c r="I161" s="380">
        <f>IF(H161,Wh_hp,'2020'!Maxi_hp)</f>
        <v>63.520031293079448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2.3684887628754869E-2</v>
      </c>
      <c r="M161" s="844"/>
      <c r="N161" s="844"/>
      <c r="O161" s="48">
        <f>IF(t&lt;Tnet,'2020'!Resal+('2020'!Salim-'2020'!Resal)*(1-EXP(('2020'!Tnet-t)/('2020'!Tau_j))),Resal+(Salim-Resal)*(1-EXP((Tnet-t)/(Tau_j))))*Salcycl</f>
        <v>2.595438978619425E-2</v>
      </c>
      <c r="P161" s="169">
        <f>(INDEX(Models!$BJ161:$BT161,,T161)*(1-R161)+INDEX(Models!$BJ161:$BT161,,T161+1)*R161-ERP_i)*Q161*Ramure*Pc/MaxiM</f>
        <v>7.710630898080465E-5</v>
      </c>
      <c r="Q161" s="305">
        <f t="shared" si="51"/>
        <v>0.7</v>
      </c>
      <c r="R161" s="177">
        <f t="shared" si="52"/>
        <v>0.74298308564117266</v>
      </c>
      <c r="S161" s="810">
        <f t="shared" si="53"/>
        <v>-1</v>
      </c>
      <c r="T161" s="176">
        <f t="shared" si="54"/>
        <v>5</v>
      </c>
      <c r="U161" s="251">
        <f t="shared" si="55"/>
        <v>-0.25701691435882734</v>
      </c>
      <c r="V161" s="383">
        <f t="shared" si="56"/>
        <v>60.913961783376422</v>
      </c>
      <c r="W161" s="402"/>
      <c r="X161" s="157">
        <f t="shared" si="57"/>
        <v>44343</v>
      </c>
      <c r="Y161" s="385">
        <f t="shared" si="58"/>
        <v>52.569601998135404</v>
      </c>
      <c r="Z161" s="385">
        <f t="shared" si="59"/>
        <v>53.844912704931829</v>
      </c>
      <c r="AA161" s="386">
        <f t="shared" si="60"/>
        <v>61.155101361730551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0.11953522263922323</v>
      </c>
      <c r="AD161" s="231">
        <f>(INDEX(Models!$BJ161:$BT161,,AH161)*(1-AF161)+INDEX(Models!$BJ161:$BT161,,AH161+1)*AF161-ERP_i)*AE161*Ramure*Pc/MaxiM</f>
        <v>7.710630898080465E-5</v>
      </c>
      <c r="AE161" s="305">
        <f t="shared" si="62"/>
        <v>0.7</v>
      </c>
      <c r="AF161" s="177">
        <f t="shared" si="63"/>
        <v>0.74298308564117266</v>
      </c>
      <c r="AG161" s="810">
        <f t="shared" si="71"/>
        <v>-1</v>
      </c>
      <c r="AH161" s="176">
        <f t="shared" si="64"/>
        <v>5</v>
      </c>
      <c r="AI161" s="225">
        <f t="shared" si="65"/>
        <v>-0.25701691435882734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6">
        <v>49.124000000000002</v>
      </c>
      <c r="C162" s="390"/>
      <c r="D162" s="393">
        <f t="shared" si="48"/>
        <v>50.316893174516281</v>
      </c>
      <c r="E162" s="385">
        <f t="shared" si="69"/>
        <v>51.669044928108455</v>
      </c>
      <c r="F162" s="385">
        <f t="shared" si="49"/>
        <v>51.671955291475484</v>
      </c>
      <c r="G162" s="110">
        <f t="shared" si="70"/>
        <v>0.80611474714627274</v>
      </c>
      <c r="H162" s="414" t="b">
        <f>Wh_hp&gt;='2020'!Maxi_hp</f>
        <v>0</v>
      </c>
      <c r="I162" s="380">
        <f>IF(H162,Wh_hp,'2020'!Maxi_hp)</f>
        <v>62.361941334367771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2.3707607907724304E-2</v>
      </c>
      <c r="M162" s="844"/>
      <c r="N162" s="844"/>
      <c r="O162" s="48">
        <f>IF(t&lt;Tnet,'2020'!Resal+('2020'!Salim-'2020'!Resal)*(1-EXP(('2020'!Tnet-t)/('2020'!Tau_j))),Resal+(Salim-Resal)*(1-EXP((Tnet-t)/(Tau_j))))*Salcycl</f>
        <v>2.6169474498193932E-2</v>
      </c>
      <c r="P162" s="169">
        <f>(INDEX(Models!$BJ162:$BT162,,T162)*(1-R162)+INDEX(Models!$BJ162:$BT162,,T162+1)*R162-ERP_i)*Q162*Ramure*Pc/MaxiM</f>
        <v>7.7898024361789907E-5</v>
      </c>
      <c r="Q162" s="305">
        <f t="shared" si="51"/>
        <v>0.7</v>
      </c>
      <c r="R162" s="177">
        <f t="shared" si="52"/>
        <v>0.74679844754640656</v>
      </c>
      <c r="S162" s="810">
        <f t="shared" si="53"/>
        <v>-1</v>
      </c>
      <c r="T162" s="176">
        <f t="shared" si="54"/>
        <v>5</v>
      </c>
      <c r="U162" s="251">
        <f t="shared" si="55"/>
        <v>-0.25320155245359344</v>
      </c>
      <c r="V162" s="383">
        <f t="shared" si="56"/>
        <v>60.93790034777976</v>
      </c>
      <c r="W162" s="402"/>
      <c r="X162" s="157">
        <f t="shared" si="57"/>
        <v>44344</v>
      </c>
      <c r="Y162" s="385">
        <f t="shared" si="58"/>
        <v>44.405291202387602</v>
      </c>
      <c r="Z162" s="385">
        <f t="shared" si="59"/>
        <v>45.483598522388739</v>
      </c>
      <c r="AA162" s="386">
        <f t="shared" si="60"/>
        <v>51.669044928108455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0.11971280704580575</v>
      </c>
      <c r="AD162" s="231">
        <f>(INDEX(Models!$BJ162:$BT162,,AH162)*(1-AF162)+INDEX(Models!$BJ162:$BT162,,AH162+1)*AF162-ERP_i)*AE162*Ramure*Pc/MaxiM</f>
        <v>7.7898024361789907E-5</v>
      </c>
      <c r="AE162" s="305">
        <f t="shared" si="62"/>
        <v>0.7</v>
      </c>
      <c r="AF162" s="177">
        <f t="shared" si="63"/>
        <v>0.74679844754640656</v>
      </c>
      <c r="AG162" s="810">
        <f t="shared" si="71"/>
        <v>-1</v>
      </c>
      <c r="AH162" s="176">
        <f t="shared" si="64"/>
        <v>5</v>
      </c>
      <c r="AI162" s="225">
        <f t="shared" si="65"/>
        <v>-0.25320155245359344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6">
        <v>38.158999999999999</v>
      </c>
      <c r="C163" s="390"/>
      <c r="D163" s="393">
        <f t="shared" si="48"/>
        <v>39.086536313739785</v>
      </c>
      <c r="E163" s="385">
        <f t="shared" si="69"/>
        <v>40.145763945508939</v>
      </c>
      <c r="F163" s="385">
        <f t="shared" si="49"/>
        <v>40.14723820237834</v>
      </c>
      <c r="G163" s="110">
        <f t="shared" si="70"/>
        <v>0.62596768523978863</v>
      </c>
      <c r="H163" s="414" t="b">
        <f>Wh_hp&gt;='2020'!Maxi_hp</f>
        <v>0</v>
      </c>
      <c r="I163" s="380">
        <f>IF(H163,Wh_hp,'2020'!Maxi_hp)</f>
        <v>62.195352614277361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2.3730327657959682E-2</v>
      </c>
      <c r="M163" s="844"/>
      <c r="N163" s="844"/>
      <c r="O163" s="48">
        <f>IF(t&lt;Tnet,'2020'!Resal+('2020'!Salim-'2020'!Resal)*(1-EXP(('2020'!Tnet-t)/('2020'!Tau_j))),Resal+(Salim-Resal)*(1-EXP((Tnet-t)/(Tau_j))))*Salcycl</f>
        <v>2.6384542917326892E-2</v>
      </c>
      <c r="P163" s="169">
        <f>(INDEX(Models!$BJ163:$BT163,,T163)*(1-R163)+INDEX(Models!$BJ163:$BT163,,T163+1)*R163-ERP_i)*Q163*Ramure*Pc/MaxiM</f>
        <v>7.8850752051455675E-5</v>
      </c>
      <c r="Q163" s="305">
        <f t="shared" si="51"/>
        <v>0.7</v>
      </c>
      <c r="R163" s="177">
        <f t="shared" si="52"/>
        <v>0.75065493941138417</v>
      </c>
      <c r="S163" s="810">
        <f t="shared" si="53"/>
        <v>-1</v>
      </c>
      <c r="T163" s="176">
        <f t="shared" si="54"/>
        <v>5</v>
      </c>
      <c r="U163" s="251">
        <f t="shared" si="55"/>
        <v>-0.24934506058861583</v>
      </c>
      <c r="V163" s="383">
        <f t="shared" si="56"/>
        <v>60.95744751867187</v>
      </c>
      <c r="W163" s="402"/>
      <c r="X163" s="157">
        <f t="shared" si="57"/>
        <v>44345</v>
      </c>
      <c r="Y163" s="385">
        <f t="shared" si="58"/>
        <v>34.494228811575589</v>
      </c>
      <c r="Z163" s="385">
        <f t="shared" si="59"/>
        <v>35.332685003750058</v>
      </c>
      <c r="AA163" s="386">
        <f t="shared" si="60"/>
        <v>40.145763945508939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0.11989008225853715</v>
      </c>
      <c r="AD163" s="231">
        <f>(INDEX(Models!$BJ163:$BT163,,AH163)*(1-AF163)+INDEX(Models!$BJ163:$BT163,,AH163+1)*AF163-ERP_i)*AE163*Ramure*Pc/MaxiM</f>
        <v>7.8850752051455675E-5</v>
      </c>
      <c r="AE163" s="305">
        <f t="shared" si="62"/>
        <v>0.7</v>
      </c>
      <c r="AF163" s="177">
        <f t="shared" si="63"/>
        <v>0.75065493941138417</v>
      </c>
      <c r="AG163" s="810">
        <f t="shared" si="71"/>
        <v>-1</v>
      </c>
      <c r="AH163" s="176">
        <f t="shared" si="64"/>
        <v>5</v>
      </c>
      <c r="AI163" s="225">
        <f t="shared" si="65"/>
        <v>-0.24934506058861583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6">
        <v>52.389000000000003</v>
      </c>
      <c r="C164" s="390"/>
      <c r="D164" s="393">
        <f t="shared" si="48"/>
        <v>53.663675807172631</v>
      </c>
      <c r="E164" s="385">
        <f t="shared" si="69"/>
        <v>55.130113132674651</v>
      </c>
      <c r="F164" s="385">
        <f t="shared" si="49"/>
        <v>55.133634785137517</v>
      </c>
      <c r="G164" s="110">
        <f t="shared" si="70"/>
        <v>0.85922417585353306</v>
      </c>
      <c r="H164" s="414" t="b">
        <f>Wh_hp&gt;='2020'!Maxi_hp</f>
        <v>0</v>
      </c>
      <c r="I164" s="380">
        <f>IF(H164,Wh_hp,'2020'!Maxi_hp)</f>
        <v>59.86002152871599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2.3753046879473327E-2</v>
      </c>
      <c r="M164" s="844"/>
      <c r="N164" s="844"/>
      <c r="O164" s="48">
        <f>IF(t&lt;Tnet,'2020'!Resal+('2020'!Salim-'2020'!Resal)*(1-EXP(('2020'!Tnet-t)/('2020'!Tau_j))),Resal+(Salim-Resal)*(1-EXP((Tnet-t)/(Tau_j))))*Salcycl</f>
        <v>2.6599570401260226E-2</v>
      </c>
      <c r="P164" s="169">
        <f>(INDEX(Models!$BJ164:$BT164,,T164)*(1-R164)+INDEX(Models!$BJ164:$BT164,,T164+1)*R164-ERP_i)*Q164*Ramure*Pc/MaxiM</f>
        <v>7.9952351787433788E-5</v>
      </c>
      <c r="Q164" s="305">
        <f t="shared" si="51"/>
        <v>0.7</v>
      </c>
      <c r="R164" s="177">
        <f t="shared" si="52"/>
        <v>0.75454992256345421</v>
      </c>
      <c r="S164" s="810">
        <f t="shared" si="53"/>
        <v>-1</v>
      </c>
      <c r="T164" s="176">
        <f t="shared" si="54"/>
        <v>5</v>
      </c>
      <c r="U164" s="251">
        <f t="shared" si="55"/>
        <v>-0.24545007743654579</v>
      </c>
      <c r="V164" s="383">
        <f t="shared" si="56"/>
        <v>60.971466043461689</v>
      </c>
      <c r="W164" s="402"/>
      <c r="X164" s="157">
        <f t="shared" si="57"/>
        <v>44346</v>
      </c>
      <c r="Y164" s="385">
        <f t="shared" si="58"/>
        <v>47.35852937572394</v>
      </c>
      <c r="Z164" s="385">
        <f t="shared" si="59"/>
        <v>48.510808893533209</v>
      </c>
      <c r="AA164" s="386">
        <f t="shared" si="60"/>
        <v>55.130113132674651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0.12006694459725853</v>
      </c>
      <c r="AD164" s="231">
        <f>(INDEX(Models!$BJ164:$BT164,,AH164)*(1-AF164)+INDEX(Models!$BJ164:$BT164,,AH164+1)*AF164-ERP_i)*AE164*Ramure*Pc/MaxiM</f>
        <v>7.9952351787433788E-5</v>
      </c>
      <c r="AE164" s="305">
        <f t="shared" si="62"/>
        <v>0.7</v>
      </c>
      <c r="AF164" s="177">
        <f t="shared" si="63"/>
        <v>0.75454992256345421</v>
      </c>
      <c r="AG164" s="810">
        <f t="shared" si="71"/>
        <v>-1</v>
      </c>
      <c r="AH164" s="176">
        <f t="shared" si="64"/>
        <v>5</v>
      </c>
      <c r="AI164" s="225">
        <f t="shared" si="65"/>
        <v>-0.24545007743654579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6">
        <v>57.667000000000002</v>
      </c>
      <c r="C165" s="390"/>
      <c r="D165" s="393">
        <f t="shared" si="48"/>
        <v>59.071469408670509</v>
      </c>
      <c r="E165" s="385">
        <f t="shared" si="69"/>
        <v>60.699087001214103</v>
      </c>
      <c r="F165" s="385">
        <f t="shared" si="49"/>
        <v>60.703628392095069</v>
      </c>
      <c r="G165" s="110">
        <f t="shared" si="70"/>
        <v>0.94566043246275078</v>
      </c>
      <c r="H165" s="414" t="b">
        <f>Wh_hp&gt;='2020'!Maxi_hp</f>
        <v>0</v>
      </c>
      <c r="I165" s="380">
        <f>IF(H165,Wh_hp,'2020'!Maxi_hp)</f>
        <v>63.940669699990565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2.3775765572277452E-2</v>
      </c>
      <c r="M165" s="844"/>
      <c r="N165" s="844"/>
      <c r="O165" s="48">
        <f>IF(t&lt;Tnet,'2020'!Resal+('2020'!Salim-'2020'!Resal)*(1-EXP(('2020'!Tnet-t)/('2020'!Tau_j))),Resal+(Salim-Resal)*(1-EXP((Tnet-t)/(Tau_j))))*Salcycl</f>
        <v>2.681453169981015E-2</v>
      </c>
      <c r="P165" s="169">
        <f>(INDEX(Models!$BJ165:$BT165,,T165)*(1-R165)+INDEX(Models!$BJ165:$BT165,,T165+1)*R165-ERP_i)*Q165*Ramure*Pc/MaxiM</f>
        <v>8.1108075261785461E-5</v>
      </c>
      <c r="Q165" s="305">
        <f t="shared" si="51"/>
        <v>0.7</v>
      </c>
      <c r="R165" s="177">
        <f t="shared" si="52"/>
        <v>0.75848063980315561</v>
      </c>
      <c r="S165" s="810">
        <f t="shared" si="53"/>
        <v>-1</v>
      </c>
      <c r="T165" s="176">
        <f t="shared" si="54"/>
        <v>5</v>
      </c>
      <c r="U165" s="251">
        <f t="shared" si="55"/>
        <v>-0.24151936019684445</v>
      </c>
      <c r="V165" s="383">
        <f t="shared" si="56"/>
        <v>60.980278910863902</v>
      </c>
      <c r="W165" s="402"/>
      <c r="X165" s="157">
        <f t="shared" si="57"/>
        <v>44347</v>
      </c>
      <c r="Y165" s="385">
        <f t="shared" si="58"/>
        <v>52.130792976966191</v>
      </c>
      <c r="Z165" s="385">
        <f t="shared" si="59"/>
        <v>53.400429059749833</v>
      </c>
      <c r="AA165" s="386">
        <f t="shared" si="60"/>
        <v>60.699087001214103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0.12024329033677697</v>
      </c>
      <c r="AD165" s="231">
        <f>(INDEX(Models!$BJ165:$BT165,,AH165)*(1-AF165)+INDEX(Models!$BJ165:$BT165,,AH165+1)*AF165-ERP_i)*AE165*Ramure*Pc/MaxiM</f>
        <v>8.1108075261785461E-5</v>
      </c>
      <c r="AE165" s="305">
        <f t="shared" si="62"/>
        <v>0.7</v>
      </c>
      <c r="AF165" s="177">
        <f t="shared" si="63"/>
        <v>0.75848063980315561</v>
      </c>
      <c r="AG165" s="810">
        <f t="shared" si="71"/>
        <v>-1</v>
      </c>
      <c r="AH165" s="176">
        <f t="shared" si="64"/>
        <v>5</v>
      </c>
      <c r="AI165" s="225">
        <f t="shared" si="65"/>
        <v>-0.24151936019684445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6">
        <v>35.224000000000004</v>
      </c>
      <c r="C166" s="390"/>
      <c r="D166" s="393">
        <f t="shared" si="48"/>
        <v>36.082713879424091</v>
      </c>
      <c r="E166" s="385">
        <f t="shared" si="69"/>
        <v>37.085101973392604</v>
      </c>
      <c r="F166" s="385">
        <f t="shared" si="49"/>
        <v>37.086312622875774</v>
      </c>
      <c r="G166" s="110">
        <f t="shared" si="70"/>
        <v>0.57756350760843056</v>
      </c>
      <c r="H166" s="414" t="b">
        <f>Wh_hp&gt;='2020'!Maxi_hp</f>
        <v>0</v>
      </c>
      <c r="I166" s="380">
        <f>IF(H166,Wh_hp,'2020'!Maxi_hp)</f>
        <v>65.184195459638048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2.3798483736384379E-2</v>
      </c>
      <c r="M166" s="844"/>
      <c r="N166" s="844"/>
      <c r="O166" s="48">
        <f>IF(t&lt;Tnet,'2020'!Resal+('2020'!Salim-'2020'!Resal)*(1-EXP(('2020'!Tnet-t)/('2020'!Tau_j))),Resal+(Salim-Resal)*(1-EXP((Tnet-t)/(Tau_j))))*Salcycl</f>
        <v>2.7029401043246231E-2</v>
      </c>
      <c r="P166" s="169">
        <f>(INDEX(Models!$BJ166:$BT166,,T166)*(1-R166)+INDEX(Models!$BJ166:$BT166,,T166+1)*R166-ERP_i)*Q166*Ramure*Pc/MaxiM</f>
        <v>8.2318139728030626E-5</v>
      </c>
      <c r="Q166" s="305">
        <f t="shared" si="51"/>
        <v>0.7</v>
      </c>
      <c r="R166" s="177">
        <f t="shared" si="52"/>
        <v>0.76244422226482145</v>
      </c>
      <c r="S166" s="810">
        <f t="shared" si="53"/>
        <v>-1</v>
      </c>
      <c r="T166" s="176">
        <f t="shared" si="54"/>
        <v>5</v>
      </c>
      <c r="U166" s="251">
        <f t="shared" si="55"/>
        <v>-0.23755577773517858</v>
      </c>
      <c r="V166" s="383">
        <f t="shared" si="56"/>
        <v>60.984203054186551</v>
      </c>
      <c r="W166" s="402"/>
      <c r="X166" s="157">
        <f t="shared" si="57"/>
        <v>44348</v>
      </c>
      <c r="Y166" s="385">
        <f t="shared" si="58"/>
        <v>31.843059400435358</v>
      </c>
      <c r="Z166" s="385">
        <f t="shared" si="59"/>
        <v>32.619350482381741</v>
      </c>
      <c r="AA166" s="386">
        <f t="shared" si="60"/>
        <v>37.085101973392604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0.12041901608400314</v>
      </c>
      <c r="AD166" s="231">
        <f>(INDEX(Models!$BJ166:$BT166,,AH166)*(1-AF166)+INDEX(Models!$BJ166:$BT166,,AH166+1)*AF166-ERP_i)*AE166*Ramure*Pc/MaxiM</f>
        <v>8.2318139728030626E-5</v>
      </c>
      <c r="AE166" s="305">
        <f t="shared" si="62"/>
        <v>0.7</v>
      </c>
      <c r="AF166" s="177">
        <f t="shared" si="63"/>
        <v>0.76244422226482145</v>
      </c>
      <c r="AG166" s="810">
        <f t="shared" si="71"/>
        <v>-1</v>
      </c>
      <c r="AH166" s="176">
        <f t="shared" si="64"/>
        <v>5</v>
      </c>
      <c r="AI166" s="225">
        <f t="shared" si="65"/>
        <v>-0.23755577773517858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6">
        <v>51.256</v>
      </c>
      <c r="C167" s="390"/>
      <c r="D167" s="393">
        <f t="shared" si="48"/>
        <v>52.506774447497868</v>
      </c>
      <c r="E167" s="385">
        <f t="shared" si="69"/>
        <v>53.97734135256372</v>
      </c>
      <c r="F167" s="385">
        <f t="shared" si="49"/>
        <v>53.980825085637768</v>
      </c>
      <c r="G167" s="110">
        <f t="shared" si="70"/>
        <v>0.84047287170304574</v>
      </c>
      <c r="H167" s="414" t="b">
        <f>Wh_hp&gt;='2020'!Maxi_hp</f>
        <v>0</v>
      </c>
      <c r="I167" s="380">
        <f>IF(H167,Wh_hp,'2020'!Maxi_hp)</f>
        <v>63.527913970143331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2.3821201371806433E-2</v>
      </c>
      <c r="M167" s="844"/>
      <c r="N167" s="844"/>
      <c r="O167" s="48">
        <f>IF(t&lt;Tnet,'2020'!Resal+('2020'!Salim-'2020'!Resal)*(1-EXP(('2020'!Tnet-t)/('2020'!Tau_j))),Resal+(Salim-Resal)*(1-EXP((Tnet-t)/(Tau_j))))*Salcycl</f>
        <v>2.7244152235297168E-2</v>
      </c>
      <c r="P167" s="169">
        <f>(INDEX(Models!$BJ167:$BT167,,T167)*(1-R167)+INDEX(Models!$BJ167:$BT167,,T167+1)*R167-ERP_i)*Q167*Ramure*Pc/MaxiM</f>
        <v>8.3582744877211155E-5</v>
      </c>
      <c r="Q167" s="305">
        <f t="shared" si="51"/>
        <v>0.7</v>
      </c>
      <c r="R167" s="177">
        <f t="shared" si="52"/>
        <v>0.76643769699635145</v>
      </c>
      <c r="S167" s="810">
        <f t="shared" si="53"/>
        <v>-1</v>
      </c>
      <c r="T167" s="176">
        <f t="shared" si="54"/>
        <v>5</v>
      </c>
      <c r="U167" s="251">
        <f t="shared" si="55"/>
        <v>-0.23356230300364852</v>
      </c>
      <c r="V167" s="383">
        <f t="shared" si="56"/>
        <v>60.983555124612515</v>
      </c>
      <c r="W167" s="402"/>
      <c r="X167" s="157">
        <f t="shared" si="57"/>
        <v>44349</v>
      </c>
      <c r="Y167" s="385">
        <f t="shared" si="58"/>
        <v>46.337252104357376</v>
      </c>
      <c r="Z167" s="385">
        <f t="shared" si="59"/>
        <v>47.467996815208728</v>
      </c>
      <c r="AA167" s="386">
        <f t="shared" si="60"/>
        <v>53.97734135256372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0.12059401916144621</v>
      </c>
      <c r="AD167" s="231">
        <f>(INDEX(Models!$BJ167:$BT167,,AH167)*(1-AF167)+INDEX(Models!$BJ167:$BT167,,AH167+1)*AF167-ERP_i)*AE167*Ramure*Pc/MaxiM</f>
        <v>8.3582744877211155E-5</v>
      </c>
      <c r="AE167" s="305">
        <f t="shared" si="62"/>
        <v>0.7</v>
      </c>
      <c r="AF167" s="177">
        <f t="shared" si="63"/>
        <v>0.76643769699635145</v>
      </c>
      <c r="AG167" s="810">
        <f t="shared" si="71"/>
        <v>-1</v>
      </c>
      <c r="AH167" s="176">
        <f t="shared" si="64"/>
        <v>5</v>
      </c>
      <c r="AI167" s="225">
        <f t="shared" si="65"/>
        <v>-0.23356230300364852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6">
        <v>53.749000000000002</v>
      </c>
      <c r="C168" s="390"/>
      <c r="D168" s="393">
        <f t="shared" si="48"/>
        <v>55.061891246148278</v>
      </c>
      <c r="E168" s="385">
        <f t="shared" si="69"/>
        <v>56.616510344998751</v>
      </c>
      <c r="F168" s="385">
        <f t="shared" si="49"/>
        <v>56.620503338379876</v>
      </c>
      <c r="G168" s="110">
        <f t="shared" si="70"/>
        <v>0.88142695386236825</v>
      </c>
      <c r="H168" s="414" t="b">
        <f>Wh_hp&gt;='2020'!Maxi_hp</f>
        <v>1</v>
      </c>
      <c r="I168" s="380">
        <f>IF(H168,Wh_hp,'2020'!Maxi_hp)</f>
        <v>56.620503338379876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2.3843918478556048E-2</v>
      </c>
      <c r="M168" s="844"/>
      <c r="N168" s="844"/>
      <c r="O168" s="48">
        <f>IF(t&lt;Tnet,'2020'!Resal+('2020'!Salim-'2020'!Resal)*(1-EXP(('2020'!Tnet-t)/('2020'!Tau_j))),Resal+(Salim-Resal)*(1-EXP((Tnet-t)/(Tau_j))))*Salcycl</f>
        <v>2.7458758750358025E-2</v>
      </c>
      <c r="P168" s="169">
        <f>(INDEX(Models!$BJ168:$BT168,,T168)*(1-R168)+INDEX(Models!$BJ168:$BT168,,T168+1)*R168-ERP_i)*Q168*Ramure*Pc/MaxiM</f>
        <v>8.4902069301800363E-5</v>
      </c>
      <c r="Q168" s="305">
        <f t="shared" si="51"/>
        <v>0.7</v>
      </c>
      <c r="R168" s="177">
        <f t="shared" si="52"/>
        <v>0.77045799522216907</v>
      </c>
      <c r="S168" s="810">
        <f t="shared" si="53"/>
        <v>-1</v>
      </c>
      <c r="T168" s="176">
        <f t="shared" si="54"/>
        <v>5</v>
      </c>
      <c r="U168" s="251">
        <f t="shared" si="55"/>
        <v>-0.22954200477783099</v>
      </c>
      <c r="V168" s="383">
        <f t="shared" si="56"/>
        <v>60.978651489783424</v>
      </c>
      <c r="W168" s="402"/>
      <c r="X168" s="157">
        <f t="shared" si="57"/>
        <v>44350</v>
      </c>
      <c r="Y168" s="385">
        <f t="shared" si="58"/>
        <v>48.592109127690286</v>
      </c>
      <c r="Z168" s="385">
        <f t="shared" si="59"/>
        <v>49.779036413884008</v>
      </c>
      <c r="AA168" s="386">
        <f t="shared" si="60"/>
        <v>56.616510344998751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0.12076819799471684</v>
      </c>
      <c r="AD168" s="231">
        <f>(INDEX(Models!$BJ168:$BT168,,AH168)*(1-AF168)+INDEX(Models!$BJ168:$BT168,,AH168+1)*AF168-ERP_i)*AE168*Ramure*Pc/MaxiM</f>
        <v>8.4902069301800363E-5</v>
      </c>
      <c r="AE168" s="305">
        <f t="shared" si="62"/>
        <v>0.7</v>
      </c>
      <c r="AF168" s="177">
        <f t="shared" si="63"/>
        <v>0.77045799522216907</v>
      </c>
      <c r="AG168" s="810">
        <f t="shared" si="71"/>
        <v>-1</v>
      </c>
      <c r="AH168" s="176">
        <f t="shared" si="64"/>
        <v>5</v>
      </c>
      <c r="AI168" s="225">
        <f t="shared" si="65"/>
        <v>-0.22954200477783099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6">
        <v>8.027000000000001</v>
      </c>
      <c r="C169" s="390"/>
      <c r="D169" s="393">
        <f t="shared" si="48"/>
        <v>8.2232615831811149</v>
      </c>
      <c r="E169" s="385">
        <f t="shared" si="69"/>
        <v>8.4573021447484109</v>
      </c>
      <c r="F169" s="385">
        <f t="shared" si="49"/>
        <v>8.4573021447484109</v>
      </c>
      <c r="G169" s="110">
        <f t="shared" si="70"/>
        <v>0.13164396762015687</v>
      </c>
      <c r="H169" s="414" t="b">
        <f>Wh_hp&gt;='2020'!Maxi_hp</f>
        <v>0</v>
      </c>
      <c r="I169" s="380">
        <f>IF(H169,Wh_hp,'2020'!Maxi_hp)</f>
        <v>55.953130597510338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2.3866635056645213E-2</v>
      </c>
      <c r="M169" s="844"/>
      <c r="N169" s="844"/>
      <c r="O169" s="48">
        <f>IF(t&lt;Tnet,'2020'!Resal+('2020'!Salim-'2020'!Resal)*(1-EXP(('2020'!Tnet-t)/('2020'!Tau_j))),Resal+(Salim-Resal)*(1-EXP((Tnet-t)/(Tau_j))))*Salcycl</f>
        <v>2.7673193834351177E-2</v>
      </c>
      <c r="P169" s="169">
        <f>(INDEX(Models!$BJ169:$BT169,,T169)*(1-R169)+INDEX(Models!$BJ169:$BT169,,T169+1)*R169-ERP_i)*Q169*Ramure*Pc/MaxiM</f>
        <v>8.6276267061079846E-5</v>
      </c>
      <c r="Q169" s="305">
        <f t="shared" si="51"/>
        <v>0.7</v>
      </c>
      <c r="R169" s="177">
        <f t="shared" si="52"/>
        <v>0.77450196124589687</v>
      </c>
      <c r="S169" s="810">
        <f t="shared" si="53"/>
        <v>-1</v>
      </c>
      <c r="T169" s="176">
        <f t="shared" si="54"/>
        <v>5</v>
      </c>
      <c r="U169" s="251">
        <f t="shared" si="55"/>
        <v>-0.22549803875410315</v>
      </c>
      <c r="V169" s="383">
        <f t="shared" si="56"/>
        <v>60.969808229749383</v>
      </c>
      <c r="W169" s="402"/>
      <c r="X169" s="157">
        <f t="shared" si="57"/>
        <v>44351</v>
      </c>
      <c r="Y169" s="385">
        <f t="shared" si="58"/>
        <v>7.2570281062142579</v>
      </c>
      <c r="Z169" s="385">
        <f t="shared" si="59"/>
        <v>7.4344637391176409</v>
      </c>
      <c r="AA169" s="386">
        <f t="shared" si="60"/>
        <v>8.4573021447484109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0.12094145250160003</v>
      </c>
      <c r="AD169" s="231">
        <f>(INDEX(Models!$BJ169:$BT169,,AH169)*(1-AF169)+INDEX(Models!$BJ169:$BT169,,AH169+1)*AF169-ERP_i)*AE169*Ramure*Pc/MaxiM</f>
        <v>8.6276267061079846E-5</v>
      </c>
      <c r="AE169" s="305">
        <f t="shared" si="62"/>
        <v>0.7</v>
      </c>
      <c r="AF169" s="177">
        <f t="shared" si="63"/>
        <v>0.77450196124589687</v>
      </c>
      <c r="AG169" s="810">
        <f t="shared" si="71"/>
        <v>-1</v>
      </c>
      <c r="AH169" s="176">
        <f t="shared" si="64"/>
        <v>5</v>
      </c>
      <c r="AI169" s="225">
        <f t="shared" si="65"/>
        <v>-0.22549803875410315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6">
        <v>44.871000000000002</v>
      </c>
      <c r="C170" s="390"/>
      <c r="D170" s="393">
        <f t="shared" si="48"/>
        <v>45.969173731324304</v>
      </c>
      <c r="E170" s="385">
        <f t="shared" ref="E170:E232" si="72">Wh_pvt/(1-Psa)</f>
        <v>47.287912098601907</v>
      </c>
      <c r="F170" s="385">
        <f t="shared" si="49"/>
        <v>47.290496424932876</v>
      </c>
      <c r="G170" s="110">
        <f t="shared" ref="G170:G232" si="73">+Wh_hp/MaxiM</f>
        <v>0.73608060599270231</v>
      </c>
      <c r="H170" s="414" t="b">
        <f>Wh_hp&gt;='2020'!Maxi_hp</f>
        <v>1</v>
      </c>
      <c r="I170" s="380">
        <f>IF(H170,Wh_hp,'2020'!Maxi_hp)</f>
        <v>47.290496424932876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2.3889351106086587E-2</v>
      </c>
      <c r="M170" s="844"/>
      <c r="N170" s="844"/>
      <c r="O170" s="48">
        <f>IF(t&lt;Tnet,'2020'!Resal+('2020'!Salim-'2020'!Resal)*(1-EXP(('2020'!Tnet-t)/('2020'!Tau_j))),Resal+(Salim-Resal)*(1-EXP((Tnet-t)/(Tau_j))))*Salcycl</f>
        <v>2.7887430608647998E-2</v>
      </c>
      <c r="P170" s="169">
        <f>(INDEX(Models!$BJ170:$BT170,,T170)*(1-R170)+INDEX(Models!$BJ170:$BT170,,T170+1)*R170-ERP_i)*Q170*Ramure*Pc/MaxiM</f>
        <v>8.7716340394164744E-5</v>
      </c>
      <c r="Q170" s="305">
        <f t="shared" si="51"/>
        <v>0.7</v>
      </c>
      <c r="R170" s="177">
        <f t="shared" si="52"/>
        <v>0.77856636194211437</v>
      </c>
      <c r="S170" s="810">
        <f t="shared" si="53"/>
        <v>-1</v>
      </c>
      <c r="T170" s="176">
        <f t="shared" si="54"/>
        <v>5</v>
      </c>
      <c r="U170" s="251">
        <f t="shared" si="55"/>
        <v>-0.2214336380578856</v>
      </c>
      <c r="V170" s="383">
        <f t="shared" si="56"/>
        <v>60.957340459225442</v>
      </c>
      <c r="W170" s="402"/>
      <c r="X170" s="157">
        <f t="shared" si="57"/>
        <v>44352</v>
      </c>
      <c r="Y170" s="385">
        <f t="shared" si="58"/>
        <v>40.567840706329967</v>
      </c>
      <c r="Z170" s="385">
        <f t="shared" si="59"/>
        <v>41.560698832964988</v>
      </c>
      <c r="AA170" s="386">
        <f t="shared" si="60"/>
        <v>47.287912098601907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0.12111368448018771</v>
      </c>
      <c r="AD170" s="231">
        <f>(INDEX(Models!$BJ170:$BT170,,AH170)*(1-AF170)+INDEX(Models!$BJ170:$BT170,,AH170+1)*AF170-ERP_i)*AE170*Ramure*Pc/MaxiM</f>
        <v>8.7716340394164744E-5</v>
      </c>
      <c r="AE170" s="305">
        <f t="shared" si="62"/>
        <v>0.7</v>
      </c>
      <c r="AF170" s="177">
        <f t="shared" si="63"/>
        <v>0.77856636194211437</v>
      </c>
      <c r="AG170" s="810">
        <f t="shared" si="71"/>
        <v>-1</v>
      </c>
      <c r="AH170" s="176">
        <f t="shared" si="64"/>
        <v>5</v>
      </c>
      <c r="AI170" s="225">
        <f t="shared" si="65"/>
        <v>-0.2214336380578856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6">
        <v>44.122</v>
      </c>
      <c r="C171" s="390"/>
      <c r="D171" s="393">
        <f t="shared" si="48"/>
        <v>45.202894628074915</v>
      </c>
      <c r="E171" s="385">
        <f t="shared" si="72"/>
        <v>46.509889601338564</v>
      </c>
      <c r="F171" s="385">
        <f t="shared" si="49"/>
        <v>46.512401618556751</v>
      </c>
      <c r="G171" s="110">
        <f t="shared" si="73"/>
        <v>0.7239795554651387</v>
      </c>
      <c r="H171" s="414" t="b">
        <f>Wh_hp&gt;='2020'!Maxi_hp</f>
        <v>0</v>
      </c>
      <c r="I171" s="380">
        <f>IF(H171,Wh_hp,'2020'!Maxi_hp)</f>
        <v>63.423622728283476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2.3912066626892159E-2</v>
      </c>
      <c r="M171" s="844"/>
      <c r="N171" s="844"/>
      <c r="O171" s="48">
        <f>IF(t&lt;Tnet,'2020'!Resal+('2020'!Salim-'2020'!Resal)*(1-EXP(('2020'!Tnet-t)/('2020'!Tau_j))),Resal+(Salim-Resal)*(1-EXP((Tnet-t)/(Tau_j))))*Salcycl</f>
        <v>2.8101442176419026E-2</v>
      </c>
      <c r="P171" s="169">
        <f>(INDEX(Models!$BJ171:$BT171,,T171)*(1-R171)+INDEX(Models!$BJ171:$BT171,,T171+1)*R171-ERP_i)*Q171*Ramure*Pc/MaxiM</f>
        <v>8.9162225548700794E-5</v>
      </c>
      <c r="Q171" s="305">
        <f t="shared" si="51"/>
        <v>0.7</v>
      </c>
      <c r="R171" s="177">
        <f t="shared" si="52"/>
        <v>0.78264789677982638</v>
      </c>
      <c r="S171" s="810">
        <f t="shared" si="53"/>
        <v>-1</v>
      </c>
      <c r="T171" s="176">
        <f t="shared" si="54"/>
        <v>5</v>
      </c>
      <c r="U171" s="251">
        <f t="shared" si="55"/>
        <v>-0.21735210322017365</v>
      </c>
      <c r="V171" s="383">
        <f t="shared" si="56"/>
        <v>60.941567320686097</v>
      </c>
      <c r="W171" s="402"/>
      <c r="X171" s="157">
        <f t="shared" si="57"/>
        <v>44353</v>
      </c>
      <c r="Y171" s="385">
        <f t="shared" si="58"/>
        <v>39.891686051835762</v>
      </c>
      <c r="Z171" s="385">
        <f t="shared" si="59"/>
        <v>40.868947036339641</v>
      </c>
      <c r="AA171" s="386">
        <f t="shared" si="60"/>
        <v>46.509889601338564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0.12128479799351266</v>
      </c>
      <c r="AD171" s="231">
        <f>(INDEX(Models!$BJ171:$BT171,,AH171)*(1-AF171)+INDEX(Models!$BJ171:$BT171,,AH171+1)*AF171-ERP_i)*AE171*Ramure*Pc/MaxiM</f>
        <v>8.9162225548700794E-5</v>
      </c>
      <c r="AE171" s="305">
        <f t="shared" si="62"/>
        <v>0.7</v>
      </c>
      <c r="AF171" s="177">
        <f t="shared" si="63"/>
        <v>0.78264789677982638</v>
      </c>
      <c r="AG171" s="810">
        <f t="shared" si="71"/>
        <v>-1</v>
      </c>
      <c r="AH171" s="176">
        <f t="shared" si="64"/>
        <v>5</v>
      </c>
      <c r="AI171" s="225">
        <f t="shared" si="65"/>
        <v>-0.21735210322017365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6">
        <v>50.032000000000004</v>
      </c>
      <c r="C172" s="390"/>
      <c r="D172" s="393">
        <f t="shared" si="48"/>
        <v>51.258869856045003</v>
      </c>
      <c r="E172" s="385">
        <f t="shared" si="72"/>
        <v>52.752569503347381</v>
      </c>
      <c r="F172" s="385">
        <f t="shared" si="49"/>
        <v>52.756129092485281</v>
      </c>
      <c r="G172" s="110">
        <f t="shared" si="73"/>
        <v>0.82121699669393478</v>
      </c>
      <c r="H172" s="414" t="b">
        <f>Wh_hp&gt;='2020'!Maxi_hp</f>
        <v>1</v>
      </c>
      <c r="I172" s="380">
        <f>IF(H172,Wh_hp,'2020'!Maxi_hp)</f>
        <v>52.756129092485281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2.3934781619074474E-2</v>
      </c>
      <c r="M172" s="844"/>
      <c r="N172" s="844"/>
      <c r="O172" s="48">
        <f>IF(t&lt;Tnet,'2020'!Resal+('2020'!Salim-'2020'!Resal)*(1-EXP(('2020'!Tnet-t)/('2020'!Tau_j))),Resal+(Salim-Resal)*(1-EXP((Tnet-t)/(Tau_j))))*Salcycl</f>
        <v>2.8315201730744113E-2</v>
      </c>
      <c r="P172" s="169">
        <f>(INDEX(Models!$BJ172:$BT172,,T172)*(1-R172)+INDEX(Models!$BJ172:$BT172,,T172+1)*R172-ERP_i)*Q172*Ramure*Pc/MaxiM</f>
        <v>9.0613015976944141E-5</v>
      </c>
      <c r="Q172" s="305">
        <f t="shared" si="51"/>
        <v>0.7</v>
      </c>
      <c r="R172" s="177">
        <f t="shared" si="52"/>
        <v>0.78674320831408717</v>
      </c>
      <c r="S172" s="810">
        <f t="shared" si="53"/>
        <v>-1</v>
      </c>
      <c r="T172" s="176">
        <f t="shared" si="54"/>
        <v>5</v>
      </c>
      <c r="U172" s="251">
        <f t="shared" si="55"/>
        <v>-0.21325679168591286</v>
      </c>
      <c r="V172" s="383">
        <f t="shared" si="56"/>
        <v>60.922804031275092</v>
      </c>
      <c r="W172" s="402"/>
      <c r="X172" s="157">
        <f t="shared" si="57"/>
        <v>44354</v>
      </c>
      <c r="Y172" s="385">
        <f t="shared" si="58"/>
        <v>45.236252064965491</v>
      </c>
      <c r="Z172" s="385">
        <f t="shared" si="59"/>
        <v>46.345522013377696</v>
      </c>
      <c r="AA172" s="386">
        <f t="shared" si="60"/>
        <v>52.752569503347381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0.12145469974809714</v>
      </c>
      <c r="AD172" s="231">
        <f>(INDEX(Models!$BJ172:$BT172,,AH172)*(1-AF172)+INDEX(Models!$BJ172:$BT172,,AH172+1)*AF172-ERP_i)*AE172*Ramure*Pc/MaxiM</f>
        <v>9.0613015976944141E-5</v>
      </c>
      <c r="AE172" s="305">
        <f t="shared" si="62"/>
        <v>0.7</v>
      </c>
      <c r="AF172" s="177">
        <f t="shared" si="63"/>
        <v>0.78674320831408717</v>
      </c>
      <c r="AG172" s="810">
        <f t="shared" si="71"/>
        <v>-1</v>
      </c>
      <c r="AH172" s="176">
        <f t="shared" si="64"/>
        <v>5</v>
      </c>
      <c r="AI172" s="225">
        <f t="shared" si="65"/>
        <v>-0.21325679168591286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6">
        <v>59.5</v>
      </c>
      <c r="C173" s="390"/>
      <c r="D173" s="393">
        <f t="shared" si="48"/>
        <v>60.960459981195783</v>
      </c>
      <c r="E173" s="385">
        <f t="shared" si="72"/>
        <v>62.750653460721814</v>
      </c>
      <c r="F173" s="385">
        <f t="shared" si="49"/>
        <v>62.756241359069833</v>
      </c>
      <c r="G173" s="110">
        <f t="shared" si="73"/>
        <v>0.97698663129719132</v>
      </c>
      <c r="H173" s="414" t="b">
        <f>Wh_hp&gt;='2020'!Maxi_hp</f>
        <v>0</v>
      </c>
      <c r="I173" s="380">
        <f>IF(H173,Wh_hp,'2020'!Maxi_hp)</f>
        <v>64.288784503922017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2.3957496082645746E-2</v>
      </c>
      <c r="M173" s="844"/>
      <c r="N173" s="844"/>
      <c r="O173" s="48">
        <f>IF(t&lt;Tnet,'2020'!Resal+('2020'!Salim-'2020'!Resal)*(1-EXP(('2020'!Tnet-t)/('2020'!Tau_j))),Resal+(Salim-Resal)*(1-EXP((Tnet-t)/(Tau_j))))*Salcycl</f>
        <v>2.8528682663784281E-2</v>
      </c>
      <c r="P173" s="169">
        <f>(INDEX(Models!$BJ173:$BT173,,T173)*(1-R173)+INDEX(Models!$BJ173:$BT173,,T173+1)*R173-ERP_i)*Q173*Ramure*Pc/MaxiM</f>
        <v>9.2067769737047523E-5</v>
      </c>
      <c r="Q173" s="305">
        <f t="shared" si="51"/>
        <v>0.7</v>
      </c>
      <c r="R173" s="177">
        <f t="shared" si="52"/>
        <v>0.79084889307670037</v>
      </c>
      <c r="S173" s="810">
        <f t="shared" si="53"/>
        <v>-1</v>
      </c>
      <c r="T173" s="176">
        <f t="shared" si="54"/>
        <v>5</v>
      </c>
      <c r="U173" s="251">
        <f t="shared" si="55"/>
        <v>-0.20915110692329966</v>
      </c>
      <c r="V173" s="383">
        <f t="shared" si="56"/>
        <v>60.901365488486888</v>
      </c>
      <c r="W173" s="402"/>
      <c r="X173" s="157">
        <f t="shared" si="57"/>
        <v>44355</v>
      </c>
      <c r="Y173" s="385">
        <f t="shared" si="58"/>
        <v>53.798205617855217</v>
      </c>
      <c r="Z173" s="385">
        <f t="shared" si="59"/>
        <v>55.118711943317734</v>
      </c>
      <c r="AA173" s="386">
        <f t="shared" si="60"/>
        <v>62.750653460721814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0.12162329946382507</v>
      </c>
      <c r="AD173" s="231">
        <f>(INDEX(Models!$BJ173:$BT173,,AH173)*(1-AF173)+INDEX(Models!$BJ173:$BT173,,AH173+1)*AF173-ERP_i)*AE173*Ramure*Pc/MaxiM</f>
        <v>9.2067769737047523E-5</v>
      </c>
      <c r="AE173" s="305">
        <f t="shared" si="62"/>
        <v>0.7</v>
      </c>
      <c r="AF173" s="177">
        <f t="shared" si="63"/>
        <v>0.79084889307670037</v>
      </c>
      <c r="AG173" s="810">
        <f t="shared" si="71"/>
        <v>-1</v>
      </c>
      <c r="AH173" s="176">
        <f t="shared" si="64"/>
        <v>5</v>
      </c>
      <c r="AI173" s="225">
        <f t="shared" si="65"/>
        <v>-0.20915110692329966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6">
        <v>57.619</v>
      </c>
      <c r="C174" s="390"/>
      <c r="D174" s="393">
        <f t="shared" si="48"/>
        <v>59.034663632220081</v>
      </c>
      <c r="E174" s="385">
        <f t="shared" si="72"/>
        <v>60.781640967006979</v>
      </c>
      <c r="F174" s="385">
        <f t="shared" si="49"/>
        <v>60.786891370501721</v>
      </c>
      <c r="G174" s="110">
        <f t="shared" si="73"/>
        <v>0.94646667787130179</v>
      </c>
      <c r="H174" s="414" t="b">
        <f>Wh_hp&gt;='2020'!Maxi_hp</f>
        <v>1</v>
      </c>
      <c r="I174" s="380">
        <f>IF(H174,Wh_hp,'2020'!Maxi_hp)</f>
        <v>60.786891370501721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2.3980210017618186E-2</v>
      </c>
      <c r="M174" s="844"/>
      <c r="N174" s="844"/>
      <c r="O174" s="48">
        <f>IF(t&lt;Tnet,'2020'!Resal+('2020'!Salim-'2020'!Resal)*(1-EXP(('2020'!Tnet-t)/('2020'!Tau_j))),Resal+(Salim-Resal)*(1-EXP((Tnet-t)/(Tau_j))))*Salcycl</f>
        <v>2.8741858676293034E-2</v>
      </c>
      <c r="P174" s="169">
        <f>(INDEX(Models!$BJ174:$BT174,,T174)*(1-R174)+INDEX(Models!$BJ174:$BT174,,T174+1)*R174-ERP_i)*Q174*Ramure*Pc/MaxiM</f>
        <v>9.3525512006236843E-5</v>
      </c>
      <c r="Q174" s="305">
        <f t="shared" si="51"/>
        <v>0.7</v>
      </c>
      <c r="R174" s="177">
        <f t="shared" si="52"/>
        <v>0.794961512792145</v>
      </c>
      <c r="S174" s="810">
        <f t="shared" si="53"/>
        <v>-1</v>
      </c>
      <c r="T174" s="176">
        <f t="shared" si="54"/>
        <v>5</v>
      </c>
      <c r="U174" s="251">
        <f t="shared" si="55"/>
        <v>-0.20503848720785495</v>
      </c>
      <c r="V174" s="383">
        <f t="shared" si="56"/>
        <v>60.877566263341315</v>
      </c>
      <c r="W174" s="402"/>
      <c r="X174" s="157">
        <f t="shared" si="57"/>
        <v>44356</v>
      </c>
      <c r="Y174" s="385">
        <f t="shared" si="58"/>
        <v>52.098973936986567</v>
      </c>
      <c r="Z174" s="385">
        <f t="shared" si="59"/>
        <v>53.379013900862617</v>
      </c>
      <c r="AA174" s="386">
        <f t="shared" si="60"/>
        <v>60.781640967006979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0.12179051023256519</v>
      </c>
      <c r="AD174" s="231">
        <f>(INDEX(Models!$BJ174:$BT174,,AH174)*(1-AF174)+INDEX(Models!$BJ174:$BT174,,AH174+1)*AF174-ERP_i)*AE174*Ramure*Pc/MaxiM</f>
        <v>9.3525512006236843E-5</v>
      </c>
      <c r="AE174" s="305">
        <f t="shared" si="62"/>
        <v>0.7</v>
      </c>
      <c r="AF174" s="177">
        <f t="shared" si="63"/>
        <v>0.794961512792145</v>
      </c>
      <c r="AG174" s="810">
        <f t="shared" si="71"/>
        <v>-1</v>
      </c>
      <c r="AH174" s="176">
        <f t="shared" si="64"/>
        <v>5</v>
      </c>
      <c r="AI174" s="225">
        <f t="shared" si="65"/>
        <v>-0.20503848720785495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6">
        <v>57.338000000000001</v>
      </c>
      <c r="C175" s="390"/>
      <c r="D175" s="393">
        <f t="shared" si="48"/>
        <v>58.748126788610719</v>
      </c>
      <c r="E175" s="385">
        <f t="shared" si="72"/>
        <v>60.499882985641527</v>
      </c>
      <c r="F175" s="385">
        <f t="shared" si="49"/>
        <v>60.505156009708934</v>
      </c>
      <c r="G175" s="110">
        <f t="shared" si="73"/>
        <v>0.94225027896072977</v>
      </c>
      <c r="H175" s="414" t="b">
        <f>Wh_hp&gt;='2020'!Maxi_hp</f>
        <v>1</v>
      </c>
      <c r="I175" s="380">
        <f>IF(H175,Wh_hp,'2020'!Maxi_hp)</f>
        <v>60.505156009708934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2.400292342400423E-2</v>
      </c>
      <c r="M175" s="844"/>
      <c r="N175" s="844"/>
      <c r="O175" s="48">
        <f>IF(t&lt;Tnet,'2020'!Resal+('2020'!Salim-'2020'!Resal)*(1-EXP(('2020'!Tnet-t)/('2020'!Tau_j))),Resal+(Salim-Resal)*(1-EXP((Tnet-t)/(Tau_j))))*Salcycl</f>
        <v>2.8954703886725726E-2</v>
      </c>
      <c r="P175" s="169">
        <f>(INDEX(Models!$BJ175:$BT175,,T175)*(1-R175)+INDEX(Models!$BJ175:$BT175,,T175+1)*R175-ERP_i)*Q175*Ramure*Pc/MaxiM</f>
        <v>9.4985237768983416E-5</v>
      </c>
      <c r="Q175" s="305">
        <f t="shared" si="51"/>
        <v>0.7</v>
      </c>
      <c r="R175" s="177">
        <f t="shared" si="52"/>
        <v>0.79907760584095433</v>
      </c>
      <c r="S175" s="810">
        <f t="shared" si="53"/>
        <v>-1</v>
      </c>
      <c r="T175" s="176">
        <f t="shared" si="54"/>
        <v>5</v>
      </c>
      <c r="U175" s="251">
        <f t="shared" si="55"/>
        <v>-0.20092239415904573</v>
      </c>
      <c r="V175" s="383">
        <f t="shared" si="56"/>
        <v>60.851720592704709</v>
      </c>
      <c r="W175" s="402"/>
      <c r="X175" s="157">
        <f t="shared" si="57"/>
        <v>44357</v>
      </c>
      <c r="Y175" s="385">
        <f t="shared" si="58"/>
        <v>51.846471842462527</v>
      </c>
      <c r="Z175" s="385">
        <f t="shared" si="59"/>
        <v>53.121544200061457</v>
      </c>
      <c r="AA175" s="386">
        <f t="shared" si="60"/>
        <v>60.499882985641527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0.12195624886301318</v>
      </c>
      <c r="AD175" s="231">
        <f>(INDEX(Models!$BJ175:$BT175,,AH175)*(1-AF175)+INDEX(Models!$BJ175:$BT175,,AH175+1)*AF175-ERP_i)*AE175*Ramure*Pc/MaxiM</f>
        <v>9.4985237768983416E-5</v>
      </c>
      <c r="AE175" s="305">
        <f t="shared" si="62"/>
        <v>0.7</v>
      </c>
      <c r="AF175" s="177">
        <f t="shared" si="63"/>
        <v>0.79907760584095433</v>
      </c>
      <c r="AG175" s="810">
        <f t="shared" si="71"/>
        <v>-1</v>
      </c>
      <c r="AH175" s="176">
        <f t="shared" si="64"/>
        <v>5</v>
      </c>
      <c r="AI175" s="225">
        <f t="shared" si="65"/>
        <v>-0.20092239415904573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6">
        <v>46.999000000000002</v>
      </c>
      <c r="C176" s="390"/>
      <c r="D176" s="393">
        <f t="shared" si="48"/>
        <v>48.155978013510868</v>
      </c>
      <c r="E176" s="385">
        <f t="shared" si="72"/>
        <v>49.602751022910951</v>
      </c>
      <c r="F176" s="385">
        <f t="shared" si="49"/>
        <v>49.605981809306158</v>
      </c>
      <c r="G176" s="110">
        <f t="shared" si="73"/>
        <v>0.77267884438619949</v>
      </c>
      <c r="H176" s="414" t="b">
        <f>Wh_hp&gt;='2020'!Maxi_hp</f>
        <v>1</v>
      </c>
      <c r="I176" s="380">
        <f>IF(H176,Wh_hp,'2020'!Maxi_hp)</f>
        <v>49.605981809306158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2.4025636301816089E-2</v>
      </c>
      <c r="M176" s="844"/>
      <c r="N176" s="844"/>
      <c r="O176" s="48">
        <f>IF(t&lt;Tnet,'2020'!Resal+('2020'!Salim-'2020'!Resal)*(1-EXP(('2020'!Tnet-t)/('2020'!Tau_j))),Resal+(Salim-Resal)*(1-EXP((Tnet-t)/(Tau_j))))*Salcycl</f>
        <v>2.9167192939194713E-2</v>
      </c>
      <c r="P176" s="169">
        <f>(INDEX(Models!$BJ176:$BT176,,T176)*(1-R176)+INDEX(Models!$BJ176:$BT176,,T176+1)*R176-ERP_i)*Q176*Ramure*Pc/MaxiM</f>
        <v>9.6445914661942773E-5</v>
      </c>
      <c r="Q176" s="305">
        <f t="shared" si="51"/>
        <v>0.7</v>
      </c>
      <c r="R176" s="177">
        <f t="shared" si="52"/>
        <v>0.80319369888976344</v>
      </c>
      <c r="S176" s="810">
        <f t="shared" si="53"/>
        <v>-1</v>
      </c>
      <c r="T176" s="176">
        <f t="shared" si="54"/>
        <v>5</v>
      </c>
      <c r="U176" s="251">
        <f t="shared" si="55"/>
        <v>-0.1968063011102365</v>
      </c>
      <c r="V176" s="383">
        <f t="shared" si="56"/>
        <v>60.824142372222077</v>
      </c>
      <c r="W176" s="402"/>
      <c r="X176" s="157">
        <f t="shared" si="57"/>
        <v>44358</v>
      </c>
      <c r="Y176" s="385">
        <f t="shared" si="58"/>
        <v>42.499039297520959</v>
      </c>
      <c r="Z176" s="385">
        <f t="shared" si="59"/>
        <v>43.545241430812432</v>
      </c>
      <c r="AA176" s="386">
        <f t="shared" si="60"/>
        <v>49.602751022910951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0.12212043620928652</v>
      </c>
      <c r="AD176" s="231">
        <f>(INDEX(Models!$BJ176:$BT176,,AH176)*(1-AF176)+INDEX(Models!$BJ176:$BT176,,AH176+1)*AF176-ERP_i)*AE176*Ramure*Pc/MaxiM</f>
        <v>9.6445914661942773E-5</v>
      </c>
      <c r="AE176" s="305">
        <f t="shared" si="62"/>
        <v>0.7</v>
      </c>
      <c r="AF176" s="177">
        <f t="shared" si="63"/>
        <v>0.80319369888976344</v>
      </c>
      <c r="AG176" s="810">
        <f t="shared" si="71"/>
        <v>-1</v>
      </c>
      <c r="AH176" s="176">
        <f t="shared" si="64"/>
        <v>5</v>
      </c>
      <c r="AI176" s="225">
        <f t="shared" si="65"/>
        <v>-0.1968063011102365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6">
        <v>49.933</v>
      </c>
      <c r="C177" s="390"/>
      <c r="D177" s="393">
        <f t="shared" si="48"/>
        <v>51.163395165102663</v>
      </c>
      <c r="E177" s="385">
        <f t="shared" si="72"/>
        <v>52.712038001649141</v>
      </c>
      <c r="F177" s="385">
        <f t="shared" si="49"/>
        <v>52.715882040137473</v>
      </c>
      <c r="G177" s="110">
        <f t="shared" si="73"/>
        <v>0.82132503023429415</v>
      </c>
      <c r="H177" s="414" t="b">
        <f>Wh_hp&gt;='2020'!Maxi_hp</f>
        <v>0</v>
      </c>
      <c r="I177" s="380">
        <f>IF(H177,Wh_hp,'2020'!Maxi_hp)</f>
        <v>55.539743241792053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2.4048348651066198E-2</v>
      </c>
      <c r="M177" s="844"/>
      <c r="N177" s="844"/>
      <c r="O177" s="48">
        <f>IF(t&lt;Tnet,'2020'!Resal+('2020'!Salim-'2020'!Resal)*(1-EXP(('2020'!Tnet-t)/('2020'!Tau_j))),Resal+(Salim-Resal)*(1-EXP((Tnet-t)/(Tau_j))))*Salcycl</f>
        <v>2.9379301109511809E-2</v>
      </c>
      <c r="P177" s="169">
        <f>(INDEX(Models!$BJ177:$BT177,,T177)*(1-R177)+INDEX(Models!$BJ177:$BT177,,T177+1)*R177-ERP_i)*Q177*Ramure*Pc/MaxiM</f>
        <v>9.7908098082971688E-5</v>
      </c>
      <c r="Q177" s="305">
        <f t="shared" si="51"/>
        <v>0.7</v>
      </c>
      <c r="R177" s="177">
        <f t="shared" si="52"/>
        <v>0.80730631860520818</v>
      </c>
      <c r="S177" s="810">
        <f t="shared" si="53"/>
        <v>-1</v>
      </c>
      <c r="T177" s="176">
        <f t="shared" si="54"/>
        <v>5</v>
      </c>
      <c r="U177" s="251">
        <f t="shared" si="55"/>
        <v>-0.19269368139479179</v>
      </c>
      <c r="V177" s="383">
        <f t="shared" si="56"/>
        <v>60.794144019481521</v>
      </c>
      <c r="W177" s="402"/>
      <c r="X177" s="157">
        <f t="shared" si="57"/>
        <v>44359</v>
      </c>
      <c r="Y177" s="385">
        <f t="shared" si="58"/>
        <v>45.153625032811583</v>
      </c>
      <c r="Z177" s="385">
        <f t="shared" si="59"/>
        <v>46.2662519914808</v>
      </c>
      <c r="AA177" s="386">
        <f t="shared" si="60"/>
        <v>52.712038001649141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0.12228299748089193</v>
      </c>
      <c r="AD177" s="231">
        <f>(INDEX(Models!$BJ177:$BT177,,AH177)*(1-AF177)+INDEX(Models!$BJ177:$BT177,,AH177+1)*AF177-ERP_i)*AE177*Ramure*Pc/MaxiM</f>
        <v>9.7908098082971688E-5</v>
      </c>
      <c r="AE177" s="305">
        <f t="shared" si="62"/>
        <v>0.7</v>
      </c>
      <c r="AF177" s="177">
        <f t="shared" si="63"/>
        <v>0.80730631860520818</v>
      </c>
      <c r="AG177" s="810">
        <f t="shared" si="71"/>
        <v>-1</v>
      </c>
      <c r="AH177" s="176">
        <f t="shared" si="64"/>
        <v>5</v>
      </c>
      <c r="AI177" s="225">
        <f t="shared" si="65"/>
        <v>-0.19269368139479179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6">
        <v>57.172000000000004</v>
      </c>
      <c r="C178" s="390"/>
      <c r="D178" s="393">
        <f t="shared" si="48"/>
        <v>58.582134092300926</v>
      </c>
      <c r="E178" s="385">
        <f t="shared" si="72"/>
        <v>60.368498600527381</v>
      </c>
      <c r="F178" s="385">
        <f t="shared" si="49"/>
        <v>60.373988590070987</v>
      </c>
      <c r="G178" s="110">
        <f t="shared" si="73"/>
        <v>0.94092610487605577</v>
      </c>
      <c r="H178" s="414" t="b">
        <f>Wh_hp&gt;='2020'!Maxi_hp</f>
        <v>0</v>
      </c>
      <c r="I178" s="380">
        <f>IF(H178,Wh_hp,'2020'!Maxi_hp)</f>
        <v>65.896682461422955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2.4071060471766659E-2</v>
      </c>
      <c r="M178" s="844"/>
      <c r="N178" s="844"/>
      <c r="O178" s="48">
        <f>IF(t&lt;Tnet,'2020'!Resal+('2020'!Salim-'2020'!Resal)*(1-EXP(('2020'!Tnet-t)/('2020'!Tau_j))),Resal+(Salim-Resal)*(1-EXP((Tnet-t)/(Tau_j))))*Salcycl</f>
        <v>2.9591004408561709E-2</v>
      </c>
      <c r="P178" s="169">
        <f>(INDEX(Models!$BJ178:$BT178,,T178)*(1-R178)+INDEX(Models!$BJ178:$BT178,,T178+1)*R178-ERP_i)*Q178*Ramure*Pc/MaxiM</f>
        <v>9.9313064891024861E-5</v>
      </c>
      <c r="Q178" s="305">
        <f t="shared" si="51"/>
        <v>0.7</v>
      </c>
      <c r="R178" s="177">
        <f t="shared" si="52"/>
        <v>0.81141200336782138</v>
      </c>
      <c r="S178" s="810">
        <f t="shared" si="53"/>
        <v>-1</v>
      </c>
      <c r="T178" s="176">
        <f t="shared" si="54"/>
        <v>5</v>
      </c>
      <c r="U178" s="251">
        <f t="shared" si="55"/>
        <v>-0.18858799663217857</v>
      </c>
      <c r="V178" s="383">
        <f t="shared" si="56"/>
        <v>60.760904131194167</v>
      </c>
      <c r="W178" s="402"/>
      <c r="X178" s="157">
        <f t="shared" si="57"/>
        <v>44360</v>
      </c>
      <c r="Y178" s="385">
        <f t="shared" si="58"/>
        <v>51.701539989078405</v>
      </c>
      <c r="Z178" s="385">
        <f t="shared" si="59"/>
        <v>52.976746456633478</v>
      </c>
      <c r="AA178" s="386">
        <f t="shared" si="60"/>
        <v>60.368498600527381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0.12244386253179614</v>
      </c>
      <c r="AD178" s="231">
        <f>(INDEX(Models!$BJ178:$BT178,,AH178)*(1-AF178)+INDEX(Models!$BJ178:$BT178,,AH178+1)*AF178-ERP_i)*AE178*Ramure*Pc/MaxiM</f>
        <v>9.9313064891024861E-5</v>
      </c>
      <c r="AE178" s="305">
        <f t="shared" si="62"/>
        <v>0.7</v>
      </c>
      <c r="AF178" s="177">
        <f t="shared" si="63"/>
        <v>0.81141200336782138</v>
      </c>
      <c r="AG178" s="810">
        <f t="shared" si="71"/>
        <v>-1</v>
      </c>
      <c r="AH178" s="176">
        <f t="shared" si="64"/>
        <v>5</v>
      </c>
      <c r="AI178" s="225">
        <f t="shared" si="65"/>
        <v>-0.18858799663217857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6">
        <v>52.34</v>
      </c>
      <c r="C179" s="390"/>
      <c r="D179" s="393">
        <f t="shared" si="48"/>
        <v>53.632202035028968</v>
      </c>
      <c r="E179" s="385">
        <f t="shared" si="72"/>
        <v>55.279661982162075</v>
      </c>
      <c r="F179" s="385">
        <f t="shared" si="49"/>
        <v>55.28412997128946</v>
      </c>
      <c r="G179" s="110">
        <f t="shared" si="73"/>
        <v>0.86190805199935061</v>
      </c>
      <c r="H179" s="414" t="b">
        <f>Wh_hp&gt;='2020'!Maxi_hp</f>
        <v>1</v>
      </c>
      <c r="I179" s="380">
        <f>IF(H179,Wh_hp,'2020'!Maxi_hp)</f>
        <v>55.28412997128946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2.4093771763929905E-2</v>
      </c>
      <c r="M179" s="844"/>
      <c r="N179" s="844"/>
      <c r="O179" s="48">
        <f>IF(t&lt;Tnet,'2020'!Resal+('2020'!Salim-'2020'!Resal)*(1-EXP(('2020'!Tnet-t)/('2020'!Tau_j))),Resal+(Salim-Resal)*(1-EXP((Tnet-t)/(Tau_j))))*Salcycl</f>
        <v>2.9802279682258553E-2</v>
      </c>
      <c r="P179" s="169">
        <f>(INDEX(Models!$BJ179:$BT179,,T179)*(1-R179)+INDEX(Models!$BJ179:$BT179,,T179+1)*R179-ERP_i)*Q179*Ramure*Pc/MaxiM</f>
        <v>1.0067721254109267E-4</v>
      </c>
      <c r="Q179" s="305">
        <f t="shared" si="51"/>
        <v>0.7</v>
      </c>
      <c r="R179" s="177">
        <f t="shared" si="52"/>
        <v>0.81550731490208217</v>
      </c>
      <c r="S179" s="810">
        <f t="shared" si="53"/>
        <v>-1</v>
      </c>
      <c r="T179" s="176">
        <f t="shared" si="54"/>
        <v>5</v>
      </c>
      <c r="U179" s="251">
        <f t="shared" si="55"/>
        <v>-0.1844926850979178</v>
      </c>
      <c r="V179" s="383">
        <f t="shared" si="56"/>
        <v>60.724529023454593</v>
      </c>
      <c r="W179" s="402"/>
      <c r="X179" s="157">
        <f t="shared" si="57"/>
        <v>44361</v>
      </c>
      <c r="Y179" s="385">
        <f t="shared" si="58"/>
        <v>47.3336102437977</v>
      </c>
      <c r="Z179" s="385">
        <f t="shared" si="59"/>
        <v>48.502211456680833</v>
      </c>
      <c r="AA179" s="386">
        <f t="shared" si="60"/>
        <v>55.279661982162075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0.12260296612646114</v>
      </c>
      <c r="AD179" s="231">
        <f>(INDEX(Models!$BJ179:$BT179,,AH179)*(1-AF179)+INDEX(Models!$BJ179:$BT179,,AH179+1)*AF179-ERP_i)*AE179*Ramure*Pc/MaxiM</f>
        <v>1.0067721254109267E-4</v>
      </c>
      <c r="AE179" s="305">
        <f t="shared" si="62"/>
        <v>0.7</v>
      </c>
      <c r="AF179" s="177">
        <f t="shared" si="63"/>
        <v>0.81550731490208217</v>
      </c>
      <c r="AG179" s="810">
        <f t="shared" si="71"/>
        <v>-1</v>
      </c>
      <c r="AH179" s="176">
        <f t="shared" si="64"/>
        <v>5</v>
      </c>
      <c r="AI179" s="225">
        <f t="shared" si="65"/>
        <v>-0.1844926850979178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6">
        <v>51.514000000000003</v>
      </c>
      <c r="C180" s="390"/>
      <c r="D180" s="393">
        <f t="shared" si="48"/>
        <v>52.787037671691429</v>
      </c>
      <c r="E180" s="385">
        <f t="shared" si="72"/>
        <v>54.420361685160145</v>
      </c>
      <c r="F180" s="385">
        <f t="shared" si="49"/>
        <v>54.424714463330815</v>
      </c>
      <c r="G180" s="110">
        <f t="shared" si="73"/>
        <v>0.84885488373076023</v>
      </c>
      <c r="H180" s="414" t="b">
        <f>Wh_hp&gt;='2020'!Maxi_hp</f>
        <v>1</v>
      </c>
      <c r="I180" s="380">
        <f>IF(H180,Wh_hp,'2020'!Maxi_hp)</f>
        <v>54.424714463330815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2.411648252756815E-2</v>
      </c>
      <c r="M180" s="844"/>
      <c r="N180" s="844"/>
      <c r="O180" s="48">
        <f>IF(t&lt;Tnet,'2020'!Resal+('2020'!Salim-'2020'!Resal)*(1-EXP(('2020'!Tnet-t)/('2020'!Tau_j))),Resal+(Salim-Resal)*(1-EXP((Tnet-t)/(Tau_j))))*Salcycl</f>
        <v>3.0013104707352644E-2</v>
      </c>
      <c r="P180" s="169">
        <f>(INDEX(Models!$BJ180:$BT180,,T180)*(1-R180)+INDEX(Models!$BJ180:$BT180,,T180+1)*R180-ERP_i)*Q180*Ramure*Pc/MaxiM</f>
        <v>1.0199904145932076E-4</v>
      </c>
      <c r="Q180" s="305">
        <f t="shared" si="51"/>
        <v>0.7</v>
      </c>
      <c r="R180" s="177">
        <f t="shared" si="52"/>
        <v>0.81958884973979418</v>
      </c>
      <c r="S180" s="810">
        <f t="shared" si="53"/>
        <v>-1</v>
      </c>
      <c r="T180" s="176">
        <f t="shared" si="54"/>
        <v>5</v>
      </c>
      <c r="U180" s="251">
        <f t="shared" si="55"/>
        <v>-0.18041115026020579</v>
      </c>
      <c r="V180" s="383">
        <f t="shared" si="56"/>
        <v>60.685125930335751</v>
      </c>
      <c r="W180" s="402"/>
      <c r="X180" s="157">
        <f t="shared" si="57"/>
        <v>44362</v>
      </c>
      <c r="Y180" s="385">
        <f t="shared" si="58"/>
        <v>46.588390827256845</v>
      </c>
      <c r="Z180" s="385">
        <f t="shared" si="59"/>
        <v>47.739704578597866</v>
      </c>
      <c r="AA180" s="386">
        <f t="shared" si="60"/>
        <v>54.420361685160145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0.12276024818085746</v>
      </c>
      <c r="AD180" s="231">
        <f>(INDEX(Models!$BJ180:$BT180,,AH180)*(1-AF180)+INDEX(Models!$BJ180:$BT180,,AH180+1)*AF180-ERP_i)*AE180*Ramure*Pc/MaxiM</f>
        <v>1.0199904145932076E-4</v>
      </c>
      <c r="AE180" s="305">
        <f t="shared" si="62"/>
        <v>0.7</v>
      </c>
      <c r="AF180" s="177">
        <f t="shared" si="63"/>
        <v>0.81958884973979418</v>
      </c>
      <c r="AG180" s="810">
        <f t="shared" si="71"/>
        <v>-1</v>
      </c>
      <c r="AH180" s="176">
        <f t="shared" si="64"/>
        <v>5</v>
      </c>
      <c r="AI180" s="225">
        <f t="shared" si="65"/>
        <v>-0.18041115026020579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6">
        <v>45.959000000000003</v>
      </c>
      <c r="C181" s="390"/>
      <c r="D181" s="393">
        <f t="shared" si="48"/>
        <v>47.095855944979931</v>
      </c>
      <c r="E181" s="385">
        <f t="shared" si="72"/>
        <v>48.563616378641186</v>
      </c>
      <c r="F181" s="385">
        <f t="shared" si="49"/>
        <v>48.566897201533152</v>
      </c>
      <c r="G181" s="110">
        <f t="shared" si="73"/>
        <v>0.75783698286998302</v>
      </c>
      <c r="H181" s="414" t="b">
        <f>Wh_hp&gt;='2020'!Maxi_hp</f>
        <v>0</v>
      </c>
      <c r="I181" s="380">
        <f>IF(H181,Wh_hp,'2020'!Maxi_hp)</f>
        <v>65.565674070131692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2.4139192762693829E-2</v>
      </c>
      <c r="M181" s="844"/>
      <c r="N181" s="844"/>
      <c r="O181" s="48">
        <f>IF(t&lt;Tnet,'2020'!Resal+('2020'!Salim-'2020'!Resal)*(1-EXP(('2020'!Tnet-t)/('2020'!Tau_j))),Resal+(Salim-Resal)*(1-EXP((Tnet-t)/(Tau_j))))*Salcycl</f>
        <v>3.0223458282377557E-2</v>
      </c>
      <c r="P181" s="169">
        <f>(INDEX(Models!$BJ181:$BT181,,T181)*(1-R181)+INDEX(Models!$BJ181:$BT181,,T181+1)*R181-ERP_i)*Q181*Ramure*Pc/MaxiM</f>
        <v>1.0327707136010882E-4</v>
      </c>
      <c r="Q181" s="305">
        <f t="shared" si="51"/>
        <v>0.7</v>
      </c>
      <c r="R181" s="177">
        <f t="shared" si="52"/>
        <v>0.82365325043601167</v>
      </c>
      <c r="S181" s="810">
        <f t="shared" si="53"/>
        <v>-1</v>
      </c>
      <c r="T181" s="176">
        <f t="shared" si="54"/>
        <v>5</v>
      </c>
      <c r="U181" s="251">
        <f t="shared" si="55"/>
        <v>-0.17634674956398827</v>
      </c>
      <c r="V181" s="383">
        <f t="shared" si="56"/>
        <v>60.642801907903724</v>
      </c>
      <c r="W181" s="402"/>
      <c r="X181" s="157">
        <f t="shared" si="57"/>
        <v>44363</v>
      </c>
      <c r="Y181" s="385">
        <f t="shared" si="58"/>
        <v>41.566193576401204</v>
      </c>
      <c r="Z181" s="385">
        <f t="shared" si="59"/>
        <v>42.594387711989846</v>
      </c>
      <c r="AA181" s="386">
        <f t="shared" si="60"/>
        <v>48.563616378641186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0.12291565397663984</v>
      </c>
      <c r="AD181" s="231">
        <f>(INDEX(Models!$BJ181:$BT181,,AH181)*(1-AF181)+INDEX(Models!$BJ181:$BT181,,AH181+1)*AF181-ERP_i)*AE181*Ramure*Pc/MaxiM</f>
        <v>1.0327707136010882E-4</v>
      </c>
      <c r="AE181" s="305">
        <f t="shared" si="62"/>
        <v>0.7</v>
      </c>
      <c r="AF181" s="177">
        <f t="shared" si="63"/>
        <v>0.82365325043601167</v>
      </c>
      <c r="AG181" s="810">
        <f t="shared" si="71"/>
        <v>-1</v>
      </c>
      <c r="AH181" s="176">
        <f t="shared" si="64"/>
        <v>5</v>
      </c>
      <c r="AI181" s="225">
        <f t="shared" si="65"/>
        <v>-0.17634674956398827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6">
        <v>16.141000000000002</v>
      </c>
      <c r="C182" s="390"/>
      <c r="D182" s="393">
        <f t="shared" si="48"/>
        <v>16.540653660524377</v>
      </c>
      <c r="E182" s="385">
        <f t="shared" si="72"/>
        <v>17.059841274521794</v>
      </c>
      <c r="F182" s="385">
        <f t="shared" si="49"/>
        <v>17.059841274521794</v>
      </c>
      <c r="G182" s="110">
        <f t="shared" si="73"/>
        <v>0.26633556619752935</v>
      </c>
      <c r="H182" s="414" t="b">
        <f>Wh_hp&gt;='2020'!Maxi_hp</f>
        <v>0</v>
      </c>
      <c r="I182" s="380">
        <f>IF(H182,Wh_hp,'2020'!Maxi_hp)</f>
        <v>63.498775239752014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2.4161902469319152E-2</v>
      </c>
      <c r="M182" s="844"/>
      <c r="N182" s="844"/>
      <c r="O182" s="48">
        <f>IF(t&lt;Tnet,'2020'!Resal+('2020'!Salim-'2020'!Resal)*(1-EXP(('2020'!Tnet-t)/('2020'!Tau_j))),Resal+(Salim-Resal)*(1-EXP((Tnet-t)/(Tau_j))))*Salcycl</f>
        <v>3.0433320313056143E-2</v>
      </c>
      <c r="P182" s="169">
        <f>(INDEX(Models!$BJ182:$BT182,,T182)*(1-R182)+INDEX(Models!$BJ182:$BT182,,T182+1)*R182-ERP_i)*Q182*Ramure*Pc/MaxiM</f>
        <v>1.0450984671086037E-4</v>
      </c>
      <c r="Q182" s="305">
        <f t="shared" si="51"/>
        <v>0.7</v>
      </c>
      <c r="R182" s="177">
        <f t="shared" si="52"/>
        <v>0.82769721645973959</v>
      </c>
      <c r="S182" s="810">
        <f t="shared" si="53"/>
        <v>-1</v>
      </c>
      <c r="T182" s="176">
        <f t="shared" si="54"/>
        <v>5</v>
      </c>
      <c r="U182" s="251">
        <f t="shared" si="55"/>
        <v>-0.17230278354026043</v>
      </c>
      <c r="V182" s="383">
        <f t="shared" si="56"/>
        <v>60.597663830576892</v>
      </c>
      <c r="W182" s="402"/>
      <c r="X182" s="157">
        <f t="shared" si="57"/>
        <v>44364</v>
      </c>
      <c r="Y182" s="385">
        <f t="shared" si="58"/>
        <v>14.598832033994411</v>
      </c>
      <c r="Z182" s="385">
        <f t="shared" si="59"/>
        <v>14.960301376771588</v>
      </c>
      <c r="AA182" s="386">
        <f t="shared" si="60"/>
        <v>17.059841274521794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0.12306913434685865</v>
      </c>
      <c r="AD182" s="231">
        <f>(INDEX(Models!$BJ182:$BT182,,AH182)*(1-AF182)+INDEX(Models!$BJ182:$BT182,,AH182+1)*AF182-ERP_i)*AE182*Ramure*Pc/MaxiM</f>
        <v>1.0450984671086037E-4</v>
      </c>
      <c r="AE182" s="305">
        <f t="shared" si="62"/>
        <v>0.7</v>
      </c>
      <c r="AF182" s="177">
        <f t="shared" si="63"/>
        <v>0.82769721645973959</v>
      </c>
      <c r="AG182" s="810">
        <f t="shared" si="71"/>
        <v>-1</v>
      </c>
      <c r="AH182" s="176">
        <f t="shared" si="64"/>
        <v>5</v>
      </c>
      <c r="AI182" s="225">
        <f t="shared" si="65"/>
        <v>-0.17230278354026043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6">
        <v>43.242000000000004</v>
      </c>
      <c r="C183" s="390"/>
      <c r="D183" s="393">
        <f t="shared" si="48"/>
        <v>44.313709863711935</v>
      </c>
      <c r="E183" s="385">
        <f t="shared" si="72"/>
        <v>45.714525055669526</v>
      </c>
      <c r="F183" s="385">
        <f t="shared" si="49"/>
        <v>45.717383997531094</v>
      </c>
      <c r="G183" s="110">
        <f t="shared" si="73"/>
        <v>0.71412490868166134</v>
      </c>
      <c r="H183" s="414" t="b">
        <f>Wh_hp&gt;='2020'!Maxi_hp</f>
        <v>0</v>
      </c>
      <c r="I183" s="380">
        <f>IF(H183,Wh_hp,'2020'!Maxi_hp)</f>
        <v>60.833252001548445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2.4184611647456333E-2</v>
      </c>
      <c r="M183" s="844"/>
      <c r="N183" s="844"/>
      <c r="O183" s="48">
        <f>IF(t&lt;Tnet,'2020'!Resal+('2020'!Salim-'2020'!Resal)*(1-EXP(('2020'!Tnet-t)/('2020'!Tau_j))),Resal+(Salim-Resal)*(1-EXP((Tnet-t)/(Tau_j))))*Salcycl</f>
        <v>3.0642671891520805E-2</v>
      </c>
      <c r="P183" s="169">
        <f>(INDEX(Models!$BJ183:$BT183,,T183)*(1-R183)+INDEX(Models!$BJ183:$BT183,,T183+1)*R183-ERP_i)*Q183*Ramure*Pc/MaxiM</f>
        <v>1.056959419480633E-4</v>
      </c>
      <c r="Q183" s="305">
        <f t="shared" si="51"/>
        <v>0.7</v>
      </c>
      <c r="R183" s="177">
        <f t="shared" si="52"/>
        <v>0.8317175146855571</v>
      </c>
      <c r="S183" s="810">
        <f t="shared" si="53"/>
        <v>-1</v>
      </c>
      <c r="T183" s="176">
        <f t="shared" si="54"/>
        <v>5</v>
      </c>
      <c r="U183" s="251">
        <f t="shared" si="55"/>
        <v>-0.16828248531444287</v>
      </c>
      <c r="V183" s="383">
        <f t="shared" si="56"/>
        <v>60.549818382083785</v>
      </c>
      <c r="W183" s="402"/>
      <c r="X183" s="157">
        <f t="shared" si="57"/>
        <v>44365</v>
      </c>
      <c r="Y183" s="385">
        <f t="shared" si="58"/>
        <v>39.112194991008558</v>
      </c>
      <c r="Z183" s="385">
        <f t="shared" si="59"/>
        <v>40.081551754416544</v>
      </c>
      <c r="AA183" s="386">
        <f t="shared" si="60"/>
        <v>45.714525055669526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0.12322064583178646</v>
      </c>
      <c r="AD183" s="231">
        <f>(INDEX(Models!$BJ183:$BT183,,AH183)*(1-AF183)+INDEX(Models!$BJ183:$BT183,,AH183+1)*AF183-ERP_i)*AE183*Ramure*Pc/MaxiM</f>
        <v>1.056959419480633E-4</v>
      </c>
      <c r="AE183" s="305">
        <f t="shared" si="62"/>
        <v>0.7</v>
      </c>
      <c r="AF183" s="177">
        <f t="shared" si="63"/>
        <v>0.8317175146855571</v>
      </c>
      <c r="AG183" s="810">
        <f t="shared" si="71"/>
        <v>-1</v>
      </c>
      <c r="AH183" s="176">
        <f t="shared" si="64"/>
        <v>5</v>
      </c>
      <c r="AI183" s="225">
        <f t="shared" si="65"/>
        <v>-0.16828248531444287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6">
        <v>33.728000000000002</v>
      </c>
      <c r="C184" s="390"/>
      <c r="D184" s="393">
        <f t="shared" si="48"/>
        <v>34.564719229365195</v>
      </c>
      <c r="E184" s="385">
        <f t="shared" si="72"/>
        <v>35.665039015374106</v>
      </c>
      <c r="F184" s="385">
        <f t="shared" si="49"/>
        <v>35.666439844832851</v>
      </c>
      <c r="G184" s="110">
        <f t="shared" si="73"/>
        <v>0.55745572497076901</v>
      </c>
      <c r="H184" s="414" t="b">
        <f>Wh_hp&gt;='2020'!Maxi_hp</f>
        <v>0</v>
      </c>
      <c r="I184" s="380">
        <f>IF(H184,Wh_hp,'2020'!Maxi_hp)</f>
        <v>51.798395929733495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2.4207320297117918E-2</v>
      </c>
      <c r="M184" s="844"/>
      <c r="N184" s="844"/>
      <c r="O184" s="48">
        <f>IF(t&lt;Tnet,'2020'!Resal+('2020'!Salim-'2020'!Resal)*(1-EXP(('2020'!Tnet-t)/('2020'!Tau_j))),Resal+(Salim-Resal)*(1-EXP((Tnet-t)/(Tau_j))))*Salcycl</f>
        <v>3.08514953687446E-2</v>
      </c>
      <c r="P184" s="169">
        <f>(INDEX(Models!$BJ184:$BT184,,T184)*(1-R184)+INDEX(Models!$BJ184:$BT184,,T184+1)*R184-ERP_i)*Q184*Ramure*Pc/MaxiM</f>
        <v>1.0677203471661088E-4</v>
      </c>
      <c r="Q184" s="305">
        <f t="shared" si="51"/>
        <v>0.7</v>
      </c>
      <c r="R184" s="177">
        <f t="shared" si="52"/>
        <v>0.8357109894170871</v>
      </c>
      <c r="S184" s="810">
        <f t="shared" si="53"/>
        <v>-1</v>
      </c>
      <c r="T184" s="176">
        <f t="shared" si="54"/>
        <v>5</v>
      </c>
      <c r="U184" s="251">
        <f t="shared" si="55"/>
        <v>-0.16428901058291287</v>
      </c>
      <c r="V184" s="383">
        <f t="shared" si="56"/>
        <v>60.499375803823064</v>
      </c>
      <c r="W184" s="402"/>
      <c r="X184" s="157">
        <f t="shared" si="57"/>
        <v>44366</v>
      </c>
      <c r="Y184" s="385">
        <f t="shared" si="58"/>
        <v>30.50819499014132</v>
      </c>
      <c r="Z184" s="385">
        <f t="shared" si="59"/>
        <v>31.26503777362905</v>
      </c>
      <c r="AA184" s="386">
        <f t="shared" si="60"/>
        <v>35.665039015374106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0.12337015080365825</v>
      </c>
      <c r="AD184" s="231">
        <f>(INDEX(Models!$BJ184:$BT184,,AH184)*(1-AF184)+INDEX(Models!$BJ184:$BT184,,AH184+1)*AF184-ERP_i)*AE184*Ramure*Pc/MaxiM</f>
        <v>1.0677203471661088E-4</v>
      </c>
      <c r="AE184" s="305">
        <f t="shared" si="62"/>
        <v>0.7</v>
      </c>
      <c r="AF184" s="177">
        <f t="shared" si="63"/>
        <v>0.8357109894170871</v>
      </c>
      <c r="AG184" s="810">
        <f t="shared" si="71"/>
        <v>-1</v>
      </c>
      <c r="AH184" s="176">
        <f t="shared" si="64"/>
        <v>5</v>
      </c>
      <c r="AI184" s="225">
        <f t="shared" si="65"/>
        <v>-0.16428901058291287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6">
        <v>36.093000000000004</v>
      </c>
      <c r="C185" s="390"/>
      <c r="D185" s="393">
        <f t="shared" si="48"/>
        <v>36.989250593041611</v>
      </c>
      <c r="E185" s="385">
        <f t="shared" si="72"/>
        <v>38.174956118563408</v>
      </c>
      <c r="F185" s="385">
        <f t="shared" si="49"/>
        <v>38.176701628274323</v>
      </c>
      <c r="G185" s="110">
        <f t="shared" si="73"/>
        <v>0.59707007015988689</v>
      </c>
      <c r="H185" s="414" t="b">
        <f>Wh_hp&gt;='2020'!Maxi_hp</f>
        <v>0</v>
      </c>
      <c r="I185" s="380">
        <f>IF(H185,Wh_hp,'2020'!Maxi_hp)</f>
        <v>56.819376844927362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2.4230028418315896E-2</v>
      </c>
      <c r="M185" s="844"/>
      <c r="N185" s="844"/>
      <c r="O185" s="48">
        <f>IF(t&lt;Tnet,'2020'!Resal+('2020'!Salim-'2020'!Resal)*(1-EXP(('2020'!Tnet-t)/('2020'!Tau_j))),Resal+(Salim-Resal)*(1-EXP((Tnet-t)/(Tau_j))))*Salcycl</f>
        <v>3.1059774419628632E-2</v>
      </c>
      <c r="P185" s="169">
        <f>(INDEX(Models!$BJ185:$BT185,,T185)*(1-R185)+INDEX(Models!$BJ185:$BT185,,T185+1)*R185-ERP_i)*Q185*Ramure*Pc/MaxiM</f>
        <v>1.0772311050229161E-4</v>
      </c>
      <c r="Q185" s="305">
        <f t="shared" si="51"/>
        <v>0.7</v>
      </c>
      <c r="R185" s="177">
        <f t="shared" si="52"/>
        <v>0.83967457187875305</v>
      </c>
      <c r="S185" s="810">
        <f t="shared" si="53"/>
        <v>-1</v>
      </c>
      <c r="T185" s="176">
        <f t="shared" si="54"/>
        <v>5</v>
      </c>
      <c r="U185" s="251">
        <f t="shared" si="55"/>
        <v>-0.160325428121247</v>
      </c>
      <c r="V185" s="383">
        <f t="shared" si="56"/>
        <v>60.446443206889462</v>
      </c>
      <c r="W185" s="402"/>
      <c r="X185" s="157">
        <f t="shared" si="57"/>
        <v>44367</v>
      </c>
      <c r="Y185" s="385">
        <f t="shared" si="58"/>
        <v>32.648947576184732</v>
      </c>
      <c r="Z185" s="385">
        <f t="shared" si="59"/>
        <v>33.459676488365481</v>
      </c>
      <c r="AA185" s="386">
        <f t="shared" si="60"/>
        <v>38.174956118563408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0.12351761755935629</v>
      </c>
      <c r="AD185" s="231">
        <f>(INDEX(Models!$BJ185:$BT185,,AH185)*(1-AF185)+INDEX(Models!$BJ185:$BT185,,AH185+1)*AF185-ERP_i)*AE185*Ramure*Pc/MaxiM</f>
        <v>1.0772311050229161E-4</v>
      </c>
      <c r="AE185" s="305">
        <f t="shared" si="62"/>
        <v>0.7</v>
      </c>
      <c r="AF185" s="177">
        <f t="shared" si="63"/>
        <v>0.83967457187875305</v>
      </c>
      <c r="AG185" s="810">
        <f t="shared" si="71"/>
        <v>-1</v>
      </c>
      <c r="AH185" s="176">
        <f t="shared" si="64"/>
        <v>5</v>
      </c>
      <c r="AI185" s="225">
        <f t="shared" si="65"/>
        <v>-0.160325428121247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6">
        <v>36.488</v>
      </c>
      <c r="C186" s="390"/>
      <c r="D186" s="393">
        <f t="shared" si="48"/>
        <v>37.394929349669887</v>
      </c>
      <c r="E186" s="385">
        <f t="shared" si="72"/>
        <v>38.601914483026064</v>
      </c>
      <c r="F186" s="385">
        <f t="shared" si="49"/>
        <v>38.603735434897615</v>
      </c>
      <c r="G186" s="110">
        <f t="shared" si="73"/>
        <v>0.60415763640781917</v>
      </c>
      <c r="H186" s="414" t="b">
        <f>Wh_hp&gt;='2020'!Maxi_hp</f>
        <v>0</v>
      </c>
      <c r="I186" s="380">
        <f>IF(H186,Wh_hp,'2020'!Maxi_hp)</f>
        <v>51.722405668054598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2.4252736011062814E-2</v>
      </c>
      <c r="M186" s="844"/>
      <c r="N186" s="844"/>
      <c r="O186" s="48">
        <f>IF(t&lt;Tnet,'2020'!Resal+('2020'!Salim-'2020'!Resal)*(1-EXP(('2020'!Tnet-t)/('2020'!Tau_j))),Resal+(Salim-Resal)*(1-EXP((Tnet-t)/(Tau_j))))*Salcycl</f>
        <v>3.1267494100244916E-2</v>
      </c>
      <c r="P186" s="169">
        <f>(INDEX(Models!$BJ186:$BT186,,T186)*(1-R186)+INDEX(Models!$BJ186:$BT186,,T186+1)*R186-ERP_i)*Q186*Ramure*Pc/MaxiM</f>
        <v>1.0854641974494842E-4</v>
      </c>
      <c r="Q186" s="305">
        <f t="shared" si="51"/>
        <v>0.7</v>
      </c>
      <c r="R186" s="177">
        <f t="shared" si="52"/>
        <v>0.84360528911845434</v>
      </c>
      <c r="S186" s="810">
        <f t="shared" si="53"/>
        <v>-1</v>
      </c>
      <c r="T186" s="176">
        <f t="shared" si="54"/>
        <v>5</v>
      </c>
      <c r="U186" s="251">
        <f t="shared" si="55"/>
        <v>-0.15639471088154566</v>
      </c>
      <c r="V186" s="383">
        <f t="shared" si="56"/>
        <v>60.391126761901909</v>
      </c>
      <c r="W186" s="402"/>
      <c r="X186" s="157">
        <f t="shared" si="57"/>
        <v>44368</v>
      </c>
      <c r="Y186" s="385">
        <f t="shared" si="58"/>
        <v>33.007856676249439</v>
      </c>
      <c r="Z186" s="385">
        <f t="shared" si="59"/>
        <v>33.828285145592453</v>
      </c>
      <c r="AA186" s="386">
        <f t="shared" si="60"/>
        <v>38.601914483026064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0.12366302038031461</v>
      </c>
      <c r="AD186" s="231">
        <f>(INDEX(Models!$BJ186:$BT186,,AH186)*(1-AF186)+INDEX(Models!$BJ186:$BT186,,AH186+1)*AF186-ERP_i)*AE186*Ramure*Pc/MaxiM</f>
        <v>1.0854641974494842E-4</v>
      </c>
      <c r="AE186" s="305">
        <f t="shared" si="62"/>
        <v>0.7</v>
      </c>
      <c r="AF186" s="177">
        <f t="shared" si="63"/>
        <v>0.84360528911845434</v>
      </c>
      <c r="AG186" s="810">
        <f t="shared" si="71"/>
        <v>-1</v>
      </c>
      <c r="AH186" s="176">
        <f t="shared" si="64"/>
        <v>5</v>
      </c>
      <c r="AI186" s="225">
        <f t="shared" si="65"/>
        <v>-0.15639471088154566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6">
        <v>37.932000000000002</v>
      </c>
      <c r="C187" s="390"/>
      <c r="D187" s="393">
        <f t="shared" si="48"/>
        <v>38.87572546042837</v>
      </c>
      <c r="E187" s="385">
        <f t="shared" si="72"/>
        <v>40.139088868488521</v>
      </c>
      <c r="F187" s="385">
        <f t="shared" si="49"/>
        <v>40.141147966726855</v>
      </c>
      <c r="G187" s="110">
        <f t="shared" si="73"/>
        <v>0.62866867678314386</v>
      </c>
      <c r="H187" s="414" t="b">
        <f>Wh_hp&gt;='2020'!Maxi_hp</f>
        <v>0</v>
      </c>
      <c r="I187" s="380">
        <f>IF(H187,Wh_hp,'2020'!Maxi_hp)</f>
        <v>65.775267938024328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2.4275443075370773E-2</v>
      </c>
      <c r="M187" s="844"/>
      <c r="N187" s="844"/>
      <c r="O187" s="48">
        <f>IF(t&lt;Tnet,'2020'!Resal+('2020'!Salim-'2020'!Resal)*(1-EXP(('2020'!Tnet-t)/('2020'!Tau_j))),Resal+(Salim-Resal)*(1-EXP((Tnet-t)/(Tau_j))))*Salcycl</f>
        <v>3.1474640896793284E-2</v>
      </c>
      <c r="P187" s="169">
        <f>(INDEX(Models!$BJ187:$BT187,,T187)*(1-R187)+INDEX(Models!$BJ187:$BT187,,T187+1)*R187-ERP_i)*Q187*Ramure*Pc/MaxiM</f>
        <v>1.0923928935135974E-4</v>
      </c>
      <c r="Q187" s="305">
        <f t="shared" si="51"/>
        <v>0.7</v>
      </c>
      <c r="R187" s="177">
        <f t="shared" si="52"/>
        <v>0.84750027227052449</v>
      </c>
      <c r="S187" s="810">
        <f t="shared" si="53"/>
        <v>-1</v>
      </c>
      <c r="T187" s="176">
        <f t="shared" si="54"/>
        <v>5</v>
      </c>
      <c r="U187" s="251">
        <f t="shared" si="55"/>
        <v>-0.15249972772947556</v>
      </c>
      <c r="V187" s="383">
        <f t="shared" si="56"/>
        <v>60.333532431438194</v>
      </c>
      <c r="W187" s="402"/>
      <c r="X187" s="157">
        <f t="shared" si="57"/>
        <v>44369</v>
      </c>
      <c r="Y187" s="385">
        <f t="shared" si="58"/>
        <v>34.315857210611277</v>
      </c>
      <c r="Z187" s="385">
        <f t="shared" si="59"/>
        <v>35.169615202440824</v>
      </c>
      <c r="AA187" s="386">
        <f t="shared" si="60"/>
        <v>40.139088868488521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0.1238063395591676</v>
      </c>
      <c r="AD187" s="231">
        <f>(INDEX(Models!$BJ187:$BT187,,AH187)*(1-AF187)+INDEX(Models!$BJ187:$BT187,,AH187+1)*AF187-ERP_i)*AE187*Ramure*Pc/MaxiM</f>
        <v>1.0923928935135974E-4</v>
      </c>
      <c r="AE187" s="305">
        <f t="shared" si="62"/>
        <v>0.7</v>
      </c>
      <c r="AF187" s="177">
        <f t="shared" si="63"/>
        <v>0.84750027227052449</v>
      </c>
      <c r="AG187" s="810">
        <f t="shared" si="71"/>
        <v>-1</v>
      </c>
      <c r="AH187" s="176">
        <f t="shared" si="64"/>
        <v>5</v>
      </c>
      <c r="AI187" s="225">
        <f t="shared" si="65"/>
        <v>-0.15249972772947556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6">
        <v>21.951000000000001</v>
      </c>
      <c r="C188" s="390"/>
      <c r="D188" s="393">
        <f t="shared" si="48"/>
        <v>22.497651297119187</v>
      </c>
      <c r="E188" s="385">
        <f t="shared" si="72"/>
        <v>23.23372360567739</v>
      </c>
      <c r="F188" s="385">
        <f t="shared" si="49"/>
        <v>23.233957530028597</v>
      </c>
      <c r="G188" s="110">
        <f t="shared" si="73"/>
        <v>0.36415197276753569</v>
      </c>
      <c r="H188" s="414" t="b">
        <f>Wh_hp&gt;='2020'!Maxi_hp</f>
        <v>0</v>
      </c>
      <c r="I188" s="380">
        <f>IF(H188,Wh_hp,'2020'!Maxi_hp)</f>
        <v>56.866605968442144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2.4298149611252318E-2</v>
      </c>
      <c r="M188" s="844"/>
      <c r="N188" s="844"/>
      <c r="O188" s="48">
        <f>IF(t&lt;Tnet,'2020'!Resal+('2020'!Salim-'2020'!Resal)*(1-EXP(('2020'!Tnet-t)/('2020'!Tau_j))),Resal+(Salim-Resal)*(1-EXP((Tnet-t)/(Tau_j))))*Salcycl</f>
        <v>3.1681202765893937E-2</v>
      </c>
      <c r="P188" s="169">
        <f>(INDEX(Models!$BJ188:$BT188,,T188)*(1-R188)+INDEX(Models!$BJ188:$BT188,,T188+1)*R188-ERP_i)*Q188*Ramure*Pc/MaxiM</f>
        <v>1.0979800579931304E-4</v>
      </c>
      <c r="Q188" s="305">
        <f t="shared" si="51"/>
        <v>0.7</v>
      </c>
      <c r="R188" s="177">
        <f t="shared" si="52"/>
        <v>0.85135676413550199</v>
      </c>
      <c r="S188" s="810">
        <f t="shared" si="53"/>
        <v>-1</v>
      </c>
      <c r="T188" s="176">
        <f t="shared" si="54"/>
        <v>5</v>
      </c>
      <c r="U188" s="251">
        <f t="shared" si="55"/>
        <v>-0.14864323586449801</v>
      </c>
      <c r="V188" s="383">
        <f t="shared" si="56"/>
        <v>60.27376603891426</v>
      </c>
      <c r="W188" s="402"/>
      <c r="X188" s="157">
        <f t="shared" si="57"/>
        <v>44370</v>
      </c>
      <c r="Y188" s="385">
        <f t="shared" si="58"/>
        <v>19.859396652004353</v>
      </c>
      <c r="Z188" s="385">
        <f t="shared" si="59"/>
        <v>20.353960222676424</v>
      </c>
      <c r="AA188" s="386">
        <f t="shared" si="60"/>
        <v>23.23372360567739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0.12394756139292576</v>
      </c>
      <c r="AD188" s="231">
        <f>(INDEX(Models!$BJ188:$BT188,,AH188)*(1-AF188)+INDEX(Models!$BJ188:$BT188,,AH188+1)*AF188-ERP_i)*AE188*Ramure*Pc/MaxiM</f>
        <v>1.0979800579931304E-4</v>
      </c>
      <c r="AE188" s="305">
        <f t="shared" si="62"/>
        <v>0.7</v>
      </c>
      <c r="AF188" s="177">
        <f t="shared" si="63"/>
        <v>0.85135676413550199</v>
      </c>
      <c r="AG188" s="810">
        <f t="shared" si="71"/>
        <v>-1</v>
      </c>
      <c r="AH188" s="176">
        <f t="shared" si="64"/>
        <v>5</v>
      </c>
      <c r="AI188" s="225">
        <f t="shared" si="65"/>
        <v>-0.14864323586449801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6">
        <v>40.716999999999999</v>
      </c>
      <c r="C189" s="390"/>
      <c r="D189" s="393">
        <f t="shared" si="48"/>
        <v>41.731956898412925</v>
      </c>
      <c r="E189" s="385">
        <f t="shared" si="72"/>
        <v>43.106501194140847</v>
      </c>
      <c r="F189" s="385">
        <f t="shared" si="49"/>
        <v>43.109054939597243</v>
      </c>
      <c r="G189" s="110">
        <f t="shared" si="73"/>
        <v>0.67619360434873232</v>
      </c>
      <c r="H189" s="414" t="b">
        <f>Wh_hp&gt;='2020'!Maxi_hp</f>
        <v>0</v>
      </c>
      <c r="I189" s="380">
        <f>IF(H189,Wh_hp,'2020'!Maxi_hp)</f>
        <v>64.123502417734827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2.432085561871955E-2</v>
      </c>
      <c r="M189" s="844"/>
      <c r="N189" s="844"/>
      <c r="O189" s="48">
        <f>IF(t&lt;Tnet,'2020'!Resal+('2020'!Salim-'2020'!Resal)*(1-EXP(('2020'!Tnet-t)/('2020'!Tau_j))),Resal+(Salim-Resal)*(1-EXP((Tnet-t)/(Tau_j))))*Salcycl</f>
        <v>3.1887169165906504E-2</v>
      </c>
      <c r="P189" s="169">
        <f>(INDEX(Models!$BJ189:$BT189,,T189)*(1-R189)+INDEX(Models!$BJ189:$BT189,,T189+1)*R189-ERP_i)*Q189*Ramure*Pc/MaxiM</f>
        <v>1.1021886596393158E-4</v>
      </c>
      <c r="Q189" s="305">
        <f t="shared" si="51"/>
        <v>0.7</v>
      </c>
      <c r="R189" s="177">
        <f t="shared" si="52"/>
        <v>0.85517212604073589</v>
      </c>
      <c r="S189" s="810">
        <f t="shared" si="53"/>
        <v>-1</v>
      </c>
      <c r="T189" s="176">
        <f t="shared" si="54"/>
        <v>5</v>
      </c>
      <c r="U189" s="251">
        <f t="shared" si="55"/>
        <v>-0.14482787395926411</v>
      </c>
      <c r="V189" s="383">
        <f t="shared" si="56"/>
        <v>60.211933203269162</v>
      </c>
      <c r="W189" s="402"/>
      <c r="X189" s="157">
        <f t="shared" si="57"/>
        <v>44371</v>
      </c>
      <c r="Y189" s="385">
        <f t="shared" si="58"/>
        <v>36.839262522050696</v>
      </c>
      <c r="Z189" s="385">
        <f t="shared" si="59"/>
        <v>37.757558654604672</v>
      </c>
      <c r="AA189" s="386">
        <f t="shared" si="60"/>
        <v>43.106501194140847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0.12408667814272101</v>
      </c>
      <c r="AD189" s="231">
        <f>(INDEX(Models!$BJ189:$BT189,,AH189)*(1-AF189)+INDEX(Models!$BJ189:$BT189,,AH189+1)*AF189-ERP_i)*AE189*Ramure*Pc/MaxiM</f>
        <v>1.1021886596393158E-4</v>
      </c>
      <c r="AE189" s="305">
        <f t="shared" si="62"/>
        <v>0.7</v>
      </c>
      <c r="AF189" s="177">
        <f t="shared" si="63"/>
        <v>0.85517212604073589</v>
      </c>
      <c r="AG189" s="810">
        <f t="shared" si="71"/>
        <v>-1</v>
      </c>
      <c r="AH189" s="176">
        <f t="shared" si="64"/>
        <v>5</v>
      </c>
      <c r="AI189" s="225">
        <f t="shared" si="65"/>
        <v>-0.14482787395926411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6">
        <v>53.856999999999999</v>
      </c>
      <c r="C190" s="390"/>
      <c r="D190" s="393">
        <f t="shared" si="48"/>
        <v>55.200783649415136</v>
      </c>
      <c r="E190" s="385">
        <f t="shared" si="72"/>
        <v>57.031054539700683</v>
      </c>
      <c r="F190" s="385">
        <f t="shared" si="49"/>
        <v>57.036415308446337</v>
      </c>
      <c r="G190" s="110">
        <f t="shared" si="73"/>
        <v>0.89539113514568125</v>
      </c>
      <c r="H190" s="414" t="b">
        <f>Wh_hp&gt;='2020'!Maxi_hp</f>
        <v>0</v>
      </c>
      <c r="I190" s="380">
        <f>IF(H190,Wh_hp,'2020'!Maxi_hp)</f>
        <v>60.228576007833119</v>
      </c>
      <c r="J190" s="85">
        <f>IF(H190,An,'2020'!An_max)</f>
        <v>2019</v>
      </c>
      <c r="K190" s="197">
        <f t="shared" si="50"/>
        <v>44372</v>
      </c>
      <c r="L190" s="147">
        <f>IF(t&lt;Tvie,1-EXP((T0-t)*PertePVj)+'2020'!Pspv,1-EXP((T0-t)*PertePVj)+Pspv)</f>
        <v>2.4343561097784794E-2</v>
      </c>
      <c r="M190" s="844"/>
      <c r="N190" s="844"/>
      <c r="O190" s="48">
        <f>IF(t&lt;Tnet,'2020'!Resal+('2020'!Salim-'2020'!Resal)*(1-EXP(('2020'!Tnet-t)/('2020'!Tau_j))),Resal+(Salim-Resal)*(1-EXP((Tnet-t)/(Tau_j))))*Salcycl</f>
        <v>3.209253107903607E-2</v>
      </c>
      <c r="P190" s="169">
        <f>(INDEX(Models!$BJ190:$BT190,,T190)*(1-R190)+INDEX(Models!$BJ190:$BT190,,T190+1)*R190-ERP_i)*Q190*Ramure*Pc/MaxiM</f>
        <v>1.1049935462775388E-4</v>
      </c>
      <c r="Q190" s="305">
        <f t="shared" si="51"/>
        <v>0.7</v>
      </c>
      <c r="R190" s="177">
        <f t="shared" si="52"/>
        <v>0.85894384395351664</v>
      </c>
      <c r="S190" s="810">
        <f t="shared" si="53"/>
        <v>-1</v>
      </c>
      <c r="T190" s="176">
        <f t="shared" si="54"/>
        <v>5</v>
      </c>
      <c r="U190" s="251">
        <f t="shared" si="55"/>
        <v>-0.14105615604648342</v>
      </c>
      <c r="V190" s="383">
        <f t="shared" si="56"/>
        <v>60.148139264400932</v>
      </c>
      <c r="W190" s="402"/>
      <c r="X190" s="157">
        <f t="shared" si="57"/>
        <v>44372</v>
      </c>
      <c r="Y190" s="385">
        <f t="shared" si="58"/>
        <v>48.730572241680655</v>
      </c>
      <c r="Z190" s="385">
        <f t="shared" si="59"/>
        <v>49.946446616506833</v>
      </c>
      <c r="AA190" s="386">
        <f t="shared" si="60"/>
        <v>57.031054539700683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0.12422368796042657</v>
      </c>
      <c r="AD190" s="231">
        <f>(INDEX(Models!$BJ190:$BT190,,AH190)*(1-AF190)+INDEX(Models!$BJ190:$BT190,,AH190+1)*AF190-ERP_i)*AE190*Ramure*Pc/MaxiM</f>
        <v>1.1049935462775388E-4</v>
      </c>
      <c r="AE190" s="305">
        <f t="shared" si="62"/>
        <v>0.7</v>
      </c>
      <c r="AF190" s="177">
        <f t="shared" si="63"/>
        <v>0.85894384395351664</v>
      </c>
      <c r="AG190" s="810">
        <f t="shared" si="71"/>
        <v>-1</v>
      </c>
      <c r="AH190" s="176">
        <f t="shared" si="64"/>
        <v>5</v>
      </c>
      <c r="AI190" s="225">
        <f t="shared" si="65"/>
        <v>-0.14105615604648342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6">
        <v>57.503</v>
      </c>
      <c r="C191" s="390"/>
      <c r="D191" s="393">
        <f t="shared" si="48"/>
        <v>58.939126435388523</v>
      </c>
      <c r="E191" s="385">
        <f t="shared" si="72"/>
        <v>60.906232130628226</v>
      </c>
      <c r="F191" s="385">
        <f t="shared" si="49"/>
        <v>60.912557940110702</v>
      </c>
      <c r="G191" s="110">
        <f t="shared" si="73"/>
        <v>0.9570580255250688</v>
      </c>
      <c r="H191" s="414" t="b">
        <f>Wh_hp&gt;='2020'!Maxi_hp</f>
        <v>0</v>
      </c>
      <c r="I191" s="380">
        <f>IF(H191,Wh_hp,'2020'!Maxi_hp)</f>
        <v>61.391181124623479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2.4366266048460372E-2</v>
      </c>
      <c r="M191" s="844"/>
      <c r="N191" s="844"/>
      <c r="O191" s="48">
        <f>IF(t&lt;Tnet,'2020'!Resal+('2020'!Salim-'2020'!Resal)*(1-EXP(('2020'!Tnet-t)/('2020'!Tau_j))),Resal+(Salim-Resal)*(1-EXP((Tnet-t)/(Tau_j))))*Salcycl</f>
        <v>3.2297281024062846E-2</v>
      </c>
      <c r="P191" s="169">
        <f>(INDEX(Models!$BJ191:$BT191,,T191)*(1-R191)+INDEX(Models!$BJ191:$BT191,,T191+1)*R191-ERP_i)*Q191*Ramure*Pc/MaxiM</f>
        <v>1.1063672025401133E-4</v>
      </c>
      <c r="Q191" s="305">
        <f t="shared" si="51"/>
        <v>0.7</v>
      </c>
      <c r="R191" s="177">
        <f t="shared" si="52"/>
        <v>0.86266953382618239</v>
      </c>
      <c r="S191" s="810">
        <f t="shared" si="53"/>
        <v>-1</v>
      </c>
      <c r="T191" s="176">
        <f t="shared" si="54"/>
        <v>5</v>
      </c>
      <c r="U191" s="251">
        <f t="shared" si="55"/>
        <v>-0.13733046617381761</v>
      </c>
      <c r="V191" s="383">
        <f t="shared" si="56"/>
        <v>60.082678591228962</v>
      </c>
      <c r="W191" s="402"/>
      <c r="X191" s="157">
        <f t="shared" si="57"/>
        <v>44373</v>
      </c>
      <c r="Y191" s="385">
        <f t="shared" si="58"/>
        <v>52.03251653306716</v>
      </c>
      <c r="Z191" s="385">
        <f t="shared" si="59"/>
        <v>53.332018689353404</v>
      </c>
      <c r="AA191" s="386">
        <f t="shared" si="60"/>
        <v>60.906232130628226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0.12435859478271578</v>
      </c>
      <c r="AD191" s="231">
        <f>(INDEX(Models!$BJ191:$BT191,,AH191)*(1-AF191)+INDEX(Models!$BJ191:$BT191,,AH191+1)*AF191-ERP_i)*AE191*Ramure*Pc/MaxiM</f>
        <v>1.1063672025401133E-4</v>
      </c>
      <c r="AE191" s="305">
        <f t="shared" si="62"/>
        <v>0.7</v>
      </c>
      <c r="AF191" s="177">
        <f t="shared" si="63"/>
        <v>0.86266953382618239</v>
      </c>
      <c r="AG191" s="810">
        <f t="shared" si="71"/>
        <v>-1</v>
      </c>
      <c r="AH191" s="176">
        <f t="shared" si="64"/>
        <v>5</v>
      </c>
      <c r="AI191" s="225">
        <f t="shared" si="65"/>
        <v>-0.13733046617381761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6">
        <v>9.1120000000000001</v>
      </c>
      <c r="C192" s="390"/>
      <c r="D192" s="393">
        <f t="shared" si="48"/>
        <v>9.3397878090787732</v>
      </c>
      <c r="E192" s="385">
        <f t="shared" si="72"/>
        <v>9.6535415504996376</v>
      </c>
      <c r="F192" s="385">
        <f t="shared" si="49"/>
        <v>9.6535415504996376</v>
      </c>
      <c r="G192" s="110">
        <f t="shared" si="73"/>
        <v>0.15181029708636745</v>
      </c>
      <c r="H192" s="414" t="b">
        <f>Wh_hp&gt;='2020'!Maxi_hp</f>
        <v>0</v>
      </c>
      <c r="I192" s="380">
        <f>IF(H192,Wh_hp,'2020'!Maxi_hp)</f>
        <v>61.300290769717577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2.4388970470758498E-2</v>
      </c>
      <c r="M192" s="844"/>
      <c r="N192" s="844"/>
      <c r="O192" s="48">
        <f>IF(t&lt;Tnet,'2020'!Resal+('2020'!Salim-'2020'!Resal)*(1-EXP(('2020'!Tnet-t)/('2020'!Tau_j))),Resal+(Salim-Resal)*(1-EXP((Tnet-t)/(Tau_j))))*Salcycl</f>
        <v>3.2501413059606604E-2</v>
      </c>
      <c r="P192" s="169">
        <f>(INDEX(Models!$BJ192:$BT192,,T192)*(1-R192)+INDEX(Models!$BJ192:$BT192,,T192+1)*R192-ERP_i)*Q192*Ramure*Pc/MaxiM</f>
        <v>1.1064194362817262E-4</v>
      </c>
      <c r="Q192" s="305">
        <f t="shared" si="51"/>
        <v>0.7</v>
      </c>
      <c r="R192" s="177">
        <f t="shared" si="52"/>
        <v>0.86634694616035612</v>
      </c>
      <c r="S192" s="810">
        <f t="shared" si="53"/>
        <v>-1</v>
      </c>
      <c r="T192" s="176">
        <f t="shared" si="54"/>
        <v>5</v>
      </c>
      <c r="U192" s="251">
        <f t="shared" si="55"/>
        <v>-0.13365305383964388</v>
      </c>
      <c r="V192" s="383">
        <f t="shared" si="56"/>
        <v>60.015637973663033</v>
      </c>
      <c r="W192" s="402"/>
      <c r="X192" s="157">
        <f t="shared" si="57"/>
        <v>44374</v>
      </c>
      <c r="Y192" s="385">
        <f t="shared" si="58"/>
        <v>8.2456288786635756</v>
      </c>
      <c r="Z192" s="385">
        <f t="shared" si="59"/>
        <v>8.4517585688246193</v>
      </c>
      <c r="AA192" s="386">
        <f t="shared" si="60"/>
        <v>9.6535415504996376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0.12449140819338129</v>
      </c>
      <c r="AD192" s="231">
        <f>(INDEX(Models!$BJ192:$BT192,,AH192)*(1-AF192)+INDEX(Models!$BJ192:$BT192,,AH192+1)*AF192-ERP_i)*AE192*Ramure*Pc/MaxiM</f>
        <v>1.1064194362817262E-4</v>
      </c>
      <c r="AE192" s="305">
        <f t="shared" si="62"/>
        <v>0.7</v>
      </c>
      <c r="AF192" s="177">
        <f t="shared" si="63"/>
        <v>0.86634694616035612</v>
      </c>
      <c r="AG192" s="810">
        <f t="shared" si="71"/>
        <v>-1</v>
      </c>
      <c r="AH192" s="176">
        <f t="shared" si="64"/>
        <v>5</v>
      </c>
      <c r="AI192" s="225">
        <f t="shared" si="65"/>
        <v>-0.13365305383964388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6">
        <v>32.484000000000002</v>
      </c>
      <c r="C193" s="390"/>
      <c r="D193" s="393">
        <f t="shared" si="48"/>
        <v>33.296831405650792</v>
      </c>
      <c r="E193" s="385">
        <f t="shared" si="72"/>
        <v>34.422620552638328</v>
      </c>
      <c r="F193" s="385">
        <f t="shared" si="49"/>
        <v>34.423935884881935</v>
      </c>
      <c r="G193" s="110">
        <f t="shared" si="73"/>
        <v>0.54184117306347701</v>
      </c>
      <c r="H193" s="414" t="b">
        <f>Wh_hp&gt;='2020'!Maxi_hp</f>
        <v>0</v>
      </c>
      <c r="I193" s="380">
        <f>IF(H193,Wh_hp,'2020'!Maxi_hp)</f>
        <v>62.435697126202129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2.4411674364691716E-2</v>
      </c>
      <c r="M193" s="844"/>
      <c r="N193" s="844"/>
      <c r="O193" s="48">
        <f>IF(t&lt;Tnet,'2020'!Resal+('2020'!Salim-'2020'!Resal)*(1-EXP(('2020'!Tnet-t)/('2020'!Tau_j))),Resal+(Salim-Resal)*(1-EXP((Tnet-t)/(Tau_j))))*Salcycl</f>
        <v>3.270492277791584E-2</v>
      </c>
      <c r="P193" s="169">
        <f>(INDEX(Models!$BJ193:$BT193,,T193)*(1-R193)+INDEX(Models!$BJ193:$BT193,,T193+1)*R193-ERP_i)*Q193*Ramure*Pc/MaxiM</f>
        <v>1.1057891443567922E-4</v>
      </c>
      <c r="Q193" s="305">
        <f t="shared" si="51"/>
        <v>0.7</v>
      </c>
      <c r="R193" s="177">
        <f t="shared" si="52"/>
        <v>0.86997396978501973</v>
      </c>
      <c r="S193" s="810">
        <f t="shared" si="53"/>
        <v>-1</v>
      </c>
      <c r="T193" s="176">
        <f t="shared" si="54"/>
        <v>5</v>
      </c>
      <c r="U193" s="251">
        <f t="shared" si="55"/>
        <v>-0.13002603021498027</v>
      </c>
      <c r="V193" s="383">
        <f t="shared" si="56"/>
        <v>59.946808561483799</v>
      </c>
      <c r="W193" s="402"/>
      <c r="X193" s="157">
        <f t="shared" si="57"/>
        <v>44375</v>
      </c>
      <c r="Y193" s="385">
        <f t="shared" si="58"/>
        <v>29.397207706430223</v>
      </c>
      <c r="Z193" s="385">
        <f t="shared" si="59"/>
        <v>30.132799802915439</v>
      </c>
      <c r="AA193" s="386">
        <f t="shared" si="60"/>
        <v>34.422620552638328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0.12462214325498515</v>
      </c>
      <c r="AD193" s="231">
        <f>(INDEX(Models!$BJ193:$BT193,,AH193)*(1-AF193)+INDEX(Models!$BJ193:$BT193,,AH193+1)*AF193-ERP_i)*AE193*Ramure*Pc/MaxiM</f>
        <v>1.1057891443567922E-4</v>
      </c>
      <c r="AE193" s="305">
        <f t="shared" si="62"/>
        <v>0.7</v>
      </c>
      <c r="AF193" s="177">
        <f t="shared" si="63"/>
        <v>0.86997396978501973</v>
      </c>
      <c r="AG193" s="810">
        <f t="shared" si="71"/>
        <v>-1</v>
      </c>
      <c r="AH193" s="176">
        <f t="shared" si="64"/>
        <v>5</v>
      </c>
      <c r="AI193" s="225">
        <f t="shared" si="65"/>
        <v>-0.13002603021498027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6">
        <v>42.847999999999999</v>
      </c>
      <c r="C194" s="390"/>
      <c r="D194" s="393">
        <f t="shared" si="48"/>
        <v>43.921186870352045</v>
      </c>
      <c r="E194" s="385">
        <f t="shared" si="72"/>
        <v>45.415718585465321</v>
      </c>
      <c r="F194" s="385">
        <f t="shared" si="49"/>
        <v>45.418696970326593</v>
      </c>
      <c r="G194" s="110">
        <f t="shared" si="73"/>
        <v>0.71558032671529037</v>
      </c>
      <c r="H194" s="414" t="b">
        <f>Wh_hp&gt;='2020'!Maxi_hp</f>
        <v>0</v>
      </c>
      <c r="I194" s="380">
        <f>IF(H194,Wh_hp,'2020'!Maxi_hp)</f>
        <v>58.422011969355658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2.4434377730272017E-2</v>
      </c>
      <c r="M194" s="844"/>
      <c r="N194" s="844"/>
      <c r="O194" s="48">
        <f>IF(t&lt;Tnet,'2020'!Resal+('2020'!Salim-'2020'!Resal)*(1-EXP(('2020'!Tnet-t)/('2020'!Tau_j))),Resal+(Salim-Resal)*(1-EXP((Tnet-t)/(Tau_j))))*Salcycl</f>
        <v>3.290780728924942E-2</v>
      </c>
      <c r="P194" s="169">
        <f>(INDEX(Models!$BJ194:$BT194,,T194)*(1-R194)+INDEX(Models!$BJ194:$BT194,,T194+1)*R194-ERP_i)*Q194*Ramure*Pc/MaxiM</f>
        <v>1.1044743841553205E-4</v>
      </c>
      <c r="Q194" s="305">
        <f t="shared" si="51"/>
        <v>0.7</v>
      </c>
      <c r="R194" s="177">
        <f t="shared" si="52"/>
        <v>0.87354863485043754</v>
      </c>
      <c r="S194" s="810">
        <f t="shared" si="53"/>
        <v>-1</v>
      </c>
      <c r="T194" s="176">
        <f t="shared" si="54"/>
        <v>5</v>
      </c>
      <c r="U194" s="251">
        <f t="shared" si="55"/>
        <v>-0.1264513651495624</v>
      </c>
      <c r="V194" s="383">
        <f t="shared" si="56"/>
        <v>59.875985449611292</v>
      </c>
      <c r="W194" s="402"/>
      <c r="X194" s="157">
        <f t="shared" si="57"/>
        <v>44376</v>
      </c>
      <c r="Y194" s="385">
        <f t="shared" si="58"/>
        <v>38.778802201047753</v>
      </c>
      <c r="Z194" s="385">
        <f t="shared" si="59"/>
        <v>39.750070436908082</v>
      </c>
      <c r="AA194" s="386">
        <f t="shared" si="60"/>
        <v>45.415718585465321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0.12475082031115216</v>
      </c>
      <c r="AD194" s="231">
        <f>(INDEX(Models!$BJ194:$BT194,,AH194)*(1-AF194)+INDEX(Models!$BJ194:$BT194,,AH194+1)*AF194-ERP_i)*AE194*Ramure*Pc/MaxiM</f>
        <v>1.1044743841553205E-4</v>
      </c>
      <c r="AE194" s="305">
        <f t="shared" si="62"/>
        <v>0.7</v>
      </c>
      <c r="AF194" s="177">
        <f t="shared" si="63"/>
        <v>0.87354863485043754</v>
      </c>
      <c r="AG194" s="810">
        <f t="shared" si="71"/>
        <v>-1</v>
      </c>
      <c r="AH194" s="176">
        <f t="shared" si="64"/>
        <v>5</v>
      </c>
      <c r="AI194" s="225">
        <f t="shared" si="65"/>
        <v>-0.1264513651495624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6">
        <v>52.209000000000003</v>
      </c>
      <c r="C195" s="390"/>
      <c r="D195" s="393">
        <f t="shared" si="48"/>
        <v>53.517891381316204</v>
      </c>
      <c r="E195" s="385">
        <f t="shared" si="72"/>
        <v>55.350551758737737</v>
      </c>
      <c r="F195" s="385">
        <f t="shared" si="49"/>
        <v>55.355547487894782</v>
      </c>
      <c r="G195" s="110">
        <f t="shared" si="73"/>
        <v>0.87299947070216211</v>
      </c>
      <c r="H195" s="414" t="b">
        <f>Wh_hp&gt;='2020'!Maxi_hp</f>
        <v>0</v>
      </c>
      <c r="I195" s="380">
        <f>IF(H195,Wh_hp,'2020'!Maxi_hp)</f>
        <v>56.806125451843101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2.4457080567511835E-2</v>
      </c>
      <c r="M195" s="844"/>
      <c r="N195" s="844"/>
      <c r="O195" s="48">
        <f>IF(t&lt;Tnet,'2020'!Resal+('2020'!Salim-'2020'!Resal)*(1-EXP(('2020'!Tnet-t)/('2020'!Tau_j))),Resal+(Salim-Resal)*(1-EXP((Tnet-t)/(Tau_j))))*Salcycl</f>
        <v>3.3110065196996413E-2</v>
      </c>
      <c r="P195" s="169">
        <f>(INDEX(Models!$BJ195:$BT195,,T195)*(1-R195)+INDEX(Models!$BJ195:$BT195,,T195+1)*R195-ERP_i)*Q195*Ramure*Pc/MaxiM</f>
        <v>1.1024739070713741E-4</v>
      </c>
      <c r="Q195" s="305">
        <f t="shared" si="51"/>
        <v>0.7</v>
      </c>
      <c r="R195" s="177">
        <f t="shared" si="52"/>
        <v>0.87706911504688212</v>
      </c>
      <c r="S195" s="810">
        <f t="shared" si="53"/>
        <v>-1</v>
      </c>
      <c r="T195" s="176">
        <f t="shared" si="54"/>
        <v>5</v>
      </c>
      <c r="U195" s="251">
        <f t="shared" si="55"/>
        <v>-0.12293088495311794</v>
      </c>
      <c r="V195" s="383">
        <f t="shared" si="56"/>
        <v>59.802963817594105</v>
      </c>
      <c r="W195" s="402"/>
      <c r="X195" s="157">
        <f t="shared" si="57"/>
        <v>44377</v>
      </c>
      <c r="Y195" s="385">
        <f t="shared" si="58"/>
        <v>47.253850513605023</v>
      </c>
      <c r="Z195" s="385">
        <f t="shared" si="59"/>
        <v>48.438515181981387</v>
      </c>
      <c r="AA195" s="386">
        <f t="shared" si="60"/>
        <v>55.350551758737737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0.12487746476104837</v>
      </c>
      <c r="AD195" s="231">
        <f>(INDEX(Models!$BJ195:$BT195,,AH195)*(1-AF195)+INDEX(Models!$BJ195:$BT195,,AH195+1)*AF195-ERP_i)*AE195*Ramure*Pc/MaxiM</f>
        <v>1.1024739070713741E-4</v>
      </c>
      <c r="AE195" s="305">
        <f t="shared" si="62"/>
        <v>0.7</v>
      </c>
      <c r="AF195" s="177">
        <f t="shared" si="63"/>
        <v>0.87706911504688212</v>
      </c>
      <c r="AG195" s="810">
        <f t="shared" si="71"/>
        <v>-1</v>
      </c>
      <c r="AH195" s="176">
        <f t="shared" si="64"/>
        <v>5</v>
      </c>
      <c r="AI195" s="225">
        <f t="shared" si="65"/>
        <v>-0.12293088495311794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6">
        <v>53.039000000000001</v>
      </c>
      <c r="C196" s="390"/>
      <c r="D196" s="393">
        <f t="shared" si="48"/>
        <v>54.369964936647904</v>
      </c>
      <c r="E196" s="385">
        <f t="shared" si="72"/>
        <v>56.243532422375935</v>
      </c>
      <c r="F196" s="385">
        <f t="shared" si="49"/>
        <v>56.248728938944268</v>
      </c>
      <c r="G196" s="110">
        <f t="shared" si="73"/>
        <v>0.88800020371187349</v>
      </c>
      <c r="H196" s="414" t="b">
        <f>Wh_hp&gt;='2020'!Maxi_hp</f>
        <v>0</v>
      </c>
      <c r="I196" s="380">
        <f>IF(H196,Wh_hp,'2020'!Maxi_hp)</f>
        <v>61.555241119105759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2.4479782876423495E-2</v>
      </c>
      <c r="M196" s="844"/>
      <c r="N196" s="844"/>
      <c r="O196" s="48">
        <f>IF(t&lt;Tnet,'2020'!Resal+('2020'!Salim-'2020'!Resal)*(1-EXP(('2020'!Tnet-t)/('2020'!Tau_j))),Resal+(Salim-Resal)*(1-EXP((Tnet-t)/(Tau_j))))*Salcycl</f>
        <v>3.3311696563757272E-2</v>
      </c>
      <c r="P196" s="169">
        <f>(INDEX(Models!$BJ196:$BT196,,T196)*(1-R196)+INDEX(Models!$BJ196:$BT196,,T196+1)*R196-ERP_i)*Q196*Ramure*Pc/MaxiM</f>
        <v>1.0997871121317682E-4</v>
      </c>
      <c r="Q196" s="305">
        <f t="shared" si="51"/>
        <v>0.7</v>
      </c>
      <c r="R196" s="177">
        <f t="shared" si="52"/>
        <v>0.88053372906363636</v>
      </c>
      <c r="S196" s="810">
        <f t="shared" si="53"/>
        <v>-1</v>
      </c>
      <c r="T196" s="176">
        <f t="shared" si="54"/>
        <v>5</v>
      </c>
      <c r="U196" s="251">
        <f t="shared" si="55"/>
        <v>-0.11946627093636364</v>
      </c>
      <c r="V196" s="383">
        <f t="shared" si="56"/>
        <v>59.727538933264057</v>
      </c>
      <c r="W196" s="402"/>
      <c r="X196" s="157">
        <f t="shared" si="57"/>
        <v>44378</v>
      </c>
      <c r="Y196" s="385">
        <f t="shared" si="58"/>
        <v>48.008249496815999</v>
      </c>
      <c r="Z196" s="385">
        <f t="shared" si="59"/>
        <v>49.212972375265934</v>
      </c>
      <c r="AA196" s="386">
        <f t="shared" si="60"/>
        <v>56.243532422375935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0.1250021068078036</v>
      </c>
      <c r="AD196" s="231">
        <f>(INDEX(Models!$BJ196:$BT196,,AH196)*(1-AF196)+INDEX(Models!$BJ196:$BT196,,AH196+1)*AF196-ERP_i)*AE196*Ramure*Pc/MaxiM</f>
        <v>1.0997871121317682E-4</v>
      </c>
      <c r="AE196" s="305">
        <f t="shared" si="62"/>
        <v>0.7</v>
      </c>
      <c r="AF196" s="177">
        <f t="shared" si="63"/>
        <v>0.88053372906363636</v>
      </c>
      <c r="AG196" s="810">
        <f t="shared" si="71"/>
        <v>-1</v>
      </c>
      <c r="AH196" s="176">
        <f t="shared" si="64"/>
        <v>5</v>
      </c>
      <c r="AI196" s="225">
        <f t="shared" si="65"/>
        <v>-0.11946627093636364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6">
        <v>52.875</v>
      </c>
      <c r="C197" s="390"/>
      <c r="D197" s="393">
        <f t="shared" si="48"/>
        <v>54.203110893018909</v>
      </c>
      <c r="E197" s="385">
        <f t="shared" si="72"/>
        <v>56.082590070145947</v>
      </c>
      <c r="F197" s="385">
        <f t="shared" si="49"/>
        <v>56.08774187350329</v>
      </c>
      <c r="G197" s="110">
        <f t="shared" si="73"/>
        <v>0.88641235675493313</v>
      </c>
      <c r="H197" s="414" t="b">
        <f>Wh_hp&gt;='2020'!Maxi_hp</f>
        <v>1</v>
      </c>
      <c r="I197" s="380">
        <f>IF(H197,Wh_hp,'2020'!Maxi_hp)</f>
        <v>56.08774187350329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2.4502484657019319E-2</v>
      </c>
      <c r="M197" s="844"/>
      <c r="N197" s="844"/>
      <c r="O197" s="48">
        <f>IF(t&lt;Tnet,'2020'!Resal+('2020'!Salim-'2020'!Resal)*(1-EXP(('2020'!Tnet-t)/('2020'!Tau_j))),Resal+(Salim-Resal)*(1-EXP((Tnet-t)/(Tau_j))))*Salcycl</f>
        <v>3.3512702868684609E-2</v>
      </c>
      <c r="P197" s="169">
        <f>(INDEX(Models!$BJ197:$BT197,,T197)*(1-R197)+INDEX(Models!$BJ197:$BT197,,T197+1)*R197-ERP_i)*Q197*Ramure*Pc/MaxiM</f>
        <v>1.0964139947854314E-4</v>
      </c>
      <c r="Q197" s="305">
        <f t="shared" si="51"/>
        <v>0.7</v>
      </c>
      <c r="R197" s="177">
        <f t="shared" si="52"/>
        <v>0.88394094130976486</v>
      </c>
      <c r="S197" s="810">
        <f t="shared" si="53"/>
        <v>-1</v>
      </c>
      <c r="T197" s="176">
        <f t="shared" si="54"/>
        <v>5</v>
      </c>
      <c r="U197" s="251">
        <f t="shared" si="55"/>
        <v>-0.11605905869023514</v>
      </c>
      <c r="V197" s="383">
        <f t="shared" si="56"/>
        <v>59.649506154132119</v>
      </c>
      <c r="W197" s="402"/>
      <c r="X197" s="157">
        <f t="shared" si="57"/>
        <v>44379</v>
      </c>
      <c r="Y197" s="385">
        <f t="shared" si="58"/>
        <v>47.863047276732395</v>
      </c>
      <c r="Z197" s="385">
        <f t="shared" si="59"/>
        <v>49.065268259452161</v>
      </c>
      <c r="AA197" s="386">
        <f t="shared" si="60"/>
        <v>56.082590070145947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0.12512478118283757</v>
      </c>
      <c r="AD197" s="231">
        <f>(INDEX(Models!$BJ197:$BT197,,AH197)*(1-AF197)+INDEX(Models!$BJ197:$BT197,,AH197+1)*AF197-ERP_i)*AE197*Ramure*Pc/MaxiM</f>
        <v>1.0964139947854314E-4</v>
      </c>
      <c r="AE197" s="305">
        <f t="shared" si="62"/>
        <v>0.7</v>
      </c>
      <c r="AF197" s="177">
        <f t="shared" si="63"/>
        <v>0.88394094130976486</v>
      </c>
      <c r="AG197" s="810">
        <f t="shared" si="71"/>
        <v>-1</v>
      </c>
      <c r="AH197" s="176">
        <f t="shared" si="64"/>
        <v>5</v>
      </c>
      <c r="AI197" s="225">
        <f t="shared" si="65"/>
        <v>-0.11605905869023514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6">
        <v>35.606000000000002</v>
      </c>
      <c r="C198" s="390"/>
      <c r="D198" s="393">
        <f t="shared" si="48"/>
        <v>36.501198683628715</v>
      </c>
      <c r="E198" s="385">
        <f t="shared" si="72"/>
        <v>37.774700444467051</v>
      </c>
      <c r="F198" s="385">
        <f t="shared" si="49"/>
        <v>37.776455261493624</v>
      </c>
      <c r="G198" s="110">
        <f t="shared" si="73"/>
        <v>0.59769287900539458</v>
      </c>
      <c r="H198" s="414" t="b">
        <f>Wh_hp&gt;='2020'!Maxi_hp</f>
        <v>0</v>
      </c>
      <c r="I198" s="380">
        <f>IF(H198,Wh_hp,'2020'!Maxi_hp)</f>
        <v>50.673839895815256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2.452518590931152E-2</v>
      </c>
      <c r="M198" s="844"/>
      <c r="N198" s="844"/>
      <c r="O198" s="48">
        <f>IF(t&lt;Tnet,'2020'!Resal+('2020'!Salim-'2020'!Resal)*(1-EXP(('2020'!Tnet-t)/('2020'!Tau_j))),Resal+(Salim-Resal)*(1-EXP((Tnet-t)/(Tau_j))))*Salcycl</f>
        <v>3.3713086956454363E-2</v>
      </c>
      <c r="P198" s="169">
        <f>(INDEX(Models!$BJ198:$BT198,,T198)*(1-R198)+INDEX(Models!$BJ198:$BT198,,T198+1)*R198-ERP_i)*Q198*Ramure*Pc/MaxiM</f>
        <v>1.0921580737837605E-4</v>
      </c>
      <c r="Q198" s="305">
        <f t="shared" si="51"/>
        <v>0.7</v>
      </c>
      <c r="R198" s="177">
        <f t="shared" si="52"/>
        <v>0.88728936192360208</v>
      </c>
      <c r="S198" s="810">
        <f t="shared" si="53"/>
        <v>-1</v>
      </c>
      <c r="T198" s="176">
        <f t="shared" si="54"/>
        <v>5</v>
      </c>
      <c r="U198" s="251">
        <f t="shared" si="55"/>
        <v>-0.11271063807639792</v>
      </c>
      <c r="V198" s="383">
        <f t="shared" si="56"/>
        <v>59.568662104508014</v>
      </c>
      <c r="W198" s="402"/>
      <c r="X198" s="157">
        <f t="shared" si="57"/>
        <v>44380</v>
      </c>
      <c r="Y198" s="385">
        <f t="shared" si="58"/>
        <v>32.23318804239895</v>
      </c>
      <c r="Z198" s="385">
        <f t="shared" si="59"/>
        <v>33.043588185765579</v>
      </c>
      <c r="AA198" s="386">
        <f t="shared" si="60"/>
        <v>37.774700444467051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0.12524552684823342</v>
      </c>
      <c r="AD198" s="231">
        <f>(INDEX(Models!$BJ198:$BT198,,AH198)*(1-AF198)+INDEX(Models!$BJ198:$BT198,,AH198+1)*AF198-ERP_i)*AE198*Ramure*Pc/MaxiM</f>
        <v>1.0921580737837605E-4</v>
      </c>
      <c r="AE198" s="305">
        <f t="shared" si="62"/>
        <v>0.7</v>
      </c>
      <c r="AF198" s="177">
        <f t="shared" si="63"/>
        <v>0.88728936192360208</v>
      </c>
      <c r="AG198" s="810">
        <f t="shared" si="71"/>
        <v>-1</v>
      </c>
      <c r="AH198" s="176">
        <f t="shared" si="64"/>
        <v>5</v>
      </c>
      <c r="AI198" s="225">
        <f t="shared" si="65"/>
        <v>-0.11271063807639792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6">
        <v>37.663000000000004</v>
      </c>
      <c r="C199" s="390"/>
      <c r="D199" s="393">
        <f t="shared" si="48"/>
        <v>38.610813881995149</v>
      </c>
      <c r="E199" s="385">
        <f t="shared" si="72"/>
        <v>39.966181105945537</v>
      </c>
      <c r="F199" s="385">
        <f t="shared" si="49"/>
        <v>39.968250133305837</v>
      </c>
      <c r="G199" s="110">
        <f t="shared" si="73"/>
        <v>0.63311726802963908</v>
      </c>
      <c r="H199" s="414" t="b">
        <f>Wh_hp&gt;='2020'!Maxi_hp</f>
        <v>0</v>
      </c>
      <c r="I199" s="380">
        <f>IF(H199,Wh_hp,'2020'!Maxi_hp)</f>
        <v>59.251249385209874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2.4547886633312421E-2</v>
      </c>
      <c r="M199" s="844"/>
      <c r="N199" s="844"/>
      <c r="O199" s="48">
        <f>IF(t&lt;Tnet,'2020'!Resal+('2020'!Salim-'2020'!Resal)*(1-EXP(('2020'!Tnet-t)/('2020'!Tau_j))),Resal+(Salim-Resal)*(1-EXP((Tnet-t)/(Tau_j))))*Salcycl</f>
        <v>3.3912852978308664E-2</v>
      </c>
      <c r="P199" s="169">
        <f>(INDEX(Models!$BJ199:$BT199,,T199)*(1-R199)+INDEX(Models!$BJ199:$BT199,,T199+1)*R199-ERP_i)*Q199*Ramure*Pc/MaxiM</f>
        <v>1.0876895099407334E-4</v>
      </c>
      <c r="Q199" s="305">
        <f t="shared" si="51"/>
        <v>0.7</v>
      </c>
      <c r="R199" s="177">
        <f t="shared" si="52"/>
        <v>0.89057774610276774</v>
      </c>
      <c r="S199" s="810">
        <f t="shared" si="53"/>
        <v>-1</v>
      </c>
      <c r="T199" s="176">
        <f t="shared" si="54"/>
        <v>5</v>
      </c>
      <c r="U199" s="251">
        <f t="shared" si="55"/>
        <v>-0.10942225389723226</v>
      </c>
      <c r="V199" s="383">
        <f t="shared" si="56"/>
        <v>59.484798342432036</v>
      </c>
      <c r="W199" s="402"/>
      <c r="X199" s="157">
        <f t="shared" si="57"/>
        <v>44381</v>
      </c>
      <c r="Y199" s="385">
        <f t="shared" si="58"/>
        <v>34.097753195500928</v>
      </c>
      <c r="Z199" s="385">
        <f t="shared" si="59"/>
        <v>34.955845323678183</v>
      </c>
      <c r="AA199" s="386">
        <f t="shared" si="60"/>
        <v>39.966181105945537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0.12536438667946675</v>
      </c>
      <c r="AD199" s="231">
        <f>(INDEX(Models!$BJ199:$BT199,,AH199)*(1-AF199)+INDEX(Models!$BJ199:$BT199,,AH199+1)*AF199-ERP_i)*AE199*Ramure*Pc/MaxiM</f>
        <v>1.0876895099407334E-4</v>
      </c>
      <c r="AE199" s="305">
        <f t="shared" si="62"/>
        <v>0.7</v>
      </c>
      <c r="AF199" s="177">
        <f t="shared" si="63"/>
        <v>0.89057774610276774</v>
      </c>
      <c r="AG199" s="810">
        <f t="shared" si="71"/>
        <v>-1</v>
      </c>
      <c r="AH199" s="176">
        <f t="shared" si="64"/>
        <v>5</v>
      </c>
      <c r="AI199" s="225">
        <f t="shared" si="65"/>
        <v>-0.10942225389723226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6">
        <v>57.81</v>
      </c>
      <c r="C200" s="390"/>
      <c r="D200" s="393">
        <f t="shared" si="48"/>
        <v>59.266205446961962</v>
      </c>
      <c r="E200" s="385">
        <f t="shared" si="72"/>
        <v>61.359294074572801</v>
      </c>
      <c r="F200" s="385">
        <f t="shared" si="49"/>
        <v>61.365686297959137</v>
      </c>
      <c r="G200" s="110">
        <f t="shared" si="73"/>
        <v>0.97326581155265124</v>
      </c>
      <c r="H200" s="414" t="b">
        <f>Wh_hp&gt;='2020'!Maxi_hp</f>
        <v>0</v>
      </c>
      <c r="I200" s="380">
        <f>IF(H200,Wh_hp,'2020'!Maxi_hp)</f>
        <v>63.499188646110007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2.4570586829034236E-2</v>
      </c>
      <c r="M200" s="844"/>
      <c r="N200" s="844"/>
      <c r="O200" s="48">
        <f>IF(t&lt;Tnet,'2020'!Resal+('2020'!Salim-'2020'!Resal)*(1-EXP(('2020'!Tnet-t)/('2020'!Tau_j))),Resal+(Salim-Resal)*(1-EXP((Tnet-t)/(Tau_j))))*Salcycl</f>
        <v>3.4112006325675966E-2</v>
      </c>
      <c r="P200" s="169">
        <f>(INDEX(Models!$BJ200:$BT200,,T200)*(1-R200)+INDEX(Models!$BJ200:$BT200,,T200+1)*R200-ERP_i)*Q200*Ramure*Pc/MaxiM</f>
        <v>1.0830168905781946E-4</v>
      </c>
      <c r="Q200" s="305">
        <f t="shared" si="51"/>
        <v>0.7</v>
      </c>
      <c r="R200" s="177">
        <f t="shared" si="52"/>
        <v>0.89380499279074677</v>
      </c>
      <c r="S200" s="810">
        <f t="shared" si="53"/>
        <v>-1</v>
      </c>
      <c r="T200" s="176">
        <f t="shared" si="54"/>
        <v>5</v>
      </c>
      <c r="U200" s="251">
        <f t="shared" si="55"/>
        <v>-0.10619500720925318</v>
      </c>
      <c r="V200" s="383">
        <f t="shared" si="56"/>
        <v>59.397710481255885</v>
      </c>
      <c r="W200" s="402"/>
      <c r="X200" s="157">
        <f t="shared" si="57"/>
        <v>44382</v>
      </c>
      <c r="Y200" s="385">
        <f t="shared" si="58"/>
        <v>52.3413896692525</v>
      </c>
      <c r="Z200" s="385">
        <f t="shared" si="59"/>
        <v>53.659843513534184</v>
      </c>
      <c r="AA200" s="386">
        <f t="shared" si="60"/>
        <v>61.359294074572801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0.12548140713094127</v>
      </c>
      <c r="AD200" s="231">
        <f>(INDEX(Models!$BJ200:$BT200,,AH200)*(1-AF200)+INDEX(Models!$BJ200:$BT200,,AH200+1)*AF200-ERP_i)*AE200*Ramure*Pc/MaxiM</f>
        <v>1.0830168905781946E-4</v>
      </c>
      <c r="AE200" s="305">
        <f t="shared" si="62"/>
        <v>0.7</v>
      </c>
      <c r="AF200" s="177">
        <f t="shared" si="63"/>
        <v>0.89380499279074677</v>
      </c>
      <c r="AG200" s="810">
        <f t="shared" si="71"/>
        <v>-1</v>
      </c>
      <c r="AH200" s="176">
        <f t="shared" si="64"/>
        <v>5</v>
      </c>
      <c r="AI200" s="225">
        <f t="shared" si="65"/>
        <v>-0.10619500720925318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6">
        <v>21.137</v>
      </c>
      <c r="C201" s="390"/>
      <c r="D201" s="393">
        <f t="shared" si="48"/>
        <v>21.669934917793576</v>
      </c>
      <c r="E201" s="385">
        <f t="shared" si="72"/>
        <v>22.43985889833499</v>
      </c>
      <c r="F201" s="385">
        <f t="shared" si="49"/>
        <v>22.440053825703554</v>
      </c>
      <c r="G201" s="110">
        <f t="shared" si="73"/>
        <v>0.35636325369935229</v>
      </c>
      <c r="H201" s="414" t="b">
        <f>Wh_hp&gt;='2020'!Maxi_hp</f>
        <v>0</v>
      </c>
      <c r="I201" s="380">
        <f>IF(H201,Wh_hp,'2020'!Maxi_hp)</f>
        <v>62.806622289088963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2.4593286496489397E-2</v>
      </c>
      <c r="M201" s="844"/>
      <c r="N201" s="844"/>
      <c r="O201" s="48">
        <f>IF(t&lt;Tnet,'2020'!Resal+('2020'!Salim-'2020'!Resal)*(1-EXP(('2020'!Tnet-t)/('2020'!Tau_j))),Resal+(Salim-Resal)*(1-EXP((Tnet-t)/(Tau_j))))*Salcycl</f>
        <v>3.4310553556936137E-2</v>
      </c>
      <c r="P201" s="169">
        <f>(INDEX(Models!$BJ201:$BT201,,T201)*(1-R201)+INDEX(Models!$BJ201:$BT201,,T201+1)*R201-ERP_i)*Q201*Ramure*Pc/MaxiM</f>
        <v>1.078148968309577E-4</v>
      </c>
      <c r="Q201" s="305">
        <f t="shared" si="51"/>
        <v>0.7</v>
      </c>
      <c r="R201" s="177">
        <f t="shared" si="52"/>
        <v>0.8969701427596477</v>
      </c>
      <c r="S201" s="810">
        <f t="shared" si="53"/>
        <v>-1</v>
      </c>
      <c r="T201" s="176">
        <f t="shared" si="54"/>
        <v>5</v>
      </c>
      <c r="U201" s="251">
        <f t="shared" si="55"/>
        <v>-0.1030298572403523</v>
      </c>
      <c r="V201" s="383">
        <f t="shared" si="56"/>
        <v>59.307194238494418</v>
      </c>
      <c r="W201" s="402"/>
      <c r="X201" s="157">
        <f t="shared" si="57"/>
        <v>44383</v>
      </c>
      <c r="Y201" s="385">
        <f t="shared" si="58"/>
        <v>19.138931188551819</v>
      </c>
      <c r="Z201" s="385">
        <f t="shared" si="59"/>
        <v>19.621488066047576</v>
      </c>
      <c r="AA201" s="386">
        <f t="shared" si="60"/>
        <v>22.43985889833499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0.12559663788690462</v>
      </c>
      <c r="AD201" s="231">
        <f>(INDEX(Models!$BJ201:$BT201,,AH201)*(1-AF201)+INDEX(Models!$BJ201:$BT201,,AH201+1)*AF201-ERP_i)*AE201*Ramure*Pc/MaxiM</f>
        <v>1.078148968309577E-4</v>
      </c>
      <c r="AE201" s="305">
        <f t="shared" si="62"/>
        <v>0.7</v>
      </c>
      <c r="AF201" s="177">
        <f t="shared" si="63"/>
        <v>0.8969701427596477</v>
      </c>
      <c r="AG201" s="810">
        <f t="shared" si="71"/>
        <v>-1</v>
      </c>
      <c r="AH201" s="176">
        <f t="shared" si="64"/>
        <v>5</v>
      </c>
      <c r="AI201" s="225">
        <f t="shared" si="65"/>
        <v>-0.1030298572403523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6">
        <v>44.483000000000004</v>
      </c>
      <c r="C202" s="390"/>
      <c r="D202" s="393">
        <f t="shared" si="48"/>
        <v>45.605627470726034</v>
      </c>
      <c r="E202" s="385">
        <f t="shared" si="72"/>
        <v>47.235659330212727</v>
      </c>
      <c r="F202" s="385">
        <f t="shared" si="49"/>
        <v>47.238927045486058</v>
      </c>
      <c r="G202" s="110">
        <f t="shared" si="73"/>
        <v>0.75120783231000898</v>
      </c>
      <c r="H202" s="414" t="b">
        <f>Wh_hp&gt;='2020'!Maxi_hp</f>
        <v>0</v>
      </c>
      <c r="I202" s="380">
        <f>IF(H202,Wh_hp,'2020'!Maxi_hp)</f>
        <v>54.138682052927066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2.4615985635690119E-2</v>
      </c>
      <c r="M202" s="844"/>
      <c r="N202" s="844"/>
      <c r="O202" s="48">
        <f>IF(t&lt;Tnet,'2020'!Resal+('2020'!Salim-'2020'!Resal)*(1-EXP(('2020'!Tnet-t)/('2020'!Tau_j))),Resal+(Salim-Resal)*(1-EXP((Tnet-t)/(Tau_j))))*Salcycl</f>
        <v>3.4508502317953063E-2</v>
      </c>
      <c r="P202" s="169">
        <f>(INDEX(Models!$BJ202:$BT202,,T202)*(1-R202)+INDEX(Models!$BJ202:$BT202,,T202+1)*R202-ERP_i)*Q202*Ramure*Pc/MaxiM</f>
        <v>1.0730946205784207E-4</v>
      </c>
      <c r="Q202" s="305">
        <f t="shared" si="51"/>
        <v>0.7</v>
      </c>
      <c r="R202" s="177">
        <f t="shared" si="52"/>
        <v>0.90007237613167934</v>
      </c>
      <c r="S202" s="810">
        <f t="shared" si="53"/>
        <v>-1</v>
      </c>
      <c r="T202" s="176">
        <f t="shared" si="54"/>
        <v>5</v>
      </c>
      <c r="U202" s="251">
        <f t="shared" si="55"/>
        <v>-9.9927623868320603E-2</v>
      </c>
      <c r="V202" s="383">
        <f t="shared" si="56"/>
        <v>59.213045443457943</v>
      </c>
      <c r="W202" s="402"/>
      <c r="X202" s="157">
        <f t="shared" si="57"/>
        <v>44384</v>
      </c>
      <c r="Y202" s="385">
        <f t="shared" si="58"/>
        <v>40.28107581872726</v>
      </c>
      <c r="Z202" s="385">
        <f t="shared" si="59"/>
        <v>41.297658384302899</v>
      </c>
      <c r="AA202" s="386">
        <f t="shared" si="60"/>
        <v>47.235659330212727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0.1257101315004146</v>
      </c>
      <c r="AD202" s="231">
        <f>(INDEX(Models!$BJ202:$BT202,,AH202)*(1-AF202)+INDEX(Models!$BJ202:$BT202,,AH202+1)*AF202-ERP_i)*AE202*Ramure*Pc/MaxiM</f>
        <v>1.0730946205784207E-4</v>
      </c>
      <c r="AE202" s="305">
        <f t="shared" si="62"/>
        <v>0.7</v>
      </c>
      <c r="AF202" s="177">
        <f t="shared" si="63"/>
        <v>0.90007237613167934</v>
      </c>
      <c r="AG202" s="810">
        <f t="shared" si="71"/>
        <v>-1</v>
      </c>
      <c r="AH202" s="176">
        <f t="shared" si="64"/>
        <v>5</v>
      </c>
      <c r="AI202" s="225">
        <f t="shared" si="65"/>
        <v>-9.9927623868320603E-2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6">
        <v>49.264000000000003</v>
      </c>
      <c r="C203" s="390"/>
      <c r="D203" s="393">
        <f t="shared" si="48"/>
        <v>50.508462048189173</v>
      </c>
      <c r="E203" s="385">
        <f t="shared" si="72"/>
        <v>52.324426328707887</v>
      </c>
      <c r="F203" s="385">
        <f t="shared" si="49"/>
        <v>52.328684037315618</v>
      </c>
      <c r="G203" s="110">
        <f t="shared" si="73"/>
        <v>0.8333366742567111</v>
      </c>
      <c r="H203" s="414" t="b">
        <f>Wh_hp&gt;='2020'!Maxi_hp</f>
        <v>0</v>
      </c>
      <c r="I203" s="380">
        <f>IF(H203,Wh_hp,'2020'!Maxi_hp)</f>
        <v>64.296413487200894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2.4638684246648723E-2</v>
      </c>
      <c r="M203" s="844"/>
      <c r="N203" s="844"/>
      <c r="O203" s="48">
        <f>IF(t&lt;Tnet,'2020'!Resal+('2020'!Salim-'2020'!Resal)*(1-EXP(('2020'!Tnet-t)/('2020'!Tau_j))),Resal+(Salim-Resal)*(1-EXP((Tnet-t)/(Tau_j))))*Salcycl</f>
        <v>3.4705861257047041E-2</v>
      </c>
      <c r="P203" s="169">
        <f>(INDEX(Models!$BJ203:$BT203,,T203)*(1-R203)+INDEX(Models!$BJ203:$BT203,,T203+1)*R203-ERP_i)*Q203*Ramure*Pc/MaxiM</f>
        <v>1.0678628098473699E-4</v>
      </c>
      <c r="Q203" s="305">
        <f t="shared" si="51"/>
        <v>0.7</v>
      </c>
      <c r="R203" s="177">
        <f t="shared" si="52"/>
        <v>0.90311100938416133</v>
      </c>
      <c r="S203" s="810">
        <f t="shared" si="53"/>
        <v>-1</v>
      </c>
      <c r="T203" s="176">
        <f t="shared" si="54"/>
        <v>5</v>
      </c>
      <c r="U203" s="251">
        <f t="shared" si="55"/>
        <v>-9.6888990615838666E-2</v>
      </c>
      <c r="V203" s="383">
        <f t="shared" si="56"/>
        <v>59.115060037579994</v>
      </c>
      <c r="W203" s="402"/>
      <c r="X203" s="157">
        <f t="shared" si="57"/>
        <v>44385</v>
      </c>
      <c r="Y203" s="385">
        <f t="shared" si="58"/>
        <v>44.613870602168717</v>
      </c>
      <c r="Z203" s="385">
        <f t="shared" si="59"/>
        <v>45.740865340460807</v>
      </c>
      <c r="AA203" s="386">
        <f t="shared" si="60"/>
        <v>52.324426328707887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0.12582194302310007</v>
      </c>
      <c r="AD203" s="231">
        <f>(INDEX(Models!$BJ203:$BT203,,AH203)*(1-AF203)+INDEX(Models!$BJ203:$BT203,,AH203+1)*AF203-ERP_i)*AE203*Ramure*Pc/MaxiM</f>
        <v>1.0678628098473699E-4</v>
      </c>
      <c r="AE203" s="305">
        <f t="shared" si="62"/>
        <v>0.7</v>
      </c>
      <c r="AF203" s="177">
        <f t="shared" si="63"/>
        <v>0.90311100938416133</v>
      </c>
      <c r="AG203" s="810">
        <f t="shared" si="71"/>
        <v>-1</v>
      </c>
      <c r="AH203" s="176">
        <f t="shared" si="64"/>
        <v>5</v>
      </c>
      <c r="AI203" s="225">
        <f t="shared" si="65"/>
        <v>-9.6888990615838666E-2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6">
        <v>58.111000000000004</v>
      </c>
      <c r="C204" s="390"/>
      <c r="D204" s="393">
        <f t="shared" si="48"/>
        <v>59.580333380816079</v>
      </c>
      <c r="E204" s="385">
        <f t="shared" si="72"/>
        <v>61.735049587961676</v>
      </c>
      <c r="F204" s="385">
        <f t="shared" si="49"/>
        <v>61.741466146421928</v>
      </c>
      <c r="G204" s="110">
        <f t="shared" si="73"/>
        <v>0.98471237872496165</v>
      </c>
      <c r="H204" s="414" t="b">
        <f>Wh_hp&gt;='2020'!Maxi_hp</f>
        <v>0</v>
      </c>
      <c r="I204" s="380">
        <f>IF(H204,Wh_hp,'2020'!Maxi_hp)</f>
        <v>61.923985284937821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2.4661382329377424E-2</v>
      </c>
      <c r="M204" s="844"/>
      <c r="N204" s="844"/>
      <c r="O204" s="48">
        <f>IF(t&lt;Tnet,'2020'!Resal+('2020'!Salim-'2020'!Resal)*(1-EXP(('2020'!Tnet-t)/('2020'!Tau_j))),Resal+(Salim-Resal)*(1-EXP((Tnet-t)/(Tau_j))))*Salcycl</f>
        <v>3.4902639935123062E-2</v>
      </c>
      <c r="P204" s="169">
        <f>(INDEX(Models!$BJ204:$BT204,,T204)*(1-R204)+INDEX(Models!$BJ204:$BT204,,T204+1)*R204-ERP_i)*Q204*Ramure*Pc/MaxiM</f>
        <v>1.0624625443908376E-4</v>
      </c>
      <c r="Q204" s="305">
        <f t="shared" si="51"/>
        <v>0.7</v>
      </c>
      <c r="R204" s="177">
        <f t="shared" si="52"/>
        <v>0.90608549188452292</v>
      </c>
      <c r="S204" s="810">
        <f t="shared" si="53"/>
        <v>-1</v>
      </c>
      <c r="T204" s="176">
        <f t="shared" si="54"/>
        <v>5</v>
      </c>
      <c r="U204" s="251">
        <f t="shared" si="55"/>
        <v>-9.3914508115477024E-2</v>
      </c>
      <c r="V204" s="383">
        <f t="shared" si="56"/>
        <v>59.013034083010012</v>
      </c>
      <c r="W204" s="402"/>
      <c r="X204" s="157">
        <f t="shared" si="57"/>
        <v>44386</v>
      </c>
      <c r="Y204" s="385">
        <f t="shared" si="58"/>
        <v>52.629879758186547</v>
      </c>
      <c r="Z204" s="385">
        <f t="shared" si="59"/>
        <v>53.960623320628073</v>
      </c>
      <c r="AA204" s="386">
        <f t="shared" si="60"/>
        <v>61.735049587961676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0.12593212962850869</v>
      </c>
      <c r="AD204" s="231">
        <f>(INDEX(Models!$BJ204:$BT204,,AH204)*(1-AF204)+INDEX(Models!$BJ204:$BT204,,AH204+1)*AF204-ERP_i)*AE204*Ramure*Pc/MaxiM</f>
        <v>1.0624625443908376E-4</v>
      </c>
      <c r="AE204" s="305">
        <f t="shared" si="62"/>
        <v>0.7</v>
      </c>
      <c r="AF204" s="177">
        <f t="shared" si="63"/>
        <v>0.90608549188452292</v>
      </c>
      <c r="AG204" s="810">
        <f t="shared" si="71"/>
        <v>-1</v>
      </c>
      <c r="AH204" s="176">
        <f t="shared" si="64"/>
        <v>5</v>
      </c>
      <c r="AI204" s="225">
        <f t="shared" si="65"/>
        <v>-9.3914508115477024E-2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6">
        <v>50.884</v>
      </c>
      <c r="C205" s="390"/>
      <c r="D205" s="393">
        <f t="shared" si="48"/>
        <v>52.171813204835473</v>
      </c>
      <c r="E205" s="385">
        <f t="shared" si="72"/>
        <v>54.06959369491824</v>
      </c>
      <c r="F205" s="385">
        <f t="shared" si="49"/>
        <v>54.074196714488686</v>
      </c>
      <c r="G205" s="110">
        <f t="shared" si="73"/>
        <v>0.86377715085389561</v>
      </c>
      <c r="H205" s="414" t="b">
        <f>Wh_hp&gt;='2020'!Maxi_hp</f>
        <v>0</v>
      </c>
      <c r="I205" s="380">
        <f>IF(H205,Wh_hp,'2020'!Maxi_hp)</f>
        <v>63.53664171225423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2.4684079883888654E-2</v>
      </c>
      <c r="M205" s="844"/>
      <c r="N205" s="844"/>
      <c r="O205" s="48">
        <f>IF(t&lt;Tnet,'2020'!Resal+('2020'!Salim-'2020'!Resal)*(1-EXP(('2020'!Tnet-t)/('2020'!Tau_j))),Resal+(Salim-Resal)*(1-EXP((Tnet-t)/(Tau_j))))*Salcycl</f>
        <v>3.5098848731706413E-2</v>
      </c>
      <c r="P205" s="169">
        <f>(INDEX(Models!$BJ205:$BT205,,T205)*(1-R205)+INDEX(Models!$BJ205:$BT205,,T205+1)*R205-ERP_i)*Q205*Ramure*Pc/MaxiM</f>
        <v>1.056889612067701E-4</v>
      </c>
      <c r="Q205" s="305">
        <f t="shared" si="51"/>
        <v>0.7</v>
      </c>
      <c r="R205" s="177">
        <f t="shared" si="52"/>
        <v>0.90899540200278595</v>
      </c>
      <c r="S205" s="810">
        <f t="shared" si="53"/>
        <v>-1</v>
      </c>
      <c r="T205" s="176">
        <f t="shared" si="54"/>
        <v>5</v>
      </c>
      <c r="U205" s="251">
        <f t="shared" si="55"/>
        <v>-9.1004597997214054E-2</v>
      </c>
      <c r="V205" s="383">
        <f t="shared" si="56"/>
        <v>58.90750113073485</v>
      </c>
      <c r="W205" s="402"/>
      <c r="X205" s="157">
        <f t="shared" si="57"/>
        <v>44387</v>
      </c>
      <c r="Y205" s="385">
        <f t="shared" si="58"/>
        <v>46.088184687881103</v>
      </c>
      <c r="Z205" s="385">
        <f t="shared" si="59"/>
        <v>47.254621540879086</v>
      </c>
      <c r="AA205" s="386">
        <f t="shared" si="60"/>
        <v>54.06959369491824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0.12604075023185643</v>
      </c>
      <c r="AD205" s="231">
        <f>(INDEX(Models!$BJ205:$BT205,,AH205)*(1-AF205)+INDEX(Models!$BJ205:$BT205,,AH205+1)*AF205-ERP_i)*AE205*Ramure*Pc/MaxiM</f>
        <v>1.056889612067701E-4</v>
      </c>
      <c r="AE205" s="305">
        <f t="shared" si="62"/>
        <v>0.7</v>
      </c>
      <c r="AF205" s="177">
        <f t="shared" si="63"/>
        <v>0.90899540200278595</v>
      </c>
      <c r="AG205" s="810">
        <f t="shared" si="71"/>
        <v>-1</v>
      </c>
      <c r="AH205" s="176">
        <f t="shared" si="64"/>
        <v>5</v>
      </c>
      <c r="AI205" s="225">
        <f t="shared" si="65"/>
        <v>-9.1004597997214054E-2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6">
        <v>49.904000000000003</v>
      </c>
      <c r="C206" s="390"/>
      <c r="D206" s="393">
        <f t="shared" si="48"/>
        <v>51.168201335286859</v>
      </c>
      <c r="E206" s="385">
        <f t="shared" si="72"/>
        <v>53.040229654400065</v>
      </c>
      <c r="F206" s="385">
        <f t="shared" si="49"/>
        <v>53.044603459291601</v>
      </c>
      <c r="G206" s="110">
        <f t="shared" si="73"/>
        <v>0.84870177847523798</v>
      </c>
      <c r="H206" s="414" t="b">
        <f>Wh_hp&gt;='2020'!Maxi_hp</f>
        <v>0</v>
      </c>
      <c r="I206" s="380">
        <f>IF(H206,Wh_hp,'2020'!Maxi_hp)</f>
        <v>62.742397262991474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2.4706776910194628E-2</v>
      </c>
      <c r="M206" s="844"/>
      <c r="N206" s="844"/>
      <c r="O206" s="48">
        <f>IF(t&lt;Tnet,'2020'!Resal+('2020'!Salim-'2020'!Resal)*(1-EXP(('2020'!Tnet-t)/('2020'!Tau_j))),Resal+(Salim-Resal)*(1-EXP((Tnet-t)/(Tau_j))))*Salcycl</f>
        <v>3.5294498747667248E-2</v>
      </c>
      <c r="P206" s="169">
        <f>(INDEX(Models!$BJ206:$BT206,,T206)*(1-R206)+INDEX(Models!$BJ206:$BT206,,T206+1)*R206-ERP_i)*Q206*Ramure*Pc/MaxiM</f>
        <v>1.0518761286534111E-4</v>
      </c>
      <c r="Q206" s="305">
        <f t="shared" si="51"/>
        <v>0.7</v>
      </c>
      <c r="R206" s="177">
        <f t="shared" si="52"/>
        <v>0.91184044284947741</v>
      </c>
      <c r="S206" s="810">
        <f t="shared" si="53"/>
        <v>-1</v>
      </c>
      <c r="T206" s="176">
        <f t="shared" si="54"/>
        <v>5</v>
      </c>
      <c r="U206" s="251">
        <f t="shared" si="55"/>
        <v>-8.8159557150522594E-2</v>
      </c>
      <c r="V206" s="383">
        <f t="shared" si="56"/>
        <v>58.799058438631157</v>
      </c>
      <c r="W206" s="402"/>
      <c r="X206" s="157">
        <f t="shared" si="57"/>
        <v>44388</v>
      </c>
      <c r="Y206" s="385">
        <f t="shared" si="58"/>
        <v>45.204175660852236</v>
      </c>
      <c r="Z206" s="385">
        <f t="shared" si="59"/>
        <v>46.349317918606943</v>
      </c>
      <c r="AA206" s="386">
        <f t="shared" si="60"/>
        <v>53.040229654400065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0.1261478651089902</v>
      </c>
      <c r="AD206" s="231">
        <f>(INDEX(Models!$BJ206:$BT206,,AH206)*(1-AF206)+INDEX(Models!$BJ206:$BT206,,AH206+1)*AF206-ERP_i)*AE206*Ramure*Pc/MaxiM</f>
        <v>1.0518761286534111E-4</v>
      </c>
      <c r="AE206" s="305">
        <f t="shared" si="62"/>
        <v>0.7</v>
      </c>
      <c r="AF206" s="177">
        <f t="shared" si="63"/>
        <v>0.91184044284947741</v>
      </c>
      <c r="AG206" s="810">
        <f t="shared" si="71"/>
        <v>-1</v>
      </c>
      <c r="AH206" s="176">
        <f t="shared" si="64"/>
        <v>5</v>
      </c>
      <c r="AI206" s="225">
        <f t="shared" si="65"/>
        <v>-8.8159557150522594E-2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6">
        <v>13.71</v>
      </c>
      <c r="C207" s="390"/>
      <c r="D207" s="393">
        <f t="shared" ref="D207:D270" si="74">Wh/(1-Ppv)</f>
        <v>14.05763798472692</v>
      </c>
      <c r="E207" s="385">
        <f t="shared" si="72"/>
        <v>14.574895210651407</v>
      </c>
      <c r="F207" s="385">
        <f t="shared" ref="F207:F270" si="75">Wh_sa/(1-Pvg*MEDIAN((-Sdif+Wh/Env_an)/Csdif,0,1))</f>
        <v>14.574895210651407</v>
      </c>
      <c r="G207" s="110">
        <f t="shared" si="73"/>
        <v>0.23358533954683569</v>
      </c>
      <c r="H207" s="414" t="b">
        <f>Wh_hp&gt;='2020'!Maxi_hp</f>
        <v>0</v>
      </c>
      <c r="I207" s="380">
        <f>IF(H207,Wh_hp,'2020'!Maxi_hp)</f>
        <v>63.292549815565977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2.4729473408307667E-2</v>
      </c>
      <c r="M207" s="844"/>
      <c r="N207" s="844"/>
      <c r="O207" s="48">
        <f>IF(t&lt;Tnet,'2020'!Resal+('2020'!Salim-'2020'!Resal)*(1-EXP(('2020'!Tnet-t)/('2020'!Tau_j))),Resal+(Salim-Resal)*(1-EXP((Tnet-t)/(Tau_j))))*Salcycl</f>
        <v>3.548960170543615E-2</v>
      </c>
      <c r="P207" s="169">
        <f>(INDEX(Models!$BJ207:$BT207,,T207)*(1-R207)+INDEX(Models!$BJ207:$BT207,,T207+1)*R207-ERP_i)*Q207*Ramure*Pc/MaxiM</f>
        <v>1.0472929894207142E-4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0.91462043768685197</v>
      </c>
      <c r="S207" s="810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-8.5379562313148027E-2</v>
      </c>
      <c r="V207" s="383">
        <f t="shared" ref="V207:V270" si="82">MaxiM*(1-Ppv)*(1-Pvg)*(1-Psa)</f>
        <v>58.687605086460614</v>
      </c>
      <c r="W207" s="402"/>
      <c r="X207" s="157">
        <f t="shared" ref="X207:X270" si="83">t</f>
        <v>44389</v>
      </c>
      <c r="Y207" s="385">
        <f t="shared" ref="Y207:Y270" si="84">Wh_pvt_s*(1-Ppv)</f>
        <v>12.419839173572852</v>
      </c>
      <c r="Z207" s="385">
        <f t="shared" ref="Z207:Z270" si="85">Wh_sa_s*(1-Psa_s)</f>
        <v>12.734763160511825</v>
      </c>
      <c r="AA207" s="386">
        <f t="shared" ref="AA207:AA270" si="86">Wh_hp*(1-Pvg_s*MEDIAN((-Sdif+Wh/Env_an)/Csdif,0,1))</f>
        <v>14.574895210651407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0.12625353551734653</v>
      </c>
      <c r="AD207" s="231">
        <f>(INDEX(Models!$BJ207:$BT207,,AH207)*(1-AF207)+INDEX(Models!$BJ207:$BT207,,AH207+1)*AF207-ERP_i)*AE207*Ramure*Pc/MaxiM</f>
        <v>1.0472929894207142E-4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0.91462043768685197</v>
      </c>
      <c r="AG207" s="810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-8.5379562313148027E-2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25.11</v>
      </c>
      <c r="C208" s="390"/>
      <c r="D208" s="393">
        <f t="shared" si="74"/>
        <v>25.747301569480403</v>
      </c>
      <c r="E208" s="385">
        <f t="shared" si="72"/>
        <v>26.700071454192919</v>
      </c>
      <c r="F208" s="385">
        <f t="shared" si="75"/>
        <v>26.700583530427657</v>
      </c>
      <c r="G208" s="110">
        <f t="shared" si="73"/>
        <v>0.42865902882928364</v>
      </c>
      <c r="H208" s="414" t="b">
        <f>Wh_hp&gt;='2020'!Maxi_hp</f>
        <v>0</v>
      </c>
      <c r="I208" s="380">
        <f>IF(H208,Wh_hp,'2020'!Maxi_hp)</f>
        <v>54.152153759681497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2.4752169378239985E-2</v>
      </c>
      <c r="M208" s="844"/>
      <c r="N208" s="844"/>
      <c r="O208" s="48">
        <f>IF(t&lt;Tnet,'2020'!Resal+('2020'!Salim-'2020'!Resal)*(1-EXP(('2020'!Tnet-t)/('2020'!Tau_j))),Resal+(Salim-Resal)*(1-EXP((Tnet-t)/(Tau_j))))*Salcycl</f>
        <v>3.568416984752653E-2</v>
      </c>
      <c r="P208" s="169">
        <f>(INDEX(Models!$BJ208:$BT208,,T208)*(1-R208)+INDEX(Models!$BJ208:$BT208,,T208+1)*R208-ERP_i)*Q208*Ramure*Pc/MaxiM</f>
        <v>1.0431540637490871E-4</v>
      </c>
      <c r="Q208" s="305">
        <f t="shared" si="77"/>
        <v>0.7</v>
      </c>
      <c r="R208" s="177">
        <f t="shared" si="78"/>
        <v>0.91733532506072835</v>
      </c>
      <c r="S208" s="810">
        <f t="shared" si="79"/>
        <v>-1</v>
      </c>
      <c r="T208" s="176">
        <f t="shared" si="80"/>
        <v>5</v>
      </c>
      <c r="U208" s="251">
        <f t="shared" si="81"/>
        <v>-8.266467493927171E-2</v>
      </c>
      <c r="V208" s="383">
        <f t="shared" si="82"/>
        <v>58.57303936651131</v>
      </c>
      <c r="W208" s="402"/>
      <c r="X208" s="157">
        <f t="shared" si="83"/>
        <v>44390</v>
      </c>
      <c r="Y208" s="385">
        <f t="shared" si="84"/>
        <v>22.748931802690805</v>
      </c>
      <c r="Z208" s="385">
        <f t="shared" si="85"/>
        <v>23.326308542709025</v>
      </c>
      <c r="AA208" s="386">
        <f t="shared" si="86"/>
        <v>26.700071454192919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0.12635782332163326</v>
      </c>
      <c r="AD208" s="231">
        <f>(INDEX(Models!$BJ208:$BT208,,AH208)*(1-AF208)+INDEX(Models!$BJ208:$BT208,,AH208+1)*AF208-ERP_i)*AE208*Ramure*Pc/MaxiM</f>
        <v>1.0431540637490871E-4</v>
      </c>
      <c r="AE208" s="305">
        <f t="shared" si="88"/>
        <v>0.7</v>
      </c>
      <c r="AF208" s="177">
        <f t="shared" si="89"/>
        <v>0.91733532506072835</v>
      </c>
      <c r="AG208" s="810">
        <f t="shared" ref="AG208:AG271" si="95">INDEX(Echel_vg,AH208)</f>
        <v>-1</v>
      </c>
      <c r="AH208" s="176">
        <f t="shared" si="90"/>
        <v>5</v>
      </c>
      <c r="AI208" s="225">
        <f t="shared" si="91"/>
        <v>-8.266467493927171E-2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6">
        <v>28.259</v>
      </c>
      <c r="C209" s="390"/>
      <c r="D209" s="393">
        <f t="shared" si="74"/>
        <v>28.976898749419817</v>
      </c>
      <c r="E209" s="385">
        <f t="shared" si="72"/>
        <v>30.05522665841584</v>
      </c>
      <c r="F209" s="385">
        <f t="shared" si="75"/>
        <v>30.056045342497832</v>
      </c>
      <c r="G209" s="110">
        <f t="shared" si="73"/>
        <v>0.48339246810872827</v>
      </c>
      <c r="H209" s="414" t="b">
        <f>Wh_hp&gt;='2020'!Maxi_hp</f>
        <v>0</v>
      </c>
      <c r="I209" s="380">
        <f>IF(H209,Wh_hp,'2020'!Maxi_hp)</f>
        <v>63.373727610861152</v>
      </c>
      <c r="J209" s="85">
        <f>IF(H209,An,'2020'!An_max)</f>
        <v>2020</v>
      </c>
      <c r="K209" s="197">
        <f t="shared" si="76"/>
        <v>44391</v>
      </c>
      <c r="L209" s="147">
        <f>IF(t&lt;Tvie,1-EXP((T0-t)*PertePVj)+'2020'!Pspv,1-EXP((T0-t)*PertePVj)+Pspv)</f>
        <v>2.4774864820003906E-2</v>
      </c>
      <c r="M209" s="844"/>
      <c r="N209" s="844"/>
      <c r="O209" s="48">
        <f>IF(t&lt;Tnet,'2020'!Resal+('2020'!Salim-'2020'!Resal)*(1-EXP(('2020'!Tnet-t)/('2020'!Tau_j))),Resal+(Salim-Resal)*(1-EXP((Tnet-t)/(Tau_j))))*Salcycl</f>
        <v>3.5878215834185982E-2</v>
      </c>
      <c r="P209" s="169">
        <f>(INDEX(Models!$BJ209:$BT209,,T209)*(1-R209)+INDEX(Models!$BJ209:$BT209,,T209+1)*R209-ERP_i)*Q209*Ramure*Pc/MaxiM</f>
        <v>1.0394730710333679E-4</v>
      </c>
      <c r="Q209" s="305">
        <f t="shared" si="77"/>
        <v>0.7</v>
      </c>
      <c r="R209" s="177">
        <f t="shared" si="78"/>
        <v>0.91998515369923473</v>
      </c>
      <c r="S209" s="810">
        <f t="shared" si="79"/>
        <v>-1</v>
      </c>
      <c r="T209" s="176">
        <f t="shared" si="80"/>
        <v>5</v>
      </c>
      <c r="U209" s="251">
        <f t="shared" si="81"/>
        <v>-8.001484630076533E-2</v>
      </c>
      <c r="V209" s="383">
        <f t="shared" si="82"/>
        <v>58.455259635446616</v>
      </c>
      <c r="W209" s="402"/>
      <c r="X209" s="157">
        <f t="shared" si="83"/>
        <v>44391</v>
      </c>
      <c r="Y209" s="385">
        <f t="shared" si="84"/>
        <v>25.603969252736412</v>
      </c>
      <c r="Z209" s="385">
        <f t="shared" si="85"/>
        <v>26.254418932722359</v>
      </c>
      <c r="AA209" s="386">
        <f t="shared" si="86"/>
        <v>30.05522665841584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0.1264607906268844</v>
      </c>
      <c r="AD209" s="231">
        <f>(INDEX(Models!$BJ209:$BT209,,AH209)*(1-AF209)+INDEX(Models!$BJ209:$BT209,,AH209+1)*AF209-ERP_i)*AE209*Ramure*Pc/MaxiM</f>
        <v>1.0394730710333679E-4</v>
      </c>
      <c r="AE209" s="305">
        <f t="shared" si="88"/>
        <v>0.7</v>
      </c>
      <c r="AF209" s="177">
        <f t="shared" si="89"/>
        <v>0.91998515369923473</v>
      </c>
      <c r="AG209" s="810">
        <f t="shared" si="95"/>
        <v>-1</v>
      </c>
      <c r="AH209" s="176">
        <f t="shared" si="90"/>
        <v>5</v>
      </c>
      <c r="AI209" s="225">
        <f t="shared" si="91"/>
        <v>-8.001484630076533E-2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6">
        <v>39.139000000000003</v>
      </c>
      <c r="C210" s="390"/>
      <c r="D210" s="393">
        <f t="shared" si="74"/>
        <v>40.134230990345671</v>
      </c>
      <c r="E210" s="385">
        <f t="shared" si="72"/>
        <v>41.636118767456423</v>
      </c>
      <c r="F210" s="385">
        <f t="shared" si="75"/>
        <v>41.638405290004755</v>
      </c>
      <c r="G210" s="110">
        <f t="shared" si="73"/>
        <v>0.67091204254094694</v>
      </c>
      <c r="H210" s="414" t="b">
        <f>Wh_hp&gt;='2020'!Maxi_hp</f>
        <v>0</v>
      </c>
      <c r="I210" s="380">
        <f>IF(H210,Wh_hp,'2020'!Maxi_hp)</f>
        <v>64.452290266215414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2.4797559733611751E-2</v>
      </c>
      <c r="M210" s="844"/>
      <c r="N210" s="844"/>
      <c r="O210" s="48">
        <f>IF(t&lt;Tnet,'2020'!Resal+('2020'!Salim-'2020'!Resal)*(1-EXP(('2020'!Tnet-t)/('2020'!Tau_j))),Resal+(Salim-Resal)*(1-EXP((Tnet-t)/(Tau_j))))*Salcycl</f>
        <v>3.6071752640994409E-2</v>
      </c>
      <c r="P210" s="169">
        <f>(INDEX(Models!$BJ210:$BT210,,T210)*(1-R210)+INDEX(Models!$BJ210:$BT210,,T210+1)*R210-ERP_i)*Q210*Ramure*Pc/MaxiM</f>
        <v>1.0362635862599588E-4</v>
      </c>
      <c r="Q210" s="305">
        <f t="shared" si="77"/>
        <v>0.7</v>
      </c>
      <c r="R210" s="177">
        <f t="shared" si="78"/>
        <v>0.92257007722335649</v>
      </c>
      <c r="S210" s="810">
        <f t="shared" si="79"/>
        <v>-1</v>
      </c>
      <c r="T210" s="176">
        <f t="shared" si="80"/>
        <v>5</v>
      </c>
      <c r="U210" s="251">
        <f t="shared" si="81"/>
        <v>-7.7429922776643456E-2</v>
      </c>
      <c r="V210" s="383">
        <f t="shared" si="82"/>
        <v>58.334164320199598</v>
      </c>
      <c r="W210" s="402"/>
      <c r="X210" s="157">
        <f t="shared" si="83"/>
        <v>44392</v>
      </c>
      <c r="Y210" s="385">
        <f t="shared" si="84"/>
        <v>35.464745875854149</v>
      </c>
      <c r="Z210" s="385">
        <f t="shared" si="85"/>
        <v>36.366547510039588</v>
      </c>
      <c r="AA210" s="386">
        <f t="shared" si="86"/>
        <v>41.636118767456423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0.126562499421431</v>
      </c>
      <c r="AD210" s="231">
        <f>(INDEX(Models!$BJ210:$BT210,,AH210)*(1-AF210)+INDEX(Models!$BJ210:$BT210,,AH210+1)*AF210-ERP_i)*AE210*Ramure*Pc/MaxiM</f>
        <v>1.0362635862599588E-4</v>
      </c>
      <c r="AE210" s="305">
        <f t="shared" si="88"/>
        <v>0.7</v>
      </c>
      <c r="AF210" s="177">
        <f t="shared" si="89"/>
        <v>0.92257007722335649</v>
      </c>
      <c r="AG210" s="810">
        <f t="shared" si="95"/>
        <v>-1</v>
      </c>
      <c r="AH210" s="176">
        <f t="shared" si="90"/>
        <v>5</v>
      </c>
      <c r="AI210" s="225">
        <f t="shared" si="91"/>
        <v>-7.7429922776643456E-2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6">
        <v>40.532000000000004</v>
      </c>
      <c r="C211" s="390"/>
      <c r="D211" s="393">
        <f t="shared" si="74"/>
        <v>41.563619600595381</v>
      </c>
      <c r="E211" s="385">
        <f t="shared" si="72"/>
        <v>43.127634352694251</v>
      </c>
      <c r="F211" s="385">
        <f t="shared" si="75"/>
        <v>43.130158098627639</v>
      </c>
      <c r="G211" s="110">
        <f t="shared" si="73"/>
        <v>0.69627941639013968</v>
      </c>
      <c r="H211" s="414" t="b">
        <f>Wh_hp&gt;='2020'!Maxi_hp</f>
        <v>0</v>
      </c>
      <c r="I211" s="380">
        <f>IF(H211,Wh_hp,'2020'!Maxi_hp)</f>
        <v>62.090421221534129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2.4820254119075846E-2</v>
      </c>
      <c r="M211" s="844"/>
      <c r="N211" s="844"/>
      <c r="O211" s="48">
        <f>IF(t&lt;Tnet,'2020'!Resal+('2020'!Salim-'2020'!Resal)*(1-EXP(('2020'!Tnet-t)/('2020'!Tau_j))),Resal+(Salim-Resal)*(1-EXP((Tnet-t)/(Tau_j))))*Salcycl</f>
        <v>3.626479345721785E-2</v>
      </c>
      <c r="P211" s="169">
        <f>(INDEX(Models!$BJ211:$BT211,,T211)*(1-R211)+INDEX(Models!$BJ211:$BT211,,T211+1)*R211-ERP_i)*Q211*Ramure*Pc/MaxiM</f>
        <v>1.0335390484924277E-4</v>
      </c>
      <c r="Q211" s="305">
        <f t="shared" si="77"/>
        <v>0.7</v>
      </c>
      <c r="R211" s="177">
        <f t="shared" si="78"/>
        <v>0.92509034871242968</v>
      </c>
      <c r="S211" s="810">
        <f t="shared" si="79"/>
        <v>-1</v>
      </c>
      <c r="T211" s="176">
        <f t="shared" si="80"/>
        <v>5</v>
      </c>
      <c r="U211" s="251">
        <f t="shared" si="81"/>
        <v>-7.4909651287570322E-2</v>
      </c>
      <c r="V211" s="383">
        <f t="shared" si="82"/>
        <v>58.209651922409456</v>
      </c>
      <c r="W211" s="402"/>
      <c r="X211" s="157">
        <f t="shared" si="83"/>
        <v>44393</v>
      </c>
      <c r="Y211" s="385">
        <f t="shared" si="84"/>
        <v>36.730104481416738</v>
      </c>
      <c r="Z211" s="385">
        <f t="shared" si="85"/>
        <v>37.664958318260361</v>
      </c>
      <c r="AA211" s="386">
        <f t="shared" si="86"/>
        <v>43.127634352694251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0.12666301123220844</v>
      </c>
      <c r="AD211" s="231">
        <f>(INDEX(Models!$BJ211:$BT211,,AH211)*(1-AF211)+INDEX(Models!$BJ211:$BT211,,AH211+1)*AF211-ERP_i)*AE211*Ramure*Pc/MaxiM</f>
        <v>1.0335390484924277E-4</v>
      </c>
      <c r="AE211" s="305">
        <f t="shared" si="88"/>
        <v>0.7</v>
      </c>
      <c r="AF211" s="177">
        <f t="shared" si="89"/>
        <v>0.92509034871242968</v>
      </c>
      <c r="AG211" s="810">
        <f t="shared" si="95"/>
        <v>-1</v>
      </c>
      <c r="AH211" s="176">
        <f t="shared" si="90"/>
        <v>5</v>
      </c>
      <c r="AI211" s="225">
        <f t="shared" si="91"/>
        <v>-7.4909651287570322E-2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6">
        <v>57.853000000000002</v>
      </c>
      <c r="C212" s="390"/>
      <c r="D212" s="393">
        <f t="shared" si="74"/>
        <v>59.326853946189161</v>
      </c>
      <c r="E212" s="385">
        <f t="shared" si="72"/>
        <v>61.571591090258082</v>
      </c>
      <c r="F212" s="385">
        <f t="shared" si="75"/>
        <v>61.577914063437071</v>
      </c>
      <c r="G212" s="110">
        <f t="shared" si="73"/>
        <v>0.99606335028420734</v>
      </c>
      <c r="H212" s="414" t="b">
        <f>Wh_hp&gt;='2020'!Maxi_hp</f>
        <v>1</v>
      </c>
      <c r="I212" s="380">
        <f>IF(H212,Wh_hp,'2020'!Maxi_hp)</f>
        <v>61.577914063437071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2.4842947976408403E-2</v>
      </c>
      <c r="M212" s="844"/>
      <c r="N212" s="844"/>
      <c r="O212" s="48">
        <f>IF(t&lt;Tnet,'2020'!Resal+('2020'!Salim-'2020'!Resal)*(1-EXP(('2020'!Tnet-t)/('2020'!Tau_j))),Resal+(Salim-Resal)*(1-EXP((Tnet-t)/(Tau_j))))*Salcycl</f>
        <v>3.6457351585706996E-2</v>
      </c>
      <c r="P212" s="169">
        <f>(INDEX(Models!$BJ212:$BT212,,T212)*(1-R212)+INDEX(Models!$BJ212:$BT212,,T212+1)*R212-ERP_i)*Q212*Ramure*Pc/MaxiM</f>
        <v>1.0326312839227498E-4</v>
      </c>
      <c r="Q212" s="305">
        <f t="shared" si="77"/>
        <v>0.7</v>
      </c>
      <c r="R212" s="177">
        <f t="shared" si="78"/>
        <v>0.92754631516569075</v>
      </c>
      <c r="S212" s="810">
        <f t="shared" si="79"/>
        <v>-1</v>
      </c>
      <c r="T212" s="176">
        <f t="shared" si="80"/>
        <v>5</v>
      </c>
      <c r="U212" s="251">
        <f t="shared" si="81"/>
        <v>-7.2453684834309251E-2</v>
      </c>
      <c r="V212" s="383">
        <f t="shared" si="82"/>
        <v>58.081613371304449</v>
      </c>
      <c r="W212" s="402"/>
      <c r="X212" s="157">
        <f t="shared" si="83"/>
        <v>44394</v>
      </c>
      <c r="Y212" s="385">
        <f t="shared" si="84"/>
        <v>52.430907671713385</v>
      </c>
      <c r="Z212" s="385">
        <f t="shared" si="85"/>
        <v>53.766629244911563</v>
      </c>
      <c r="AA212" s="386">
        <f t="shared" si="86"/>
        <v>61.571591090258082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0.12676238679466945</v>
      </c>
      <c r="AD212" s="231">
        <f>(INDEX(Models!$BJ212:$BT212,,AH212)*(1-AF212)+INDEX(Models!$BJ212:$BT212,,AH212+1)*AF212-ERP_i)*AE212*Ramure*Pc/MaxiM</f>
        <v>1.0326312839227498E-4</v>
      </c>
      <c r="AE212" s="305">
        <f t="shared" si="88"/>
        <v>0.7</v>
      </c>
      <c r="AF212" s="177">
        <f t="shared" si="89"/>
        <v>0.92754631516569075</v>
      </c>
      <c r="AG212" s="810">
        <f t="shared" si="95"/>
        <v>-1</v>
      </c>
      <c r="AH212" s="176">
        <f t="shared" si="90"/>
        <v>5</v>
      </c>
      <c r="AI212" s="225">
        <f t="shared" si="91"/>
        <v>-7.2453684834309251E-2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6">
        <v>51.801000000000002</v>
      </c>
      <c r="C213" s="390"/>
      <c r="D213" s="393">
        <f t="shared" si="74"/>
        <v>53.121910368697421</v>
      </c>
      <c r="E213" s="385">
        <f t="shared" si="72"/>
        <v>55.142865529374262</v>
      </c>
      <c r="F213" s="385">
        <f t="shared" si="75"/>
        <v>55.14770239344648</v>
      </c>
      <c r="G213" s="110">
        <f t="shared" si="73"/>
        <v>0.89387810833345038</v>
      </c>
      <c r="H213" s="414" t="b">
        <f>Wh_hp&gt;='2020'!Maxi_hp</f>
        <v>1</v>
      </c>
      <c r="I213" s="380">
        <f>IF(H213,Wh_hp,'2020'!Maxi_hp)</f>
        <v>55.14770239344648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2.4865641305621744E-2</v>
      </c>
      <c r="M213" s="844"/>
      <c r="N213" s="844"/>
      <c r="O213" s="48">
        <f>IF(t&lt;Tnet,'2020'!Resal+('2020'!Salim-'2020'!Resal)*(1-EXP(('2020'!Tnet-t)/('2020'!Tau_j))),Resal+(Salim-Resal)*(1-EXP((Tnet-t)/(Tau_j))))*Salcycl</f>
        <v>3.6649440345103125E-2</v>
      </c>
      <c r="P213" s="169">
        <f>(INDEX(Models!$BJ213:$BT213,,T213)*(1-R213)+INDEX(Models!$BJ213:$BT213,,T213+1)*R213-ERP_i)*Q213*Ramure*Pc/MaxiM</f>
        <v>1.0337771743903592E-4</v>
      </c>
      <c r="Q213" s="305">
        <f t="shared" si="77"/>
        <v>0.7</v>
      </c>
      <c r="R213" s="177">
        <f t="shared" si="78"/>
        <v>0.92993841189872306</v>
      </c>
      <c r="S213" s="810">
        <f t="shared" si="79"/>
        <v>-1</v>
      </c>
      <c r="T213" s="176">
        <f t="shared" si="80"/>
        <v>5</v>
      </c>
      <c r="U213" s="251">
        <f t="shared" si="81"/>
        <v>-7.0061588101276939E-2</v>
      </c>
      <c r="V213" s="383">
        <f t="shared" si="82"/>
        <v>57.949946094540934</v>
      </c>
      <c r="W213" s="402"/>
      <c r="X213" s="157">
        <f t="shared" si="83"/>
        <v>44395</v>
      </c>
      <c r="Y213" s="385">
        <f t="shared" si="84"/>
        <v>46.95018772212655</v>
      </c>
      <c r="Z213" s="385">
        <f t="shared" si="85"/>
        <v>48.147403794682049</v>
      </c>
      <c r="AA213" s="386">
        <f t="shared" si="86"/>
        <v>55.142865529374262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0.12686068573940493</v>
      </c>
      <c r="AD213" s="231">
        <f>(INDEX(Models!$BJ213:$BT213,,AH213)*(1-AF213)+INDEX(Models!$BJ213:$BT213,,AH213+1)*AF213-ERP_i)*AE213*Ramure*Pc/MaxiM</f>
        <v>1.0337771743903592E-4</v>
      </c>
      <c r="AE213" s="305">
        <f t="shared" si="88"/>
        <v>0.7</v>
      </c>
      <c r="AF213" s="177">
        <f t="shared" si="89"/>
        <v>0.92993841189872306</v>
      </c>
      <c r="AG213" s="810">
        <f t="shared" si="95"/>
        <v>-1</v>
      </c>
      <c r="AH213" s="176">
        <f t="shared" si="90"/>
        <v>5</v>
      </c>
      <c r="AI213" s="225">
        <f t="shared" si="91"/>
        <v>-7.0061588101276939E-2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6">
        <v>56.04</v>
      </c>
      <c r="C214" s="390"/>
      <c r="D214" s="393">
        <f t="shared" si="74"/>
        <v>57.470341049261641</v>
      </c>
      <c r="E214" s="385">
        <f t="shared" si="72"/>
        <v>59.668596154510574</v>
      </c>
      <c r="F214" s="385">
        <f t="shared" si="75"/>
        <v>59.674513107650093</v>
      </c>
      <c r="G214" s="110">
        <f t="shared" si="73"/>
        <v>0.96930178135324951</v>
      </c>
      <c r="H214" s="414" t="b">
        <f>Wh_hp&gt;='2020'!Maxi_hp</f>
        <v>0</v>
      </c>
      <c r="I214" s="380">
        <f>IF(H214,Wh_hp,'2020'!Maxi_hp)</f>
        <v>61.968501061499985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2.4888334106728194E-2</v>
      </c>
      <c r="M214" s="844"/>
      <c r="N214" s="844"/>
      <c r="O214" s="48">
        <f>IF(t&lt;Tnet,'2020'!Resal+('2020'!Salim-'2020'!Resal)*(1-EXP(('2020'!Tnet-t)/('2020'!Tau_j))),Resal+(Salim-Resal)*(1-EXP((Tnet-t)/(Tau_j))))*Salcycl</f>
        <v>3.6841072975080526E-2</v>
      </c>
      <c r="P214" s="169">
        <f>(INDEX(Models!$BJ214:$BT214,,T214)*(1-R214)+INDEX(Models!$BJ214:$BT214,,T214+1)*R214-ERP_i)*Q214*Ramure*Pc/MaxiM</f>
        <v>1.0370088064101828E-4</v>
      </c>
      <c r="Q214" s="305">
        <f t="shared" si="77"/>
        <v>0.7</v>
      </c>
      <c r="R214" s="177">
        <f t="shared" si="78"/>
        <v>0.93226715691117401</v>
      </c>
      <c r="S214" s="810">
        <f t="shared" si="79"/>
        <v>-1</v>
      </c>
      <c r="T214" s="176">
        <f t="shared" si="80"/>
        <v>5</v>
      </c>
      <c r="U214" s="251">
        <f t="shared" si="81"/>
        <v>-6.7732843088825934E-2</v>
      </c>
      <c r="V214" s="383">
        <f t="shared" si="82"/>
        <v>57.814548815327257</v>
      </c>
      <c r="W214" s="402"/>
      <c r="X214" s="157">
        <f t="shared" si="83"/>
        <v>44396</v>
      </c>
      <c r="Y214" s="385">
        <f t="shared" si="84"/>
        <v>50.796679754418705</v>
      </c>
      <c r="Z214" s="385">
        <f t="shared" si="85"/>
        <v>52.093192534913754</v>
      </c>
      <c r="AA214" s="386">
        <f t="shared" si="86"/>
        <v>59.668596154510574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0.12695796629738823</v>
      </c>
      <c r="AD214" s="231">
        <f>(INDEX(Models!$BJ214:$BT214,,AH214)*(1-AF214)+INDEX(Models!$BJ214:$BT214,,AH214+1)*AF214-ERP_i)*AE214*Ramure*Pc/MaxiM</f>
        <v>1.0370088064101828E-4</v>
      </c>
      <c r="AE214" s="305">
        <f t="shared" si="88"/>
        <v>0.7</v>
      </c>
      <c r="AF214" s="177">
        <f t="shared" si="89"/>
        <v>0.93226715691117401</v>
      </c>
      <c r="AG214" s="810">
        <f t="shared" si="95"/>
        <v>-1</v>
      </c>
      <c r="AH214" s="176">
        <f t="shared" si="90"/>
        <v>5</v>
      </c>
      <c r="AI214" s="225">
        <f t="shared" si="91"/>
        <v>-6.7732843088825934E-2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6">
        <v>43.776000000000003</v>
      </c>
      <c r="C215" s="390"/>
      <c r="D215" s="393">
        <f t="shared" si="74"/>
        <v>44.894364703428785</v>
      </c>
      <c r="E215" s="385">
        <f t="shared" si="72"/>
        <v>46.620839886176654</v>
      </c>
      <c r="F215" s="385">
        <f t="shared" si="75"/>
        <v>46.624026639996934</v>
      </c>
      <c r="G215" s="110">
        <f t="shared" si="73"/>
        <v>0.75898024808571185</v>
      </c>
      <c r="H215" s="414" t="b">
        <f>Wh_hp&gt;='2020'!Maxi_hp</f>
        <v>0</v>
      </c>
      <c r="I215" s="380">
        <f>IF(H215,Wh_hp,'2020'!Maxi_hp)</f>
        <v>60.24378453040314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2.4911026379739964E-2</v>
      </c>
      <c r="M215" s="844"/>
      <c r="N215" s="844"/>
      <c r="O215" s="48">
        <f>IF(t&lt;Tnet,'2020'!Resal+('2020'!Salim-'2020'!Resal)*(1-EXP(('2020'!Tnet-t)/('2020'!Tau_j))),Resal+(Salim-Resal)*(1-EXP((Tnet-t)/(Tau_j))))*Salcycl</f>
        <v>3.7032262545312493E-2</v>
      </c>
      <c r="P215" s="169">
        <f>(INDEX(Models!$BJ215:$BT215,,T215)*(1-R215)+INDEX(Models!$BJ215:$BT215,,T215+1)*R215-ERP_i)*Q215*Ramure*Pc/MaxiM</f>
        <v>1.0423582471584285E-4</v>
      </c>
      <c r="Q215" s="305">
        <f t="shared" si="77"/>
        <v>0.7</v>
      </c>
      <c r="R215" s="177">
        <f t="shared" si="78"/>
        <v>0.93453314525952225</v>
      </c>
      <c r="S215" s="810">
        <f t="shared" si="79"/>
        <v>-1</v>
      </c>
      <c r="T215" s="176">
        <f t="shared" si="80"/>
        <v>5</v>
      </c>
      <c r="U215" s="251">
        <f t="shared" si="81"/>
        <v>-6.5466854740477809E-2</v>
      </c>
      <c r="V215" s="383">
        <f t="shared" si="82"/>
        <v>57.675320361320686</v>
      </c>
      <c r="W215" s="402"/>
      <c r="X215" s="157">
        <f t="shared" si="83"/>
        <v>44397</v>
      </c>
      <c r="Y215" s="385">
        <f t="shared" si="84"/>
        <v>39.683646847534689</v>
      </c>
      <c r="Z215" s="385">
        <f t="shared" si="85"/>
        <v>40.697462407147619</v>
      </c>
      <c r="AA215" s="386">
        <f t="shared" si="86"/>
        <v>46.620839886176654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0.12705428502555463</v>
      </c>
      <c r="AD215" s="231">
        <f>(INDEX(Models!$BJ215:$BT215,,AH215)*(1-AF215)+INDEX(Models!$BJ215:$BT215,,AH215+1)*AF215-ERP_i)*AE215*Ramure*Pc/MaxiM</f>
        <v>1.0423582471584285E-4</v>
      </c>
      <c r="AE215" s="305">
        <f t="shared" si="88"/>
        <v>0.7</v>
      </c>
      <c r="AF215" s="177">
        <f t="shared" si="89"/>
        <v>0.93453314525952225</v>
      </c>
      <c r="AG215" s="810">
        <f t="shared" si="95"/>
        <v>-1</v>
      </c>
      <c r="AH215" s="176">
        <f t="shared" si="90"/>
        <v>5</v>
      </c>
      <c r="AI215" s="225">
        <f t="shared" si="91"/>
        <v>-6.5466854740477809E-2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6">
        <v>45.853999999999999</v>
      </c>
      <c r="C216" s="390"/>
      <c r="D216" s="393">
        <f t="shared" si="74"/>
        <v>47.026546658766293</v>
      </c>
      <c r="E216" s="385">
        <f t="shared" si="72"/>
        <v>48.844693762876723</v>
      </c>
      <c r="F216" s="385">
        <f t="shared" si="75"/>
        <v>48.848335023237837</v>
      </c>
      <c r="G216" s="110">
        <f t="shared" si="73"/>
        <v>0.79699083438535101</v>
      </c>
      <c r="H216" s="414" t="b">
        <f>Wh_hp&gt;='2020'!Maxi_hp</f>
        <v>0</v>
      </c>
      <c r="I216" s="380">
        <f>IF(H216,Wh_hp,'2020'!Maxi_hp)</f>
        <v>50.323174541683194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2.4933718124669491E-2</v>
      </c>
      <c r="M216" s="844"/>
      <c r="N216" s="844"/>
      <c r="O216" s="48">
        <f>IF(t&lt;Tnet,'2020'!Resal+('2020'!Salim-'2020'!Resal)*(1-EXP(('2020'!Tnet-t)/('2020'!Tau_j))),Resal+(Salim-Resal)*(1-EXP((Tnet-t)/(Tau_j))))*Salcycl</f>
        <v>3.7223021868800707E-2</v>
      </c>
      <c r="P216" s="169">
        <f>(INDEX(Models!$BJ216:$BT216,,T216)*(1-R216)+INDEX(Models!$BJ216:$BT216,,T216+1)*R216-ERP_i)*Q216*Ramure*Pc/MaxiM</f>
        <v>1.0498576672750303E-4</v>
      </c>
      <c r="Q216" s="305">
        <f t="shared" si="77"/>
        <v>0.7</v>
      </c>
      <c r="R216" s="177">
        <f t="shared" si="78"/>
        <v>0.93673704346597009</v>
      </c>
      <c r="S216" s="810">
        <f t="shared" si="79"/>
        <v>-1</v>
      </c>
      <c r="T216" s="176">
        <f t="shared" si="80"/>
        <v>5</v>
      </c>
      <c r="U216" s="251">
        <f t="shared" si="81"/>
        <v>-6.3262956534029857E-2</v>
      </c>
      <c r="V216" s="383">
        <f t="shared" si="82"/>
        <v>57.532159664185158</v>
      </c>
      <c r="W216" s="402"/>
      <c r="X216" s="157">
        <f t="shared" si="83"/>
        <v>44398</v>
      </c>
      <c r="Y216" s="385">
        <f t="shared" si="84"/>
        <v>41.57107899681116</v>
      </c>
      <c r="Z216" s="385">
        <f t="shared" si="85"/>
        <v>42.634105772643601</v>
      </c>
      <c r="AA216" s="386">
        <f t="shared" si="86"/>
        <v>48.844693762876723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0.12714969655421077</v>
      </c>
      <c r="AD216" s="231">
        <f>(INDEX(Models!$BJ216:$BT216,,AH216)*(1-AF216)+INDEX(Models!$BJ216:$BT216,,AH216+1)*AF216-ERP_i)*AE216*Ramure*Pc/MaxiM</f>
        <v>1.0498576672750303E-4</v>
      </c>
      <c r="AE216" s="305">
        <f t="shared" si="88"/>
        <v>0.7</v>
      </c>
      <c r="AF216" s="177">
        <f t="shared" si="89"/>
        <v>0.93673704346597009</v>
      </c>
      <c r="AG216" s="810">
        <f t="shared" si="95"/>
        <v>-1</v>
      </c>
      <c r="AH216" s="176">
        <f t="shared" si="90"/>
        <v>5</v>
      </c>
      <c r="AI216" s="225">
        <f t="shared" si="91"/>
        <v>-6.3262956534029857E-2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6">
        <v>51.302</v>
      </c>
      <c r="C217" s="390"/>
      <c r="D217" s="393">
        <f t="shared" si="74"/>
        <v>52.615083562935361</v>
      </c>
      <c r="E217" s="385">
        <f t="shared" si="72"/>
        <v>54.660101816789478</v>
      </c>
      <c r="F217" s="385">
        <f t="shared" si="75"/>
        <v>54.665016697682169</v>
      </c>
      <c r="G217" s="110">
        <f t="shared" si="73"/>
        <v>0.89398287686132694</v>
      </c>
      <c r="H217" s="414" t="b">
        <f>Wh_hp&gt;='2020'!Maxi_hp</f>
        <v>0</v>
      </c>
      <c r="I217" s="380">
        <f>IF(H217,Wh_hp,'2020'!Maxi_hp)</f>
        <v>55.15109317310074</v>
      </c>
      <c r="J217" s="85">
        <f>IF(H217,An,'2020'!An_max)</f>
        <v>2020</v>
      </c>
      <c r="K217" s="197">
        <f t="shared" si="76"/>
        <v>44399</v>
      </c>
      <c r="L217" s="147">
        <f>IF(t&lt;Tvie,1-EXP((T0-t)*PertePVj)+'2020'!Pspv,1-EXP((T0-t)*PertePVj)+Pspv)</f>
        <v>2.4956409341528873E-2</v>
      </c>
      <c r="M217" s="844"/>
      <c r="N217" s="844"/>
      <c r="O217" s="48">
        <f>IF(t&lt;Tnet,'2020'!Resal+('2020'!Salim-'2020'!Resal)*(1-EXP(('2020'!Tnet-t)/('2020'!Tau_j))),Resal+(Salim-Resal)*(1-EXP((Tnet-t)/(Tau_j))))*Salcycl</f>
        <v>3.741336342015316E-2</v>
      </c>
      <c r="P217" s="169">
        <f>(INDEX(Models!$BJ217:$BT217,,T217)*(1-R217)+INDEX(Models!$BJ217:$BT217,,T217+1)*R217-ERP_i)*Q217*Ramure*Pc/MaxiM</f>
        <v>1.0595394669865844E-4</v>
      </c>
      <c r="Q217" s="305">
        <f t="shared" si="77"/>
        <v>0.7</v>
      </c>
      <c r="R217" s="177">
        <f t="shared" si="78"/>
        <v>0.93887958399179339</v>
      </c>
      <c r="S217" s="810">
        <f t="shared" si="79"/>
        <v>-1</v>
      </c>
      <c r="T217" s="176">
        <f t="shared" si="80"/>
        <v>5</v>
      </c>
      <c r="U217" s="251">
        <f t="shared" si="81"/>
        <v>-6.1120416008206557E-2</v>
      </c>
      <c r="V217" s="383">
        <f t="shared" si="82"/>
        <v>57.384965774634665</v>
      </c>
      <c r="W217" s="402"/>
      <c r="X217" s="157">
        <f t="shared" si="83"/>
        <v>44399</v>
      </c>
      <c r="Y217" s="385">
        <f t="shared" si="84"/>
        <v>46.514374512135134</v>
      </c>
      <c r="Z217" s="385">
        <f t="shared" si="85"/>
        <v>47.704917972665022</v>
      </c>
      <c r="AA217" s="386">
        <f t="shared" si="86"/>
        <v>54.660101816789478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0.12724425335753925</v>
      </c>
      <c r="AD217" s="231">
        <f>(INDEX(Models!$BJ217:$BT217,,AH217)*(1-AF217)+INDEX(Models!$BJ217:$BT217,,AH217+1)*AF217-ERP_i)*AE217*Ramure*Pc/MaxiM</f>
        <v>1.0595394669865844E-4</v>
      </c>
      <c r="AE217" s="305">
        <f t="shared" si="88"/>
        <v>0.7</v>
      </c>
      <c r="AF217" s="177">
        <f t="shared" si="89"/>
        <v>0.93887958399179339</v>
      </c>
      <c r="AG217" s="810">
        <f t="shared" si="95"/>
        <v>-1</v>
      </c>
      <c r="AH217" s="176">
        <f t="shared" si="90"/>
        <v>5</v>
      </c>
      <c r="AI217" s="225">
        <f t="shared" si="91"/>
        <v>-6.1120416008206557E-2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6">
        <v>42.606999999999999</v>
      </c>
      <c r="C218" s="390"/>
      <c r="D218" s="393">
        <f t="shared" si="74"/>
        <v>43.698550463200732</v>
      </c>
      <c r="E218" s="385">
        <f t="shared" si="72"/>
        <v>45.405964535799164</v>
      </c>
      <c r="F218" s="385">
        <f t="shared" si="75"/>
        <v>45.409053577622018</v>
      </c>
      <c r="G218" s="110">
        <f t="shared" si="73"/>
        <v>0.74441071438724615</v>
      </c>
      <c r="H218" s="414" t="b">
        <f>Wh_hp&gt;='2020'!Maxi_hp</f>
        <v>0</v>
      </c>
      <c r="I218" s="380">
        <f>IF(H218,Wh_hp,'2020'!Maxi_hp)</f>
        <v>57.142071976400118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2.4979100030330437E-2</v>
      </c>
      <c r="M218" s="844"/>
      <c r="N218" s="844"/>
      <c r="O218" s="48">
        <f>IF(t&lt;Tnet,'2020'!Resal+('2020'!Salim-'2020'!Resal)*(1-EXP(('2020'!Tnet-t)/('2020'!Tau_j))),Resal+(Salim-Resal)*(1-EXP((Tnet-t)/(Tau_j))))*Salcycl</f>
        <v>3.7603299259335594E-2</v>
      </c>
      <c r="P218" s="169">
        <f>(INDEX(Models!$BJ218:$BT218,,T218)*(1-R218)+INDEX(Models!$BJ218:$BT218,,T218+1)*R218-ERP_i)*Q218*Ramure*Pc/MaxiM</f>
        <v>1.0714364057458902E-4</v>
      </c>
      <c r="Q218" s="305">
        <f t="shared" si="77"/>
        <v>0.7</v>
      </c>
      <c r="R218" s="177">
        <f t="shared" si="78"/>
        <v>0.94096155980069907</v>
      </c>
      <c r="S218" s="810">
        <f t="shared" si="79"/>
        <v>-1</v>
      </c>
      <c r="T218" s="176">
        <f t="shared" si="80"/>
        <v>5</v>
      </c>
      <c r="U218" s="251">
        <f t="shared" si="81"/>
        <v>-5.9038440199300879E-2</v>
      </c>
      <c r="V218" s="383">
        <f t="shared" si="82"/>
        <v>57.233637856902071</v>
      </c>
      <c r="W218" s="402"/>
      <c r="X218" s="157">
        <f t="shared" si="83"/>
        <v>44400</v>
      </c>
      <c r="Y218" s="385">
        <f t="shared" si="84"/>
        <v>38.634286224164939</v>
      </c>
      <c r="Z218" s="385">
        <f t="shared" si="85"/>
        <v>39.624059571817128</v>
      </c>
      <c r="AA218" s="386">
        <f t="shared" si="86"/>
        <v>45.405964535799164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0.12733800554822361</v>
      </c>
      <c r="AD218" s="231">
        <f>(INDEX(Models!$BJ218:$BT218,,AH218)*(1-AF218)+INDEX(Models!$BJ218:$BT218,,AH218+1)*AF218-ERP_i)*AE218*Ramure*Pc/MaxiM</f>
        <v>1.0714364057458902E-4</v>
      </c>
      <c r="AE218" s="305">
        <f t="shared" si="88"/>
        <v>0.7</v>
      </c>
      <c r="AF218" s="177">
        <f t="shared" si="89"/>
        <v>0.94096155980069907</v>
      </c>
      <c r="AG218" s="810">
        <f t="shared" si="95"/>
        <v>-1</v>
      </c>
      <c r="AH218" s="176">
        <f t="shared" si="90"/>
        <v>5</v>
      </c>
      <c r="AI218" s="225">
        <f t="shared" si="91"/>
        <v>-5.9038440199300879E-2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6">
        <v>28.341000000000001</v>
      </c>
      <c r="C219" s="390"/>
      <c r="D219" s="393">
        <f t="shared" si="74"/>
        <v>29.067745678788945</v>
      </c>
      <c r="E219" s="385">
        <f t="shared" si="72"/>
        <v>30.209446485340035</v>
      </c>
      <c r="F219" s="385">
        <f t="shared" si="75"/>
        <v>30.210367249975093</v>
      </c>
      <c r="G219" s="110">
        <f t="shared" si="73"/>
        <v>0.49649134111625831</v>
      </c>
      <c r="H219" s="414" t="b">
        <f>Wh_hp&gt;='2020'!Maxi_hp</f>
        <v>0</v>
      </c>
      <c r="I219" s="380">
        <f>IF(H219,Wh_hp,'2020'!Maxi_hp)</f>
        <v>57.379495039905848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2.5001790191086615E-2</v>
      </c>
      <c r="M219" s="844"/>
      <c r="N219" s="844"/>
      <c r="O219" s="48">
        <f>IF(t&lt;Tnet,'2020'!Resal+('2020'!Salim-'2020'!Resal)*(1-EXP(('2020'!Tnet-t)/('2020'!Tau_j))),Resal+(Salim-Resal)*(1-EXP((Tnet-t)/(Tau_j))))*Salcycl</f>
        <v>3.7792840961357245E-2</v>
      </c>
      <c r="P219" s="169">
        <f>(INDEX(Models!$BJ219:$BT219,,T219)*(1-R219)+INDEX(Models!$BJ219:$BT219,,T219+1)*R219-ERP_i)*Q219*Ramure*Pc/MaxiM</f>
        <v>1.0855793311404262E-4</v>
      </c>
      <c r="Q219" s="305">
        <f t="shared" si="77"/>
        <v>0.7</v>
      </c>
      <c r="R219" s="177">
        <f t="shared" si="78"/>
        <v>0.94298381903500095</v>
      </c>
      <c r="S219" s="810">
        <f t="shared" si="79"/>
        <v>-1</v>
      </c>
      <c r="T219" s="176">
        <f t="shared" si="80"/>
        <v>5</v>
      </c>
      <c r="U219" s="251">
        <f t="shared" si="81"/>
        <v>-5.7016180964999053E-2</v>
      </c>
      <c r="V219" s="383">
        <f t="shared" si="82"/>
        <v>57.078109394031266</v>
      </c>
      <c r="W219" s="402"/>
      <c r="X219" s="157">
        <f t="shared" si="83"/>
        <v>44401</v>
      </c>
      <c r="Y219" s="385">
        <f t="shared" si="84"/>
        <v>25.700783637854787</v>
      </c>
      <c r="Z219" s="385">
        <f t="shared" si="85"/>
        <v>26.3598264892115</v>
      </c>
      <c r="AA219" s="386">
        <f t="shared" si="86"/>
        <v>30.209446485340035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0.12743100069697305</v>
      </c>
      <c r="AD219" s="231">
        <f>(INDEX(Models!$BJ219:$BT219,,AH219)*(1-AF219)+INDEX(Models!$BJ219:$BT219,,AH219+1)*AF219-ERP_i)*AE219*Ramure*Pc/MaxiM</f>
        <v>1.0855793311404262E-4</v>
      </c>
      <c r="AE219" s="305">
        <f t="shared" si="88"/>
        <v>0.7</v>
      </c>
      <c r="AF219" s="177">
        <f t="shared" si="89"/>
        <v>0.94298381903500095</v>
      </c>
      <c r="AG219" s="810">
        <f t="shared" si="95"/>
        <v>-1</v>
      </c>
      <c r="AH219" s="176">
        <f t="shared" si="90"/>
        <v>5</v>
      </c>
      <c r="AI219" s="225">
        <f t="shared" si="91"/>
        <v>-5.7016180964999053E-2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6">
        <v>33.971000000000004</v>
      </c>
      <c r="C220" s="390"/>
      <c r="D220" s="393">
        <f t="shared" si="74"/>
        <v>34.842926101222538</v>
      </c>
      <c r="E220" s="385">
        <f t="shared" si="72"/>
        <v>36.21858019809072</v>
      </c>
      <c r="F220" s="385">
        <f t="shared" si="75"/>
        <v>36.220272815567043</v>
      </c>
      <c r="G220" s="110">
        <f t="shared" si="73"/>
        <v>0.59679846163413386</v>
      </c>
      <c r="H220" s="414" t="b">
        <f>Wh_hp&gt;='2020'!Maxi_hp</f>
        <v>0</v>
      </c>
      <c r="I220" s="380">
        <f>IF(H220,Wh_hp,'2020'!Maxi_hp)</f>
        <v>60.574640900410465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2.502447982380962E-2</v>
      </c>
      <c r="M220" s="844"/>
      <c r="N220" s="844"/>
      <c r="O220" s="48">
        <f>IF(t&lt;Tnet,'2020'!Resal+('2020'!Salim-'2020'!Resal)*(1-EXP(('2020'!Tnet-t)/('2020'!Tau_j))),Resal+(Salim-Resal)*(1-EXP((Tnet-t)/(Tau_j))))*Salcycl</f>
        <v>3.7981999552282167E-2</v>
      </c>
      <c r="P220" s="169">
        <f>(INDEX(Models!$BJ220:$BT220,,T220)*(1-R220)+INDEX(Models!$BJ220:$BT220,,T220+1)*R220-ERP_i)*Q220*Ramure*Pc/MaxiM</f>
        <v>1.1020164270958667E-4</v>
      </c>
      <c r="Q220" s="305">
        <f t="shared" si="77"/>
        <v>0.7</v>
      </c>
      <c r="R220" s="177">
        <f t="shared" si="78"/>
        <v>0.94494725982470895</v>
      </c>
      <c r="S220" s="810">
        <f t="shared" si="79"/>
        <v>-1</v>
      </c>
      <c r="T220" s="176">
        <f t="shared" si="80"/>
        <v>5</v>
      </c>
      <c r="U220" s="251">
        <f t="shared" si="81"/>
        <v>-5.5052740175291048E-2</v>
      </c>
      <c r="V220" s="383">
        <f t="shared" si="82"/>
        <v>56.918450581182938</v>
      </c>
      <c r="W220" s="402"/>
      <c r="X220" s="157">
        <f t="shared" si="83"/>
        <v>44402</v>
      </c>
      <c r="Y220" s="385">
        <f t="shared" si="84"/>
        <v>30.809097663867739</v>
      </c>
      <c r="Z220" s="385">
        <f t="shared" si="85"/>
        <v>31.599867921094209</v>
      </c>
      <c r="AA220" s="386">
        <f t="shared" si="86"/>
        <v>36.21858019809072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0.12752328367747523</v>
      </c>
      <c r="AD220" s="231">
        <f>(INDEX(Models!$BJ220:$BT220,,AH220)*(1-AF220)+INDEX(Models!$BJ220:$BT220,,AH220+1)*AF220-ERP_i)*AE220*Ramure*Pc/MaxiM</f>
        <v>1.1020164270958667E-4</v>
      </c>
      <c r="AE220" s="305">
        <f t="shared" si="88"/>
        <v>0.7</v>
      </c>
      <c r="AF220" s="177">
        <f t="shared" si="89"/>
        <v>0.94494725982470895</v>
      </c>
      <c r="AG220" s="810">
        <f t="shared" si="95"/>
        <v>-1</v>
      </c>
      <c r="AH220" s="176">
        <f t="shared" si="90"/>
        <v>5</v>
      </c>
      <c r="AI220" s="225">
        <f t="shared" si="91"/>
        <v>-5.5052740175291048E-2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6">
        <v>35.837000000000003</v>
      </c>
      <c r="C221" s="390"/>
      <c r="D221" s="393">
        <f t="shared" si="74"/>
        <v>36.757675713003039</v>
      </c>
      <c r="E221" s="385">
        <f t="shared" si="72"/>
        <v>38.216426738786915</v>
      </c>
      <c r="F221" s="385">
        <f t="shared" si="75"/>
        <v>38.218453445122584</v>
      </c>
      <c r="G221" s="110">
        <f t="shared" si="73"/>
        <v>0.63139867161012286</v>
      </c>
      <c r="H221" s="414" t="b">
        <f>Wh_hp&gt;='2020'!Maxi_hp</f>
        <v>0</v>
      </c>
      <c r="I221" s="380">
        <f>IF(H221,Wh_hp,'2020'!Maxi_hp)</f>
        <v>58.423176702352194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2.5047168928511665E-2</v>
      </c>
      <c r="M221" s="844"/>
      <c r="N221" s="844"/>
      <c r="O221" s="48">
        <f>IF(t&lt;Tnet,'2020'!Resal+('2020'!Salim-'2020'!Resal)*(1-EXP(('2020'!Tnet-t)/('2020'!Tau_j))),Resal+(Salim-Resal)*(1-EXP((Tnet-t)/(Tau_j))))*Salcycl</f>
        <v>3.8170785451883918E-2</v>
      </c>
      <c r="P221" s="169">
        <f>(INDEX(Models!$BJ221:$BT221,,T221)*(1-R221)+INDEX(Models!$BJ221:$BT221,,T221+1)*R221-ERP_i)*Q221*Ramure*Pc/MaxiM</f>
        <v>1.1199952895560524E-4</v>
      </c>
      <c r="Q221" s="305">
        <f t="shared" si="77"/>
        <v>0.7</v>
      </c>
      <c r="R221" s="177">
        <f t="shared" si="78"/>
        <v>0.9468528252469961</v>
      </c>
      <c r="S221" s="810">
        <f t="shared" si="79"/>
        <v>-1</v>
      </c>
      <c r="T221" s="176">
        <f t="shared" si="80"/>
        <v>5</v>
      </c>
      <c r="U221" s="251">
        <f t="shared" si="81"/>
        <v>-5.3147174753003956E-2</v>
      </c>
      <c r="V221" s="383">
        <f t="shared" si="82"/>
        <v>56.754770307675336</v>
      </c>
      <c r="W221" s="402"/>
      <c r="X221" s="157">
        <f t="shared" si="83"/>
        <v>44403</v>
      </c>
      <c r="Y221" s="385">
        <f t="shared" si="84"/>
        <v>32.504382773910564</v>
      </c>
      <c r="Z221" s="385">
        <f t="shared" si="85"/>
        <v>33.339441394500838</v>
      </c>
      <c r="AA221" s="386">
        <f t="shared" si="86"/>
        <v>38.216426738786915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0.12761489653705083</v>
      </c>
      <c r="AD221" s="231">
        <f>(INDEX(Models!$BJ221:$BT221,,AH221)*(1-AF221)+INDEX(Models!$BJ221:$BT221,,AH221+1)*AF221-ERP_i)*AE221*Ramure*Pc/MaxiM</f>
        <v>1.1199952895560524E-4</v>
      </c>
      <c r="AE221" s="305">
        <f t="shared" si="88"/>
        <v>0.7</v>
      </c>
      <c r="AF221" s="177">
        <f t="shared" si="89"/>
        <v>0.9468528252469961</v>
      </c>
      <c r="AG221" s="810">
        <f t="shared" si="95"/>
        <v>-1</v>
      </c>
      <c r="AH221" s="176">
        <f t="shared" si="90"/>
        <v>5</v>
      </c>
      <c r="AI221" s="225">
        <f t="shared" si="91"/>
        <v>-5.3147174753003956E-2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6">
        <v>43.755000000000003</v>
      </c>
      <c r="C222" s="390"/>
      <c r="D222" s="393">
        <f t="shared" si="74"/>
        <v>44.880138681560567</v>
      </c>
      <c r="E222" s="385">
        <f t="shared" si="72"/>
        <v>46.670377416051721</v>
      </c>
      <c r="F222" s="385">
        <f t="shared" si="75"/>
        <v>46.673973078258371</v>
      </c>
      <c r="G222" s="110">
        <f t="shared" si="73"/>
        <v>0.77320322462502089</v>
      </c>
      <c r="H222" s="414" t="b">
        <f>Wh_hp&gt;='2020'!Maxi_hp</f>
        <v>0</v>
      </c>
      <c r="I222" s="380">
        <f>IF(H222,Wh_hp,'2020'!Maxi_hp)</f>
        <v>51.148857852606113</v>
      </c>
      <c r="J222" s="85">
        <f>IF(H222,An,'2020'!An_max)</f>
        <v>2020</v>
      </c>
      <c r="K222" s="197">
        <f t="shared" si="76"/>
        <v>44404</v>
      </c>
      <c r="L222" s="147">
        <f>IF(t&lt;Tvie,1-EXP((T0-t)*PertePVj)+'2020'!Pspv,1-EXP((T0-t)*PertePVj)+Pspv)</f>
        <v>2.5069857505205073E-2</v>
      </c>
      <c r="M222" s="844"/>
      <c r="N222" s="844"/>
      <c r="O222" s="48">
        <f>IF(t&lt;Tnet,'2020'!Resal+('2020'!Salim-'2020'!Resal)*(1-EXP(('2020'!Tnet-t)/('2020'!Tau_j))),Resal+(Salim-Resal)*(1-EXP((Tnet-t)/(Tau_j))))*Salcycl</f>
        <v>3.8359208423187553E-2</v>
      </c>
      <c r="P222" s="169">
        <f>(INDEX(Models!$BJ222:$BT222,,T222)*(1-R222)+INDEX(Models!$BJ222:$BT222,,T222+1)*R222-ERP_i)*Q222*Ramure*Pc/MaxiM</f>
        <v>1.1395365509463626E-4</v>
      </c>
      <c r="Q222" s="305">
        <f t="shared" si="77"/>
        <v>0.7</v>
      </c>
      <c r="R222" s="177">
        <f t="shared" si="78"/>
        <v>0.94870149845096874</v>
      </c>
      <c r="S222" s="810">
        <f t="shared" si="79"/>
        <v>-1</v>
      </c>
      <c r="T222" s="176">
        <f t="shared" si="80"/>
        <v>5</v>
      </c>
      <c r="U222" s="251">
        <f t="shared" si="81"/>
        <v>-5.1298501549031261E-2</v>
      </c>
      <c r="V222" s="383">
        <f t="shared" si="82"/>
        <v>56.587172984712304</v>
      </c>
      <c r="W222" s="402"/>
      <c r="X222" s="157">
        <f t="shared" si="83"/>
        <v>44404</v>
      </c>
      <c r="Y222" s="385">
        <f t="shared" si="84"/>
        <v>39.689694556664598</v>
      </c>
      <c r="Z222" s="385">
        <f t="shared" si="85"/>
        <v>40.710295873200472</v>
      </c>
      <c r="AA222" s="386">
        <f t="shared" si="86"/>
        <v>46.670377416051721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0.12770587839303293</v>
      </c>
      <c r="AD222" s="231">
        <f>(INDEX(Models!$BJ222:$BT222,,AH222)*(1-AF222)+INDEX(Models!$BJ222:$BT222,,AH222+1)*AF222-ERP_i)*AE222*Ramure*Pc/MaxiM</f>
        <v>1.1395365509463626E-4</v>
      </c>
      <c r="AE222" s="305">
        <f t="shared" si="88"/>
        <v>0.7</v>
      </c>
      <c r="AF222" s="177">
        <f t="shared" si="89"/>
        <v>0.94870149845096874</v>
      </c>
      <c r="AG222" s="810">
        <f t="shared" si="95"/>
        <v>-1</v>
      </c>
      <c r="AH222" s="176">
        <f t="shared" si="90"/>
        <v>5</v>
      </c>
      <c r="AI222" s="225">
        <f t="shared" si="91"/>
        <v>-5.1298501549031261E-2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6">
        <v>25.17</v>
      </c>
      <c r="C223" s="390"/>
      <c r="D223" s="393">
        <f t="shared" si="74"/>
        <v>25.817835206009949</v>
      </c>
      <c r="E223" s="385">
        <f t="shared" si="72"/>
        <v>26.852943054400043</v>
      </c>
      <c r="F223" s="385">
        <f t="shared" si="75"/>
        <v>26.853593804523456</v>
      </c>
      <c r="G223" s="110">
        <f t="shared" si="73"/>
        <v>0.44611093039032929</v>
      </c>
      <c r="H223" s="414" t="b">
        <f>Wh_hp&gt;='2020'!Maxi_hp</f>
        <v>0</v>
      </c>
      <c r="I223" s="380">
        <f>IF(H223,Wh_hp,'2020'!Maxi_hp)</f>
        <v>57.712856761591276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2.5092545553902279E-2</v>
      </c>
      <c r="M223" s="844"/>
      <c r="N223" s="844"/>
      <c r="O223" s="48">
        <f>IF(t&lt;Tnet,'2020'!Resal+('2020'!Salim-'2020'!Resal)*(1-EXP(('2020'!Tnet-t)/('2020'!Tau_j))),Resal+(Salim-Resal)*(1-EXP((Tnet-t)/(Tau_j))))*Salcycl</f>
        <v>3.8547277529063423E-2</v>
      </c>
      <c r="P223" s="169">
        <f>(INDEX(Models!$BJ223:$BT223,,T223)*(1-R223)+INDEX(Models!$BJ223:$BT223,,T223+1)*R223-ERP_i)*Q223*Ramure*Pc/MaxiM</f>
        <v>1.1606610485743907E-4</v>
      </c>
      <c r="Q223" s="305">
        <f t="shared" si="77"/>
        <v>0.7</v>
      </c>
      <c r="R223" s="177">
        <f t="shared" si="78"/>
        <v>0.95049429796023399</v>
      </c>
      <c r="S223" s="810">
        <f t="shared" si="79"/>
        <v>-1</v>
      </c>
      <c r="T223" s="176">
        <f t="shared" si="80"/>
        <v>5</v>
      </c>
      <c r="U223" s="251">
        <f t="shared" si="81"/>
        <v>-4.9505702039766009E-2</v>
      </c>
      <c r="V223" s="383">
        <f t="shared" si="82"/>
        <v>56.415762979091205</v>
      </c>
      <c r="W223" s="402"/>
      <c r="X223" s="157">
        <f t="shared" si="83"/>
        <v>44405</v>
      </c>
      <c r="Y223" s="385">
        <f t="shared" si="84"/>
        <v>22.833538756438706</v>
      </c>
      <c r="Z223" s="385">
        <f t="shared" si="85"/>
        <v>23.421237218266818</v>
      </c>
      <c r="AA223" s="386">
        <f t="shared" si="86"/>
        <v>26.852943054400043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0.12779626535464306</v>
      </c>
      <c r="AD223" s="231">
        <f>(INDEX(Models!$BJ223:$BT223,,AH223)*(1-AF223)+INDEX(Models!$BJ223:$BT223,,AH223+1)*AF223-ERP_i)*AE223*Ramure*Pc/MaxiM</f>
        <v>1.1606610485743907E-4</v>
      </c>
      <c r="AE223" s="305">
        <f t="shared" si="88"/>
        <v>0.7</v>
      </c>
      <c r="AF223" s="177">
        <f t="shared" si="89"/>
        <v>0.95049429796023399</v>
      </c>
      <c r="AG223" s="810">
        <f t="shared" si="95"/>
        <v>-1</v>
      </c>
      <c r="AH223" s="176">
        <f t="shared" si="90"/>
        <v>5</v>
      </c>
      <c r="AI223" s="225">
        <f t="shared" si="91"/>
        <v>-4.9505702039766009E-2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6">
        <v>52.609000000000002</v>
      </c>
      <c r="C224" s="390"/>
      <c r="D224" s="393">
        <f t="shared" si="74"/>
        <v>53.964326641311203</v>
      </c>
      <c r="E224" s="385">
        <f t="shared" si="72"/>
        <v>56.13886566434563</v>
      </c>
      <c r="F224" s="385">
        <f t="shared" si="75"/>
        <v>56.14489688939927</v>
      </c>
      <c r="G224" s="110">
        <f t="shared" si="73"/>
        <v>0.93541647680307638</v>
      </c>
      <c r="H224" s="414" t="b">
        <f>Wh_hp&gt;='2020'!Maxi_hp</f>
        <v>0</v>
      </c>
      <c r="I224" s="380">
        <f>IF(H224,Wh_hp,'2020'!Maxi_hp)</f>
        <v>59.638650832887429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2.5115233074615273E-2</v>
      </c>
      <c r="M224" s="844"/>
      <c r="N224" s="844"/>
      <c r="O224" s="48">
        <f>IF(t&lt;Tnet,'2020'!Resal+('2020'!Salim-'2020'!Resal)*(1-EXP(('2020'!Tnet-t)/('2020'!Tau_j))),Resal+(Salim-Resal)*(1-EXP((Tnet-t)/(Tau_j))))*Salcycl</f>
        <v>3.8735001095960862E-2</v>
      </c>
      <c r="P224" s="169">
        <f>(INDEX(Models!$BJ224:$BT224,,T224)*(1-R224)+INDEX(Models!$BJ224:$BT224,,T224+1)*R224-ERP_i)*Q224*Ramure*Pc/MaxiM</f>
        <v>1.1833898322870888E-4</v>
      </c>
      <c r="Q224" s="305">
        <f t="shared" si="77"/>
        <v>0.7</v>
      </c>
      <c r="R224" s="177">
        <f t="shared" si="78"/>
        <v>0.95223227316346071</v>
      </c>
      <c r="S224" s="810">
        <f t="shared" si="79"/>
        <v>-1</v>
      </c>
      <c r="T224" s="176">
        <f t="shared" si="80"/>
        <v>5</v>
      </c>
      <c r="U224" s="251">
        <f t="shared" si="81"/>
        <v>-4.7767726836539293E-2</v>
      </c>
      <c r="V224" s="383">
        <f t="shared" si="82"/>
        <v>56.240644608599169</v>
      </c>
      <c r="W224" s="402"/>
      <c r="X224" s="157">
        <f t="shared" si="83"/>
        <v>44406</v>
      </c>
      <c r="Y224" s="385">
        <f t="shared" si="84"/>
        <v>47.72985671878147</v>
      </c>
      <c r="Z224" s="385">
        <f t="shared" si="85"/>
        <v>48.959485611117969</v>
      </c>
      <c r="AA224" s="386">
        <f t="shared" si="86"/>
        <v>56.13886566434563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0.12788609046989274</v>
      </c>
      <c r="AD224" s="231">
        <f>(INDEX(Models!$BJ224:$BT224,,AH224)*(1-AF224)+INDEX(Models!$BJ224:$BT224,,AH224+1)*AF224-ERP_i)*AE224*Ramure*Pc/MaxiM</f>
        <v>1.1833898322870888E-4</v>
      </c>
      <c r="AE224" s="305">
        <f t="shared" si="88"/>
        <v>0.7</v>
      </c>
      <c r="AF224" s="177">
        <f t="shared" si="89"/>
        <v>0.95223227316346071</v>
      </c>
      <c r="AG224" s="810">
        <f t="shared" si="95"/>
        <v>-1</v>
      </c>
      <c r="AH224" s="176">
        <f t="shared" si="90"/>
        <v>5</v>
      </c>
      <c r="AI224" s="225">
        <f t="shared" si="91"/>
        <v>-4.7767726836539293E-2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6">
        <v>18.350999999999999</v>
      </c>
      <c r="C225" s="390"/>
      <c r="D225" s="393">
        <f t="shared" si="74"/>
        <v>18.824201266776047</v>
      </c>
      <c r="E225" s="385">
        <f t="shared" si="72"/>
        <v>19.586556804546195</v>
      </c>
      <c r="F225" s="385">
        <f t="shared" si="75"/>
        <v>19.586649178138472</v>
      </c>
      <c r="G225" s="110">
        <f t="shared" si="73"/>
        <v>0.32729648757202667</v>
      </c>
      <c r="H225" s="414" t="b">
        <f>Wh_hp&gt;='2020'!Maxi_hp</f>
        <v>0</v>
      </c>
      <c r="I225" s="380">
        <f>IF(H225,Wh_hp,'2020'!Maxi_hp)</f>
        <v>52.922691324302164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2.5137920067356601E-2</v>
      </c>
      <c r="M225" s="844"/>
      <c r="N225" s="844"/>
      <c r="O225" s="48">
        <f>IF(t&lt;Tnet,'2020'!Resal+('2020'!Salim-'2020'!Resal)*(1-EXP(('2020'!Tnet-t)/('2020'!Tau_j))),Resal+(Salim-Resal)*(1-EXP((Tnet-t)/(Tau_j))))*Salcycl</f>
        <v>3.8922386684789763E-2</v>
      </c>
      <c r="P225" s="169">
        <f>(INDEX(Models!$BJ225:$BT225,,T225)*(1-R225)+INDEX(Models!$BJ225:$BT225,,T225+1)*R225-ERP_i)*Q225*Ramure*Pc/MaxiM</f>
        <v>1.207744169959744E-4</v>
      </c>
      <c r="Q225" s="305">
        <f t="shared" si="77"/>
        <v>0.7</v>
      </c>
      <c r="R225" s="177">
        <f t="shared" si="78"/>
        <v>0.95391650000096662</v>
      </c>
      <c r="S225" s="810">
        <f t="shared" si="79"/>
        <v>-1</v>
      </c>
      <c r="T225" s="176">
        <f t="shared" si="80"/>
        <v>5</v>
      </c>
      <c r="U225" s="251">
        <f t="shared" si="81"/>
        <v>-4.6083499999033384E-2</v>
      </c>
      <c r="V225" s="383">
        <f t="shared" si="82"/>
        <v>56.061922145362665</v>
      </c>
      <c r="W225" s="402"/>
      <c r="X225" s="157">
        <f t="shared" si="83"/>
        <v>44407</v>
      </c>
      <c r="Y225" s="385">
        <f t="shared" si="84"/>
        <v>16.650605020940695</v>
      </c>
      <c r="Z225" s="385">
        <f t="shared" si="85"/>
        <v>17.079959682185137</v>
      </c>
      <c r="AA225" s="386">
        <f t="shared" si="86"/>
        <v>19.586556804546195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0.12797538369680453</v>
      </c>
      <c r="AD225" s="231">
        <f>(INDEX(Models!$BJ225:$BT225,,AH225)*(1-AF225)+INDEX(Models!$BJ225:$BT225,,AH225+1)*AF225-ERP_i)*AE225*Ramure*Pc/MaxiM</f>
        <v>1.207744169959744E-4</v>
      </c>
      <c r="AE225" s="305">
        <f t="shared" si="88"/>
        <v>0.7</v>
      </c>
      <c r="AF225" s="177">
        <f t="shared" si="89"/>
        <v>0.95391650000096662</v>
      </c>
      <c r="AG225" s="810">
        <f t="shared" si="95"/>
        <v>-1</v>
      </c>
      <c r="AH225" s="176">
        <f t="shared" si="90"/>
        <v>5</v>
      </c>
      <c r="AI225" s="225">
        <f t="shared" si="91"/>
        <v>-4.6083499999033384E-2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6">
        <v>12.933</v>
      </c>
      <c r="C226" s="390"/>
      <c r="D226" s="393">
        <f t="shared" si="74"/>
        <v>13.26680075370423</v>
      </c>
      <c r="E226" s="385">
        <f t="shared" si="72"/>
        <v>13.806776047900842</v>
      </c>
      <c r="F226" s="385">
        <f t="shared" si="75"/>
        <v>13.806776047900842</v>
      </c>
      <c r="G226" s="110">
        <f t="shared" si="73"/>
        <v>0.23141506555070554</v>
      </c>
      <c r="H226" s="414" t="b">
        <f>Wh_hp&gt;='2020'!Maxi_hp</f>
        <v>0</v>
      </c>
      <c r="I226" s="380">
        <f>IF(H226,Wh_hp,'2020'!Maxi_hp)</f>
        <v>56.416741989980181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2.5160606532138474E-2</v>
      </c>
      <c r="M226" s="844"/>
      <c r="N226" s="844"/>
      <c r="O226" s="48">
        <f>IF(t&lt;Tnet,'2020'!Resal+('2020'!Salim-'2020'!Resal)*(1-EXP(('2020'!Tnet-t)/('2020'!Tau_j))),Resal+(Salim-Resal)*(1-EXP((Tnet-t)/(Tau_j))))*Salcycl</f>
        <v>3.9109441068880736E-2</v>
      </c>
      <c r="P226" s="169">
        <f>(INDEX(Models!$BJ226:$BT226,,T226)*(1-R226)+INDEX(Models!$BJ226:$BT226,,T226+1)*R226-ERP_i)*Q226*Ramure*Pc/MaxiM</f>
        <v>1.2353131202958519E-4</v>
      </c>
      <c r="Q226" s="305">
        <f t="shared" si="77"/>
        <v>0.7</v>
      </c>
      <c r="R226" s="177">
        <f t="shared" si="78"/>
        <v>0.95554807685334509</v>
      </c>
      <c r="S226" s="810">
        <f t="shared" si="79"/>
        <v>-1</v>
      </c>
      <c r="T226" s="176">
        <f t="shared" si="80"/>
        <v>5</v>
      </c>
      <c r="U226" s="251">
        <f t="shared" si="81"/>
        <v>-4.4451923146654915E-2</v>
      </c>
      <c r="V226" s="383">
        <f t="shared" si="82"/>
        <v>55.879691059734014</v>
      </c>
      <c r="W226" s="402"/>
      <c r="X226" s="157">
        <f t="shared" si="83"/>
        <v>44408</v>
      </c>
      <c r="Y226" s="385">
        <f t="shared" si="84"/>
        <v>11.735723657631713</v>
      </c>
      <c r="Z226" s="385">
        <f t="shared" si="85"/>
        <v>12.038622706744992</v>
      </c>
      <c r="AA226" s="386">
        <f t="shared" si="86"/>
        <v>13.806776047900842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0.12806417189802094</v>
      </c>
      <c r="AD226" s="231">
        <f>(INDEX(Models!$BJ226:$BT226,,AH226)*(1-AF226)+INDEX(Models!$BJ226:$BT226,,AH226+1)*AF226-ERP_i)*AE226*Ramure*Pc/MaxiM</f>
        <v>1.2353131202958519E-4</v>
      </c>
      <c r="AE226" s="305">
        <f t="shared" si="88"/>
        <v>0.7</v>
      </c>
      <c r="AF226" s="177">
        <f t="shared" si="89"/>
        <v>0.95554807685334509</v>
      </c>
      <c r="AG226" s="810">
        <f t="shared" si="95"/>
        <v>-1</v>
      </c>
      <c r="AH226" s="176">
        <f t="shared" si="90"/>
        <v>5</v>
      </c>
      <c r="AI226" s="225">
        <f t="shared" si="91"/>
        <v>-4.4451923146654915E-2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6">
        <v>46.288000000000004</v>
      </c>
      <c r="C227" s="390"/>
      <c r="D227" s="393">
        <f t="shared" si="74"/>
        <v>47.483798382196618</v>
      </c>
      <c r="E227" s="385">
        <f t="shared" si="72"/>
        <v>49.42605297307383</v>
      </c>
      <c r="F227" s="385">
        <f t="shared" si="75"/>
        <v>49.430796305822689</v>
      </c>
      <c r="G227" s="110">
        <f t="shared" si="73"/>
        <v>0.83108655829495071</v>
      </c>
      <c r="H227" s="414" t="b">
        <f>Wh_hp&gt;='2020'!Maxi_hp</f>
        <v>0</v>
      </c>
      <c r="I227" s="380">
        <f>IF(H227,Wh_hp,'2020'!Maxi_hp)</f>
        <v>53.847167639526077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2.5183292468973217E-2</v>
      </c>
      <c r="M227" s="844"/>
      <c r="N227" s="844"/>
      <c r="O227" s="48">
        <f>IF(t&lt;Tnet,'2020'!Resal+('2020'!Salim-'2020'!Resal)*(1-EXP(('2020'!Tnet-t)/('2020'!Tau_j))),Resal+(Salim-Resal)*(1-EXP((Tnet-t)/(Tau_j))))*Salcycl</f>
        <v>3.9296170218878421E-2</v>
      </c>
      <c r="P227" s="169">
        <f>(INDEX(Models!$BJ227:$BT227,,T227)*(1-R227)+INDEX(Models!$BJ227:$BT227,,T227+1)*R227-ERP_i)*Q227*Ramure*Pc/MaxiM</f>
        <v>1.2647304516198789E-4</v>
      </c>
      <c r="Q227" s="305">
        <f t="shared" si="77"/>
        <v>0.7</v>
      </c>
      <c r="R227" s="177">
        <f t="shared" si="78"/>
        <v>0.9571281206362805</v>
      </c>
      <c r="S227" s="810">
        <f t="shared" si="79"/>
        <v>-1</v>
      </c>
      <c r="T227" s="176">
        <f t="shared" si="80"/>
        <v>5</v>
      </c>
      <c r="U227" s="251">
        <f t="shared" si="81"/>
        <v>-4.2871879363719501E-2</v>
      </c>
      <c r="V227" s="383">
        <f t="shared" si="82"/>
        <v>55.694063357332645</v>
      </c>
      <c r="W227" s="402"/>
      <c r="X227" s="157">
        <f t="shared" si="83"/>
        <v>44409</v>
      </c>
      <c r="Y227" s="385">
        <f t="shared" si="84"/>
        <v>42.006783784583298</v>
      </c>
      <c r="Z227" s="385">
        <f t="shared" si="85"/>
        <v>43.09198176442446</v>
      </c>
      <c r="AA227" s="386">
        <f t="shared" si="86"/>
        <v>49.42605297307383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0.12815247885765876</v>
      </c>
      <c r="AD227" s="231">
        <f>(INDEX(Models!$BJ227:$BT227,,AH227)*(1-AF227)+INDEX(Models!$BJ227:$BT227,,AH227+1)*AF227-ERP_i)*AE227*Ramure*Pc/MaxiM</f>
        <v>1.2647304516198789E-4</v>
      </c>
      <c r="AE227" s="305">
        <f t="shared" si="88"/>
        <v>0.7</v>
      </c>
      <c r="AF227" s="177">
        <f t="shared" si="89"/>
        <v>0.9571281206362805</v>
      </c>
      <c r="AG227" s="810">
        <f t="shared" si="95"/>
        <v>-1</v>
      </c>
      <c r="AH227" s="176">
        <f t="shared" si="90"/>
        <v>5</v>
      </c>
      <c r="AI227" s="225">
        <f t="shared" si="91"/>
        <v>-4.2871879363719501E-2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6">
        <v>50.164999999999999</v>
      </c>
      <c r="C228" s="390"/>
      <c r="D228" s="393">
        <f t="shared" si="74"/>
        <v>51.462153913080812</v>
      </c>
      <c r="E228" s="385">
        <f t="shared" si="72"/>
        <v>53.577533112594395</v>
      </c>
      <c r="F228" s="385">
        <f t="shared" si="75"/>
        <v>53.583523161835743</v>
      </c>
      <c r="G228" s="110">
        <f t="shared" si="73"/>
        <v>0.90377401870799023</v>
      </c>
      <c r="H228" s="414" t="b">
        <f>Wh_hp&gt;='2020'!Maxi_hp</f>
        <v>0</v>
      </c>
      <c r="I228" s="380">
        <f>IF(H228,Wh_hp,'2020'!Maxi_hp)</f>
        <v>56.294697850962315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2.5205977877873043E-2</v>
      </c>
      <c r="M228" s="844"/>
      <c r="N228" s="844"/>
      <c r="O228" s="48">
        <f>IF(t&lt;Tnet,'2020'!Resal+('2020'!Salim-'2020'!Resal)*(1-EXP(('2020'!Tnet-t)/('2020'!Tau_j))),Resal+(Salim-Resal)*(1-EXP((Tnet-t)/(Tau_j))))*Salcycl</f>
        <v>3.9482579294348424E-2</v>
      </c>
      <c r="P228" s="169">
        <f>(INDEX(Models!$BJ228:$BT228,,T228)*(1-R228)+INDEX(Models!$BJ228:$BT228,,T228+1)*R228-ERP_i)*Q228*Ramure*Pc/MaxiM</f>
        <v>1.2960183933392831E-4</v>
      </c>
      <c r="Q228" s="305">
        <f t="shared" si="77"/>
        <v>0.7</v>
      </c>
      <c r="R228" s="177">
        <f t="shared" si="78"/>
        <v>0.95865776310398987</v>
      </c>
      <c r="S228" s="810">
        <f t="shared" si="79"/>
        <v>-1</v>
      </c>
      <c r="T228" s="176">
        <f t="shared" si="80"/>
        <v>5</v>
      </c>
      <c r="U228" s="251">
        <f t="shared" si="81"/>
        <v>-4.1342236896010076E-2</v>
      </c>
      <c r="V228" s="383">
        <f t="shared" si="82"/>
        <v>55.505143189937904</v>
      </c>
      <c r="W228" s="402"/>
      <c r="X228" s="157">
        <f t="shared" si="83"/>
        <v>44410</v>
      </c>
      <c r="Y228" s="385">
        <f t="shared" si="84"/>
        <v>45.529443961818949</v>
      </c>
      <c r="Z228" s="385">
        <f t="shared" si="85"/>
        <v>46.706732836442036</v>
      </c>
      <c r="AA228" s="386">
        <f t="shared" si="86"/>
        <v>53.577533112594395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0.12824032531907018</v>
      </c>
      <c r="AD228" s="231">
        <f>(INDEX(Models!$BJ228:$BT228,,AH228)*(1-AF228)+INDEX(Models!$BJ228:$BT228,,AH228+1)*AF228-ERP_i)*AE228*Ramure*Pc/MaxiM</f>
        <v>1.2960183933392831E-4</v>
      </c>
      <c r="AE228" s="305">
        <f t="shared" si="88"/>
        <v>0.7</v>
      </c>
      <c r="AF228" s="177">
        <f t="shared" si="89"/>
        <v>0.95865776310398987</v>
      </c>
      <c r="AG228" s="810">
        <f t="shared" si="95"/>
        <v>-1</v>
      </c>
      <c r="AH228" s="176">
        <f t="shared" si="90"/>
        <v>5</v>
      </c>
      <c r="AI228" s="225">
        <f t="shared" si="91"/>
        <v>-4.1342236896010076E-2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6">
        <v>35.423999999999999</v>
      </c>
      <c r="C229" s="390"/>
      <c r="D229" s="393">
        <f t="shared" si="74"/>
        <v>36.340830558537867</v>
      </c>
      <c r="E229" s="385">
        <f t="shared" si="72"/>
        <v>37.841971331404011</v>
      </c>
      <c r="F229" s="385">
        <f t="shared" si="75"/>
        <v>37.844417682978133</v>
      </c>
      <c r="G229" s="110">
        <f t="shared" si="73"/>
        <v>0.64038397799910285</v>
      </c>
      <c r="H229" s="414" t="b">
        <f>Wh_hp&gt;='2020'!Maxi_hp</f>
        <v>0</v>
      </c>
      <c r="I229" s="380">
        <f>IF(H229,Wh_hp,'2020'!Maxi_hp)</f>
        <v>56.763758259198227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2.5228662758850162E-2</v>
      </c>
      <c r="M229" s="844"/>
      <c r="N229" s="844"/>
      <c r="O229" s="48">
        <f>IF(t&lt;Tnet,'2020'!Resal+('2020'!Salim-'2020'!Resal)*(1-EXP(('2020'!Tnet-t)/('2020'!Tau_j))),Resal+(Salim-Resal)*(1-EXP((Tnet-t)/(Tau_j))))*Salcycl</f>
        <v>3.9668672641807977E-2</v>
      </c>
      <c r="P229" s="169">
        <f>(INDEX(Models!$BJ229:$BT229,,T229)*(1-R229)+INDEX(Models!$BJ229:$BT229,,T229+1)*R229-ERP_i)*Q229*Ramure*Pc/MaxiM</f>
        <v>1.3291995443026654E-4</v>
      </c>
      <c r="Q229" s="305">
        <f t="shared" si="77"/>
        <v>0.7</v>
      </c>
      <c r="R229" s="177">
        <f t="shared" si="78"/>
        <v>0.96013814736216829</v>
      </c>
      <c r="S229" s="810">
        <f t="shared" si="79"/>
        <v>-1</v>
      </c>
      <c r="T229" s="176">
        <f t="shared" si="80"/>
        <v>5</v>
      </c>
      <c r="U229" s="251">
        <f t="shared" si="81"/>
        <v>-3.9861852637831707E-2</v>
      </c>
      <c r="V229" s="383">
        <f t="shared" si="82"/>
        <v>55.313034670186347</v>
      </c>
      <c r="W229" s="402"/>
      <c r="X229" s="157">
        <f t="shared" si="83"/>
        <v>44411</v>
      </c>
      <c r="Y229" s="385">
        <f t="shared" si="84"/>
        <v>32.153609537408407</v>
      </c>
      <c r="Z229" s="385">
        <f t="shared" si="85"/>
        <v>32.985797087972735</v>
      </c>
      <c r="AA229" s="386">
        <f t="shared" si="86"/>
        <v>37.841971331404011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0.12832772904199286</v>
      </c>
      <c r="AD229" s="231">
        <f>(INDEX(Models!$BJ229:$BT229,,AH229)*(1-AF229)+INDEX(Models!$BJ229:$BT229,,AH229+1)*AF229-ERP_i)*AE229*Ramure*Pc/MaxiM</f>
        <v>1.3291995443026654E-4</v>
      </c>
      <c r="AE229" s="305">
        <f t="shared" si="88"/>
        <v>0.7</v>
      </c>
      <c r="AF229" s="177">
        <f t="shared" si="89"/>
        <v>0.96013814736216829</v>
      </c>
      <c r="AG229" s="810">
        <f t="shared" si="95"/>
        <v>-1</v>
      </c>
      <c r="AH229" s="176">
        <f t="shared" si="90"/>
        <v>5</v>
      </c>
      <c r="AI229" s="225">
        <f t="shared" si="91"/>
        <v>-3.9861852637831707E-2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6">
        <v>37.727000000000004</v>
      </c>
      <c r="C230" s="390"/>
      <c r="D230" s="393">
        <f t="shared" si="74"/>
        <v>38.704336639213267</v>
      </c>
      <c r="E230" s="385">
        <f t="shared" si="72"/>
        <v>40.310905770846198</v>
      </c>
      <c r="F230" s="385">
        <f t="shared" si="75"/>
        <v>40.313926685512627</v>
      </c>
      <c r="G230" s="110">
        <f t="shared" si="73"/>
        <v>0.68443680904339976</v>
      </c>
      <c r="H230" s="414" t="b">
        <f>Wh_hp&gt;='2020'!Maxi_hp</f>
        <v>0</v>
      </c>
      <c r="I230" s="380">
        <f>IF(H230,Wh_hp,'2020'!Maxi_hp)</f>
        <v>53.506957790186448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2.5251347111917122E-2</v>
      </c>
      <c r="M230" s="844"/>
      <c r="N230" s="844"/>
      <c r="O230" s="48">
        <f>IF(t&lt;Tnet,'2020'!Resal+('2020'!Salim-'2020'!Resal)*(1-EXP(('2020'!Tnet-t)/('2020'!Tau_j))),Resal+(Salim-Resal)*(1-EXP((Tnet-t)/(Tau_j))))*Salcycl</f>
        <v>3.9854453798823804E-2</v>
      </c>
      <c r="P230" s="169">
        <f>(INDEX(Models!$BJ230:$BT230,,T230)*(1-R230)+INDEX(Models!$BJ230:$BT230,,T230+1)*R230-ERP_i)*Q230*Ramure*Pc/MaxiM</f>
        <v>1.3642968624543727E-4</v>
      </c>
      <c r="Q230" s="305">
        <f t="shared" si="77"/>
        <v>0.7</v>
      </c>
      <c r="R230" s="177">
        <f t="shared" si="78"/>
        <v>0.96157042458990971</v>
      </c>
      <c r="S230" s="810">
        <f t="shared" si="79"/>
        <v>-1</v>
      </c>
      <c r="T230" s="176">
        <f t="shared" si="80"/>
        <v>5</v>
      </c>
      <c r="U230" s="251">
        <f t="shared" si="81"/>
        <v>-3.8429575410090289E-2</v>
      </c>
      <c r="V230" s="383">
        <f t="shared" si="82"/>
        <v>55.117841864773496</v>
      </c>
      <c r="W230" s="402"/>
      <c r="X230" s="157">
        <f t="shared" si="83"/>
        <v>44412</v>
      </c>
      <c r="Y230" s="385">
        <f t="shared" si="84"/>
        <v>34.247201957233429</v>
      </c>
      <c r="Z230" s="385">
        <f t="shared" si="85"/>
        <v>35.134392702941824</v>
      </c>
      <c r="AA230" s="386">
        <f t="shared" si="86"/>
        <v>40.310905770846198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0.12841470487741174</v>
      </c>
      <c r="AD230" s="231">
        <f>(INDEX(Models!$BJ230:$BT230,,AH230)*(1-AF230)+INDEX(Models!$BJ230:$BT230,,AH230+1)*AF230-ERP_i)*AE230*Ramure*Pc/MaxiM</f>
        <v>1.3642968624543727E-4</v>
      </c>
      <c r="AE230" s="305">
        <f t="shared" si="88"/>
        <v>0.7</v>
      </c>
      <c r="AF230" s="177">
        <f t="shared" si="89"/>
        <v>0.96157042458990971</v>
      </c>
      <c r="AG230" s="810">
        <f t="shared" si="95"/>
        <v>-1</v>
      </c>
      <c r="AH230" s="176">
        <f t="shared" si="90"/>
        <v>5</v>
      </c>
      <c r="AI230" s="225">
        <f t="shared" si="91"/>
        <v>-3.8429575410090289E-2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6">
        <v>50.055</v>
      </c>
      <c r="C231" s="390"/>
      <c r="D231" s="393">
        <f t="shared" si="74"/>
        <v>51.352894648043566</v>
      </c>
      <c r="E231" s="385">
        <f t="shared" si="72"/>
        <v>53.494823391475009</v>
      </c>
      <c r="F231" s="385">
        <f t="shared" si="75"/>
        <v>53.501372008075776</v>
      </c>
      <c r="G231" s="110">
        <f t="shared" si="73"/>
        <v>0.91140593871602915</v>
      </c>
      <c r="H231" s="414" t="b">
        <f>Wh_hp&gt;='2020'!Maxi_hp</f>
        <v>0</v>
      </c>
      <c r="I231" s="380">
        <f>IF(H231,Wh_hp,'2020'!Maxi_hp)</f>
        <v>59.003544823424903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2.5274030937085912E-2</v>
      </c>
      <c r="M231" s="844"/>
      <c r="N231" s="844"/>
      <c r="O231" s="48">
        <f>IF(t&lt;Tnet,'2020'!Resal+('2020'!Salim-'2020'!Resal)*(1-EXP(('2020'!Tnet-t)/('2020'!Tau_j))),Resal+(Salim-Resal)*(1-EXP((Tnet-t)/(Tau_j))))*Salcycl</f>
        <v>4.0039925503759698E-2</v>
      </c>
      <c r="P231" s="169">
        <f>(INDEX(Models!$BJ231:$BT231,,T231)*(1-R231)+INDEX(Models!$BJ231:$BT231,,T231+1)*R231-ERP_i)*Q231*Ramure*Pc/MaxiM</f>
        <v>1.4013336515805467E-4</v>
      </c>
      <c r="Q231" s="305">
        <f t="shared" si="77"/>
        <v>0.7</v>
      </c>
      <c r="R231" s="177">
        <f t="shared" si="78"/>
        <v>0.96295575096882358</v>
      </c>
      <c r="S231" s="810">
        <f t="shared" si="79"/>
        <v>-1</v>
      </c>
      <c r="T231" s="176">
        <f t="shared" si="80"/>
        <v>5</v>
      </c>
      <c r="U231" s="251">
        <f t="shared" si="81"/>
        <v>-3.7044249031176424E-2</v>
      </c>
      <c r="V231" s="383">
        <f t="shared" si="82"/>
        <v>54.919668796319435</v>
      </c>
      <c r="W231" s="402"/>
      <c r="X231" s="157">
        <f t="shared" si="83"/>
        <v>44413</v>
      </c>
      <c r="Y231" s="385">
        <f t="shared" si="84"/>
        <v>45.44237864310039</v>
      </c>
      <c r="Z231" s="385">
        <f t="shared" si="85"/>
        <v>46.62067092229826</v>
      </c>
      <c r="AA231" s="386">
        <f t="shared" si="86"/>
        <v>53.494823391475009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0.12850126485831559</v>
      </c>
      <c r="AD231" s="231">
        <f>(INDEX(Models!$BJ231:$BT231,,AH231)*(1-AF231)+INDEX(Models!$BJ231:$BT231,,AH231+1)*AF231-ERP_i)*AE231*Ramure*Pc/MaxiM</f>
        <v>1.4013336515805467E-4</v>
      </c>
      <c r="AE231" s="305">
        <f t="shared" si="88"/>
        <v>0.7</v>
      </c>
      <c r="AF231" s="177">
        <f t="shared" si="89"/>
        <v>0.96295575096882358</v>
      </c>
      <c r="AG231" s="810">
        <f t="shared" si="95"/>
        <v>-1</v>
      </c>
      <c r="AH231" s="176">
        <f t="shared" si="90"/>
        <v>5</v>
      </c>
      <c r="AI231" s="225">
        <f t="shared" si="91"/>
        <v>-3.7044249031176424E-2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6">
        <v>20.768000000000001</v>
      </c>
      <c r="C232" s="390"/>
      <c r="D232" s="393">
        <f t="shared" si="74"/>
        <v>21.306997014672728</v>
      </c>
      <c r="E232" s="385">
        <f t="shared" si="72"/>
        <v>22.199993755046446</v>
      </c>
      <c r="F232" s="385">
        <f t="shared" si="75"/>
        <v>22.200357100792253</v>
      </c>
      <c r="G232" s="110">
        <f t="shared" si="73"/>
        <v>0.37949328377180991</v>
      </c>
      <c r="H232" s="414" t="b">
        <f>Wh_hp&gt;='2020'!Maxi_hp</f>
        <v>0</v>
      </c>
      <c r="I232" s="380">
        <f>IF(H232,Wh_hp,'2020'!Maxi_hp)</f>
        <v>58.033046610049119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2.5296714234368967E-2</v>
      </c>
      <c r="M232" s="844"/>
      <c r="N232" s="844"/>
      <c r="O232" s="48">
        <f>IF(t&lt;Tnet,'2020'!Resal+('2020'!Salim-'2020'!Resal)*(1-EXP(('2020'!Tnet-t)/('2020'!Tau_j))),Resal+(Salim-Resal)*(1-EXP((Tnet-t)/(Tau_j))))*Salcycl</f>
        <v>4.0225089710699866E-2</v>
      </c>
      <c r="P232" s="169">
        <f>(INDEX(Models!$BJ232:$BT232,,T232)*(1-R232)+INDEX(Models!$BJ232:$BT232,,T232+1)*R232-ERP_i)*Q232*Ramure*Pc/MaxiM</f>
        <v>1.440333545521897E-4</v>
      </c>
      <c r="Q232" s="305">
        <f t="shared" si="77"/>
        <v>0.7</v>
      </c>
      <c r="R232" s="177">
        <f t="shared" si="78"/>
        <v>0.96429528481644877</v>
      </c>
      <c r="S232" s="810">
        <f t="shared" si="79"/>
        <v>-1</v>
      </c>
      <c r="T232" s="176">
        <f t="shared" si="80"/>
        <v>5</v>
      </c>
      <c r="U232" s="251">
        <f t="shared" si="81"/>
        <v>-3.5704715183551172E-2</v>
      </c>
      <c r="V232" s="383">
        <f t="shared" si="82"/>
        <v>54.718619439981673</v>
      </c>
      <c r="W232" s="402"/>
      <c r="X232" s="157">
        <f t="shared" si="83"/>
        <v>44414</v>
      </c>
      <c r="Y232" s="385">
        <f t="shared" si="84"/>
        <v>18.855979983055445</v>
      </c>
      <c r="Z232" s="385">
        <f t="shared" si="85"/>
        <v>19.345353871710859</v>
      </c>
      <c r="AA232" s="386">
        <f t="shared" si="86"/>
        <v>22.199993755046446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0.12858741830441622</v>
      </c>
      <c r="AD232" s="231">
        <f>(INDEX(Models!$BJ232:$BT232,,AH232)*(1-AF232)+INDEX(Models!$BJ232:$BT232,,AH232+1)*AF232-ERP_i)*AE232*Ramure*Pc/MaxiM</f>
        <v>1.440333545521897E-4</v>
      </c>
      <c r="AE232" s="305">
        <f t="shared" si="88"/>
        <v>0.7</v>
      </c>
      <c r="AF232" s="177">
        <f t="shared" si="89"/>
        <v>0.96429528481644877</v>
      </c>
      <c r="AG232" s="810">
        <f t="shared" si="95"/>
        <v>-1</v>
      </c>
      <c r="AH232" s="176">
        <f t="shared" si="90"/>
        <v>5</v>
      </c>
      <c r="AI232" s="225">
        <f t="shared" si="91"/>
        <v>-3.5704715183551172E-2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6">
        <v>24.481999999999999</v>
      </c>
      <c r="C233" s="390"/>
      <c r="D233" s="393">
        <f t="shared" si="74"/>
        <v>25.117971902529909</v>
      </c>
      <c r="E233" s="385">
        <f t="shared" ref="E233:E296" si="96">Wh_pvt/(1-Psa)</f>
        <v>26.175731855435959</v>
      </c>
      <c r="F233" s="385">
        <f t="shared" si="75"/>
        <v>26.176557709573352</v>
      </c>
      <c r="G233" s="110">
        <f t="shared" ref="G233:G296" si="97">+Wh_hp/MaxiM</f>
        <v>0.44903517186369701</v>
      </c>
      <c r="H233" s="414" t="b">
        <f>Wh_hp&gt;='2020'!Maxi_hp</f>
        <v>0</v>
      </c>
      <c r="I233" s="380">
        <f>IF(H233,Wh_hp,'2020'!Maxi_hp)</f>
        <v>55.89479501291283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2.531939700377861E-2</v>
      </c>
      <c r="M233" s="844"/>
      <c r="N233" s="844"/>
      <c r="O233" s="48">
        <f>IF(t&lt;Tnet,'2020'!Resal+('2020'!Salim-'2020'!Resal)*(1-EXP(('2020'!Tnet-t)/('2020'!Tau_j))),Resal+(Salim-Resal)*(1-EXP((Tnet-t)/(Tau_j))))*Salcycl</f>
        <v>4.0409947609024818E-2</v>
      </c>
      <c r="P233" s="169">
        <f>(INDEX(Models!$BJ233:$BT233,,T233)*(1-R233)+INDEX(Models!$BJ233:$BT233,,T233+1)*R233-ERP_i)*Q233*Ramure*Pc/MaxiM</f>
        <v>1.4813153963670478E-4</v>
      </c>
      <c r="Q233" s="305">
        <f t="shared" si="77"/>
        <v>0.7</v>
      </c>
      <c r="R233" s="177">
        <f t="shared" si="78"/>
        <v>0.96559018392009976</v>
      </c>
      <c r="S233" s="810">
        <f t="shared" si="79"/>
        <v>-1</v>
      </c>
      <c r="T233" s="176">
        <f t="shared" si="80"/>
        <v>5</v>
      </c>
      <c r="U233" s="251">
        <f t="shared" si="81"/>
        <v>-3.4409816079900291E-2</v>
      </c>
      <c r="V233" s="383">
        <f t="shared" si="82"/>
        <v>54.514985193456887</v>
      </c>
      <c r="W233" s="402"/>
      <c r="X233" s="157">
        <f t="shared" si="83"/>
        <v>44415</v>
      </c>
      <c r="Y233" s="385">
        <f t="shared" si="84"/>
        <v>22.230142289868997</v>
      </c>
      <c r="Z233" s="385">
        <f t="shared" si="85"/>
        <v>22.807617409777446</v>
      </c>
      <c r="AA233" s="386">
        <f t="shared" si="86"/>
        <v>26.175731855435959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0.12867317193880293</v>
      </c>
      <c r="AD233" s="231">
        <f>(INDEX(Models!$BJ233:$BT233,,AH233)*(1-AF233)+INDEX(Models!$BJ233:$BT233,,AH233+1)*AF233-ERP_i)*AE233*Ramure*Pc/MaxiM</f>
        <v>1.4813153963670478E-4</v>
      </c>
      <c r="AE233" s="305">
        <f t="shared" si="88"/>
        <v>0.7</v>
      </c>
      <c r="AF233" s="177">
        <f t="shared" si="89"/>
        <v>0.96559018392009976</v>
      </c>
      <c r="AG233" s="810">
        <f t="shared" si="95"/>
        <v>-1</v>
      </c>
      <c r="AH233" s="176">
        <f t="shared" si="90"/>
        <v>5</v>
      </c>
      <c r="AI233" s="225">
        <f t="shared" si="91"/>
        <v>-3.4409816079900291E-2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6">
        <v>39.747</v>
      </c>
      <c r="C234" s="390"/>
      <c r="D234" s="393">
        <f t="shared" si="74"/>
        <v>40.78046169185604</v>
      </c>
      <c r="E234" s="385">
        <f t="shared" si="96"/>
        <v>42.505970287698538</v>
      </c>
      <c r="F234" s="385">
        <f t="shared" si="75"/>
        <v>42.509978171738041</v>
      </c>
      <c r="G234" s="110">
        <f t="shared" si="97"/>
        <v>0.73182706850406898</v>
      </c>
      <c r="H234" s="414" t="b">
        <f>Wh_hp&gt;='2020'!Maxi_hp</f>
        <v>0</v>
      </c>
      <c r="I234" s="380">
        <f>IF(H234,Wh_hp,'2020'!Maxi_hp)</f>
        <v>54.968585302441141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2.5342079245327054E-2</v>
      </c>
      <c r="M234" s="844"/>
      <c r="N234" s="844"/>
      <c r="O234" s="48">
        <f>IF(t&lt;Tnet,'2020'!Resal+('2020'!Salim-'2020'!Resal)*(1-EXP(('2020'!Tnet-t)/('2020'!Tau_j))),Resal+(Salim-Resal)*(1-EXP((Tnet-t)/(Tau_j))))*Salcycl</f>
        <v>4.0594499647073581E-2</v>
      </c>
      <c r="P234" s="169">
        <f>(INDEX(Models!$BJ234:$BT234,,T234)*(1-R234)+INDEX(Models!$BJ234:$BT234,,T234+1)*R234-ERP_i)*Q234*Ramure*Pc/MaxiM</f>
        <v>1.5281618615006426E-4</v>
      </c>
      <c r="Q234" s="305">
        <f t="shared" si="77"/>
        <v>0.7</v>
      </c>
      <c r="R234" s="177">
        <f t="shared" si="78"/>
        <v>0.96684160306643685</v>
      </c>
      <c r="S234" s="810">
        <f t="shared" si="79"/>
        <v>-1</v>
      </c>
      <c r="T234" s="176">
        <f t="shared" si="80"/>
        <v>5</v>
      </c>
      <c r="U234" s="251">
        <f t="shared" si="81"/>
        <v>-3.3158396933563095E-2</v>
      </c>
      <c r="V234" s="383">
        <f t="shared" si="82"/>
        <v>54.308831818096081</v>
      </c>
      <c r="W234" s="402"/>
      <c r="X234" s="157">
        <f t="shared" si="83"/>
        <v>44416</v>
      </c>
      <c r="Y234" s="385">
        <f t="shared" si="84"/>
        <v>36.094471727311848</v>
      </c>
      <c r="Z234" s="385">
        <f t="shared" si="85"/>
        <v>37.032964036617145</v>
      </c>
      <c r="AA234" s="386">
        <f t="shared" si="86"/>
        <v>42.505970287698538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0.12875853001443691</v>
      </c>
      <c r="AD234" s="231">
        <f>(INDEX(Models!$BJ234:$BT234,,AH234)*(1-AF234)+INDEX(Models!$BJ234:$BT234,,AH234+1)*AF234-ERP_i)*AE234*Ramure*Pc/MaxiM</f>
        <v>1.5281618615006426E-4</v>
      </c>
      <c r="AE234" s="305">
        <f t="shared" si="88"/>
        <v>0.7</v>
      </c>
      <c r="AF234" s="177">
        <f t="shared" si="89"/>
        <v>0.96684160306643685</v>
      </c>
      <c r="AG234" s="810">
        <f t="shared" si="95"/>
        <v>-1</v>
      </c>
      <c r="AH234" s="176">
        <f t="shared" si="90"/>
        <v>5</v>
      </c>
      <c r="AI234" s="225">
        <f t="shared" si="91"/>
        <v>-3.3158396933563095E-2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6">
        <v>50.887999999999998</v>
      </c>
      <c r="C235" s="390"/>
      <c r="D235" s="393">
        <f t="shared" si="74"/>
        <v>52.212353875151315</v>
      </c>
      <c r="E235" s="385">
        <f t="shared" si="96"/>
        <v>54.432023512234053</v>
      </c>
      <c r="F235" s="385">
        <f t="shared" si="75"/>
        <v>54.439900122936557</v>
      </c>
      <c r="G235" s="110">
        <f t="shared" si="97"/>
        <v>0.94061660771072242</v>
      </c>
      <c r="H235" s="414" t="b">
        <f>Wh_hp&gt;='2020'!Maxi_hp</f>
        <v>1</v>
      </c>
      <c r="I235" s="380">
        <f>IF(H235,Wh_hp,'2020'!Maxi_hp)</f>
        <v>54.439900122936557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2.5364760959026622E-2</v>
      </c>
      <c r="M235" s="844"/>
      <c r="N235" s="844"/>
      <c r="O235" s="48">
        <f>IF(t&lt;Tnet,'2020'!Resal+('2020'!Salim-'2020'!Resal)*(1-EXP(('2020'!Tnet-t)/('2020'!Tau_j))),Resal+(Salim-Resal)*(1-EXP((Tnet-t)/(Tau_j))))*Salcycl</f>
        <v>4.0778745559290931E-2</v>
      </c>
      <c r="P235" s="169">
        <f>(INDEX(Models!$BJ235:$BT235,,T235)*(1-R235)+INDEX(Models!$BJ235:$BT235,,T235+1)*R235-ERP_i)*Q235*Ramure*Pc/MaxiM</f>
        <v>1.5809326050843375E-4</v>
      </c>
      <c r="Q235" s="305">
        <f t="shared" si="77"/>
        <v>0.7</v>
      </c>
      <c r="R235" s="177">
        <f t="shared" si="78"/>
        <v>0.96805069176133962</v>
      </c>
      <c r="S235" s="810">
        <f t="shared" si="79"/>
        <v>-1</v>
      </c>
      <c r="T235" s="176">
        <f t="shared" si="80"/>
        <v>5</v>
      </c>
      <c r="U235" s="251">
        <f t="shared" si="81"/>
        <v>-3.1949308238660434E-2</v>
      </c>
      <c r="V235" s="383">
        <f t="shared" si="82"/>
        <v>54.099956496638754</v>
      </c>
      <c r="W235" s="402"/>
      <c r="X235" s="157">
        <f t="shared" si="83"/>
        <v>44417</v>
      </c>
      <c r="Y235" s="385">
        <f t="shared" si="84"/>
        <v>46.216044577078094</v>
      </c>
      <c r="Z235" s="385">
        <f t="shared" si="85"/>
        <v>47.418811393023297</v>
      </c>
      <c r="AA235" s="386">
        <f t="shared" si="86"/>
        <v>54.432023512234053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0.12884349444834575</v>
      </c>
      <c r="AD235" s="231">
        <f>(INDEX(Models!$BJ235:$BT235,,AH235)*(1-AF235)+INDEX(Models!$BJ235:$BT235,,AH235+1)*AF235-ERP_i)*AE235*Ramure*Pc/MaxiM</f>
        <v>1.5809326050843375E-4</v>
      </c>
      <c r="AE235" s="305">
        <f t="shared" si="88"/>
        <v>0.7</v>
      </c>
      <c r="AF235" s="177">
        <f t="shared" si="89"/>
        <v>0.96805069176133962</v>
      </c>
      <c r="AG235" s="810">
        <f t="shared" si="95"/>
        <v>-1</v>
      </c>
      <c r="AH235" s="176">
        <f t="shared" si="90"/>
        <v>5</v>
      </c>
      <c r="AI235" s="225">
        <f t="shared" si="91"/>
        <v>-3.1949308238660434E-2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6">
        <v>47.794000000000004</v>
      </c>
      <c r="C236" s="390"/>
      <c r="D236" s="393">
        <f t="shared" si="74"/>
        <v>49.038974118272378</v>
      </c>
      <c r="E236" s="385">
        <f t="shared" si="96"/>
        <v>51.133541229727321</v>
      </c>
      <c r="F236" s="385">
        <f t="shared" si="75"/>
        <v>51.140572071405487</v>
      </c>
      <c r="G236" s="110">
        <f t="shared" si="97"/>
        <v>0.88688752479467048</v>
      </c>
      <c r="H236" s="414" t="b">
        <f>Wh_hp&gt;='2020'!Maxi_hp</f>
        <v>1</v>
      </c>
      <c r="I236" s="380">
        <f>IF(H236,Wh_hp,'2020'!Maxi_hp)</f>
        <v>51.140572071405487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2.5387442144889527E-2</v>
      </c>
      <c r="M236" s="844"/>
      <c r="N236" s="844"/>
      <c r="O236" s="48">
        <f>IF(t&lt;Tnet,'2020'!Resal+('2020'!Salim-'2020'!Resal)*(1-EXP(('2020'!Tnet-t)/('2020'!Tau_j))),Resal+(Salim-Resal)*(1-EXP((Tnet-t)/(Tau_j))))*Salcycl</f>
        <v>4.0962684396230194E-2</v>
      </c>
      <c r="P236" s="169">
        <f>(INDEX(Models!$BJ236:$BT236,,T236)*(1-R236)+INDEX(Models!$BJ236:$BT236,,T236+1)*R236-ERP_i)*Q236*Ramure*Pc/MaxiM</f>
        <v>1.6397117570524468E-4</v>
      </c>
      <c r="Q236" s="305">
        <f t="shared" si="77"/>
        <v>0.7</v>
      </c>
      <c r="R236" s="177">
        <f t="shared" si="78"/>
        <v>0.96921859213405726</v>
      </c>
      <c r="S236" s="810">
        <f t="shared" si="79"/>
        <v>-1</v>
      </c>
      <c r="T236" s="176">
        <f t="shared" si="80"/>
        <v>5</v>
      </c>
      <c r="U236" s="251">
        <f t="shared" si="81"/>
        <v>-3.0781407865942745E-2</v>
      </c>
      <c r="V236" s="383">
        <f t="shared" si="82"/>
        <v>53.88815650689417</v>
      </c>
      <c r="W236" s="402"/>
      <c r="X236" s="157">
        <f t="shared" si="83"/>
        <v>44418</v>
      </c>
      <c r="Y236" s="385">
        <f t="shared" si="84"/>
        <v>43.410210828998856</v>
      </c>
      <c r="Z236" s="385">
        <f t="shared" si="85"/>
        <v>44.540992704356661</v>
      </c>
      <c r="AA236" s="386">
        <f t="shared" si="86"/>
        <v>51.133541229727321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0.12892806496135992</v>
      </c>
      <c r="AD236" s="231">
        <f>(INDEX(Models!$BJ236:$BT236,,AH236)*(1-AF236)+INDEX(Models!$BJ236:$BT236,,AH236+1)*AF236-ERP_i)*AE236*Ramure*Pc/MaxiM</f>
        <v>1.6397117570524468E-4</v>
      </c>
      <c r="AE236" s="305">
        <f t="shared" si="88"/>
        <v>0.7</v>
      </c>
      <c r="AF236" s="177">
        <f t="shared" si="89"/>
        <v>0.96921859213405726</v>
      </c>
      <c r="AG236" s="810">
        <f t="shared" si="95"/>
        <v>-1</v>
      </c>
      <c r="AH236" s="176">
        <f t="shared" si="90"/>
        <v>5</v>
      </c>
      <c r="AI236" s="225">
        <f t="shared" si="91"/>
        <v>-3.0781407865942745E-2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6">
        <v>42.65</v>
      </c>
      <c r="C237" s="390"/>
      <c r="D237" s="393">
        <f t="shared" si="74"/>
        <v>43.761997736588164</v>
      </c>
      <c r="E237" s="385">
        <f t="shared" si="96"/>
        <v>45.639911908310488</v>
      </c>
      <c r="F237" s="385">
        <f t="shared" si="75"/>
        <v>45.645409755710403</v>
      </c>
      <c r="G237" s="110">
        <f t="shared" si="97"/>
        <v>0.79458358044400912</v>
      </c>
      <c r="H237" s="414" t="b">
        <f>Wh_hp&gt;='2020'!Maxi_hp</f>
        <v>1</v>
      </c>
      <c r="I237" s="380">
        <f>IF(H237,Wh_hp,'2020'!Maxi_hp)</f>
        <v>45.645409755710403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2.5410122802928092E-2</v>
      </c>
      <c r="M237" s="844"/>
      <c r="N237" s="844"/>
      <c r="O237" s="48">
        <f>IF(t&lt;Tnet,'2020'!Resal+('2020'!Salim-'2020'!Resal)*(1-EXP(('2020'!Tnet-t)/('2020'!Tau_j))),Resal+(Salim-Resal)*(1-EXP((Tnet-t)/(Tau_j))))*Salcycl</f>
        <v>4.1146314556763576E-2</v>
      </c>
      <c r="P237" s="169">
        <f>(INDEX(Models!$BJ237:$BT237,,T237)*(1-R237)+INDEX(Models!$BJ237:$BT237,,T237+1)*R237-ERP_i)*Q237*Ramure*Pc/MaxiM</f>
        <v>1.7045863955550717E-4</v>
      </c>
      <c r="Q237" s="305">
        <f t="shared" si="77"/>
        <v>0.7</v>
      </c>
      <c r="R237" s="177">
        <f t="shared" si="78"/>
        <v>0.97034643701913126</v>
      </c>
      <c r="S237" s="810">
        <f t="shared" si="79"/>
        <v>-1</v>
      </c>
      <c r="T237" s="176">
        <f t="shared" si="80"/>
        <v>5</v>
      </c>
      <c r="U237" s="251">
        <f t="shared" si="81"/>
        <v>-2.9653562980868742E-2</v>
      </c>
      <c r="V237" s="383">
        <f t="shared" si="82"/>
        <v>53.673229338409023</v>
      </c>
      <c r="W237" s="402"/>
      <c r="X237" s="157">
        <f t="shared" si="83"/>
        <v>44419</v>
      </c>
      <c r="Y237" s="385">
        <f t="shared" si="84"/>
        <v>38.741706436725487</v>
      </c>
      <c r="Z237" s="385">
        <f t="shared" si="85"/>
        <v>39.751804675159292</v>
      </c>
      <c r="AA237" s="386">
        <f t="shared" si="86"/>
        <v>45.639911908310488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0.12901223922123839</v>
      </c>
      <c r="AD237" s="231">
        <f>(INDEX(Models!$BJ237:$BT237,,AH237)*(1-AF237)+INDEX(Models!$BJ237:$BT237,,AH237+1)*AF237-ERP_i)*AE237*Ramure*Pc/MaxiM</f>
        <v>1.7045863955550717E-4</v>
      </c>
      <c r="AE237" s="305">
        <f t="shared" si="88"/>
        <v>0.7</v>
      </c>
      <c r="AF237" s="177">
        <f t="shared" si="89"/>
        <v>0.97034643701913126</v>
      </c>
      <c r="AG237" s="810">
        <f t="shared" si="95"/>
        <v>-1</v>
      </c>
      <c r="AH237" s="176">
        <f t="shared" si="90"/>
        <v>5</v>
      </c>
      <c r="AI237" s="225">
        <f t="shared" si="91"/>
        <v>-2.9653562980868742E-2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6">
        <v>44.989000000000004</v>
      </c>
      <c r="C238" s="390"/>
      <c r="D238" s="393">
        <f t="shared" si="74"/>
        <v>46.163055903588166</v>
      </c>
      <c r="E238" s="385">
        <f t="shared" si="96"/>
        <v>48.153210459213447</v>
      </c>
      <c r="F238" s="385">
        <f t="shared" si="75"/>
        <v>48.159827161050018</v>
      </c>
      <c r="G238" s="110">
        <f t="shared" si="97"/>
        <v>0.84159040947311947</v>
      </c>
      <c r="H238" s="414" t="b">
        <f>Wh_hp&gt;='2020'!Maxi_hp</f>
        <v>1</v>
      </c>
      <c r="I238" s="380">
        <f>IF(H238,Wh_hp,'2020'!Maxi_hp)</f>
        <v>48.159827161050018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2.5432802933154641E-2</v>
      </c>
      <c r="M238" s="844"/>
      <c r="N238" s="844"/>
      <c r="O238" s="48">
        <f>IF(t&lt;Tnet,'2020'!Resal+('2020'!Salim-'2020'!Resal)*(1-EXP(('2020'!Tnet-t)/('2020'!Tau_j))),Resal+(Salim-Resal)*(1-EXP((Tnet-t)/(Tau_j))))*Salcycl</f>
        <v>4.132963382183983E-2</v>
      </c>
      <c r="P238" s="169">
        <f>(INDEX(Models!$BJ238:$BT238,,T238)*(1-R238)+INDEX(Models!$BJ238:$BT238,,T238+1)*R238-ERP_i)*Q238*Ramure*Pc/MaxiM</f>
        <v>1.775646885753164E-4</v>
      </c>
      <c r="Q238" s="305">
        <f t="shared" si="77"/>
        <v>0.7</v>
      </c>
      <c r="R238" s="177">
        <f t="shared" si="78"/>
        <v>0.9714353482091842</v>
      </c>
      <c r="S238" s="810">
        <f t="shared" si="79"/>
        <v>-1</v>
      </c>
      <c r="T238" s="176">
        <f t="shared" si="80"/>
        <v>5</v>
      </c>
      <c r="U238" s="251">
        <f t="shared" si="81"/>
        <v>-2.8564651790815854E-2</v>
      </c>
      <c r="V238" s="383">
        <f t="shared" si="82"/>
        <v>53.454972689628576</v>
      </c>
      <c r="W238" s="402"/>
      <c r="X238" s="157">
        <f t="shared" si="83"/>
        <v>44420</v>
      </c>
      <c r="Y238" s="385">
        <f t="shared" si="84"/>
        <v>40.870252022000571</v>
      </c>
      <c r="Z238" s="385">
        <f t="shared" si="85"/>
        <v>41.936822976401992</v>
      </c>
      <c r="AA238" s="386">
        <f t="shared" si="86"/>
        <v>48.153210459213447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0.12909601298706419</v>
      </c>
      <c r="AD238" s="231">
        <f>(INDEX(Models!$BJ238:$BT238,,AH238)*(1-AF238)+INDEX(Models!$BJ238:$BT238,,AH238+1)*AF238-ERP_i)*AE238*Ramure*Pc/MaxiM</f>
        <v>1.775646885753164E-4</v>
      </c>
      <c r="AE238" s="305">
        <f t="shared" si="88"/>
        <v>0.7</v>
      </c>
      <c r="AF238" s="177">
        <f t="shared" si="89"/>
        <v>0.9714353482091842</v>
      </c>
      <c r="AG238" s="810">
        <f t="shared" si="95"/>
        <v>-1</v>
      </c>
      <c r="AH238" s="176">
        <f t="shared" si="90"/>
        <v>5</v>
      </c>
      <c r="AI238" s="225">
        <f t="shared" si="91"/>
        <v>-2.8564651790815854E-2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6">
        <v>33.14</v>
      </c>
      <c r="C239" s="390"/>
      <c r="D239" s="393">
        <f t="shared" si="74"/>
        <v>34.005629713277791</v>
      </c>
      <c r="E239" s="385">
        <f t="shared" si="96"/>
        <v>35.478433113197234</v>
      </c>
      <c r="F239" s="385">
        <f t="shared" si="75"/>
        <v>35.481462570790825</v>
      </c>
      <c r="G239" s="110">
        <f t="shared" si="97"/>
        <v>0.62248179949162663</v>
      </c>
      <c r="H239" s="414" t="b">
        <f>Wh_hp&gt;='2020'!Maxi_hp</f>
        <v>0</v>
      </c>
      <c r="I239" s="380">
        <f>IF(H239,Wh_hp,'2020'!Maxi_hp)</f>
        <v>49.519418885775274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2.5455482535581497E-2</v>
      </c>
      <c r="M239" s="844"/>
      <c r="N239" s="844"/>
      <c r="O239" s="48">
        <f>IF(t&lt;Tnet,'2020'!Resal+('2020'!Salim-'2020'!Resal)*(1-EXP(('2020'!Tnet-t)/('2020'!Tau_j))),Resal+(Salim-Resal)*(1-EXP((Tnet-t)/(Tau_j))))*Salcycl</f>
        <v>4.1512639389127651E-2</v>
      </c>
      <c r="P239" s="169">
        <f>(INDEX(Models!$BJ239:$BT239,,T239)*(1-R239)+INDEX(Models!$BJ239:$BT239,,T239+1)*R239-ERP_i)*Q239*Ramure*Pc/MaxiM</f>
        <v>1.8529872296140802E-4</v>
      </c>
      <c r="Q239" s="305">
        <f t="shared" si="77"/>
        <v>0.7</v>
      </c>
      <c r="R239" s="177">
        <f t="shared" si="78"/>
        <v>0.97248643487137909</v>
      </c>
      <c r="S239" s="810">
        <f t="shared" si="79"/>
        <v>-1</v>
      </c>
      <c r="T239" s="176">
        <f t="shared" si="80"/>
        <v>5</v>
      </c>
      <c r="U239" s="251">
        <f t="shared" si="81"/>
        <v>-2.7513565128620965E-2</v>
      </c>
      <c r="V239" s="383">
        <f t="shared" si="82"/>
        <v>53.23318446392792</v>
      </c>
      <c r="W239" s="402"/>
      <c r="X239" s="157">
        <f t="shared" si="83"/>
        <v>44421</v>
      </c>
      <c r="Y239" s="385">
        <f t="shared" si="84"/>
        <v>30.108895040648193</v>
      </c>
      <c r="Z239" s="385">
        <f t="shared" si="85"/>
        <v>30.895351111292353</v>
      </c>
      <c r="AA239" s="386">
        <f t="shared" si="86"/>
        <v>35.478433113197234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0.12917938025284639</v>
      </c>
      <c r="AD239" s="231">
        <f>(INDEX(Models!$BJ239:$BT239,,AH239)*(1-AF239)+INDEX(Models!$BJ239:$BT239,,AH239+1)*AF239-ERP_i)*AE239*Ramure*Pc/MaxiM</f>
        <v>1.8529872296140802E-4</v>
      </c>
      <c r="AE239" s="305">
        <f t="shared" si="88"/>
        <v>0.7</v>
      </c>
      <c r="AF239" s="177">
        <f t="shared" si="89"/>
        <v>0.97248643487137909</v>
      </c>
      <c r="AG239" s="810">
        <f t="shared" si="95"/>
        <v>-1</v>
      </c>
      <c r="AH239" s="176">
        <f t="shared" si="90"/>
        <v>5</v>
      </c>
      <c r="AI239" s="225">
        <f t="shared" si="91"/>
        <v>-2.7513565128620965E-2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6">
        <v>45.801000000000002</v>
      </c>
      <c r="C240" s="390"/>
      <c r="D240" s="393">
        <f t="shared" si="74"/>
        <v>46.998433688954428</v>
      </c>
      <c r="E240" s="385">
        <f t="shared" si="96"/>
        <v>49.043310606375698</v>
      </c>
      <c r="F240" s="385">
        <f t="shared" si="75"/>
        <v>49.050985583469917</v>
      </c>
      <c r="G240" s="110">
        <f t="shared" si="97"/>
        <v>0.86401273873382223</v>
      </c>
      <c r="H240" s="414" t="b">
        <f>Wh_hp&gt;='2020'!Maxi_hp</f>
        <v>0</v>
      </c>
      <c r="I240" s="380">
        <f>IF(H240,Wh_hp,'2020'!Maxi_hp)</f>
        <v>56.438545472421865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2.5478161610220762E-2</v>
      </c>
      <c r="M240" s="844"/>
      <c r="N240" s="844"/>
      <c r="O240" s="48">
        <f>IF(t&lt;Tnet,'2020'!Resal+('2020'!Salim-'2020'!Resal)*(1-EXP(('2020'!Tnet-t)/('2020'!Tau_j))),Resal+(Salim-Resal)*(1-EXP((Tnet-t)/(Tau_j))))*Salcycl</f>
        <v>4.1695327907888713E-2</v>
      </c>
      <c r="P240" s="169">
        <f>(INDEX(Models!$BJ240:$BT240,,T240)*(1-R240)+INDEX(Models!$BJ240:$BT240,,T240+1)*R240-ERP_i)*Q240*Ramure*Pc/MaxiM</f>
        <v>1.9418397248383831E-4</v>
      </c>
      <c r="Q240" s="305">
        <f t="shared" si="77"/>
        <v>0.7</v>
      </c>
      <c r="R240" s="177">
        <f t="shared" si="78"/>
        <v>0.97350079212013818</v>
      </c>
      <c r="S240" s="810">
        <f t="shared" si="79"/>
        <v>-1</v>
      </c>
      <c r="T240" s="176">
        <f t="shared" si="80"/>
        <v>5</v>
      </c>
      <c r="U240" s="251">
        <f t="shared" si="81"/>
        <v>-2.6499207879861819E-2</v>
      </c>
      <c r="V240" s="383">
        <f t="shared" si="82"/>
        <v>53.007635547769723</v>
      </c>
      <c r="W240" s="402"/>
      <c r="X240" s="157">
        <f t="shared" si="83"/>
        <v>44422</v>
      </c>
      <c r="Y240" s="385">
        <f t="shared" si="84"/>
        <v>41.615842048870938</v>
      </c>
      <c r="Z240" s="385">
        <f t="shared" si="85"/>
        <v>42.703857840306149</v>
      </c>
      <c r="AA240" s="386">
        <f t="shared" si="86"/>
        <v>49.043310606375698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0.12926233338834617</v>
      </c>
      <c r="AD240" s="231">
        <f>(INDEX(Models!$BJ240:$BT240,,AH240)*(1-AF240)+INDEX(Models!$BJ240:$BT240,,AH240+1)*AF240-ERP_i)*AE240*Ramure*Pc/MaxiM</f>
        <v>1.9418397248383831E-4</v>
      </c>
      <c r="AE240" s="305">
        <f t="shared" si="88"/>
        <v>0.7</v>
      </c>
      <c r="AF240" s="177">
        <f t="shared" si="89"/>
        <v>0.97350079212013818</v>
      </c>
      <c r="AG240" s="810">
        <f t="shared" si="95"/>
        <v>-1</v>
      </c>
      <c r="AH240" s="176">
        <f t="shared" si="90"/>
        <v>5</v>
      </c>
      <c r="AI240" s="225">
        <f t="shared" si="91"/>
        <v>-2.6499207879861819E-2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6">
        <v>21.535</v>
      </c>
      <c r="C241" s="390"/>
      <c r="D241" s="393">
        <f t="shared" si="74"/>
        <v>22.098531109530505</v>
      </c>
      <c r="E241" s="385">
        <f t="shared" si="96"/>
        <v>23.064415686860226</v>
      </c>
      <c r="F241" s="385">
        <f t="shared" si="75"/>
        <v>23.065142091895837</v>
      </c>
      <c r="G241" s="110">
        <f t="shared" si="97"/>
        <v>0.40795841374369052</v>
      </c>
      <c r="H241" s="414" t="b">
        <f>Wh_hp&gt;='2020'!Maxi_hp</f>
        <v>0</v>
      </c>
      <c r="I241" s="380">
        <f>IF(H241,Wh_hp,'2020'!Maxi_hp)</f>
        <v>49.907980603306648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2.550084015708487E-2</v>
      </c>
      <c r="M241" s="844"/>
      <c r="N241" s="844"/>
      <c r="O241" s="48">
        <f>IF(t&lt;Tnet,'2020'!Resal+('2020'!Salim-'2020'!Resal)*(1-EXP(('2020'!Tnet-t)/('2020'!Tau_j))),Resal+(Salim-Resal)*(1-EXP((Tnet-t)/(Tau_j))))*Salcycl</f>
        <v>4.1877695513439138E-2</v>
      </c>
      <c r="P241" s="169">
        <f>(INDEX(Models!$BJ241:$BT241,,T241)*(1-R241)+INDEX(Models!$BJ241:$BT241,,T241+1)*R241-ERP_i)*Q241*Ramure*Pc/MaxiM</f>
        <v>2.0407089507920603E-4</v>
      </c>
      <c r="Q241" s="305">
        <f t="shared" si="77"/>
        <v>0.7</v>
      </c>
      <c r="R241" s="177">
        <f t="shared" si="78"/>
        <v>0.9744794997385704</v>
      </c>
      <c r="S241" s="810">
        <f t="shared" si="79"/>
        <v>-1</v>
      </c>
      <c r="T241" s="176">
        <f t="shared" si="80"/>
        <v>5</v>
      </c>
      <c r="U241" s="251">
        <f t="shared" si="81"/>
        <v>-2.5520500261429657E-2</v>
      </c>
      <c r="V241" s="383">
        <f t="shared" si="82"/>
        <v>52.778133030641477</v>
      </c>
      <c r="W241" s="402"/>
      <c r="X241" s="157">
        <f t="shared" si="83"/>
        <v>44423</v>
      </c>
      <c r="Y241" s="385">
        <f t="shared" si="84"/>
        <v>19.569065746168022</v>
      </c>
      <c r="Z241" s="385">
        <f t="shared" si="85"/>
        <v>20.081151993319796</v>
      </c>
      <c r="AA241" s="386">
        <f t="shared" si="86"/>
        <v>23.064415686860226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0.12934486327524836</v>
      </c>
      <c r="AD241" s="231">
        <f>(INDEX(Models!$BJ241:$BT241,,AH241)*(1-AF241)+INDEX(Models!$BJ241:$BT241,,AH241+1)*AF241-ERP_i)*AE241*Ramure*Pc/MaxiM</f>
        <v>2.0407089507920603E-4</v>
      </c>
      <c r="AE241" s="305">
        <f t="shared" si="88"/>
        <v>0.7</v>
      </c>
      <c r="AF241" s="177">
        <f t="shared" si="89"/>
        <v>0.9744794997385704</v>
      </c>
      <c r="AG241" s="810">
        <f t="shared" si="95"/>
        <v>-1</v>
      </c>
      <c r="AH241" s="176">
        <f t="shared" si="90"/>
        <v>5</v>
      </c>
      <c r="AI241" s="225">
        <f t="shared" si="91"/>
        <v>-2.5520500261429657E-2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6">
        <v>31.624000000000002</v>
      </c>
      <c r="C242" s="390"/>
      <c r="D242" s="393">
        <f t="shared" si="74"/>
        <v>32.45229678689941</v>
      </c>
      <c r="E242" s="385">
        <f t="shared" si="96"/>
        <v>33.87716131110512</v>
      </c>
      <c r="F242" s="385">
        <f t="shared" si="75"/>
        <v>33.880302049174155</v>
      </c>
      <c r="G242" s="110">
        <f t="shared" si="97"/>
        <v>0.60177844766462063</v>
      </c>
      <c r="H242" s="414" t="b">
        <f>Wh_hp&gt;='2020'!Maxi_hp</f>
        <v>0</v>
      </c>
      <c r="I242" s="380">
        <f>IF(H242,Wh_hp,'2020'!Maxi_hp)</f>
        <v>54.750781223498663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2.5523518176186033E-2</v>
      </c>
      <c r="M242" s="844"/>
      <c r="N242" s="844"/>
      <c r="O242" s="48">
        <f>IF(t&lt;Tnet,'2020'!Resal+('2020'!Salim-'2020'!Resal)*(1-EXP(('2020'!Tnet-t)/('2020'!Tau_j))),Resal+(Salim-Resal)*(1-EXP((Tnet-t)/(Tau_j))))*Salcycl</f>
        <v>4.2059737860581391E-2</v>
      </c>
      <c r="P242" s="169">
        <f>(INDEX(Models!$BJ242:$BT242,,T242)*(1-R242)+INDEX(Models!$BJ242:$BT242,,T242+1)*R242-ERP_i)*Q242*Ramure*Pc/MaxiM</f>
        <v>2.1497520018852966E-4</v>
      </c>
      <c r="Q242" s="305">
        <f t="shared" si="77"/>
        <v>0.7</v>
      </c>
      <c r="R242" s="177">
        <f t="shared" si="78"/>
        <v>0.97542362104098534</v>
      </c>
      <c r="S242" s="810">
        <f t="shared" si="79"/>
        <v>-1</v>
      </c>
      <c r="T242" s="176">
        <f t="shared" si="80"/>
        <v>5</v>
      </c>
      <c r="U242" s="251">
        <f t="shared" si="81"/>
        <v>-2.4576378959014655E-2</v>
      </c>
      <c r="V242" s="383">
        <f t="shared" si="82"/>
        <v>52.544475404679773</v>
      </c>
      <c r="W242" s="402"/>
      <c r="X242" s="157">
        <f t="shared" si="83"/>
        <v>44424</v>
      </c>
      <c r="Y242" s="385">
        <f t="shared" si="84"/>
        <v>28.739789862553835</v>
      </c>
      <c r="Z242" s="385">
        <f t="shared" si="85"/>
        <v>29.492543328254492</v>
      </c>
      <c r="AA242" s="386">
        <f t="shared" si="86"/>
        <v>33.87716131110512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0.12942695943692686</v>
      </c>
      <c r="AD242" s="231">
        <f>(INDEX(Models!$BJ242:$BT242,,AH242)*(1-AF242)+INDEX(Models!$BJ242:$BT242,,AH242+1)*AF242-ERP_i)*AE242*Ramure*Pc/MaxiM</f>
        <v>2.1497520018852966E-4</v>
      </c>
      <c r="AE242" s="305">
        <f t="shared" si="88"/>
        <v>0.7</v>
      </c>
      <c r="AF242" s="177">
        <f t="shared" si="89"/>
        <v>0.97542362104098534</v>
      </c>
      <c r="AG242" s="810">
        <f t="shared" si="95"/>
        <v>-1</v>
      </c>
      <c r="AH242" s="176">
        <f t="shared" si="90"/>
        <v>5</v>
      </c>
      <c r="AI242" s="225">
        <f t="shared" si="91"/>
        <v>-2.4576378959014655E-2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6">
        <v>40.015000000000001</v>
      </c>
      <c r="C243" s="390"/>
      <c r="D243" s="393">
        <f t="shared" si="74"/>
        <v>41.064029738599814</v>
      </c>
      <c r="E243" s="385">
        <f t="shared" si="96"/>
        <v>42.875137732013435</v>
      </c>
      <c r="F243" s="385">
        <f t="shared" si="75"/>
        <v>42.881601649992632</v>
      </c>
      <c r="G243" s="110">
        <f t="shared" si="97"/>
        <v>0.76495236679239809</v>
      </c>
      <c r="H243" s="414" t="b">
        <f>Wh_hp&gt;='2020'!Maxi_hp</f>
        <v>0</v>
      </c>
      <c r="I243" s="380">
        <f>IF(H243,Wh_hp,'2020'!Maxi_hp)</f>
        <v>54.337378968983657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2.5546195667536575E-2</v>
      </c>
      <c r="M243" s="844"/>
      <c r="N243" s="844"/>
      <c r="O243" s="48">
        <f>IF(t&lt;Tnet,'2020'!Resal+('2020'!Salim-'2020'!Resal)*(1-EXP(('2020'!Tnet-t)/('2020'!Tau_j))),Resal+(Salim-Resal)*(1-EXP((Tnet-t)/(Tau_j))))*Salcycl</f>
        <v>4.2241450155420295E-2</v>
      </c>
      <c r="P243" s="169">
        <f>(INDEX(Models!$BJ243:$BT243,,T243)*(1-R243)+INDEX(Models!$BJ243:$BT243,,T243+1)*R243-ERP_i)*Q243*Ramure*Pc/MaxiM</f>
        <v>2.2691331445069812E-4</v>
      </c>
      <c r="Q243" s="305">
        <f t="shared" si="77"/>
        <v>0.7</v>
      </c>
      <c r="R243" s="177">
        <f t="shared" si="78"/>
        <v>0.97633420186886744</v>
      </c>
      <c r="S243" s="810">
        <f t="shared" si="79"/>
        <v>-1</v>
      </c>
      <c r="T243" s="176">
        <f t="shared" si="80"/>
        <v>5</v>
      </c>
      <c r="U243" s="251">
        <f t="shared" si="81"/>
        <v>-2.3665798131132565E-2</v>
      </c>
      <c r="V243" s="383">
        <f t="shared" si="82"/>
        <v>52.306461357928292</v>
      </c>
      <c r="W243" s="402"/>
      <c r="X243" s="157">
        <f t="shared" si="83"/>
        <v>44425</v>
      </c>
      <c r="Y243" s="385">
        <f t="shared" si="84"/>
        <v>36.368991924000248</v>
      </c>
      <c r="Z243" s="385">
        <f t="shared" si="85"/>
        <v>37.322438233913346</v>
      </c>
      <c r="AA243" s="386">
        <f t="shared" si="86"/>
        <v>42.875137732013435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0.12950861016019719</v>
      </c>
      <c r="AD243" s="231">
        <f>(INDEX(Models!$BJ243:$BT243,,AH243)*(1-AF243)+INDEX(Models!$BJ243:$BT243,,AH243+1)*AF243-ERP_i)*AE243*Ramure*Pc/MaxiM</f>
        <v>2.2691331445069812E-4</v>
      </c>
      <c r="AE243" s="305">
        <f t="shared" si="88"/>
        <v>0.7</v>
      </c>
      <c r="AF243" s="177">
        <f t="shared" si="89"/>
        <v>0.97633420186886744</v>
      </c>
      <c r="AG243" s="810">
        <f t="shared" si="95"/>
        <v>-1</v>
      </c>
      <c r="AH243" s="176">
        <f t="shared" si="90"/>
        <v>5</v>
      </c>
      <c r="AI243" s="225">
        <f t="shared" si="91"/>
        <v>-2.3665798131132565E-2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6">
        <v>50.974000000000004</v>
      </c>
      <c r="C244" s="390"/>
      <c r="D244" s="393">
        <f t="shared" si="74"/>
        <v>52.311547289790987</v>
      </c>
      <c r="E244" s="385">
        <f t="shared" si="96"/>
        <v>54.629066747707675</v>
      </c>
      <c r="F244" s="385">
        <f t="shared" si="75"/>
        <v>54.641783425949193</v>
      </c>
      <c r="G244" s="110">
        <f t="shared" si="97"/>
        <v>0.97905927571685147</v>
      </c>
      <c r="H244" s="414" t="b">
        <f>Wh_hp&gt;='2020'!Maxi_hp</f>
        <v>1</v>
      </c>
      <c r="I244" s="380">
        <f>IF(H244,Wh_hp,'2020'!Maxi_hp)</f>
        <v>54.641783425949193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2.556887263114882E-2</v>
      </c>
      <c r="M244" s="844"/>
      <c r="N244" s="844"/>
      <c r="O244" s="48">
        <f>IF(t&lt;Tnet,'2020'!Resal+('2020'!Salim-'2020'!Resal)*(1-EXP(('2020'!Tnet-t)/('2020'!Tau_j))),Resal+(Salim-Resal)*(1-EXP((Tnet-t)/(Tau_j))))*Salcycl</f>
        <v>4.24228271850157E-2</v>
      </c>
      <c r="P244" s="169">
        <f>(INDEX(Models!$BJ244:$BT244,,T244)*(1-R244)+INDEX(Models!$BJ244:$BT244,,T244+1)*R244-ERP_i)*Q244*Ramure*Pc/MaxiM</f>
        <v>2.3990244712125629E-4</v>
      </c>
      <c r="Q244" s="305">
        <f t="shared" si="77"/>
        <v>0.7</v>
      </c>
      <c r="R244" s="177">
        <f t="shared" si="78"/>
        <v>0.97721226971271835</v>
      </c>
      <c r="S244" s="810">
        <f t="shared" si="79"/>
        <v>-1</v>
      </c>
      <c r="T244" s="176">
        <f t="shared" si="80"/>
        <v>5</v>
      </c>
      <c r="U244" s="251">
        <f t="shared" si="81"/>
        <v>-2.2787730287281649E-2</v>
      </c>
      <c r="V244" s="383">
        <f t="shared" si="82"/>
        <v>52.06388977030565</v>
      </c>
      <c r="W244" s="402"/>
      <c r="X244" s="157">
        <f t="shared" si="83"/>
        <v>44426</v>
      </c>
      <c r="Y244" s="385">
        <f t="shared" si="84"/>
        <v>46.333904630840536</v>
      </c>
      <c r="Z244" s="385">
        <f t="shared" si="85"/>
        <v>47.549696771233968</v>
      </c>
      <c r="AA244" s="386">
        <f t="shared" si="86"/>
        <v>54.629066747707675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0.12958980260761591</v>
      </c>
      <c r="AD244" s="231">
        <f>(INDEX(Models!$BJ244:$BT244,,AH244)*(1-AF244)+INDEX(Models!$BJ244:$BT244,,AH244+1)*AF244-ERP_i)*AE244*Ramure*Pc/MaxiM</f>
        <v>2.3990244712125629E-4</v>
      </c>
      <c r="AE244" s="305">
        <f t="shared" si="88"/>
        <v>0.7</v>
      </c>
      <c r="AF244" s="177">
        <f t="shared" si="89"/>
        <v>0.97721226971271835</v>
      </c>
      <c r="AG244" s="810">
        <f t="shared" si="95"/>
        <v>-1</v>
      </c>
      <c r="AH244" s="176">
        <f t="shared" si="90"/>
        <v>5</v>
      </c>
      <c r="AI244" s="225">
        <f t="shared" si="91"/>
        <v>-2.2787730287281649E-2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6">
        <v>42.658999999999999</v>
      </c>
      <c r="C245" s="390"/>
      <c r="D245" s="393">
        <f t="shared" si="74"/>
        <v>43.779382207897896</v>
      </c>
      <c r="E245" s="385">
        <f t="shared" si="96"/>
        <v>45.727552610383214</v>
      </c>
      <c r="F245" s="385">
        <f t="shared" si="75"/>
        <v>45.73623530144777</v>
      </c>
      <c r="G245" s="110">
        <f t="shared" si="97"/>
        <v>0.82321683469556084</v>
      </c>
      <c r="H245" s="414" t="b">
        <f>Wh_hp&gt;='2020'!Maxi_hp</f>
        <v>1</v>
      </c>
      <c r="I245" s="380">
        <f>IF(H245,Wh_hp,'2020'!Maxi_hp)</f>
        <v>45.73623530144777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2.559154906703498E-2</v>
      </c>
      <c r="M245" s="844"/>
      <c r="N245" s="844"/>
      <c r="O245" s="48">
        <f>IF(t&lt;Tnet,'2020'!Resal+('2020'!Salim-'2020'!Resal)*(1-EXP(('2020'!Tnet-t)/('2020'!Tau_j))),Resal+(Salim-Resal)*(1-EXP((Tnet-t)/(Tau_j))))*Salcycl</f>
        <v>4.2603863344371398E-2</v>
      </c>
      <c r="P245" s="169">
        <f>(INDEX(Models!$BJ245:$BT245,,T245)*(1-R245)+INDEX(Models!$BJ245:$BT245,,T245+1)*R245-ERP_i)*Q245*Ramure*Pc/MaxiM</f>
        <v>2.5396065874675215E-4</v>
      </c>
      <c r="Q245" s="305">
        <f t="shared" si="77"/>
        <v>0.7</v>
      </c>
      <c r="R245" s="177">
        <f t="shared" si="78"/>
        <v>0.97805883295226981</v>
      </c>
      <c r="S245" s="810">
        <f t="shared" si="79"/>
        <v>-1</v>
      </c>
      <c r="T245" s="176">
        <f t="shared" si="80"/>
        <v>5</v>
      </c>
      <c r="U245" s="251">
        <f t="shared" si="81"/>
        <v>-2.1941167047730192E-2</v>
      </c>
      <c r="V245" s="383">
        <f t="shared" si="82"/>
        <v>51.816559714837751</v>
      </c>
      <c r="W245" s="402"/>
      <c r="X245" s="157">
        <f t="shared" si="83"/>
        <v>44427</v>
      </c>
      <c r="Y245" s="385">
        <f t="shared" si="84"/>
        <v>38.779543536167459</v>
      </c>
      <c r="Z245" s="385">
        <f t="shared" si="85"/>
        <v>39.798036951585637</v>
      </c>
      <c r="AA245" s="386">
        <f t="shared" si="86"/>
        <v>45.727552610383214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0.12967052291906778</v>
      </c>
      <c r="AD245" s="231">
        <f>(INDEX(Models!$BJ245:$BT245,,AH245)*(1-AF245)+INDEX(Models!$BJ245:$BT245,,AH245+1)*AF245-ERP_i)*AE245*Ramure*Pc/MaxiM</f>
        <v>2.5396065874675215E-4</v>
      </c>
      <c r="AE245" s="305">
        <f t="shared" si="88"/>
        <v>0.7</v>
      </c>
      <c r="AF245" s="177">
        <f t="shared" si="89"/>
        <v>0.97805883295226981</v>
      </c>
      <c r="AG245" s="810">
        <f t="shared" si="95"/>
        <v>-1</v>
      </c>
      <c r="AH245" s="176">
        <f t="shared" si="90"/>
        <v>5</v>
      </c>
      <c r="AI245" s="225">
        <f t="shared" si="91"/>
        <v>-2.1941167047730192E-2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6">
        <v>48.01</v>
      </c>
      <c r="C246" s="390"/>
      <c r="D246" s="393">
        <f t="shared" si="74"/>
        <v>49.272065777826455</v>
      </c>
      <c r="E246" s="385">
        <f t="shared" si="96"/>
        <v>51.474373835863624</v>
      </c>
      <c r="F246" s="385">
        <f t="shared" si="75"/>
        <v>51.486864961056781</v>
      </c>
      <c r="G246" s="110">
        <f t="shared" si="97"/>
        <v>0.93104638265925466</v>
      </c>
      <c r="H246" s="414" t="b">
        <f>Wh_hp&gt;='2020'!Maxi_hp</f>
        <v>0</v>
      </c>
      <c r="I246" s="380">
        <f>IF(H246,Wh_hp,'2020'!Maxi_hp)</f>
        <v>52.526050299221048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2.5614224975207267E-2</v>
      </c>
      <c r="M246" s="844"/>
      <c r="N246" s="844"/>
      <c r="O246" s="48">
        <f>IF(t&lt;Tnet,'2020'!Resal+('2020'!Salim-'2020'!Resal)*(1-EXP(('2020'!Tnet-t)/('2020'!Tau_j))),Resal+(Salim-Resal)*(1-EXP((Tnet-t)/(Tau_j))))*Salcycl</f>
        <v>4.2784552660313488E-2</v>
      </c>
      <c r="P246" s="169">
        <f>(INDEX(Models!$BJ246:$BT246,,T246)*(1-R246)+INDEX(Models!$BJ246:$BT246,,T246+1)*R246-ERP_i)*Q246*Ramure*Pc/MaxiM</f>
        <v>2.6910693353480948E-4</v>
      </c>
      <c r="Q246" s="305">
        <f t="shared" si="77"/>
        <v>0.7</v>
      </c>
      <c r="R246" s="177">
        <f t="shared" si="78"/>
        <v>0.97887488020769808</v>
      </c>
      <c r="S246" s="810">
        <f t="shared" si="79"/>
        <v>-1</v>
      </c>
      <c r="T246" s="176">
        <f t="shared" si="80"/>
        <v>5</v>
      </c>
      <c r="U246" s="251">
        <f t="shared" si="81"/>
        <v>-2.1125119792301972E-2</v>
      </c>
      <c r="V246" s="383">
        <f t="shared" si="82"/>
        <v>51.564270450439345</v>
      </c>
      <c r="W246" s="402"/>
      <c r="X246" s="157">
        <f t="shared" si="83"/>
        <v>44428</v>
      </c>
      <c r="Y246" s="385">
        <f t="shared" si="84"/>
        <v>43.648131991683719</v>
      </c>
      <c r="Z246" s="385">
        <f t="shared" si="85"/>
        <v>44.795534900510134</v>
      </c>
      <c r="AA246" s="386">
        <f t="shared" si="86"/>
        <v>51.474373835863624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0.12975075630157845</v>
      </c>
      <c r="AD246" s="231">
        <f>(INDEX(Models!$BJ246:$BT246,,AH246)*(1-AF246)+INDEX(Models!$BJ246:$BT246,,AH246+1)*AF246-ERP_i)*AE246*Ramure*Pc/MaxiM</f>
        <v>2.6910693353480948E-4</v>
      </c>
      <c r="AE246" s="305">
        <f t="shared" si="88"/>
        <v>0.7</v>
      </c>
      <c r="AF246" s="177">
        <f t="shared" si="89"/>
        <v>0.97887488020769808</v>
      </c>
      <c r="AG246" s="810">
        <f t="shared" si="95"/>
        <v>-1</v>
      </c>
      <c r="AH246" s="176">
        <f t="shared" si="90"/>
        <v>5</v>
      </c>
      <c r="AI246" s="225">
        <f t="shared" si="91"/>
        <v>-2.1125119792301972E-2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6">
        <v>45.012999999999998</v>
      </c>
      <c r="C247" s="390"/>
      <c r="D247" s="393">
        <f t="shared" si="74"/>
        <v>46.197357039107274</v>
      </c>
      <c r="E247" s="385">
        <f t="shared" si="96"/>
        <v>48.271329336867005</v>
      </c>
      <c r="F247" s="385">
        <f t="shared" si="75"/>
        <v>48.282692312628569</v>
      </c>
      <c r="G247" s="110">
        <f t="shared" si="97"/>
        <v>0.87726957589908316</v>
      </c>
      <c r="H247" s="414" t="b">
        <f>Wh_hp&gt;='2020'!Maxi_hp</f>
        <v>0</v>
      </c>
      <c r="I247" s="380">
        <f>IF(H247,Wh_hp,'2020'!Maxi_hp)</f>
        <v>52.989538136778435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2.5636900355678116E-2</v>
      </c>
      <c r="M247" s="844"/>
      <c r="N247" s="844"/>
      <c r="O247" s="48">
        <f>IF(t&lt;Tnet,'2020'!Resal+('2020'!Salim-'2020'!Resal)*(1-EXP(('2020'!Tnet-t)/('2020'!Tau_j))),Resal+(Salim-Resal)*(1-EXP((Tnet-t)/(Tau_j))))*Salcycl</f>
        <v>4.296488881187166E-2</v>
      </c>
      <c r="P247" s="169">
        <f>(INDEX(Models!$BJ247:$BT247,,T247)*(1-R247)+INDEX(Models!$BJ247:$BT247,,T247+1)*R247-ERP_i)*Q247*Ramure*Pc/MaxiM</f>
        <v>2.8535596507058052E-4</v>
      </c>
      <c r="Q247" s="305">
        <f t="shared" si="77"/>
        <v>0.7</v>
      </c>
      <c r="R247" s="177">
        <f t="shared" si="78"/>
        <v>0.97966137979462942</v>
      </c>
      <c r="S247" s="810">
        <f t="shared" si="79"/>
        <v>-1</v>
      </c>
      <c r="T247" s="176">
        <f t="shared" si="80"/>
        <v>5</v>
      </c>
      <c r="U247" s="251">
        <f t="shared" si="81"/>
        <v>-2.0338620205370583E-2</v>
      </c>
      <c r="V247" s="383">
        <f t="shared" si="82"/>
        <v>51.307772954111563</v>
      </c>
      <c r="W247" s="402"/>
      <c r="X247" s="157">
        <f t="shared" si="83"/>
        <v>44429</v>
      </c>
      <c r="Y247" s="385">
        <f t="shared" si="84"/>
        <v>40.927380642543149</v>
      </c>
      <c r="Z247" s="385">
        <f t="shared" si="85"/>
        <v>42.004239135783301</v>
      </c>
      <c r="AA247" s="386">
        <f t="shared" si="86"/>
        <v>48.271329336867005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0.12983048710649947</v>
      </c>
      <c r="AD247" s="231">
        <f>(INDEX(Models!$BJ247:$BT247,,AH247)*(1-AF247)+INDEX(Models!$BJ247:$BT247,,AH247+1)*AF247-ERP_i)*AE247*Ramure*Pc/MaxiM</f>
        <v>2.8535596507058052E-4</v>
      </c>
      <c r="AE247" s="305">
        <f t="shared" si="88"/>
        <v>0.7</v>
      </c>
      <c r="AF247" s="177">
        <f t="shared" si="89"/>
        <v>0.97966137979462942</v>
      </c>
      <c r="AG247" s="810">
        <f t="shared" si="95"/>
        <v>-1</v>
      </c>
      <c r="AH247" s="176">
        <f t="shared" si="90"/>
        <v>5</v>
      </c>
      <c r="AI247" s="225">
        <f t="shared" si="91"/>
        <v>-2.0338620205370583E-2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6">
        <v>20.582000000000001</v>
      </c>
      <c r="C248" s="390"/>
      <c r="D248" s="393">
        <f t="shared" si="74"/>
        <v>21.12403373225894</v>
      </c>
      <c r="E248" s="385">
        <f t="shared" si="96"/>
        <v>22.076522310245739</v>
      </c>
      <c r="F248" s="385">
        <f t="shared" si="75"/>
        <v>22.07751071137865</v>
      </c>
      <c r="G248" s="110">
        <f t="shared" si="97"/>
        <v>0.40308658739292769</v>
      </c>
      <c r="H248" s="414" t="b">
        <f>Wh_hp&gt;='2020'!Maxi_hp</f>
        <v>0</v>
      </c>
      <c r="I248" s="380">
        <f>IF(H248,Wh_hp,'2020'!Maxi_hp)</f>
        <v>55.477484592844142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2.5659575208459739E-2</v>
      </c>
      <c r="M248" s="844"/>
      <c r="N248" s="844"/>
      <c r="O248" s="48">
        <f>IF(t&lt;Tnet,'2020'!Resal+('2020'!Salim-'2020'!Resal)*(1-EXP(('2020'!Tnet-t)/('2020'!Tau_j))),Resal+(Salim-Resal)*(1-EXP((Tnet-t)/(Tau_j))))*Salcycl</f>
        <v>4.3144865146841925E-2</v>
      </c>
      <c r="P248" s="169">
        <f>(INDEX(Models!$BJ248:$BT248,,T248)*(1-R248)+INDEX(Models!$BJ248:$BT248,,T248+1)*R248-ERP_i)*Q248*Ramure*Pc/MaxiM</f>
        <v>3.0369622651869654E-4</v>
      </c>
      <c r="Q248" s="305">
        <f t="shared" si="77"/>
        <v>0.7</v>
      </c>
      <c r="R248" s="177">
        <f t="shared" si="78"/>
        <v>0.98041927927592409</v>
      </c>
      <c r="S248" s="810">
        <f t="shared" si="79"/>
        <v>-1</v>
      </c>
      <c r="T248" s="176">
        <f t="shared" si="80"/>
        <v>5</v>
      </c>
      <c r="U248" s="251">
        <f t="shared" si="81"/>
        <v>-1.9580720724075906E-2</v>
      </c>
      <c r="V248" s="383">
        <f t="shared" si="82"/>
        <v>51.04776784184871</v>
      </c>
      <c r="W248" s="402"/>
      <c r="X248" s="157">
        <f t="shared" si="83"/>
        <v>44430</v>
      </c>
      <c r="Y248" s="385">
        <f t="shared" si="84"/>
        <v>18.715684250493823</v>
      </c>
      <c r="Z248" s="385">
        <f t="shared" si="85"/>
        <v>19.208567944307593</v>
      </c>
      <c r="AA248" s="386">
        <f t="shared" si="86"/>
        <v>22.076522310245739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0.12990969889343154</v>
      </c>
      <c r="AD248" s="231">
        <f>(INDEX(Models!$BJ248:$BT248,,AH248)*(1-AF248)+INDEX(Models!$BJ248:$BT248,,AH248+1)*AF248-ERP_i)*AE248*Ramure*Pc/MaxiM</f>
        <v>3.0369622651869654E-4</v>
      </c>
      <c r="AE248" s="305">
        <f t="shared" si="88"/>
        <v>0.7</v>
      </c>
      <c r="AF248" s="177">
        <f t="shared" si="89"/>
        <v>0.98041927927592409</v>
      </c>
      <c r="AG248" s="810">
        <f t="shared" si="95"/>
        <v>-1</v>
      </c>
      <c r="AH248" s="176">
        <f t="shared" si="90"/>
        <v>5</v>
      </c>
      <c r="AI248" s="225">
        <f t="shared" si="91"/>
        <v>-1.9580720724075906E-2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6">
        <v>48.154000000000003</v>
      </c>
      <c r="C249" s="390"/>
      <c r="D249" s="393">
        <f t="shared" si="74"/>
        <v>49.423301563527104</v>
      </c>
      <c r="E249" s="385">
        <f t="shared" si="96"/>
        <v>51.661509316581707</v>
      </c>
      <c r="F249" s="385">
        <f t="shared" si="75"/>
        <v>51.677001907831759</v>
      </c>
      <c r="G249" s="110">
        <f t="shared" si="97"/>
        <v>0.94818792106900684</v>
      </c>
      <c r="H249" s="414" t="b">
        <f>Wh_hp&gt;='2020'!Maxi_hp</f>
        <v>0</v>
      </c>
      <c r="I249" s="380">
        <f>IF(H249,Wh_hp,'2020'!Maxi_hp)</f>
        <v>52.54696710023925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2.568224953356435E-2</v>
      </c>
      <c r="M249" s="844"/>
      <c r="N249" s="844"/>
      <c r="O249" s="48">
        <f>IF(t&lt;Tnet,'2020'!Resal+('2020'!Salim-'2020'!Resal)*(1-EXP(('2020'!Tnet-t)/('2020'!Tau_j))),Resal+(Salim-Resal)*(1-EXP((Tnet-t)/(Tau_j))))*Salcycl</f>
        <v>4.3324474694280954E-2</v>
      </c>
      <c r="P249" s="169">
        <f>(INDEX(Models!$BJ249:$BT249,,T249)*(1-R249)+INDEX(Models!$BJ249:$BT249,,T249+1)*R249-ERP_i)*Q249*Ramure*Pc/MaxiM</f>
        <v>3.2374915064441499E-4</v>
      </c>
      <c r="Q249" s="305">
        <f t="shared" si="77"/>
        <v>0.7</v>
      </c>
      <c r="R249" s="177">
        <f t="shared" si="78"/>
        <v>0.98114950510343313</v>
      </c>
      <c r="S249" s="810">
        <f t="shared" si="79"/>
        <v>-1</v>
      </c>
      <c r="T249" s="176">
        <f t="shared" si="80"/>
        <v>5</v>
      </c>
      <c r="U249" s="251">
        <f t="shared" si="81"/>
        <v>-1.8850494896566872E-2</v>
      </c>
      <c r="V249" s="383">
        <f t="shared" si="82"/>
        <v>50.784074733154505</v>
      </c>
      <c r="W249" s="402"/>
      <c r="X249" s="157">
        <f t="shared" si="83"/>
        <v>44431</v>
      </c>
      <c r="Y249" s="385">
        <f t="shared" si="84"/>
        <v>43.791796389772877</v>
      </c>
      <c r="Z249" s="385">
        <f t="shared" si="85"/>
        <v>44.946113697311176</v>
      </c>
      <c r="AA249" s="386">
        <f t="shared" si="86"/>
        <v>51.661509316581707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0.12998837448047804</v>
      </c>
      <c r="AD249" s="231">
        <f>(INDEX(Models!$BJ249:$BT249,,AH249)*(1-AF249)+INDEX(Models!$BJ249:$BT249,,AH249+1)*AF249-ERP_i)*AE249*Ramure*Pc/MaxiM</f>
        <v>3.2374915064441499E-4</v>
      </c>
      <c r="AE249" s="305">
        <f t="shared" si="88"/>
        <v>0.7</v>
      </c>
      <c r="AF249" s="177">
        <f t="shared" si="89"/>
        <v>0.98114950510343313</v>
      </c>
      <c r="AG249" s="810">
        <f t="shared" si="95"/>
        <v>-1</v>
      </c>
      <c r="AH249" s="176">
        <f t="shared" si="90"/>
        <v>5</v>
      </c>
      <c r="AI249" s="225">
        <f t="shared" si="91"/>
        <v>-1.8850494896566872E-2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6">
        <v>42.222000000000001</v>
      </c>
      <c r="C250" s="390"/>
      <c r="D250" s="393">
        <f t="shared" si="74"/>
        <v>43.335947200259113</v>
      </c>
      <c r="E250" s="385">
        <f t="shared" si="96"/>
        <v>45.306968423354931</v>
      </c>
      <c r="F250" s="385">
        <f t="shared" si="75"/>
        <v>45.318954974041638</v>
      </c>
      <c r="G250" s="110">
        <f t="shared" si="97"/>
        <v>0.83573848663528039</v>
      </c>
      <c r="H250" s="414" t="b">
        <f>Wh_hp&gt;='2020'!Maxi_hp</f>
        <v>0</v>
      </c>
      <c r="I250" s="380">
        <f>IF(H250,Wh_hp,'2020'!Maxi_hp)</f>
        <v>52.284492274475099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2.5704923331004381E-2</v>
      </c>
      <c r="M250" s="844"/>
      <c r="N250" s="844"/>
      <c r="O250" s="48">
        <f>IF(t&lt;Tnet,'2020'!Resal+('2020'!Salim-'2020'!Resal)*(1-EXP(('2020'!Tnet-t)/('2020'!Tau_j))),Resal+(Salim-Resal)*(1-EXP((Tnet-t)/(Tau_j))))*Salcycl</f>
        <v>4.3503710172755401E-2</v>
      </c>
      <c r="P250" s="169">
        <f>(INDEX(Models!$BJ250:$BT250,,T250)*(1-R250)+INDEX(Models!$BJ250:$BT250,,T250+1)*R250-ERP_i)*Q250*Ramure*Pc/MaxiM</f>
        <v>3.4554499405366429E-4</v>
      </c>
      <c r="Q250" s="305">
        <f t="shared" si="77"/>
        <v>0.7</v>
      </c>
      <c r="R250" s="177">
        <f t="shared" si="78"/>
        <v>0.98185296234316455</v>
      </c>
      <c r="S250" s="810">
        <f t="shared" si="79"/>
        <v>-1</v>
      </c>
      <c r="T250" s="176">
        <f t="shared" si="80"/>
        <v>5</v>
      </c>
      <c r="U250" s="251">
        <f t="shared" si="81"/>
        <v>-1.8147037656835452E-2</v>
      </c>
      <c r="V250" s="383">
        <f t="shared" si="82"/>
        <v>50.516492415388427</v>
      </c>
      <c r="W250" s="402"/>
      <c r="X250" s="157">
        <f t="shared" si="83"/>
        <v>44432</v>
      </c>
      <c r="Y250" s="385">
        <f t="shared" si="84"/>
        <v>38.400914668826211</v>
      </c>
      <c r="Z250" s="385">
        <f t="shared" si="85"/>
        <v>39.414049797023075</v>
      </c>
      <c r="AA250" s="386">
        <f t="shared" si="86"/>
        <v>45.306968423354931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0.13006649598065281</v>
      </c>
      <c r="AD250" s="231">
        <f>(INDEX(Models!$BJ250:$BT250,,AH250)*(1-AF250)+INDEX(Models!$BJ250:$BT250,,AH250+1)*AF250-ERP_i)*AE250*Ramure*Pc/MaxiM</f>
        <v>3.4554499405366429E-4</v>
      </c>
      <c r="AE250" s="305">
        <f t="shared" si="88"/>
        <v>0.7</v>
      </c>
      <c r="AF250" s="177">
        <f t="shared" si="89"/>
        <v>0.98185296234316455</v>
      </c>
      <c r="AG250" s="810">
        <f t="shared" si="95"/>
        <v>-1</v>
      </c>
      <c r="AH250" s="176">
        <f t="shared" si="90"/>
        <v>5</v>
      </c>
      <c r="AI250" s="225">
        <f t="shared" si="91"/>
        <v>-1.8147037656835452E-2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6">
        <v>44.323</v>
      </c>
      <c r="C251" s="390"/>
      <c r="D251" s="393">
        <f t="shared" si="74"/>
        <v>45.493436789709264</v>
      </c>
      <c r="E251" s="385">
        <f t="shared" si="96"/>
        <v>47.571481055204437</v>
      </c>
      <c r="F251" s="385">
        <f t="shared" si="75"/>
        <v>47.586088434200292</v>
      </c>
      <c r="G251" s="110">
        <f t="shared" si="97"/>
        <v>0.88208584854203964</v>
      </c>
      <c r="H251" s="414" t="b">
        <f>Wh_hp&gt;='2020'!Maxi_hp</f>
        <v>0</v>
      </c>
      <c r="I251" s="380">
        <f>IF(H251,Wh_hp,'2020'!Maxi_hp)</f>
        <v>49.886993974579291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2.5727596600791935E-2</v>
      </c>
      <c r="M251" s="844"/>
      <c r="N251" s="844"/>
      <c r="O251" s="48">
        <f>IF(t&lt;Tnet,'2020'!Resal+('2020'!Salim-'2020'!Resal)*(1-EXP(('2020'!Tnet-t)/('2020'!Tau_j))),Resal+(Salim-Resal)*(1-EXP((Tnet-t)/(Tau_j))))*Salcycl</f>
        <v>4.3682563994248975E-2</v>
      </c>
      <c r="P251" s="169">
        <f>(INDEX(Models!$BJ251:$BT251,,T251)*(1-R251)+INDEX(Models!$BJ251:$BT251,,T251+1)*R251-ERP_i)*Q251*Ramure*Pc/MaxiM</f>
        <v>3.6911557824188373E-4</v>
      </c>
      <c r="Q251" s="305">
        <f t="shared" si="77"/>
        <v>0.7</v>
      </c>
      <c r="R251" s="177">
        <f t="shared" si="78"/>
        <v>0.98253053447753624</v>
      </c>
      <c r="S251" s="810">
        <f t="shared" si="79"/>
        <v>-1</v>
      </c>
      <c r="T251" s="176">
        <f t="shared" si="80"/>
        <v>5</v>
      </c>
      <c r="U251" s="251">
        <f t="shared" si="81"/>
        <v>-1.7469465522463756E-2</v>
      </c>
      <c r="V251" s="383">
        <f t="shared" si="82"/>
        <v>50.244819860555374</v>
      </c>
      <c r="W251" s="402"/>
      <c r="X251" s="157">
        <f t="shared" si="83"/>
        <v>44433</v>
      </c>
      <c r="Y251" s="385">
        <f t="shared" si="84"/>
        <v>40.315719498197957</v>
      </c>
      <c r="Z251" s="385">
        <f t="shared" si="85"/>
        <v>41.380336092388106</v>
      </c>
      <c r="AA251" s="386">
        <f t="shared" si="86"/>
        <v>47.571481055204437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0.13014404482449907</v>
      </c>
      <c r="AD251" s="231">
        <f>(INDEX(Models!$BJ251:$BT251,,AH251)*(1-AF251)+INDEX(Models!$BJ251:$BT251,,AH251+1)*AF251-ERP_i)*AE251*Ramure*Pc/MaxiM</f>
        <v>3.6911557824188373E-4</v>
      </c>
      <c r="AE251" s="305">
        <f t="shared" si="88"/>
        <v>0.7</v>
      </c>
      <c r="AF251" s="177">
        <f t="shared" si="89"/>
        <v>0.98253053447753624</v>
      </c>
      <c r="AG251" s="810">
        <f t="shared" si="95"/>
        <v>-1</v>
      </c>
      <c r="AH251" s="176">
        <f t="shared" si="90"/>
        <v>5</v>
      </c>
      <c r="AI251" s="225">
        <f t="shared" si="91"/>
        <v>-1.7469465522463756E-2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6">
        <v>47.274000000000001</v>
      </c>
      <c r="C252" s="390"/>
      <c r="D252" s="393">
        <f t="shared" si="74"/>
        <v>48.523493014585824</v>
      </c>
      <c r="E252" s="385">
        <f t="shared" si="96"/>
        <v>50.74941451917816</v>
      </c>
      <c r="F252" s="385">
        <f t="shared" si="75"/>
        <v>50.767899148156239</v>
      </c>
      <c r="G252" s="110">
        <f t="shared" si="97"/>
        <v>0.94604051850300996</v>
      </c>
      <c r="H252" s="414" t="b">
        <f>Wh_hp&gt;='2020'!Maxi_hp</f>
        <v>0</v>
      </c>
      <c r="I252" s="380">
        <f>IF(H252,Wh_hp,'2020'!Maxi_hp)</f>
        <v>51.84257425367344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2.5750269342939447E-2</v>
      </c>
      <c r="M252" s="844"/>
      <c r="N252" s="844"/>
      <c r="O252" s="48">
        <f>IF(t&lt;Tnet,'2020'!Resal+('2020'!Salim-'2020'!Resal)*(1-EXP(('2020'!Tnet-t)/('2020'!Tau_j))),Resal+(Salim-Resal)*(1-EXP((Tnet-t)/(Tau_j))))*Salcycl</f>
        <v>4.386102826370869E-2</v>
      </c>
      <c r="P252" s="169">
        <f>(INDEX(Models!$BJ252:$BT252,,T252)*(1-R252)+INDEX(Models!$BJ252:$BT252,,T252+1)*R252-ERP_i)*Q252*Ramure*Pc/MaxiM</f>
        <v>3.9449408196741192E-4</v>
      </c>
      <c r="Q252" s="305">
        <f t="shared" si="77"/>
        <v>0.7</v>
      </c>
      <c r="R252" s="177">
        <f t="shared" si="78"/>
        <v>0.98318308327865922</v>
      </c>
      <c r="S252" s="810">
        <f t="shared" si="79"/>
        <v>-1</v>
      </c>
      <c r="T252" s="176">
        <f t="shared" si="80"/>
        <v>5</v>
      </c>
      <c r="U252" s="251">
        <f t="shared" si="81"/>
        <v>-1.6816916721340835E-2</v>
      </c>
      <c r="V252" s="383">
        <f t="shared" si="82"/>
        <v>49.968856234608964</v>
      </c>
      <c r="W252" s="402"/>
      <c r="X252" s="157">
        <f t="shared" si="83"/>
        <v>44434</v>
      </c>
      <c r="Y252" s="385">
        <f t="shared" si="84"/>
        <v>43.004138078060656</v>
      </c>
      <c r="Z252" s="385">
        <f t="shared" si="85"/>
        <v>44.140774921289939</v>
      </c>
      <c r="AA252" s="386">
        <f t="shared" si="86"/>
        <v>50.74941451917816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0.13022100176920903</v>
      </c>
      <c r="AD252" s="231">
        <f>(INDEX(Models!$BJ252:$BT252,,AH252)*(1-AF252)+INDEX(Models!$BJ252:$BT252,,AH252+1)*AF252-ERP_i)*AE252*Ramure*Pc/MaxiM</f>
        <v>3.9449408196741192E-4</v>
      </c>
      <c r="AE252" s="305">
        <f t="shared" si="88"/>
        <v>0.7</v>
      </c>
      <c r="AF252" s="177">
        <f t="shared" si="89"/>
        <v>0.98318308327865922</v>
      </c>
      <c r="AG252" s="810">
        <f t="shared" si="95"/>
        <v>-1</v>
      </c>
      <c r="AH252" s="176">
        <f t="shared" si="90"/>
        <v>5</v>
      </c>
      <c r="AI252" s="225">
        <f t="shared" si="91"/>
        <v>-1.6816916721340835E-2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6">
        <v>42.322000000000003</v>
      </c>
      <c r="C253" s="390"/>
      <c r="D253" s="393">
        <f t="shared" si="74"/>
        <v>43.441618289332411</v>
      </c>
      <c r="E253" s="385">
        <f t="shared" si="96"/>
        <v>45.442881661646709</v>
      </c>
      <c r="F253" s="385">
        <f t="shared" si="75"/>
        <v>45.457991940150755</v>
      </c>
      <c r="G253" s="110">
        <f t="shared" si="97"/>
        <v>0.85167198014928391</v>
      </c>
      <c r="H253" s="414" t="b">
        <f>Wh_hp&gt;='2020'!Maxi_hp</f>
        <v>1</v>
      </c>
      <c r="I253" s="380">
        <f>IF(H253,Wh_hp,'2020'!Maxi_hp)</f>
        <v>45.457991940150755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2.5772941557459017E-2</v>
      </c>
      <c r="M253" s="844"/>
      <c r="N253" s="844"/>
      <c r="O253" s="48">
        <f>IF(t&lt;Tnet,'2020'!Resal+('2020'!Salim-'2020'!Resal)*(1-EXP(('2020'!Tnet-t)/('2020'!Tau_j))),Resal+(Salim-Resal)*(1-EXP((Tnet-t)/(Tau_j))))*Salcycl</f>
        <v>4.4039094774294192E-2</v>
      </c>
      <c r="P253" s="169">
        <f>(INDEX(Models!$BJ253:$BT253,,T253)*(1-R253)+INDEX(Models!$BJ253:$BT253,,T253+1)*R253-ERP_i)*Q253*Ramure*Pc/MaxiM</f>
        <v>4.2171537230229275E-4</v>
      </c>
      <c r="Q253" s="305">
        <f t="shared" si="77"/>
        <v>0.7</v>
      </c>
      <c r="R253" s="177">
        <f t="shared" si="78"/>
        <v>0.983811448746857</v>
      </c>
      <c r="S253" s="810">
        <f t="shared" si="79"/>
        <v>-1</v>
      </c>
      <c r="T253" s="176">
        <f t="shared" si="80"/>
        <v>5</v>
      </c>
      <c r="U253" s="251">
        <f t="shared" si="81"/>
        <v>-1.6188551253143058E-2</v>
      </c>
      <c r="V253" s="383">
        <f t="shared" si="82"/>
        <v>49.688400890681649</v>
      </c>
      <c r="W253" s="402"/>
      <c r="X253" s="157">
        <f t="shared" si="83"/>
        <v>44435</v>
      </c>
      <c r="Y253" s="385">
        <f t="shared" si="84"/>
        <v>38.503201839649925</v>
      </c>
      <c r="Z253" s="385">
        <f t="shared" si="85"/>
        <v>39.521794745881415</v>
      </c>
      <c r="AA253" s="386">
        <f t="shared" si="86"/>
        <v>45.442881661646709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0.1302973468947641</v>
      </c>
      <c r="AD253" s="231">
        <f>(INDEX(Models!$BJ253:$BT253,,AH253)*(1-AF253)+INDEX(Models!$BJ253:$BT253,,AH253+1)*AF253-ERP_i)*AE253*Ramure*Pc/MaxiM</f>
        <v>4.2171537230229275E-4</v>
      </c>
      <c r="AE253" s="305">
        <f t="shared" si="88"/>
        <v>0.7</v>
      </c>
      <c r="AF253" s="177">
        <f t="shared" si="89"/>
        <v>0.983811448746857</v>
      </c>
      <c r="AG253" s="810">
        <f t="shared" si="95"/>
        <v>-1</v>
      </c>
      <c r="AH253" s="176">
        <f t="shared" si="90"/>
        <v>5</v>
      </c>
      <c r="AI253" s="225">
        <f t="shared" si="91"/>
        <v>-1.6188551253143058E-2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6">
        <v>48.591000000000001</v>
      </c>
      <c r="C254" s="390"/>
      <c r="D254" s="393">
        <f t="shared" si="74"/>
        <v>49.877623895557612</v>
      </c>
      <c r="E254" s="385">
        <f t="shared" si="96"/>
        <v>52.185078736631375</v>
      </c>
      <c r="F254" s="385">
        <f t="shared" si="75"/>
        <v>52.208096554658312</v>
      </c>
      <c r="G254" s="110">
        <f t="shared" si="97"/>
        <v>0.98354893575348779</v>
      </c>
      <c r="H254" s="414" t="b">
        <f>Wh_hp&gt;='2020'!Maxi_hp</f>
        <v>1</v>
      </c>
      <c r="I254" s="380">
        <f>IF(H254,Wh_hp,'2020'!Maxi_hp)</f>
        <v>52.208096554658312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2.5795613244363191E-2</v>
      </c>
      <c r="M254" s="844"/>
      <c r="N254" s="844"/>
      <c r="O254" s="48">
        <f>IF(t&lt;Tnet,'2020'!Resal+('2020'!Salim-'2020'!Resal)*(1-EXP(('2020'!Tnet-t)/('2020'!Tau_j))),Resal+(Salim-Resal)*(1-EXP((Tnet-t)/(Tau_j))))*Salcycl</f>
        <v>4.4216754998475057E-2</v>
      </c>
      <c r="P254" s="169">
        <f>(INDEX(Models!$BJ254:$BT254,,T254)*(1-R254)+INDEX(Models!$BJ254:$BT254,,T254+1)*R254-ERP_i)*Q254*Ramure*Pc/MaxiM</f>
        <v>4.5148995451250838E-4</v>
      </c>
      <c r="Q254" s="305">
        <f t="shared" si="77"/>
        <v>0.7</v>
      </c>
      <c r="R254" s="177">
        <f t="shared" si="78"/>
        <v>0.9844164491089048</v>
      </c>
      <c r="S254" s="810">
        <f t="shared" si="79"/>
        <v>-1</v>
      </c>
      <c r="T254" s="176">
        <f t="shared" si="80"/>
        <v>5</v>
      </c>
      <c r="U254" s="251">
        <f t="shared" si="81"/>
        <v>-1.5583550891095199E-2</v>
      </c>
      <c r="V254" s="383">
        <f t="shared" si="82"/>
        <v>49.403220062434848</v>
      </c>
      <c r="W254" s="402"/>
      <c r="X254" s="157">
        <f t="shared" si="83"/>
        <v>44436</v>
      </c>
      <c r="Y254" s="385">
        <f t="shared" si="84"/>
        <v>44.210905435468234</v>
      </c>
      <c r="Z254" s="385">
        <f t="shared" si="85"/>
        <v>45.381550356904533</v>
      </c>
      <c r="AA254" s="386">
        <f t="shared" si="86"/>
        <v>52.185078736631375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0.13037305958783757</v>
      </c>
      <c r="AD254" s="231">
        <f>(INDEX(Models!$BJ254:$BT254,,AH254)*(1-AF254)+INDEX(Models!$BJ254:$BT254,,AH254+1)*AF254-ERP_i)*AE254*Ramure*Pc/MaxiM</f>
        <v>4.5148995451250838E-4</v>
      </c>
      <c r="AE254" s="305">
        <f t="shared" si="88"/>
        <v>0.7</v>
      </c>
      <c r="AF254" s="177">
        <f t="shared" si="89"/>
        <v>0.9844164491089048</v>
      </c>
      <c r="AG254" s="810">
        <f t="shared" si="95"/>
        <v>-1</v>
      </c>
      <c r="AH254" s="176">
        <f t="shared" si="90"/>
        <v>5</v>
      </c>
      <c r="AI254" s="225">
        <f t="shared" si="91"/>
        <v>-1.5583550891095199E-2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6">
        <v>47.951000000000001</v>
      </c>
      <c r="C255" s="390"/>
      <c r="D255" s="393">
        <f t="shared" si="74"/>
        <v>49.221823025745515</v>
      </c>
      <c r="E255" s="385">
        <f t="shared" si="96"/>
        <v>51.508490978100888</v>
      </c>
      <c r="F255" s="385">
        <f t="shared" si="75"/>
        <v>51.532555468070449</v>
      </c>
      <c r="G255" s="110">
        <f t="shared" si="97"/>
        <v>0.97632152084366741</v>
      </c>
      <c r="H255" s="414" t="b">
        <f>Wh_hp&gt;='2020'!Maxi_hp</f>
        <v>1</v>
      </c>
      <c r="I255" s="380">
        <f>IF(H255,Wh_hp,'2020'!Maxi_hp)</f>
        <v>51.532555468070449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2.581828440366396E-2</v>
      </c>
      <c r="M255" s="844"/>
      <c r="N255" s="844"/>
      <c r="O255" s="48">
        <f>IF(t&lt;Tnet,'2020'!Resal+('2020'!Salim-'2020'!Resal)*(1-EXP(('2020'!Tnet-t)/('2020'!Tau_j))),Resal+(Salim-Resal)*(1-EXP((Tnet-t)/(Tau_j))))*Salcycl</f>
        <v>4.4394000075202313E-2</v>
      </c>
      <c r="P255" s="169">
        <f>(INDEX(Models!$BJ255:$BT255,,T255)*(1-R255)+INDEX(Models!$BJ255:$BT255,,T255+1)*R255-ERP_i)*Q255*Ramure*Pc/MaxiM</f>
        <v>4.8331421378637558E-4</v>
      </c>
      <c r="Q255" s="305">
        <f t="shared" si="77"/>
        <v>0.7</v>
      </c>
      <c r="R255" s="177">
        <f t="shared" si="78"/>
        <v>0.9849988808707405</v>
      </c>
      <c r="S255" s="810">
        <f t="shared" si="79"/>
        <v>-1</v>
      </c>
      <c r="T255" s="176">
        <f t="shared" si="80"/>
        <v>5</v>
      </c>
      <c r="U255" s="251">
        <f t="shared" si="81"/>
        <v>-1.5001119129259499E-2</v>
      </c>
      <c r="V255" s="383">
        <f t="shared" si="82"/>
        <v>49.113140700406127</v>
      </c>
      <c r="W255" s="402"/>
      <c r="X255" s="157">
        <f t="shared" si="83"/>
        <v>44437</v>
      </c>
      <c r="Y255" s="385">
        <f t="shared" si="84"/>
        <v>43.632922221497623</v>
      </c>
      <c r="Z255" s="385">
        <f t="shared" si="85"/>
        <v>44.789305242490769</v>
      </c>
      <c r="AA255" s="386">
        <f t="shared" si="86"/>
        <v>51.508490978100888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0.13044811851441776</v>
      </c>
      <c r="AD255" s="231">
        <f>(INDEX(Models!$BJ255:$BT255,,AH255)*(1-AF255)+INDEX(Models!$BJ255:$BT255,,AH255+1)*AF255-ERP_i)*AE255*Ramure*Pc/MaxiM</f>
        <v>4.8331421378637558E-4</v>
      </c>
      <c r="AE255" s="305">
        <f t="shared" si="88"/>
        <v>0.7</v>
      </c>
      <c r="AF255" s="177">
        <f t="shared" si="89"/>
        <v>0.9849988808707405</v>
      </c>
      <c r="AG255" s="810">
        <f t="shared" si="95"/>
        <v>-1</v>
      </c>
      <c r="AH255" s="176">
        <f t="shared" si="90"/>
        <v>5</v>
      </c>
      <c r="AI255" s="225">
        <f t="shared" si="91"/>
        <v>-1.5001119129259499E-2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6">
        <v>46.57</v>
      </c>
      <c r="C256" s="390"/>
      <c r="D256" s="393">
        <f t="shared" si="74"/>
        <v>47.805335525772442</v>
      </c>
      <c r="E256" s="385">
        <f t="shared" si="96"/>
        <v>50.035456908981516</v>
      </c>
      <c r="F256" s="385">
        <f t="shared" si="75"/>
        <v>50.059646058487751</v>
      </c>
      <c r="G256" s="110">
        <f t="shared" si="97"/>
        <v>0.95391966611988732</v>
      </c>
      <c r="H256" s="414" t="b">
        <f>Wh_hp&gt;='2020'!Maxi_hp</f>
        <v>1</v>
      </c>
      <c r="I256" s="380">
        <f>IF(H256,Wh_hp,'2020'!Maxi_hp)</f>
        <v>50.059646058487751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2.5840955035373758E-2</v>
      </c>
      <c r="M256" s="844"/>
      <c r="N256" s="844"/>
      <c r="O256" s="48">
        <f>IF(t&lt;Tnet,'2020'!Resal+('2020'!Salim-'2020'!Resal)*(1-EXP(('2020'!Tnet-t)/('2020'!Tau_j))),Resal+(Salim-Resal)*(1-EXP((Tnet-t)/(Tau_j))))*Salcycl</f>
        <v>4.4570820793459365E-2</v>
      </c>
      <c r="P256" s="169">
        <f>(INDEX(Models!$BJ256:$BT256,,T256)*(1-R256)+INDEX(Models!$BJ256:$BT256,,T256+1)*R256-ERP_i)*Q256*Ramure*Pc/MaxiM</f>
        <v>5.1723142003011144E-4</v>
      </c>
      <c r="Q256" s="305">
        <f t="shared" si="77"/>
        <v>0.7</v>
      </c>
      <c r="R256" s="177">
        <f t="shared" si="78"/>
        <v>0.98555951891968019</v>
      </c>
      <c r="S256" s="810">
        <f t="shared" si="79"/>
        <v>-1</v>
      </c>
      <c r="T256" s="176">
        <f t="shared" si="80"/>
        <v>5</v>
      </c>
      <c r="U256" s="251">
        <f t="shared" si="81"/>
        <v>-1.4440481080319756E-2</v>
      </c>
      <c r="V256" s="383">
        <f t="shared" si="82"/>
        <v>48.81796271774985</v>
      </c>
      <c r="W256" s="402"/>
      <c r="X256" s="157">
        <f t="shared" si="83"/>
        <v>44438</v>
      </c>
      <c r="Y256" s="385">
        <f t="shared" si="84"/>
        <v>42.380500807960431</v>
      </c>
      <c r="Z256" s="385">
        <f t="shared" si="85"/>
        <v>43.504703905407311</v>
      </c>
      <c r="AA256" s="386">
        <f t="shared" si="86"/>
        <v>50.035456908981516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0.13052250158231132</v>
      </c>
      <c r="AD256" s="231">
        <f>(INDEX(Models!$BJ256:$BT256,,AH256)*(1-AF256)+INDEX(Models!$BJ256:$BT256,,AH256+1)*AF256-ERP_i)*AE256*Ramure*Pc/MaxiM</f>
        <v>5.1723142003011144E-4</v>
      </c>
      <c r="AE256" s="305">
        <f t="shared" si="88"/>
        <v>0.7</v>
      </c>
      <c r="AF256" s="177">
        <f t="shared" si="89"/>
        <v>0.98555951891968019</v>
      </c>
      <c r="AG256" s="810">
        <f t="shared" si="95"/>
        <v>-1</v>
      </c>
      <c r="AH256" s="176">
        <f t="shared" si="90"/>
        <v>5</v>
      </c>
      <c r="AI256" s="225">
        <f t="shared" si="91"/>
        <v>-1.4440481080319756E-2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6">
        <v>46.173999999999999</v>
      </c>
      <c r="C257" s="390"/>
      <c r="D257" s="393">
        <f t="shared" si="74"/>
        <v>47.399934127921796</v>
      </c>
      <c r="E257" s="385">
        <f t="shared" si="96"/>
        <v>49.620304178826018</v>
      </c>
      <c r="F257" s="385">
        <f t="shared" si="75"/>
        <v>49.645877215409939</v>
      </c>
      <c r="G257" s="110">
        <f t="shared" si="97"/>
        <v>0.95166175853130819</v>
      </c>
      <c r="H257" s="414" t="b">
        <f>Wh_hp&gt;='2020'!Maxi_hp</f>
        <v>1</v>
      </c>
      <c r="I257" s="380">
        <f>IF(H257,Wh_hp,'2020'!Maxi_hp)</f>
        <v>49.645877215409939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2.5863625139504909E-2</v>
      </c>
      <c r="M257" s="844"/>
      <c r="N257" s="844"/>
      <c r="O257" s="48">
        <f>IF(t&lt;Tnet,'2020'!Resal+('2020'!Salim-'2020'!Resal)*(1-EXP(('2020'!Tnet-t)/('2020'!Tau_j))),Resal+(Salim-Resal)*(1-EXP((Tnet-t)/(Tau_j))))*Salcycl</f>
        <v>4.4747207572574658E-2</v>
      </c>
      <c r="P257" s="169">
        <f>(INDEX(Models!$BJ257:$BT257,,T257)*(1-R257)+INDEX(Models!$BJ257:$BT257,,T257+1)*R257-ERP_i)*Q257*Ramure*Pc/MaxiM</f>
        <v>5.5328728337426336E-4</v>
      </c>
      <c r="Q257" s="305">
        <f t="shared" si="77"/>
        <v>0.7</v>
      </c>
      <c r="R257" s="177">
        <f t="shared" si="78"/>
        <v>0.98609911667144035</v>
      </c>
      <c r="S257" s="810">
        <f t="shared" si="79"/>
        <v>-1</v>
      </c>
      <c r="T257" s="176">
        <f t="shared" si="80"/>
        <v>5</v>
      </c>
      <c r="U257" s="251">
        <f t="shared" si="81"/>
        <v>-1.3900883328559599E-2</v>
      </c>
      <c r="V257" s="383">
        <f t="shared" si="82"/>
        <v>48.517486209809711</v>
      </c>
      <c r="W257" s="402"/>
      <c r="X257" s="157">
        <f t="shared" si="83"/>
        <v>44439</v>
      </c>
      <c r="Y257" s="385">
        <f t="shared" si="84"/>
        <v>42.024322808289327</v>
      </c>
      <c r="Z257" s="385">
        <f t="shared" si="85"/>
        <v>43.140081710127681</v>
      </c>
      <c r="AA257" s="386">
        <f t="shared" si="86"/>
        <v>49.620304178826018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0.13059618589487759</v>
      </c>
      <c r="AD257" s="231">
        <f>(INDEX(Models!$BJ257:$BT257,,AH257)*(1-AF257)+INDEX(Models!$BJ257:$BT257,,AH257+1)*AF257-ERP_i)*AE257*Ramure*Pc/MaxiM</f>
        <v>5.5328728337426336E-4</v>
      </c>
      <c r="AE257" s="305">
        <f t="shared" si="88"/>
        <v>0.7</v>
      </c>
      <c r="AF257" s="177">
        <f t="shared" si="89"/>
        <v>0.98609911667144035</v>
      </c>
      <c r="AG257" s="810">
        <f t="shared" si="95"/>
        <v>-1</v>
      </c>
      <c r="AH257" s="176">
        <f t="shared" si="90"/>
        <v>5</v>
      </c>
      <c r="AI257" s="225">
        <f t="shared" si="91"/>
        <v>-1.3900883328559599E-2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6">
        <v>31.132999999999999</v>
      </c>
      <c r="C258" s="390"/>
      <c r="D258" s="393">
        <f t="shared" si="74"/>
        <v>31.960334641760827</v>
      </c>
      <c r="E258" s="385">
        <f t="shared" si="96"/>
        <v>33.463626153724142</v>
      </c>
      <c r="F258" s="385">
        <f t="shared" si="75"/>
        <v>33.473406445128433</v>
      </c>
      <c r="G258" s="110">
        <f t="shared" si="97"/>
        <v>0.64556527472226122</v>
      </c>
      <c r="H258" s="414" t="b">
        <f>Wh_hp&gt;='2020'!Maxi_hp</f>
        <v>0</v>
      </c>
      <c r="I258" s="380">
        <f>IF(H258,Wh_hp,'2020'!Maxi_hp)</f>
        <v>49.265411804235086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2.5886294716069513E-2</v>
      </c>
      <c r="M258" s="844"/>
      <c r="N258" s="844"/>
      <c r="O258" s="48">
        <f>IF(t&lt;Tnet,'2020'!Resal+('2020'!Salim-'2020'!Resal)*(1-EXP(('2020'!Tnet-t)/('2020'!Tau_j))),Resal+(Salim-Resal)*(1-EXP((Tnet-t)/(Tau_j))))*Salcycl</f>
        <v>4.4923150439750474E-2</v>
      </c>
      <c r="P258" s="169">
        <f>(INDEX(Models!$BJ258:$BT258,,T258)*(1-R258)+INDEX(Models!$BJ258:$BT258,,T258+1)*R258-ERP_i)*Q258*Ramure*Pc/MaxiM</f>
        <v>5.915301488264961E-4</v>
      </c>
      <c r="Q258" s="305">
        <f t="shared" si="77"/>
        <v>0.7</v>
      </c>
      <c r="R258" s="177">
        <f t="shared" si="78"/>
        <v>0.98661840625753761</v>
      </c>
      <c r="S258" s="810">
        <f t="shared" si="79"/>
        <v>-1</v>
      </c>
      <c r="T258" s="176">
        <f t="shared" si="80"/>
        <v>5</v>
      </c>
      <c r="U258" s="251">
        <f t="shared" si="81"/>
        <v>-1.3381593742462394E-2</v>
      </c>
      <c r="V258" s="383">
        <f t="shared" si="82"/>
        <v>48.211511455129248</v>
      </c>
      <c r="W258" s="402"/>
      <c r="X258" s="157">
        <f t="shared" si="83"/>
        <v>44440</v>
      </c>
      <c r="Y258" s="385">
        <f t="shared" si="84"/>
        <v>28.337905412737012</v>
      </c>
      <c r="Z258" s="385">
        <f t="shared" si="85"/>
        <v>29.090962645348675</v>
      </c>
      <c r="AA258" s="386">
        <f t="shared" si="86"/>
        <v>33.463626153724142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0.13066914769751681</v>
      </c>
      <c r="AD258" s="231">
        <f>(INDEX(Models!$BJ258:$BT258,,AH258)*(1-AF258)+INDEX(Models!$BJ258:$BT258,,AH258+1)*AF258-ERP_i)*AE258*Ramure*Pc/MaxiM</f>
        <v>5.915301488264961E-4</v>
      </c>
      <c r="AE258" s="305">
        <f t="shared" si="88"/>
        <v>0.7</v>
      </c>
      <c r="AF258" s="177">
        <f t="shared" si="89"/>
        <v>0.98661840625753761</v>
      </c>
      <c r="AG258" s="810">
        <f t="shared" si="95"/>
        <v>-1</v>
      </c>
      <c r="AH258" s="176">
        <f t="shared" si="90"/>
        <v>5</v>
      </c>
      <c r="AI258" s="225">
        <f t="shared" si="91"/>
        <v>-1.3381593742462394E-2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6">
        <v>19.013999999999999</v>
      </c>
      <c r="C259" s="390"/>
      <c r="D259" s="393">
        <f t="shared" si="74"/>
        <v>19.519736136258238</v>
      </c>
      <c r="E259" s="385">
        <f t="shared" si="96"/>
        <v>20.441625631285721</v>
      </c>
      <c r="F259" s="385">
        <f t="shared" si="75"/>
        <v>20.443415177272097</v>
      </c>
      <c r="G259" s="110">
        <f t="shared" si="97"/>
        <v>0.3967371682082444</v>
      </c>
      <c r="H259" s="414" t="b">
        <f>Wh_hp&gt;='2020'!Maxi_hp</f>
        <v>0</v>
      </c>
      <c r="I259" s="380">
        <f>IF(H259,Wh_hp,'2020'!Maxi_hp)</f>
        <v>50.515118630968004</v>
      </c>
      <c r="J259" s="85">
        <f>IF(H259,An,'2020'!An_max)</f>
        <v>2019</v>
      </c>
      <c r="K259" s="197">
        <f t="shared" si="76"/>
        <v>44441</v>
      </c>
      <c r="L259" s="147">
        <f>IF(t&lt;Tvie,1-EXP((T0-t)*PertePVj)+'2020'!Pspv,1-EXP((T0-t)*PertePVj)+Pspv)</f>
        <v>2.5908963765080006E-2</v>
      </c>
      <c r="M259" s="844"/>
      <c r="N259" s="844"/>
      <c r="O259" s="48">
        <f>IF(t&lt;Tnet,'2020'!Resal+('2020'!Salim-'2020'!Resal)*(1-EXP(('2020'!Tnet-t)/('2020'!Tau_j))),Resal+(Salim-Resal)*(1-EXP((Tnet-t)/(Tau_j))))*Salcycl</f>
        <v>4.509863900533128E-2</v>
      </c>
      <c r="P259" s="169">
        <f>(INDEX(Models!$BJ259:$BT259,,T259)*(1-R259)+INDEX(Models!$BJ259:$BT259,,T259+1)*R259-ERP_i)*Q259*Ramure*Pc/MaxiM</f>
        <v>6.3201120404583863E-4</v>
      </c>
      <c r="Q259" s="305">
        <f t="shared" si="77"/>
        <v>0.7</v>
      </c>
      <c r="R259" s="177">
        <f t="shared" si="78"/>
        <v>0.98711809874890288</v>
      </c>
      <c r="S259" s="810">
        <f t="shared" si="79"/>
        <v>-1</v>
      </c>
      <c r="T259" s="176">
        <f t="shared" si="80"/>
        <v>5</v>
      </c>
      <c r="U259" s="251">
        <f t="shared" si="81"/>
        <v>-1.2881901251097116E-2</v>
      </c>
      <c r="V259" s="383">
        <f t="shared" si="82"/>
        <v>47.899838924580493</v>
      </c>
      <c r="W259" s="402"/>
      <c r="X259" s="157">
        <f t="shared" si="83"/>
        <v>44441</v>
      </c>
      <c r="Y259" s="385">
        <f t="shared" si="84"/>
        <v>17.308681725678884</v>
      </c>
      <c r="Z259" s="385">
        <f t="shared" si="85"/>
        <v>17.769059648244802</v>
      </c>
      <c r="AA259" s="386">
        <f t="shared" si="86"/>
        <v>20.441625631285721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0.13074136231859082</v>
      </c>
      <c r="AD259" s="231">
        <f>(INDEX(Models!$BJ259:$BT259,,AH259)*(1-AF259)+INDEX(Models!$BJ259:$BT259,,AH259+1)*AF259-ERP_i)*AE259*Ramure*Pc/MaxiM</f>
        <v>6.3201120404583863E-4</v>
      </c>
      <c r="AE259" s="305">
        <f t="shared" si="88"/>
        <v>0.7</v>
      </c>
      <c r="AF259" s="177">
        <f t="shared" si="89"/>
        <v>0.98711809874890288</v>
      </c>
      <c r="AG259" s="810">
        <f t="shared" si="95"/>
        <v>-1</v>
      </c>
      <c r="AH259" s="176">
        <f t="shared" si="90"/>
        <v>5</v>
      </c>
      <c r="AI259" s="225">
        <f t="shared" si="91"/>
        <v>-1.2881901251097116E-2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6">
        <v>31.462</v>
      </c>
      <c r="C260" s="390"/>
      <c r="D260" s="393">
        <f t="shared" si="74"/>
        <v>32.299580853708001</v>
      </c>
      <c r="E260" s="385">
        <f t="shared" si="96"/>
        <v>33.831245230056545</v>
      </c>
      <c r="F260" s="385">
        <f t="shared" si="75"/>
        <v>33.843029411273108</v>
      </c>
      <c r="G260" s="110">
        <f t="shared" si="97"/>
        <v>0.66099666818892788</v>
      </c>
      <c r="H260" s="414" t="b">
        <f>Wh_hp&gt;='2020'!Maxi_hp</f>
        <v>0</v>
      </c>
      <c r="I260" s="380">
        <f>IF(H260,Wh_hp,'2020'!Maxi_hp)</f>
        <v>52.304535343399913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2.59316322865486E-2</v>
      </c>
      <c r="M260" s="844"/>
      <c r="N260" s="844"/>
      <c r="O260" s="48">
        <f>IF(t&lt;Tnet,'2020'!Resal+('2020'!Salim-'2020'!Resal)*(1-EXP(('2020'!Tnet-t)/('2020'!Tau_j))),Resal+(Salim-Resal)*(1-EXP((Tnet-t)/(Tau_j))))*Salcycl</f>
        <v>4.5273662436396925E-2</v>
      </c>
      <c r="P260" s="169">
        <f>(INDEX(Models!$BJ260:$BT260,,T260)*(1-R260)+INDEX(Models!$BJ260:$BT260,,T260+1)*R260-ERP_i)*Q260*Ramure*Pc/MaxiM</f>
        <v>6.7478470202918597E-4</v>
      </c>
      <c r="Q260" s="305">
        <f t="shared" si="77"/>
        <v>0.7</v>
      </c>
      <c r="R260" s="177">
        <f t="shared" si="78"/>
        <v>0.98759888441180332</v>
      </c>
      <c r="S260" s="810">
        <f t="shared" si="79"/>
        <v>-1</v>
      </c>
      <c r="T260" s="176">
        <f t="shared" si="80"/>
        <v>5</v>
      </c>
      <c r="U260" s="251">
        <f t="shared" si="81"/>
        <v>-1.2401115588196732E-2</v>
      </c>
      <c r="V260" s="383">
        <f t="shared" si="82"/>
        <v>47.582269264612378</v>
      </c>
      <c r="W260" s="402"/>
      <c r="X260" s="157">
        <f t="shared" si="83"/>
        <v>44442</v>
      </c>
      <c r="Y260" s="385">
        <f t="shared" si="84"/>
        <v>28.643147760000584</v>
      </c>
      <c r="Z260" s="385">
        <f t="shared" si="85"/>
        <v>29.405685175095165</v>
      </c>
      <c r="AA260" s="386">
        <f t="shared" si="86"/>
        <v>33.831245230056545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0.13081280410658958</v>
      </c>
      <c r="AD260" s="231">
        <f>(INDEX(Models!$BJ260:$BT260,,AH260)*(1-AF260)+INDEX(Models!$BJ260:$BT260,,AH260+1)*AF260-ERP_i)*AE260*Ramure*Pc/MaxiM</f>
        <v>6.7478470202918597E-4</v>
      </c>
      <c r="AE260" s="305">
        <f t="shared" si="88"/>
        <v>0.7</v>
      </c>
      <c r="AF260" s="177">
        <f t="shared" si="89"/>
        <v>0.98759888441180332</v>
      </c>
      <c r="AG260" s="810">
        <f t="shared" si="95"/>
        <v>-1</v>
      </c>
      <c r="AH260" s="176">
        <f t="shared" si="90"/>
        <v>5</v>
      </c>
      <c r="AI260" s="225">
        <f t="shared" si="91"/>
        <v>-1.2401115588196732E-2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6">
        <v>40.225000000000001</v>
      </c>
      <c r="C261" s="390"/>
      <c r="D261" s="393">
        <f t="shared" si="74"/>
        <v>41.296830335150858</v>
      </c>
      <c r="E261" s="385">
        <f t="shared" si="96"/>
        <v>43.263058896428888</v>
      </c>
      <c r="F261" s="385">
        <f t="shared" si="75"/>
        <v>43.287596665835977</v>
      </c>
      <c r="G261" s="110">
        <f t="shared" si="97"/>
        <v>0.85104412914830918</v>
      </c>
      <c r="H261" s="414" t="b">
        <f>Wh_hp&gt;='2020'!Maxi_hp</f>
        <v>0</v>
      </c>
      <c r="I261" s="380">
        <f>IF(H261,Wh_hp,'2020'!Maxi_hp)</f>
        <v>50.854678643962053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2.5954300280487619E-2</v>
      </c>
      <c r="M261" s="844"/>
      <c r="N261" s="844"/>
      <c r="O261" s="48">
        <f>IF(t&lt;Tnet,'2020'!Resal+('2020'!Salim-'2020'!Resal)*(1-EXP(('2020'!Tnet-t)/('2020'!Tau_j))),Resal+(Salim-Resal)*(1-EXP((Tnet-t)/(Tau_j))))*Salcycl</f>
        <v>4.5448209429322824E-2</v>
      </c>
      <c r="P261" s="169">
        <f>(INDEX(Models!$BJ261:$BT261,,T261)*(1-R261)+INDEX(Models!$BJ261:$BT261,,T261+1)*R261-ERP_i)*Q261*Ramure*Pc/MaxiM</f>
        <v>7.1991387339179745E-4</v>
      </c>
      <c r="Q261" s="305">
        <f t="shared" si="77"/>
        <v>0.7</v>
      </c>
      <c r="R261" s="177">
        <f t="shared" si="78"/>
        <v>0.98806143299241467</v>
      </c>
      <c r="S261" s="810">
        <f t="shared" si="79"/>
        <v>-1</v>
      </c>
      <c r="T261" s="176">
        <f t="shared" si="80"/>
        <v>5</v>
      </c>
      <c r="U261" s="251">
        <f t="shared" si="81"/>
        <v>-1.1938567007585332E-2</v>
      </c>
      <c r="V261" s="383">
        <f t="shared" si="82"/>
        <v>47.258230587137312</v>
      </c>
      <c r="W261" s="402"/>
      <c r="X261" s="157">
        <f t="shared" si="83"/>
        <v>44443</v>
      </c>
      <c r="Y261" s="385">
        <f t="shared" si="84"/>
        <v>36.624742329641514</v>
      </c>
      <c r="Z261" s="385">
        <f t="shared" si="85"/>
        <v>37.60064064775198</v>
      </c>
      <c r="AA261" s="386">
        <f t="shared" si="86"/>
        <v>43.263058896428888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0.13088344636546981</v>
      </c>
      <c r="AD261" s="231">
        <f>(INDEX(Models!$BJ261:$BT261,,AH261)*(1-AF261)+INDEX(Models!$BJ261:$BT261,,AH261+1)*AF261-ERP_i)*AE261*Ramure*Pc/MaxiM</f>
        <v>7.1991387339179745E-4</v>
      </c>
      <c r="AE261" s="305">
        <f t="shared" si="88"/>
        <v>0.7</v>
      </c>
      <c r="AF261" s="177">
        <f t="shared" si="89"/>
        <v>0.98806143299241467</v>
      </c>
      <c r="AG261" s="810">
        <f t="shared" si="95"/>
        <v>-1</v>
      </c>
      <c r="AH261" s="176">
        <f t="shared" si="90"/>
        <v>5</v>
      </c>
      <c r="AI261" s="225">
        <f t="shared" si="91"/>
        <v>-1.1938567007585332E-2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6">
        <v>40.404000000000003</v>
      </c>
      <c r="C262" s="390"/>
      <c r="D262" s="393">
        <f t="shared" si="74"/>
        <v>41.481565283459751</v>
      </c>
      <c r="E262" s="385">
        <f t="shared" si="96"/>
        <v>43.464515045254856</v>
      </c>
      <c r="F262" s="385">
        <f t="shared" si="75"/>
        <v>43.491230799621448</v>
      </c>
      <c r="G262" s="110">
        <f t="shared" si="97"/>
        <v>0.86085466100886376</v>
      </c>
      <c r="H262" s="414" t="b">
        <f>Wh_hp&gt;='2020'!Maxi_hp</f>
        <v>0</v>
      </c>
      <c r="I262" s="380">
        <f>IF(H262,Wh_hp,'2020'!Maxi_hp)</f>
        <v>50.429886494595955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2.5976967746909274E-2</v>
      </c>
      <c r="M262" s="844"/>
      <c r="N262" s="844"/>
      <c r="O262" s="48">
        <f>IF(t&lt;Tnet,'2020'!Resal+('2020'!Salim-'2020'!Resal)*(1-EXP(('2020'!Tnet-t)/('2020'!Tau_j))),Resal+(Salim-Resal)*(1-EXP((Tnet-t)/(Tau_j))))*Salcycl</f>
        <v>4.562226818199798E-2</v>
      </c>
      <c r="P262" s="169">
        <f>(INDEX(Models!$BJ262:$BT262,,T262)*(1-R262)+INDEX(Models!$BJ262:$BT262,,T262+1)*R262-ERP_i)*Q262*Ramure*Pc/MaxiM</f>
        <v>7.6649956761356945E-4</v>
      </c>
      <c r="Q262" s="305">
        <f t="shared" si="77"/>
        <v>0.7</v>
      </c>
      <c r="R262" s="177">
        <f t="shared" si="78"/>
        <v>0.9885063940266321</v>
      </c>
      <c r="S262" s="810">
        <f t="shared" si="79"/>
        <v>-1</v>
      </c>
      <c r="T262" s="176">
        <f t="shared" si="80"/>
        <v>5</v>
      </c>
      <c r="U262" s="251">
        <f t="shared" si="81"/>
        <v>-1.1493605973367849E-2</v>
      </c>
      <c r="V262" s="383">
        <f t="shared" si="82"/>
        <v>46.927603152877886</v>
      </c>
      <c r="W262" s="402"/>
      <c r="X262" s="157">
        <f t="shared" si="83"/>
        <v>44444</v>
      </c>
      <c r="Y262" s="385">
        <f t="shared" si="84"/>
        <v>36.791474968663174</v>
      </c>
      <c r="Z262" s="385">
        <f t="shared" si="85"/>
        <v>37.772695049682618</v>
      </c>
      <c r="AA262" s="386">
        <f t="shared" si="86"/>
        <v>43.464515045254856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0.13095326129018053</v>
      </c>
      <c r="AD262" s="231">
        <f>(INDEX(Models!$BJ262:$BT262,,AH262)*(1-AF262)+INDEX(Models!$BJ262:$BT262,,AH262+1)*AF262-ERP_i)*AE262*Ramure*Pc/MaxiM</f>
        <v>7.6649956761356945E-4</v>
      </c>
      <c r="AE262" s="305">
        <f t="shared" si="88"/>
        <v>0.7</v>
      </c>
      <c r="AF262" s="177">
        <f t="shared" si="89"/>
        <v>0.9885063940266321</v>
      </c>
      <c r="AG262" s="810">
        <f t="shared" si="95"/>
        <v>-1</v>
      </c>
      <c r="AH262" s="176">
        <f t="shared" si="90"/>
        <v>5</v>
      </c>
      <c r="AI262" s="225">
        <f t="shared" si="91"/>
        <v>-1.1493605973367849E-2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6">
        <v>43.311</v>
      </c>
      <c r="C263" s="390"/>
      <c r="D263" s="393">
        <f t="shared" si="74"/>
        <v>44.467129112451182</v>
      </c>
      <c r="E263" s="385">
        <f t="shared" si="96"/>
        <v>46.601272915336672</v>
      </c>
      <c r="F263" s="385">
        <f t="shared" si="75"/>
        <v>46.635396195724937</v>
      </c>
      <c r="G263" s="110">
        <f t="shared" si="97"/>
        <v>0.92952707144846392</v>
      </c>
      <c r="H263" s="414" t="b">
        <f>Wh_hp&gt;='2020'!Maxi_hp</f>
        <v>0</v>
      </c>
      <c r="I263" s="380">
        <f>IF(H263,Wh_hp,'2020'!Maxi_hp)</f>
        <v>52.380979169463878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2.599963468582589E-2</v>
      </c>
      <c r="M263" s="844"/>
      <c r="N263" s="844"/>
      <c r="O263" s="48">
        <f>IF(t&lt;Tnet,'2020'!Resal+('2020'!Salim-'2020'!Resal)*(1-EXP(('2020'!Tnet-t)/('2020'!Tau_j))),Resal+(Salim-Resal)*(1-EXP((Tnet-t)/(Tau_j))))*Salcycl</f>
        <v>4.5795826366432396E-2</v>
      </c>
      <c r="P263" s="169">
        <f>(INDEX(Models!$BJ263:$BT263,,T263)*(1-R263)+INDEX(Models!$BJ263:$BT263,,T263+1)*R263-ERP_i)*Q263*Ramure*Pc/MaxiM</f>
        <v>8.1351624690283164E-4</v>
      </c>
      <c r="Q263" s="305">
        <f t="shared" si="77"/>
        <v>0.7</v>
      </c>
      <c r="R263" s="177">
        <f t="shared" si="78"/>
        <v>0.98893439717193754</v>
      </c>
      <c r="S263" s="810">
        <f t="shared" si="79"/>
        <v>-1</v>
      </c>
      <c r="T263" s="176">
        <f t="shared" si="80"/>
        <v>5</v>
      </c>
      <c r="U263" s="251">
        <f t="shared" si="81"/>
        <v>-1.1065602828062515E-2</v>
      </c>
      <c r="V263" s="383">
        <f t="shared" si="82"/>
        <v>46.590847476823598</v>
      </c>
      <c r="W263" s="402"/>
      <c r="X263" s="157">
        <f t="shared" si="83"/>
        <v>44445</v>
      </c>
      <c r="Y263" s="385">
        <f t="shared" si="84"/>
        <v>39.442603243287806</v>
      </c>
      <c r="Z263" s="385">
        <f t="shared" si="85"/>
        <v>40.495470687595869</v>
      </c>
      <c r="AA263" s="386">
        <f t="shared" si="86"/>
        <v>46.601272915336672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0.13102221990445584</v>
      </c>
      <c r="AD263" s="231">
        <f>(INDEX(Models!$BJ263:$BT263,,AH263)*(1-AF263)+INDEX(Models!$BJ263:$BT263,,AH263+1)*AF263-ERP_i)*AE263*Ramure*Pc/MaxiM</f>
        <v>8.1351624690283164E-4</v>
      </c>
      <c r="AE263" s="305">
        <f t="shared" si="88"/>
        <v>0.7</v>
      </c>
      <c r="AF263" s="177">
        <f t="shared" si="89"/>
        <v>0.98893439717193754</v>
      </c>
      <c r="AG263" s="810">
        <f t="shared" si="95"/>
        <v>-1</v>
      </c>
      <c r="AH263" s="176">
        <f t="shared" si="90"/>
        <v>5</v>
      </c>
      <c r="AI263" s="225">
        <f t="shared" si="91"/>
        <v>-1.1065602828062515E-2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6">
        <v>33.463000000000001</v>
      </c>
      <c r="C264" s="390"/>
      <c r="D264" s="393">
        <f t="shared" si="74"/>
        <v>34.357049486552171</v>
      </c>
      <c r="E264" s="385">
        <f t="shared" si="96"/>
        <v>36.012503623709456</v>
      </c>
      <c r="F264" s="385">
        <f t="shared" si="75"/>
        <v>36.031274242322937</v>
      </c>
      <c r="G264" s="110">
        <f t="shared" si="97"/>
        <v>0.72330360607877364</v>
      </c>
      <c r="H264" s="414" t="b">
        <f>Wh_hp&gt;='2020'!Maxi_hp</f>
        <v>0</v>
      </c>
      <c r="I264" s="380">
        <f>IF(H264,Wh_hp,'2020'!Maxi_hp)</f>
        <v>46.142327737727975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2.6022301097249678E-2</v>
      </c>
      <c r="M264" s="844"/>
      <c r="N264" s="844"/>
      <c r="O264" s="48">
        <f>IF(t&lt;Tnet,'2020'!Resal+('2020'!Salim-'2020'!Resal)*(1-EXP(('2020'!Tnet-t)/('2020'!Tau_j))),Resal+(Salim-Resal)*(1-EXP((Tnet-t)/(Tau_j))))*Salcycl</f>
        <v>4.5968871102518516E-2</v>
      </c>
      <c r="P264" s="169">
        <f>(INDEX(Models!$BJ264:$BT264,,T264)*(1-R264)+INDEX(Models!$BJ264:$BT264,,T264+1)*R264-ERP_i)*Q264*Ramure*Pc/MaxiM</f>
        <v>8.6097901203320516E-4</v>
      </c>
      <c r="Q264" s="305">
        <f t="shared" si="77"/>
        <v>0.7</v>
      </c>
      <c r="R264" s="177">
        <f t="shared" si="78"/>
        <v>0.98934605255836749</v>
      </c>
      <c r="S264" s="810">
        <f t="shared" si="79"/>
        <v>-1</v>
      </c>
      <c r="T264" s="176">
        <f t="shared" si="80"/>
        <v>5</v>
      </c>
      <c r="U264" s="251">
        <f t="shared" si="81"/>
        <v>-1.065394744163245E-2</v>
      </c>
      <c r="V264" s="383">
        <f t="shared" si="82"/>
        <v>46.248374147025523</v>
      </c>
      <c r="W264" s="402"/>
      <c r="X264" s="157">
        <f t="shared" si="83"/>
        <v>44446</v>
      </c>
      <c r="Y264" s="385">
        <f t="shared" si="84"/>
        <v>30.477334206385599</v>
      </c>
      <c r="Z264" s="385">
        <f t="shared" si="85"/>
        <v>31.291614007918572</v>
      </c>
      <c r="AA264" s="386">
        <f t="shared" si="86"/>
        <v>36.012503623709456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0.13109029200299216</v>
      </c>
      <c r="AD264" s="231">
        <f>(INDEX(Models!$BJ264:$BT264,,AH264)*(1-AF264)+INDEX(Models!$BJ264:$BT264,,AH264+1)*AF264-ERP_i)*AE264*Ramure*Pc/MaxiM</f>
        <v>8.6097901203320516E-4</v>
      </c>
      <c r="AE264" s="305">
        <f t="shared" si="88"/>
        <v>0.7</v>
      </c>
      <c r="AF264" s="177">
        <f t="shared" si="89"/>
        <v>0.98934605255836749</v>
      </c>
      <c r="AG264" s="810">
        <f t="shared" si="95"/>
        <v>-1</v>
      </c>
      <c r="AH264" s="176">
        <f t="shared" si="90"/>
        <v>5</v>
      </c>
      <c r="AI264" s="225">
        <f t="shared" si="91"/>
        <v>-1.065394744163245E-2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6">
        <v>30.04</v>
      </c>
      <c r="C265" s="390"/>
      <c r="D265" s="393">
        <f t="shared" si="74"/>
        <v>30.843313070512085</v>
      </c>
      <c r="E265" s="385">
        <f t="shared" si="96"/>
        <v>32.33530914611552</v>
      </c>
      <c r="F265" s="385">
        <f t="shared" si="75"/>
        <v>32.350197971197623</v>
      </c>
      <c r="G265" s="110">
        <f t="shared" si="97"/>
        <v>0.65416400376782657</v>
      </c>
      <c r="H265" s="414" t="b">
        <f>Wh_hp&gt;='2020'!Maxi_hp</f>
        <v>0</v>
      </c>
      <c r="I265" s="380">
        <f>IF(H265,Wh_hp,'2020'!Maxi_hp)</f>
        <v>44.813483820108679</v>
      </c>
      <c r="J265" s="85">
        <f>IF(H265,An,'2020'!An_max)</f>
        <v>2019</v>
      </c>
      <c r="K265" s="197">
        <f t="shared" si="76"/>
        <v>44447</v>
      </c>
      <c r="L265" s="147">
        <f>IF(t&lt;Tvie,1-EXP((T0-t)*PertePVj)+'2020'!Pspv,1-EXP((T0-t)*PertePVj)+Pspv)</f>
        <v>2.6044966981192963E-2</v>
      </c>
      <c r="M265" s="844"/>
      <c r="N265" s="844"/>
      <c r="O265" s="48">
        <f>IF(t&lt;Tnet,'2020'!Resal+('2020'!Salim-'2020'!Resal)*(1-EXP(('2020'!Tnet-t)/('2020'!Tau_j))),Resal+(Salim-Resal)*(1-EXP((Tnet-t)/(Tau_j))))*Salcycl</f>
        <v>4.6141388933733797E-2</v>
      </c>
      <c r="P265" s="169">
        <f>(INDEX(Models!$BJ265:$BT265,,T265)*(1-R265)+INDEX(Models!$BJ265:$BT265,,T265+1)*R265-ERP_i)*Q265*Ramure*Pc/MaxiM</f>
        <v>9.0890192725437478E-4</v>
      </c>
      <c r="Q265" s="305">
        <f t="shared" si="77"/>
        <v>0.7</v>
      </c>
      <c r="R265" s="177">
        <f t="shared" si="78"/>
        <v>0.98974195115584429</v>
      </c>
      <c r="S265" s="810">
        <f t="shared" si="79"/>
        <v>-1</v>
      </c>
      <c r="T265" s="176">
        <f t="shared" si="80"/>
        <v>5</v>
      </c>
      <c r="U265" s="251">
        <f t="shared" si="81"/>
        <v>-1.0258048844155765E-2</v>
      </c>
      <c r="V265" s="383">
        <f t="shared" si="82"/>
        <v>45.900593412341777</v>
      </c>
      <c r="W265" s="402"/>
      <c r="X265" s="157">
        <f t="shared" si="83"/>
        <v>44447</v>
      </c>
      <c r="Y265" s="385">
        <f t="shared" si="84"/>
        <v>27.36257765705545</v>
      </c>
      <c r="Z265" s="385">
        <f t="shared" si="85"/>
        <v>28.094292579652475</v>
      </c>
      <c r="AA265" s="386">
        <f t="shared" si="86"/>
        <v>32.33530914611552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0.13115744610014113</v>
      </c>
      <c r="AD265" s="231">
        <f>(INDEX(Models!$BJ265:$BT265,,AH265)*(1-AF265)+INDEX(Models!$BJ265:$BT265,,AH265+1)*AF265-ERP_i)*AE265*Ramure*Pc/MaxiM</f>
        <v>9.0890192725437478E-4</v>
      </c>
      <c r="AE265" s="305">
        <f t="shared" si="88"/>
        <v>0.7</v>
      </c>
      <c r="AF265" s="177">
        <f t="shared" si="89"/>
        <v>0.98974195115584429</v>
      </c>
      <c r="AG265" s="810">
        <f t="shared" si="95"/>
        <v>-1</v>
      </c>
      <c r="AH265" s="176">
        <f t="shared" si="90"/>
        <v>5</v>
      </c>
      <c r="AI265" s="225">
        <f t="shared" si="91"/>
        <v>-1.0258048844155765E-2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6">
        <v>17.298000000000002</v>
      </c>
      <c r="C266" s="390"/>
      <c r="D266" s="393">
        <f t="shared" si="74"/>
        <v>17.760986875833375</v>
      </c>
      <c r="E266" s="385">
        <f t="shared" si="96"/>
        <v>18.623504030583589</v>
      </c>
      <c r="F266" s="385">
        <f t="shared" si="75"/>
        <v>18.625536057805906</v>
      </c>
      <c r="G266" s="110">
        <f t="shared" si="97"/>
        <v>0.37945372874656053</v>
      </c>
      <c r="H266" s="414" t="b">
        <f>Wh_hp&gt;='2020'!Maxi_hp</f>
        <v>0</v>
      </c>
      <c r="I266" s="380">
        <f>IF(H266,Wh_hp,'2020'!Maxi_hp)</f>
        <v>47.032768626922746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2.6067632337668067E-2</v>
      </c>
      <c r="M266" s="844"/>
      <c r="N266" s="844"/>
      <c r="O266" s="48">
        <f>IF(t&lt;Tnet,'2020'!Resal+('2020'!Salim-'2020'!Resal)*(1-EXP(('2020'!Tnet-t)/('2020'!Tau_j))),Resal+(Salim-Resal)*(1-EXP((Tnet-t)/(Tau_j))))*Salcycl</f>
        <v>4.631336580558567E-2</v>
      </c>
      <c r="P266" s="169">
        <f>(INDEX(Models!$BJ266:$BT266,,T266)*(1-R266)+INDEX(Models!$BJ266:$BT266,,T266+1)*R266-ERP_i)*Q266*Ramure*Pc/MaxiM</f>
        <v>9.5729794373063332E-4</v>
      </c>
      <c r="Q266" s="305">
        <f t="shared" si="77"/>
        <v>0.7</v>
      </c>
      <c r="R266" s="177">
        <f t="shared" si="78"/>
        <v>0.99012266515532832</v>
      </c>
      <c r="S266" s="810">
        <f t="shared" si="79"/>
        <v>-1</v>
      </c>
      <c r="T266" s="176">
        <f t="shared" si="80"/>
        <v>5</v>
      </c>
      <c r="U266" s="251">
        <f t="shared" si="81"/>
        <v>-9.8773348446716258E-3</v>
      </c>
      <c r="V266" s="383">
        <f t="shared" si="82"/>
        <v>45.547915185194249</v>
      </c>
      <c r="W266" s="402"/>
      <c r="X266" s="157">
        <f t="shared" si="83"/>
        <v>44448</v>
      </c>
      <c r="Y266" s="385">
        <f t="shared" si="84"/>
        <v>15.757894442542963</v>
      </c>
      <c r="Z266" s="385">
        <f t="shared" si="85"/>
        <v>16.179659867312591</v>
      </c>
      <c r="AA266" s="386">
        <f t="shared" si="86"/>
        <v>18.623504030583589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0.13122364938723191</v>
      </c>
      <c r="AD266" s="231">
        <f>(INDEX(Models!$BJ266:$BT266,,AH266)*(1-AF266)+INDEX(Models!$BJ266:$BT266,,AH266+1)*AF266-ERP_i)*AE266*Ramure*Pc/MaxiM</f>
        <v>9.5729794373063332E-4</v>
      </c>
      <c r="AE266" s="305">
        <f t="shared" si="88"/>
        <v>0.7</v>
      </c>
      <c r="AF266" s="177">
        <f t="shared" si="89"/>
        <v>0.99012266515532832</v>
      </c>
      <c r="AG266" s="810">
        <f t="shared" si="95"/>
        <v>-1</v>
      </c>
      <c r="AH266" s="176">
        <f t="shared" si="90"/>
        <v>5</v>
      </c>
      <c r="AI266" s="225">
        <f t="shared" si="91"/>
        <v>-9.8773348446716258E-3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6">
        <v>37.055999999999997</v>
      </c>
      <c r="C267" s="390"/>
      <c r="D267" s="393">
        <f t="shared" si="74"/>
        <v>38.048701940432593</v>
      </c>
      <c r="E267" s="385">
        <f t="shared" si="96"/>
        <v>39.90361288795939</v>
      </c>
      <c r="F267" s="385">
        <f t="shared" si="75"/>
        <v>39.933460511873712</v>
      </c>
      <c r="G267" s="110">
        <f t="shared" si="97"/>
        <v>0.81977850680291897</v>
      </c>
      <c r="H267" s="414" t="b">
        <f>Wh_hp&gt;='2020'!Maxi_hp</f>
        <v>1</v>
      </c>
      <c r="I267" s="380">
        <f>IF(H267,Wh_hp,'2020'!Maxi_hp)</f>
        <v>39.933460511873712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2.6090297166687204E-2</v>
      </c>
      <c r="M267" s="844"/>
      <c r="N267" s="844"/>
      <c r="O267" s="48">
        <f>IF(t&lt;Tnet,'2020'!Resal+('2020'!Salim-'2020'!Resal)*(1-EXP(('2020'!Tnet-t)/('2020'!Tau_j))),Resal+(Salim-Resal)*(1-EXP((Tnet-t)/(Tau_j))))*Salcycl</f>
        <v>4.6484787047603532E-2</v>
      </c>
      <c r="P267" s="169">
        <f>(INDEX(Models!$BJ267:$BT267,,T267)*(1-R267)+INDEX(Models!$BJ267:$BT267,,T267+1)*R267-ERP_i)*Q267*Ramure*Pc/MaxiM</f>
        <v>1.0061788153306976E-3</v>
      </c>
      <c r="Q267" s="305">
        <f t="shared" si="77"/>
        <v>0.7</v>
      </c>
      <c r="R267" s="177">
        <f t="shared" si="78"/>
        <v>0.99048874836146028</v>
      </c>
      <c r="S267" s="810">
        <f t="shared" si="79"/>
        <v>-1</v>
      </c>
      <c r="T267" s="176">
        <f t="shared" si="80"/>
        <v>5</v>
      </c>
      <c r="U267" s="251">
        <f t="shared" si="81"/>
        <v>-9.5112516385397194E-3</v>
      </c>
      <c r="V267" s="383">
        <f t="shared" si="82"/>
        <v>45.190749050931444</v>
      </c>
      <c r="W267" s="402"/>
      <c r="X267" s="157">
        <f t="shared" si="83"/>
        <v>44449</v>
      </c>
      <c r="Y267" s="385">
        <f t="shared" si="84"/>
        <v>33.760300078289184</v>
      </c>
      <c r="Z267" s="385">
        <f t="shared" si="85"/>
        <v>34.664712734736298</v>
      </c>
      <c r="AA267" s="386">
        <f t="shared" si="86"/>
        <v>39.90361288795939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0.13128886770059578</v>
      </c>
      <c r="AD267" s="231">
        <f>(INDEX(Models!$BJ267:$BT267,,AH267)*(1-AF267)+INDEX(Models!$BJ267:$BT267,,AH267+1)*AF267-ERP_i)*AE267*Ramure*Pc/MaxiM</f>
        <v>1.0061788153306976E-3</v>
      </c>
      <c r="AE267" s="305">
        <f t="shared" si="88"/>
        <v>0.7</v>
      </c>
      <c r="AF267" s="177">
        <f t="shared" si="89"/>
        <v>0.99048874836146028</v>
      </c>
      <c r="AG267" s="810">
        <f t="shared" si="95"/>
        <v>-1</v>
      </c>
      <c r="AH267" s="176">
        <f t="shared" si="90"/>
        <v>5</v>
      </c>
      <c r="AI267" s="225">
        <f t="shared" si="91"/>
        <v>-9.5112516385397194E-3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6">
        <v>38.86</v>
      </c>
      <c r="C268" s="390"/>
      <c r="D268" s="393">
        <f t="shared" si="74"/>
        <v>39.901958299585289</v>
      </c>
      <c r="E268" s="385">
        <f t="shared" si="96"/>
        <v>41.85471678783022</v>
      </c>
      <c r="F268" s="385">
        <f t="shared" si="75"/>
        <v>41.890458454482101</v>
      </c>
      <c r="G268" s="110">
        <f t="shared" si="97"/>
        <v>0.86666428915617921</v>
      </c>
      <c r="H268" s="414" t="b">
        <f>Wh_hp&gt;='2020'!Maxi_hp</f>
        <v>0</v>
      </c>
      <c r="I268" s="380">
        <f>IF(H268,Wh_hp,'2020'!Maxi_hp)</f>
        <v>47.199084138700862</v>
      </c>
      <c r="J268" s="85">
        <f>IF(H268,An,'2020'!An_max)</f>
        <v>2019</v>
      </c>
      <c r="K268" s="197">
        <f t="shared" si="76"/>
        <v>44450</v>
      </c>
      <c r="L268" s="147">
        <f>IF(t&lt;Tvie,1-EXP((T0-t)*PertePVj)+'2020'!Pspv,1-EXP((T0-t)*PertePVj)+Pspv)</f>
        <v>2.6112961468262585E-2</v>
      </c>
      <c r="M268" s="844"/>
      <c r="N268" s="844"/>
      <c r="O268" s="48">
        <f>IF(t&lt;Tnet,'2020'!Resal+('2020'!Salim-'2020'!Resal)*(1-EXP(('2020'!Tnet-t)/('2020'!Tau_j))),Resal+(Salim-Resal)*(1-EXP((Tnet-t)/(Tau_j))))*Salcycl</f>
        <v>4.6655637359675539E-2</v>
      </c>
      <c r="P268" s="169">
        <f>(INDEX(Models!$BJ268:$BT268,,T268)*(1-R268)+INDEX(Models!$BJ268:$BT268,,T268+1)*R268-ERP_i)*Q268*Ramure*Pc/MaxiM</f>
        <v>1.0536554744499278E-3</v>
      </c>
      <c r="Q268" s="305">
        <f t="shared" si="77"/>
        <v>0.7</v>
      </c>
      <c r="R268" s="177">
        <f t="shared" si="78"/>
        <v>0.99084073659452965</v>
      </c>
      <c r="S268" s="810">
        <f t="shared" si="79"/>
        <v>-1</v>
      </c>
      <c r="T268" s="176">
        <f t="shared" si="80"/>
        <v>5</v>
      </c>
      <c r="U268" s="251">
        <f t="shared" si="81"/>
        <v>-9.1592634054703526E-3</v>
      </c>
      <c r="V268" s="383">
        <f t="shared" si="82"/>
        <v>44.829589507552136</v>
      </c>
      <c r="W268" s="402"/>
      <c r="X268" s="157">
        <f t="shared" si="83"/>
        <v>44450</v>
      </c>
      <c r="Y268" s="385">
        <f t="shared" si="84"/>
        <v>35.40758323791129</v>
      </c>
      <c r="Z268" s="385">
        <f t="shared" si="85"/>
        <v>36.356971432018305</v>
      </c>
      <c r="AA268" s="386">
        <f t="shared" si="86"/>
        <v>41.85471678783022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0.13135306550229611</v>
      </c>
      <c r="AD268" s="231">
        <f>(INDEX(Models!$BJ268:$BT268,,AH268)*(1-AF268)+INDEX(Models!$BJ268:$BT268,,AH268+1)*AF268-ERP_i)*AE268*Ramure*Pc/MaxiM</f>
        <v>1.0536554744499278E-3</v>
      </c>
      <c r="AE268" s="305">
        <f t="shared" si="88"/>
        <v>0.7</v>
      </c>
      <c r="AF268" s="177">
        <f t="shared" si="89"/>
        <v>0.99084073659452965</v>
      </c>
      <c r="AG268" s="810">
        <f t="shared" si="95"/>
        <v>-1</v>
      </c>
      <c r="AH268" s="176">
        <f t="shared" si="90"/>
        <v>5</v>
      </c>
      <c r="AI268" s="225">
        <f t="shared" si="91"/>
        <v>-9.1592634054703526E-3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6">
        <v>41.125999999999998</v>
      </c>
      <c r="C269" s="390"/>
      <c r="D269" s="393">
        <f t="shared" si="74"/>
        <v>42.229699602921357</v>
      </c>
      <c r="E269" s="385">
        <f t="shared" si="96"/>
        <v>44.304287788055042</v>
      </c>
      <c r="F269" s="385">
        <f t="shared" si="75"/>
        <v>44.34779591049822</v>
      </c>
      <c r="G269" s="110">
        <f t="shared" si="97"/>
        <v>0.92480061997675966</v>
      </c>
      <c r="H269" s="414" t="b">
        <f>Wh_hp&gt;='2020'!Maxi_hp</f>
        <v>0</v>
      </c>
      <c r="I269" s="380">
        <f>IF(H269,Wh_hp,'2020'!Maxi_hp)</f>
        <v>47.524500971153024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2.6135625242406646E-2</v>
      </c>
      <c r="M269" s="844"/>
      <c r="N269" s="844"/>
      <c r="O269" s="48">
        <f>IF(t&lt;Tnet,'2020'!Resal+('2020'!Salim-'2020'!Resal)*(1-EXP(('2020'!Tnet-t)/('2020'!Tau_j))),Resal+(Salim-Resal)*(1-EXP((Tnet-t)/(Tau_j))))*Salcycl</f>
        <v>4.6825900803511303E-2</v>
      </c>
      <c r="P269" s="169">
        <f>(INDEX(Models!$BJ269:$BT269,,T269)*(1-R269)+INDEX(Models!$BJ269:$BT269,,T269+1)*R269-ERP_i)*Q269*Ramure*Pc/MaxiM</f>
        <v>1.098952782986813E-3</v>
      </c>
      <c r="Q269" s="305">
        <f t="shared" si="77"/>
        <v>0.7</v>
      </c>
      <c r="R269" s="177">
        <f t="shared" si="78"/>
        <v>0.99117914809979923</v>
      </c>
      <c r="S269" s="810">
        <f t="shared" si="79"/>
        <v>-1</v>
      </c>
      <c r="T269" s="176">
        <f t="shared" si="80"/>
        <v>5</v>
      </c>
      <c r="U269" s="251">
        <f t="shared" si="81"/>
        <v>-8.8208519002007657E-3</v>
      </c>
      <c r="V269" s="383">
        <f t="shared" si="82"/>
        <v>44.464878316427509</v>
      </c>
      <c r="W269" s="402"/>
      <c r="X269" s="157">
        <f t="shared" si="83"/>
        <v>44451</v>
      </c>
      <c r="Y269" s="385">
        <f t="shared" si="84"/>
        <v>37.476235608246164</v>
      </c>
      <c r="Z269" s="385">
        <f t="shared" si="85"/>
        <v>38.481986382933918</v>
      </c>
      <c r="AA269" s="386">
        <f t="shared" si="86"/>
        <v>44.304287788055042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0.13141620587547015</v>
      </c>
      <c r="AD269" s="231">
        <f>(INDEX(Models!$BJ269:$BT269,,AH269)*(1-AF269)+INDEX(Models!$BJ269:$BT269,,AH269+1)*AF269-ERP_i)*AE269*Ramure*Pc/MaxiM</f>
        <v>1.098952782986813E-3</v>
      </c>
      <c r="AE269" s="305">
        <f t="shared" si="88"/>
        <v>0.7</v>
      </c>
      <c r="AF269" s="177">
        <f t="shared" si="89"/>
        <v>0.99117914809979923</v>
      </c>
      <c r="AG269" s="810">
        <f t="shared" si="95"/>
        <v>-1</v>
      </c>
      <c r="AH269" s="176">
        <f t="shared" si="90"/>
        <v>5</v>
      </c>
      <c r="AI269" s="225">
        <f t="shared" si="91"/>
        <v>-8.8208519002007657E-3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6">
        <v>28.606000000000002</v>
      </c>
      <c r="C270" s="390"/>
      <c r="D270" s="393">
        <f t="shared" si="74"/>
        <v>29.374383600409939</v>
      </c>
      <c r="E270" s="385">
        <f t="shared" si="96"/>
        <v>30.822924209112578</v>
      </c>
      <c r="F270" s="385">
        <f t="shared" si="75"/>
        <v>30.840469285593478</v>
      </c>
      <c r="G270" s="110">
        <f t="shared" si="97"/>
        <v>0.64833391343518754</v>
      </c>
      <c r="H270" s="414" t="b">
        <f>Wh_hp&gt;='2020'!Maxi_hp</f>
        <v>0</v>
      </c>
      <c r="I270" s="380">
        <f>IF(H270,Wh_hp,'2020'!Maxi_hp)</f>
        <v>45.574582062693615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2.6158288489131487E-2</v>
      </c>
      <c r="M270" s="844"/>
      <c r="N270" s="844"/>
      <c r="O270" s="48">
        <f>IF(t&lt;Tnet,'2020'!Resal+('2020'!Salim-'2020'!Resal)*(1-EXP(('2020'!Tnet-t)/('2020'!Tau_j))),Resal+(Salim-Resal)*(1-EXP((Tnet-t)/(Tau_j))))*Salcycl</f>
        <v>4.6995560799983634E-2</v>
      </c>
      <c r="P270" s="169">
        <f>(INDEX(Models!$BJ270:$BT270,,T270)*(1-R270)+INDEX(Models!$BJ270:$BT270,,T270+1)*R270-ERP_i)*Q270*Ramure*Pc/MaxiM</f>
        <v>1.142018180517563E-3</v>
      </c>
      <c r="Q270" s="305">
        <f t="shared" si="77"/>
        <v>0.7</v>
      </c>
      <c r="R270" s="177">
        <f t="shared" si="78"/>
        <v>0.99150448396236723</v>
      </c>
      <c r="S270" s="810">
        <f t="shared" si="79"/>
        <v>-1</v>
      </c>
      <c r="T270" s="176">
        <f t="shared" si="80"/>
        <v>5</v>
      </c>
      <c r="U270" s="251">
        <f t="shared" si="81"/>
        <v>-8.495516037632711E-3</v>
      </c>
      <c r="V270" s="383">
        <f t="shared" si="82"/>
        <v>44.097023763513008</v>
      </c>
      <c r="W270" s="402"/>
      <c r="X270" s="157">
        <f t="shared" si="83"/>
        <v>44452</v>
      </c>
      <c r="Y270" s="385">
        <f t="shared" si="84"/>
        <v>26.07011273317984</v>
      </c>
      <c r="Z270" s="385">
        <f t="shared" si="85"/>
        <v>26.770380057692659</v>
      </c>
      <c r="AA270" s="386">
        <f t="shared" si="86"/>
        <v>30.822924209112578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0.13147825053606729</v>
      </c>
      <c r="AD270" s="231">
        <f>(INDEX(Models!$BJ270:$BT270,,AH270)*(1-AF270)+INDEX(Models!$BJ270:$BT270,,AH270+1)*AF270-ERP_i)*AE270*Ramure*Pc/MaxiM</f>
        <v>1.142018180517563E-3</v>
      </c>
      <c r="AE270" s="305">
        <f t="shared" si="88"/>
        <v>0.7</v>
      </c>
      <c r="AF270" s="177">
        <f t="shared" si="89"/>
        <v>0.99150448396236723</v>
      </c>
      <c r="AG270" s="810">
        <f t="shared" si="95"/>
        <v>-1</v>
      </c>
      <c r="AH270" s="176">
        <f t="shared" si="90"/>
        <v>5</v>
      </c>
      <c r="AI270" s="225">
        <f t="shared" si="91"/>
        <v>-8.495516037632711E-3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6">
        <v>17.981999999999999</v>
      </c>
      <c r="C271" s="390"/>
      <c r="D271" s="393">
        <f t="shared" ref="D271:D334" si="98">Wh/(1-Ppv)</f>
        <v>18.46544285852136</v>
      </c>
      <c r="E271" s="385">
        <f t="shared" si="96"/>
        <v>19.379467703551001</v>
      </c>
      <c r="F271" s="385">
        <f t="shared" ref="F271:F334" si="99">Wh_sa/(1-Pvg*MEDIAN((-Sdif+Wh/Env_an)/Csdif,0,1))</f>
        <v>19.383110968691152</v>
      </c>
      <c r="G271" s="110">
        <f t="shared" si="97"/>
        <v>0.4108294679981993</v>
      </c>
      <c r="H271" s="414" t="b">
        <f>Wh_hp&gt;='2020'!Maxi_hp</f>
        <v>0</v>
      </c>
      <c r="I271" s="380">
        <f>IF(H271,Wh_hp,'2020'!Maxi_hp)</f>
        <v>44.733439415558536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2.6180951208449543E-2</v>
      </c>
      <c r="M271" s="844"/>
      <c r="N271" s="844"/>
      <c r="O271" s="48">
        <f>IF(t&lt;Tnet,'2020'!Resal+('2020'!Salim-'2020'!Resal)*(1-EXP(('2020'!Tnet-t)/('2020'!Tau_j))),Resal+(Salim-Resal)*(1-EXP((Tnet-t)/(Tau_j))))*Salcycl</f>
        <v>4.7164600133065462E-2</v>
      </c>
      <c r="P271" s="169">
        <f>(INDEX(Models!$BJ271:$BT271,,T271)*(1-R271)+INDEX(Models!$BJ271:$BT271,,T271+1)*R271-ERP_i)*Q271*Ramure*Pc/MaxiM</f>
        <v>1.1827953004610668E-3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0.9918172285259157</v>
      </c>
      <c r="S271" s="810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-8.1827714740842494E-3</v>
      </c>
      <c r="V271" s="383">
        <f t="shared" ref="V271:V334" si="106">MaxiM*(1-Ppv)*(1-Pvg)*(1-Psa)</f>
        <v>43.726433769585682</v>
      </c>
      <c r="W271" s="402"/>
      <c r="X271" s="157">
        <f t="shared" ref="X271:X334" si="107">t</f>
        <v>44453</v>
      </c>
      <c r="Y271" s="385">
        <f t="shared" ref="Y271:Y334" si="108">Wh_pvt_s*(1-Ppv)</f>
        <v>16.389675309640293</v>
      </c>
      <c r="Z271" s="385">
        <f t="shared" ref="Z271:Z334" si="109">Wh_sa_s*(1-Psa_s)</f>
        <v>16.830308803241085</v>
      </c>
      <c r="AA271" s="386">
        <f t="shared" ref="AA271:AA334" si="110">Wh_hp*(1-Pvg_s*MEDIAN((-Sdif+Wh/Env_an)/Csdif,0,1))</f>
        <v>19.379467703551001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0.13153915986262205</v>
      </c>
      <c r="AD271" s="231">
        <f>(INDEX(Models!$BJ271:$BT271,,AH271)*(1-AF271)+INDEX(Models!$BJ271:$BT271,,AH271+1)*AF271-ERP_i)*AE271*Ramure*Pc/MaxiM</f>
        <v>1.1827953004610668E-3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0.9918172285259157</v>
      </c>
      <c r="AG271" s="810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-8.1827714740842494E-3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27.315000000000001</v>
      </c>
      <c r="C272" s="390"/>
      <c r="D272" s="393">
        <f t="shared" si="98"/>
        <v>28.050011661452661</v>
      </c>
      <c r="E272" s="385">
        <f t="shared" si="96"/>
        <v>29.443668868291734</v>
      </c>
      <c r="F272" s="385">
        <f t="shared" si="99"/>
        <v>29.460632649451604</v>
      </c>
      <c r="G272" s="110">
        <f t="shared" si="97"/>
        <v>0.62964582793767432</v>
      </c>
      <c r="H272" s="414" t="b">
        <f>Wh_hp&gt;='2020'!Maxi_hp</f>
        <v>0</v>
      </c>
      <c r="I272" s="380">
        <f>IF(H272,Wh_hp,'2020'!Maxi_hp)</f>
        <v>45.524121434792207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2.6203613400373027E-2</v>
      </c>
      <c r="M272" s="844"/>
      <c r="N272" s="844"/>
      <c r="O272" s="48">
        <f>IF(t&lt;Tnet,'2020'!Resal+('2020'!Salim-'2020'!Resal)*(1-EXP(('2020'!Tnet-t)/('2020'!Tau_j))),Resal+(Salim-Resal)*(1-EXP((Tnet-t)/(Tau_j))))*Salcycl</f>
        <v>4.733300096102902E-2</v>
      </c>
      <c r="P272" s="169">
        <f>(INDEX(Models!$BJ272:$BT272,,T272)*(1-R272)+INDEX(Models!$BJ272:$BT272,,T272+1)*R272-ERP_i)*Q272*Ramure*Pc/MaxiM</f>
        <v>1.2212240116957374E-3</v>
      </c>
      <c r="Q272" s="305">
        <f t="shared" si="101"/>
        <v>0.7</v>
      </c>
      <c r="R272" s="177">
        <f t="shared" si="102"/>
        <v>0.99211784981383422</v>
      </c>
      <c r="S272" s="810">
        <f t="shared" si="103"/>
        <v>-1</v>
      </c>
      <c r="T272" s="176">
        <f t="shared" si="104"/>
        <v>5</v>
      </c>
      <c r="U272" s="251">
        <f t="shared" si="105"/>
        <v>-7.8821501861657817E-3</v>
      </c>
      <c r="V272" s="383">
        <f t="shared" si="106"/>
        <v>43.353515894666828</v>
      </c>
      <c r="W272" s="402"/>
      <c r="X272" s="157">
        <f t="shared" si="107"/>
        <v>44454</v>
      </c>
      <c r="Y272" s="385">
        <f t="shared" si="108"/>
        <v>24.898916686650708</v>
      </c>
      <c r="Z272" s="385">
        <f t="shared" si="109"/>
        <v>25.568914640969819</v>
      </c>
      <c r="AA272" s="386">
        <f t="shared" si="110"/>
        <v>29.443668868291734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0.13159889294552854</v>
      </c>
      <c r="AD272" s="231">
        <f>(INDEX(Models!$BJ272:$BT272,,AH272)*(1-AF272)+INDEX(Models!$BJ272:$BT272,,AH272+1)*AF272-ERP_i)*AE272*Ramure*Pc/MaxiM</f>
        <v>1.2212240116957374E-3</v>
      </c>
      <c r="AE272" s="305">
        <f t="shared" si="112"/>
        <v>0.7</v>
      </c>
      <c r="AF272" s="177">
        <f t="shared" si="113"/>
        <v>0.99211784981383422</v>
      </c>
      <c r="AG272" s="810">
        <f t="shared" ref="AG272:AG335" si="119">INDEX(Echel_vg,AH272)</f>
        <v>-1</v>
      </c>
      <c r="AH272" s="176">
        <f t="shared" si="114"/>
        <v>5</v>
      </c>
      <c r="AI272" s="225">
        <f t="shared" si="115"/>
        <v>-7.8821501861657817E-3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6">
        <v>19.760000000000002</v>
      </c>
      <c r="C273" s="390"/>
      <c r="D273" s="393">
        <f t="shared" si="98"/>
        <v>20.292188517735219</v>
      </c>
      <c r="E273" s="385">
        <f t="shared" si="96"/>
        <v>21.304151586166924</v>
      </c>
      <c r="F273" s="385">
        <f t="shared" si="99"/>
        <v>21.310266425415271</v>
      </c>
      <c r="G273" s="110">
        <f t="shared" si="97"/>
        <v>0.45931663443345466</v>
      </c>
      <c r="H273" s="414" t="b">
        <f>Wh_hp&gt;='2020'!Maxi_hp</f>
        <v>0</v>
      </c>
      <c r="I273" s="380">
        <f>IF(H273,Wh_hp,'2020'!Maxi_hp)</f>
        <v>41.220294819613947</v>
      </c>
      <c r="J273" s="85">
        <f>IF(H273,An,'2020'!An_max)</f>
        <v>2020</v>
      </c>
      <c r="K273" s="197">
        <f t="shared" si="100"/>
        <v>44455</v>
      </c>
      <c r="L273" s="147">
        <f>IF(t&lt;Tvie,1-EXP((T0-t)*PertePVj)+'2020'!Pspv,1-EXP((T0-t)*PertePVj)+Pspv)</f>
        <v>2.6226275064914151E-2</v>
      </c>
      <c r="M273" s="844"/>
      <c r="N273" s="844"/>
      <c r="O273" s="48">
        <f>IF(t&lt;Tnet,'2020'!Resal+('2020'!Salim-'2020'!Resal)*(1-EXP(('2020'!Tnet-t)/('2020'!Tau_j))),Resal+(Salim-Resal)*(1-EXP((Tnet-t)/(Tau_j))))*Salcycl</f>
        <v>4.7500744835517653E-2</v>
      </c>
      <c r="P273" s="169">
        <f>(INDEX(Models!$BJ273:$BT273,,T273)*(1-R273)+INDEX(Models!$BJ273:$BT273,,T273+1)*R273-ERP_i)*Q273*Ramure*Pc/MaxiM</f>
        <v>1.2572404747677641E-3</v>
      </c>
      <c r="Q273" s="305">
        <f t="shared" si="101"/>
        <v>0.7</v>
      </c>
      <c r="R273" s="177">
        <f t="shared" si="102"/>
        <v>0.99240679995135073</v>
      </c>
      <c r="S273" s="810">
        <f t="shared" si="103"/>
        <v>-1</v>
      </c>
      <c r="T273" s="176">
        <f t="shared" si="104"/>
        <v>5</v>
      </c>
      <c r="U273" s="251">
        <f t="shared" si="105"/>
        <v>-7.5932000486492734E-3</v>
      </c>
      <c r="V273" s="383">
        <f t="shared" si="106"/>
        <v>42.97867733444847</v>
      </c>
      <c r="W273" s="402"/>
      <c r="X273" s="157">
        <f t="shared" si="107"/>
        <v>44455</v>
      </c>
      <c r="Y273" s="385">
        <f t="shared" si="108"/>
        <v>18.014134427572721</v>
      </c>
      <c r="Z273" s="385">
        <f t="shared" si="109"/>
        <v>18.499302215998473</v>
      </c>
      <c r="AA273" s="386">
        <f t="shared" si="110"/>
        <v>21.304151586166924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0.13165740765709161</v>
      </c>
      <c r="AD273" s="231">
        <f>(INDEX(Models!$BJ273:$BT273,,AH273)*(1-AF273)+INDEX(Models!$BJ273:$BT273,,AH273+1)*AF273-ERP_i)*AE273*Ramure*Pc/MaxiM</f>
        <v>1.2572404747677641E-3</v>
      </c>
      <c r="AE273" s="305">
        <f t="shared" si="112"/>
        <v>0.7</v>
      </c>
      <c r="AF273" s="177">
        <f t="shared" si="113"/>
        <v>0.99240679995135073</v>
      </c>
      <c r="AG273" s="810">
        <f t="shared" si="119"/>
        <v>-1</v>
      </c>
      <c r="AH273" s="176">
        <f t="shared" si="114"/>
        <v>5</v>
      </c>
      <c r="AI273" s="225">
        <f t="shared" si="115"/>
        <v>-7.5932000486492734E-3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6">
        <v>39.925000000000004</v>
      </c>
      <c r="C274" s="390"/>
      <c r="D274" s="393">
        <f t="shared" si="98"/>
        <v>41.001238904202879</v>
      </c>
      <c r="E274" s="385">
        <f t="shared" si="96"/>
        <v>43.053505333782034</v>
      </c>
      <c r="F274" s="385">
        <f t="shared" si="99"/>
        <v>43.104148133097077</v>
      </c>
      <c r="G274" s="110">
        <f t="shared" si="97"/>
        <v>0.93704669855317724</v>
      </c>
      <c r="H274" s="414" t="b">
        <f>Wh_hp&gt;='2020'!Maxi_hp</f>
        <v>1</v>
      </c>
      <c r="I274" s="380">
        <f>IF(H274,Wh_hp,'2020'!Maxi_hp)</f>
        <v>43.104148133097077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2.6248936202085238E-2</v>
      </c>
      <c r="M274" s="844"/>
      <c r="N274" s="844"/>
      <c r="O274" s="48">
        <f>IF(t&lt;Tnet,'2020'!Resal+('2020'!Salim-'2020'!Resal)*(1-EXP(('2020'!Tnet-t)/('2020'!Tau_j))),Resal+(Salim-Resal)*(1-EXP((Tnet-t)/(Tau_j))))*Salcycl</f>
        <v>4.7667812729033282E-2</v>
      </c>
      <c r="P274" s="169">
        <f>(INDEX(Models!$BJ274:$BT274,,T274)*(1-R274)+INDEX(Models!$BJ274:$BT274,,T274+1)*R274-ERP_i)*Q274*Ramure*Pc/MaxiM</f>
        <v>1.2907772147097924E-3</v>
      </c>
      <c r="Q274" s="305">
        <f t="shared" si="101"/>
        <v>0.7</v>
      </c>
      <c r="R274" s="177">
        <f t="shared" si="102"/>
        <v>0.99268451558742932</v>
      </c>
      <c r="S274" s="810">
        <f t="shared" si="103"/>
        <v>-1</v>
      </c>
      <c r="T274" s="176">
        <f t="shared" si="104"/>
        <v>5</v>
      </c>
      <c r="U274" s="251">
        <f t="shared" si="105"/>
        <v>-7.3154844125706275E-3</v>
      </c>
      <c r="V274" s="383">
        <f t="shared" si="106"/>
        <v>42.602324918066017</v>
      </c>
      <c r="W274" s="402"/>
      <c r="X274" s="157">
        <f t="shared" si="107"/>
        <v>44456</v>
      </c>
      <c r="Y274" s="385">
        <f t="shared" si="108"/>
        <v>36.401470656116238</v>
      </c>
      <c r="Z274" s="385">
        <f t="shared" si="109"/>
        <v>37.382727484928054</v>
      </c>
      <c r="AA274" s="386">
        <f t="shared" si="110"/>
        <v>43.053505333782034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0.13171466074341664</v>
      </c>
      <c r="AD274" s="231">
        <f>(INDEX(Models!$BJ274:$BT274,,AH274)*(1-AF274)+INDEX(Models!$BJ274:$BT274,,AH274+1)*AF274-ERP_i)*AE274*Ramure*Pc/MaxiM</f>
        <v>1.2907772147097924E-3</v>
      </c>
      <c r="AE274" s="305">
        <f t="shared" si="112"/>
        <v>0.7</v>
      </c>
      <c r="AF274" s="177">
        <f t="shared" si="113"/>
        <v>0.99268451558742932</v>
      </c>
      <c r="AG274" s="810">
        <f t="shared" si="119"/>
        <v>-1</v>
      </c>
      <c r="AH274" s="176">
        <f t="shared" si="114"/>
        <v>5</v>
      </c>
      <c r="AI274" s="225">
        <f t="shared" si="115"/>
        <v>-7.3154844125706275E-3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6">
        <v>9.6229999999999993</v>
      </c>
      <c r="C275" s="390"/>
      <c r="D275" s="393">
        <f t="shared" si="98"/>
        <v>9.8826325374644153</v>
      </c>
      <c r="E275" s="385">
        <f t="shared" si="96"/>
        <v>10.379108746100604</v>
      </c>
      <c r="F275" s="385">
        <f t="shared" si="99"/>
        <v>10.379108746100604</v>
      </c>
      <c r="G275" s="110">
        <f t="shared" si="97"/>
        <v>0.22761494443614241</v>
      </c>
      <c r="H275" s="414" t="b">
        <f>Wh_hp&gt;='2020'!Maxi_hp</f>
        <v>0</v>
      </c>
      <c r="I275" s="380">
        <f>IF(H275,Wh_hp,'2020'!Maxi_hp)</f>
        <v>40.711150007776851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2.6271596811898612E-2</v>
      </c>
      <c r="M275" s="844"/>
      <c r="N275" s="844"/>
      <c r="O275" s="48">
        <f>IF(t&lt;Tnet,'2020'!Resal+('2020'!Salim-'2020'!Resal)*(1-EXP(('2020'!Tnet-t)/('2020'!Tau_j))),Resal+(Salim-Resal)*(1-EXP((Tnet-t)/(Tau_j))))*Salcycl</f>
        <v>4.7834185071306226E-2</v>
      </c>
      <c r="P275" s="169">
        <f>(INDEX(Models!$BJ275:$BT275,,T275)*(1-R275)+INDEX(Models!$BJ275:$BT275,,T275+1)*R275-ERP_i)*Q275*Ramure*Pc/MaxiM</f>
        <v>1.3218635664666225E-3</v>
      </c>
      <c r="Q275" s="305">
        <f t="shared" si="101"/>
        <v>0.7</v>
      </c>
      <c r="R275" s="177">
        <f t="shared" si="102"/>
        <v>0.99295141831531564</v>
      </c>
      <c r="S275" s="810">
        <f t="shared" si="103"/>
        <v>-1</v>
      </c>
      <c r="T275" s="176">
        <f t="shared" si="104"/>
        <v>5</v>
      </c>
      <c r="U275" s="251">
        <f t="shared" si="105"/>
        <v>-7.0485816846843075E-3</v>
      </c>
      <c r="V275" s="383">
        <f t="shared" si="106"/>
        <v>42.221655219989586</v>
      </c>
      <c r="W275" s="402"/>
      <c r="X275" s="157">
        <f t="shared" si="107"/>
        <v>44457</v>
      </c>
      <c r="Y275" s="385">
        <f t="shared" si="108"/>
        <v>8.7747021672154748</v>
      </c>
      <c r="Z275" s="385">
        <f t="shared" si="109"/>
        <v>9.0114472767622544</v>
      </c>
      <c r="AA275" s="386">
        <f t="shared" si="110"/>
        <v>10.379108746100604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0.13177060793896933</v>
      </c>
      <c r="AD275" s="231">
        <f>(INDEX(Models!$BJ275:$BT275,,AH275)*(1-AF275)+INDEX(Models!$BJ275:$BT275,,AH275+1)*AF275-ERP_i)*AE275*Ramure*Pc/MaxiM</f>
        <v>1.3218635664666225E-3</v>
      </c>
      <c r="AE275" s="305">
        <f t="shared" si="112"/>
        <v>0.7</v>
      </c>
      <c r="AF275" s="177">
        <f t="shared" si="113"/>
        <v>0.99295141831531564</v>
      </c>
      <c r="AG275" s="810">
        <f t="shared" si="119"/>
        <v>-1</v>
      </c>
      <c r="AH275" s="176">
        <f t="shared" si="114"/>
        <v>5</v>
      </c>
      <c r="AI275" s="225">
        <f t="shared" si="115"/>
        <v>-7.0485816846843075E-3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6">
        <v>32.9</v>
      </c>
      <c r="C276" s="390"/>
      <c r="D276" s="393">
        <f t="shared" si="98"/>
        <v>33.788441973306512</v>
      </c>
      <c r="E276" s="385">
        <f t="shared" si="96"/>
        <v>35.492054998196963</v>
      </c>
      <c r="F276" s="385">
        <f t="shared" si="99"/>
        <v>35.525356622610445</v>
      </c>
      <c r="G276" s="110">
        <f t="shared" si="97"/>
        <v>0.78611133257195898</v>
      </c>
      <c r="H276" s="414" t="b">
        <f>Wh_hp&gt;='2020'!Maxi_hp</f>
        <v>0</v>
      </c>
      <c r="I276" s="380">
        <f>IF(H276,Wh_hp,'2020'!Maxi_hp)</f>
        <v>41.27578259779721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2.6294256894366375E-2</v>
      </c>
      <c r="M276" s="844"/>
      <c r="N276" s="844"/>
      <c r="O276" s="48">
        <f>IF(t&lt;Tnet,'2020'!Resal+('2020'!Salim-'2020'!Resal)*(1-EXP(('2020'!Tnet-t)/('2020'!Tau_j))),Resal+(Salim-Resal)*(1-EXP((Tnet-t)/(Tau_j))))*Salcycl</f>
        <v>4.799984179493106E-2</v>
      </c>
      <c r="P276" s="169">
        <f>(INDEX(Models!$BJ276:$BT276,,T276)*(1-R276)+INDEX(Models!$BJ276:$BT276,,T276+1)*R276-ERP_i)*Q276*Ramure*Pc/MaxiM</f>
        <v>1.3489626598234571E-3</v>
      </c>
      <c r="Q276" s="305">
        <f t="shared" si="101"/>
        <v>0.7</v>
      </c>
      <c r="R276" s="177">
        <f t="shared" si="102"/>
        <v>0.99320791509072492</v>
      </c>
      <c r="S276" s="810">
        <f t="shared" si="103"/>
        <v>-1</v>
      </c>
      <c r="T276" s="176">
        <f t="shared" si="104"/>
        <v>5</v>
      </c>
      <c r="U276" s="251">
        <f t="shared" si="105"/>
        <v>-6.7920849092750202E-3</v>
      </c>
      <c r="V276" s="383">
        <f t="shared" si="106"/>
        <v>41.834337790211364</v>
      </c>
      <c r="W276" s="402"/>
      <c r="X276" s="157">
        <f t="shared" si="107"/>
        <v>44458</v>
      </c>
      <c r="Y276" s="385">
        <f t="shared" si="108"/>
        <v>30.003094578071316</v>
      </c>
      <c r="Z276" s="385">
        <f t="shared" si="109"/>
        <v>30.813307603975378</v>
      </c>
      <c r="AA276" s="386">
        <f t="shared" si="110"/>
        <v>35.492054998196963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0.13182520410439105</v>
      </c>
      <c r="AD276" s="231">
        <f>(INDEX(Models!$BJ276:$BT276,,AH276)*(1-AF276)+INDEX(Models!$BJ276:$BT276,,AH276+1)*AF276-ERP_i)*AE276*Ramure*Pc/MaxiM</f>
        <v>1.3489626598234571E-3</v>
      </c>
      <c r="AE276" s="305">
        <f t="shared" si="112"/>
        <v>0.7</v>
      </c>
      <c r="AF276" s="177">
        <f t="shared" si="113"/>
        <v>0.99320791509072492</v>
      </c>
      <c r="AG276" s="810">
        <f t="shared" si="119"/>
        <v>-1</v>
      </c>
      <c r="AH276" s="176">
        <f t="shared" si="114"/>
        <v>5</v>
      </c>
      <c r="AI276" s="225">
        <f t="shared" si="115"/>
        <v>-6.7920849092750202E-3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6">
        <v>27.658999999999999</v>
      </c>
      <c r="C277" s="390"/>
      <c r="D277" s="393">
        <f t="shared" si="98"/>
        <v>28.406573419292126</v>
      </c>
      <c r="E277" s="385">
        <f t="shared" si="96"/>
        <v>29.844002719037807</v>
      </c>
      <c r="F277" s="385">
        <f t="shared" si="99"/>
        <v>29.865526593861368</v>
      </c>
      <c r="G277" s="110">
        <f t="shared" si="97"/>
        <v>0.66698954947083622</v>
      </c>
      <c r="H277" s="414" t="b">
        <f>Wh_hp&gt;='2020'!Maxi_hp</f>
        <v>0</v>
      </c>
      <c r="I277" s="380">
        <f>IF(H277,Wh_hp,'2020'!Maxi_hp)</f>
        <v>41.958015928812877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2.631691644950096E-2</v>
      </c>
      <c r="M277" s="844"/>
      <c r="N277" s="844"/>
      <c r="O277" s="48">
        <f>IF(t&lt;Tnet,'2020'!Resal+('2020'!Salim-'2020'!Resal)*(1-EXP(('2020'!Tnet-t)/('2020'!Tau_j))),Resal+(Salim-Resal)*(1-EXP((Tnet-t)/(Tau_j))))*Salcycl</f>
        <v>4.8164762390559834E-2</v>
      </c>
      <c r="P277" s="169">
        <f>(INDEX(Models!$BJ277:$BT277,,T277)*(1-R277)+INDEX(Models!$BJ277:$BT277,,T277+1)*R277-ERP_i)*Q277*Ramure*Pc/MaxiM</f>
        <v>1.3730277815340037E-3</v>
      </c>
      <c r="Q277" s="305">
        <f t="shared" si="101"/>
        <v>0.7</v>
      </c>
      <c r="R277" s="177">
        <f t="shared" si="102"/>
        <v>0.99345439864677187</v>
      </c>
      <c r="S277" s="810">
        <f t="shared" si="103"/>
        <v>-1</v>
      </c>
      <c r="T277" s="176">
        <f t="shared" si="104"/>
        <v>5</v>
      </c>
      <c r="U277" s="251">
        <f t="shared" si="105"/>
        <v>-6.5456013532280699E-3</v>
      </c>
      <c r="V277" s="383">
        <f t="shared" si="106"/>
        <v>41.441345041112911</v>
      </c>
      <c r="W277" s="402"/>
      <c r="X277" s="157">
        <f t="shared" si="107"/>
        <v>44459</v>
      </c>
      <c r="Y277" s="385">
        <f t="shared" si="108"/>
        <v>25.226398742075844</v>
      </c>
      <c r="Z277" s="385">
        <f t="shared" si="109"/>
        <v>25.908223289747134</v>
      </c>
      <c r="AA277" s="386">
        <f t="shared" si="110"/>
        <v>29.844002719037807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0.13187840338789397</v>
      </c>
      <c r="AD277" s="231">
        <f>(INDEX(Models!$BJ277:$BT277,,AH277)*(1-AF277)+INDEX(Models!$BJ277:$BT277,,AH277+1)*AF277-ERP_i)*AE277*Ramure*Pc/MaxiM</f>
        <v>1.3730277815340037E-3</v>
      </c>
      <c r="AE277" s="305">
        <f t="shared" si="112"/>
        <v>0.7</v>
      </c>
      <c r="AF277" s="177">
        <f t="shared" si="113"/>
        <v>0.99345439864677187</v>
      </c>
      <c r="AG277" s="810">
        <f t="shared" si="119"/>
        <v>-1</v>
      </c>
      <c r="AH277" s="176">
        <f t="shared" si="114"/>
        <v>5</v>
      </c>
      <c r="AI277" s="225">
        <f t="shared" si="115"/>
        <v>-6.5456013532280699E-3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6">
        <v>11.356</v>
      </c>
      <c r="C278" s="390"/>
      <c r="D278" s="393">
        <f t="shared" si="98"/>
        <v>11.663203837792851</v>
      </c>
      <c r="E278" s="385">
        <f t="shared" si="96"/>
        <v>12.255498938751836</v>
      </c>
      <c r="F278" s="385">
        <f t="shared" si="99"/>
        <v>12.255498938751836</v>
      </c>
      <c r="G278" s="110">
        <f t="shared" si="97"/>
        <v>0.27629507345201609</v>
      </c>
      <c r="H278" s="414" t="b">
        <f>Wh_hp&gt;='2020'!Maxi_hp</f>
        <v>0</v>
      </c>
      <c r="I278" s="380">
        <f>IF(H278,Wh_hp,'2020'!Maxi_hp)</f>
        <v>33.083533148486922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2.6339575477314692E-2</v>
      </c>
      <c r="M278" s="844"/>
      <c r="N278" s="844"/>
      <c r="O278" s="48">
        <f>IF(t&lt;Tnet,'2020'!Resal+('2020'!Salim-'2020'!Resal)*(1-EXP(('2020'!Tnet-t)/('2020'!Tau_j))),Resal+(Salim-Resal)*(1-EXP((Tnet-t)/(Tau_j))))*Salcycl</f>
        <v>4.8328925971846841E-2</v>
      </c>
      <c r="P278" s="169">
        <f>(INDEX(Models!$BJ278:$BT278,,T278)*(1-R278)+INDEX(Models!$BJ278:$BT278,,T278+1)*R278-ERP_i)*Q278*Ramure*Pc/MaxiM</f>
        <v>1.3939566866140308E-3</v>
      </c>
      <c r="Q278" s="305">
        <f t="shared" si="101"/>
        <v>0.7</v>
      </c>
      <c r="R278" s="177">
        <f t="shared" si="102"/>
        <v>0.99369124790484209</v>
      </c>
      <c r="S278" s="810">
        <f t="shared" si="103"/>
        <v>-1</v>
      </c>
      <c r="T278" s="176">
        <f t="shared" si="104"/>
        <v>5</v>
      </c>
      <c r="U278" s="251">
        <f t="shared" si="105"/>
        <v>-6.3087520951579101E-3</v>
      </c>
      <c r="V278" s="383">
        <f t="shared" si="106"/>
        <v>41.043693201559201</v>
      </c>
      <c r="W278" s="402"/>
      <c r="X278" s="157">
        <f t="shared" si="107"/>
        <v>44460</v>
      </c>
      <c r="Y278" s="385">
        <f t="shared" si="108"/>
        <v>10.358412038322717</v>
      </c>
      <c r="Z278" s="385">
        <f t="shared" si="109"/>
        <v>10.63862901010965</v>
      </c>
      <c r="AA278" s="386">
        <f t="shared" si="110"/>
        <v>12.255498938751836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0.13193015941029138</v>
      </c>
      <c r="AD278" s="231">
        <f>(INDEX(Models!$BJ278:$BT278,,AH278)*(1-AF278)+INDEX(Models!$BJ278:$BT278,,AH278+1)*AF278-ERP_i)*AE278*Ramure*Pc/MaxiM</f>
        <v>1.3939566866140308E-3</v>
      </c>
      <c r="AE278" s="305">
        <f t="shared" si="112"/>
        <v>0.7</v>
      </c>
      <c r="AF278" s="177">
        <f t="shared" si="113"/>
        <v>0.99369124790484209</v>
      </c>
      <c r="AG278" s="810">
        <f t="shared" si="119"/>
        <v>-1</v>
      </c>
      <c r="AH278" s="176">
        <f t="shared" si="114"/>
        <v>5</v>
      </c>
      <c r="AI278" s="225">
        <f t="shared" si="115"/>
        <v>-6.3087520951579101E-3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6">
        <v>37.872</v>
      </c>
      <c r="C279" s="390"/>
      <c r="D279" s="393">
        <f t="shared" si="98"/>
        <v>38.897422965346685</v>
      </c>
      <c r="E279" s="385">
        <f t="shared" si="96"/>
        <v>40.87977788234587</v>
      </c>
      <c r="F279" s="385">
        <f t="shared" si="99"/>
        <v>40.931932372174046</v>
      </c>
      <c r="G279" s="110">
        <f t="shared" si="97"/>
        <v>0.93170653197657927</v>
      </c>
      <c r="H279" s="414" t="b">
        <f>Wh_hp&gt;='2020'!Maxi_hp</f>
        <v>1</v>
      </c>
      <c r="I279" s="380">
        <f>IF(H279,Wh_hp,'2020'!Maxi_hp)</f>
        <v>40.931932372174046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2.6362233977819671E-2</v>
      </c>
      <c r="M279" s="844"/>
      <c r="N279" s="844"/>
      <c r="O279" s="48">
        <f>IF(t&lt;Tnet,'2020'!Resal+('2020'!Salim-'2020'!Resal)*(1-EXP(('2020'!Tnet-t)/('2020'!Tau_j))),Resal+(Salim-Resal)*(1-EXP((Tnet-t)/(Tau_j))))*Salcycl</f>
        <v>4.849231135023549E-2</v>
      </c>
      <c r="P279" s="169">
        <f>(INDEX(Models!$BJ279:$BT279,,T279)*(1-R279)+INDEX(Models!$BJ279:$BT279,,T279+1)*R279-ERP_i)*Q279*Ramure*Pc/MaxiM</f>
        <v>1.4116400098158131E-3</v>
      </c>
      <c r="Q279" s="305">
        <f t="shared" si="101"/>
        <v>0.7</v>
      </c>
      <c r="R279" s="177">
        <f t="shared" si="102"/>
        <v>0.99391882838069012</v>
      </c>
      <c r="S279" s="810">
        <f t="shared" si="103"/>
        <v>-1</v>
      </c>
      <c r="T279" s="176">
        <f t="shared" si="104"/>
        <v>5</v>
      </c>
      <c r="U279" s="251">
        <f t="shared" si="105"/>
        <v>-6.081171619309822E-3</v>
      </c>
      <c r="V279" s="383">
        <f t="shared" si="106"/>
        <v>40.642397606133201</v>
      </c>
      <c r="W279" s="402"/>
      <c r="X279" s="157">
        <f t="shared" si="107"/>
        <v>44461</v>
      </c>
      <c r="Y279" s="385">
        <f t="shared" si="108"/>
        <v>34.54899809913168</v>
      </c>
      <c r="Z279" s="385">
        <f t="shared" si="109"/>
        <v>35.484447404174155</v>
      </c>
      <c r="AA279" s="386">
        <f t="shared" si="110"/>
        <v>40.87977788234587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0.13198042547343958</v>
      </c>
      <c r="AD279" s="231">
        <f>(INDEX(Models!$BJ279:$BT279,,AH279)*(1-AF279)+INDEX(Models!$BJ279:$BT279,,AH279+1)*AF279-ERP_i)*AE279*Ramure*Pc/MaxiM</f>
        <v>1.4116400098158131E-3</v>
      </c>
      <c r="AE279" s="305">
        <f t="shared" si="112"/>
        <v>0.7</v>
      </c>
      <c r="AF279" s="177">
        <f t="shared" si="113"/>
        <v>0.99391882838069012</v>
      </c>
      <c r="AG279" s="810">
        <f t="shared" si="119"/>
        <v>-1</v>
      </c>
      <c r="AH279" s="176">
        <f t="shared" si="114"/>
        <v>5</v>
      </c>
      <c r="AI279" s="225">
        <f t="shared" si="115"/>
        <v>-6.081171619309822E-3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6">
        <v>31.664999999999999</v>
      </c>
      <c r="C280" s="390"/>
      <c r="D280" s="393">
        <f t="shared" si="98"/>
        <v>32.523118980203094</v>
      </c>
      <c r="E280" s="385">
        <f t="shared" si="96"/>
        <v>34.186457555445841</v>
      </c>
      <c r="F280" s="385">
        <f t="shared" si="99"/>
        <v>34.220401854089431</v>
      </c>
      <c r="G280" s="110">
        <f t="shared" si="97"/>
        <v>0.78659155454905172</v>
      </c>
      <c r="H280" s="414" t="b">
        <f>Wh_hp&gt;='2020'!Maxi_hp</f>
        <v>0</v>
      </c>
      <c r="I280" s="380">
        <f>IF(H280,Wh_hp,'2020'!Maxi_hp)</f>
        <v>39.201858465251448</v>
      </c>
      <c r="J280" s="85">
        <f>IF(H280,An,'2020'!An_max)</f>
        <v>2019</v>
      </c>
      <c r="K280" s="197">
        <f t="shared" si="100"/>
        <v>44462</v>
      </c>
      <c r="L280" s="147">
        <f>IF(t&lt;Tvie,1-EXP((T0-t)*PertePVj)+'2020'!Pspv,1-EXP((T0-t)*PertePVj)+Pspv)</f>
        <v>2.6384891951028222E-2</v>
      </c>
      <c r="M280" s="844"/>
      <c r="N280" s="844"/>
      <c r="O280" s="48">
        <f>IF(t&lt;Tnet,'2020'!Resal+('2020'!Salim-'2020'!Resal)*(1-EXP(('2020'!Tnet-t)/('2020'!Tau_j))),Resal+(Salim-Resal)*(1-EXP((Tnet-t)/(Tau_j))))*Salcycl</f>
        <v>4.8654897119569614E-2</v>
      </c>
      <c r="P280" s="169">
        <f>(INDEX(Models!$BJ280:$BT280,,T280)*(1-R280)+INDEX(Models!$BJ280:$BT280,,T280+1)*R280-ERP_i)*Q280*Ramure*Pc/MaxiM</f>
        <v>1.4259692581141013E-3</v>
      </c>
      <c r="Q280" s="305">
        <f t="shared" si="101"/>
        <v>0.7</v>
      </c>
      <c r="R280" s="177">
        <f t="shared" si="102"/>
        <v>0.99413749258514239</v>
      </c>
      <c r="S280" s="810">
        <f t="shared" si="103"/>
        <v>-1</v>
      </c>
      <c r="T280" s="176">
        <f t="shared" si="104"/>
        <v>5</v>
      </c>
      <c r="U280" s="251">
        <f t="shared" si="105"/>
        <v>-5.8625074148576095E-3</v>
      </c>
      <c r="V280" s="383">
        <f t="shared" si="106"/>
        <v>40.238472392298178</v>
      </c>
      <c r="W280" s="402"/>
      <c r="X280" s="157">
        <f t="shared" si="107"/>
        <v>44462</v>
      </c>
      <c r="Y280" s="385">
        <f t="shared" si="108"/>
        <v>28.889933558609847</v>
      </c>
      <c r="Z280" s="385">
        <f t="shared" si="109"/>
        <v>29.672848459081958</v>
      </c>
      <c r="AA280" s="386">
        <f t="shared" si="110"/>
        <v>34.186457555445841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0.13202915479158411</v>
      </c>
      <c r="AD280" s="231">
        <f>(INDEX(Models!$BJ280:$BT280,,AH280)*(1-AF280)+INDEX(Models!$BJ280:$BT280,,AH280+1)*AF280-ERP_i)*AE280*Ramure*Pc/MaxiM</f>
        <v>1.4259692581141013E-3</v>
      </c>
      <c r="AE280" s="305">
        <f t="shared" si="112"/>
        <v>0.7</v>
      </c>
      <c r="AF280" s="177">
        <f t="shared" si="113"/>
        <v>0.99413749258514239</v>
      </c>
      <c r="AG280" s="810">
        <f t="shared" si="119"/>
        <v>-1</v>
      </c>
      <c r="AH280" s="176">
        <f t="shared" si="114"/>
        <v>5</v>
      </c>
      <c r="AI280" s="225">
        <f t="shared" si="115"/>
        <v>-5.8625074148576095E-3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6">
        <v>33.481999999999999</v>
      </c>
      <c r="C281" s="390"/>
      <c r="D281" s="393">
        <f t="shared" si="98"/>
        <v>34.390159844872571</v>
      </c>
      <c r="E281" s="385">
        <f t="shared" si="96"/>
        <v>36.155132729888372</v>
      </c>
      <c r="F281" s="385">
        <f t="shared" si="99"/>
        <v>36.19529357264706</v>
      </c>
      <c r="G281" s="110">
        <f t="shared" si="97"/>
        <v>0.84028539925436641</v>
      </c>
      <c r="H281" s="414" t="b">
        <f>Wh_hp&gt;='2020'!Maxi_hp</f>
        <v>1</v>
      </c>
      <c r="I281" s="380">
        <f>IF(H281,Wh_hp,'2020'!Maxi_hp)</f>
        <v>36.19529357264706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2.6407549396952668E-2</v>
      </c>
      <c r="M281" s="844"/>
      <c r="N281" s="844"/>
      <c r="O281" s="48">
        <f>IF(t&lt;Tnet,'2020'!Resal+('2020'!Salim-'2020'!Resal)*(1-EXP(('2020'!Tnet-t)/('2020'!Tau_j))),Resal+(Salim-Resal)*(1-EXP((Tnet-t)/(Tau_j))))*Salcycl</f>
        <v>4.8816661750400642E-2</v>
      </c>
      <c r="P281" s="169">
        <f>(INDEX(Models!$BJ281:$BT281,,T281)*(1-R281)+INDEX(Models!$BJ281:$BT281,,T281+1)*R281-ERP_i)*Q281*Ramure*Pc/MaxiM</f>
        <v>1.4368261120867422E-3</v>
      </c>
      <c r="Q281" s="305">
        <f t="shared" si="101"/>
        <v>0.7</v>
      </c>
      <c r="R281" s="177">
        <f t="shared" si="102"/>
        <v>0.9943475804188513</v>
      </c>
      <c r="S281" s="810">
        <f t="shared" si="103"/>
        <v>-1</v>
      </c>
      <c r="T281" s="176">
        <f t="shared" si="104"/>
        <v>5</v>
      </c>
      <c r="U281" s="251">
        <f t="shared" si="105"/>
        <v>-5.6524195811487599E-3</v>
      </c>
      <c r="V281" s="383">
        <f t="shared" si="106"/>
        <v>39.832930963165175</v>
      </c>
      <c r="W281" s="402"/>
      <c r="X281" s="157">
        <f t="shared" si="107"/>
        <v>44463</v>
      </c>
      <c r="Y281" s="385">
        <f t="shared" si="108"/>
        <v>30.551230377877371</v>
      </c>
      <c r="Z281" s="385">
        <f t="shared" si="109"/>
        <v>31.379896545986782</v>
      </c>
      <c r="AA281" s="386">
        <f t="shared" si="110"/>
        <v>36.155132729888372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0.13207630074481916</v>
      </c>
      <c r="AD281" s="231">
        <f>(INDEX(Models!$BJ281:$BT281,,AH281)*(1-AF281)+INDEX(Models!$BJ281:$BT281,,AH281+1)*AF281-ERP_i)*AE281*Ramure*Pc/MaxiM</f>
        <v>1.4368261120867422E-3</v>
      </c>
      <c r="AE281" s="305">
        <f t="shared" si="112"/>
        <v>0.7</v>
      </c>
      <c r="AF281" s="177">
        <f t="shared" si="113"/>
        <v>0.9943475804188513</v>
      </c>
      <c r="AG281" s="810">
        <f t="shared" si="119"/>
        <v>-1</v>
      </c>
      <c r="AH281" s="176">
        <f t="shared" si="114"/>
        <v>5</v>
      </c>
      <c r="AI281" s="225">
        <f t="shared" si="115"/>
        <v>-5.6524195811487599E-3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6">
        <v>30.335000000000001</v>
      </c>
      <c r="C282" s="390"/>
      <c r="D282" s="393">
        <f t="shared" si="98"/>
        <v>31.158526278018229</v>
      </c>
      <c r="E282" s="385">
        <f t="shared" si="96"/>
        <v>32.763188063470871</v>
      </c>
      <c r="F282" s="385">
        <f t="shared" si="99"/>
        <v>32.794940380354227</v>
      </c>
      <c r="G282" s="110">
        <f t="shared" si="97"/>
        <v>0.76903428935956519</v>
      </c>
      <c r="H282" s="414" t="b">
        <f>Wh_hp&gt;='2020'!Maxi_hp</f>
        <v>1</v>
      </c>
      <c r="I282" s="380">
        <f>IF(H282,Wh_hp,'2020'!Maxi_hp)</f>
        <v>32.794940380354227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2.643020631560522E-2</v>
      </c>
      <c r="M282" s="844"/>
      <c r="N282" s="844"/>
      <c r="O282" s="48">
        <f>IF(t&lt;Tnet,'2020'!Resal+('2020'!Salim-'2020'!Resal)*(1-EXP(('2020'!Tnet-t)/('2020'!Tau_j))),Resal+(Salim-Resal)*(1-EXP((Tnet-t)/(Tau_j))))*Salcycl</f>
        <v>4.8977583693747745E-2</v>
      </c>
      <c r="P282" s="169">
        <f>(INDEX(Models!$BJ282:$BT282,,T282)*(1-R282)+INDEX(Models!$BJ282:$BT282,,T282+1)*R282-ERP_i)*Q282*Ramure*Pc/MaxiM</f>
        <v>1.4438529640232007E-3</v>
      </c>
      <c r="Q282" s="305">
        <f t="shared" si="101"/>
        <v>0.7</v>
      </c>
      <c r="R282" s="177">
        <f t="shared" si="102"/>
        <v>0.99454941956062592</v>
      </c>
      <c r="S282" s="810">
        <f t="shared" si="103"/>
        <v>-1</v>
      </c>
      <c r="T282" s="176">
        <f t="shared" si="104"/>
        <v>5</v>
      </c>
      <c r="U282" s="251">
        <f t="shared" si="105"/>
        <v>-5.4505804393741308E-3</v>
      </c>
      <c r="V282" s="383">
        <f t="shared" si="106"/>
        <v>39.426795059431782</v>
      </c>
      <c r="W282" s="402"/>
      <c r="X282" s="157">
        <f t="shared" si="107"/>
        <v>44464</v>
      </c>
      <c r="Y282" s="385">
        <f t="shared" si="108"/>
        <v>27.682927579036257</v>
      </c>
      <c r="Z282" s="385">
        <f t="shared" si="109"/>
        <v>28.43445612078051</v>
      </c>
      <c r="AA282" s="386">
        <f t="shared" si="110"/>
        <v>32.763188063470871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0.13212181715358332</v>
      </c>
      <c r="AD282" s="231">
        <f>(INDEX(Models!$BJ282:$BT282,,AH282)*(1-AF282)+INDEX(Models!$BJ282:$BT282,,AH282+1)*AF282-ERP_i)*AE282*Ramure*Pc/MaxiM</f>
        <v>1.4438529640232007E-3</v>
      </c>
      <c r="AE282" s="305">
        <f t="shared" si="112"/>
        <v>0.7</v>
      </c>
      <c r="AF282" s="177">
        <f t="shared" si="113"/>
        <v>0.99454941956062592</v>
      </c>
      <c r="AG282" s="810">
        <f t="shared" si="119"/>
        <v>-1</v>
      </c>
      <c r="AH282" s="176">
        <f t="shared" si="114"/>
        <v>5</v>
      </c>
      <c r="AI282" s="225">
        <f t="shared" si="115"/>
        <v>-5.4505804393741308E-3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6">
        <v>33.521999999999998</v>
      </c>
      <c r="C283" s="390"/>
      <c r="D283" s="393">
        <f t="shared" si="98"/>
        <v>34.432847384472474</v>
      </c>
      <c r="E283" s="385">
        <f t="shared" si="96"/>
        <v>36.21223100951422</v>
      </c>
      <c r="F283" s="385">
        <f t="shared" si="99"/>
        <v>36.254189031669213</v>
      </c>
      <c r="G283" s="110">
        <f t="shared" si="97"/>
        <v>0.85882513919710202</v>
      </c>
      <c r="H283" s="414" t="b">
        <f>Wh_hp&gt;='2020'!Maxi_hp</f>
        <v>1</v>
      </c>
      <c r="I283" s="380">
        <f>IF(H283,Wh_hp,'2020'!Maxi_hp)</f>
        <v>36.254189031669213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2.6452862706998204E-2</v>
      </c>
      <c r="M283" s="844"/>
      <c r="N283" s="844"/>
      <c r="O283" s="48">
        <f>IF(t&lt;Tnet,'2020'!Resal+('2020'!Salim-'2020'!Resal)*(1-EXP(('2020'!Tnet-t)/('2020'!Tau_j))),Resal+(Salim-Resal)*(1-EXP((Tnet-t)/(Tau_j))))*Salcycl</f>
        <v>4.9137641493953679E-2</v>
      </c>
      <c r="P283" s="169">
        <f>(INDEX(Models!$BJ283:$BT283,,T283)*(1-R283)+INDEX(Models!$BJ283:$BT283,,T283+1)*R283-ERP_i)*Q283*Ramure*Pc/MaxiM</f>
        <v>1.4490520022052416E-3</v>
      </c>
      <c r="Q283" s="305">
        <f t="shared" si="101"/>
        <v>0.7</v>
      </c>
      <c r="R283" s="177">
        <f t="shared" si="102"/>
        <v>0.99474332584892822</v>
      </c>
      <c r="S283" s="810">
        <f t="shared" si="103"/>
        <v>-1</v>
      </c>
      <c r="T283" s="176">
        <f t="shared" si="104"/>
        <v>5</v>
      </c>
      <c r="U283" s="251">
        <f t="shared" si="105"/>
        <v>-5.2566741510717829E-3</v>
      </c>
      <c r="V283" s="383">
        <f t="shared" si="106"/>
        <v>39.020992748344391</v>
      </c>
      <c r="W283" s="402"/>
      <c r="X283" s="157">
        <f t="shared" si="107"/>
        <v>44465</v>
      </c>
      <c r="Y283" s="385">
        <f t="shared" si="108"/>
        <v>30.594904228860976</v>
      </c>
      <c r="Z283" s="385">
        <f t="shared" si="109"/>
        <v>31.426217649750058</v>
      </c>
      <c r="AA283" s="386">
        <f t="shared" si="110"/>
        <v>36.21223100951422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0.1321656585728371</v>
      </c>
      <c r="AD283" s="231">
        <f>(INDEX(Models!$BJ283:$BT283,,AH283)*(1-AF283)+INDEX(Models!$BJ283:$BT283,,AH283+1)*AF283-ERP_i)*AE283*Ramure*Pc/MaxiM</f>
        <v>1.4490520022052416E-3</v>
      </c>
      <c r="AE283" s="305">
        <f t="shared" si="112"/>
        <v>0.7</v>
      </c>
      <c r="AF283" s="177">
        <f t="shared" si="113"/>
        <v>0.99474332584892822</v>
      </c>
      <c r="AG283" s="810">
        <f t="shared" si="119"/>
        <v>-1</v>
      </c>
      <c r="AH283" s="176">
        <f t="shared" si="114"/>
        <v>5</v>
      </c>
      <c r="AI283" s="225">
        <f t="shared" si="115"/>
        <v>-5.2566741510717829E-3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6">
        <v>20.984000000000002</v>
      </c>
      <c r="C284" s="390"/>
      <c r="D284" s="393">
        <f t="shared" si="98"/>
        <v>21.55467109486705</v>
      </c>
      <c r="E284" s="385">
        <f t="shared" si="96"/>
        <v>22.672345491466835</v>
      </c>
      <c r="F284" s="385">
        <f t="shared" si="99"/>
        <v>22.683800475592825</v>
      </c>
      <c r="G284" s="110">
        <f t="shared" si="97"/>
        <v>0.54287912107325387</v>
      </c>
      <c r="H284" s="414" t="b">
        <f>Wh_hp&gt;='2020'!Maxi_hp</f>
        <v>0</v>
      </c>
      <c r="I284" s="380">
        <f>IF(H284,Wh_hp,'2020'!Maxi_hp)</f>
        <v>33.919915372274694</v>
      </c>
      <c r="J284" s="85">
        <f>IF(H284,An,'2020'!An_max)</f>
        <v>2019</v>
      </c>
      <c r="K284" s="197">
        <f t="shared" si="100"/>
        <v>44466</v>
      </c>
      <c r="L284" s="147">
        <f>IF(t&lt;Tvie,1-EXP((T0-t)*PertePVj)+'2020'!Pspv,1-EXP((T0-t)*PertePVj)+Pspv)</f>
        <v>2.647551857114383E-2</v>
      </c>
      <c r="M284" s="844"/>
      <c r="N284" s="844"/>
      <c r="O284" s="48">
        <f>IF(t&lt;Tnet,'2020'!Resal+('2020'!Salim-'2020'!Resal)*(1-EXP(('2020'!Tnet-t)/('2020'!Tau_j))),Resal+(Salim-Resal)*(1-EXP((Tnet-t)/(Tau_j))))*Salcycl</f>
        <v>4.9296813910163918E-2</v>
      </c>
      <c r="P284" s="169">
        <f>(INDEX(Models!$BJ284:$BT284,,T284)*(1-R284)+INDEX(Models!$BJ284:$BT284,,T284+1)*R284-ERP_i)*Q284*Ramure*Pc/MaxiM</f>
        <v>1.4523341537024757E-3</v>
      </c>
      <c r="Q284" s="305">
        <f t="shared" si="101"/>
        <v>0.7</v>
      </c>
      <c r="R284" s="177">
        <f t="shared" si="102"/>
        <v>0.99492960365618366</v>
      </c>
      <c r="S284" s="810">
        <f t="shared" si="103"/>
        <v>-1</v>
      </c>
      <c r="T284" s="176">
        <f t="shared" si="104"/>
        <v>5</v>
      </c>
      <c r="U284" s="251">
        <f t="shared" si="105"/>
        <v>-5.0703963438163968E-3</v>
      </c>
      <c r="V284" s="383">
        <f t="shared" si="106"/>
        <v>38.616535380678755</v>
      </c>
      <c r="W284" s="402"/>
      <c r="X284" s="157">
        <f t="shared" si="107"/>
        <v>44466</v>
      </c>
      <c r="Y284" s="385">
        <f t="shared" si="108"/>
        <v>19.153982229400878</v>
      </c>
      <c r="Z284" s="385">
        <f t="shared" si="109"/>
        <v>19.674885012946255</v>
      </c>
      <c r="AA284" s="386">
        <f t="shared" si="110"/>
        <v>22.672345491466835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0.13220778060429306</v>
      </c>
      <c r="AD284" s="231">
        <f>(INDEX(Models!$BJ284:$BT284,,AH284)*(1-AF284)+INDEX(Models!$BJ284:$BT284,,AH284+1)*AF284-ERP_i)*AE284*Ramure*Pc/MaxiM</f>
        <v>1.4523341537024757E-3</v>
      </c>
      <c r="AE284" s="305">
        <f t="shared" si="112"/>
        <v>0.7</v>
      </c>
      <c r="AF284" s="177">
        <f t="shared" si="113"/>
        <v>0.99492960365618366</v>
      </c>
      <c r="AG284" s="810">
        <f t="shared" si="119"/>
        <v>-1</v>
      </c>
      <c r="AH284" s="176">
        <f t="shared" si="114"/>
        <v>5</v>
      </c>
      <c r="AI284" s="225">
        <f t="shared" si="115"/>
        <v>-5.0703963438163968E-3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6">
        <v>22.96</v>
      </c>
      <c r="C285" s="390"/>
      <c r="D285" s="393">
        <f t="shared" si="98"/>
        <v>23.584958327372945</v>
      </c>
      <c r="E285" s="385">
        <f t="shared" si="96"/>
        <v>24.812039738753658</v>
      </c>
      <c r="F285" s="385">
        <f t="shared" si="99"/>
        <v>24.827548953906661</v>
      </c>
      <c r="G285" s="110">
        <f t="shared" si="97"/>
        <v>0.60032175808208055</v>
      </c>
      <c r="H285" s="414" t="b">
        <f>Wh_hp&gt;='2020'!Maxi_hp</f>
        <v>0</v>
      </c>
      <c r="I285" s="380">
        <f>IF(H285,Wh_hp,'2020'!Maxi_hp)</f>
        <v>35.820962356484351</v>
      </c>
      <c r="J285" s="85">
        <f>IF(H285,An,'2020'!An_max)</f>
        <v>2019</v>
      </c>
      <c r="K285" s="197">
        <f t="shared" si="100"/>
        <v>44467</v>
      </c>
      <c r="L285" s="147">
        <f>IF(t&lt;Tvie,1-EXP((T0-t)*PertePVj)+'2020'!Pspv,1-EXP((T0-t)*PertePVj)+Pspv)</f>
        <v>2.6498173908054423E-2</v>
      </c>
      <c r="M285" s="844"/>
      <c r="N285" s="844"/>
      <c r="O285" s="48">
        <f>IF(t&lt;Tnet,'2020'!Resal+('2020'!Salim-'2020'!Resal)*(1-EXP(('2020'!Tnet-t)/('2020'!Tau_j))),Resal+(Salim-Resal)*(1-EXP((Tnet-t)/(Tau_j))))*Salcycl</f>
        <v>4.9455080045843557E-2</v>
      </c>
      <c r="P285" s="169">
        <f>(INDEX(Models!$BJ285:$BT285,,T285)*(1-R285)+INDEX(Models!$BJ285:$BT285,,T285+1)*R285-ERP_i)*Q285*Ramure*Pc/MaxiM</f>
        <v>1.4536074910001995E-3</v>
      </c>
      <c r="Q285" s="305">
        <f t="shared" si="101"/>
        <v>0.7</v>
      </c>
      <c r="R285" s="177">
        <f t="shared" si="102"/>
        <v>0.99510854625561285</v>
      </c>
      <c r="S285" s="810">
        <f t="shared" si="103"/>
        <v>-1</v>
      </c>
      <c r="T285" s="176">
        <f t="shared" si="104"/>
        <v>5</v>
      </c>
      <c r="U285" s="251">
        <f t="shared" si="105"/>
        <v>-4.8914537443870976E-3</v>
      </c>
      <c r="V285" s="383">
        <f t="shared" si="106"/>
        <v>38.214433452993703</v>
      </c>
      <c r="W285" s="402"/>
      <c r="X285" s="157">
        <f t="shared" si="107"/>
        <v>44467</v>
      </c>
      <c r="Y285" s="385">
        <f t="shared" si="108"/>
        <v>20.960169564000488</v>
      </c>
      <c r="Z285" s="385">
        <f t="shared" si="109"/>
        <v>21.530693628119437</v>
      </c>
      <c r="AA285" s="386">
        <f t="shared" si="110"/>
        <v>24.812039738753658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0.13224814022480885</v>
      </c>
      <c r="AD285" s="231">
        <f>(INDEX(Models!$BJ285:$BT285,,AH285)*(1-AF285)+INDEX(Models!$BJ285:$BT285,,AH285+1)*AF285-ERP_i)*AE285*Ramure*Pc/MaxiM</f>
        <v>1.4536074910001995E-3</v>
      </c>
      <c r="AE285" s="305">
        <f t="shared" si="112"/>
        <v>0.7</v>
      </c>
      <c r="AF285" s="177">
        <f t="shared" si="113"/>
        <v>0.99510854625561285</v>
      </c>
      <c r="AG285" s="810">
        <f t="shared" si="119"/>
        <v>-1</v>
      </c>
      <c r="AH285" s="176">
        <f t="shared" si="114"/>
        <v>5</v>
      </c>
      <c r="AI285" s="225">
        <f t="shared" si="115"/>
        <v>-4.8914537443870976E-3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6">
        <v>28.849</v>
      </c>
      <c r="C286" s="390"/>
      <c r="D286" s="393">
        <f t="shared" si="98"/>
        <v>29.634943254102051</v>
      </c>
      <c r="E286" s="385">
        <f t="shared" si="96"/>
        <v>31.181955511311656</v>
      </c>
      <c r="F286" s="385">
        <f t="shared" si="99"/>
        <v>31.211939838949014</v>
      </c>
      <c r="G286" s="110">
        <f t="shared" si="97"/>
        <v>0.76250848390552339</v>
      </c>
      <c r="H286" s="414" t="b">
        <f>Wh_hp&gt;='2020'!Maxi_hp</f>
        <v>0</v>
      </c>
      <c r="I286" s="380">
        <f>IF(H286,Wh_hp,'2020'!Maxi_hp)</f>
        <v>39.441971628235159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2.6520828717742195E-2</v>
      </c>
      <c r="M286" s="844"/>
      <c r="N286" s="844"/>
      <c r="O286" s="48">
        <f>IF(t&lt;Tnet,'2020'!Resal+('2020'!Salim-'2020'!Resal)*(1-EXP(('2020'!Tnet-t)/('2020'!Tau_j))),Resal+(Salim-Resal)*(1-EXP((Tnet-t)/(Tau_j))))*Salcycl</f>
        <v>4.9612419485635127E-2</v>
      </c>
      <c r="P286" s="169">
        <f>(INDEX(Models!$BJ286:$BT286,,T286)*(1-R286)+INDEX(Models!$BJ286:$BT286,,T286+1)*R286-ERP_i)*Q286*Ramure*Pc/MaxiM</f>
        <v>1.4527777291879916E-3</v>
      </c>
      <c r="Q286" s="305">
        <f t="shared" si="101"/>
        <v>0.7</v>
      </c>
      <c r="R286" s="177">
        <f t="shared" si="102"/>
        <v>0.99528043618034112</v>
      </c>
      <c r="S286" s="810">
        <f t="shared" si="103"/>
        <v>-1</v>
      </c>
      <c r="T286" s="176">
        <f t="shared" si="104"/>
        <v>5</v>
      </c>
      <c r="U286" s="251">
        <f t="shared" si="105"/>
        <v>-4.7195638196588785E-3</v>
      </c>
      <c r="V286" s="383">
        <f t="shared" si="106"/>
        <v>37.815696609382485</v>
      </c>
      <c r="W286" s="402"/>
      <c r="X286" s="157">
        <f t="shared" si="107"/>
        <v>44468</v>
      </c>
      <c r="Y286" s="385">
        <f t="shared" si="108"/>
        <v>26.339423637914194</v>
      </c>
      <c r="Z286" s="385">
        <f t="shared" si="109"/>
        <v>27.056997637884894</v>
      </c>
      <c r="AA286" s="386">
        <f t="shared" si="110"/>
        <v>31.181955511311656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0.13228669612880373</v>
      </c>
      <c r="AD286" s="231">
        <f>(INDEX(Models!$BJ286:$BT286,,AH286)*(1-AF286)+INDEX(Models!$BJ286:$BT286,,AH286+1)*AF286-ERP_i)*AE286*Ramure*Pc/MaxiM</f>
        <v>1.4527777291879916E-3</v>
      </c>
      <c r="AE286" s="305">
        <f t="shared" si="112"/>
        <v>0.7</v>
      </c>
      <c r="AF286" s="177">
        <f t="shared" si="113"/>
        <v>0.99528043618034112</v>
      </c>
      <c r="AG286" s="810">
        <f t="shared" si="119"/>
        <v>-1</v>
      </c>
      <c r="AH286" s="176">
        <f t="shared" si="114"/>
        <v>5</v>
      </c>
      <c r="AI286" s="225">
        <f t="shared" si="115"/>
        <v>-4.7195638196588785E-3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6">
        <v>17.655999999999999</v>
      </c>
      <c r="C287" s="390"/>
      <c r="D287" s="393">
        <f t="shared" si="98"/>
        <v>18.137430580275193</v>
      </c>
      <c r="E287" s="385">
        <f t="shared" si="96"/>
        <v>19.087387172404476</v>
      </c>
      <c r="F287" s="385">
        <f t="shared" si="99"/>
        <v>19.094181718641867</v>
      </c>
      <c r="G287" s="110">
        <f t="shared" si="97"/>
        <v>0.47130012266202598</v>
      </c>
      <c r="H287" s="414" t="b">
        <f>Wh_hp&gt;='2020'!Maxi_hp</f>
        <v>0</v>
      </c>
      <c r="I287" s="380">
        <f>IF(H287,Wh_hp,'2020'!Maxi_hp)</f>
        <v>33.387052918801814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2.654348300021947E-2</v>
      </c>
      <c r="M287" s="844"/>
      <c r="N287" s="844"/>
      <c r="O287" s="48">
        <f>IF(t&lt;Tnet,'2020'!Resal+('2020'!Salim-'2020'!Resal)*(1-EXP(('2020'!Tnet-t)/('2020'!Tau_j))),Resal+(Salim-Resal)*(1-EXP((Tnet-t)/(Tau_j))))*Salcycl</f>
        <v>4.9768812438754348E-2</v>
      </c>
      <c r="P287" s="169">
        <f>(INDEX(Models!$BJ287:$BT287,,T287)*(1-R287)+INDEX(Models!$BJ287:$BT287,,T287+1)*R287-ERP_i)*Q287*Ramure*Pc/MaxiM</f>
        <v>1.449748804061217E-3</v>
      </c>
      <c r="Q287" s="305">
        <f t="shared" si="101"/>
        <v>0.7</v>
      </c>
      <c r="R287" s="177">
        <f t="shared" si="102"/>
        <v>0.99544554557458831</v>
      </c>
      <c r="S287" s="810">
        <f t="shared" si="103"/>
        <v>-1</v>
      </c>
      <c r="T287" s="176">
        <f t="shared" si="104"/>
        <v>5</v>
      </c>
      <c r="U287" s="251">
        <f t="shared" si="105"/>
        <v>-4.5544544254116914E-3</v>
      </c>
      <c r="V287" s="383">
        <f t="shared" si="106"/>
        <v>37.421333647178393</v>
      </c>
      <c r="W287" s="402"/>
      <c r="X287" s="157">
        <f t="shared" si="107"/>
        <v>44469</v>
      </c>
      <c r="Y287" s="385">
        <f t="shared" si="108"/>
        <v>16.122074385455843</v>
      </c>
      <c r="Z287" s="385">
        <f t="shared" si="109"/>
        <v>16.561679031277652</v>
      </c>
      <c r="AA287" s="386">
        <f t="shared" si="110"/>
        <v>19.087387172404476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0.13232340908232634</v>
      </c>
      <c r="AD287" s="231">
        <f>(INDEX(Models!$BJ287:$BT287,,AH287)*(1-AF287)+INDEX(Models!$BJ287:$BT287,,AH287+1)*AF287-ERP_i)*AE287*Ramure*Pc/MaxiM</f>
        <v>1.449748804061217E-3</v>
      </c>
      <c r="AE287" s="305">
        <f t="shared" si="112"/>
        <v>0.7</v>
      </c>
      <c r="AF287" s="177">
        <f t="shared" si="113"/>
        <v>0.99544554557458831</v>
      </c>
      <c r="AG287" s="810">
        <f t="shared" si="119"/>
        <v>-1</v>
      </c>
      <c r="AH287" s="176">
        <f t="shared" si="114"/>
        <v>5</v>
      </c>
      <c r="AI287" s="225">
        <f t="shared" si="115"/>
        <v>-4.5544544254116914E-3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6">
        <v>28.763999999999999</v>
      </c>
      <c r="C288" s="390"/>
      <c r="D288" s="393">
        <f t="shared" si="98"/>
        <v>29.549002850720864</v>
      </c>
      <c r="E288" s="385">
        <f t="shared" si="96"/>
        <v>31.101733242029056</v>
      </c>
      <c r="F288" s="385">
        <f t="shared" si="99"/>
        <v>31.132358347734176</v>
      </c>
      <c r="G288" s="110">
        <f t="shared" si="97"/>
        <v>0.77636803860407466</v>
      </c>
      <c r="H288" s="414" t="b">
        <f>Wh_hp&gt;='2020'!Maxi_hp</f>
        <v>0</v>
      </c>
      <c r="I288" s="380">
        <f>IF(H288,Wh_hp,'2020'!Maxi_hp)</f>
        <v>39.381811318036526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2.656613675549846E-2</v>
      </c>
      <c r="M288" s="844"/>
      <c r="N288" s="844"/>
      <c r="O288" s="48">
        <f>IF(t&lt;Tnet,'2020'!Resal+('2020'!Salim-'2020'!Resal)*(1-EXP(('2020'!Tnet-t)/('2020'!Tau_j))),Resal+(Salim-Resal)*(1-EXP((Tnet-t)/(Tau_j))))*Salcycl</f>
        <v>4.992423988801762E-2</v>
      </c>
      <c r="P288" s="169">
        <f>(INDEX(Models!$BJ288:$BT288,,T288)*(1-R288)+INDEX(Models!$BJ288:$BT288,,T288+1)*R288-ERP_i)*Q288*Ramure*Pc/MaxiM</f>
        <v>1.4444235375887754E-3</v>
      </c>
      <c r="Q288" s="305">
        <f t="shared" si="101"/>
        <v>0.7</v>
      </c>
      <c r="R288" s="177">
        <f t="shared" si="102"/>
        <v>0.99560413653678692</v>
      </c>
      <c r="S288" s="810">
        <f t="shared" si="103"/>
        <v>-1</v>
      </c>
      <c r="T288" s="176">
        <f t="shared" si="104"/>
        <v>5</v>
      </c>
      <c r="U288" s="251">
        <f t="shared" si="105"/>
        <v>-4.3958634632130789E-3</v>
      </c>
      <c r="V288" s="383">
        <f t="shared" si="106"/>
        <v>37.032352516855674</v>
      </c>
      <c r="W288" s="402"/>
      <c r="X288" s="157">
        <f t="shared" si="107"/>
        <v>44470</v>
      </c>
      <c r="Y288" s="385">
        <f t="shared" si="108"/>
        <v>26.268270980767372</v>
      </c>
      <c r="Z288" s="385">
        <f t="shared" si="109"/>
        <v>26.985162498060188</v>
      </c>
      <c r="AA288" s="386">
        <f t="shared" si="110"/>
        <v>31.101733242029056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0.13235824228618792</v>
      </c>
      <c r="AD288" s="231">
        <f>(INDEX(Models!$BJ288:$BT288,,AH288)*(1-AF288)+INDEX(Models!$BJ288:$BT288,,AH288+1)*AF288-ERP_i)*AE288*Ramure*Pc/MaxiM</f>
        <v>1.4444235375887754E-3</v>
      </c>
      <c r="AE288" s="305">
        <f t="shared" si="112"/>
        <v>0.7</v>
      </c>
      <c r="AF288" s="177">
        <f t="shared" si="113"/>
        <v>0.99560413653678692</v>
      </c>
      <c r="AG288" s="810">
        <f t="shared" si="119"/>
        <v>-1</v>
      </c>
      <c r="AH288" s="176">
        <f t="shared" si="114"/>
        <v>5</v>
      </c>
      <c r="AI288" s="225">
        <f t="shared" si="115"/>
        <v>-4.3958634632130789E-3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6">
        <v>34.966999999999999</v>
      </c>
      <c r="C289" s="390"/>
      <c r="D289" s="393">
        <f t="shared" si="98"/>
        <v>35.922125860262661</v>
      </c>
      <c r="E289" s="385">
        <f t="shared" si="96"/>
        <v>37.815896164775516</v>
      </c>
      <c r="F289" s="385">
        <f t="shared" si="99"/>
        <v>37.866741146097688</v>
      </c>
      <c r="G289" s="110">
        <f t="shared" si="97"/>
        <v>0.95407267502439619</v>
      </c>
      <c r="H289" s="414" t="b">
        <f>Wh_hp&gt;='2020'!Maxi_hp</f>
        <v>0</v>
      </c>
      <c r="I289" s="380">
        <f>IF(H289,Wh_hp,'2020'!Maxi_hp)</f>
        <v>38.111872481927541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2.6588789983591488E-2</v>
      </c>
      <c r="M289" s="844"/>
      <c r="N289" s="844"/>
      <c r="O289" s="48">
        <f>IF(t&lt;Tnet,'2020'!Resal+('2020'!Salim-'2020'!Resal)*(1-EXP(('2020'!Tnet-t)/('2020'!Tau_j))),Resal+(Salim-Resal)*(1-EXP((Tnet-t)/(Tau_j))))*Salcycl</f>
        <v>5.0078683743500628E-2</v>
      </c>
      <c r="P289" s="169">
        <f>(INDEX(Models!$BJ289:$BT289,,T289)*(1-R289)+INDEX(Models!$BJ289:$BT289,,T289+1)*R289-ERP_i)*Q289*Ramure*Pc/MaxiM</f>
        <v>1.4368204843586505E-3</v>
      </c>
      <c r="Q289" s="305">
        <f t="shared" si="101"/>
        <v>0.7</v>
      </c>
      <c r="R289" s="177">
        <f t="shared" si="102"/>
        <v>0.99575646145451202</v>
      </c>
      <c r="S289" s="810">
        <f t="shared" si="103"/>
        <v>-1</v>
      </c>
      <c r="T289" s="176">
        <f t="shared" si="104"/>
        <v>5</v>
      </c>
      <c r="U289" s="251">
        <f t="shared" si="105"/>
        <v>-4.2435385454879793E-3</v>
      </c>
      <c r="V289" s="383">
        <f t="shared" si="106"/>
        <v>36.64679493367354</v>
      </c>
      <c r="W289" s="402"/>
      <c r="X289" s="157">
        <f t="shared" si="107"/>
        <v>44471</v>
      </c>
      <c r="Y289" s="385">
        <f t="shared" si="108"/>
        <v>31.937043340395348</v>
      </c>
      <c r="Z289" s="385">
        <f t="shared" si="109"/>
        <v>32.809405739078137</v>
      </c>
      <c r="AA289" s="386">
        <f t="shared" si="110"/>
        <v>37.815896164775516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0.13239116174538237</v>
      </c>
      <c r="AD289" s="231">
        <f>(INDEX(Models!$BJ289:$BT289,,AH289)*(1-AF289)+INDEX(Models!$BJ289:$BT289,,AH289+1)*AF289-ERP_i)*AE289*Ramure*Pc/MaxiM</f>
        <v>1.4368204843586505E-3</v>
      </c>
      <c r="AE289" s="305">
        <f t="shared" si="112"/>
        <v>0.7</v>
      </c>
      <c r="AF289" s="177">
        <f t="shared" si="113"/>
        <v>0.99575646145451202</v>
      </c>
      <c r="AG289" s="810">
        <f t="shared" si="119"/>
        <v>-1</v>
      </c>
      <c r="AH289" s="176">
        <f t="shared" si="114"/>
        <v>5</v>
      </c>
      <c r="AI289" s="225">
        <f t="shared" si="115"/>
        <v>-4.2435385454879793E-3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6">
        <v>6.5890000000000004</v>
      </c>
      <c r="C290" s="390"/>
      <c r="D290" s="393">
        <f t="shared" si="98"/>
        <v>6.7691364876651328</v>
      </c>
      <c r="E290" s="385">
        <f t="shared" si="96"/>
        <v>7.1271483065454957</v>
      </c>
      <c r="F290" s="385">
        <f t="shared" si="99"/>
        <v>7.1271483065454957</v>
      </c>
      <c r="G290" s="110">
        <f t="shared" si="97"/>
        <v>0.18144525118118951</v>
      </c>
      <c r="H290" s="414" t="b">
        <f>Wh_hp&gt;='2020'!Maxi_hp</f>
        <v>0</v>
      </c>
      <c r="I290" s="380">
        <f>IF(H290,Wh_hp,'2020'!Maxi_hp)</f>
        <v>37.674567346028716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2.6611442684510878E-2</v>
      </c>
      <c r="M290" s="844"/>
      <c r="N290" s="844"/>
      <c r="O290" s="48">
        <f>IF(t&lt;Tnet,'2020'!Resal+('2020'!Salim-'2020'!Resal)*(1-EXP(('2020'!Tnet-t)/('2020'!Tau_j))),Resal+(Salim-Resal)*(1-EXP((Tnet-t)/(Tau_j))))*Salcycl</f>
        <v>5.0232126999738315E-2</v>
      </c>
      <c r="P290" s="169">
        <f>(INDEX(Models!$BJ290:$BT290,,T290)*(1-R290)+INDEX(Models!$BJ290:$BT290,,T290+1)*R290-ERP_i)*Q290*Ramure*Pc/MaxiM</f>
        <v>1.4320444373352136E-3</v>
      </c>
      <c r="Q290" s="305">
        <f t="shared" si="101"/>
        <v>0.7</v>
      </c>
      <c r="R290" s="177">
        <f t="shared" si="102"/>
        <v>0.99590276333114247</v>
      </c>
      <c r="S290" s="810">
        <f t="shared" si="103"/>
        <v>-1</v>
      </c>
      <c r="T290" s="176">
        <f t="shared" si="104"/>
        <v>5</v>
      </c>
      <c r="U290" s="251">
        <f t="shared" si="105"/>
        <v>-4.097236668857529E-3</v>
      </c>
      <c r="V290" s="383">
        <f t="shared" si="106"/>
        <v>36.261981045908485</v>
      </c>
      <c r="W290" s="402"/>
      <c r="X290" s="157">
        <f t="shared" si="107"/>
        <v>44472</v>
      </c>
      <c r="Y290" s="385">
        <f t="shared" si="108"/>
        <v>6.0188080731862179</v>
      </c>
      <c r="Z290" s="385">
        <f t="shared" si="109"/>
        <v>6.1833560996294272</v>
      </c>
      <c r="AA290" s="386">
        <f t="shared" si="110"/>
        <v>7.1271483065454957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0.13242213664184588</v>
      </c>
      <c r="AD290" s="231">
        <f>(INDEX(Models!$BJ290:$BT290,,AH290)*(1-AF290)+INDEX(Models!$BJ290:$BT290,,AH290+1)*AF290-ERP_i)*AE290*Ramure*Pc/MaxiM</f>
        <v>1.4320444373352136E-3</v>
      </c>
      <c r="AE290" s="305">
        <f t="shared" si="112"/>
        <v>0.7</v>
      </c>
      <c r="AF290" s="177">
        <f t="shared" si="113"/>
        <v>0.99590276333114247</v>
      </c>
      <c r="AG290" s="810">
        <f t="shared" si="119"/>
        <v>-1</v>
      </c>
      <c r="AH290" s="176">
        <f t="shared" si="114"/>
        <v>5</v>
      </c>
      <c r="AI290" s="225">
        <f t="shared" si="115"/>
        <v>-4.097236668857529E-3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6">
        <v>31.17</v>
      </c>
      <c r="C291" s="390"/>
      <c r="D291" s="393">
        <f t="shared" si="98"/>
        <v>32.022900982402248</v>
      </c>
      <c r="E291" s="385">
        <f t="shared" si="96"/>
        <v>33.721967259230368</v>
      </c>
      <c r="F291" s="385">
        <f t="shared" si="99"/>
        <v>33.761248483815251</v>
      </c>
      <c r="G291" s="110">
        <f t="shared" si="97"/>
        <v>0.86854285896334527</v>
      </c>
      <c r="H291" s="414" t="b">
        <f>Wh_hp&gt;='2020'!Maxi_hp</f>
        <v>0</v>
      </c>
      <c r="I291" s="380">
        <f>IF(H291,Wh_hp,'2020'!Maxi_hp)</f>
        <v>36.449974928255941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2.6634094858268731E-2</v>
      </c>
      <c r="M291" s="844"/>
      <c r="N291" s="844"/>
      <c r="O291" s="48">
        <f>IF(t&lt;Tnet,'2020'!Resal+('2020'!Salim-'2020'!Resal)*(1-EXP(('2020'!Tnet-t)/('2020'!Tau_j))),Resal+(Salim-Resal)*(1-EXP((Tnet-t)/(Tau_j))))*Salcycl</f>
        <v>5.0384553895296662E-2</v>
      </c>
      <c r="P291" s="169">
        <f>(INDEX(Models!$BJ291:$BT291,,T291)*(1-R291)+INDEX(Models!$BJ291:$BT291,,T291+1)*R291-ERP_i)*Q291*Ramure*Pc/MaxiM</f>
        <v>1.4319341218520063E-3</v>
      </c>
      <c r="Q291" s="305">
        <f t="shared" si="101"/>
        <v>0.7</v>
      </c>
      <c r="R291" s="177">
        <f t="shared" si="102"/>
        <v>0.99604327610420684</v>
      </c>
      <c r="S291" s="810">
        <f t="shared" si="103"/>
        <v>-1</v>
      </c>
      <c r="T291" s="176">
        <f t="shared" si="104"/>
        <v>5</v>
      </c>
      <c r="U291" s="251">
        <f t="shared" si="105"/>
        <v>-3.9567238957931572E-3</v>
      </c>
      <c r="V291" s="383">
        <f t="shared" si="106"/>
        <v>35.878048908523432</v>
      </c>
      <c r="W291" s="402"/>
      <c r="X291" s="157">
        <f t="shared" si="107"/>
        <v>44473</v>
      </c>
      <c r="Y291" s="385">
        <f t="shared" si="108"/>
        <v>28.476261718616524</v>
      </c>
      <c r="Z291" s="385">
        <f t="shared" si="109"/>
        <v>29.25545426256749</v>
      </c>
      <c r="AA291" s="386">
        <f t="shared" si="110"/>
        <v>33.721967259230368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0.13245113970746494</v>
      </c>
      <c r="AD291" s="231">
        <f>(INDEX(Models!$BJ291:$BT291,,AH291)*(1-AF291)+INDEX(Models!$BJ291:$BT291,,AH291+1)*AF291-ERP_i)*AE291*Ramure*Pc/MaxiM</f>
        <v>1.4319341218520063E-3</v>
      </c>
      <c r="AE291" s="305">
        <f t="shared" si="112"/>
        <v>0.7</v>
      </c>
      <c r="AF291" s="177">
        <f t="shared" si="113"/>
        <v>0.99604327610420684</v>
      </c>
      <c r="AG291" s="810">
        <f t="shared" si="119"/>
        <v>-1</v>
      </c>
      <c r="AH291" s="176">
        <f t="shared" si="114"/>
        <v>5</v>
      </c>
      <c r="AI291" s="225">
        <f t="shared" si="115"/>
        <v>-3.9567238957931572E-3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6">
        <v>13.839</v>
      </c>
      <c r="C292" s="390"/>
      <c r="D292" s="393">
        <f t="shared" si="98"/>
        <v>14.218005775769575</v>
      </c>
      <c r="E292" s="385">
        <f t="shared" si="96"/>
        <v>14.974770005109596</v>
      </c>
      <c r="F292" s="385">
        <f t="shared" si="99"/>
        <v>14.977532864994954</v>
      </c>
      <c r="G292" s="110">
        <f t="shared" si="97"/>
        <v>0.3893954197480255</v>
      </c>
      <c r="H292" s="414" t="b">
        <f>Wh_hp&gt;='2020'!Maxi_hp</f>
        <v>0</v>
      </c>
      <c r="I292" s="380">
        <f>IF(H292,Wh_hp,'2020'!Maxi_hp)</f>
        <v>36.383967433024289</v>
      </c>
      <c r="J292" s="85">
        <f>IF(H292,An,'2020'!An_max)</f>
        <v>2019</v>
      </c>
      <c r="K292" s="197">
        <f t="shared" si="100"/>
        <v>44474</v>
      </c>
      <c r="L292" s="147">
        <f>IF(t&lt;Tvie,1-EXP((T0-t)*PertePVj)+'2020'!Pspv,1-EXP((T0-t)*PertePVj)+Pspv)</f>
        <v>2.6656746504877482E-2</v>
      </c>
      <c r="M292" s="844"/>
      <c r="N292" s="844"/>
      <c r="O292" s="48">
        <f>IF(t&lt;Tnet,'2020'!Resal+('2020'!Salim-'2020'!Resal)*(1-EXP(('2020'!Tnet-t)/('2020'!Tau_j))),Resal+(Salim-Resal)*(1-EXP((Tnet-t)/(Tau_j))))*Salcycl</f>
        <v>5.0535950073477137E-2</v>
      </c>
      <c r="P292" s="169">
        <f>(INDEX(Models!$BJ292:$BT292,,T292)*(1-R292)+INDEX(Models!$BJ292:$BT292,,T292+1)*R292-ERP_i)*Q292*Ramure*Pc/MaxiM</f>
        <v>1.4365994573111867E-3</v>
      </c>
      <c r="Q292" s="305">
        <f t="shared" si="101"/>
        <v>0.7</v>
      </c>
      <c r="R292" s="177">
        <f t="shared" si="102"/>
        <v>0.9961782249553921</v>
      </c>
      <c r="S292" s="810">
        <f t="shared" si="103"/>
        <v>-1</v>
      </c>
      <c r="T292" s="176">
        <f t="shared" si="104"/>
        <v>5</v>
      </c>
      <c r="U292" s="251">
        <f t="shared" si="105"/>
        <v>-3.8217750446078447E-3</v>
      </c>
      <c r="V292" s="383">
        <f t="shared" si="106"/>
        <v>35.495200611673816</v>
      </c>
      <c r="W292" s="402"/>
      <c r="X292" s="157">
        <f t="shared" si="107"/>
        <v>44474</v>
      </c>
      <c r="Y292" s="385">
        <f t="shared" si="108"/>
        <v>12.644644014035014</v>
      </c>
      <c r="Z292" s="385">
        <f t="shared" si="109"/>
        <v>12.990940214184551</v>
      </c>
      <c r="AA292" s="386">
        <f t="shared" si="110"/>
        <v>14.974770005109596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0.13247814759412901</v>
      </c>
      <c r="AD292" s="231">
        <f>(INDEX(Models!$BJ292:$BT292,,AH292)*(1-AF292)+INDEX(Models!$BJ292:$BT292,,AH292+1)*AF292-ERP_i)*AE292*Ramure*Pc/MaxiM</f>
        <v>1.4365994573111867E-3</v>
      </c>
      <c r="AE292" s="305">
        <f t="shared" si="112"/>
        <v>0.7</v>
      </c>
      <c r="AF292" s="177">
        <f t="shared" si="113"/>
        <v>0.9961782249553921</v>
      </c>
      <c r="AG292" s="810">
        <f t="shared" si="119"/>
        <v>-1</v>
      </c>
      <c r="AH292" s="176">
        <f t="shared" si="114"/>
        <v>5</v>
      </c>
      <c r="AI292" s="225">
        <f t="shared" si="115"/>
        <v>-3.8217750446078447E-3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6">
        <v>23.303000000000001</v>
      </c>
      <c r="C293" s="390"/>
      <c r="D293" s="393">
        <f t="shared" si="98"/>
        <v>23.941751508313665</v>
      </c>
      <c r="E293" s="385">
        <f t="shared" si="96"/>
        <v>25.220063270432739</v>
      </c>
      <c r="F293" s="385">
        <f t="shared" si="99"/>
        <v>25.239024494100619</v>
      </c>
      <c r="G293" s="110">
        <f t="shared" si="97"/>
        <v>0.66318377020358898</v>
      </c>
      <c r="H293" s="414" t="b">
        <f>Wh_hp&gt;='2020'!Maxi_hp</f>
        <v>0</v>
      </c>
      <c r="I293" s="380">
        <f>IF(H293,Wh_hp,'2020'!Maxi_hp)</f>
        <v>33.540700247739295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2.6679397624349233E-2</v>
      </c>
      <c r="M293" s="844"/>
      <c r="N293" s="844"/>
      <c r="O293" s="48">
        <f>IF(t&lt;Tnet,'2020'!Resal+('2020'!Salim-'2020'!Resal)*(1-EXP(('2020'!Tnet-t)/('2020'!Tau_j))),Resal+(Salim-Resal)*(1-EXP((Tnet-t)/(Tau_j))))*Salcycl</f>
        <v>5.068630274285351E-2</v>
      </c>
      <c r="P293" s="169">
        <f>(INDEX(Models!$BJ293:$BT293,,T293)*(1-R293)+INDEX(Models!$BJ293:$BT293,,T293+1)*R293-ERP_i)*Q293*Ramure*Pc/MaxiM</f>
        <v>1.4461518174369314E-3</v>
      </c>
      <c r="Q293" s="305">
        <f t="shared" si="101"/>
        <v>0.7</v>
      </c>
      <c r="R293" s="177">
        <f t="shared" si="102"/>
        <v>0.9963078266122235</v>
      </c>
      <c r="S293" s="810">
        <f t="shared" si="103"/>
        <v>-1</v>
      </c>
      <c r="T293" s="176">
        <f t="shared" si="104"/>
        <v>5</v>
      </c>
      <c r="U293" s="251">
        <f t="shared" si="105"/>
        <v>-3.6921733877764984E-3</v>
      </c>
      <c r="V293" s="383">
        <f t="shared" si="106"/>
        <v>35.113638104855717</v>
      </c>
      <c r="W293" s="402"/>
      <c r="X293" s="157">
        <f t="shared" si="107"/>
        <v>44475</v>
      </c>
      <c r="Y293" s="385">
        <f t="shared" si="108"/>
        <v>21.294625115122415</v>
      </c>
      <c r="Z293" s="385">
        <f t="shared" si="109"/>
        <v>21.878325664891047</v>
      </c>
      <c r="AA293" s="386">
        <f t="shared" si="110"/>
        <v>25.220063270432739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0.1325031412375339</v>
      </c>
      <c r="AD293" s="231">
        <f>(INDEX(Models!$BJ293:$BT293,,AH293)*(1-AF293)+INDEX(Models!$BJ293:$BT293,,AH293+1)*AF293-ERP_i)*AE293*Ramure*Pc/MaxiM</f>
        <v>1.4461518174369314E-3</v>
      </c>
      <c r="AE293" s="305">
        <f t="shared" si="112"/>
        <v>0.7</v>
      </c>
      <c r="AF293" s="177">
        <f t="shared" si="113"/>
        <v>0.9963078266122235</v>
      </c>
      <c r="AG293" s="810">
        <f t="shared" si="119"/>
        <v>-1</v>
      </c>
      <c r="AH293" s="176">
        <f t="shared" si="114"/>
        <v>5</v>
      </c>
      <c r="AI293" s="225">
        <f t="shared" si="115"/>
        <v>-3.6921733877764984E-3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6">
        <v>34.859000000000002</v>
      </c>
      <c r="C294" s="390"/>
      <c r="D294" s="393">
        <f t="shared" si="98"/>
        <v>35.815343016113793</v>
      </c>
      <c r="E294" s="385">
        <f t="shared" si="96"/>
        <v>37.733550739650696</v>
      </c>
      <c r="F294" s="385">
        <f t="shared" si="99"/>
        <v>37.78874890553454</v>
      </c>
      <c r="G294" s="110">
        <f t="shared" si="97"/>
        <v>1.0036114003666294</v>
      </c>
      <c r="H294" s="414" t="b">
        <f>Wh_hp&gt;='2020'!Maxi_hp</f>
        <v>1</v>
      </c>
      <c r="I294" s="380">
        <f>IF(H294,Wh_hp,'2020'!Maxi_hp)</f>
        <v>37.78874890553454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2.6702048216696417E-2</v>
      </c>
      <c r="M294" s="844"/>
      <c r="N294" s="844"/>
      <c r="O294" s="48">
        <f>IF(t&lt;Tnet,'2020'!Resal+('2020'!Salim-'2020'!Resal)*(1-EXP(('2020'!Tnet-t)/('2020'!Tau_j))),Resal+(Salim-Resal)*(1-EXP((Tnet-t)/(Tau_j))))*Salcycl</f>
        <v>5.0835600836293397E-2</v>
      </c>
      <c r="P294" s="169">
        <f>(INDEX(Models!$BJ294:$BT294,,T294)*(1-R294)+INDEX(Models!$BJ294:$BT294,,T294+1)*R294-ERP_i)*Q294*Ramure*Pc/MaxiM</f>
        <v>1.4607037142676501E-3</v>
      </c>
      <c r="Q294" s="305">
        <f t="shared" si="101"/>
        <v>0.7</v>
      </c>
      <c r="R294" s="177">
        <f t="shared" si="102"/>
        <v>0.9964322896414417</v>
      </c>
      <c r="S294" s="810">
        <f t="shared" si="103"/>
        <v>-1</v>
      </c>
      <c r="T294" s="176">
        <f t="shared" si="104"/>
        <v>5</v>
      </c>
      <c r="U294" s="251">
        <f t="shared" si="105"/>
        <v>-3.5677103585582404E-3</v>
      </c>
      <c r="V294" s="383">
        <f t="shared" si="106"/>
        <v>34.73356319713551</v>
      </c>
      <c r="W294" s="402"/>
      <c r="X294" s="157">
        <f t="shared" si="107"/>
        <v>44476</v>
      </c>
      <c r="Y294" s="385">
        <f t="shared" si="108"/>
        <v>31.858835508601462</v>
      </c>
      <c r="Z294" s="385">
        <f t="shared" si="109"/>
        <v>32.732870186594781</v>
      </c>
      <c r="AA294" s="386">
        <f t="shared" si="110"/>
        <v>37.733550739650696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0.13252610621139252</v>
      </c>
      <c r="AD294" s="231">
        <f>(INDEX(Models!$BJ294:$BT294,,AH294)*(1-AF294)+INDEX(Models!$BJ294:$BT294,,AH294+1)*AF294-ERP_i)*AE294*Ramure*Pc/MaxiM</f>
        <v>1.4607037142676501E-3</v>
      </c>
      <c r="AE294" s="305">
        <f t="shared" si="112"/>
        <v>0.7</v>
      </c>
      <c r="AF294" s="177">
        <f t="shared" si="113"/>
        <v>0.9964322896414417</v>
      </c>
      <c r="AG294" s="810">
        <f t="shared" si="119"/>
        <v>-1</v>
      </c>
      <c r="AH294" s="176">
        <f t="shared" si="114"/>
        <v>5</v>
      </c>
      <c r="AI294" s="225">
        <f t="shared" si="115"/>
        <v>-3.5677103585582404E-3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6">
        <v>32.082999999999998</v>
      </c>
      <c r="C295" s="390"/>
      <c r="D295" s="393">
        <f t="shared" si="98"/>
        <v>32.963951662356642</v>
      </c>
      <c r="E295" s="385">
        <f t="shared" si="96"/>
        <v>34.734868471034019</v>
      </c>
      <c r="F295" s="385">
        <f t="shared" si="99"/>
        <v>34.781493039505428</v>
      </c>
      <c r="G295" s="110">
        <f t="shared" si="97"/>
        <v>0.9337313567675809</v>
      </c>
      <c r="H295" s="414" t="b">
        <f>Wh_hp&gt;='2020'!Maxi_hp</f>
        <v>0</v>
      </c>
      <c r="I295" s="380">
        <f>IF(H295,Wh_hp,'2020'!Maxi_hp)</f>
        <v>35.15889638578107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2.6724698281931247E-2</v>
      </c>
      <c r="M295" s="844"/>
      <c r="N295" s="844"/>
      <c r="O295" s="48">
        <f>IF(t&lt;Tnet,'2020'!Resal+('2020'!Salim-'2020'!Resal)*(1-EXP(('2020'!Tnet-t)/('2020'!Tau_j))),Resal+(Salim-Resal)*(1-EXP((Tnet-t)/(Tau_j))))*Salcycl</f>
        <v>5.09838351670793E-2</v>
      </c>
      <c r="P295" s="169">
        <f>(INDEX(Models!$BJ295:$BT295,,T295)*(1-R295)+INDEX(Models!$BJ295:$BT295,,T295+1)*R295-ERP_i)*Q295*Ramure*Pc/MaxiM</f>
        <v>1.4803684638705383E-3</v>
      </c>
      <c r="Q295" s="305">
        <f t="shared" si="101"/>
        <v>0.7</v>
      </c>
      <c r="R295" s="177">
        <f t="shared" si="102"/>
        <v>0.99655181473413079</v>
      </c>
      <c r="S295" s="810">
        <f t="shared" si="103"/>
        <v>-1</v>
      </c>
      <c r="T295" s="176">
        <f t="shared" si="104"/>
        <v>5</v>
      </c>
      <c r="U295" s="251">
        <f t="shared" si="105"/>
        <v>-3.4481852658692635E-3</v>
      </c>
      <c r="V295" s="383">
        <f t="shared" si="106"/>
        <v>34.355177560381897</v>
      </c>
      <c r="W295" s="402"/>
      <c r="X295" s="157">
        <f t="shared" si="107"/>
        <v>44477</v>
      </c>
      <c r="Y295" s="385">
        <f t="shared" si="108"/>
        <v>29.325626442787932</v>
      </c>
      <c r="Z295" s="385">
        <f t="shared" si="109"/>
        <v>30.130864711167575</v>
      </c>
      <c r="AA295" s="386">
        <f t="shared" si="110"/>
        <v>34.734868471034019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0.13254703306868126</v>
      </c>
      <c r="AD295" s="231">
        <f>(INDEX(Models!$BJ295:$BT295,,AH295)*(1-AF295)+INDEX(Models!$BJ295:$BT295,,AH295+1)*AF295-ERP_i)*AE295*Ramure*Pc/MaxiM</f>
        <v>1.4803684638705383E-3</v>
      </c>
      <c r="AE295" s="305">
        <f t="shared" si="112"/>
        <v>0.7</v>
      </c>
      <c r="AF295" s="177">
        <f t="shared" si="113"/>
        <v>0.99655181473413079</v>
      </c>
      <c r="AG295" s="810">
        <f t="shared" si="119"/>
        <v>-1</v>
      </c>
      <c r="AH295" s="176">
        <f t="shared" si="114"/>
        <v>5</v>
      </c>
      <c r="AI295" s="225">
        <f t="shared" si="115"/>
        <v>-3.4481852658692635E-3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6">
        <v>15.371</v>
      </c>
      <c r="C296" s="390"/>
      <c r="D296" s="393">
        <f t="shared" si="98"/>
        <v>15.793432430491054</v>
      </c>
      <c r="E296" s="385">
        <f t="shared" si="96"/>
        <v>16.644481384540839</v>
      </c>
      <c r="F296" s="385">
        <f t="shared" si="99"/>
        <v>16.649947236992983</v>
      </c>
      <c r="G296" s="110">
        <f t="shared" si="97"/>
        <v>0.45183925552151499</v>
      </c>
      <c r="H296" s="414" t="b">
        <f>Wh_hp&gt;='2020'!Maxi_hp</f>
        <v>0</v>
      </c>
      <c r="I296" s="380">
        <f>IF(H296,Wh_hp,'2020'!Maxi_hp)</f>
        <v>35.21218623068178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2.6747347820065936E-2</v>
      </c>
      <c r="M296" s="844"/>
      <c r="N296" s="844"/>
      <c r="O296" s="48">
        <f>IF(t&lt;Tnet,'2020'!Resal+('2020'!Salim-'2020'!Resal)*(1-EXP(('2020'!Tnet-t)/('2020'!Tau_j))),Resal+(Salim-Resal)*(1-EXP((Tnet-t)/(Tau_j))))*Salcycl</f>
        <v>5.1130998580720365E-2</v>
      </c>
      <c r="P296" s="169">
        <f>(INDEX(Models!$BJ296:$BT296,,T296)*(1-R296)+INDEX(Models!$BJ296:$BT296,,T296+1)*R296-ERP_i)*Q296*Ramure*Pc/MaxiM</f>
        <v>1.5081155504182923E-3</v>
      </c>
      <c r="Q296" s="305">
        <f t="shared" si="101"/>
        <v>0.7</v>
      </c>
      <c r="R296" s="177">
        <f t="shared" si="102"/>
        <v>0.99666659498266075</v>
      </c>
      <c r="S296" s="810">
        <f t="shared" si="103"/>
        <v>-1</v>
      </c>
      <c r="T296" s="176">
        <f t="shared" si="104"/>
        <v>5</v>
      </c>
      <c r="U296" s="251">
        <f t="shared" si="105"/>
        <v>-3.3334050173391971E-3</v>
      </c>
      <c r="V296" s="383">
        <f t="shared" si="106"/>
        <v>33.978585552086471</v>
      </c>
      <c r="W296" s="402"/>
      <c r="X296" s="157">
        <f t="shared" si="107"/>
        <v>44478</v>
      </c>
      <c r="Y296" s="385">
        <f t="shared" si="108"/>
        <v>14.051812483708293</v>
      </c>
      <c r="Z296" s="385">
        <f t="shared" si="109"/>
        <v>14.437990435715152</v>
      </c>
      <c r="AA296" s="386">
        <f t="shared" si="110"/>
        <v>16.644481384540839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0.13256591766656334</v>
      </c>
      <c r="AD296" s="231">
        <f>(INDEX(Models!$BJ296:$BT296,,AH296)*(1-AF296)+INDEX(Models!$BJ296:$BT296,,AH296+1)*AF296-ERP_i)*AE296*Ramure*Pc/MaxiM</f>
        <v>1.5081155504182923E-3</v>
      </c>
      <c r="AE296" s="305">
        <f t="shared" si="112"/>
        <v>0.7</v>
      </c>
      <c r="AF296" s="177">
        <f t="shared" si="113"/>
        <v>0.99666659498266075</v>
      </c>
      <c r="AG296" s="810">
        <f t="shared" si="119"/>
        <v>-1</v>
      </c>
      <c r="AH296" s="176">
        <f t="shared" si="114"/>
        <v>5</v>
      </c>
      <c r="AI296" s="225">
        <f t="shared" si="115"/>
        <v>-3.3334050173391971E-3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6">
        <v>27.908000000000001</v>
      </c>
      <c r="C297" s="390"/>
      <c r="D297" s="393">
        <f t="shared" si="98"/>
        <v>28.675646978751278</v>
      </c>
      <c r="E297" s="385">
        <f t="shared" ref="E297:E360" si="120">Wh_pvt/(1-Psa)</f>
        <v>30.225523763206073</v>
      </c>
      <c r="F297" s="385">
        <f t="shared" si="99"/>
        <v>30.260941693493162</v>
      </c>
      <c r="G297" s="110">
        <f t="shared" ref="G297:G360" si="121">+Wh_hp/MaxiM</f>
        <v>0.83018590103439793</v>
      </c>
      <c r="H297" s="414" t="b">
        <f>Wh_hp&gt;='2020'!Maxi_hp</f>
        <v>1</v>
      </c>
      <c r="I297" s="380">
        <f>IF(H297,Wh_hp,'2020'!Maxi_hp)</f>
        <v>30.260941693493162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2.6769996831112697E-2</v>
      </c>
      <c r="M297" s="844"/>
      <c r="N297" s="844"/>
      <c r="O297" s="48">
        <f>IF(t&lt;Tnet,'2020'!Resal+('2020'!Salim-'2020'!Resal)*(1-EXP(('2020'!Tnet-t)/('2020'!Tau_j))),Resal+(Salim-Resal)*(1-EXP((Tnet-t)/(Tau_j))))*Salcycl</f>
        <v>5.1277086101034999E-2</v>
      </c>
      <c r="P297" s="169">
        <f>(INDEX(Models!$BJ297:$BT297,,T297)*(1-R297)+INDEX(Models!$BJ297:$BT297,,T297+1)*R297-ERP_i)*Q297*Ramure*Pc/MaxiM</f>
        <v>1.5443864214184705E-3</v>
      </c>
      <c r="Q297" s="305">
        <f t="shared" si="101"/>
        <v>0.7</v>
      </c>
      <c r="R297" s="177">
        <f t="shared" si="102"/>
        <v>0.99677681614953362</v>
      </c>
      <c r="S297" s="810">
        <f t="shared" si="103"/>
        <v>-1</v>
      </c>
      <c r="T297" s="176">
        <f t="shared" si="104"/>
        <v>5</v>
      </c>
      <c r="U297" s="251">
        <f t="shared" si="105"/>
        <v>-3.2231838504663268E-3</v>
      </c>
      <c r="V297" s="383">
        <f t="shared" si="106"/>
        <v>33.603980754098011</v>
      </c>
      <c r="W297" s="402"/>
      <c r="X297" s="157">
        <f t="shared" si="107"/>
        <v>44479</v>
      </c>
      <c r="Y297" s="385">
        <f t="shared" si="108"/>
        <v>25.516280821511454</v>
      </c>
      <c r="Z297" s="385">
        <f t="shared" si="109"/>
        <v>26.21814035575262</v>
      </c>
      <c r="AA297" s="386">
        <f t="shared" si="110"/>
        <v>30.225523763206073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0.13258276147167025</v>
      </c>
      <c r="AD297" s="231">
        <f>(INDEX(Models!$BJ297:$BT297,,AH297)*(1-AF297)+INDEX(Models!$BJ297:$BT297,,AH297+1)*AF297-ERP_i)*AE297*Ramure*Pc/MaxiM</f>
        <v>1.5443864214184705E-3</v>
      </c>
      <c r="AE297" s="305">
        <f t="shared" si="112"/>
        <v>0.7</v>
      </c>
      <c r="AF297" s="177">
        <f t="shared" si="113"/>
        <v>0.99677681614953362</v>
      </c>
      <c r="AG297" s="810">
        <f t="shared" si="119"/>
        <v>-1</v>
      </c>
      <c r="AH297" s="176">
        <f t="shared" si="114"/>
        <v>5</v>
      </c>
      <c r="AI297" s="225">
        <f t="shared" si="115"/>
        <v>-3.2231838504663268E-3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6">
        <v>33.384999999999998</v>
      </c>
      <c r="C298" s="390"/>
      <c r="D298" s="393">
        <f t="shared" si="98"/>
        <v>34.304097517644294</v>
      </c>
      <c r="E298" s="385">
        <f t="shared" si="120"/>
        <v>36.163711319148589</v>
      </c>
      <c r="F298" s="385">
        <f t="shared" si="99"/>
        <v>36.221280372561871</v>
      </c>
      <c r="G298" s="110">
        <f t="shared" si="121"/>
        <v>1.0046171335988769</v>
      </c>
      <c r="H298" s="414" t="b">
        <f>Wh_hp&gt;='2020'!Maxi_hp</f>
        <v>0</v>
      </c>
      <c r="I298" s="380">
        <f>IF(H298,Wh_hp,'2020'!Maxi_hp)</f>
        <v>36.235632696328913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2.6792645315083963E-2</v>
      </c>
      <c r="M298" s="844"/>
      <c r="N298" s="844"/>
      <c r="O298" s="48">
        <f>IF(t&lt;Tnet,'2020'!Resal+('2020'!Salim-'2020'!Resal)*(1-EXP(('2020'!Tnet-t)/('2020'!Tau_j))),Resal+(Salim-Resal)*(1-EXP((Tnet-t)/(Tau_j))))*Salcycl</f>
        <v>5.1422095069087514E-2</v>
      </c>
      <c r="P298" s="169">
        <f>(INDEX(Models!$BJ298:$BT298,,T298)*(1-R298)+INDEX(Models!$BJ298:$BT298,,T298+1)*R298-ERP_i)*Q298*Ramure*Pc/MaxiM</f>
        <v>1.5893710222593235E-3</v>
      </c>
      <c r="Q298" s="305">
        <f t="shared" si="101"/>
        <v>0.7</v>
      </c>
      <c r="R298" s="177">
        <f t="shared" si="102"/>
        <v>0.99688265692822675</v>
      </c>
      <c r="S298" s="810">
        <f t="shared" si="103"/>
        <v>-1</v>
      </c>
      <c r="T298" s="176">
        <f t="shared" si="104"/>
        <v>5</v>
      </c>
      <c r="U298" s="251">
        <f t="shared" si="105"/>
        <v>-3.1173430717733042E-3</v>
      </c>
      <c r="V298" s="383">
        <f t="shared" si="106"/>
        <v>33.231565422743373</v>
      </c>
      <c r="W298" s="402"/>
      <c r="X298" s="157">
        <f t="shared" si="107"/>
        <v>44480</v>
      </c>
      <c r="Y298" s="385">
        <f t="shared" si="108"/>
        <v>30.528046155731637</v>
      </c>
      <c r="Z298" s="385">
        <f t="shared" si="109"/>
        <v>31.368491009416328</v>
      </c>
      <c r="AA298" s="386">
        <f t="shared" si="110"/>
        <v>36.163711319148589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0.13259757184250076</v>
      </c>
      <c r="AD298" s="231">
        <f>(INDEX(Models!$BJ298:$BT298,,AH298)*(1-AF298)+INDEX(Models!$BJ298:$BT298,,AH298+1)*AF298-ERP_i)*AE298*Ramure*Pc/MaxiM</f>
        <v>1.5893710222593235E-3</v>
      </c>
      <c r="AE298" s="305">
        <f t="shared" si="112"/>
        <v>0.7</v>
      </c>
      <c r="AF298" s="177">
        <f t="shared" si="113"/>
        <v>0.99688265692822675</v>
      </c>
      <c r="AG298" s="810">
        <f t="shared" si="119"/>
        <v>-1</v>
      </c>
      <c r="AH298" s="176">
        <f t="shared" si="114"/>
        <v>5</v>
      </c>
      <c r="AI298" s="225">
        <f t="shared" si="115"/>
        <v>-3.1173430717733042E-3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6">
        <v>31.751000000000001</v>
      </c>
      <c r="C299" s="390"/>
      <c r="D299" s="393">
        <f t="shared" si="98"/>
        <v>32.625872334915321</v>
      </c>
      <c r="E299" s="385">
        <f t="shared" si="120"/>
        <v>34.399729664182807</v>
      </c>
      <c r="F299" s="385">
        <f t="shared" si="99"/>
        <v>34.453612542643434</v>
      </c>
      <c r="G299" s="110">
        <f t="shared" si="121"/>
        <v>0.96612865557048544</v>
      </c>
      <c r="H299" s="414" t="b">
        <f>Wh_hp&gt;='2020'!Maxi_hp</f>
        <v>1</v>
      </c>
      <c r="I299" s="380">
        <f>IF(H299,Wh_hp,'2020'!Maxi_hp)</f>
        <v>34.453612542643434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2.6815293271991947E-2</v>
      </c>
      <c r="M299" s="844"/>
      <c r="N299" s="844"/>
      <c r="O299" s="48">
        <f>IF(t&lt;Tnet,'2020'!Resal+('2020'!Salim-'2020'!Resal)*(1-EXP(('2020'!Tnet-t)/('2020'!Tau_j))),Resal+(Salim-Resal)*(1-EXP((Tnet-t)/(Tau_j))))*Salcycl</f>
        <v>5.15660252735776E-2</v>
      </c>
      <c r="P299" s="169">
        <f>(INDEX(Models!$BJ299:$BT299,,T299)*(1-R299)+INDEX(Models!$BJ299:$BT299,,T299+1)*R299-ERP_i)*Q299*Ramure*Pc/MaxiM</f>
        <v>1.6432585319896063E-3</v>
      </c>
      <c r="Q299" s="305">
        <f t="shared" si="101"/>
        <v>0.7</v>
      </c>
      <c r="R299" s="177">
        <f t="shared" si="102"/>
        <v>0.99698428919614779</v>
      </c>
      <c r="S299" s="810">
        <f t="shared" si="103"/>
        <v>-1</v>
      </c>
      <c r="T299" s="176">
        <f t="shared" si="104"/>
        <v>5</v>
      </c>
      <c r="U299" s="251">
        <f t="shared" si="105"/>
        <v>-3.0157108038521563E-3</v>
      </c>
      <c r="V299" s="383">
        <f t="shared" si="106"/>
        <v>32.861541745919972</v>
      </c>
      <c r="W299" s="402"/>
      <c r="X299" s="157">
        <f t="shared" si="107"/>
        <v>44481</v>
      </c>
      <c r="Y299" s="385">
        <f t="shared" si="108"/>
        <v>29.037855160141866</v>
      </c>
      <c r="Z299" s="385">
        <f t="shared" si="109"/>
        <v>29.837969050881885</v>
      </c>
      <c r="AA299" s="386">
        <f t="shared" si="110"/>
        <v>34.399729664182807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0.13261036228580164</v>
      </c>
      <c r="AD299" s="231">
        <f>(INDEX(Models!$BJ299:$BT299,,AH299)*(1-AF299)+INDEX(Models!$BJ299:$BT299,,AH299+1)*AF299-ERP_i)*AE299*Ramure*Pc/MaxiM</f>
        <v>1.6432585319896063E-3</v>
      </c>
      <c r="AE299" s="305">
        <f t="shared" si="112"/>
        <v>0.7</v>
      </c>
      <c r="AF299" s="177">
        <f t="shared" si="113"/>
        <v>0.99698428919614779</v>
      </c>
      <c r="AG299" s="810">
        <f t="shared" si="119"/>
        <v>-1</v>
      </c>
      <c r="AH299" s="176">
        <f t="shared" si="114"/>
        <v>5</v>
      </c>
      <c r="AI299" s="225">
        <f t="shared" si="115"/>
        <v>-3.0157108038521563E-3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6">
        <v>30.52</v>
      </c>
      <c r="C300" s="390"/>
      <c r="D300" s="393">
        <f t="shared" si="98"/>
        <v>31.361682988351561</v>
      </c>
      <c r="E300" s="385">
        <f t="shared" si="120"/>
        <v>33.07178807878978</v>
      </c>
      <c r="F300" s="385">
        <f t="shared" si="99"/>
        <v>33.123399390489972</v>
      </c>
      <c r="G300" s="110">
        <f t="shared" si="121"/>
        <v>0.93910778565327191</v>
      </c>
      <c r="H300" s="414" t="b">
        <f>Wh_hp&gt;='2020'!Maxi_hp</f>
        <v>0</v>
      </c>
      <c r="I300" s="380">
        <f>IF(H300,Wh_hp,'2020'!Maxi_hp)</f>
        <v>34.605373713118908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2.6837940701848861E-2</v>
      </c>
      <c r="M300" s="844"/>
      <c r="N300" s="844"/>
      <c r="O300" s="48">
        <f>IF(t&lt;Tnet,'2020'!Resal+('2020'!Salim-'2020'!Resal)*(1-EXP(('2020'!Tnet-t)/('2020'!Tau_j))),Resal+(Salim-Resal)*(1-EXP((Tnet-t)/(Tau_j))))*Salcycl</f>
        <v>5.1708879071312587E-2</v>
      </c>
      <c r="P300" s="169">
        <f>(INDEX(Models!$BJ300:$BT300,,T300)*(1-R300)+INDEX(Models!$BJ300:$BT300,,T300+1)*R300-ERP_i)*Q300*Ramure*Pc/MaxiM</f>
        <v>1.7062366868303782E-3</v>
      </c>
      <c r="Q300" s="305">
        <f t="shared" si="101"/>
        <v>0.7</v>
      </c>
      <c r="R300" s="177">
        <f t="shared" si="102"/>
        <v>0.9970818782598232</v>
      </c>
      <c r="S300" s="810">
        <f t="shared" si="103"/>
        <v>-1</v>
      </c>
      <c r="T300" s="176">
        <f t="shared" si="104"/>
        <v>5</v>
      </c>
      <c r="U300" s="251">
        <f t="shared" si="105"/>
        <v>-2.9181217401768045E-3</v>
      </c>
      <c r="V300" s="383">
        <f t="shared" si="106"/>
        <v>32.494111844783276</v>
      </c>
      <c r="W300" s="402"/>
      <c r="X300" s="157">
        <f t="shared" si="107"/>
        <v>44482</v>
      </c>
      <c r="Y300" s="385">
        <f t="shared" si="108"/>
        <v>27.915902443714828</v>
      </c>
      <c r="Z300" s="385">
        <f t="shared" si="109"/>
        <v>28.685769422461767</v>
      </c>
      <c r="AA300" s="386">
        <f t="shared" si="110"/>
        <v>33.07178807878978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0.13262115268393784</v>
      </c>
      <c r="AD300" s="231">
        <f>(INDEX(Models!$BJ300:$BT300,,AH300)*(1-AF300)+INDEX(Models!$BJ300:$BT300,,AH300+1)*AF300-ERP_i)*AE300*Ramure*Pc/MaxiM</f>
        <v>1.7062366868303782E-3</v>
      </c>
      <c r="AE300" s="305">
        <f t="shared" si="112"/>
        <v>0.7</v>
      </c>
      <c r="AF300" s="177">
        <f t="shared" si="113"/>
        <v>0.9970818782598232</v>
      </c>
      <c r="AG300" s="810">
        <f t="shared" si="119"/>
        <v>-1</v>
      </c>
      <c r="AH300" s="176">
        <f t="shared" si="114"/>
        <v>5</v>
      </c>
      <c r="AI300" s="225">
        <f t="shared" si="115"/>
        <v>-2.9181217401768045E-3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6">
        <v>33.105000000000004</v>
      </c>
      <c r="C301" s="390"/>
      <c r="D301" s="393">
        <f t="shared" si="98"/>
        <v>34.018763990365713</v>
      </c>
      <c r="E301" s="385">
        <f t="shared" si="120"/>
        <v>35.879120101540664</v>
      </c>
      <c r="F301" s="385">
        <f t="shared" si="99"/>
        <v>35.94304448551074</v>
      </c>
      <c r="G301" s="110">
        <f t="shared" si="121"/>
        <v>1.0303622185741108</v>
      </c>
      <c r="H301" s="414" t="b">
        <f>Wh_hp&gt;='2020'!Maxi_hp</f>
        <v>1</v>
      </c>
      <c r="I301" s="380">
        <f>IF(H301,Wh_hp,'2020'!Maxi_hp)</f>
        <v>35.94304448551074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2.686058760466703E-2</v>
      </c>
      <c r="M301" s="844"/>
      <c r="N301" s="844"/>
      <c r="O301" s="48">
        <f>IF(t&lt;Tnet,'2020'!Resal+('2020'!Salim-'2020'!Resal)*(1-EXP(('2020'!Tnet-t)/('2020'!Tau_j))),Resal+(Salim-Resal)*(1-EXP((Tnet-t)/(Tau_j))))*Salcycl</f>
        <v>5.1850661496435801E-2</v>
      </c>
      <c r="P301" s="169">
        <f>(INDEX(Models!$BJ301:$BT301,,T301)*(1-R301)+INDEX(Models!$BJ301:$BT301,,T301+1)*R301-ERP_i)*Q301*Ramure*Pc/MaxiM</f>
        <v>1.7784910790138995E-3</v>
      </c>
      <c r="Q301" s="305">
        <f t="shared" si="101"/>
        <v>0.7</v>
      </c>
      <c r="R301" s="177">
        <f t="shared" si="102"/>
        <v>0.9971755830924478</v>
      </c>
      <c r="S301" s="810">
        <f t="shared" si="103"/>
        <v>-1</v>
      </c>
      <c r="T301" s="176">
        <f t="shared" si="104"/>
        <v>5</v>
      </c>
      <c r="U301" s="251">
        <f t="shared" si="105"/>
        <v>-2.8244169075521408E-3</v>
      </c>
      <c r="V301" s="383">
        <f t="shared" si="106"/>
        <v>32.129477773178714</v>
      </c>
      <c r="W301" s="402"/>
      <c r="X301" s="157">
        <f t="shared" si="107"/>
        <v>44483</v>
      </c>
      <c r="Y301" s="385">
        <f t="shared" si="108"/>
        <v>30.284559292461481</v>
      </c>
      <c r="Z301" s="385">
        <f t="shared" si="109"/>
        <v>31.120473497129854</v>
      </c>
      <c r="AA301" s="386">
        <f t="shared" si="110"/>
        <v>35.879120101540664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0.13262996949042991</v>
      </c>
      <c r="AD301" s="231">
        <f>(INDEX(Models!$BJ301:$BT301,,AH301)*(1-AF301)+INDEX(Models!$BJ301:$BT301,,AH301+1)*AF301-ERP_i)*AE301*Ramure*Pc/MaxiM</f>
        <v>1.7784910790138995E-3</v>
      </c>
      <c r="AE301" s="305">
        <f t="shared" si="112"/>
        <v>0.7</v>
      </c>
      <c r="AF301" s="177">
        <f t="shared" si="113"/>
        <v>0.9971755830924478</v>
      </c>
      <c r="AG301" s="810">
        <f t="shared" si="119"/>
        <v>-1</v>
      </c>
      <c r="AH301" s="176">
        <f t="shared" si="114"/>
        <v>5</v>
      </c>
      <c r="AI301" s="225">
        <f t="shared" si="115"/>
        <v>-2.8244169075521408E-3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6">
        <v>28.908999999999999</v>
      </c>
      <c r="C302" s="390"/>
      <c r="D302" s="393">
        <f t="shared" si="98"/>
        <v>29.707637366325546</v>
      </c>
      <c r="E302" s="385">
        <f t="shared" si="120"/>
        <v>31.336885288571828</v>
      </c>
      <c r="F302" s="385">
        <f t="shared" si="99"/>
        <v>31.387766659751389</v>
      </c>
      <c r="G302" s="110">
        <f t="shared" si="121"/>
        <v>0.90979033797363229</v>
      </c>
      <c r="H302" s="414" t="b">
        <f>Wh_hp&gt;='2020'!Maxi_hp</f>
        <v>1</v>
      </c>
      <c r="I302" s="380">
        <f>IF(H302,Wh_hp,'2020'!Maxi_hp)</f>
        <v>31.387766659751389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2.6883233980458665E-2</v>
      </c>
      <c r="M302" s="844"/>
      <c r="N302" s="844"/>
      <c r="O302" s="48">
        <f>IF(t&lt;Tnet,'2020'!Resal+('2020'!Salim-'2020'!Resal)*(1-EXP(('2020'!Tnet-t)/('2020'!Tau_j))),Resal+(Salim-Resal)*(1-EXP((Tnet-t)/(Tau_j))))*Salcycl</f>
        <v>5.1991380357142576E-2</v>
      </c>
      <c r="P302" s="169">
        <f>(INDEX(Models!$BJ302:$BT302,,T302)*(1-R302)+INDEX(Models!$BJ302:$BT302,,T302+1)*R302-ERP_i)*Q302*Ramure*Pc/MaxiM</f>
        <v>1.8602044315337905E-3</v>
      </c>
      <c r="Q302" s="305">
        <f t="shared" si="101"/>
        <v>0.7</v>
      </c>
      <c r="R302" s="177">
        <f t="shared" si="102"/>
        <v>0.99726555656394056</v>
      </c>
      <c r="S302" s="810">
        <f t="shared" si="103"/>
        <v>-1</v>
      </c>
      <c r="T302" s="176">
        <f t="shared" si="104"/>
        <v>5</v>
      </c>
      <c r="U302" s="251">
        <f t="shared" si="105"/>
        <v>-2.7344434360593861E-3</v>
      </c>
      <c r="V302" s="383">
        <f t="shared" si="106"/>
        <v>31.767841519666352</v>
      </c>
      <c r="W302" s="402"/>
      <c r="X302" s="157">
        <f t="shared" si="107"/>
        <v>44484</v>
      </c>
      <c r="Y302" s="385">
        <f t="shared" si="108"/>
        <v>26.449761007006746</v>
      </c>
      <c r="Z302" s="385">
        <f t="shared" si="109"/>
        <v>27.180459663846346</v>
      </c>
      <c r="AA302" s="386">
        <f t="shared" si="110"/>
        <v>31.336885288571828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0.13263684589103944</v>
      </c>
      <c r="AD302" s="231">
        <f>(INDEX(Models!$BJ302:$BT302,,AH302)*(1-AF302)+INDEX(Models!$BJ302:$BT302,,AH302+1)*AF302-ERP_i)*AE302*Ramure*Pc/MaxiM</f>
        <v>1.8602044315337905E-3</v>
      </c>
      <c r="AE302" s="305">
        <f t="shared" si="112"/>
        <v>0.7</v>
      </c>
      <c r="AF302" s="177">
        <f t="shared" si="113"/>
        <v>0.99726555656394056</v>
      </c>
      <c r="AG302" s="810">
        <f t="shared" si="119"/>
        <v>-1</v>
      </c>
      <c r="AH302" s="176">
        <f t="shared" si="114"/>
        <v>5</v>
      </c>
      <c r="AI302" s="225">
        <f t="shared" si="115"/>
        <v>-2.7344434360593861E-3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6">
        <v>30.185000000000002</v>
      </c>
      <c r="C303" s="390"/>
      <c r="D303" s="393">
        <f t="shared" si="98"/>
        <v>31.019609896217407</v>
      </c>
      <c r="E303" s="385">
        <f t="shared" si="120"/>
        <v>32.725631297178886</v>
      </c>
      <c r="F303" s="385">
        <f t="shared" si="99"/>
        <v>32.78605431375631</v>
      </c>
      <c r="G303" s="110">
        <f t="shared" si="121"/>
        <v>0.96092871549128211</v>
      </c>
      <c r="H303" s="414" t="b">
        <f>Wh_hp&gt;='2020'!Maxi_hp</f>
        <v>1</v>
      </c>
      <c r="I303" s="380">
        <f>IF(H303,Wh_hp,'2020'!Maxi_hp)</f>
        <v>32.78605431375631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2.6905879829235979E-2</v>
      </c>
      <c r="M303" s="844"/>
      <c r="N303" s="844"/>
      <c r="O303" s="48">
        <f>IF(t&lt;Tnet,'2020'!Resal+('2020'!Salim-'2020'!Resal)*(1-EXP(('2020'!Tnet-t)/('2020'!Tau_j))),Resal+(Salim-Resal)*(1-EXP((Tnet-t)/(Tau_j))))*Salcycl</f>
        <v>5.2131046318686161E-2</v>
      </c>
      <c r="P303" s="169">
        <f>(INDEX(Models!$BJ303:$BT303,,T303)*(1-R303)+INDEX(Models!$BJ303:$BT303,,T303+1)*R303-ERP_i)*Q303*Ramure*Pc/MaxiM</f>
        <v>1.951587117401177E-3</v>
      </c>
      <c r="Q303" s="305">
        <f t="shared" si="101"/>
        <v>0.7</v>
      </c>
      <c r="R303" s="177">
        <f t="shared" si="102"/>
        <v>0.99735194566364704</v>
      </c>
      <c r="S303" s="810">
        <f t="shared" si="103"/>
        <v>-1</v>
      </c>
      <c r="T303" s="176">
        <f t="shared" si="104"/>
        <v>5</v>
      </c>
      <c r="U303" s="251">
        <f t="shared" si="105"/>
        <v>-2.6480543363529563E-3</v>
      </c>
      <c r="V303" s="383">
        <f t="shared" si="106"/>
        <v>31.408900794125554</v>
      </c>
      <c r="W303" s="402"/>
      <c r="X303" s="157">
        <f t="shared" si="107"/>
        <v>44485</v>
      </c>
      <c r="Y303" s="385">
        <f t="shared" si="108"/>
        <v>27.621124738204482</v>
      </c>
      <c r="Z303" s="385">
        <f t="shared" si="109"/>
        <v>28.384843938176683</v>
      </c>
      <c r="AA303" s="386">
        <f t="shared" si="110"/>
        <v>32.725631297178886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0.13264182192801283</v>
      </c>
      <c r="AD303" s="231">
        <f>(INDEX(Models!$BJ303:$BT303,,AH303)*(1-AF303)+INDEX(Models!$BJ303:$BT303,,AH303+1)*AF303-ERP_i)*AE303*Ramure*Pc/MaxiM</f>
        <v>1.951587117401177E-3</v>
      </c>
      <c r="AE303" s="305">
        <f t="shared" si="112"/>
        <v>0.7</v>
      </c>
      <c r="AF303" s="177">
        <f t="shared" si="113"/>
        <v>0.99735194566364704</v>
      </c>
      <c r="AG303" s="810">
        <f t="shared" si="119"/>
        <v>-1</v>
      </c>
      <c r="AH303" s="176">
        <f t="shared" si="114"/>
        <v>5</v>
      </c>
      <c r="AI303" s="225">
        <f t="shared" si="115"/>
        <v>-2.6480543363529563E-3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6">
        <v>27.908999999999999</v>
      </c>
      <c r="C304" s="390"/>
      <c r="D304" s="393">
        <f t="shared" si="98"/>
        <v>28.681346356732128</v>
      </c>
      <c r="E304" s="385">
        <f t="shared" si="120"/>
        <v>30.263193588687859</v>
      </c>
      <c r="F304" s="385">
        <f t="shared" si="99"/>
        <v>30.316240270106746</v>
      </c>
      <c r="G304" s="110">
        <f t="shared" si="121"/>
        <v>0.8985034617092682</v>
      </c>
      <c r="H304" s="414" t="b">
        <f>Wh_hp&gt;='2020'!Maxi_hp</f>
        <v>1</v>
      </c>
      <c r="I304" s="380">
        <f>IF(H304,Wh_hp,'2020'!Maxi_hp)</f>
        <v>30.316240270106746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2.6928525151011407E-2</v>
      </c>
      <c r="M304" s="844"/>
      <c r="N304" s="844"/>
      <c r="O304" s="48">
        <f>IF(t&lt;Tnet,'2020'!Resal+('2020'!Salim-'2020'!Resal)*(1-EXP(('2020'!Tnet-t)/('2020'!Tau_j))),Resal+(Salim-Resal)*(1-EXP((Tnet-t)/(Tau_j))))*Salcycl</f>
        <v>5.2269672971560099E-2</v>
      </c>
      <c r="P304" s="169">
        <f>(INDEX(Models!$BJ304:$BT304,,T304)*(1-R304)+INDEX(Models!$BJ304:$BT304,,T304+1)*R304-ERP_i)*Q304*Ramure*Pc/MaxiM</f>
        <v>2.0456014732436094E-3</v>
      </c>
      <c r="Q304" s="305">
        <f t="shared" si="101"/>
        <v>0.7</v>
      </c>
      <c r="R304" s="177">
        <f t="shared" si="102"/>
        <v>0.99743489171584288</v>
      </c>
      <c r="S304" s="810">
        <f t="shared" si="103"/>
        <v>-1</v>
      </c>
      <c r="T304" s="176">
        <f t="shared" si="104"/>
        <v>5</v>
      </c>
      <c r="U304" s="251">
        <f t="shared" si="105"/>
        <v>-2.5651082841570694E-3</v>
      </c>
      <c r="V304" s="383">
        <f t="shared" si="106"/>
        <v>31.052445062059991</v>
      </c>
      <c r="W304" s="402"/>
      <c r="X304" s="157">
        <f t="shared" si="107"/>
        <v>44486</v>
      </c>
      <c r="Y304" s="385">
        <f t="shared" si="108"/>
        <v>25.542088874023118</v>
      </c>
      <c r="Z304" s="385">
        <f t="shared" si="109"/>
        <v>26.248933952140572</v>
      </c>
      <c r="AA304" s="386">
        <f t="shared" si="110"/>
        <v>30.263193588687859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0.13264494458535217</v>
      </c>
      <c r="AD304" s="231">
        <f>(INDEX(Models!$BJ304:$BT304,,AH304)*(1-AF304)+INDEX(Models!$BJ304:$BT304,,AH304+1)*AF304-ERP_i)*AE304*Ramure*Pc/MaxiM</f>
        <v>2.0456014732436094E-3</v>
      </c>
      <c r="AE304" s="305">
        <f t="shared" si="112"/>
        <v>0.7</v>
      </c>
      <c r="AF304" s="177">
        <f t="shared" si="113"/>
        <v>0.99743489171584288</v>
      </c>
      <c r="AG304" s="810">
        <f t="shared" si="119"/>
        <v>-1</v>
      </c>
      <c r="AH304" s="176">
        <f t="shared" si="114"/>
        <v>5</v>
      </c>
      <c r="AI304" s="225">
        <f t="shared" si="115"/>
        <v>-2.5651082841570694E-3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6">
        <v>30.063000000000002</v>
      </c>
      <c r="C305" s="390"/>
      <c r="D305" s="393">
        <f t="shared" si="98"/>
        <v>30.895674576090251</v>
      </c>
      <c r="E305" s="385">
        <f t="shared" si="120"/>
        <v>32.604381420838443</v>
      </c>
      <c r="F305" s="385">
        <f t="shared" si="99"/>
        <v>32.67212274747336</v>
      </c>
      <c r="G305" s="110">
        <f t="shared" si="121"/>
        <v>0.97923191327887871</v>
      </c>
      <c r="H305" s="414" t="b">
        <f>Wh_hp&gt;='2020'!Maxi_hp</f>
        <v>0</v>
      </c>
      <c r="I305" s="380">
        <f>IF(H305,Wh_hp,'2020'!Maxi_hp)</f>
        <v>34.363592336640075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2.6951169945797049E-2</v>
      </c>
      <c r="M305" s="844"/>
      <c r="N305" s="844"/>
      <c r="O305" s="48">
        <f>IF(t&lt;Tnet,'2020'!Resal+('2020'!Salim-'2020'!Resal)*(1-EXP(('2020'!Tnet-t)/('2020'!Tau_j))),Resal+(Salim-Resal)*(1-EXP((Tnet-t)/(Tau_j))))*Salcycl</f>
        <v>5.2407276883839539E-2</v>
      </c>
      <c r="P305" s="169">
        <f>(INDEX(Models!$BJ305:$BT305,,T305)*(1-R305)+INDEX(Models!$BJ305:$BT305,,T305+1)*R305-ERP_i)*Q305*Ramure*Pc/MaxiM</f>
        <v>2.136567656192525E-3</v>
      </c>
      <c r="Q305" s="305">
        <f t="shared" si="101"/>
        <v>0.7</v>
      </c>
      <c r="R305" s="177">
        <f t="shared" si="102"/>
        <v>0.99751453058819528</v>
      </c>
      <c r="S305" s="810">
        <f t="shared" si="103"/>
        <v>-1</v>
      </c>
      <c r="T305" s="176">
        <f t="shared" si="104"/>
        <v>5</v>
      </c>
      <c r="U305" s="251">
        <f t="shared" si="105"/>
        <v>-2.4854694118047194E-3</v>
      </c>
      <c r="V305" s="383">
        <f t="shared" si="106"/>
        <v>30.698648263975926</v>
      </c>
      <c r="W305" s="402"/>
      <c r="X305" s="157">
        <f t="shared" si="107"/>
        <v>44487</v>
      </c>
      <c r="Y305" s="385">
        <f t="shared" si="108"/>
        <v>27.517365439848575</v>
      </c>
      <c r="Z305" s="385">
        <f t="shared" si="109"/>
        <v>28.279531910352063</v>
      </c>
      <c r="AA305" s="386">
        <f t="shared" si="110"/>
        <v>32.604381420838443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0.13264626783326242</v>
      </c>
      <c r="AD305" s="231">
        <f>(INDEX(Models!$BJ305:$BT305,,AH305)*(1-AF305)+INDEX(Models!$BJ305:$BT305,,AH305+1)*AF305-ERP_i)*AE305*Ramure*Pc/MaxiM</f>
        <v>2.136567656192525E-3</v>
      </c>
      <c r="AE305" s="305">
        <f t="shared" si="112"/>
        <v>0.7</v>
      </c>
      <c r="AF305" s="177">
        <f t="shared" si="113"/>
        <v>0.99751453058819528</v>
      </c>
      <c r="AG305" s="810">
        <f t="shared" si="119"/>
        <v>-1</v>
      </c>
      <c r="AH305" s="176">
        <f t="shared" si="114"/>
        <v>5</v>
      </c>
      <c r="AI305" s="225">
        <f t="shared" si="115"/>
        <v>-2.4854694118047194E-3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6">
        <v>29.619</v>
      </c>
      <c r="C306" s="390"/>
      <c r="D306" s="393">
        <f t="shared" si="98"/>
        <v>30.4400852029096</v>
      </c>
      <c r="E306" s="385">
        <f t="shared" si="120"/>
        <v>32.128226821716332</v>
      </c>
      <c r="F306" s="385">
        <f t="shared" si="99"/>
        <v>32.197390274967091</v>
      </c>
      <c r="G306" s="110">
        <f t="shared" si="121"/>
        <v>0.97591990812070639</v>
      </c>
      <c r="H306" s="414" t="b">
        <f>Wh_hp&gt;='2020'!Maxi_hp</f>
        <v>0</v>
      </c>
      <c r="I306" s="380">
        <f>IF(H306,Wh_hp,'2020'!Maxi_hp)</f>
        <v>32.663950512475992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2.697381421360534E-2</v>
      </c>
      <c r="M306" s="844"/>
      <c r="N306" s="844"/>
      <c r="O306" s="48">
        <f>IF(t&lt;Tnet,'2020'!Resal+('2020'!Salim-'2020'!Resal)*(1-EXP(('2020'!Tnet-t)/('2020'!Tau_j))),Resal+(Salim-Resal)*(1-EXP((Tnet-t)/(Tau_j))))*Salcycl</f>
        <v>5.2543877636772401E-2</v>
      </c>
      <c r="P306" s="169">
        <f>(INDEX(Models!$BJ306:$BT306,,T306)*(1-R306)+INDEX(Models!$BJ306:$BT306,,T306+1)*R306-ERP_i)*Q306*Ramure*Pc/MaxiM</f>
        <v>2.2243896322812298E-3</v>
      </c>
      <c r="Q306" s="305">
        <f t="shared" si="101"/>
        <v>0.7</v>
      </c>
      <c r="R306" s="177">
        <f t="shared" si="102"/>
        <v>0.9975909928933393</v>
      </c>
      <c r="S306" s="810">
        <f t="shared" si="103"/>
        <v>-1</v>
      </c>
      <c r="T306" s="176">
        <f t="shared" si="104"/>
        <v>5</v>
      </c>
      <c r="U306" s="251">
        <f t="shared" si="105"/>
        <v>-2.4090071066606433E-3</v>
      </c>
      <c r="V306" s="383">
        <f t="shared" si="106"/>
        <v>30.347506477833246</v>
      </c>
      <c r="W306" s="402"/>
      <c r="X306" s="157">
        <f t="shared" si="107"/>
        <v>44488</v>
      </c>
      <c r="Y306" s="385">
        <f t="shared" si="108"/>
        <v>27.114883617899448</v>
      </c>
      <c r="Z306" s="385">
        <f t="shared" si="109"/>
        <v>27.866550781452343</v>
      </c>
      <c r="AA306" s="386">
        <f t="shared" si="110"/>
        <v>32.128226821716332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0.13264585263023004</v>
      </c>
      <c r="AD306" s="231">
        <f>(INDEX(Models!$BJ306:$BT306,,AH306)*(1-AF306)+INDEX(Models!$BJ306:$BT306,,AH306+1)*AF306-ERP_i)*AE306*Ramure*Pc/MaxiM</f>
        <v>2.2243896322812298E-3</v>
      </c>
      <c r="AE306" s="305">
        <f t="shared" si="112"/>
        <v>0.7</v>
      </c>
      <c r="AF306" s="177">
        <f t="shared" si="113"/>
        <v>0.9975909928933393</v>
      </c>
      <c r="AG306" s="810">
        <f t="shared" si="119"/>
        <v>-1</v>
      </c>
      <c r="AH306" s="176">
        <f t="shared" si="114"/>
        <v>5</v>
      </c>
      <c r="AI306" s="225">
        <f t="shared" si="115"/>
        <v>-2.4090071066606433E-3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6">
        <v>23.821999999999999</v>
      </c>
      <c r="C307" s="390"/>
      <c r="D307" s="393">
        <f t="shared" si="98"/>
        <v>24.482953011577791</v>
      </c>
      <c r="E307" s="385">
        <f t="shared" si="120"/>
        <v>25.844424306057931</v>
      </c>
      <c r="F307" s="385">
        <f t="shared" si="99"/>
        <v>25.886613810078575</v>
      </c>
      <c r="G307" s="110">
        <f t="shared" si="121"/>
        <v>0.79355250155002177</v>
      </c>
      <c r="H307" s="414" t="b">
        <f>Wh_hp&gt;='2020'!Maxi_hp</f>
        <v>0</v>
      </c>
      <c r="I307" s="380">
        <f>IF(H307,Wh_hp,'2020'!Maxi_hp)</f>
        <v>26.876972034227109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2.6996457954448272E-2</v>
      </c>
      <c r="M307" s="844"/>
      <c r="N307" s="844"/>
      <c r="O307" s="48">
        <f>IF(t&lt;Tnet,'2020'!Resal+('2020'!Salim-'2020'!Resal)*(1-EXP(('2020'!Tnet-t)/('2020'!Tau_j))),Resal+(Salim-Resal)*(1-EXP((Tnet-t)/(Tau_j))))*Salcycl</f>
        <v>5.2679497842829055E-2</v>
      </c>
      <c r="P307" s="169">
        <f>(INDEX(Models!$BJ307:$BT307,,T307)*(1-R307)+INDEX(Models!$BJ307:$BT307,,T307+1)*R307-ERP_i)*Q307*Ramure*Pc/MaxiM</f>
        <v>2.3089724830612059E-3</v>
      </c>
      <c r="Q307" s="305">
        <f t="shared" si="101"/>
        <v>0.7</v>
      </c>
      <c r="R307" s="177">
        <f t="shared" si="102"/>
        <v>0.99766440418373414</v>
      </c>
      <c r="S307" s="810">
        <f t="shared" si="103"/>
        <v>-1</v>
      </c>
      <c r="T307" s="176">
        <f t="shared" si="104"/>
        <v>5</v>
      </c>
      <c r="U307" s="251">
        <f t="shared" si="105"/>
        <v>-2.3355958162659118E-3</v>
      </c>
      <c r="V307" s="383">
        <f t="shared" si="106"/>
        <v>29.999015609974446</v>
      </c>
      <c r="W307" s="402"/>
      <c r="X307" s="157">
        <f t="shared" si="107"/>
        <v>44489</v>
      </c>
      <c r="Y307" s="385">
        <f t="shared" si="108"/>
        <v>21.811161204996896</v>
      </c>
      <c r="Z307" s="385">
        <f t="shared" si="109"/>
        <v>22.416322513218347</v>
      </c>
      <c r="AA307" s="386">
        <f t="shared" si="110"/>
        <v>25.844424306057931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0.13264376688151014</v>
      </c>
      <c r="AD307" s="231">
        <f>(INDEX(Models!$BJ307:$BT307,,AH307)*(1-AF307)+INDEX(Models!$BJ307:$BT307,,AH307+1)*AF307-ERP_i)*AE307*Ramure*Pc/MaxiM</f>
        <v>2.3089724830612059E-3</v>
      </c>
      <c r="AE307" s="305">
        <f t="shared" si="112"/>
        <v>0.7</v>
      </c>
      <c r="AF307" s="177">
        <f t="shared" si="113"/>
        <v>0.99766440418373414</v>
      </c>
      <c r="AG307" s="810">
        <f t="shared" si="119"/>
        <v>-1</v>
      </c>
      <c r="AH307" s="176">
        <f t="shared" si="114"/>
        <v>5</v>
      </c>
      <c r="AI307" s="225">
        <f t="shared" si="115"/>
        <v>-2.3355958162659118E-3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6">
        <v>14.756</v>
      </c>
      <c r="C308" s="390"/>
      <c r="D308" s="393">
        <f t="shared" si="98"/>
        <v>15.16576534823936</v>
      </c>
      <c r="E308" s="385">
        <f t="shared" si="120"/>
        <v>16.011393707705739</v>
      </c>
      <c r="F308" s="385">
        <f t="shared" si="99"/>
        <v>16.022205374768905</v>
      </c>
      <c r="G308" s="110">
        <f t="shared" si="121"/>
        <v>0.49676541595538481</v>
      </c>
      <c r="H308" s="414" t="b">
        <f>Wh_hp&gt;='2020'!Maxi_hp</f>
        <v>0</v>
      </c>
      <c r="I308" s="380">
        <f>IF(H308,Wh_hp,'2020'!Maxi_hp)</f>
        <v>23.519569000870998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2.7019101168338389E-2</v>
      </c>
      <c r="M308" s="844"/>
      <c r="N308" s="844"/>
      <c r="O308" s="48">
        <f>IF(t&lt;Tnet,'2020'!Resal+('2020'!Salim-'2020'!Resal)*(1-EXP(('2020'!Tnet-t)/('2020'!Tau_j))),Resal+(Salim-Resal)*(1-EXP((Tnet-t)/(Tau_j))))*Salcycl</f>
        <v>5.2814163145548425E-2</v>
      </c>
      <c r="P308" s="169">
        <f>(INDEX(Models!$BJ308:$BT308,,T308)*(1-R308)+INDEX(Models!$BJ308:$BT308,,T308+1)*R308-ERP_i)*Q308*Ramure*Pc/MaxiM</f>
        <v>2.39022255753089E-3</v>
      </c>
      <c r="Q308" s="305">
        <f t="shared" si="101"/>
        <v>0.7</v>
      </c>
      <c r="R308" s="177">
        <f t="shared" si="102"/>
        <v>0.99773488513996234</v>
      </c>
      <c r="S308" s="810">
        <f t="shared" si="103"/>
        <v>-1</v>
      </c>
      <c r="T308" s="176">
        <f t="shared" si="104"/>
        <v>5</v>
      </c>
      <c r="U308" s="251">
        <f t="shared" si="105"/>
        <v>-2.2651148600376647E-3</v>
      </c>
      <c r="V308" s="383">
        <f t="shared" si="106"/>
        <v>29.653171398940589</v>
      </c>
      <c r="W308" s="402"/>
      <c r="X308" s="157">
        <f t="shared" si="107"/>
        <v>44490</v>
      </c>
      <c r="Y308" s="385">
        <f t="shared" si="108"/>
        <v>13.512409500371115</v>
      </c>
      <c r="Z308" s="385">
        <f t="shared" si="109"/>
        <v>13.88764107969291</v>
      </c>
      <c r="AA308" s="386">
        <f t="shared" si="110"/>
        <v>16.011393707705739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0.13264008535314067</v>
      </c>
      <c r="AD308" s="231">
        <f>(INDEX(Models!$BJ308:$BT308,,AH308)*(1-AF308)+INDEX(Models!$BJ308:$BT308,,AH308+1)*AF308-ERP_i)*AE308*Ramure*Pc/MaxiM</f>
        <v>2.39022255753089E-3</v>
      </c>
      <c r="AE308" s="305">
        <f t="shared" si="112"/>
        <v>0.7</v>
      </c>
      <c r="AF308" s="177">
        <f t="shared" si="113"/>
        <v>0.99773488513996234</v>
      </c>
      <c r="AG308" s="810">
        <f t="shared" si="119"/>
        <v>-1</v>
      </c>
      <c r="AH308" s="176">
        <f t="shared" si="114"/>
        <v>5</v>
      </c>
      <c r="AI308" s="225">
        <f t="shared" si="115"/>
        <v>-2.2651148600376647E-3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6">
        <v>11.656000000000001</v>
      </c>
      <c r="C309" s="390"/>
      <c r="D309" s="393">
        <f t="shared" si="98"/>
        <v>11.979958982193327</v>
      </c>
      <c r="E309" s="385">
        <f t="shared" si="120"/>
        <v>12.649735964928464</v>
      </c>
      <c r="F309" s="385">
        <f t="shared" si="99"/>
        <v>12.654094032131832</v>
      </c>
      <c r="G309" s="110">
        <f t="shared" si="121"/>
        <v>0.39683556353448057</v>
      </c>
      <c r="H309" s="414" t="b">
        <f>Wh_hp&gt;='2020'!Maxi_hp</f>
        <v>0</v>
      </c>
      <c r="I309" s="380">
        <f>IF(H309,Wh_hp,'2020'!Maxi_hp)</f>
        <v>24.044863556817344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2.7041743855287792E-2</v>
      </c>
      <c r="M309" s="844"/>
      <c r="N309" s="844"/>
      <c r="O309" s="48">
        <f>IF(t&lt;Tnet,'2020'!Resal+('2020'!Salim-'2020'!Resal)*(1-EXP(('2020'!Tnet-t)/('2020'!Tau_j))),Resal+(Salim-Resal)*(1-EXP((Tnet-t)/(Tau_j))))*Salcycl</f>
        <v>5.2947902200654685E-2</v>
      </c>
      <c r="P309" s="169">
        <f>(INDEX(Models!$BJ309:$BT309,,T309)*(1-R309)+INDEX(Models!$BJ309:$BT309,,T309+1)*R309-ERP_i)*Q309*Ramure*Pc/MaxiM</f>
        <v>2.4680476001090949E-3</v>
      </c>
      <c r="Q309" s="305">
        <f t="shared" si="101"/>
        <v>0.7</v>
      </c>
      <c r="R309" s="177">
        <f t="shared" si="102"/>
        <v>0.99780255175263899</v>
      </c>
      <c r="S309" s="810">
        <f t="shared" si="103"/>
        <v>-1</v>
      </c>
      <c r="T309" s="176">
        <f t="shared" si="104"/>
        <v>5</v>
      </c>
      <c r="U309" s="251">
        <f t="shared" si="105"/>
        <v>-2.1974482473609558E-3</v>
      </c>
      <c r="V309" s="383">
        <f t="shared" si="106"/>
        <v>29.309969422771992</v>
      </c>
      <c r="W309" s="402"/>
      <c r="X309" s="157">
        <f t="shared" si="107"/>
        <v>44491</v>
      </c>
      <c r="Y309" s="385">
        <f t="shared" si="108"/>
        <v>10.675239251360221</v>
      </c>
      <c r="Z309" s="385">
        <f t="shared" si="109"/>
        <v>10.971939632497909</v>
      </c>
      <c r="AA309" s="386">
        <f t="shared" si="110"/>
        <v>12.649735964928464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0.13263488954095667</v>
      </c>
      <c r="AD309" s="231">
        <f>(INDEX(Models!$BJ309:$BT309,,AH309)*(1-AF309)+INDEX(Models!$BJ309:$BT309,,AH309+1)*AF309-ERP_i)*AE309*Ramure*Pc/MaxiM</f>
        <v>2.4680476001090949E-3</v>
      </c>
      <c r="AE309" s="305">
        <f t="shared" si="112"/>
        <v>0.7</v>
      </c>
      <c r="AF309" s="177">
        <f t="shared" si="113"/>
        <v>0.99780255175263899</v>
      </c>
      <c r="AG309" s="810">
        <f t="shared" si="119"/>
        <v>-1</v>
      </c>
      <c r="AH309" s="176">
        <f t="shared" si="114"/>
        <v>5</v>
      </c>
      <c r="AI309" s="225">
        <f t="shared" si="115"/>
        <v>-2.1974482473609558E-3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6">
        <v>30.204000000000001</v>
      </c>
      <c r="C310" s="390"/>
      <c r="D310" s="393">
        <f t="shared" si="98"/>
        <v>31.044191995705123</v>
      </c>
      <c r="E310" s="385">
        <f t="shared" si="120"/>
        <v>32.784413122329099</v>
      </c>
      <c r="F310" s="385">
        <f t="shared" si="99"/>
        <v>32.867779364445255</v>
      </c>
      <c r="G310" s="110">
        <f t="shared" si="121"/>
        <v>1.042610985218579</v>
      </c>
      <c r="H310" s="414" t="b">
        <f>Wh_hp&gt;='2020'!Maxi_hp</f>
        <v>1</v>
      </c>
      <c r="I310" s="380">
        <f>IF(H310,Wh_hp,'2020'!Maxi_hp)</f>
        <v>32.867779364445255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2.7064386015308806E-2</v>
      </c>
      <c r="M310" s="844"/>
      <c r="N310" s="844"/>
      <c r="O310" s="48">
        <f>IF(t&lt;Tnet,'2020'!Resal+('2020'!Salim-'2020'!Resal)*(1-EXP(('2020'!Tnet-t)/('2020'!Tau_j))),Resal+(Salim-Resal)*(1-EXP((Tnet-t)/(Tau_j))))*Salcycl</f>
        <v>5.308074663806403E-2</v>
      </c>
      <c r="P310" s="169">
        <f>(INDEX(Models!$BJ310:$BT310,,T310)*(1-R310)+INDEX(Models!$BJ310:$BT310,,T310+1)*R310-ERP_i)*Q310*Ramure*Pc/MaxiM</f>
        <v>2.5364123688361058E-3</v>
      </c>
      <c r="Q310" s="305">
        <f t="shared" si="101"/>
        <v>0.7</v>
      </c>
      <c r="R310" s="177">
        <f t="shared" si="102"/>
        <v>0.99786751549809649</v>
      </c>
      <c r="S310" s="810">
        <f t="shared" si="103"/>
        <v>-1</v>
      </c>
      <c r="T310" s="176">
        <f t="shared" si="104"/>
        <v>5</v>
      </c>
      <c r="U310" s="251">
        <f t="shared" si="105"/>
        <v>-2.1324845019035088E-3</v>
      </c>
      <c r="V310" s="383">
        <f t="shared" si="106"/>
        <v>28.969577750677413</v>
      </c>
      <c r="W310" s="402"/>
      <c r="X310" s="157">
        <f t="shared" si="107"/>
        <v>44492</v>
      </c>
      <c r="Y310" s="385">
        <f t="shared" si="108"/>
        <v>27.666662934124904</v>
      </c>
      <c r="Z310" s="385">
        <f t="shared" si="109"/>
        <v>28.436273209092569</v>
      </c>
      <c r="AA310" s="386">
        <f t="shared" si="110"/>
        <v>32.784413122329099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0.13262826749444112</v>
      </c>
      <c r="AD310" s="231">
        <f>(INDEX(Models!$BJ310:$BT310,,AH310)*(1-AF310)+INDEX(Models!$BJ310:$BT310,,AH310+1)*AF310-ERP_i)*AE310*Ramure*Pc/MaxiM</f>
        <v>2.5364123688361058E-3</v>
      </c>
      <c r="AE310" s="305">
        <f t="shared" si="112"/>
        <v>0.7</v>
      </c>
      <c r="AF310" s="177">
        <f t="shared" si="113"/>
        <v>0.99786751549809649</v>
      </c>
      <c r="AG310" s="810">
        <f t="shared" si="119"/>
        <v>-1</v>
      </c>
      <c r="AH310" s="176">
        <f t="shared" si="114"/>
        <v>5</v>
      </c>
      <c r="AI310" s="225">
        <f t="shared" si="115"/>
        <v>-2.1324845019035088E-3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6">
        <v>29.423000000000002</v>
      </c>
      <c r="C311" s="390"/>
      <c r="D311" s="393">
        <f t="shared" si="98"/>
        <v>30.242170508717681</v>
      </c>
      <c r="E311" s="385">
        <f t="shared" si="120"/>
        <v>31.94188546789918</v>
      </c>
      <c r="F311" s="385">
        <f t="shared" si="99"/>
        <v>32.024891553571138</v>
      </c>
      <c r="G311" s="110">
        <f t="shared" si="121"/>
        <v>1.0276235430561331</v>
      </c>
      <c r="H311" s="414" t="b">
        <f>Wh_hp&gt;='2020'!Maxi_hp</f>
        <v>1</v>
      </c>
      <c r="I311" s="380">
        <f>IF(H311,Wh_hp,'2020'!Maxi_hp)</f>
        <v>32.024891553571138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2.7087027648413753E-2</v>
      </c>
      <c r="M311" s="844"/>
      <c r="N311" s="844"/>
      <c r="O311" s="48">
        <f>IF(t&lt;Tnet,'2020'!Resal+('2020'!Salim-'2020'!Resal)*(1-EXP(('2020'!Tnet-t)/('2020'!Tau_j))),Resal+(Salim-Resal)*(1-EXP((Tnet-t)/(Tau_j))))*Salcycl</f>
        <v>5.321273100455113E-2</v>
      </c>
      <c r="P311" s="169">
        <f>(INDEX(Models!$BJ311:$BT311,,T311)*(1-R311)+INDEX(Models!$BJ311:$BT311,,T311+1)*R311-ERP_i)*Q311*Ramure*Pc/MaxiM</f>
        <v>2.5919240205108393E-3</v>
      </c>
      <c r="Q311" s="305">
        <f t="shared" si="101"/>
        <v>0.7</v>
      </c>
      <c r="R311" s="177">
        <f t="shared" si="102"/>
        <v>0.9979298835080106</v>
      </c>
      <c r="S311" s="810">
        <f t="shared" si="103"/>
        <v>-1</v>
      </c>
      <c r="T311" s="176">
        <f t="shared" si="104"/>
        <v>5</v>
      </c>
      <c r="U311" s="251">
        <f t="shared" si="105"/>
        <v>-2.0701164919893489E-3</v>
      </c>
      <c r="V311" s="383">
        <f t="shared" si="106"/>
        <v>28.632080491749491</v>
      </c>
      <c r="W311" s="402"/>
      <c r="X311" s="157">
        <f t="shared" si="107"/>
        <v>44493</v>
      </c>
      <c r="Y311" s="385">
        <f t="shared" si="108"/>
        <v>26.955276384476488</v>
      </c>
      <c r="Z311" s="385">
        <f t="shared" si="109"/>
        <v>27.705742600310945</v>
      </c>
      <c r="AA311" s="386">
        <f t="shared" si="110"/>
        <v>31.94188546789918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0.13262031359562215</v>
      </c>
      <c r="AD311" s="231">
        <f>(INDEX(Models!$BJ311:$BT311,,AH311)*(1-AF311)+INDEX(Models!$BJ311:$BT311,,AH311+1)*AF311-ERP_i)*AE311*Ramure*Pc/MaxiM</f>
        <v>2.5919240205108393E-3</v>
      </c>
      <c r="AE311" s="305">
        <f t="shared" si="112"/>
        <v>0.7</v>
      </c>
      <c r="AF311" s="177">
        <f t="shared" si="113"/>
        <v>0.9979298835080106</v>
      </c>
      <c r="AG311" s="810">
        <f t="shared" si="119"/>
        <v>-1</v>
      </c>
      <c r="AH311" s="176">
        <f t="shared" si="114"/>
        <v>5</v>
      </c>
      <c r="AI311" s="225">
        <f t="shared" si="115"/>
        <v>-2.0701164919893489E-3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6">
        <v>26.969000000000001</v>
      </c>
      <c r="C312" s="390"/>
      <c r="D312" s="393">
        <f t="shared" si="98"/>
        <v>27.720493393615399</v>
      </c>
      <c r="E312" s="385">
        <f t="shared" si="120"/>
        <v>29.282537955940111</v>
      </c>
      <c r="F312" s="385">
        <f t="shared" si="99"/>
        <v>29.354681300290181</v>
      </c>
      <c r="G312" s="110">
        <f t="shared" si="121"/>
        <v>0.95288465301345038</v>
      </c>
      <c r="H312" s="414" t="b">
        <f>Wh_hp&gt;='2020'!Maxi_hp</f>
        <v>0</v>
      </c>
      <c r="I312" s="380">
        <f>IF(H312,Wh_hp,'2020'!Maxi_hp)</f>
        <v>30.314275892312452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2.7109668754614735E-2</v>
      </c>
      <c r="M312" s="844"/>
      <c r="N312" s="844"/>
      <c r="O312" s="48">
        <f>IF(t&lt;Tnet,'2020'!Resal+('2020'!Salim-'2020'!Resal)*(1-EXP(('2020'!Tnet-t)/('2020'!Tau_j))),Resal+(Salim-Resal)*(1-EXP((Tnet-t)/(Tau_j))))*Salcycl</f>
        <v>5.3343892687001203E-2</v>
      </c>
      <c r="P312" s="169">
        <f>(INDEX(Models!$BJ312:$BT312,,T312)*(1-R312)+INDEX(Models!$BJ312:$BT312,,T312+1)*R312-ERP_i)*Q312*Ramure*Pc/MaxiM</f>
        <v>2.6343180920329525E-3</v>
      </c>
      <c r="Q312" s="305">
        <f t="shared" si="101"/>
        <v>0.7</v>
      </c>
      <c r="R312" s="177">
        <f t="shared" si="102"/>
        <v>0.99798975873313722</v>
      </c>
      <c r="S312" s="810">
        <f t="shared" si="103"/>
        <v>-1</v>
      </c>
      <c r="T312" s="176">
        <f t="shared" si="104"/>
        <v>5</v>
      </c>
      <c r="U312" s="251">
        <f t="shared" si="105"/>
        <v>-2.0102412668627778E-3</v>
      </c>
      <c r="V312" s="383">
        <f t="shared" si="106"/>
        <v>28.297468577363272</v>
      </c>
      <c r="W312" s="402"/>
      <c r="X312" s="157">
        <f t="shared" si="107"/>
        <v>44494</v>
      </c>
      <c r="Y312" s="385">
        <f t="shared" si="108"/>
        <v>24.710779659413767</v>
      </c>
      <c r="Z312" s="385">
        <f t="shared" si="109"/>
        <v>25.399347558302686</v>
      </c>
      <c r="AA312" s="386">
        <f t="shared" si="110"/>
        <v>29.282537955940111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0.1326111282936013</v>
      </c>
      <c r="AD312" s="231">
        <f>(INDEX(Models!$BJ312:$BT312,,AH312)*(1-AF312)+INDEX(Models!$BJ312:$BT312,,AH312+1)*AF312-ERP_i)*AE312*Ramure*Pc/MaxiM</f>
        <v>2.6343180920329525E-3</v>
      </c>
      <c r="AE312" s="305">
        <f t="shared" si="112"/>
        <v>0.7</v>
      </c>
      <c r="AF312" s="177">
        <f t="shared" si="113"/>
        <v>0.99798975873313722</v>
      </c>
      <c r="AG312" s="810">
        <f t="shared" si="119"/>
        <v>-1</v>
      </c>
      <c r="AH312" s="176">
        <f t="shared" si="114"/>
        <v>5</v>
      </c>
      <c r="AI312" s="225">
        <f t="shared" si="115"/>
        <v>-2.0102412668627778E-3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6">
        <v>23.263999999999999</v>
      </c>
      <c r="C313" s="390"/>
      <c r="D313" s="393">
        <f t="shared" si="98"/>
        <v>23.912809751213192</v>
      </c>
      <c r="E313" s="385">
        <f t="shared" si="120"/>
        <v>25.263771537516043</v>
      </c>
      <c r="F313" s="385">
        <f t="shared" si="99"/>
        <v>25.314999980941199</v>
      </c>
      <c r="G313" s="110">
        <f t="shared" si="121"/>
        <v>0.8313419950816584</v>
      </c>
      <c r="H313" s="414" t="b">
        <f>Wh_hp&gt;='2020'!Maxi_hp</f>
        <v>0</v>
      </c>
      <c r="I313" s="380">
        <f>IF(H313,Wh_hp,'2020'!Maxi_hp)</f>
        <v>30.638103345226707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2.7132309333924076E-2</v>
      </c>
      <c r="M313" s="844"/>
      <c r="N313" s="844"/>
      <c r="O313" s="48">
        <f>IF(t&lt;Tnet,'2020'!Resal+('2020'!Salim-'2020'!Resal)*(1-EXP(('2020'!Tnet-t)/('2020'!Tau_j))),Resal+(Salim-Resal)*(1-EXP((Tnet-t)/(Tau_j))))*Salcycl</f>
        <v>5.3474271816332283E-2</v>
      </c>
      <c r="P313" s="169">
        <f>(INDEX(Models!$BJ313:$BT313,,T313)*(1-R313)+INDEX(Models!$BJ313:$BT313,,T313+1)*R313-ERP_i)*Q313*Ramure*Pc/MaxiM</f>
        <v>2.6633088295676863E-3</v>
      </c>
      <c r="Q313" s="305">
        <f t="shared" si="101"/>
        <v>0.7</v>
      </c>
      <c r="R313" s="177">
        <f t="shared" si="102"/>
        <v>0.99804724010132073</v>
      </c>
      <c r="S313" s="810">
        <f t="shared" si="103"/>
        <v>-1</v>
      </c>
      <c r="T313" s="176">
        <f t="shared" si="104"/>
        <v>5</v>
      </c>
      <c r="U313" s="251">
        <f t="shared" si="105"/>
        <v>-1.9527598986792127E-3</v>
      </c>
      <c r="V313" s="383">
        <f t="shared" si="106"/>
        <v>27.965733360806418</v>
      </c>
      <c r="W313" s="402"/>
      <c r="X313" s="157">
        <f t="shared" si="107"/>
        <v>44495</v>
      </c>
      <c r="Y313" s="385">
        <f t="shared" si="108"/>
        <v>21.3192034552766</v>
      </c>
      <c r="Z313" s="385">
        <f t="shared" si="109"/>
        <v>21.913774771038355</v>
      </c>
      <c r="AA313" s="386">
        <f t="shared" si="110"/>
        <v>25.263771537516043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0.13260081779567356</v>
      </c>
      <c r="AD313" s="231">
        <f>(INDEX(Models!$BJ313:$BT313,,AH313)*(1-AF313)+INDEX(Models!$BJ313:$BT313,,AH313+1)*AF313-ERP_i)*AE313*Ramure*Pc/MaxiM</f>
        <v>2.6633088295676863E-3</v>
      </c>
      <c r="AE313" s="305">
        <f t="shared" si="112"/>
        <v>0.7</v>
      </c>
      <c r="AF313" s="177">
        <f t="shared" si="113"/>
        <v>0.99804724010132073</v>
      </c>
      <c r="AG313" s="810">
        <f t="shared" si="119"/>
        <v>-1</v>
      </c>
      <c r="AH313" s="176">
        <f t="shared" si="114"/>
        <v>5</v>
      </c>
      <c r="AI313" s="225">
        <f t="shared" si="115"/>
        <v>-1.9527598986792127E-3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6">
        <v>26.189</v>
      </c>
      <c r="C314" s="390"/>
      <c r="D314" s="393">
        <f t="shared" si="98"/>
        <v>26.920011551151589</v>
      </c>
      <c r="E314" s="385">
        <f t="shared" si="120"/>
        <v>28.444762048762755</v>
      </c>
      <c r="F314" s="385">
        <f t="shared" si="99"/>
        <v>28.51542722480329</v>
      </c>
      <c r="G314" s="110">
        <f t="shared" si="121"/>
        <v>0.94742062248229642</v>
      </c>
      <c r="H314" s="414" t="b">
        <f>Wh_hp&gt;='2020'!Maxi_hp</f>
        <v>1</v>
      </c>
      <c r="I314" s="380">
        <f>IF(H314,Wh_hp,'2020'!Maxi_hp)</f>
        <v>28.51542722480329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2.7154949386354099E-2</v>
      </c>
      <c r="M314" s="844"/>
      <c r="N314" s="844"/>
      <c r="O314" s="48">
        <f>IF(t&lt;Tnet,'2020'!Resal+('2020'!Salim-'2020'!Resal)*(1-EXP(('2020'!Tnet-t)/('2020'!Tau_j))),Resal+(Salim-Resal)*(1-EXP((Tnet-t)/(Tau_j))))*Salcycl</f>
        <v>5.360391115233417E-2</v>
      </c>
      <c r="P314" s="169">
        <f>(INDEX(Models!$BJ314:$BT314,,T314)*(1-R314)+INDEX(Models!$BJ314:$BT314,,T314+1)*R314-ERP_i)*Q314*Ramure*Pc/MaxiM</f>
        <v>2.6786091230988234E-3</v>
      </c>
      <c r="Q314" s="305">
        <f t="shared" si="101"/>
        <v>0.7</v>
      </c>
      <c r="R314" s="177">
        <f t="shared" si="102"/>
        <v>0.99810242266994265</v>
      </c>
      <c r="S314" s="810">
        <f t="shared" si="103"/>
        <v>-1</v>
      </c>
      <c r="T314" s="176">
        <f t="shared" si="104"/>
        <v>5</v>
      </c>
      <c r="U314" s="251">
        <f t="shared" si="105"/>
        <v>-1.897577330057354E-3</v>
      </c>
      <c r="V314" s="383">
        <f t="shared" si="106"/>
        <v>27.636866043236431</v>
      </c>
      <c r="W314" s="402"/>
      <c r="X314" s="157">
        <f t="shared" si="107"/>
        <v>44496</v>
      </c>
      <c r="Y314" s="385">
        <f t="shared" si="108"/>
        <v>24.003283632249264</v>
      </c>
      <c r="Z314" s="385">
        <f t="shared" si="109"/>
        <v>24.673285449834591</v>
      </c>
      <c r="AA314" s="386">
        <f t="shared" si="110"/>
        <v>28.444762048762755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0.13258949371637332</v>
      </c>
      <c r="AD314" s="231">
        <f>(INDEX(Models!$BJ314:$BT314,,AH314)*(1-AF314)+INDEX(Models!$BJ314:$BT314,,AH314+1)*AF314-ERP_i)*AE314*Ramure*Pc/MaxiM</f>
        <v>2.6786091230988234E-3</v>
      </c>
      <c r="AE314" s="305">
        <f t="shared" si="112"/>
        <v>0.7</v>
      </c>
      <c r="AF314" s="177">
        <f t="shared" si="113"/>
        <v>0.99810242266994265</v>
      </c>
      <c r="AG314" s="810">
        <f t="shared" si="119"/>
        <v>-1</v>
      </c>
      <c r="AH314" s="176">
        <f t="shared" si="114"/>
        <v>5</v>
      </c>
      <c r="AI314" s="225">
        <f t="shared" si="115"/>
        <v>-1.897577330057354E-3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6">
        <v>27.173000000000002</v>
      </c>
      <c r="C315" s="390"/>
      <c r="D315" s="393">
        <f t="shared" si="98"/>
        <v>27.93212788920799</v>
      </c>
      <c r="E315" s="385">
        <f t="shared" si="120"/>
        <v>29.51822650171939</v>
      </c>
      <c r="F315" s="385">
        <f t="shared" si="99"/>
        <v>29.596972349647235</v>
      </c>
      <c r="G315" s="110">
        <f t="shared" si="121"/>
        <v>0.99493299614448372</v>
      </c>
      <c r="H315" s="414" t="b">
        <f>Wh_hp&gt;='2020'!Maxi_hp</f>
        <v>1</v>
      </c>
      <c r="I315" s="380">
        <f>IF(H315,Wh_hp,'2020'!Maxi_hp)</f>
        <v>29.596972349647235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2.7177588911917017E-2</v>
      </c>
      <c r="M315" s="844"/>
      <c r="N315" s="844"/>
      <c r="O315" s="48">
        <f>IF(t&lt;Tnet,'2020'!Resal+('2020'!Salim-'2020'!Resal)*(1-EXP(('2020'!Tnet-t)/('2020'!Tau_j))),Resal+(Salim-Resal)*(1-EXP((Tnet-t)/(Tau_j))))*Salcycl</f>
        <v>5.3732855949831938E-2</v>
      </c>
      <c r="P315" s="169">
        <f>(INDEX(Models!$BJ315:$BT315,,T315)*(1-R315)+INDEX(Models!$BJ315:$BT315,,T315+1)*R315-ERP_i)*Q315*Ramure*Pc/MaxiM</f>
        <v>2.679929911979179E-3</v>
      </c>
      <c r="Q315" s="305">
        <f t="shared" si="101"/>
        <v>0.7</v>
      </c>
      <c r="R315" s="177">
        <f t="shared" si="102"/>
        <v>0.99815539777296824</v>
      </c>
      <c r="S315" s="810">
        <f t="shared" si="103"/>
        <v>-1</v>
      </c>
      <c r="T315" s="176">
        <f t="shared" si="104"/>
        <v>5</v>
      </c>
      <c r="U315" s="251">
        <f t="shared" si="105"/>
        <v>-1.8446022270316997E-3</v>
      </c>
      <c r="V315" s="383">
        <f t="shared" si="106"/>
        <v>27.310857700260801</v>
      </c>
      <c r="W315" s="402"/>
      <c r="X315" s="157">
        <f t="shared" si="107"/>
        <v>44497</v>
      </c>
      <c r="Y315" s="385">
        <f t="shared" si="108"/>
        <v>24.908904337959068</v>
      </c>
      <c r="Z315" s="385">
        <f t="shared" si="109"/>
        <v>25.60478053758953</v>
      </c>
      <c r="AA315" s="386">
        <f t="shared" si="110"/>
        <v>29.51822650171939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0.1325772726861455</v>
      </c>
      <c r="AD315" s="231">
        <f>(INDEX(Models!$BJ315:$BT315,,AH315)*(1-AF315)+INDEX(Models!$BJ315:$BT315,,AH315+1)*AF315-ERP_i)*AE315*Ramure*Pc/MaxiM</f>
        <v>2.679929911979179E-3</v>
      </c>
      <c r="AE315" s="305">
        <f t="shared" si="112"/>
        <v>0.7</v>
      </c>
      <c r="AF315" s="177">
        <f t="shared" si="113"/>
        <v>0.99815539777296824</v>
      </c>
      <c r="AG315" s="810">
        <f t="shared" si="119"/>
        <v>-1</v>
      </c>
      <c r="AH315" s="176">
        <f t="shared" si="114"/>
        <v>5</v>
      </c>
      <c r="AI315" s="225">
        <f t="shared" si="115"/>
        <v>-1.8446022270316997E-3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6">
        <v>15.242000000000001</v>
      </c>
      <c r="C316" s="390"/>
      <c r="D316" s="393">
        <f t="shared" si="98"/>
        <v>15.668178012894991</v>
      </c>
      <c r="E316" s="385">
        <f t="shared" si="120"/>
        <v>16.560125478342979</v>
      </c>
      <c r="F316" s="385">
        <f t="shared" si="99"/>
        <v>16.576848005550485</v>
      </c>
      <c r="G316" s="110">
        <f t="shared" si="121"/>
        <v>0.56383836755001959</v>
      </c>
      <c r="H316" s="414" t="b">
        <f>Wh_hp&gt;='2020'!Maxi_hp</f>
        <v>0</v>
      </c>
      <c r="I316" s="380">
        <f>IF(H316,Wh_hp,'2020'!Maxi_hp)</f>
        <v>26.808132600527212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2.7200227910625152E-2</v>
      </c>
      <c r="M316" s="844"/>
      <c r="N316" s="844"/>
      <c r="O316" s="48">
        <f>IF(t&lt;Tnet,'2020'!Resal+('2020'!Salim-'2020'!Resal)*(1-EXP(('2020'!Tnet-t)/('2020'!Tau_j))),Resal+(Salim-Resal)*(1-EXP((Tnet-t)/(Tau_j))))*Salcycl</f>
        <v>5.3861153806742494E-2</v>
      </c>
      <c r="P316" s="169">
        <f>(INDEX(Models!$BJ316:$BT316,,T316)*(1-R316)+INDEX(Models!$BJ316:$BT316,,T316+1)*R316-ERP_i)*Q316*Ramure*Pc/MaxiM</f>
        <v>2.6669794832399432E-3</v>
      </c>
      <c r="Q316" s="305">
        <f t="shared" si="101"/>
        <v>0.7</v>
      </c>
      <c r="R316" s="177">
        <f t="shared" si="102"/>
        <v>0.99820625316275724</v>
      </c>
      <c r="S316" s="810">
        <f t="shared" si="103"/>
        <v>-1</v>
      </c>
      <c r="T316" s="176">
        <f t="shared" si="104"/>
        <v>5</v>
      </c>
      <c r="U316" s="251">
        <f t="shared" si="105"/>
        <v>-1.7937468372427601E-3</v>
      </c>
      <c r="V316" s="383">
        <f t="shared" si="106"/>
        <v>26.987699313958171</v>
      </c>
      <c r="W316" s="402"/>
      <c r="X316" s="157">
        <f t="shared" si="107"/>
        <v>44498</v>
      </c>
      <c r="Y316" s="385">
        <f t="shared" si="108"/>
        <v>13.974117392597671</v>
      </c>
      <c r="Z316" s="385">
        <f t="shared" si="109"/>
        <v>14.364844435133991</v>
      </c>
      <c r="AA316" s="386">
        <f t="shared" si="110"/>
        <v>16.560125478342979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0.13256427592169728</v>
      </c>
      <c r="AD316" s="231">
        <f>(INDEX(Models!$BJ316:$BT316,,AH316)*(1-AF316)+INDEX(Models!$BJ316:$BT316,,AH316+1)*AF316-ERP_i)*AE316*Ramure*Pc/MaxiM</f>
        <v>2.6669794832399432E-3</v>
      </c>
      <c r="AE316" s="305">
        <f t="shared" si="112"/>
        <v>0.7</v>
      </c>
      <c r="AF316" s="177">
        <f t="shared" si="113"/>
        <v>0.99820625316275724</v>
      </c>
      <c r="AG316" s="810">
        <f t="shared" si="119"/>
        <v>-1</v>
      </c>
      <c r="AH316" s="176">
        <f t="shared" si="114"/>
        <v>5</v>
      </c>
      <c r="AI316" s="225">
        <f t="shared" si="115"/>
        <v>-1.7937468372427601E-3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6">
        <v>10.016</v>
      </c>
      <c r="C317" s="390"/>
      <c r="D317" s="393">
        <f t="shared" si="98"/>
        <v>10.296294653589417</v>
      </c>
      <c r="E317" s="385">
        <f t="shared" si="120"/>
        <v>10.883904172281552</v>
      </c>
      <c r="F317" s="385">
        <f t="shared" si="99"/>
        <v>10.88700798745055</v>
      </c>
      <c r="G317" s="110">
        <f t="shared" si="121"/>
        <v>0.37472067330514136</v>
      </c>
      <c r="H317" s="414" t="b">
        <f>Wh_hp&gt;='2020'!Maxi_hp</f>
        <v>0</v>
      </c>
      <c r="I317" s="380">
        <f>IF(H317,Wh_hp,'2020'!Maxi_hp)</f>
        <v>25.646872317786048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2.7222866382490607E-2</v>
      </c>
      <c r="M317" s="844"/>
      <c r="N317" s="844"/>
      <c r="O317" s="48">
        <f>IF(t&lt;Tnet,'2020'!Resal+('2020'!Salim-'2020'!Resal)*(1-EXP(('2020'!Tnet-t)/('2020'!Tau_j))),Resal+(Salim-Resal)*(1-EXP((Tnet-t)/(Tau_j))))*Salcycl</f>
        <v>5.3988854494752193E-2</v>
      </c>
      <c r="P317" s="169">
        <f>(INDEX(Models!$BJ317:$BT317,,T317)*(1-R317)+INDEX(Models!$BJ317:$BT317,,T317+1)*R317-ERP_i)*Q317*Ramure*Pc/MaxiM</f>
        <v>2.639570263188788E-3</v>
      </c>
      <c r="Q317" s="305">
        <f t="shared" si="101"/>
        <v>0.7</v>
      </c>
      <c r="R317" s="177">
        <f t="shared" si="102"/>
        <v>0.99825507314679141</v>
      </c>
      <c r="S317" s="810">
        <f t="shared" si="103"/>
        <v>-1</v>
      </c>
      <c r="T317" s="176">
        <f t="shared" si="104"/>
        <v>5</v>
      </c>
      <c r="U317" s="251">
        <f t="shared" si="105"/>
        <v>-1.7449268532085949E-3</v>
      </c>
      <c r="V317" s="383">
        <f t="shared" si="106"/>
        <v>26.666291847331038</v>
      </c>
      <c r="W317" s="402"/>
      <c r="X317" s="157">
        <f t="shared" si="107"/>
        <v>44499</v>
      </c>
      <c r="Y317" s="385">
        <f t="shared" si="108"/>
        <v>9.1842183293678232</v>
      </c>
      <c r="Z317" s="385">
        <f t="shared" si="109"/>
        <v>9.4412358308773801</v>
      </c>
      <c r="AA317" s="386">
        <f t="shared" si="110"/>
        <v>10.883904172281552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0.13255062876042861</v>
      </c>
      <c r="AD317" s="231">
        <f>(INDEX(Models!$BJ317:$BT317,,AH317)*(1-AF317)+INDEX(Models!$BJ317:$BT317,,AH317+1)*AF317-ERP_i)*AE317*Ramure*Pc/MaxiM</f>
        <v>2.639570263188788E-3</v>
      </c>
      <c r="AE317" s="305">
        <f t="shared" si="112"/>
        <v>0.7</v>
      </c>
      <c r="AF317" s="177">
        <f t="shared" si="113"/>
        <v>0.99825507314679141</v>
      </c>
      <c r="AG317" s="810">
        <f t="shared" si="119"/>
        <v>-1</v>
      </c>
      <c r="AH317" s="176">
        <f t="shared" si="114"/>
        <v>5</v>
      </c>
      <c r="AI317" s="225">
        <f t="shared" si="115"/>
        <v>-1.7449268532085949E-3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6">
        <v>16.917000000000002</v>
      </c>
      <c r="C318" s="390"/>
      <c r="D318" s="393">
        <f t="shared" si="98"/>
        <v>17.390821708107474</v>
      </c>
      <c r="E318" s="385">
        <f t="shared" si="120"/>
        <v>18.385787144936259</v>
      </c>
      <c r="F318" s="385">
        <f t="shared" si="99"/>
        <v>18.409155317114855</v>
      </c>
      <c r="G318" s="110">
        <f t="shared" si="121"/>
        <v>0.64125810149965867</v>
      </c>
      <c r="H318" s="414" t="b">
        <f>Wh_hp&gt;='2020'!Maxi_hp</f>
        <v>0</v>
      </c>
      <c r="I318" s="380">
        <f>IF(H318,Wh_hp,'2020'!Maxi_hp)</f>
        <v>29.156794138449072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2.7245504327525816E-2</v>
      </c>
      <c r="M318" s="844"/>
      <c r="N318" s="844"/>
      <c r="O318" s="48">
        <f>IF(t&lt;Tnet,'2020'!Resal+('2020'!Salim-'2020'!Resal)*(1-EXP(('2020'!Tnet-t)/('2020'!Tau_j))),Resal+(Salim-Resal)*(1-EXP((Tnet-t)/(Tau_j))))*Salcycl</f>
        <v>5.411600977349592E-2</v>
      </c>
      <c r="P318" s="169">
        <f>(INDEX(Models!$BJ318:$BT318,,T318)*(1-R318)+INDEX(Models!$BJ318:$BT318,,T318+1)*R318-ERP_i)*Q318*Ramure*Pc/MaxiM</f>
        <v>2.5972921236410355E-3</v>
      </c>
      <c r="Q318" s="305">
        <f t="shared" si="101"/>
        <v>0.7</v>
      </c>
      <c r="R318" s="177">
        <f t="shared" si="102"/>
        <v>0.99830193871948003</v>
      </c>
      <c r="S318" s="810">
        <f t="shared" si="103"/>
        <v>-1</v>
      </c>
      <c r="T318" s="176">
        <f t="shared" si="104"/>
        <v>5</v>
      </c>
      <c r="U318" s="251">
        <f t="shared" si="105"/>
        <v>-1.6980612805199136E-3</v>
      </c>
      <c r="V318" s="383">
        <f t="shared" si="106"/>
        <v>26.345877083020916</v>
      </c>
      <c r="W318" s="402"/>
      <c r="X318" s="157">
        <f t="shared" si="107"/>
        <v>44500</v>
      </c>
      <c r="Y318" s="385">
        <f t="shared" si="108"/>
        <v>15.514461450955576</v>
      </c>
      <c r="Z318" s="385">
        <f t="shared" si="109"/>
        <v>15.948999999460588</v>
      </c>
      <c r="AA318" s="386">
        <f t="shared" si="110"/>
        <v>18.385787144936259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0.13253646016166362</v>
      </c>
      <c r="AD318" s="231">
        <f>(INDEX(Models!$BJ318:$BT318,,AH318)*(1-AF318)+INDEX(Models!$BJ318:$BT318,,AH318+1)*AF318-ERP_i)*AE318*Ramure*Pc/MaxiM</f>
        <v>2.5972921236410355E-3</v>
      </c>
      <c r="AE318" s="305">
        <f t="shared" si="112"/>
        <v>0.7</v>
      </c>
      <c r="AF318" s="177">
        <f t="shared" si="113"/>
        <v>0.99830193871948003</v>
      </c>
      <c r="AG318" s="810">
        <f t="shared" si="119"/>
        <v>-1</v>
      </c>
      <c r="AH318" s="176">
        <f t="shared" si="114"/>
        <v>5</v>
      </c>
      <c r="AI318" s="225">
        <f t="shared" si="115"/>
        <v>-1.6980612805199136E-3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6">
        <v>16.052</v>
      </c>
      <c r="C319" s="390"/>
      <c r="D319" s="393">
        <f t="shared" si="98"/>
        <v>16.50197828290338</v>
      </c>
      <c r="E319" s="385">
        <f t="shared" si="120"/>
        <v>17.44842764110653</v>
      </c>
      <c r="F319" s="385">
        <f t="shared" si="99"/>
        <v>17.468567511158227</v>
      </c>
      <c r="G319" s="110">
        <f t="shared" si="121"/>
        <v>0.61588901825430564</v>
      </c>
      <c r="H319" s="414" t="b">
        <f>Wh_hp&gt;='2020'!Maxi_hp</f>
        <v>0</v>
      </c>
      <c r="I319" s="380">
        <f>IF(H319,Wh_hp,'2020'!Maxi_hp)</f>
        <v>28.781907422136918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2.7268141745742991E-2</v>
      </c>
      <c r="M319" s="844"/>
      <c r="N319" s="844"/>
      <c r="O319" s="48">
        <f>IF(t&lt;Tnet,'2020'!Resal+('2020'!Salim-'2020'!Resal)*(1-EXP(('2020'!Tnet-t)/('2020'!Tau_j))),Resal+(Salim-Resal)*(1-EXP((Tnet-t)/(Tau_j))))*Salcycl</f>
        <v>5.4242673189269001E-2</v>
      </c>
      <c r="P319" s="169">
        <f>(INDEX(Models!$BJ319:$BT319,,T319)*(1-R319)+INDEX(Models!$BJ319:$BT319,,T319+1)*R319-ERP_i)*Q319*Ramure*Pc/MaxiM</f>
        <v>2.547887787604842E-3</v>
      </c>
      <c r="Q319" s="305">
        <f t="shared" si="101"/>
        <v>0.7</v>
      </c>
      <c r="R319" s="177">
        <f t="shared" si="102"/>
        <v>0.99834692768919342</v>
      </c>
      <c r="S319" s="810">
        <f t="shared" si="103"/>
        <v>-1</v>
      </c>
      <c r="T319" s="176">
        <f t="shared" si="104"/>
        <v>5</v>
      </c>
      <c r="U319" s="251">
        <f t="shared" si="105"/>
        <v>-1.6530723108065248E-3</v>
      </c>
      <c r="V319" s="383">
        <f t="shared" si="106"/>
        <v>26.026738039505112</v>
      </c>
      <c r="W319" s="402"/>
      <c r="X319" s="157">
        <f t="shared" si="107"/>
        <v>44501</v>
      </c>
      <c r="Y319" s="385">
        <f t="shared" si="108"/>
        <v>14.723394713948705</v>
      </c>
      <c r="Z319" s="385">
        <f t="shared" si="109"/>
        <v>15.136128820096934</v>
      </c>
      <c r="AA319" s="386">
        <f t="shared" si="110"/>
        <v>17.44842764110653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0.13252190217771143</v>
      </c>
      <c r="AD319" s="231">
        <f>(INDEX(Models!$BJ319:$BT319,,AH319)*(1-AF319)+INDEX(Models!$BJ319:$BT319,,AH319+1)*AF319-ERP_i)*AE319*Ramure*Pc/MaxiM</f>
        <v>2.547887787604842E-3</v>
      </c>
      <c r="AE319" s="305">
        <f t="shared" si="112"/>
        <v>0.7</v>
      </c>
      <c r="AF319" s="177">
        <f t="shared" si="113"/>
        <v>0.99834692768919342</v>
      </c>
      <c r="AG319" s="810">
        <f t="shared" si="119"/>
        <v>-1</v>
      </c>
      <c r="AH319" s="176">
        <f t="shared" si="114"/>
        <v>5</v>
      </c>
      <c r="AI319" s="225">
        <f t="shared" si="115"/>
        <v>-1.6530723108065248E-3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6">
        <v>24.013000000000002</v>
      </c>
      <c r="C320" s="390"/>
      <c r="D320" s="393">
        <f t="shared" si="98"/>
        <v>24.686719805489059</v>
      </c>
      <c r="E320" s="385">
        <f t="shared" si="120"/>
        <v>26.106078577385702</v>
      </c>
      <c r="F320" s="385">
        <f t="shared" si="99"/>
        <v>26.165116097049484</v>
      </c>
      <c r="G320" s="110">
        <f t="shared" si="121"/>
        <v>0.93379754461933018</v>
      </c>
      <c r="H320" s="414" t="b">
        <f>Wh_hp&gt;='2020'!Maxi_hp</f>
        <v>1</v>
      </c>
      <c r="I320" s="380">
        <f>IF(H320,Wh_hp,'2020'!Maxi_hp)</f>
        <v>26.165116097049484</v>
      </c>
      <c r="J320" s="85">
        <f>IF(H320,An,'2020'!An_max)</f>
        <v>2021</v>
      </c>
      <c r="K320" s="197">
        <f t="shared" si="100"/>
        <v>44502</v>
      </c>
      <c r="L320" s="147">
        <f>IF(t&lt;Tvie,1-EXP((T0-t)*PertePVj)+'2020'!Pspv,1-EXP((T0-t)*PertePVj)+Pspv)</f>
        <v>2.7290778637154345E-2</v>
      </c>
      <c r="M320" s="844"/>
      <c r="N320" s="844"/>
      <c r="O320" s="48">
        <f>IF(t&lt;Tnet,'2020'!Resal+('2020'!Salim-'2020'!Resal)*(1-EXP(('2020'!Tnet-t)/('2020'!Tau_j))),Resal+(Salim-Resal)*(1-EXP((Tnet-t)/(Tau_j))))*Salcycl</f>
        <v>5.4368899859443431E-2</v>
      </c>
      <c r="P320" s="169">
        <f>(INDEX(Models!$BJ320:$BT320,,T320)*(1-R320)+INDEX(Models!$BJ320:$BT320,,T320+1)*R320-ERP_i)*Q320*Ramure*Pc/MaxiM</f>
        <v>2.4911640250967807E-3</v>
      </c>
      <c r="Q320" s="305">
        <f t="shared" si="101"/>
        <v>0.7</v>
      </c>
      <c r="R320" s="177">
        <f t="shared" si="102"/>
        <v>0.99839011480067674</v>
      </c>
      <c r="S320" s="810">
        <f t="shared" si="103"/>
        <v>-1</v>
      </c>
      <c r="T320" s="176">
        <f t="shared" si="104"/>
        <v>5</v>
      </c>
      <c r="U320" s="251">
        <f t="shared" si="105"/>
        <v>-1.6098851993232577E-3</v>
      </c>
      <c r="V320" s="383">
        <f t="shared" si="106"/>
        <v>25.709372089231938</v>
      </c>
      <c r="W320" s="402"/>
      <c r="X320" s="157">
        <f t="shared" si="107"/>
        <v>44502</v>
      </c>
      <c r="Y320" s="385">
        <f t="shared" si="108"/>
        <v>22.028788244367114</v>
      </c>
      <c r="Z320" s="385">
        <f t="shared" si="109"/>
        <v>22.646838089499109</v>
      </c>
      <c r="AA320" s="386">
        <f t="shared" si="110"/>
        <v>26.106078577385702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0.13250708939806638</v>
      </c>
      <c r="AD320" s="231">
        <f>(INDEX(Models!$BJ320:$BT320,,AH320)*(1-AF320)+INDEX(Models!$BJ320:$BT320,,AH320+1)*AF320-ERP_i)*AE320*Ramure*Pc/MaxiM</f>
        <v>2.4911640250967807E-3</v>
      </c>
      <c r="AE320" s="305">
        <f t="shared" si="112"/>
        <v>0.7</v>
      </c>
      <c r="AF320" s="177">
        <f t="shared" si="113"/>
        <v>0.99839011480067674</v>
      </c>
      <c r="AG320" s="810">
        <f t="shared" si="119"/>
        <v>-1</v>
      </c>
      <c r="AH320" s="176">
        <f t="shared" si="114"/>
        <v>5</v>
      </c>
      <c r="AI320" s="225">
        <f t="shared" si="115"/>
        <v>-1.6098851993232577E-3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6">
        <v>14.702</v>
      </c>
      <c r="C321" s="390"/>
      <c r="D321" s="393">
        <f t="shared" si="98"/>
        <v>15.114837838569334</v>
      </c>
      <c r="E321" s="385">
        <f t="shared" si="120"/>
        <v>15.985990324775317</v>
      </c>
      <c r="F321" s="385">
        <f t="shared" si="99"/>
        <v>16.001465771375372</v>
      </c>
      <c r="G321" s="110">
        <f t="shared" si="121"/>
        <v>0.57810339152762125</v>
      </c>
      <c r="H321" s="414" t="b">
        <f>Wh_hp&gt;='2020'!Maxi_hp</f>
        <v>0</v>
      </c>
      <c r="I321" s="380">
        <f>IF(H321,Wh_hp,'2020'!Maxi_hp)</f>
        <v>25.62517790632015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2.7313415001772201E-2</v>
      </c>
      <c r="M321" s="844"/>
      <c r="N321" s="844"/>
      <c r="O321" s="48">
        <f>IF(t&lt;Tnet,'2020'!Resal+('2020'!Salim-'2020'!Resal)*(1-EXP(('2020'!Tnet-t)/('2020'!Tau_j))),Resal+(Salim-Resal)*(1-EXP((Tnet-t)/(Tau_j))))*Salcycl</f>
        <v>5.4494746243894339E-2</v>
      </c>
      <c r="P321" s="169">
        <f>(INDEX(Models!$BJ321:$BT321,,T321)*(1-R321)+INDEX(Models!$BJ321:$BT321,,T321+1)*R321-ERP_i)*Q321*Ramure*Pc/MaxiM</f>
        <v>2.4269235606183075E-3</v>
      </c>
      <c r="Q321" s="305">
        <f t="shared" si="101"/>
        <v>0.7</v>
      </c>
      <c r="R321" s="177">
        <f t="shared" si="102"/>
        <v>0.99843157185299125</v>
      </c>
      <c r="S321" s="810">
        <f t="shared" si="103"/>
        <v>-1</v>
      </c>
      <c r="T321" s="176">
        <f t="shared" si="104"/>
        <v>5</v>
      </c>
      <c r="U321" s="251">
        <f t="shared" si="105"/>
        <v>-1.5684281470086936E-3</v>
      </c>
      <c r="V321" s="383">
        <f t="shared" si="106"/>
        <v>25.394276364518998</v>
      </c>
      <c r="W321" s="402"/>
      <c r="X321" s="157">
        <f t="shared" si="107"/>
        <v>44503</v>
      </c>
      <c r="Y321" s="385">
        <f t="shared" si="108"/>
        <v>13.489190289501645</v>
      </c>
      <c r="Z321" s="385">
        <f t="shared" si="109"/>
        <v>13.867971962958881</v>
      </c>
      <c r="AA321" s="386">
        <f t="shared" si="110"/>
        <v>15.985990324775317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0.13249215837031378</v>
      </c>
      <c r="AD321" s="231">
        <f>(INDEX(Models!$BJ321:$BT321,,AH321)*(1-AF321)+INDEX(Models!$BJ321:$BT321,,AH321+1)*AF321-ERP_i)*AE321*Ramure*Pc/MaxiM</f>
        <v>2.4269235606183075E-3</v>
      </c>
      <c r="AE321" s="305">
        <f t="shared" si="112"/>
        <v>0.7</v>
      </c>
      <c r="AF321" s="177">
        <f t="shared" si="113"/>
        <v>0.99843157185299125</v>
      </c>
      <c r="AG321" s="810">
        <f t="shared" si="119"/>
        <v>-1</v>
      </c>
      <c r="AH321" s="176">
        <f t="shared" si="114"/>
        <v>5</v>
      </c>
      <c r="AI321" s="225">
        <f t="shared" si="115"/>
        <v>-1.5684281470086936E-3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6">
        <v>15.055</v>
      </c>
      <c r="C322" s="390"/>
      <c r="D322" s="393">
        <f t="shared" si="98"/>
        <v>15.478110413155084</v>
      </c>
      <c r="E322" s="385">
        <f t="shared" si="120"/>
        <v>16.372373894241971</v>
      </c>
      <c r="F322" s="385">
        <f t="shared" si="99"/>
        <v>16.388927583633766</v>
      </c>
      <c r="G322" s="110">
        <f t="shared" si="121"/>
        <v>0.59942441472822106</v>
      </c>
      <c r="H322" s="414" t="b">
        <f>Wh_hp&gt;='2020'!Maxi_hp</f>
        <v>0</v>
      </c>
      <c r="I322" s="380">
        <f>IF(H322,Wh_hp,'2020'!Maxi_hp)</f>
        <v>21.931273937161258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2.7336050839608772E-2</v>
      </c>
      <c r="M322" s="844"/>
      <c r="N322" s="844"/>
      <c r="O322" s="48">
        <f>IF(t&lt;Tnet,'2020'!Resal+('2020'!Salim-'2020'!Resal)*(1-EXP(('2020'!Tnet-t)/('2020'!Tau_j))),Resal+(Salim-Resal)*(1-EXP((Tnet-t)/(Tau_j))))*Salcycl</f>
        <v>5.4620269904866417E-2</v>
      </c>
      <c r="P322" s="169">
        <f>(INDEX(Models!$BJ322:$BT322,,T322)*(1-R322)+INDEX(Models!$BJ322:$BT322,,T322+1)*R322-ERP_i)*Q322*Ramure*Pc/MaxiM</f>
        <v>2.3549658619877113E-3</v>
      </c>
      <c r="Q322" s="305">
        <f t="shared" si="101"/>
        <v>0.7</v>
      </c>
      <c r="R322" s="177">
        <f t="shared" si="102"/>
        <v>0.99847136781312917</v>
      </c>
      <c r="S322" s="810">
        <f t="shared" si="103"/>
        <v>-1</v>
      </c>
      <c r="T322" s="176">
        <f t="shared" si="104"/>
        <v>5</v>
      </c>
      <c r="U322" s="251">
        <f t="shared" si="105"/>
        <v>-1.5286321868707708E-3</v>
      </c>
      <c r="V322" s="383">
        <f t="shared" si="106"/>
        <v>25.081947780501892</v>
      </c>
      <c r="W322" s="402"/>
      <c r="X322" s="157">
        <f t="shared" si="107"/>
        <v>44504</v>
      </c>
      <c r="Y322" s="385">
        <f t="shared" si="108"/>
        <v>13.815141821453686</v>
      </c>
      <c r="Z322" s="385">
        <f t="shared" si="109"/>
        <v>14.20340687385298</v>
      </c>
      <c r="AA322" s="386">
        <f t="shared" si="110"/>
        <v>16.372373894241971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0.13247724700153579</v>
      </c>
      <c r="AD322" s="231">
        <f>(INDEX(Models!$BJ322:$BT322,,AH322)*(1-AF322)+INDEX(Models!$BJ322:$BT322,,AH322+1)*AF322-ERP_i)*AE322*Ramure*Pc/MaxiM</f>
        <v>2.3549658619877113E-3</v>
      </c>
      <c r="AE322" s="305">
        <f t="shared" si="112"/>
        <v>0.7</v>
      </c>
      <c r="AF322" s="177">
        <f t="shared" si="113"/>
        <v>0.99847136781312917</v>
      </c>
      <c r="AG322" s="810">
        <f t="shared" si="119"/>
        <v>-1</v>
      </c>
      <c r="AH322" s="176">
        <f t="shared" si="114"/>
        <v>5</v>
      </c>
      <c r="AI322" s="225">
        <f t="shared" si="115"/>
        <v>-1.5286321868707708E-3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6">
        <v>10.502000000000001</v>
      </c>
      <c r="C323" s="390"/>
      <c r="D323" s="393">
        <f t="shared" si="98"/>
        <v>10.797402753166326</v>
      </c>
      <c r="E323" s="385">
        <f t="shared" si="120"/>
        <v>11.422747088069508</v>
      </c>
      <c r="F323" s="385">
        <f t="shared" si="99"/>
        <v>11.427349936067609</v>
      </c>
      <c r="G323" s="110">
        <f t="shared" si="121"/>
        <v>0.42313723439802586</v>
      </c>
      <c r="H323" s="414" t="b">
        <f>Wh_hp&gt;='2020'!Maxi_hp</f>
        <v>0</v>
      </c>
      <c r="I323" s="380">
        <f>IF(H323,Wh_hp,'2020'!Maxi_hp)</f>
        <v>15.743275387549742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2.735868615067627E-2</v>
      </c>
      <c r="M323" s="844"/>
      <c r="N323" s="844"/>
      <c r="O323" s="48">
        <f>IF(t&lt;Tnet,'2020'!Resal+('2020'!Salim-'2020'!Resal)*(1-EXP(('2020'!Tnet-t)/('2020'!Tau_j))),Resal+(Salim-Resal)*(1-EXP((Tnet-t)/(Tau_j))))*Salcycl</f>
        <v>5.4745529256821669E-2</v>
      </c>
      <c r="P323" s="169">
        <f>(INDEX(Models!$BJ323:$BT323,,T323)*(1-R323)+INDEX(Models!$BJ323:$BT323,,T323+1)*R323-ERP_i)*Q323*Ramure*Pc/MaxiM</f>
        <v>2.2750880781353634E-3</v>
      </c>
      <c r="Q323" s="305">
        <f t="shared" si="101"/>
        <v>0.7</v>
      </c>
      <c r="R323" s="177">
        <f t="shared" si="102"/>
        <v>0.99850956892544074</v>
      </c>
      <c r="S323" s="810">
        <f t="shared" si="103"/>
        <v>-1</v>
      </c>
      <c r="T323" s="176">
        <f t="shared" si="104"/>
        <v>5</v>
      </c>
      <c r="U323" s="251">
        <f t="shared" si="105"/>
        <v>-1.4904310745592619E-3</v>
      </c>
      <c r="V323" s="383">
        <f t="shared" si="106"/>
        <v>24.77288305978453</v>
      </c>
      <c r="W323" s="402"/>
      <c r="X323" s="157">
        <f t="shared" si="107"/>
        <v>44505</v>
      </c>
      <c r="Y323" s="385">
        <f t="shared" si="108"/>
        <v>9.6385462016749504</v>
      </c>
      <c r="Z323" s="385">
        <f t="shared" si="109"/>
        <v>9.9096615210898822</v>
      </c>
      <c r="AA323" s="386">
        <f t="shared" si="110"/>
        <v>11.422747088069508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0.13246249394420792</v>
      </c>
      <c r="AD323" s="231">
        <f>(INDEX(Models!$BJ323:$BT323,,AH323)*(1-AF323)+INDEX(Models!$BJ323:$BT323,,AH323+1)*AF323-ERP_i)*AE323*Ramure*Pc/MaxiM</f>
        <v>2.2750880781353634E-3</v>
      </c>
      <c r="AE323" s="305">
        <f t="shared" si="112"/>
        <v>0.7</v>
      </c>
      <c r="AF323" s="177">
        <f t="shared" si="113"/>
        <v>0.99850956892544074</v>
      </c>
      <c r="AG323" s="810">
        <f t="shared" si="119"/>
        <v>-1</v>
      </c>
      <c r="AH323" s="176">
        <f t="shared" si="114"/>
        <v>5</v>
      </c>
      <c r="AI323" s="225">
        <f t="shared" si="115"/>
        <v>-1.4904310745592619E-3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6">
        <v>12.021000000000001</v>
      </c>
      <c r="C324" s="390"/>
      <c r="D324" s="393">
        <f t="shared" si="98"/>
        <v>12.359417168047703</v>
      </c>
      <c r="E324" s="385">
        <f t="shared" si="120"/>
        <v>13.0769574512929</v>
      </c>
      <c r="F324" s="385">
        <f t="shared" si="99"/>
        <v>13.084788142032799</v>
      </c>
      <c r="G324" s="110">
        <f t="shared" si="121"/>
        <v>0.4905222450096981</v>
      </c>
      <c r="H324" s="414" t="b">
        <f>Wh_hp&gt;='2020'!Maxi_hp</f>
        <v>0</v>
      </c>
      <c r="I324" s="380">
        <f>IF(H324,Wh_hp,'2020'!Maxi_hp)</f>
        <v>21.908662681884945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2.7381320934987019E-2</v>
      </c>
      <c r="M324" s="844"/>
      <c r="N324" s="844"/>
      <c r="O324" s="48">
        <f>IF(t&lt;Tnet,'2020'!Resal+('2020'!Salim-'2020'!Resal)*(1-EXP(('2020'!Tnet-t)/('2020'!Tau_j))),Resal+(Salim-Resal)*(1-EXP((Tnet-t)/(Tau_j))))*Salcycl</f>
        <v>5.4870583307912738E-2</v>
      </c>
      <c r="P324" s="169">
        <f>(INDEX(Models!$BJ324:$BT324,,T324)*(1-R324)+INDEX(Models!$BJ324:$BT324,,T324+1)*R324-ERP_i)*Q324*Ramure*Pc/MaxiM</f>
        <v>2.1898083900558753E-3</v>
      </c>
      <c r="Q324" s="305">
        <f t="shared" si="101"/>
        <v>0.7</v>
      </c>
      <c r="R324" s="177">
        <f t="shared" si="102"/>
        <v>0.9985462388170161</v>
      </c>
      <c r="S324" s="810">
        <f t="shared" si="103"/>
        <v>-1</v>
      </c>
      <c r="T324" s="176">
        <f t="shared" si="104"/>
        <v>5</v>
      </c>
      <c r="U324" s="251">
        <f t="shared" si="105"/>
        <v>-1.4537611829839037E-3</v>
      </c>
      <c r="V324" s="383">
        <f t="shared" si="106"/>
        <v>24.467512001692405</v>
      </c>
      <c r="W324" s="402"/>
      <c r="X324" s="157">
        <f t="shared" si="107"/>
        <v>44506</v>
      </c>
      <c r="Y324" s="385">
        <f t="shared" si="108"/>
        <v>11.034300648533623</v>
      </c>
      <c r="Z324" s="385">
        <f t="shared" si="109"/>
        <v>11.344940094242272</v>
      </c>
      <c r="AA324" s="386">
        <f t="shared" si="110"/>
        <v>13.0769574512929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0.13244803797074273</v>
      </c>
      <c r="AD324" s="231">
        <f>(INDEX(Models!$BJ324:$BT324,,AH324)*(1-AF324)+INDEX(Models!$BJ324:$BT324,,AH324+1)*AF324-ERP_i)*AE324*Ramure*Pc/MaxiM</f>
        <v>2.1898083900558753E-3</v>
      </c>
      <c r="AE324" s="305">
        <f t="shared" si="112"/>
        <v>0.7</v>
      </c>
      <c r="AF324" s="177">
        <f t="shared" si="113"/>
        <v>0.9985462388170161</v>
      </c>
      <c r="AG324" s="810">
        <f t="shared" si="119"/>
        <v>-1</v>
      </c>
      <c r="AH324" s="176">
        <f t="shared" si="114"/>
        <v>5</v>
      </c>
      <c r="AI324" s="225">
        <f t="shared" si="115"/>
        <v>-1.4537611829839037E-3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6">
        <v>7.7750000000000004</v>
      </c>
      <c r="C325" s="390"/>
      <c r="D325" s="393">
        <f t="shared" si="98"/>
        <v>7.9940691117444187</v>
      </c>
      <c r="E325" s="385">
        <f t="shared" si="120"/>
        <v>8.4592920340068343</v>
      </c>
      <c r="F325" s="385">
        <f t="shared" si="99"/>
        <v>8.4598450277022437</v>
      </c>
      <c r="G325" s="110">
        <f t="shared" si="121"/>
        <v>0.3210742776444902</v>
      </c>
      <c r="H325" s="414" t="b">
        <f>Wh_hp&gt;='2020'!Maxi_hp</f>
        <v>0</v>
      </c>
      <c r="I325" s="380">
        <f>IF(H325,Wh_hp,'2020'!Maxi_hp)</f>
        <v>14.33490566318287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2.7403955192553342E-2</v>
      </c>
      <c r="M325" s="844"/>
      <c r="N325" s="844"/>
      <c r="O325" s="48">
        <f>IF(t&lt;Tnet,'2020'!Resal+('2020'!Salim-'2020'!Resal)*(1-EXP(('2020'!Tnet-t)/('2020'!Tau_j))),Resal+(Salim-Resal)*(1-EXP((Tnet-t)/(Tau_j))))*Salcycl</f>
        <v>5.4995491394810983E-2</v>
      </c>
      <c r="P325" s="169">
        <f>(INDEX(Models!$BJ325:$BT325,,T325)*(1-R325)+INDEX(Models!$BJ325:$BT325,,T325+1)*R325-ERP_i)*Q325*Ramure*Pc/MaxiM</f>
        <v>2.1056267985581183E-3</v>
      </c>
      <c r="Q325" s="305">
        <f t="shared" si="101"/>
        <v>0.7</v>
      </c>
      <c r="R325" s="177">
        <f t="shared" si="102"/>
        <v>0.99858143859915294</v>
      </c>
      <c r="S325" s="810">
        <f t="shared" si="103"/>
        <v>-1</v>
      </c>
      <c r="T325" s="176">
        <f t="shared" si="104"/>
        <v>5</v>
      </c>
      <c r="U325" s="251">
        <f t="shared" si="105"/>
        <v>-1.4185614008470071E-3</v>
      </c>
      <c r="V325" s="383">
        <f t="shared" si="106"/>
        <v>24.166171139874084</v>
      </c>
      <c r="W325" s="402"/>
      <c r="X325" s="157">
        <f t="shared" si="107"/>
        <v>44507</v>
      </c>
      <c r="Y325" s="385">
        <f t="shared" si="108"/>
        <v>7.1378765431817692</v>
      </c>
      <c r="Z325" s="385">
        <f t="shared" si="109"/>
        <v>7.3389940060828822</v>
      </c>
      <c r="AA325" s="386">
        <f t="shared" si="110"/>
        <v>8.4592920340068343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0.13243401734096549</v>
      </c>
      <c r="AD325" s="231">
        <f>(INDEX(Models!$BJ325:$BT325,,AH325)*(1-AF325)+INDEX(Models!$BJ325:$BT325,,AH325+1)*AF325-ERP_i)*AE325*Ramure*Pc/MaxiM</f>
        <v>2.1056267985581183E-3</v>
      </c>
      <c r="AE325" s="305">
        <f t="shared" si="112"/>
        <v>0.7</v>
      </c>
      <c r="AF325" s="177">
        <f t="shared" si="113"/>
        <v>0.99858143859915294</v>
      </c>
      <c r="AG325" s="810">
        <f t="shared" si="119"/>
        <v>-1</v>
      </c>
      <c r="AH325" s="176">
        <f t="shared" si="114"/>
        <v>5</v>
      </c>
      <c r="AI325" s="225">
        <f t="shared" si="115"/>
        <v>-1.4185614008470071E-3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6">
        <v>17.891999999999999</v>
      </c>
      <c r="C326" s="390"/>
      <c r="D326" s="393">
        <f t="shared" si="98"/>
        <v>18.396554744586361</v>
      </c>
      <c r="E326" s="385">
        <f t="shared" si="120"/>
        <v>19.46973249186437</v>
      </c>
      <c r="F326" s="385">
        <f t="shared" si="99"/>
        <v>19.495056583324676</v>
      </c>
      <c r="G326" s="110">
        <f t="shared" si="121"/>
        <v>0.74903714584172931</v>
      </c>
      <c r="H326" s="414" t="b">
        <f>Wh_hp&gt;='2020'!Maxi_hp</f>
        <v>1</v>
      </c>
      <c r="I326" s="380">
        <f>IF(H326,Wh_hp,'2020'!Maxi_hp)</f>
        <v>19.495056583324676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2.7426588923387341E-2</v>
      </c>
      <c r="M326" s="844"/>
      <c r="N326" s="844"/>
      <c r="O326" s="48">
        <f>IF(t&lt;Tnet,'2020'!Resal+('2020'!Salim-'2020'!Resal)*(1-EXP(('2020'!Tnet-t)/('2020'!Tau_j))),Resal+(Salim-Resal)*(1-EXP((Tnet-t)/(Tau_j))))*Salcycl</f>
        <v>5.5120312912693911E-2</v>
      </c>
      <c r="P326" s="169">
        <f>(INDEX(Models!$BJ326:$BT326,,T326)*(1-R326)+INDEX(Models!$BJ326:$BT326,,T326+1)*R326-ERP_i)*Q326*Ramure*Pc/MaxiM</f>
        <v>2.0225544612869849E-3</v>
      </c>
      <c r="Q326" s="305">
        <f t="shared" si="101"/>
        <v>0.7</v>
      </c>
      <c r="R326" s="177">
        <f t="shared" si="102"/>
        <v>0.99861522696504579</v>
      </c>
      <c r="S326" s="810">
        <f t="shared" si="103"/>
        <v>-1</v>
      </c>
      <c r="T326" s="176">
        <f t="shared" si="104"/>
        <v>5</v>
      </c>
      <c r="U326" s="251">
        <f t="shared" si="105"/>
        <v>-1.384773034954212E-3</v>
      </c>
      <c r="V326" s="383">
        <f t="shared" si="106"/>
        <v>23.86936006607818</v>
      </c>
      <c r="W326" s="402"/>
      <c r="X326" s="157">
        <f t="shared" si="107"/>
        <v>44508</v>
      </c>
      <c r="Y326" s="385">
        <f t="shared" si="108"/>
        <v>16.428262125431328</v>
      </c>
      <c r="Z326" s="385">
        <f t="shared" si="109"/>
        <v>16.891539433764368</v>
      </c>
      <c r="AA326" s="386">
        <f t="shared" si="110"/>
        <v>19.46973249186437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0.13242056916690187</v>
      </c>
      <c r="AD326" s="231">
        <f>(INDEX(Models!$BJ326:$BT326,,AH326)*(1-AF326)+INDEX(Models!$BJ326:$BT326,,AH326+1)*AF326-ERP_i)*AE326*Ramure*Pc/MaxiM</f>
        <v>2.0225544612869849E-3</v>
      </c>
      <c r="AE326" s="305">
        <f t="shared" si="112"/>
        <v>0.7</v>
      </c>
      <c r="AF326" s="177">
        <f t="shared" si="113"/>
        <v>0.99861522696504579</v>
      </c>
      <c r="AG326" s="810">
        <f t="shared" si="119"/>
        <v>-1</v>
      </c>
      <c r="AH326" s="176">
        <f t="shared" si="114"/>
        <v>5</v>
      </c>
      <c r="AI326" s="225">
        <f t="shared" si="115"/>
        <v>-1.384773034954212E-3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6">
        <v>15.761000000000001</v>
      </c>
      <c r="C327" s="390"/>
      <c r="D327" s="393">
        <f t="shared" si="98"/>
        <v>16.205837637061936</v>
      </c>
      <c r="E327" s="385">
        <f t="shared" si="120"/>
        <v>17.153483679059118</v>
      </c>
      <c r="F327" s="385">
        <f t="shared" si="99"/>
        <v>17.171024203290639</v>
      </c>
      <c r="G327" s="110">
        <f t="shared" si="121"/>
        <v>0.66785906989354227</v>
      </c>
      <c r="H327" s="414" t="b">
        <f>Wh_hp&gt;='2020'!Maxi_hp</f>
        <v>0</v>
      </c>
      <c r="I327" s="380">
        <f>IF(H327,Wh_hp,'2020'!Maxi_hp)</f>
        <v>19.997041581744018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2.7449222127501449E-2</v>
      </c>
      <c r="M327" s="844"/>
      <c r="N327" s="844"/>
      <c r="O327" s="48">
        <f>IF(t&lt;Tnet,'2020'!Resal+('2020'!Salim-'2020'!Resal)*(1-EXP(('2020'!Tnet-t)/('2020'!Tau_j))),Resal+(Salim-Resal)*(1-EXP((Tnet-t)/(Tau_j))))*Salcycl</f>
        <v>5.5245107042254202E-2</v>
      </c>
      <c r="P327" s="169">
        <f>(INDEX(Models!$BJ327:$BT327,,T327)*(1-R327)+INDEX(Models!$BJ327:$BT327,,T327+1)*R327-ERP_i)*Q327*Ramure*Pc/MaxiM</f>
        <v>1.9406064039917195E-3</v>
      </c>
      <c r="Q327" s="305">
        <f t="shared" si="101"/>
        <v>0.7</v>
      </c>
      <c r="R327" s="177">
        <f t="shared" si="102"/>
        <v>0.99864766028382146</v>
      </c>
      <c r="S327" s="810">
        <f t="shared" si="103"/>
        <v>-1</v>
      </c>
      <c r="T327" s="176">
        <f t="shared" si="104"/>
        <v>5</v>
      </c>
      <c r="U327" s="251">
        <f t="shared" si="105"/>
        <v>-1.3523397161785966E-3</v>
      </c>
      <c r="V327" s="383">
        <f t="shared" si="106"/>
        <v>23.577578201301527</v>
      </c>
      <c r="W327" s="402"/>
      <c r="X327" s="157">
        <f t="shared" si="107"/>
        <v>44509</v>
      </c>
      <c r="Y327" s="385">
        <f t="shared" si="108"/>
        <v>14.473722562896318</v>
      </c>
      <c r="Z327" s="385">
        <f t="shared" si="109"/>
        <v>14.882228149113489</v>
      </c>
      <c r="AA327" s="386">
        <f t="shared" si="110"/>
        <v>17.153483679059118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0.13240782877931465</v>
      </c>
      <c r="AD327" s="231">
        <f>(INDEX(Models!$BJ327:$BT327,,AH327)*(1-AF327)+INDEX(Models!$BJ327:$BT327,,AH327+1)*AF327-ERP_i)*AE327*Ramure*Pc/MaxiM</f>
        <v>1.9406064039917195E-3</v>
      </c>
      <c r="AE327" s="305">
        <f t="shared" si="112"/>
        <v>0.7</v>
      </c>
      <c r="AF327" s="177">
        <f t="shared" si="113"/>
        <v>0.99864766028382146</v>
      </c>
      <c r="AG327" s="810">
        <f t="shared" si="119"/>
        <v>-1</v>
      </c>
      <c r="AH327" s="176">
        <f t="shared" si="114"/>
        <v>5</v>
      </c>
      <c r="AI327" s="225">
        <f t="shared" si="115"/>
        <v>-1.3523397161785966E-3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6">
        <v>6.2549999999999999</v>
      </c>
      <c r="C328" s="390"/>
      <c r="D328" s="393">
        <f t="shared" si="98"/>
        <v>6.4316904666499157</v>
      </c>
      <c r="E328" s="385">
        <f t="shared" si="120"/>
        <v>6.8086870064444804</v>
      </c>
      <c r="F328" s="385">
        <f t="shared" si="99"/>
        <v>6.8086870064444804</v>
      </c>
      <c r="G328" s="110">
        <f t="shared" si="121"/>
        <v>0.26805546678850911</v>
      </c>
      <c r="H328" s="414" t="b">
        <f>Wh_hp&gt;='2020'!Maxi_hp</f>
        <v>0</v>
      </c>
      <c r="I328" s="380">
        <f>IF(H328,Wh_hp,'2020'!Maxi_hp)</f>
        <v>17.160118945788746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2.7471854804907769E-2</v>
      </c>
      <c r="M328" s="844"/>
      <c r="N328" s="844"/>
      <c r="O328" s="48">
        <f>IF(t&lt;Tnet,'2020'!Resal+('2020'!Salim-'2020'!Resal)*(1-EXP(('2020'!Tnet-t)/('2020'!Tau_j))),Resal+(Salim-Resal)*(1-EXP((Tnet-t)/(Tau_j))))*Salcycl</f>
        <v>5.5369932475635091E-2</v>
      </c>
      <c r="P328" s="169">
        <f>(INDEX(Models!$BJ328:$BT328,,T328)*(1-R328)+INDEX(Models!$BJ328:$BT328,,T328+1)*R328-ERP_i)*Q328*Ramure*Pc/MaxiM</f>
        <v>1.8598016533889689E-3</v>
      </c>
      <c r="Q328" s="305">
        <f t="shared" si="101"/>
        <v>0.7</v>
      </c>
      <c r="R328" s="177">
        <f t="shared" si="102"/>
        <v>0.99867879269104953</v>
      </c>
      <c r="S328" s="810">
        <f t="shared" si="103"/>
        <v>-1</v>
      </c>
      <c r="T328" s="176">
        <f t="shared" si="104"/>
        <v>5</v>
      </c>
      <c r="U328" s="251">
        <f t="shared" si="105"/>
        <v>-1.3212073089504672E-3</v>
      </c>
      <c r="V328" s="383">
        <f t="shared" si="106"/>
        <v>23.291324797281433</v>
      </c>
      <c r="W328" s="402"/>
      <c r="X328" s="157">
        <f t="shared" si="107"/>
        <v>44510</v>
      </c>
      <c r="Y328" s="385">
        <f t="shared" si="108"/>
        <v>5.7449615993053698</v>
      </c>
      <c r="Z328" s="385">
        <f t="shared" si="109"/>
        <v>5.9072445642721343</v>
      </c>
      <c r="AA328" s="386">
        <f t="shared" si="110"/>
        <v>6.8086870064444804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0.13239592910044518</v>
      </c>
      <c r="AD328" s="231">
        <f>(INDEX(Models!$BJ328:$BT328,,AH328)*(1-AF328)+INDEX(Models!$BJ328:$BT328,,AH328+1)*AF328-ERP_i)*AE328*Ramure*Pc/MaxiM</f>
        <v>1.8598016533889689E-3</v>
      </c>
      <c r="AE328" s="305">
        <f t="shared" si="112"/>
        <v>0.7</v>
      </c>
      <c r="AF328" s="177">
        <f t="shared" si="113"/>
        <v>0.99867879269104953</v>
      </c>
      <c r="AG328" s="810">
        <f t="shared" si="119"/>
        <v>-1</v>
      </c>
      <c r="AH328" s="176">
        <f t="shared" si="114"/>
        <v>5</v>
      </c>
      <c r="AI328" s="225">
        <f t="shared" si="115"/>
        <v>-1.3212073089504672E-3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6">
        <v>10.896000000000001</v>
      </c>
      <c r="C329" s="390"/>
      <c r="D329" s="393">
        <f t="shared" si="98"/>
        <v>11.204049595452267</v>
      </c>
      <c r="E329" s="385">
        <f t="shared" si="120"/>
        <v>11.862348830564027</v>
      </c>
      <c r="F329" s="385">
        <f t="shared" si="99"/>
        <v>11.867585441174766</v>
      </c>
      <c r="G329" s="110">
        <f t="shared" si="121"/>
        <v>0.47287636402617078</v>
      </c>
      <c r="H329" s="414" t="b">
        <f>Wh_hp&gt;='2020'!Maxi_hp</f>
        <v>0</v>
      </c>
      <c r="I329" s="380">
        <f>IF(H329,Wh_hp,'2020'!Maxi_hp)</f>
        <v>19.948790383729861</v>
      </c>
      <c r="J329" s="85">
        <f>IF(H329,An,'2020'!An_max)</f>
        <v>2019</v>
      </c>
      <c r="K329" s="197">
        <f t="shared" si="100"/>
        <v>44511</v>
      </c>
      <c r="L329" s="147">
        <f>IF(t&lt;Tvie,1-EXP((T0-t)*PertePVj)+'2020'!Pspv,1-EXP((T0-t)*PertePVj)+Pspv)</f>
        <v>2.7494486955618624E-2</v>
      </c>
      <c r="M329" s="844"/>
      <c r="N329" s="844"/>
      <c r="O329" s="48">
        <f>IF(t&lt;Tnet,'2020'!Resal+('2020'!Salim-'2020'!Resal)*(1-EXP(('2020'!Tnet-t)/('2020'!Tau_j))),Resal+(Salim-Resal)*(1-EXP((Tnet-t)/(Tau_j))))*Salcycl</f>
        <v>5.549484714322464E-2</v>
      </c>
      <c r="P329" s="169">
        <f>(INDEX(Models!$BJ329:$BT329,,T329)*(1-R329)+INDEX(Models!$BJ329:$BT329,,T329+1)*R329-ERP_i)*Q329*Ramure*Pc/MaxiM</f>
        <v>1.7801633781173633E-3</v>
      </c>
      <c r="Q329" s="305">
        <f t="shared" si="101"/>
        <v>0.7</v>
      </c>
      <c r="R329" s="177">
        <f t="shared" si="102"/>
        <v>0.99870867617584724</v>
      </c>
      <c r="S329" s="810">
        <f t="shared" si="103"/>
        <v>-1</v>
      </c>
      <c r="T329" s="176">
        <f t="shared" si="104"/>
        <v>5</v>
      </c>
      <c r="U329" s="251">
        <f t="shared" si="105"/>
        <v>-1.2913238241527569E-3</v>
      </c>
      <c r="V329" s="383">
        <f t="shared" si="106"/>
        <v>23.011098931618946</v>
      </c>
      <c r="W329" s="402"/>
      <c r="X329" s="157">
        <f t="shared" si="107"/>
        <v>44511</v>
      </c>
      <c r="Y329" s="385">
        <f t="shared" si="108"/>
        <v>10.008979846333354</v>
      </c>
      <c r="Z329" s="385">
        <f t="shared" si="109"/>
        <v>10.2919517803048</v>
      </c>
      <c r="AA329" s="386">
        <f t="shared" si="110"/>
        <v>11.862348830564027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0.13238500002739839</v>
      </c>
      <c r="AD329" s="231">
        <f>(INDEX(Models!$BJ329:$BT329,,AH329)*(1-AF329)+INDEX(Models!$BJ329:$BT329,,AH329+1)*AF329-ERP_i)*AE329*Ramure*Pc/MaxiM</f>
        <v>1.7801633781173633E-3</v>
      </c>
      <c r="AE329" s="305">
        <f t="shared" si="112"/>
        <v>0.7</v>
      </c>
      <c r="AF329" s="177">
        <f t="shared" si="113"/>
        <v>0.99870867617584724</v>
      </c>
      <c r="AG329" s="810">
        <f t="shared" si="119"/>
        <v>-1</v>
      </c>
      <c r="AH329" s="176">
        <f t="shared" si="114"/>
        <v>5</v>
      </c>
      <c r="AI329" s="225">
        <f t="shared" si="115"/>
        <v>-1.2913238241527569E-3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6">
        <v>6.9130000000000003</v>
      </c>
      <c r="C330" s="390"/>
      <c r="D330" s="393">
        <f t="shared" si="98"/>
        <v>7.1086084208528817</v>
      </c>
      <c r="E330" s="385">
        <f t="shared" si="120"/>
        <v>7.5272747494826646</v>
      </c>
      <c r="F330" s="385">
        <f t="shared" si="99"/>
        <v>7.5273486146699504</v>
      </c>
      <c r="G330" s="110">
        <f t="shared" si="121"/>
        <v>0.30352212157750946</v>
      </c>
      <c r="H330" s="414" t="b">
        <f>Wh_hp&gt;='2020'!Maxi_hp</f>
        <v>0</v>
      </c>
      <c r="I330" s="380">
        <f>IF(H330,Wh_hp,'2020'!Maxi_hp)</f>
        <v>22.720828660213122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2.7517118579646338E-2</v>
      </c>
      <c r="M330" s="844"/>
      <c r="N330" s="844"/>
      <c r="O330" s="48">
        <f>IF(t&lt;Tnet,'2020'!Resal+('2020'!Salim-'2020'!Resal)*(1-EXP(('2020'!Tnet-t)/('2020'!Tau_j))),Resal+(Salim-Resal)*(1-EXP((Tnet-t)/(Tau_j))))*Salcycl</f>
        <v>5.5619907943250876E-2</v>
      </c>
      <c r="P330" s="169">
        <f>(INDEX(Models!$BJ330:$BT330,,T330)*(1-R330)+INDEX(Models!$BJ330:$BT330,,T330+1)*R330-ERP_i)*Q330*Ramure*Pc/MaxiM</f>
        <v>1.7017190317057862E-3</v>
      </c>
      <c r="Q330" s="305">
        <f t="shared" si="101"/>
        <v>0.7</v>
      </c>
      <c r="R330" s="177">
        <f t="shared" si="102"/>
        <v>0.99873736066469787</v>
      </c>
      <c r="S330" s="810">
        <f t="shared" si="103"/>
        <v>-1</v>
      </c>
      <c r="T330" s="176">
        <f t="shared" si="104"/>
        <v>5</v>
      </c>
      <c r="U330" s="251">
        <f t="shared" si="105"/>
        <v>-1.2626393353021848E-3</v>
      </c>
      <c r="V330" s="383">
        <f t="shared" si="106"/>
        <v>22.737399509239108</v>
      </c>
      <c r="W330" s="402"/>
      <c r="X330" s="157">
        <f t="shared" si="107"/>
        <v>44512</v>
      </c>
      <c r="Y330" s="385">
        <f t="shared" si="108"/>
        <v>6.351140303820566</v>
      </c>
      <c r="Z330" s="385">
        <f t="shared" si="109"/>
        <v>6.5308504912132221</v>
      </c>
      <c r="AA330" s="386">
        <f t="shared" si="110"/>
        <v>7.5272747494826646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0.13237516783055184</v>
      </c>
      <c r="AD330" s="231">
        <f>(INDEX(Models!$BJ330:$BT330,,AH330)*(1-AF330)+INDEX(Models!$BJ330:$BT330,,AH330+1)*AF330-ERP_i)*AE330*Ramure*Pc/MaxiM</f>
        <v>1.7017190317057862E-3</v>
      </c>
      <c r="AE330" s="305">
        <f t="shared" si="112"/>
        <v>0.7</v>
      </c>
      <c r="AF330" s="177">
        <f t="shared" si="113"/>
        <v>0.99873736066469787</v>
      </c>
      <c r="AG330" s="810">
        <f t="shared" si="119"/>
        <v>-1</v>
      </c>
      <c r="AH330" s="176">
        <f t="shared" si="114"/>
        <v>5</v>
      </c>
      <c r="AI330" s="225">
        <f t="shared" si="115"/>
        <v>-1.2626393353021848E-3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6">
        <v>5.2869999999999999</v>
      </c>
      <c r="C331" s="390"/>
      <c r="D331" s="393">
        <f t="shared" si="98"/>
        <v>5.4367260751726905</v>
      </c>
      <c r="E331" s="385">
        <f t="shared" si="120"/>
        <v>5.757689455413221</v>
      </c>
      <c r="F331" s="385">
        <f t="shared" si="99"/>
        <v>5.757689455413221</v>
      </c>
      <c r="G331" s="110">
        <f t="shared" si="121"/>
        <v>0.23492840768376644</v>
      </c>
      <c r="H331" s="414" t="b">
        <f>Wh_hp&gt;='2020'!Maxi_hp</f>
        <v>0</v>
      </c>
      <c r="I331" s="380">
        <f>IF(H331,Wh_hp,'2020'!Maxi_hp)</f>
        <v>24.534938344101679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2.7539749677003011E-2</v>
      </c>
      <c r="M331" s="844"/>
      <c r="N331" s="844"/>
      <c r="O331" s="48">
        <f>IF(t&lt;Tnet,'2020'!Resal+('2020'!Salim-'2020'!Resal)*(1-EXP(('2020'!Tnet-t)/('2020'!Tau_j))),Resal+(Salim-Resal)*(1-EXP((Tnet-t)/(Tau_j))))*Salcycl</f>
        <v>5.5745170476113354E-2</v>
      </c>
      <c r="P331" s="169">
        <f>(INDEX(Models!$BJ331:$BT331,,T331)*(1-R331)+INDEX(Models!$BJ331:$BT331,,T331+1)*R331-ERP_i)*Q331*Ramure*Pc/MaxiM</f>
        <v>1.6246852853976103E-3</v>
      </c>
      <c r="Q331" s="305">
        <f t="shared" si="101"/>
        <v>0.7</v>
      </c>
      <c r="R331" s="177">
        <f t="shared" si="102"/>
        <v>0.99876489410209834</v>
      </c>
      <c r="S331" s="810">
        <f t="shared" si="103"/>
        <v>-1</v>
      </c>
      <c r="T331" s="176">
        <f t="shared" si="104"/>
        <v>5</v>
      </c>
      <c r="U331" s="251">
        <f t="shared" si="105"/>
        <v>-1.2351058979016005E-3</v>
      </c>
      <c r="V331" s="383">
        <f t="shared" si="106"/>
        <v>22.468165263356699</v>
      </c>
      <c r="W331" s="402"/>
      <c r="X331" s="157">
        <f t="shared" si="107"/>
        <v>44513</v>
      </c>
      <c r="Y331" s="385">
        <f t="shared" si="108"/>
        <v>4.8579873595082521</v>
      </c>
      <c r="Z331" s="385">
        <f t="shared" si="109"/>
        <v>4.9955639399088039</v>
      </c>
      <c r="AA331" s="386">
        <f t="shared" si="110"/>
        <v>5.757689455413221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0.1323665545712765</v>
      </c>
      <c r="AD331" s="231">
        <f>(INDEX(Models!$BJ331:$BT331,,AH331)*(1-AF331)+INDEX(Models!$BJ331:$BT331,,AH331+1)*AF331-ERP_i)*AE331*Ramure*Pc/MaxiM</f>
        <v>1.6246852853976103E-3</v>
      </c>
      <c r="AE331" s="305">
        <f t="shared" si="112"/>
        <v>0.7</v>
      </c>
      <c r="AF331" s="177">
        <f t="shared" si="113"/>
        <v>0.99876489410209834</v>
      </c>
      <c r="AG331" s="810">
        <f t="shared" si="119"/>
        <v>-1</v>
      </c>
      <c r="AH331" s="176">
        <f t="shared" si="114"/>
        <v>5</v>
      </c>
      <c r="AI331" s="225">
        <f t="shared" si="115"/>
        <v>-1.2351058979016005E-3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6">
        <v>6.0010000000000003</v>
      </c>
      <c r="C332" s="390"/>
      <c r="D332" s="393">
        <f t="shared" si="98"/>
        <v>6.1710899271138704</v>
      </c>
      <c r="E332" s="385">
        <f t="shared" si="120"/>
        <v>6.5362761793452595</v>
      </c>
      <c r="F332" s="385">
        <f t="shared" si="99"/>
        <v>6.5362761793452595</v>
      </c>
      <c r="G332" s="110">
        <f t="shared" si="121"/>
        <v>0.26987946957048847</v>
      </c>
      <c r="H332" s="414" t="b">
        <f>Wh_hp&gt;='2020'!Maxi_hp</f>
        <v>0</v>
      </c>
      <c r="I332" s="380">
        <f>IF(H332,Wh_hp,'2020'!Maxi_hp)</f>
        <v>18.564263652887913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2.7562380247701079E-2</v>
      </c>
      <c r="M332" s="844"/>
      <c r="N332" s="844"/>
      <c r="O332" s="48">
        <f>IF(t&lt;Tnet,'2020'!Resal+('2020'!Salim-'2020'!Resal)*(1-EXP(('2020'!Tnet-t)/('2020'!Tau_j))),Resal+(Salim-Resal)*(1-EXP((Tnet-t)/(Tau_j))))*Salcycl</f>
        <v>5.5870688785364303E-2</v>
      </c>
      <c r="P332" s="169">
        <f>(INDEX(Models!$BJ332:$BT332,,T332)*(1-R332)+INDEX(Models!$BJ332:$BT332,,T332+1)*R332-ERP_i)*Q332*Ramure*Pc/MaxiM</f>
        <v>1.5520830998565893E-3</v>
      </c>
      <c r="Q332" s="305">
        <f t="shared" si="101"/>
        <v>0.7</v>
      </c>
      <c r="R332" s="177">
        <f t="shared" si="102"/>
        <v>0.99879132252814773</v>
      </c>
      <c r="S332" s="810">
        <f t="shared" si="103"/>
        <v>-1</v>
      </c>
      <c r="T332" s="176">
        <f t="shared" si="104"/>
        <v>5</v>
      </c>
      <c r="U332" s="251">
        <f t="shared" si="105"/>
        <v>-1.2086774718522708E-3</v>
      </c>
      <c r="V332" s="383">
        <f t="shared" si="106"/>
        <v>22.201340320008384</v>
      </c>
      <c r="W332" s="402"/>
      <c r="X332" s="157">
        <f t="shared" si="107"/>
        <v>44514</v>
      </c>
      <c r="Y332" s="385">
        <f t="shared" si="108"/>
        <v>5.5148292862184283</v>
      </c>
      <c r="Z332" s="385">
        <f t="shared" si="109"/>
        <v>5.6711393864247821</v>
      </c>
      <c r="AA332" s="386">
        <f t="shared" si="110"/>
        <v>6.5362761793452595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0.13235927754312524</v>
      </c>
      <c r="AD332" s="231">
        <f>(INDEX(Models!$BJ332:$BT332,,AH332)*(1-AF332)+INDEX(Models!$BJ332:$BT332,,AH332+1)*AF332-ERP_i)*AE332*Ramure*Pc/MaxiM</f>
        <v>1.5520830998565893E-3</v>
      </c>
      <c r="AE332" s="305">
        <f t="shared" si="112"/>
        <v>0.7</v>
      </c>
      <c r="AF332" s="177">
        <f t="shared" si="113"/>
        <v>0.99879132252814773</v>
      </c>
      <c r="AG332" s="810">
        <f t="shared" si="119"/>
        <v>-1</v>
      </c>
      <c r="AH332" s="176">
        <f t="shared" si="114"/>
        <v>5</v>
      </c>
      <c r="AI332" s="225">
        <f t="shared" si="115"/>
        <v>-1.2086774718522708E-3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6">
        <v>4.8049999999999997</v>
      </c>
      <c r="C333" s="390"/>
      <c r="D333" s="393">
        <f t="shared" si="98"/>
        <v>4.9413059762084073</v>
      </c>
      <c r="E333" s="385">
        <f t="shared" si="120"/>
        <v>5.2344149733404812</v>
      </c>
      <c r="F333" s="385">
        <f t="shared" si="99"/>
        <v>5.2344149733404812</v>
      </c>
      <c r="G333" s="110">
        <f t="shared" si="121"/>
        <v>0.21870603738404892</v>
      </c>
      <c r="H333" s="414" t="b">
        <f>Wh_hp&gt;='2020'!Maxi_hp</f>
        <v>0</v>
      </c>
      <c r="I333" s="380">
        <f>IF(H333,Wh_hp,'2020'!Maxi_hp)</f>
        <v>23.679818202153843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2.7585010291752643E-2</v>
      </c>
      <c r="M333" s="844"/>
      <c r="N333" s="844"/>
      <c r="O333" s="48">
        <f>IF(t&lt;Tnet,'2020'!Resal+('2020'!Salim-'2020'!Resal)*(1-EXP(('2020'!Tnet-t)/('2020'!Tau_j))),Resal+(Salim-Resal)*(1-EXP((Tnet-t)/(Tau_j))))*Salcycl</f>
        <v>5.5996515107211445E-2</v>
      </c>
      <c r="P333" s="169">
        <f>(INDEX(Models!$BJ333:$BT333,,T333)*(1-R333)+INDEX(Models!$BJ333:$BT333,,T333+1)*R333-ERP_i)*Q333*Ramure*Pc/MaxiM</f>
        <v>1.4841756896473469E-3</v>
      </c>
      <c r="Q333" s="305">
        <f t="shared" si="101"/>
        <v>0.7</v>
      </c>
      <c r="R333" s="177">
        <f t="shared" si="102"/>
        <v>0.99881669015318386</v>
      </c>
      <c r="S333" s="810">
        <f t="shared" si="103"/>
        <v>-1</v>
      </c>
      <c r="T333" s="176">
        <f t="shared" si="104"/>
        <v>5</v>
      </c>
      <c r="U333" s="251">
        <f t="shared" si="105"/>
        <v>-1.183309846816194E-3</v>
      </c>
      <c r="V333" s="383">
        <f t="shared" si="106"/>
        <v>21.937522133356392</v>
      </c>
      <c r="W333" s="402"/>
      <c r="X333" s="157">
        <f t="shared" si="107"/>
        <v>44515</v>
      </c>
      <c r="Y333" s="385">
        <f t="shared" si="108"/>
        <v>4.4163414071246647</v>
      </c>
      <c r="Z333" s="385">
        <f t="shared" si="109"/>
        <v>4.5416220994800742</v>
      </c>
      <c r="AA333" s="386">
        <f t="shared" si="110"/>
        <v>5.2344149733404812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0.13235344874047733</v>
      </c>
      <c r="AD333" s="231">
        <f>(INDEX(Models!$BJ333:$BT333,,AH333)*(1-AF333)+INDEX(Models!$BJ333:$BT333,,AH333+1)*AF333-ERP_i)*AE333*Ramure*Pc/MaxiM</f>
        <v>1.4841756896473469E-3</v>
      </c>
      <c r="AE333" s="305">
        <f t="shared" si="112"/>
        <v>0.7</v>
      </c>
      <c r="AF333" s="177">
        <f t="shared" si="113"/>
        <v>0.99881669015318386</v>
      </c>
      <c r="AG333" s="810">
        <f t="shared" si="119"/>
        <v>-1</v>
      </c>
      <c r="AH333" s="176">
        <f t="shared" si="114"/>
        <v>5</v>
      </c>
      <c r="AI333" s="225">
        <f t="shared" si="115"/>
        <v>-1.183309846816194E-3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6">
        <v>8.5139999999999993</v>
      </c>
      <c r="C334" s="390"/>
      <c r="D334" s="393">
        <f t="shared" si="98"/>
        <v>8.7557248992877152</v>
      </c>
      <c r="E334" s="385">
        <f t="shared" si="120"/>
        <v>9.276338032346791</v>
      </c>
      <c r="F334" s="385">
        <f t="shared" si="99"/>
        <v>9.2780851786555836</v>
      </c>
      <c r="G334" s="110">
        <f t="shared" si="121"/>
        <v>0.39227660877439591</v>
      </c>
      <c r="H334" s="414" t="b">
        <f>Wh_hp&gt;='2020'!Maxi_hp</f>
        <v>0</v>
      </c>
      <c r="I334" s="380">
        <f>IF(H334,Wh_hp,'2020'!Maxi_hp)</f>
        <v>20.338950705107482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2.7607639809170026E-2</v>
      </c>
      <c r="M334" s="844"/>
      <c r="N334" s="844"/>
      <c r="O334" s="48">
        <f>IF(t&lt;Tnet,'2020'!Resal+('2020'!Salim-'2020'!Resal)*(1-EXP(('2020'!Tnet-t)/('2020'!Tau_j))),Resal+(Salim-Resal)*(1-EXP((Tnet-t)/(Tau_j))))*Salcycl</f>
        <v>5.6122699630359187E-2</v>
      </c>
      <c r="P334" s="169">
        <f>(INDEX(Models!$BJ334:$BT334,,T334)*(1-R334)+INDEX(Models!$BJ334:$BT334,,T334+1)*R334-ERP_i)*Q334*Ramure*Pc/MaxiM</f>
        <v>1.4210330097880425E-3</v>
      </c>
      <c r="Q334" s="305">
        <f t="shared" si="101"/>
        <v>0.7</v>
      </c>
      <c r="R334" s="177">
        <f t="shared" si="102"/>
        <v>0.99884103942957547</v>
      </c>
      <c r="S334" s="810">
        <f t="shared" si="103"/>
        <v>-1</v>
      </c>
      <c r="T334" s="176">
        <f t="shared" si="104"/>
        <v>5</v>
      </c>
      <c r="U334" s="251">
        <f t="shared" si="105"/>
        <v>-1.1589605704245276E-3</v>
      </c>
      <c r="V334" s="383">
        <f t="shared" si="106"/>
        <v>21.677312437810851</v>
      </c>
      <c r="W334" s="402"/>
      <c r="X334" s="157">
        <f t="shared" si="107"/>
        <v>44516</v>
      </c>
      <c r="Y334" s="385">
        <f t="shared" si="108"/>
        <v>7.8264188858227532</v>
      </c>
      <c r="Z334" s="385">
        <f t="shared" si="109"/>
        <v>8.0486223526960199</v>
      </c>
      <c r="AA334" s="386">
        <f t="shared" si="110"/>
        <v>9.276338032346791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0.13234917435842689</v>
      </c>
      <c r="AD334" s="231">
        <f>(INDEX(Models!$BJ334:$BT334,,AH334)*(1-AF334)+INDEX(Models!$BJ334:$BT334,,AH334+1)*AF334-ERP_i)*AE334*Ramure*Pc/MaxiM</f>
        <v>1.4210330097880425E-3</v>
      </c>
      <c r="AE334" s="305">
        <f t="shared" si="112"/>
        <v>0.7</v>
      </c>
      <c r="AF334" s="177">
        <f t="shared" si="113"/>
        <v>0.99884103942957547</v>
      </c>
      <c r="AG334" s="810">
        <f t="shared" si="119"/>
        <v>-1</v>
      </c>
      <c r="AH334" s="176">
        <f t="shared" si="114"/>
        <v>5</v>
      </c>
      <c r="AI334" s="225">
        <f t="shared" si="115"/>
        <v>-1.1589605704245276E-3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6">
        <v>2.7269999999999999</v>
      </c>
      <c r="C335" s="390"/>
      <c r="D335" s="393">
        <f t="shared" ref="D335:D379" si="122">Wh/(1-Ppv)</f>
        <v>2.8044887788048651</v>
      </c>
      <c r="E335" s="385">
        <f t="shared" si="120"/>
        <v>2.9716415043555973</v>
      </c>
      <c r="F335" s="385">
        <f t="shared" ref="F335:F379" si="123">Wh_sa/(1-Pvg*MEDIAN((-Sdif+Wh/Env_an)/Csdif,0,1))</f>
        <v>2.9716415043555973</v>
      </c>
      <c r="G335" s="110">
        <f t="shared" si="121"/>
        <v>0.12712964292893666</v>
      </c>
      <c r="H335" s="414" t="b">
        <f>Wh_hp&gt;='2020'!Maxi_hp</f>
        <v>0</v>
      </c>
      <c r="I335" s="380">
        <f>IF(H335,Wh_hp,'2020'!Maxi_hp)</f>
        <v>21.890995839338444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2.7630268799965441E-2</v>
      </c>
      <c r="M335" s="844"/>
      <c r="N335" s="844"/>
      <c r="O335" s="48">
        <f>IF(t&lt;Tnet,'2020'!Resal+('2020'!Salim-'2020'!Resal)*(1-EXP(('2020'!Tnet-t)/('2020'!Tau_j))),Resal+(Salim-Resal)*(1-EXP((Tnet-t)/(Tau_j))))*Salcycl</f>
        <v>5.6249290267932059E-2</v>
      </c>
      <c r="P335" s="169">
        <f>(INDEX(Models!$BJ335:$BT335,,T335)*(1-R335)+INDEX(Models!$BJ335:$BT335,,T335+1)*R335-ERP_i)*Q335*Ramure*Pc/MaxiM</f>
        <v>1.36273162076243E-3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0.99886441112077085</v>
      </c>
      <c r="S335" s="810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-1.1355888792291546E-3</v>
      </c>
      <c r="V335" s="383">
        <f t="shared" ref="V335:V379" si="130">MaxiM*(1-Ppv)*(1-Pvg)*(1-Psa)</f>
        <v>21.42131267050322</v>
      </c>
      <c r="W335" s="402"/>
      <c r="X335" s="157">
        <f t="shared" ref="X335:X379" si="131">t</f>
        <v>44517</v>
      </c>
      <c r="Y335" s="385">
        <f t="shared" ref="Y335:Y379" si="132">Wh_pvt_s*(1-Ppv)</f>
        <v>2.5071143491068035</v>
      </c>
      <c r="Z335" s="385">
        <f t="shared" ref="Z335:Z379" si="133">Wh_sa_s*(1-Psa_s)</f>
        <v>2.5783549905576435</v>
      </c>
      <c r="AA335" s="386">
        <f t="shared" ref="AA335:AA379" si="134">Wh_hp*(1-Pvg_s*MEDIAN((-Sdif+Wh/Env_an)/Csdif,0,1))</f>
        <v>2.9716415043555973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0.13234655432746698</v>
      </c>
      <c r="AD335" s="231">
        <f>(INDEX(Models!$BJ335:$BT335,,AH335)*(1-AF335)+INDEX(Models!$BJ335:$BT335,,AH335+1)*AF335-ERP_i)*AE335*Ramure*Pc/MaxiM</f>
        <v>1.36273162076243E-3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0.99886441112077085</v>
      </c>
      <c r="AG335" s="810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-1.1355888792291546E-3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14.987</v>
      </c>
      <c r="C336" s="390"/>
      <c r="D336" s="393">
        <f t="shared" si="122"/>
        <v>15.413220194549622</v>
      </c>
      <c r="E336" s="385">
        <f t="shared" si="120"/>
        <v>16.334075463003174</v>
      </c>
      <c r="F336" s="385">
        <f t="shared" si="123"/>
        <v>16.346548507360659</v>
      </c>
      <c r="G336" s="110">
        <f t="shared" si="121"/>
        <v>0.70754456337167904</v>
      </c>
      <c r="H336" s="414" t="b">
        <f>Wh_hp&gt;='2020'!Maxi_hp</f>
        <v>0</v>
      </c>
      <c r="I336" s="380">
        <f>IF(H336,Wh_hp,'2020'!Maxi_hp)</f>
        <v>21.900036147132251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2.7652897264151211E-2</v>
      </c>
      <c r="M336" s="844"/>
      <c r="N336" s="844"/>
      <c r="O336" s="48">
        <f>IF(t&lt;Tnet,'2020'!Resal+('2020'!Salim-'2020'!Resal)*(1-EXP(('2020'!Tnet-t)/('2020'!Tau_j))),Resal+(Salim-Resal)*(1-EXP((Tnet-t)/(Tau_j))))*Salcycl</f>
        <v>5.6376332443136848E-2</v>
      </c>
      <c r="P336" s="169">
        <f>(INDEX(Models!$BJ336:$BT336,,T336)*(1-R336)+INDEX(Models!$BJ336:$BT336,,T336+1)*R336-ERP_i)*Q336*Ramure*Pc/MaxiM</f>
        <v>1.3093539927222797E-3</v>
      </c>
      <c r="Q336" s="305">
        <f t="shared" si="125"/>
        <v>0.7</v>
      </c>
      <c r="R336" s="177">
        <f t="shared" si="126"/>
        <v>0.99888684436770148</v>
      </c>
      <c r="S336" s="810">
        <f t="shared" si="127"/>
        <v>-1</v>
      </c>
      <c r="T336" s="176">
        <f t="shared" si="128"/>
        <v>5</v>
      </c>
      <c r="U336" s="251">
        <f t="shared" si="129"/>
        <v>-1.1131556322984681E-3</v>
      </c>
      <c r="V336" s="383">
        <f t="shared" si="130"/>
        <v>21.17012396323452</v>
      </c>
      <c r="W336" s="402"/>
      <c r="X336" s="157">
        <f t="shared" si="131"/>
        <v>44518</v>
      </c>
      <c r="Y336" s="385">
        <f t="shared" si="132"/>
        <v>13.780425091750956</v>
      </c>
      <c r="Z336" s="385">
        <f t="shared" si="133"/>
        <v>14.172331107870432</v>
      </c>
      <c r="AA336" s="386">
        <f t="shared" si="134"/>
        <v>16.334075463003174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0.13234568188625753</v>
      </c>
      <c r="AD336" s="231">
        <f>(INDEX(Models!$BJ336:$BT336,,AH336)*(1-AF336)+INDEX(Models!$BJ336:$BT336,,AH336+1)*AF336-ERP_i)*AE336*Ramure*Pc/MaxiM</f>
        <v>1.3093539927222797E-3</v>
      </c>
      <c r="AE336" s="305">
        <f t="shared" si="136"/>
        <v>0.7</v>
      </c>
      <c r="AF336" s="177">
        <f t="shared" si="137"/>
        <v>0.99888684436770148</v>
      </c>
      <c r="AG336" s="810">
        <f t="shared" ref="AG336:AG379" si="143">INDEX(Echel_vg,AH336)</f>
        <v>-1</v>
      </c>
      <c r="AH336" s="176">
        <f t="shared" si="138"/>
        <v>5</v>
      </c>
      <c r="AI336" s="225">
        <f t="shared" si="139"/>
        <v>-1.1131556322984681E-3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6">
        <v>20.527999999999999</v>
      </c>
      <c r="C337" s="390"/>
      <c r="D337" s="393">
        <f t="shared" si="122"/>
        <v>21.112293819672885</v>
      </c>
      <c r="E337" s="385">
        <f t="shared" si="120"/>
        <v>22.376661783275829</v>
      </c>
      <c r="F337" s="385">
        <f t="shared" si="123"/>
        <v>22.404148660513918</v>
      </c>
      <c r="G337" s="110">
        <f t="shared" si="121"/>
        <v>0.98102457185694569</v>
      </c>
      <c r="H337" s="414" t="b">
        <f>Wh_hp&gt;='2020'!Maxi_hp</f>
        <v>1</v>
      </c>
      <c r="I337" s="380">
        <f>IF(H337,Wh_hp,'2020'!Maxi_hp)</f>
        <v>22.404148660513918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2.7675525201739548E-2</v>
      </c>
      <c r="M337" s="844"/>
      <c r="N337" s="844"/>
      <c r="O337" s="48">
        <f>IF(t&lt;Tnet,'2020'!Resal+('2020'!Salim-'2020'!Resal)*(1-EXP(('2020'!Tnet-t)/('2020'!Tau_j))),Resal+(Salim-Resal)*(1-EXP((Tnet-t)/(Tau_j))))*Salcycl</f>
        <v>5.650386889021683E-2</v>
      </c>
      <c r="P337" s="169">
        <f>(INDEX(Models!$BJ337:$BT337,,T337)*(1-R337)+INDEX(Models!$BJ337:$BT337,,T337+1)*R337-ERP_i)*Q337*Ramure*Pc/MaxiM</f>
        <v>1.2609876749744326E-3</v>
      </c>
      <c r="Q337" s="305">
        <f t="shared" si="125"/>
        <v>0.7</v>
      </c>
      <c r="R337" s="177">
        <f t="shared" si="126"/>
        <v>0.99890837675263788</v>
      </c>
      <c r="S337" s="810">
        <f t="shared" si="127"/>
        <v>-1</v>
      </c>
      <c r="T337" s="176">
        <f t="shared" si="128"/>
        <v>5</v>
      </c>
      <c r="U337" s="251">
        <f t="shared" si="129"/>
        <v>-1.0916232473620613E-3</v>
      </c>
      <c r="V337" s="383">
        <f t="shared" si="130"/>
        <v>20.924347125051991</v>
      </c>
      <c r="W337" s="402"/>
      <c r="X337" s="157">
        <f t="shared" si="131"/>
        <v>44519</v>
      </c>
      <c r="Y337" s="385">
        <f t="shared" si="132"/>
        <v>18.877860248915983</v>
      </c>
      <c r="Z337" s="385">
        <f t="shared" si="133"/>
        <v>19.415185710338921</v>
      </c>
      <c r="AA337" s="386">
        <f t="shared" si="134"/>
        <v>22.376661783275829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0.13234664319546957</v>
      </c>
      <c r="AD337" s="231">
        <f>(INDEX(Models!$BJ337:$BT337,,AH337)*(1-AF337)+INDEX(Models!$BJ337:$BT337,,AH337+1)*AF337-ERP_i)*AE337*Ramure*Pc/MaxiM</f>
        <v>1.2609876749744326E-3</v>
      </c>
      <c r="AE337" s="305">
        <f t="shared" si="136"/>
        <v>0.7</v>
      </c>
      <c r="AF337" s="177">
        <f t="shared" si="137"/>
        <v>0.99890837675263788</v>
      </c>
      <c r="AG337" s="810">
        <f t="shared" si="143"/>
        <v>-1</v>
      </c>
      <c r="AH337" s="176">
        <f t="shared" si="138"/>
        <v>5</v>
      </c>
      <c r="AI337" s="225">
        <f t="shared" si="139"/>
        <v>-1.0916232473620613E-3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6">
        <v>15.93</v>
      </c>
      <c r="C338" s="390"/>
      <c r="D338" s="393">
        <f t="shared" si="122"/>
        <v>16.383801021058076</v>
      </c>
      <c r="E338" s="385">
        <f t="shared" si="120"/>
        <v>17.367347599080762</v>
      </c>
      <c r="F338" s="385">
        <f t="shared" si="123"/>
        <v>17.381569904392581</v>
      </c>
      <c r="G338" s="110">
        <f t="shared" si="121"/>
        <v>0.76983090714590163</v>
      </c>
      <c r="H338" s="414" t="b">
        <f>Wh_hp&gt;='2020'!Maxi_hp</f>
        <v>0</v>
      </c>
      <c r="I338" s="380">
        <f>IF(H338,Wh_hp,'2020'!Maxi_hp)</f>
        <v>23.081621560560357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2.7698152612742777E-2</v>
      </c>
      <c r="M338" s="844"/>
      <c r="N338" s="844"/>
      <c r="O338" s="48">
        <f>IF(t&lt;Tnet,'2020'!Resal+('2020'!Salim-'2020'!Resal)*(1-EXP(('2020'!Tnet-t)/('2020'!Tau_j))),Resal+(Salim-Resal)*(1-EXP((Tnet-t)/(Tau_j))))*Salcycl</f>
        <v>5.6631939472135989E-2</v>
      </c>
      <c r="P338" s="169">
        <f>(INDEX(Models!$BJ338:$BT338,,T338)*(1-R338)+INDEX(Models!$BJ338:$BT338,,T338+1)*R338-ERP_i)*Q338*Ramure*Pc/MaxiM</f>
        <v>1.2182951666816172E-3</v>
      </c>
      <c r="Q338" s="305">
        <f t="shared" si="125"/>
        <v>0.7</v>
      </c>
      <c r="R338" s="177">
        <f t="shared" si="126"/>
        <v>0.99892904436058916</v>
      </c>
      <c r="S338" s="810">
        <f t="shared" si="127"/>
        <v>-1</v>
      </c>
      <c r="T338" s="176">
        <f t="shared" si="128"/>
        <v>5</v>
      </c>
      <c r="U338" s="251">
        <f t="shared" si="129"/>
        <v>-1.0709556394107866E-3</v>
      </c>
      <c r="V338" s="383">
        <f t="shared" si="130"/>
        <v>20.68457081071876</v>
      </c>
      <c r="W338" s="402"/>
      <c r="X338" s="157">
        <f t="shared" si="131"/>
        <v>44520</v>
      </c>
      <c r="Y338" s="385">
        <f t="shared" si="132"/>
        <v>14.651409956077629</v>
      </c>
      <c r="Z338" s="385">
        <f t="shared" si="133"/>
        <v>15.068787532851546</v>
      </c>
      <c r="AA338" s="386">
        <f t="shared" si="134"/>
        <v>17.367347599080762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0.1323495169953802</v>
      </c>
      <c r="AD338" s="231">
        <f>(INDEX(Models!$BJ338:$BT338,,AH338)*(1-AF338)+INDEX(Models!$BJ338:$BT338,,AH338+1)*AF338-ERP_i)*AE338*Ramure*Pc/MaxiM</f>
        <v>1.2182951666816172E-3</v>
      </c>
      <c r="AE338" s="305">
        <f t="shared" si="136"/>
        <v>0.7</v>
      </c>
      <c r="AF338" s="177">
        <f t="shared" si="137"/>
        <v>0.99892904436058916</v>
      </c>
      <c r="AG338" s="810">
        <f t="shared" si="143"/>
        <v>-1</v>
      </c>
      <c r="AH338" s="176">
        <f t="shared" si="138"/>
        <v>5</v>
      </c>
      <c r="AI338" s="225">
        <f t="shared" si="139"/>
        <v>-1.0709556394107866E-3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6">
        <v>8.120000000000001</v>
      </c>
      <c r="C339" s="390"/>
      <c r="D339" s="393">
        <f t="shared" si="122"/>
        <v>8.3515103776471094</v>
      </c>
      <c r="E339" s="385">
        <f t="shared" si="120"/>
        <v>8.8540726877652283</v>
      </c>
      <c r="F339" s="385">
        <f t="shared" si="123"/>
        <v>8.855519219388853</v>
      </c>
      <c r="G339" s="110">
        <f t="shared" si="121"/>
        <v>0.39663465897355549</v>
      </c>
      <c r="H339" s="414" t="b">
        <f>Wh_hp&gt;='2020'!Maxi_hp</f>
        <v>0</v>
      </c>
      <c r="I339" s="380">
        <f>IF(H339,Wh_hp,'2020'!Maxi_hp)</f>
        <v>22.83442232679824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2.7720779497172998E-2</v>
      </c>
      <c r="M339" s="844"/>
      <c r="N339" s="844"/>
      <c r="O339" s="48">
        <f>IF(t&lt;Tnet,'2020'!Resal+('2020'!Salim-'2020'!Resal)*(1-EXP(('2020'!Tnet-t)/('2020'!Tau_j))),Resal+(Salim-Resal)*(1-EXP((Tnet-t)/(Tau_j))))*Salcycl</f>
        <v>5.6760581016301243E-2</v>
      </c>
      <c r="P339" s="169">
        <f>(INDEX(Models!$BJ339:$BT339,,T339)*(1-R339)+INDEX(Models!$BJ339:$BT339,,T339+1)*R339-ERP_i)*Q339*Ramure*Pc/MaxiM</f>
        <v>1.1783420550134922E-3</v>
      </c>
      <c r="Q339" s="305">
        <f t="shared" si="125"/>
        <v>0.7</v>
      </c>
      <c r="R339" s="177">
        <f t="shared" si="126"/>
        <v>0.99894888183833719</v>
      </c>
      <c r="S339" s="810">
        <f t="shared" si="127"/>
        <v>-1</v>
      </c>
      <c r="T339" s="176">
        <f t="shared" si="128"/>
        <v>5</v>
      </c>
      <c r="U339" s="251">
        <f t="shared" si="129"/>
        <v>-1.0511181616627563E-3</v>
      </c>
      <c r="V339" s="383">
        <f t="shared" si="130"/>
        <v>20.451457578163989</v>
      </c>
      <c r="W339" s="402"/>
      <c r="X339" s="157">
        <f t="shared" si="131"/>
        <v>44521</v>
      </c>
      <c r="Y339" s="385">
        <f t="shared" si="132"/>
        <v>7.4692409358776235</v>
      </c>
      <c r="Z339" s="385">
        <f t="shared" si="133"/>
        <v>7.682197437084799</v>
      </c>
      <c r="AA339" s="386">
        <f t="shared" si="134"/>
        <v>8.8540726877652283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0.13235437430954861</v>
      </c>
      <c r="AD339" s="231">
        <f>(INDEX(Models!$BJ339:$BT339,,AH339)*(1-AF339)+INDEX(Models!$BJ339:$BT339,,AH339+1)*AF339-ERP_i)*AE339*Ramure*Pc/MaxiM</f>
        <v>1.1783420550134922E-3</v>
      </c>
      <c r="AE339" s="305">
        <f t="shared" si="136"/>
        <v>0.7</v>
      </c>
      <c r="AF339" s="177">
        <f t="shared" si="137"/>
        <v>0.99894888183833719</v>
      </c>
      <c r="AG339" s="810">
        <f t="shared" si="143"/>
        <v>-1</v>
      </c>
      <c r="AH339" s="176">
        <f t="shared" si="138"/>
        <v>5</v>
      </c>
      <c r="AI339" s="225">
        <f t="shared" si="139"/>
        <v>-1.0511181616627563E-3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6">
        <v>16.654</v>
      </c>
      <c r="C340" s="390"/>
      <c r="D340" s="393">
        <f t="shared" si="122"/>
        <v>17.129222985261638</v>
      </c>
      <c r="E340" s="385">
        <f t="shared" si="120"/>
        <v>18.162483534508535</v>
      </c>
      <c r="F340" s="385">
        <f t="shared" si="123"/>
        <v>18.177994625308646</v>
      </c>
      <c r="G340" s="110">
        <f t="shared" si="121"/>
        <v>0.82317439750329713</v>
      </c>
      <c r="H340" s="414" t="b">
        <f>Wh_hp&gt;='2020'!Maxi_hp</f>
        <v>0</v>
      </c>
      <c r="I340" s="380">
        <f>IF(H340,Wh_hp,'2020'!Maxi_hp)</f>
        <v>22.832707218785405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2.7743405855042647E-2</v>
      </c>
      <c r="M340" s="844"/>
      <c r="N340" s="844"/>
      <c r="O340" s="48">
        <f>IF(t&lt;Tnet,'2020'!Resal+('2020'!Salim-'2020'!Resal)*(1-EXP(('2020'!Tnet-t)/('2020'!Tau_j))),Resal+(Salim-Resal)*(1-EXP((Tnet-t)/(Tau_j))))*Salcycl</f>
        <v>5.6889827169489884E-2</v>
      </c>
      <c r="P340" s="169">
        <f>(INDEX(Models!$BJ340:$BT340,,T340)*(1-R340)+INDEX(Models!$BJ340:$BT340,,T340+1)*R340-ERP_i)*Q340*Ramure*Pc/MaxiM</f>
        <v>1.1411717926172644E-3</v>
      </c>
      <c r="Q340" s="305">
        <f t="shared" si="125"/>
        <v>0.7</v>
      </c>
      <c r="R340" s="177">
        <f t="shared" si="126"/>
        <v>0.99896792245119215</v>
      </c>
      <c r="S340" s="810">
        <f t="shared" si="127"/>
        <v>-1</v>
      </c>
      <c r="T340" s="176">
        <f t="shared" si="128"/>
        <v>5</v>
      </c>
      <c r="U340" s="251">
        <f t="shared" si="129"/>
        <v>-1.0320775488078526E-3</v>
      </c>
      <c r="V340" s="383">
        <f t="shared" si="130"/>
        <v>20.225606582576972</v>
      </c>
      <c r="W340" s="402"/>
      <c r="X340" s="157">
        <f t="shared" si="131"/>
        <v>44522</v>
      </c>
      <c r="Y340" s="385">
        <f t="shared" si="132"/>
        <v>15.321280258856454</v>
      </c>
      <c r="Z340" s="385">
        <f t="shared" si="133"/>
        <v>15.758473998657342</v>
      </c>
      <c r="AA340" s="386">
        <f t="shared" si="134"/>
        <v>18.162483534508535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0.13236127819654173</v>
      </c>
      <c r="AD340" s="231">
        <f>(INDEX(Models!$BJ340:$BT340,,AH340)*(1-AF340)+INDEX(Models!$BJ340:$BT340,,AH340+1)*AF340-ERP_i)*AE340*Ramure*Pc/MaxiM</f>
        <v>1.1411717926172644E-3</v>
      </c>
      <c r="AE340" s="305">
        <f t="shared" si="136"/>
        <v>0.7</v>
      </c>
      <c r="AF340" s="177">
        <f t="shared" si="137"/>
        <v>0.99896792245119215</v>
      </c>
      <c r="AG340" s="810">
        <f t="shared" si="143"/>
        <v>-1</v>
      </c>
      <c r="AH340" s="176">
        <f t="shared" si="138"/>
        <v>5</v>
      </c>
      <c r="AI340" s="225">
        <f t="shared" si="139"/>
        <v>-1.0320775488078526E-3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6">
        <v>11.13</v>
      </c>
      <c r="C341" s="390"/>
      <c r="D341" s="393">
        <f t="shared" si="122"/>
        <v>11.447861690437808</v>
      </c>
      <c r="E341" s="385">
        <f t="shared" si="120"/>
        <v>12.140085843652008</v>
      </c>
      <c r="F341" s="385">
        <f t="shared" si="123"/>
        <v>12.145007444074862</v>
      </c>
      <c r="G341" s="110">
        <f t="shared" si="121"/>
        <v>0.55589770137048578</v>
      </c>
      <c r="H341" s="414" t="b">
        <f>Wh_hp&gt;='2020'!Maxi_hp</f>
        <v>0</v>
      </c>
      <c r="I341" s="380">
        <f>IF(H341,Wh_hp,'2020'!Maxi_hp)</f>
        <v>22.481417216990419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2.7766031686363823E-2</v>
      </c>
      <c r="M341" s="844"/>
      <c r="N341" s="844"/>
      <c r="O341" s="48">
        <f>IF(t&lt;Tnet,'2020'!Resal+('2020'!Salim-'2020'!Resal)*(1-EXP(('2020'!Tnet-t)/('2020'!Tau_j))),Resal+(Salim-Resal)*(1-EXP((Tnet-t)/(Tau_j))))*Salcycl</f>
        <v>5.7019708272998723E-2</v>
      </c>
      <c r="P341" s="169">
        <f>(INDEX(Models!$BJ341:$BT341,,T341)*(1-R341)+INDEX(Models!$BJ341:$BT341,,T341+1)*R341-ERP_i)*Q341*Ramure*Pc/MaxiM</f>
        <v>1.1068227832963648E-3</v>
      </c>
      <c r="Q341" s="305">
        <f t="shared" si="125"/>
        <v>0.7</v>
      </c>
      <c r="R341" s="177">
        <f t="shared" si="126"/>
        <v>0.99898619813755185</v>
      </c>
      <c r="S341" s="810">
        <f t="shared" si="127"/>
        <v>-1</v>
      </c>
      <c r="T341" s="176">
        <f t="shared" si="128"/>
        <v>5</v>
      </c>
      <c r="U341" s="251">
        <f t="shared" si="129"/>
        <v>-1.0138018624480938E-3</v>
      </c>
      <c r="V341" s="383">
        <f t="shared" si="130"/>
        <v>20.007616782217262</v>
      </c>
      <c r="W341" s="402"/>
      <c r="X341" s="157">
        <f t="shared" si="131"/>
        <v>44523</v>
      </c>
      <c r="Y341" s="385">
        <f t="shared" si="132"/>
        <v>10.240636870987482</v>
      </c>
      <c r="Z341" s="385">
        <f t="shared" si="133"/>
        <v>10.533099238190699</v>
      </c>
      <c r="AA341" s="386">
        <f t="shared" si="134"/>
        <v>12.140085843652008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0.13237028355129749</v>
      </c>
      <c r="AD341" s="231">
        <f>(INDEX(Models!$BJ341:$BT341,,AH341)*(1-AF341)+INDEX(Models!$BJ341:$BT341,,AH341+1)*AF341-ERP_i)*AE341*Ramure*Pc/MaxiM</f>
        <v>1.1068227832963648E-3</v>
      </c>
      <c r="AE341" s="305">
        <f t="shared" si="136"/>
        <v>0.7</v>
      </c>
      <c r="AF341" s="177">
        <f t="shared" si="137"/>
        <v>0.99898619813755185</v>
      </c>
      <c r="AG341" s="810">
        <f t="shared" si="143"/>
        <v>-1</v>
      </c>
      <c r="AH341" s="176">
        <f t="shared" si="138"/>
        <v>5</v>
      </c>
      <c r="AI341" s="225">
        <f t="shared" si="139"/>
        <v>-1.0138018624480938E-3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6">
        <v>1.7450000000000001</v>
      </c>
      <c r="C342" s="390"/>
      <c r="D342" s="393">
        <f t="shared" si="122"/>
        <v>1.7948772276195439</v>
      </c>
      <c r="E342" s="385">
        <f t="shared" si="120"/>
        <v>1.9036725947225628</v>
      </c>
      <c r="F342" s="385">
        <f t="shared" si="123"/>
        <v>1.9036725947225628</v>
      </c>
      <c r="G342" s="110">
        <f t="shared" si="121"/>
        <v>8.8045050025399377E-2</v>
      </c>
      <c r="H342" s="414" t="b">
        <f>Wh_hp&gt;='2020'!Maxi_hp</f>
        <v>0</v>
      </c>
      <c r="I342" s="380">
        <f>IF(H342,Wh_hp,'2020'!Maxi_hp)</f>
        <v>21.083338860152271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2.7788656991148963E-2</v>
      </c>
      <c r="M342" s="844"/>
      <c r="N342" s="844"/>
      <c r="O342" s="48">
        <f>IF(t&lt;Tnet,'2020'!Resal+('2020'!Salim-'2020'!Resal)*(1-EXP(('2020'!Tnet-t)/('2020'!Tau_j))),Resal+(Salim-Resal)*(1-EXP((Tnet-t)/(Tau_j))))*Salcycl</f>
        <v>5.7150251258869654E-2</v>
      </c>
      <c r="P342" s="169">
        <f>(INDEX(Models!$BJ342:$BT342,,T342)*(1-R342)+INDEX(Models!$BJ342:$BT342,,T342+1)*R342-ERP_i)*Q342*Ramure*Pc/MaxiM</f>
        <v>1.07533978459932E-3</v>
      </c>
      <c r="Q342" s="305">
        <f t="shared" si="125"/>
        <v>0.7</v>
      </c>
      <c r="R342" s="177">
        <f t="shared" si="126"/>
        <v>0.99900373956135025</v>
      </c>
      <c r="S342" s="810">
        <f t="shared" si="127"/>
        <v>-1</v>
      </c>
      <c r="T342" s="176">
        <f t="shared" si="128"/>
        <v>5</v>
      </c>
      <c r="U342" s="251">
        <f t="shared" si="129"/>
        <v>-9.9626043864969871E-4</v>
      </c>
      <c r="V342" s="383">
        <f t="shared" si="130"/>
        <v>19.798086679183157</v>
      </c>
      <c r="W342" s="402"/>
      <c r="X342" s="157">
        <f t="shared" si="131"/>
        <v>44524</v>
      </c>
      <c r="Y342" s="385">
        <f t="shared" si="132"/>
        <v>1.6057642212143788</v>
      </c>
      <c r="Z342" s="385">
        <f t="shared" si="133"/>
        <v>1.6516616811369171</v>
      </c>
      <c r="AA342" s="386">
        <f t="shared" si="134"/>
        <v>1.9036725947225628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0.13238143695732152</v>
      </c>
      <c r="AD342" s="231">
        <f>(INDEX(Models!$BJ342:$BT342,,AH342)*(1-AF342)+INDEX(Models!$BJ342:$BT342,,AH342+1)*AF342-ERP_i)*AE342*Ramure*Pc/MaxiM</f>
        <v>1.07533978459932E-3</v>
      </c>
      <c r="AE342" s="305">
        <f t="shared" si="136"/>
        <v>0.7</v>
      </c>
      <c r="AF342" s="177">
        <f t="shared" si="137"/>
        <v>0.99900373956135025</v>
      </c>
      <c r="AG342" s="810">
        <f t="shared" si="143"/>
        <v>-1</v>
      </c>
      <c r="AH342" s="176">
        <f t="shared" si="138"/>
        <v>5</v>
      </c>
      <c r="AI342" s="225">
        <f t="shared" si="139"/>
        <v>-9.9626043864969871E-4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6">
        <v>13.859</v>
      </c>
      <c r="C343" s="390"/>
      <c r="D343" s="393">
        <f t="shared" si="122"/>
        <v>14.255462689614173</v>
      </c>
      <c r="E343" s="385">
        <f t="shared" si="120"/>
        <v>15.121653368048603</v>
      </c>
      <c r="F343" s="385">
        <f t="shared" si="123"/>
        <v>15.13086640085683</v>
      </c>
      <c r="G343" s="110">
        <f t="shared" si="121"/>
        <v>0.70686806387645851</v>
      </c>
      <c r="H343" s="414" t="b">
        <f>Wh_hp&gt;='2020'!Maxi_hp</f>
        <v>0</v>
      </c>
      <c r="I343" s="380">
        <f>IF(H343,Wh_hp,'2020'!Maxi_hp)</f>
        <v>19.914924416032331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2.7811281769410168E-2</v>
      </c>
      <c r="M343" s="844"/>
      <c r="N343" s="844"/>
      <c r="O343" s="48">
        <f>IF(t&lt;Tnet,'2020'!Resal+('2020'!Salim-'2020'!Resal)*(1-EXP(('2020'!Tnet-t)/('2020'!Tau_j))),Resal+(Salim-Resal)*(1-EXP((Tnet-t)/(Tau_j))))*Salcycl</f>
        <v>5.7281479567879302E-2</v>
      </c>
      <c r="P343" s="169">
        <f>(INDEX(Models!$BJ343:$BT343,,T343)*(1-R343)+INDEX(Models!$BJ343:$BT343,,T343+1)*R343-ERP_i)*Q343*Ramure*Pc/MaxiM</f>
        <v>1.0467733274844035E-3</v>
      </c>
      <c r="Q343" s="305">
        <f t="shared" si="125"/>
        <v>0.7</v>
      </c>
      <c r="R343" s="177">
        <f t="shared" si="126"/>
        <v>0.9990205761624682</v>
      </c>
      <c r="S343" s="810">
        <f t="shared" si="127"/>
        <v>-1</v>
      </c>
      <c r="T343" s="176">
        <f t="shared" si="128"/>
        <v>5</v>
      </c>
      <c r="U343" s="251">
        <f t="shared" si="129"/>
        <v>-9.7942383753180096E-4</v>
      </c>
      <c r="V343" s="383">
        <f t="shared" si="130"/>
        <v>19.597614300496947</v>
      </c>
      <c r="W343" s="402"/>
      <c r="X343" s="157">
        <f t="shared" si="131"/>
        <v>44525</v>
      </c>
      <c r="Y343" s="385">
        <f t="shared" si="132"/>
        <v>12.75475184864357</v>
      </c>
      <c r="Z343" s="385">
        <f t="shared" si="133"/>
        <v>13.119625448706676</v>
      </c>
      <c r="AA343" s="386">
        <f t="shared" si="134"/>
        <v>15.121653368048603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0.13239477659050994</v>
      </c>
      <c r="AD343" s="231">
        <f>(INDEX(Models!$BJ343:$BT343,,AH343)*(1-AF343)+INDEX(Models!$BJ343:$BT343,,AH343+1)*AF343-ERP_i)*AE343*Ramure*Pc/MaxiM</f>
        <v>1.0467733274844035E-3</v>
      </c>
      <c r="AE343" s="305">
        <f t="shared" si="136"/>
        <v>0.7</v>
      </c>
      <c r="AF343" s="177">
        <f t="shared" si="137"/>
        <v>0.9990205761624682</v>
      </c>
      <c r="AG343" s="810">
        <f t="shared" si="143"/>
        <v>-1</v>
      </c>
      <c r="AH343" s="176">
        <f t="shared" si="138"/>
        <v>5</v>
      </c>
      <c r="AI343" s="225">
        <f t="shared" si="139"/>
        <v>-9.7942383753180096E-4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6">
        <v>7.2949999999999999</v>
      </c>
      <c r="C344" s="390"/>
      <c r="D344" s="393">
        <f t="shared" si="122"/>
        <v>7.5038617836827983</v>
      </c>
      <c r="E344" s="385">
        <f t="shared" si="120"/>
        <v>7.9609256994421189</v>
      </c>
      <c r="F344" s="385">
        <f t="shared" si="123"/>
        <v>7.961807256009461</v>
      </c>
      <c r="G344" s="110">
        <f t="shared" si="121"/>
        <v>0.37555694601178474</v>
      </c>
      <c r="H344" s="414" t="b">
        <f>Wh_hp&gt;='2020'!Maxi_hp</f>
        <v>0</v>
      </c>
      <c r="I344" s="380">
        <f>IF(H344,Wh_hp,'2020'!Maxi_hp)</f>
        <v>21.504267084607424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2.7833906021159649E-2</v>
      </c>
      <c r="M344" s="844"/>
      <c r="N344" s="844"/>
      <c r="O344" s="48">
        <f>IF(t&lt;Tnet,'2020'!Resal+('2020'!Salim-'2020'!Resal)*(1-EXP(('2020'!Tnet-t)/('2020'!Tau_j))),Resal+(Salim-Resal)*(1-EXP((Tnet-t)/(Tau_j))))*Salcycl</f>
        <v>5.7413413089805659E-2</v>
      </c>
      <c r="P344" s="169">
        <f>(INDEX(Models!$BJ344:$BT344,,T344)*(1-R344)+INDEX(Models!$BJ344:$BT344,,T344+1)*R344-ERP_i)*Q344*Ramure*Pc/MaxiM</f>
        <v>1.0211728171218846E-3</v>
      </c>
      <c r="Q344" s="305">
        <f t="shared" si="125"/>
        <v>0.7</v>
      </c>
      <c r="R344" s="177">
        <f t="shared" si="126"/>
        <v>0.99903673620518685</v>
      </c>
      <c r="S344" s="810">
        <f t="shared" si="127"/>
        <v>-1</v>
      </c>
      <c r="T344" s="176">
        <f t="shared" si="128"/>
        <v>5</v>
      </c>
      <c r="U344" s="251">
        <f t="shared" si="129"/>
        <v>-9.6326379481309621E-4</v>
      </c>
      <c r="V344" s="383">
        <f t="shared" si="130"/>
        <v>19.406797322681562</v>
      </c>
      <c r="W344" s="402"/>
      <c r="X344" s="157">
        <f t="shared" si="131"/>
        <v>44526</v>
      </c>
      <c r="Y344" s="385">
        <f t="shared" si="132"/>
        <v>6.714573191127438</v>
      </c>
      <c r="Z344" s="385">
        <f t="shared" si="133"/>
        <v>6.9068168831586343</v>
      </c>
      <c r="AA344" s="386">
        <f t="shared" si="134"/>
        <v>7.9609256994421189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0.13241033217498227</v>
      </c>
      <c r="AD344" s="231">
        <f>(INDEX(Models!$BJ344:$BT344,,AH344)*(1-AF344)+INDEX(Models!$BJ344:$BT344,,AH344+1)*AF344-ERP_i)*AE344*Ramure*Pc/MaxiM</f>
        <v>1.0211728171218846E-3</v>
      </c>
      <c r="AE344" s="305">
        <f t="shared" si="136"/>
        <v>0.7</v>
      </c>
      <c r="AF344" s="177">
        <f t="shared" si="137"/>
        <v>0.99903673620518685</v>
      </c>
      <c r="AG344" s="810">
        <f t="shared" si="143"/>
        <v>-1</v>
      </c>
      <c r="AH344" s="176">
        <f t="shared" si="138"/>
        <v>5</v>
      </c>
      <c r="AI344" s="225">
        <f t="shared" si="139"/>
        <v>-9.6326379481309621E-4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6">
        <v>13.795</v>
      </c>
      <c r="C345" s="390"/>
      <c r="D345" s="393">
        <f t="shared" si="122"/>
        <v>14.190292299552741</v>
      </c>
      <c r="E345" s="385">
        <f t="shared" si="120"/>
        <v>15.056749003466921</v>
      </c>
      <c r="F345" s="385">
        <f t="shared" si="123"/>
        <v>15.065725404499943</v>
      </c>
      <c r="G345" s="110">
        <f t="shared" si="121"/>
        <v>0.71731653203245005</v>
      </c>
      <c r="H345" s="414" t="b">
        <f>Wh_hp&gt;='2020'!Maxi_hp</f>
        <v>0</v>
      </c>
      <c r="I345" s="380">
        <f>IF(H345,Wh_hp,'2020'!Maxi_hp)</f>
        <v>18.227231813309963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2.7856529746409842E-2</v>
      </c>
      <c r="M345" s="844"/>
      <c r="N345" s="844"/>
      <c r="O345" s="48">
        <f>IF(t&lt;Tnet,'2020'!Resal+('2020'!Salim-'2020'!Resal)*(1-EXP(('2020'!Tnet-t)/('2020'!Tau_j))),Resal+(Salim-Resal)*(1-EXP((Tnet-t)/(Tau_j))))*Salcycl</f>
        <v>5.7546068126304785E-2</v>
      </c>
      <c r="P345" s="169">
        <f>(INDEX(Models!$BJ345:$BT345,,T345)*(1-R345)+INDEX(Models!$BJ345:$BT345,,T345+1)*R345-ERP_i)*Q345*Ramure*Pc/MaxiM</f>
        <v>9.9871985975594213E-4</v>
      </c>
      <c r="Q345" s="305">
        <f t="shared" si="125"/>
        <v>0.7</v>
      </c>
      <c r="R345" s="177">
        <f t="shared" si="126"/>
        <v>0.99905224682475535</v>
      </c>
      <c r="S345" s="810">
        <f t="shared" si="127"/>
        <v>-1</v>
      </c>
      <c r="T345" s="176">
        <f t="shared" si="128"/>
        <v>5</v>
      </c>
      <c r="U345" s="251">
        <f t="shared" si="129"/>
        <v>-9.4775317524464775E-4</v>
      </c>
      <c r="V345" s="383">
        <f t="shared" si="130"/>
        <v>19.223645368033381</v>
      </c>
      <c r="W345" s="402"/>
      <c r="X345" s="157">
        <f t="shared" si="131"/>
        <v>44527</v>
      </c>
      <c r="Y345" s="385">
        <f t="shared" si="132"/>
        <v>12.698927354418979</v>
      </c>
      <c r="Z345" s="385">
        <f t="shared" si="133"/>
        <v>13.062811964479254</v>
      </c>
      <c r="AA345" s="386">
        <f t="shared" si="134"/>
        <v>15.056749003466921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0.13242812499089612</v>
      </c>
      <c r="AD345" s="231">
        <f>(INDEX(Models!$BJ345:$BT345,,AH345)*(1-AF345)+INDEX(Models!$BJ345:$BT345,,AH345+1)*AF345-ERP_i)*AE345*Ramure*Pc/MaxiM</f>
        <v>9.9871985975594213E-4</v>
      </c>
      <c r="AE345" s="305">
        <f t="shared" si="136"/>
        <v>0.7</v>
      </c>
      <c r="AF345" s="177">
        <f t="shared" si="137"/>
        <v>0.99905224682475535</v>
      </c>
      <c r="AG345" s="810">
        <f t="shared" si="143"/>
        <v>-1</v>
      </c>
      <c r="AH345" s="176">
        <f t="shared" si="138"/>
        <v>5</v>
      </c>
      <c r="AI345" s="225">
        <f t="shared" si="139"/>
        <v>-9.4775317524464775E-4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6">
        <v>6.1850000000000005</v>
      </c>
      <c r="C346" s="390"/>
      <c r="D346" s="393">
        <f t="shared" si="122"/>
        <v>6.3623777010217433</v>
      </c>
      <c r="E346" s="385">
        <f t="shared" si="120"/>
        <v>6.7518189546294778</v>
      </c>
      <c r="F346" s="385">
        <f t="shared" si="123"/>
        <v>6.7520528273867191</v>
      </c>
      <c r="G346" s="110">
        <f t="shared" si="121"/>
        <v>0.3244314799598757</v>
      </c>
      <c r="H346" s="414" t="b">
        <f>Wh_hp&gt;='2020'!Maxi_hp</f>
        <v>0</v>
      </c>
      <c r="I346" s="380">
        <f>IF(H346,Wh_hp,'2020'!Maxi_hp)</f>
        <v>13.863925920515646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2.7879152945172847E-2</v>
      </c>
      <c r="M346" s="844"/>
      <c r="N346" s="844"/>
      <c r="O346" s="48">
        <f>IF(t&lt;Tnet,'2020'!Resal+('2020'!Salim-'2020'!Resal)*(1-EXP(('2020'!Tnet-t)/('2020'!Tau_j))),Resal+(Salim-Resal)*(1-EXP((Tnet-t)/(Tau_j))))*Salcycl</f>
        <v>5.7679457376550121E-2</v>
      </c>
      <c r="P346" s="169">
        <f>(INDEX(Models!$BJ346:$BT346,,T346)*(1-R346)+INDEX(Models!$BJ346:$BT346,,T346+1)*R346-ERP_i)*Q346*Ramure*Pc/MaxiM</f>
        <v>9.8009501544931549E-4</v>
      </c>
      <c r="Q346" s="305">
        <f t="shared" si="125"/>
        <v>0.7</v>
      </c>
      <c r="R346" s="177">
        <f t="shared" si="126"/>
        <v>0.99906713407214309</v>
      </c>
      <c r="S346" s="810">
        <f t="shared" si="127"/>
        <v>-1</v>
      </c>
      <c r="T346" s="176">
        <f t="shared" si="128"/>
        <v>5</v>
      </c>
      <c r="U346" s="251">
        <f t="shared" si="129"/>
        <v>-9.3286592785685185E-4</v>
      </c>
      <c r="V346" s="383">
        <f t="shared" si="130"/>
        <v>19.046093005920184</v>
      </c>
      <c r="W346" s="402"/>
      <c r="X346" s="157">
        <f t="shared" si="131"/>
        <v>44528</v>
      </c>
      <c r="Y346" s="385">
        <f t="shared" si="132"/>
        <v>5.6942492905766757</v>
      </c>
      <c r="Z346" s="385">
        <f t="shared" si="133"/>
        <v>5.8575529038680543</v>
      </c>
      <c r="AA346" s="386">
        <f t="shared" si="134"/>
        <v>6.7518189546294778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0.13244816793380668</v>
      </c>
      <c r="AD346" s="231">
        <f>(INDEX(Models!$BJ346:$BT346,,AH346)*(1-AF346)+INDEX(Models!$BJ346:$BT346,,AH346+1)*AF346-ERP_i)*AE346*Ramure*Pc/MaxiM</f>
        <v>9.8009501544931549E-4</v>
      </c>
      <c r="AE346" s="305">
        <f t="shared" si="136"/>
        <v>0.7</v>
      </c>
      <c r="AF346" s="177">
        <f t="shared" si="137"/>
        <v>0.99906713407214309</v>
      </c>
      <c r="AG346" s="810">
        <f t="shared" si="143"/>
        <v>-1</v>
      </c>
      <c r="AH346" s="176">
        <f t="shared" si="138"/>
        <v>5</v>
      </c>
      <c r="AI346" s="225">
        <f t="shared" si="139"/>
        <v>-9.3286592785685185E-4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6">
        <v>7.0360000000000005</v>
      </c>
      <c r="C347" s="390"/>
      <c r="D347" s="393">
        <f t="shared" si="122"/>
        <v>7.2379517043857913</v>
      </c>
      <c r="E347" s="385">
        <f t="shared" si="120"/>
        <v>7.6820803475268811</v>
      </c>
      <c r="F347" s="385">
        <f t="shared" si="123"/>
        <v>7.6828488970931144</v>
      </c>
      <c r="G347" s="110">
        <f t="shared" si="121"/>
        <v>0.37245273612849594</v>
      </c>
      <c r="H347" s="414" t="b">
        <f>Wh_hp&gt;='2020'!Maxi_hp</f>
        <v>0</v>
      </c>
      <c r="I347" s="380">
        <f>IF(H347,Wh_hp,'2020'!Maxi_hp)</f>
        <v>20.020068183984399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2.7901775617460878E-2</v>
      </c>
      <c r="M347" s="844"/>
      <c r="N347" s="844"/>
      <c r="O347" s="48">
        <f>IF(t&lt;Tnet,'2020'!Resal+('2020'!Salim-'2020'!Resal)*(1-EXP(('2020'!Tnet-t)/('2020'!Tau_j))),Resal+(Salim-Resal)*(1-EXP((Tnet-t)/(Tau_j))))*Salcycl</f>
        <v>5.7813589945602331E-2</v>
      </c>
      <c r="P347" s="169">
        <f>(INDEX(Models!$BJ347:$BT347,,T347)*(1-R347)+INDEX(Models!$BJ347:$BT347,,T347+1)*R347-ERP_i)*Q347*Ramure*Pc/MaxiM</f>
        <v>9.6221117403663475E-4</v>
      </c>
      <c r="Q347" s="305">
        <f t="shared" si="125"/>
        <v>0.7</v>
      </c>
      <c r="R347" s="177">
        <f t="shared" si="126"/>
        <v>0.99908142295704638</v>
      </c>
      <c r="S347" s="810">
        <f t="shared" si="127"/>
        <v>-1</v>
      </c>
      <c r="T347" s="176">
        <f t="shared" si="128"/>
        <v>5</v>
      </c>
      <c r="U347" s="251">
        <f t="shared" si="129"/>
        <v>-9.1857704295356113E-4</v>
      </c>
      <c r="V347" s="383">
        <f t="shared" si="130"/>
        <v>18.874698547654909</v>
      </c>
      <c r="W347" s="402"/>
      <c r="X347" s="157">
        <f t="shared" si="131"/>
        <v>44529</v>
      </c>
      <c r="Y347" s="385">
        <f t="shared" si="132"/>
        <v>6.4784821121671836</v>
      </c>
      <c r="Z347" s="385">
        <f t="shared" si="133"/>
        <v>6.6644315869234401</v>
      </c>
      <c r="AA347" s="386">
        <f t="shared" si="134"/>
        <v>7.6820803475268811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0.13247046562472581</v>
      </c>
      <c r="AD347" s="231">
        <f>(INDEX(Models!$BJ347:$BT347,,AH347)*(1-AF347)+INDEX(Models!$BJ347:$BT347,,AH347+1)*AF347-ERP_i)*AE347*Ramure*Pc/MaxiM</f>
        <v>9.6221117403663475E-4</v>
      </c>
      <c r="AE347" s="305">
        <f t="shared" si="136"/>
        <v>0.7</v>
      </c>
      <c r="AF347" s="177">
        <f t="shared" si="137"/>
        <v>0.99908142295704638</v>
      </c>
      <c r="AG347" s="810">
        <f t="shared" si="143"/>
        <v>-1</v>
      </c>
      <c r="AH347" s="176">
        <f t="shared" si="138"/>
        <v>5</v>
      </c>
      <c r="AI347" s="225">
        <f t="shared" si="139"/>
        <v>-9.1857704295356113E-4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6">
        <v>17.893000000000001</v>
      </c>
      <c r="C348" s="390"/>
      <c r="D348" s="393">
        <f t="shared" si="122"/>
        <v>18.407004515727792</v>
      </c>
      <c r="E348" s="385">
        <f t="shared" si="120"/>
        <v>19.539275672743791</v>
      </c>
      <c r="F348" s="385">
        <f t="shared" si="123"/>
        <v>19.556605009076051</v>
      </c>
      <c r="G348" s="110">
        <f t="shared" si="121"/>
        <v>0.95627912044833718</v>
      </c>
      <c r="H348" s="414" t="b">
        <f>Wh_hp&gt;='2020'!Maxi_hp</f>
        <v>1</v>
      </c>
      <c r="I348" s="380">
        <f>IF(H348,Wh_hp,'2020'!Maxi_hp)</f>
        <v>19.556605009076051</v>
      </c>
      <c r="J348" s="85">
        <f>IF(H348,An,'2020'!An_max)</f>
        <v>2021</v>
      </c>
      <c r="K348" s="197">
        <f t="shared" si="124"/>
        <v>44530</v>
      </c>
      <c r="L348" s="147">
        <f>IF(t&lt;Tvie,1-EXP((T0-t)*PertePVj)+'2020'!Pspv,1-EXP((T0-t)*PertePVj)+Pspv)</f>
        <v>2.7924397763286368E-2</v>
      </c>
      <c r="M348" s="844"/>
      <c r="N348" s="844"/>
      <c r="O348" s="48">
        <f>IF(t&lt;Tnet,'2020'!Resal+('2020'!Salim-'2020'!Resal)*(1-EXP(('2020'!Tnet-t)/('2020'!Tau_j))),Resal+(Salim-Resal)*(1-EXP((Tnet-t)/(Tau_j))))*Salcycl</f>
        <v>5.7948471375295331E-2</v>
      </c>
      <c r="P348" s="169">
        <f>(INDEX(Models!$BJ348:$BT348,,T348)*(1-R348)+INDEX(Models!$BJ348:$BT348,,T348+1)*R348-ERP_i)*Q348*Ramure*Pc/MaxiM</f>
        <v>9.4506260731258411E-4</v>
      </c>
      <c r="Q348" s="305">
        <f t="shared" si="125"/>
        <v>0.7</v>
      </c>
      <c r="R348" s="177">
        <f t="shared" si="126"/>
        <v>0.99909513748921364</v>
      </c>
      <c r="S348" s="810">
        <f t="shared" si="127"/>
        <v>-1</v>
      </c>
      <c r="T348" s="176">
        <f t="shared" si="128"/>
        <v>5</v>
      </c>
      <c r="U348" s="251">
        <f t="shared" si="129"/>
        <v>-9.0486251078630842E-4</v>
      </c>
      <c r="V348" s="383">
        <f t="shared" si="130"/>
        <v>18.709960170788197</v>
      </c>
      <c r="W348" s="402"/>
      <c r="X348" s="157">
        <f t="shared" si="131"/>
        <v>44530</v>
      </c>
      <c r="Y348" s="385">
        <f t="shared" si="132"/>
        <v>16.477088813778856</v>
      </c>
      <c r="Z348" s="385">
        <f t="shared" si="133"/>
        <v>16.950419057803348</v>
      </c>
      <c r="AA348" s="386">
        <f t="shared" si="134"/>
        <v>19.539275672743791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0.13249501456964211</v>
      </c>
      <c r="AD348" s="231">
        <f>(INDEX(Models!$BJ348:$BT348,,AH348)*(1-AF348)+INDEX(Models!$BJ348:$BT348,,AH348+1)*AF348-ERP_i)*AE348*Ramure*Pc/MaxiM</f>
        <v>9.4506260731258411E-4</v>
      </c>
      <c r="AE348" s="305">
        <f t="shared" si="136"/>
        <v>0.7</v>
      </c>
      <c r="AF348" s="177">
        <f t="shared" si="137"/>
        <v>0.99909513748921364</v>
      </c>
      <c r="AG348" s="810">
        <f t="shared" si="143"/>
        <v>-1</v>
      </c>
      <c r="AH348" s="176">
        <f t="shared" si="138"/>
        <v>5</v>
      </c>
      <c r="AI348" s="225">
        <f t="shared" si="139"/>
        <v>-9.0486251078630842E-4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6">
        <v>4.0419999999999998</v>
      </c>
      <c r="C349" s="390"/>
      <c r="D349" s="393">
        <f t="shared" si="122"/>
        <v>4.1582095632616412</v>
      </c>
      <c r="E349" s="385">
        <f t="shared" si="120"/>
        <v>4.4146293523483342</v>
      </c>
      <c r="F349" s="385">
        <f t="shared" si="123"/>
        <v>4.4146293523483342</v>
      </c>
      <c r="G349" s="110">
        <f t="shared" si="121"/>
        <v>0.21766734756316039</v>
      </c>
      <c r="H349" s="414" t="b">
        <f>Wh_hp&gt;='2020'!Maxi_hp</f>
        <v>0</v>
      </c>
      <c r="I349" s="380">
        <f>IF(H349,Wh_hp,'2020'!Maxi_hp)</f>
        <v>20.229052187489842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2.7947019382661531E-2</v>
      </c>
      <c r="M349" s="844"/>
      <c r="N349" s="844"/>
      <c r="O349" s="48">
        <f>IF(t&lt;Tnet,'2020'!Resal+('2020'!Salim-'2020'!Resal)*(1-EXP(('2020'!Tnet-t)/('2020'!Tau_j))),Resal+(Salim-Resal)*(1-EXP((Tnet-t)/(Tau_j))))*Salcycl</f>
        <v>5.8084103697242921E-2</v>
      </c>
      <c r="P349" s="169">
        <f>(INDEX(Models!$BJ349:$BT349,,T349)*(1-R349)+INDEX(Models!$BJ349:$BT349,,T349+1)*R349-ERP_i)*Q349*Ramure*Pc/MaxiM</f>
        <v>9.2864391210583004E-4</v>
      </c>
      <c r="Q349" s="305">
        <f t="shared" si="125"/>
        <v>0.7</v>
      </c>
      <c r="R349" s="177">
        <f t="shared" si="126"/>
        <v>0.99910830071815404</v>
      </c>
      <c r="S349" s="810">
        <f t="shared" si="127"/>
        <v>-1</v>
      </c>
      <c r="T349" s="176">
        <f t="shared" si="128"/>
        <v>5</v>
      </c>
      <c r="U349" s="251">
        <f t="shared" si="129"/>
        <v>-8.9169928184590352E-4</v>
      </c>
      <c r="V349" s="383">
        <f t="shared" si="130"/>
        <v>18.552375753719758</v>
      </c>
      <c r="W349" s="402"/>
      <c r="X349" s="157">
        <f t="shared" si="131"/>
        <v>44531</v>
      </c>
      <c r="Y349" s="385">
        <f t="shared" si="132"/>
        <v>3.7225689518080491</v>
      </c>
      <c r="Z349" s="385">
        <f t="shared" si="133"/>
        <v>3.8295947093787963</v>
      </c>
      <c r="AA349" s="386">
        <f t="shared" si="134"/>
        <v>4.4146293523483342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0.13252180336687439</v>
      </c>
      <c r="AD349" s="231">
        <f>(INDEX(Models!$BJ349:$BT349,,AH349)*(1-AF349)+INDEX(Models!$BJ349:$BT349,,AH349+1)*AF349-ERP_i)*AE349*Ramure*Pc/MaxiM</f>
        <v>9.2864391210583004E-4</v>
      </c>
      <c r="AE349" s="305">
        <f t="shared" si="136"/>
        <v>0.7</v>
      </c>
      <c r="AF349" s="177">
        <f t="shared" si="137"/>
        <v>0.99910830071815404</v>
      </c>
      <c r="AG349" s="810">
        <f t="shared" si="143"/>
        <v>-1</v>
      </c>
      <c r="AH349" s="176">
        <f t="shared" si="138"/>
        <v>5</v>
      </c>
      <c r="AI349" s="225">
        <f t="shared" si="139"/>
        <v>-8.9169928184590352E-4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6">
        <v>8.5660000000000007</v>
      </c>
      <c r="C350" s="390"/>
      <c r="D350" s="393">
        <f t="shared" si="122"/>
        <v>8.8124819518921242</v>
      </c>
      <c r="E350" s="385">
        <f t="shared" si="120"/>
        <v>9.3572665536688149</v>
      </c>
      <c r="F350" s="385">
        <f t="shared" si="123"/>
        <v>9.3592865081560959</v>
      </c>
      <c r="G350" s="110">
        <f t="shared" si="121"/>
        <v>0.46515710907666957</v>
      </c>
      <c r="H350" s="414" t="b">
        <f>Wh_hp&gt;='2020'!Maxi_hp</f>
        <v>1</v>
      </c>
      <c r="I350" s="380">
        <f>IF(H350,Wh_hp,'2020'!Maxi_hp)</f>
        <v>9.3592865081560959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2.7969640475598467E-2</v>
      </c>
      <c r="M350" s="844"/>
      <c r="N350" s="844"/>
      <c r="O350" s="48">
        <f>IF(t&lt;Tnet,'2020'!Resal+('2020'!Salim-'2020'!Resal)*(1-EXP(('2020'!Tnet-t)/('2020'!Tau_j))),Resal+(Salim-Resal)*(1-EXP((Tnet-t)/(Tau_j))))*Salcycl</f>
        <v>5.8220485507393276E-2</v>
      </c>
      <c r="P350" s="169">
        <f>(INDEX(Models!$BJ350:$BT350,,T350)*(1-R350)+INDEX(Models!$BJ350:$BT350,,T350+1)*R350-ERP_i)*Q350*Ramure*Pc/MaxiM</f>
        <v>9.1294993960251041E-4</v>
      </c>
      <c r="Q350" s="305">
        <f t="shared" si="125"/>
        <v>0.7</v>
      </c>
      <c r="R350" s="177">
        <f t="shared" si="126"/>
        <v>0.99912093477129171</v>
      </c>
      <c r="S350" s="810">
        <f t="shared" si="127"/>
        <v>-1</v>
      </c>
      <c r="T350" s="176">
        <f t="shared" si="128"/>
        <v>5</v>
      </c>
      <c r="U350" s="251">
        <f t="shared" si="129"/>
        <v>-8.7906522870834225E-4</v>
      </c>
      <c r="V350" s="383">
        <f t="shared" si="130"/>
        <v>18.402442872032964</v>
      </c>
      <c r="W350" s="402"/>
      <c r="X350" s="157">
        <f t="shared" si="131"/>
        <v>44532</v>
      </c>
      <c r="Y350" s="385">
        <f t="shared" si="132"/>
        <v>7.8899250003177963</v>
      </c>
      <c r="Z350" s="385">
        <f t="shared" si="133"/>
        <v>8.1169532648941196</v>
      </c>
      <c r="AA350" s="386">
        <f t="shared" si="134"/>
        <v>9.3572665536688149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0.13255081296026469</v>
      </c>
      <c r="AD350" s="231">
        <f>(INDEX(Models!$BJ350:$BT350,,AH350)*(1-AF350)+INDEX(Models!$BJ350:$BT350,,AH350+1)*AF350-ERP_i)*AE350*Ramure*Pc/MaxiM</f>
        <v>9.1294993960251041E-4</v>
      </c>
      <c r="AE350" s="305">
        <f t="shared" si="136"/>
        <v>0.7</v>
      </c>
      <c r="AF350" s="177">
        <f t="shared" si="137"/>
        <v>0.99912093477129171</v>
      </c>
      <c r="AG350" s="810">
        <f t="shared" si="143"/>
        <v>-1</v>
      </c>
      <c r="AH350" s="176">
        <f t="shared" si="138"/>
        <v>5</v>
      </c>
      <c r="AI350" s="225">
        <f t="shared" si="139"/>
        <v>-8.7906522870834225E-4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6">
        <v>12.304</v>
      </c>
      <c r="C351" s="390"/>
      <c r="D351" s="393">
        <f t="shared" si="122"/>
        <v>12.658335429706941</v>
      </c>
      <c r="E351" s="385">
        <f t="shared" si="120"/>
        <v>13.4428266949811</v>
      </c>
      <c r="F351" s="385">
        <f t="shared" si="123"/>
        <v>13.44927584857693</v>
      </c>
      <c r="G351" s="110">
        <f t="shared" si="121"/>
        <v>0.67351616150647164</v>
      </c>
      <c r="H351" s="414" t="b">
        <f>Wh_hp&gt;='2020'!Maxi_hp</f>
        <v>1</v>
      </c>
      <c r="I351" s="380">
        <f>IF(H351,Wh_hp,'2020'!Maxi_hp)</f>
        <v>13.44927584857693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2.7992261042109612E-2</v>
      </c>
      <c r="M351" s="844"/>
      <c r="N351" s="844"/>
      <c r="O351" s="48">
        <f>IF(t&lt;Tnet,'2020'!Resal+('2020'!Salim-'2020'!Resal)*(1-EXP(('2020'!Tnet-t)/('2020'!Tau_j))),Resal+(Salim-Resal)*(1-EXP((Tnet-t)/(Tau_j))))*Salcycl</f>
        <v>5.8357612061386628E-2</v>
      </c>
      <c r="P351" s="169">
        <f>(INDEX(Models!$BJ351:$BT351,,T351)*(1-R351)+INDEX(Models!$BJ351:$BT351,,T351+1)*R351-ERP_i)*Q351*Ramure*Pc/MaxiM</f>
        <v>8.9797571387687967E-4</v>
      </c>
      <c r="Q351" s="305">
        <f t="shared" si="125"/>
        <v>0.7</v>
      </c>
      <c r="R351" s="177">
        <f t="shared" si="126"/>
        <v>0.9991330608906217</v>
      </c>
      <c r="S351" s="810">
        <f t="shared" si="127"/>
        <v>-1</v>
      </c>
      <c r="T351" s="176">
        <f t="shared" si="128"/>
        <v>5</v>
      </c>
      <c r="U351" s="251">
        <f t="shared" si="129"/>
        <v>-8.669391093782397E-4</v>
      </c>
      <c r="V351" s="383">
        <f t="shared" si="130"/>
        <v>18.260658784819611</v>
      </c>
      <c r="W351" s="402"/>
      <c r="X351" s="157">
        <f t="shared" si="131"/>
        <v>44533</v>
      </c>
      <c r="Y351" s="385">
        <f t="shared" si="132"/>
        <v>11.334144469627343</v>
      </c>
      <c r="Z351" s="385">
        <f t="shared" si="133"/>
        <v>11.660549618441221</v>
      </c>
      <c r="AA351" s="386">
        <f t="shared" si="134"/>
        <v>13.4428266949811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0.13258201693586474</v>
      </c>
      <c r="AD351" s="231">
        <f>(INDEX(Models!$BJ351:$BT351,,AH351)*(1-AF351)+INDEX(Models!$BJ351:$BT351,,AH351+1)*AF351-ERP_i)*AE351*Ramure*Pc/MaxiM</f>
        <v>8.9797571387687967E-4</v>
      </c>
      <c r="AE351" s="305">
        <f t="shared" si="136"/>
        <v>0.7</v>
      </c>
      <c r="AF351" s="177">
        <f t="shared" si="137"/>
        <v>0.9991330608906217</v>
      </c>
      <c r="AG351" s="810">
        <f t="shared" si="143"/>
        <v>-1</v>
      </c>
      <c r="AH351" s="176">
        <f t="shared" si="138"/>
        <v>5</v>
      </c>
      <c r="AI351" s="225">
        <f t="shared" si="139"/>
        <v>-8.669391093782397E-4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6">
        <v>6.0309999999999997</v>
      </c>
      <c r="C352" s="390"/>
      <c r="D352" s="393">
        <f t="shared" si="122"/>
        <v>6.2048275046791952</v>
      </c>
      <c r="E352" s="385">
        <f t="shared" si="120"/>
        <v>6.590332114705606</v>
      </c>
      <c r="F352" s="385">
        <f t="shared" si="123"/>
        <v>6.5906044184871648</v>
      </c>
      <c r="G352" s="110">
        <f t="shared" si="121"/>
        <v>0.33241828651380273</v>
      </c>
      <c r="H352" s="414" t="b">
        <f>Wh_hp&gt;='2020'!Maxi_hp</f>
        <v>0</v>
      </c>
      <c r="I352" s="380">
        <f>IF(H352,Wh_hp,'2020'!Maxi_hp)</f>
        <v>11.261720957634422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2.8014881082207066E-2</v>
      </c>
      <c r="M352" s="844"/>
      <c r="N352" s="844"/>
      <c r="O352" s="48">
        <f>IF(t&lt;Tnet,'2020'!Resal+('2020'!Salim-'2020'!Resal)*(1-EXP(('2020'!Tnet-t)/('2020'!Tau_j))),Resal+(Salim-Resal)*(1-EXP((Tnet-t)/(Tau_j))))*Salcycl</f>
        <v>5.8495475389806158E-2</v>
      </c>
      <c r="P352" s="169">
        <f>(INDEX(Models!$BJ352:$BT352,,T352)*(1-R352)+INDEX(Models!$BJ352:$BT352,,T352+1)*R352-ERP_i)*Q352*Ramure*Pc/MaxiM</f>
        <v>8.8449292530315686E-4</v>
      </c>
      <c r="Q352" s="305">
        <f t="shared" si="125"/>
        <v>0.7</v>
      </c>
      <c r="R352" s="177">
        <f t="shared" si="126"/>
        <v>0.99914469946792972</v>
      </c>
      <c r="S352" s="810">
        <f t="shared" si="127"/>
        <v>-1</v>
      </c>
      <c r="T352" s="176">
        <f t="shared" si="128"/>
        <v>5</v>
      </c>
      <c r="U352" s="251">
        <f t="shared" si="129"/>
        <v>-8.5530053207028001E-4</v>
      </c>
      <c r="V352" s="383">
        <f t="shared" si="130"/>
        <v>18.127506338097891</v>
      </c>
      <c r="W352" s="402"/>
      <c r="X352" s="157">
        <f t="shared" si="131"/>
        <v>44534</v>
      </c>
      <c r="Y352" s="385">
        <f t="shared" si="132"/>
        <v>5.556209763486331</v>
      </c>
      <c r="Z352" s="385">
        <f t="shared" si="133"/>
        <v>5.7163527047333895</v>
      </c>
      <c r="AA352" s="386">
        <f t="shared" si="134"/>
        <v>6.590332114705606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0.13261538185944025</v>
      </c>
      <c r="AD352" s="231">
        <f>(INDEX(Models!$BJ352:$BT352,,AH352)*(1-AF352)+INDEX(Models!$BJ352:$BT352,,AH352+1)*AF352-ERP_i)*AE352*Ramure*Pc/MaxiM</f>
        <v>8.8449292530315686E-4</v>
      </c>
      <c r="AE352" s="305">
        <f t="shared" si="136"/>
        <v>0.7</v>
      </c>
      <c r="AF352" s="177">
        <f t="shared" si="137"/>
        <v>0.99914469946792972</v>
      </c>
      <c r="AG352" s="810">
        <f t="shared" si="143"/>
        <v>-1</v>
      </c>
      <c r="AH352" s="176">
        <f t="shared" si="138"/>
        <v>5</v>
      </c>
      <c r="AI352" s="225">
        <f t="shared" si="139"/>
        <v>-8.5530053207028001E-4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6">
        <v>8.9649999999999999</v>
      </c>
      <c r="C353" s="390"/>
      <c r="D353" s="393">
        <f t="shared" si="122"/>
        <v>9.2236068834922911</v>
      </c>
      <c r="E353" s="385">
        <f t="shared" si="120"/>
        <v>9.7981098901029053</v>
      </c>
      <c r="F353" s="385">
        <f t="shared" si="123"/>
        <v>9.8005263791746255</v>
      </c>
      <c r="G353" s="110">
        <f t="shared" si="121"/>
        <v>0.49764745239691249</v>
      </c>
      <c r="H353" s="414" t="b">
        <f>Wh_hp&gt;='2020'!Maxi_hp</f>
        <v>0</v>
      </c>
      <c r="I353" s="380">
        <f>IF(H353,Wh_hp,'2020'!Maxi_hp)</f>
        <v>15.29208578158242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2.8037500595903153E-2</v>
      </c>
      <c r="M353" s="844"/>
      <c r="N353" s="844"/>
      <c r="O353" s="48">
        <f>IF(t&lt;Tnet,'2020'!Resal+('2020'!Salim-'2020'!Resal)*(1-EXP(('2020'!Tnet-t)/('2020'!Tau_j))),Resal+(Salim-Resal)*(1-EXP((Tnet-t)/(Tau_j))))*Salcycl</f>
        <v>5.8634064432255634E-2</v>
      </c>
      <c r="P353" s="169">
        <f>(INDEX(Models!$BJ353:$BT353,,T353)*(1-R353)+INDEX(Models!$BJ353:$BT353,,T353+1)*R353-ERP_i)*Q353*Ramure*Pc/MaxiM</f>
        <v>8.7188341704387301E-4</v>
      </c>
      <c r="Q353" s="305">
        <f t="shared" si="125"/>
        <v>0.7</v>
      </c>
      <c r="R353" s="177">
        <f t="shared" si="126"/>
        <v>0.99915587007862494</v>
      </c>
      <c r="S353" s="810">
        <f t="shared" si="127"/>
        <v>-1</v>
      </c>
      <c r="T353" s="176">
        <f t="shared" si="128"/>
        <v>5</v>
      </c>
      <c r="U353" s="251">
        <f t="shared" si="129"/>
        <v>-8.4412992137511411E-4</v>
      </c>
      <c r="V353" s="383">
        <f t="shared" si="130"/>
        <v>18.003493467185628</v>
      </c>
      <c r="W353" s="402"/>
      <c r="X353" s="157">
        <f t="shared" si="131"/>
        <v>44535</v>
      </c>
      <c r="Y353" s="385">
        <f t="shared" si="132"/>
        <v>8.2601087183081994</v>
      </c>
      <c r="Z353" s="385">
        <f t="shared" si="133"/>
        <v>8.4983821118329281</v>
      </c>
      <c r="AA353" s="386">
        <f t="shared" si="134"/>
        <v>9.7981098901029053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0.13265086765181472</v>
      </c>
      <c r="AD353" s="231">
        <f>(INDEX(Models!$BJ353:$BT353,,AH353)*(1-AF353)+INDEX(Models!$BJ353:$BT353,,AH353+1)*AF353-ERP_i)*AE353*Ramure*Pc/MaxiM</f>
        <v>8.7188341704387301E-4</v>
      </c>
      <c r="AE353" s="305">
        <f t="shared" si="136"/>
        <v>0.7</v>
      </c>
      <c r="AF353" s="177">
        <f t="shared" si="137"/>
        <v>0.99915587007862494</v>
      </c>
      <c r="AG353" s="810">
        <f t="shared" si="143"/>
        <v>-1</v>
      </c>
      <c r="AH353" s="176">
        <f t="shared" si="138"/>
        <v>5</v>
      </c>
      <c r="AI353" s="225">
        <f t="shared" si="139"/>
        <v>-8.4412992137511411E-4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6">
        <v>9.8849999999999998</v>
      </c>
      <c r="C354" s="390"/>
      <c r="D354" s="393">
        <f t="shared" si="122"/>
        <v>10.170382139028071</v>
      </c>
      <c r="E354" s="385">
        <f t="shared" si="120"/>
        <v>10.80545509750778</v>
      </c>
      <c r="F354" s="385">
        <f t="shared" si="123"/>
        <v>10.808809640659002</v>
      </c>
      <c r="G354" s="110">
        <f t="shared" si="121"/>
        <v>0.55226671835277175</v>
      </c>
      <c r="H354" s="414" t="b">
        <f>Wh_hp&gt;='2020'!Maxi_hp</f>
        <v>0</v>
      </c>
      <c r="I354" s="380">
        <f>IF(H354,Wh_hp,'2020'!Maxi_hp)</f>
        <v>14.0527233412349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2.8060119583210086E-2</v>
      </c>
      <c r="M354" s="844"/>
      <c r="N354" s="844"/>
      <c r="O354" s="48">
        <f>IF(t&lt;Tnet,'2020'!Resal+('2020'!Salim-'2020'!Resal)*(1-EXP(('2020'!Tnet-t)/('2020'!Tau_j))),Resal+(Salim-Resal)*(1-EXP((Tnet-t)/(Tau_j))))*Salcycl</f>
        <v>5.8773365189050325E-2</v>
      </c>
      <c r="P354" s="169">
        <f>(INDEX(Models!$BJ354:$BT354,,T354)*(1-R354)+INDEX(Models!$BJ354:$BT354,,T354+1)*R354-ERP_i)*Q354*Ramure*Pc/MaxiM</f>
        <v>8.6014315999959176E-4</v>
      </c>
      <c r="Q354" s="305">
        <f t="shared" si="125"/>
        <v>0.7</v>
      </c>
      <c r="R354" s="177">
        <f t="shared" si="126"/>
        <v>0.99916659151424325</v>
      </c>
      <c r="S354" s="810">
        <f t="shared" si="127"/>
        <v>-1</v>
      </c>
      <c r="T354" s="176">
        <f t="shared" si="128"/>
        <v>5</v>
      </c>
      <c r="U354" s="251">
        <f t="shared" si="129"/>
        <v>-8.3340848575674809E-4</v>
      </c>
      <c r="V354" s="383">
        <f t="shared" si="130"/>
        <v>17.889116446277885</v>
      </c>
      <c r="W354" s="402"/>
      <c r="X354" s="157">
        <f t="shared" si="131"/>
        <v>44536</v>
      </c>
      <c r="Y354" s="385">
        <f t="shared" si="132"/>
        <v>9.1087253294249368</v>
      </c>
      <c r="Z354" s="385">
        <f t="shared" si="133"/>
        <v>9.3716962468078879</v>
      </c>
      <c r="AA354" s="386">
        <f t="shared" si="134"/>
        <v>10.80545509750778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0.13268842799879668</v>
      </c>
      <c r="AD354" s="231">
        <f>(INDEX(Models!$BJ354:$BT354,,AH354)*(1-AF354)+INDEX(Models!$BJ354:$BT354,,AH354+1)*AF354-ERP_i)*AE354*Ramure*Pc/MaxiM</f>
        <v>8.6014315999959176E-4</v>
      </c>
      <c r="AE354" s="305">
        <f t="shared" si="136"/>
        <v>0.7</v>
      </c>
      <c r="AF354" s="177">
        <f t="shared" si="137"/>
        <v>0.99916659151424325</v>
      </c>
      <c r="AG354" s="810">
        <f t="shared" si="143"/>
        <v>-1</v>
      </c>
      <c r="AH354" s="176">
        <f t="shared" si="138"/>
        <v>5</v>
      </c>
      <c r="AI354" s="225">
        <f t="shared" si="139"/>
        <v>-8.3340848575674809E-4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6">
        <v>5.0440000000000005</v>
      </c>
      <c r="C355" s="390"/>
      <c r="D355" s="393">
        <f t="shared" si="122"/>
        <v>5.1897421698731767</v>
      </c>
      <c r="E355" s="385">
        <f t="shared" si="120"/>
        <v>5.5146274043127725</v>
      </c>
      <c r="F355" s="385">
        <f t="shared" si="123"/>
        <v>5.5146274043127725</v>
      </c>
      <c r="G355" s="110">
        <f t="shared" si="121"/>
        <v>0.28337097530010708</v>
      </c>
      <c r="H355" s="414" t="b">
        <f>Wh_hp&gt;='2020'!Maxi_hp</f>
        <v>0</v>
      </c>
      <c r="I355" s="380">
        <f>IF(H355,Wh_hp,'2020'!Maxi_hp)</f>
        <v>15.59423743287989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2.8082738044140187E-2</v>
      </c>
      <c r="M355" s="844"/>
      <c r="N355" s="844"/>
      <c r="O355" s="48">
        <f>IF(t&lt;Tnet,'2020'!Resal+('2020'!Salim-'2020'!Resal)*(1-EXP(('2020'!Tnet-t)/('2020'!Tau_j))),Resal+(Salim-Resal)*(1-EXP((Tnet-t)/(Tau_j))))*Salcycl</f>
        <v>5.8913360889171922E-2</v>
      </c>
      <c r="P355" s="169">
        <f>(INDEX(Models!$BJ355:$BT355,,T355)*(1-R355)+INDEX(Models!$BJ355:$BT355,,T355+1)*R355-ERP_i)*Q355*Ramure*Pc/MaxiM</f>
        <v>8.4926735864582681E-4</v>
      </c>
      <c r="Q355" s="305">
        <f t="shared" si="125"/>
        <v>0.7</v>
      </c>
      <c r="R355" s="177">
        <f t="shared" si="126"/>
        <v>0.99917688181367126</v>
      </c>
      <c r="S355" s="810">
        <f t="shared" si="127"/>
        <v>-1</v>
      </c>
      <c r="T355" s="176">
        <f t="shared" si="128"/>
        <v>5</v>
      </c>
      <c r="U355" s="251">
        <f t="shared" si="129"/>
        <v>-8.2311818632868627E-4</v>
      </c>
      <c r="V355" s="383">
        <f t="shared" si="130"/>
        <v>17.784871192632295</v>
      </c>
      <c r="W355" s="402"/>
      <c r="X355" s="157">
        <f t="shared" si="131"/>
        <v>44537</v>
      </c>
      <c r="Y355" s="385">
        <f t="shared" si="132"/>
        <v>4.6483710763308812</v>
      </c>
      <c r="Z355" s="385">
        <f t="shared" si="133"/>
        <v>4.7826818786782592</v>
      </c>
      <c r="AA355" s="386">
        <f t="shared" si="134"/>
        <v>5.5146274043127725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0.13272801079218655</v>
      </c>
      <c r="AD355" s="231">
        <f>(INDEX(Models!$BJ355:$BT355,,AH355)*(1-AF355)+INDEX(Models!$BJ355:$BT355,,AH355+1)*AF355-ERP_i)*AE355*Ramure*Pc/MaxiM</f>
        <v>8.4926735864582681E-4</v>
      </c>
      <c r="AE355" s="305">
        <f t="shared" si="136"/>
        <v>0.7</v>
      </c>
      <c r="AF355" s="177">
        <f t="shared" si="137"/>
        <v>0.99917688181367126</v>
      </c>
      <c r="AG355" s="810">
        <f t="shared" si="143"/>
        <v>-1</v>
      </c>
      <c r="AH355" s="176">
        <f t="shared" si="138"/>
        <v>5</v>
      </c>
      <c r="AI355" s="225">
        <f t="shared" si="139"/>
        <v>-8.2311818632868627E-4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6">
        <v>8.9340000000000011</v>
      </c>
      <c r="C356" s="390"/>
      <c r="D356" s="393">
        <f t="shared" si="122"/>
        <v>9.192354392483157</v>
      </c>
      <c r="E356" s="385">
        <f t="shared" si="120"/>
        <v>9.7692691257415394</v>
      </c>
      <c r="F356" s="385">
        <f t="shared" si="123"/>
        <v>9.7716707562839975</v>
      </c>
      <c r="G356" s="110">
        <f t="shared" si="121"/>
        <v>0.50469553830956182</v>
      </c>
      <c r="H356" s="414" t="b">
        <f>Wh_hp&gt;='2020'!Maxi_hp</f>
        <v>0</v>
      </c>
      <c r="I356" s="380">
        <f>IF(H356,Wh_hp,'2020'!Maxi_hp)</f>
        <v>14.230610193408706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2.810535597870556E-2</v>
      </c>
      <c r="M356" s="844"/>
      <c r="N356" s="844"/>
      <c r="O356" s="48">
        <f>IF(t&lt;Tnet,'2020'!Resal+('2020'!Salim-'2020'!Resal)*(1-EXP(('2020'!Tnet-t)/('2020'!Tau_j))),Resal+(Salim-Resal)*(1-EXP((Tnet-t)/(Tau_j))))*Salcycl</f>
        <v>5.9054032173015011E-2</v>
      </c>
      <c r="P356" s="169">
        <f>(INDEX(Models!$BJ356:$BT356,,T356)*(1-R356)+INDEX(Models!$BJ356:$BT356,,T356+1)*R356-ERP_i)*Q356*Ramure*Pc/MaxiM</f>
        <v>8.3925024795731922E-4</v>
      </c>
      <c r="Q356" s="305">
        <f t="shared" si="125"/>
        <v>0.7</v>
      </c>
      <c r="R356" s="177">
        <f t="shared" si="126"/>
        <v>0.99918675829313852</v>
      </c>
      <c r="S356" s="810">
        <f t="shared" si="127"/>
        <v>-1</v>
      </c>
      <c r="T356" s="176">
        <f t="shared" si="128"/>
        <v>5</v>
      </c>
      <c r="U356" s="251">
        <f t="shared" si="129"/>
        <v>-8.1324170686147834E-4</v>
      </c>
      <c r="V356" s="383">
        <f t="shared" si="130"/>
        <v>17.691253259173347</v>
      </c>
      <c r="W356" s="402"/>
      <c r="X356" s="157">
        <f t="shared" si="131"/>
        <v>44538</v>
      </c>
      <c r="Y356" s="385">
        <f t="shared" si="132"/>
        <v>8.2340931662388357</v>
      </c>
      <c r="Z356" s="385">
        <f t="shared" si="133"/>
        <v>8.4722075760903408</v>
      </c>
      <c r="AA356" s="386">
        <f t="shared" si="134"/>
        <v>9.7692691257415394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0.1327695585981459</v>
      </c>
      <c r="AD356" s="231">
        <f>(INDEX(Models!$BJ356:$BT356,,AH356)*(1-AF356)+INDEX(Models!$BJ356:$BT356,,AH356+1)*AF356-ERP_i)*AE356*Ramure*Pc/MaxiM</f>
        <v>8.3925024795731922E-4</v>
      </c>
      <c r="AE356" s="305">
        <f t="shared" si="136"/>
        <v>0.7</v>
      </c>
      <c r="AF356" s="177">
        <f t="shared" si="137"/>
        <v>0.99918675829313852</v>
      </c>
      <c r="AG356" s="810">
        <f t="shared" si="143"/>
        <v>-1</v>
      </c>
      <c r="AH356" s="176">
        <f t="shared" si="138"/>
        <v>5</v>
      </c>
      <c r="AI356" s="225">
        <f t="shared" si="139"/>
        <v>-8.1324170686147834E-4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6">
        <v>7.1820000000000004</v>
      </c>
      <c r="C357" s="390"/>
      <c r="D357" s="393">
        <f t="shared" si="122"/>
        <v>7.3898618370865776</v>
      </c>
      <c r="E357" s="385">
        <f t="shared" si="120"/>
        <v>7.8548313875099112</v>
      </c>
      <c r="F357" s="385">
        <f t="shared" si="123"/>
        <v>7.8558362308209722</v>
      </c>
      <c r="G357" s="110">
        <f t="shared" si="121"/>
        <v>0.40757879707710065</v>
      </c>
      <c r="H357" s="414" t="b">
        <f>Wh_hp&gt;='2020'!Maxi_hp</f>
        <v>0</v>
      </c>
      <c r="I357" s="380">
        <f>IF(H357,Wh_hp,'2020'!Maxi_hp)</f>
        <v>10.283678349894517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2.8127973386918637E-2</v>
      </c>
      <c r="M357" s="844"/>
      <c r="N357" s="844"/>
      <c r="O357" s="48">
        <f>IF(t&lt;Tnet,'2020'!Resal+('2020'!Salim-'2020'!Resal)*(1-EXP(('2020'!Tnet-t)/('2020'!Tau_j))),Resal+(Salim-Resal)*(1-EXP((Tnet-t)/(Tau_j))))*Salcycl</f>
        <v>5.9195357288342139E-2</v>
      </c>
      <c r="P357" s="169">
        <f>(INDEX(Models!$BJ357:$BT357,,T357)*(1-R357)+INDEX(Models!$BJ357:$BT357,,T357+1)*R357-ERP_i)*Q357*Ramure*Pc/MaxiM</f>
        <v>8.3008488502899023E-4</v>
      </c>
      <c r="Q357" s="305">
        <f t="shared" si="125"/>
        <v>0.7</v>
      </c>
      <c r="R357" s="177">
        <f t="shared" si="126"/>
        <v>0.99919623757502651</v>
      </c>
      <c r="S357" s="810">
        <f t="shared" si="127"/>
        <v>-1</v>
      </c>
      <c r="T357" s="176">
        <f t="shared" si="128"/>
        <v>5</v>
      </c>
      <c r="U357" s="251">
        <f t="shared" si="129"/>
        <v>-8.0376242497343098E-4</v>
      </c>
      <c r="V357" s="383">
        <f t="shared" si="130"/>
        <v>17.608757838541234</v>
      </c>
      <c r="W357" s="402"/>
      <c r="X357" s="157">
        <f t="shared" si="131"/>
        <v>44539</v>
      </c>
      <c r="Y357" s="385">
        <f t="shared" si="132"/>
        <v>6.6200108774341055</v>
      </c>
      <c r="Z357" s="385">
        <f t="shared" si="133"/>
        <v>6.8116075945764862</v>
      </c>
      <c r="AA357" s="386">
        <f t="shared" si="134"/>
        <v>7.8548313875099112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0.1328130091490278</v>
      </c>
      <c r="AD357" s="231">
        <f>(INDEX(Models!$BJ357:$BT357,,AH357)*(1-AF357)+INDEX(Models!$BJ357:$BT357,,AH357+1)*AF357-ERP_i)*AE357*Ramure*Pc/MaxiM</f>
        <v>8.3008488502899023E-4</v>
      </c>
      <c r="AE357" s="305">
        <f t="shared" si="136"/>
        <v>0.7</v>
      </c>
      <c r="AF357" s="177">
        <f t="shared" si="137"/>
        <v>0.99919623757502651</v>
      </c>
      <c r="AG357" s="810">
        <f t="shared" si="143"/>
        <v>-1</v>
      </c>
      <c r="AH357" s="176">
        <f t="shared" si="138"/>
        <v>5</v>
      </c>
      <c r="AI357" s="225">
        <f t="shared" si="139"/>
        <v>-8.0376242497343098E-4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6">
        <v>2.056</v>
      </c>
      <c r="C358" s="390"/>
      <c r="D358" s="393">
        <f t="shared" si="122"/>
        <v>2.115554096563832</v>
      </c>
      <c r="E358" s="385">
        <f t="shared" si="120"/>
        <v>2.2490039460707494</v>
      </c>
      <c r="F358" s="385">
        <f t="shared" si="123"/>
        <v>2.2490039460707494</v>
      </c>
      <c r="G358" s="110">
        <f t="shared" si="121"/>
        <v>0.11713562220027578</v>
      </c>
      <c r="H358" s="414" t="b">
        <f>Wh_hp&gt;='2020'!Maxi_hp</f>
        <v>0</v>
      </c>
      <c r="I358" s="380">
        <f>IF(H358,Wh_hp,'2020'!Maxi_hp)</f>
        <v>16.477677553533571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2.8150590268791631E-2</v>
      </c>
      <c r="M358" s="844"/>
      <c r="N358" s="844"/>
      <c r="O358" s="48">
        <f>IF(t&lt;Tnet,'2020'!Resal+('2020'!Salim-'2020'!Resal)*(1-EXP(('2020'!Tnet-t)/('2020'!Tau_j))),Resal+(Salim-Resal)*(1-EXP((Tnet-t)/(Tau_j))))*Salcycl</f>
        <v>5.9337312297770207E-2</v>
      </c>
      <c r="P358" s="169">
        <f>(INDEX(Models!$BJ358:$BT358,,T358)*(1-R358)+INDEX(Models!$BJ358:$BT358,,T358+1)*R358-ERP_i)*Q358*Ramure*Pc/MaxiM</f>
        <v>8.2176294129395486E-4</v>
      </c>
      <c r="Q358" s="305">
        <f t="shared" si="125"/>
        <v>0.7</v>
      </c>
      <c r="R358" s="177">
        <f t="shared" si="126"/>
        <v>0.99920533561554215</v>
      </c>
      <c r="S358" s="810">
        <f t="shared" si="127"/>
        <v>-1</v>
      </c>
      <c r="T358" s="176">
        <f t="shared" si="128"/>
        <v>5</v>
      </c>
      <c r="U358" s="251">
        <f t="shared" si="129"/>
        <v>-7.9466438445779941E-4</v>
      </c>
      <c r="V358" s="383">
        <f t="shared" si="130"/>
        <v>17.537879739779648</v>
      </c>
      <c r="W358" s="402"/>
      <c r="X358" s="157">
        <f t="shared" si="131"/>
        <v>44540</v>
      </c>
      <c r="Y358" s="385">
        <f t="shared" si="132"/>
        <v>1.895305689309174</v>
      </c>
      <c r="Z358" s="385">
        <f t="shared" si="133"/>
        <v>1.9502051144254673</v>
      </c>
      <c r="AA358" s="386">
        <f t="shared" si="134"/>
        <v>2.2490039460707494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0.13285829585462294</v>
      </c>
      <c r="AD358" s="231">
        <f>(INDEX(Models!$BJ358:$BT358,,AH358)*(1-AF358)+INDEX(Models!$BJ358:$BT358,,AH358+1)*AF358-ERP_i)*AE358*Ramure*Pc/MaxiM</f>
        <v>8.2176294129395486E-4</v>
      </c>
      <c r="AE358" s="305">
        <f t="shared" si="136"/>
        <v>0.7</v>
      </c>
      <c r="AF358" s="177">
        <f t="shared" si="137"/>
        <v>0.99920533561554215</v>
      </c>
      <c r="AG358" s="810">
        <f t="shared" si="143"/>
        <v>-1</v>
      </c>
      <c r="AH358" s="176">
        <f t="shared" si="138"/>
        <v>5</v>
      </c>
      <c r="AI358" s="225">
        <f t="shared" si="139"/>
        <v>-7.9466438445779941E-4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6">
        <v>10.131</v>
      </c>
      <c r="C359" s="390"/>
      <c r="D359" s="393">
        <f t="shared" si="122"/>
        <v>10.424697146710406</v>
      </c>
      <c r="E359" s="385">
        <f t="shared" si="120"/>
        <v>11.08397027193406</v>
      </c>
      <c r="F359" s="385">
        <f t="shared" si="123"/>
        <v>11.087576031885433</v>
      </c>
      <c r="G359" s="110">
        <f t="shared" si="121"/>
        <v>0.57929682906164459</v>
      </c>
      <c r="H359" s="414" t="b">
        <f>Wh_hp&gt;='2020'!Maxi_hp</f>
        <v>0</v>
      </c>
      <c r="I359" s="380">
        <f>IF(H359,Wh_hp,'2020'!Maxi_hp)</f>
        <v>16.479573454056037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2.8173206624336644E-2</v>
      </c>
      <c r="M359" s="844"/>
      <c r="N359" s="844"/>
      <c r="O359" s="48">
        <f>IF(t&lt;Tnet,'2020'!Resal+('2020'!Salim-'2020'!Resal)*(1-EXP(('2020'!Tnet-t)/('2020'!Tau_j))),Resal+(Salim-Resal)*(1-EXP((Tnet-t)/(Tau_j))))*Salcycl</f>
        <v>5.9479871296029434E-2</v>
      </c>
      <c r="P359" s="169">
        <f>(INDEX(Models!$BJ359:$BT359,,T359)*(1-R359)+INDEX(Models!$BJ359:$BT359,,T359+1)*R359-ERP_i)*Q359*Ramure*Pc/MaxiM</f>
        <v>8.1423841693515134E-4</v>
      </c>
      <c r="Q359" s="305">
        <f t="shared" si="125"/>
        <v>0.7</v>
      </c>
      <c r="R359" s="177">
        <f t="shared" si="126"/>
        <v>0.99921406773129529</v>
      </c>
      <c r="S359" s="810">
        <f t="shared" si="127"/>
        <v>-1</v>
      </c>
      <c r="T359" s="176">
        <f t="shared" si="128"/>
        <v>5</v>
      </c>
      <c r="U359" s="251">
        <f t="shared" si="129"/>
        <v>-7.8593226870471433E-4</v>
      </c>
      <c r="V359" s="383">
        <f t="shared" si="130"/>
        <v>17.479888556928625</v>
      </c>
      <c r="W359" s="402"/>
      <c r="X359" s="157">
        <f t="shared" si="131"/>
        <v>44541</v>
      </c>
      <c r="Y359" s="385">
        <f t="shared" si="132"/>
        <v>9.3400828413819621</v>
      </c>
      <c r="Z359" s="385">
        <f t="shared" si="133"/>
        <v>9.6108513420781119</v>
      </c>
      <c r="AA359" s="386">
        <f t="shared" si="134"/>
        <v>11.08397027193406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0.13290534832866363</v>
      </c>
      <c r="AD359" s="231">
        <f>(INDEX(Models!$BJ359:$BT359,,AH359)*(1-AF359)+INDEX(Models!$BJ359:$BT359,,AH359+1)*AF359-ERP_i)*AE359*Ramure*Pc/MaxiM</f>
        <v>8.1423841693515134E-4</v>
      </c>
      <c r="AE359" s="305">
        <f t="shared" si="136"/>
        <v>0.7</v>
      </c>
      <c r="AF359" s="177">
        <f t="shared" si="137"/>
        <v>0.99921406773129529</v>
      </c>
      <c r="AG359" s="810">
        <f t="shared" si="143"/>
        <v>-1</v>
      </c>
      <c r="AH359" s="176">
        <f t="shared" si="138"/>
        <v>5</v>
      </c>
      <c r="AI359" s="225">
        <f t="shared" si="139"/>
        <v>-7.8593226870471433E-4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6">
        <v>16.920999999999999</v>
      </c>
      <c r="C360" s="390"/>
      <c r="D360" s="393">
        <f t="shared" si="122"/>
        <v>17.411944083962837</v>
      </c>
      <c r="E360" s="385">
        <f t="shared" si="120"/>
        <v>18.515918835551233</v>
      </c>
      <c r="F360" s="385">
        <f t="shared" si="123"/>
        <v>18.530251867552792</v>
      </c>
      <c r="G360" s="110">
        <f t="shared" si="121"/>
        <v>0.97048062458728712</v>
      </c>
      <c r="H360" s="414" t="b">
        <f>Wh_hp&gt;='2020'!Maxi_hp</f>
        <v>1</v>
      </c>
      <c r="I360" s="380">
        <f>IF(H360,Wh_hp,'2020'!Maxi_hp)</f>
        <v>18.530251867552792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2.8195822453566111E-2</v>
      </c>
      <c r="M360" s="844"/>
      <c r="N360" s="844"/>
      <c r="O360" s="48">
        <f>IF(t&lt;Tnet,'2020'!Resal+('2020'!Salim-'2020'!Resal)*(1-EXP(('2020'!Tnet-t)/('2020'!Tau_j))),Resal+(Salim-Resal)*(1-EXP((Tnet-t)/(Tau_j))))*Salcycl</f>
        <v>5.9623006635173018E-2</v>
      </c>
      <c r="P360" s="169">
        <f>(INDEX(Models!$BJ360:$BT360,,T360)*(1-R360)+INDEX(Models!$BJ360:$BT360,,T360+1)*R360-ERP_i)*Q360*Ramure*Pc/MaxiM</f>
        <v>8.0750860106925803E-4</v>
      </c>
      <c r="Q360" s="305">
        <f t="shared" si="125"/>
        <v>0.7</v>
      </c>
      <c r="R360" s="177">
        <f t="shared" si="126"/>
        <v>0.99922244862482712</v>
      </c>
      <c r="S360" s="810">
        <f t="shared" si="127"/>
        <v>-1</v>
      </c>
      <c r="T360" s="176">
        <f t="shared" si="128"/>
        <v>5</v>
      </c>
      <c r="U360" s="251">
        <f t="shared" si="129"/>
        <v>-7.7755137517293571E-4</v>
      </c>
      <c r="V360" s="383">
        <f t="shared" si="130"/>
        <v>17.435097165931285</v>
      </c>
      <c r="W360" s="402"/>
      <c r="X360" s="157">
        <f t="shared" si="131"/>
        <v>44542</v>
      </c>
      <c r="Y360" s="385">
        <f t="shared" si="132"/>
        <v>15.601491632729987</v>
      </c>
      <c r="Z360" s="385">
        <f t="shared" si="133"/>
        <v>16.05415164207249</v>
      </c>
      <c r="AA360" s="386">
        <f t="shared" si="134"/>
        <v>18.515918835551233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0.13295409292635596</v>
      </c>
      <c r="AD360" s="231">
        <f>(INDEX(Models!$BJ360:$BT360,,AH360)*(1-AF360)+INDEX(Models!$BJ360:$BT360,,AH360+1)*AF360-ERP_i)*AE360*Ramure*Pc/MaxiM</f>
        <v>8.0750860106925803E-4</v>
      </c>
      <c r="AE360" s="305">
        <f t="shared" si="136"/>
        <v>0.7</v>
      </c>
      <c r="AF360" s="177">
        <f t="shared" si="137"/>
        <v>0.99922244862482712</v>
      </c>
      <c r="AG360" s="810">
        <f t="shared" si="143"/>
        <v>-1</v>
      </c>
      <c r="AH360" s="176">
        <f t="shared" si="138"/>
        <v>5</v>
      </c>
      <c r="AI360" s="225">
        <f t="shared" si="139"/>
        <v>-7.7755137517293571E-4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6">
        <v>17.466000000000001</v>
      </c>
      <c r="C361" s="390"/>
      <c r="D361" s="393">
        <f t="shared" si="122"/>
        <v>17.973174917701712</v>
      </c>
      <c r="E361" s="385">
        <f t="shared" ref="E361:E379" si="144">Wh_pvt/(1-Psa)</f>
        <v>19.115654285387492</v>
      </c>
      <c r="F361" s="385">
        <f t="shared" si="123"/>
        <v>19.130983394548689</v>
      </c>
      <c r="G361" s="110">
        <f t="shared" ref="G361:G379" si="145">+Wh_hp/MaxiM</f>
        <v>1.0036447679318941</v>
      </c>
      <c r="H361" s="414" t="b">
        <f>Wh_hp&gt;='2020'!Maxi_hp</f>
        <v>1</v>
      </c>
      <c r="I361" s="380">
        <f>IF(H361,Wh_hp,'2020'!Maxi_hp)</f>
        <v>19.130983394548689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2.8218437756492132E-2</v>
      </c>
      <c r="M361" s="844"/>
      <c r="N361" s="844"/>
      <c r="O361" s="48">
        <f>IF(t&lt;Tnet,'2020'!Resal+('2020'!Salim-'2020'!Resal)*(1-EXP(('2020'!Tnet-t)/('2020'!Tau_j))),Resal+(Salim-Resal)*(1-EXP((Tnet-t)/(Tau_j))))*Salcycl</f>
        <v>5.9766689155867483E-2</v>
      </c>
      <c r="P361" s="169">
        <f>(INDEX(Models!$BJ361:$BT361,,T361)*(1-R361)+INDEX(Models!$BJ361:$BT361,,T361+1)*R361-ERP_i)*Q361*Ramure*Pc/MaxiM</f>
        <v>8.0127136410381317E-4</v>
      </c>
      <c r="Q361" s="305">
        <f t="shared" si="125"/>
        <v>0.7</v>
      </c>
      <c r="R361" s="177">
        <f t="shared" si="126"/>
        <v>0.99923049240912776</v>
      </c>
      <c r="S361" s="810">
        <f t="shared" si="127"/>
        <v>-1</v>
      </c>
      <c r="T361" s="176">
        <f t="shared" si="128"/>
        <v>5</v>
      </c>
      <c r="U361" s="251">
        <f t="shared" si="129"/>
        <v>-7.6950759087218712E-4</v>
      </c>
      <c r="V361" s="383">
        <f t="shared" si="130"/>
        <v>17.402571664863416</v>
      </c>
      <c r="W361" s="402"/>
      <c r="X361" s="157">
        <f t="shared" si="131"/>
        <v>44543</v>
      </c>
      <c r="Y361" s="385">
        <f t="shared" si="132"/>
        <v>16.105517688226588</v>
      </c>
      <c r="Z361" s="385">
        <f t="shared" si="133"/>
        <v>16.573187137904235</v>
      </c>
      <c r="AA361" s="386">
        <f t="shared" si="134"/>
        <v>19.115654285387492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0.1330044532886738</v>
      </c>
      <c r="AD361" s="231">
        <f>(INDEX(Models!$BJ361:$BT361,,AH361)*(1-AF361)+INDEX(Models!$BJ361:$BT361,,AH361+1)*AF361-ERP_i)*AE361*Ramure*Pc/MaxiM</f>
        <v>8.0127136410381317E-4</v>
      </c>
      <c r="AE361" s="305">
        <f t="shared" si="136"/>
        <v>0.7</v>
      </c>
      <c r="AF361" s="177">
        <f t="shared" si="137"/>
        <v>0.99923049240912776</v>
      </c>
      <c r="AG361" s="810">
        <f t="shared" si="143"/>
        <v>-1</v>
      </c>
      <c r="AH361" s="176">
        <f t="shared" si="138"/>
        <v>5</v>
      </c>
      <c r="AI361" s="225">
        <f t="shared" si="139"/>
        <v>-7.6950759087218712E-4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6">
        <v>17.670000000000002</v>
      </c>
      <c r="C362" s="390"/>
      <c r="D362" s="393">
        <f t="shared" si="122"/>
        <v>18.183521794228056</v>
      </c>
      <c r="E362" s="385">
        <f t="shared" si="144"/>
        <v>19.34233847653287</v>
      </c>
      <c r="F362" s="385">
        <f t="shared" si="123"/>
        <v>19.357739032195155</v>
      </c>
      <c r="G362" s="110">
        <f t="shared" si="145"/>
        <v>1.0166055613882334</v>
      </c>
      <c r="H362" s="414" t="b">
        <f>Wh_hp&gt;='2020'!Maxi_hp</f>
        <v>1</v>
      </c>
      <c r="I362" s="380">
        <f>IF(H362,Wh_hp,'2020'!Maxi_hp)</f>
        <v>19.357739032195155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2.8241052533127031E-2</v>
      </c>
      <c r="M362" s="844"/>
      <c r="N362" s="844"/>
      <c r="O362" s="48">
        <f>IF(t&lt;Tnet,'2020'!Resal+('2020'!Salim-'2020'!Resal)*(1-EXP(('2020'!Tnet-t)/('2020'!Tau_j))),Resal+(Salim-Resal)*(1-EXP((Tnet-t)/(Tau_j))))*Salcycl</f>
        <v>5.9910888422863212E-2</v>
      </c>
      <c r="P362" s="169">
        <f>(INDEX(Models!$BJ362:$BT362,,T362)*(1-R362)+INDEX(Models!$BJ362:$BT362,,T362+1)*R362-ERP_i)*Q362*Ramure*Pc/MaxiM</f>
        <v>7.9557615880003355E-4</v>
      </c>
      <c r="Q362" s="305">
        <f t="shared" si="125"/>
        <v>0.7</v>
      </c>
      <c r="R362" s="177">
        <f t="shared" si="126"/>
        <v>0.99923821263118318</v>
      </c>
      <c r="S362" s="810">
        <f t="shared" si="127"/>
        <v>-1</v>
      </c>
      <c r="T362" s="176">
        <f t="shared" si="128"/>
        <v>5</v>
      </c>
      <c r="U362" s="251">
        <f t="shared" si="129"/>
        <v>-7.6178736881676867E-4</v>
      </c>
      <c r="V362" s="383">
        <f t="shared" si="130"/>
        <v>17.381372551091101</v>
      </c>
      <c r="W362" s="402"/>
      <c r="X362" s="157">
        <f t="shared" si="131"/>
        <v>44544</v>
      </c>
      <c r="Y362" s="385">
        <f t="shared" si="132"/>
        <v>16.295151269318534</v>
      </c>
      <c r="Z362" s="385">
        <f t="shared" si="133"/>
        <v>16.7687175011826</v>
      </c>
      <c r="AA362" s="386">
        <f t="shared" si="134"/>
        <v>19.34233847653287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0.13305635088915033</v>
      </c>
      <c r="AD362" s="231">
        <f>(INDEX(Models!$BJ362:$BT362,,AH362)*(1-AF362)+INDEX(Models!$BJ362:$BT362,,AH362+1)*AF362-ERP_i)*AE362*Ramure*Pc/MaxiM</f>
        <v>7.9557615880003355E-4</v>
      </c>
      <c r="AE362" s="305">
        <f t="shared" si="136"/>
        <v>0.7</v>
      </c>
      <c r="AF362" s="177">
        <f t="shared" si="137"/>
        <v>0.99923821263118318</v>
      </c>
      <c r="AG362" s="810">
        <f t="shared" si="143"/>
        <v>-1</v>
      </c>
      <c r="AH362" s="176">
        <f t="shared" si="138"/>
        <v>5</v>
      </c>
      <c r="AI362" s="225">
        <f t="shared" si="139"/>
        <v>-7.6178736881676867E-4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6">
        <v>16.224</v>
      </c>
      <c r="C363" s="390"/>
      <c r="D363" s="393">
        <f t="shared" si="122"/>
        <v>16.695886986439415</v>
      </c>
      <c r="E363" s="385">
        <f t="shared" si="144"/>
        <v>17.762632030348126</v>
      </c>
      <c r="F363" s="385">
        <f t="shared" si="123"/>
        <v>17.775357999333465</v>
      </c>
      <c r="G363" s="110">
        <f t="shared" si="145"/>
        <v>0.93392435002477914</v>
      </c>
      <c r="H363" s="414" t="b">
        <f>Wh_hp&gt;='2020'!Maxi_hp</f>
        <v>0</v>
      </c>
      <c r="I363" s="380">
        <f>IF(H363,Wh_hp,'2020'!Maxi_hp)</f>
        <v>18.722199127908961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2.8263666783483021E-2</v>
      </c>
      <c r="M363" s="844"/>
      <c r="N363" s="844"/>
      <c r="O363" s="48">
        <f>IF(t&lt;Tnet,'2020'!Resal+('2020'!Salim-'2020'!Resal)*(1-EXP(('2020'!Tnet-t)/('2020'!Tau_j))),Resal+(Salim-Resal)*(1-EXP((Tnet-t)/(Tau_j))))*Salcycl</f>
        <v>6.0055572962730785E-2</v>
      </c>
      <c r="P363" s="169">
        <f>(INDEX(Models!$BJ363:$BT363,,T363)*(1-R363)+INDEX(Models!$BJ363:$BT363,,T363+1)*R363-ERP_i)*Q363*Ramure*Pc/MaxiM</f>
        <v>7.9046998670029159E-4</v>
      </c>
      <c r="Q363" s="305">
        <f t="shared" si="125"/>
        <v>0.7</v>
      </c>
      <c r="R363" s="177">
        <f t="shared" si="126"/>
        <v>0.99924562229458846</v>
      </c>
      <c r="S363" s="810">
        <f t="shared" si="127"/>
        <v>-1</v>
      </c>
      <c r="T363" s="176">
        <f t="shared" si="128"/>
        <v>5</v>
      </c>
      <c r="U363" s="251">
        <f t="shared" si="129"/>
        <v>-7.5437770541153526E-4</v>
      </c>
      <c r="V363" s="383">
        <f t="shared" si="130"/>
        <v>17.370560954323505</v>
      </c>
      <c r="W363" s="402"/>
      <c r="X363" s="157">
        <f t="shared" si="131"/>
        <v>44545</v>
      </c>
      <c r="Y363" s="385">
        <f t="shared" si="132"/>
        <v>14.963042209866309</v>
      </c>
      <c r="Z363" s="385">
        <f t="shared" si="133"/>
        <v>15.398253310481421</v>
      </c>
      <c r="AA363" s="386">
        <f t="shared" si="134"/>
        <v>17.762632030348126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0.133109705578941</v>
      </c>
      <c r="AD363" s="231">
        <f>(INDEX(Models!$BJ363:$BT363,,AH363)*(1-AF363)+INDEX(Models!$BJ363:$BT363,,AH363+1)*AF363-ERP_i)*AE363*Ramure*Pc/MaxiM</f>
        <v>7.9046998670029159E-4</v>
      </c>
      <c r="AE363" s="305">
        <f t="shared" si="136"/>
        <v>0.7</v>
      </c>
      <c r="AF363" s="177">
        <f t="shared" si="137"/>
        <v>0.99924562229458846</v>
      </c>
      <c r="AG363" s="810">
        <f t="shared" si="143"/>
        <v>-1</v>
      </c>
      <c r="AH363" s="176">
        <f t="shared" si="138"/>
        <v>5</v>
      </c>
      <c r="AI363" s="225">
        <f t="shared" si="139"/>
        <v>-7.5437770541153526E-4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6">
        <v>16.905000000000001</v>
      </c>
      <c r="C364" s="390"/>
      <c r="D364" s="393">
        <f t="shared" si="122"/>
        <v>17.397099228804024</v>
      </c>
      <c r="E364" s="385">
        <f t="shared" si="144"/>
        <v>18.511504981128393</v>
      </c>
      <c r="F364" s="385">
        <f t="shared" si="123"/>
        <v>18.52551005734108</v>
      </c>
      <c r="G364" s="110">
        <f t="shared" si="145"/>
        <v>0.97324537974976932</v>
      </c>
      <c r="H364" s="414" t="b">
        <f>Wh_hp&gt;='2020'!Maxi_hp</f>
        <v>1</v>
      </c>
      <c r="I364" s="380">
        <f>IF(H364,Wh_hp,'2020'!Maxi_hp)</f>
        <v>18.52551005734108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2.8286280507572426E-2</v>
      </c>
      <c r="M364" s="844"/>
      <c r="N364" s="844"/>
      <c r="O364" s="48">
        <f>IF(t&lt;Tnet,'2020'!Resal+('2020'!Salim-'2020'!Resal)*(1-EXP(('2020'!Tnet-t)/('2020'!Tau_j))),Resal+(Salim-Resal)*(1-EXP((Tnet-t)/(Tau_j))))*Salcycl</f>
        <v>6.0200710501953004E-2</v>
      </c>
      <c r="P364" s="169">
        <f>(INDEX(Models!$BJ364:$BT364,,T364)*(1-R364)+INDEX(Models!$BJ364:$BT364,,T364+1)*R364-ERP_i)*Q364*Ramure*Pc/MaxiM</f>
        <v>7.8599739437706657E-4</v>
      </c>
      <c r="Q364" s="305">
        <f t="shared" si="125"/>
        <v>0.7</v>
      </c>
      <c r="R364" s="177">
        <f t="shared" si="126"/>
        <v>0.99925273388126468</v>
      </c>
      <c r="S364" s="810">
        <f t="shared" si="127"/>
        <v>-1</v>
      </c>
      <c r="T364" s="176">
        <f t="shared" si="128"/>
        <v>5</v>
      </c>
      <c r="U364" s="251">
        <f t="shared" si="129"/>
        <v>-7.4726611873537907E-4</v>
      </c>
      <c r="V364" s="383">
        <f t="shared" si="130"/>
        <v>17.369198632639879</v>
      </c>
      <c r="W364" s="402"/>
      <c r="X364" s="157">
        <f t="shared" si="131"/>
        <v>44546</v>
      </c>
      <c r="Y364" s="385">
        <f t="shared" si="132"/>
        <v>15.59253701406451</v>
      </c>
      <c r="Z364" s="385">
        <f t="shared" si="133"/>
        <v>16.046430858472633</v>
      </c>
      <c r="AA364" s="386">
        <f t="shared" si="134"/>
        <v>18.511504981128393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0.13316443612600842</v>
      </c>
      <c r="AD364" s="231">
        <f>(INDEX(Models!$BJ364:$BT364,,AH364)*(1-AF364)+INDEX(Models!$BJ364:$BT364,,AH364+1)*AF364-ERP_i)*AE364*Ramure*Pc/MaxiM</f>
        <v>7.8599739437706657E-4</v>
      </c>
      <c r="AE364" s="305">
        <f t="shared" si="136"/>
        <v>0.7</v>
      </c>
      <c r="AF364" s="177">
        <f t="shared" si="137"/>
        <v>0.99925273388126468</v>
      </c>
      <c r="AG364" s="810">
        <f t="shared" si="143"/>
        <v>-1</v>
      </c>
      <c r="AH364" s="176">
        <f t="shared" si="138"/>
        <v>5</v>
      </c>
      <c r="AI364" s="225">
        <f t="shared" si="139"/>
        <v>-7.4726611873537907E-4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6">
        <v>16.978000000000002</v>
      </c>
      <c r="C365" s="390"/>
      <c r="D365" s="393">
        <f t="shared" si="122"/>
        <v>17.472630849471511</v>
      </c>
      <c r="E365" s="385">
        <f t="shared" si="144"/>
        <v>18.594754916862517</v>
      </c>
      <c r="F365" s="385">
        <f t="shared" si="123"/>
        <v>18.608834058846831</v>
      </c>
      <c r="G365" s="110">
        <f t="shared" si="145"/>
        <v>0.97705022760282734</v>
      </c>
      <c r="H365" s="414" t="b">
        <f>Wh_hp&gt;='2020'!Maxi_hp</f>
        <v>1</v>
      </c>
      <c r="I365" s="380">
        <f>IF(H365,Wh_hp,'2020'!Maxi_hp)</f>
        <v>18.608834058846831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2.8308893705407345E-2</v>
      </c>
      <c r="M365" s="844"/>
      <c r="N365" s="844"/>
      <c r="O365" s="48">
        <f>IF(t&lt;Tnet,'2020'!Resal+('2020'!Salim-'2020'!Resal)*(1-EXP(('2020'!Tnet-t)/('2020'!Tau_j))),Resal+(Salim-Resal)*(1-EXP((Tnet-t)/(Tau_j))))*Salcycl</f>
        <v>6.0346268203482233E-2</v>
      </c>
      <c r="P365" s="169">
        <f>(INDEX(Models!$BJ365:$BT365,,T365)*(1-R365)+INDEX(Models!$BJ365:$BT365,,T365+1)*R365-ERP_i)*Q365*Ramure*Pc/MaxiM</f>
        <v>7.8220053755613116E-4</v>
      </c>
      <c r="Q365" s="305">
        <f t="shared" si="125"/>
        <v>0.7</v>
      </c>
      <c r="R365" s="177">
        <f t="shared" si="126"/>
        <v>0.99925955937231459</v>
      </c>
      <c r="S365" s="810">
        <f t="shared" si="127"/>
        <v>-1</v>
      </c>
      <c r="T365" s="176">
        <f t="shared" si="128"/>
        <v>5</v>
      </c>
      <c r="U365" s="251">
        <f t="shared" si="129"/>
        <v>-7.4044062768541252E-4</v>
      </c>
      <c r="V365" s="383">
        <f t="shared" si="130"/>
        <v>17.376347980608934</v>
      </c>
      <c r="W365" s="402"/>
      <c r="X365" s="157">
        <f t="shared" si="131"/>
        <v>44547</v>
      </c>
      <c r="Y365" s="385">
        <f t="shared" si="132"/>
        <v>15.661283001926659</v>
      </c>
      <c r="Z365" s="385">
        <f t="shared" si="133"/>
        <v>16.11755309940909</v>
      </c>
      <c r="AA365" s="386">
        <f t="shared" si="134"/>
        <v>18.594754916862517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0.13322046074438951</v>
      </c>
      <c r="AD365" s="231">
        <f>(INDEX(Models!$BJ365:$BT365,,AH365)*(1-AF365)+INDEX(Models!$BJ365:$BT365,,AH365+1)*AF365-ERP_i)*AE365*Ramure*Pc/MaxiM</f>
        <v>7.8220053755613116E-4</v>
      </c>
      <c r="AE365" s="305">
        <f t="shared" si="136"/>
        <v>0.7</v>
      </c>
      <c r="AF365" s="177">
        <f t="shared" si="137"/>
        <v>0.99925955937231459</v>
      </c>
      <c r="AG365" s="810">
        <f t="shared" si="143"/>
        <v>-1</v>
      </c>
      <c r="AH365" s="176">
        <f t="shared" si="138"/>
        <v>5</v>
      </c>
      <c r="AI365" s="225">
        <f t="shared" si="139"/>
        <v>-7.4044062768541252E-4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6">
        <v>17.283000000000001</v>
      </c>
      <c r="C366" s="390"/>
      <c r="D366" s="393">
        <f t="shared" si="122"/>
        <v>17.78693053590526</v>
      </c>
      <c r="E366" s="385">
        <f t="shared" si="144"/>
        <v>18.932179999068335</v>
      </c>
      <c r="F366" s="385">
        <f t="shared" si="123"/>
        <v>18.946814090960533</v>
      </c>
      <c r="G366" s="110">
        <f t="shared" si="145"/>
        <v>0.99377907041428171</v>
      </c>
      <c r="H366" s="414" t="b">
        <f>Wh_hp&gt;='2020'!Maxi_hp</f>
        <v>1</v>
      </c>
      <c r="I366" s="380">
        <f>IF(H366,Wh_hp,'2020'!Maxi_hp)</f>
        <v>18.946814090960533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2.8331506377000215E-2</v>
      </c>
      <c r="M366" s="844"/>
      <c r="N366" s="844"/>
      <c r="O366" s="48">
        <f>IF(t&lt;Tnet,'2020'!Resal+('2020'!Salim-'2020'!Resal)*(1-EXP(('2020'!Tnet-t)/('2020'!Tau_j))),Resal+(Salim-Resal)*(1-EXP((Tnet-t)/(Tau_j))))*Salcycl</f>
        <v>6.0492212899910747E-2</v>
      </c>
      <c r="P366" s="169">
        <f>(INDEX(Models!$BJ366:$BT366,,T366)*(1-R366)+INDEX(Models!$BJ366:$BT366,,T366+1)*R366-ERP_i)*Q366*Ramure*Pc/MaxiM</f>
        <v>7.7929541840925575E-4</v>
      </c>
      <c r="Q366" s="305">
        <f t="shared" si="125"/>
        <v>0.7</v>
      </c>
      <c r="R366" s="177">
        <f t="shared" si="126"/>
        <v>0.99926611026805001</v>
      </c>
      <c r="S366" s="810">
        <f t="shared" si="127"/>
        <v>-1</v>
      </c>
      <c r="T366" s="176">
        <f t="shared" si="128"/>
        <v>5</v>
      </c>
      <c r="U366" s="251">
        <f t="shared" si="129"/>
        <v>-7.3388973194998819E-4</v>
      </c>
      <c r="V366" s="383">
        <f t="shared" si="130"/>
        <v>17.391068959695591</v>
      </c>
      <c r="W366" s="402"/>
      <c r="X366" s="157">
        <f t="shared" si="131"/>
        <v>44548</v>
      </c>
      <c r="Y366" s="385">
        <f t="shared" si="132"/>
        <v>15.944052575070954</v>
      </c>
      <c r="Z366" s="385">
        <f t="shared" si="133"/>
        <v>16.40894263806101</v>
      </c>
      <c r="AA366" s="386">
        <f t="shared" si="134"/>
        <v>18.932179999068335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0.13327769760965166</v>
      </c>
      <c r="AD366" s="231">
        <f>(INDEX(Models!$BJ366:$BT366,,AH366)*(1-AF366)+INDEX(Models!$BJ366:$BT366,,AH366+1)*AF366-ERP_i)*AE366*Ramure*Pc/MaxiM</f>
        <v>7.7929541840925575E-4</v>
      </c>
      <c r="AE366" s="305">
        <f t="shared" si="136"/>
        <v>0.7</v>
      </c>
      <c r="AF366" s="177">
        <f t="shared" si="137"/>
        <v>0.99926611026805001</v>
      </c>
      <c r="AG366" s="810">
        <f t="shared" si="143"/>
        <v>-1</v>
      </c>
      <c r="AH366" s="176">
        <f t="shared" si="138"/>
        <v>5</v>
      </c>
      <c r="AI366" s="225">
        <f t="shared" si="139"/>
        <v>-7.3388973194998819E-4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6">
        <v>16.97</v>
      </c>
      <c r="C367" s="390"/>
      <c r="D367" s="393">
        <f t="shared" si="122"/>
        <v>17.465210652869501</v>
      </c>
      <c r="E367" s="385">
        <f t="shared" si="144"/>
        <v>18.592640706868718</v>
      </c>
      <c r="F367" s="385">
        <f t="shared" si="123"/>
        <v>18.60656481230383</v>
      </c>
      <c r="G367" s="110">
        <f t="shared" si="145"/>
        <v>0.97456314573854974</v>
      </c>
      <c r="H367" s="414" t="b">
        <f>Wh_hp&gt;='2020'!Maxi_hp</f>
        <v>1</v>
      </c>
      <c r="I367" s="380">
        <f>IF(H367,Wh_hp,'2020'!Maxi_hp)</f>
        <v>18.60656481230383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2.8354118522363136E-2</v>
      </c>
      <c r="M367" s="844"/>
      <c r="N367" s="844"/>
      <c r="O367" s="48">
        <f>IF(t&lt;Tnet,'2020'!Resal+('2020'!Salim-'2020'!Resal)*(1-EXP(('2020'!Tnet-t)/('2020'!Tau_j))),Resal+(Salim-Resal)*(1-EXP((Tnet-t)/(Tau_j))))*Salcycl</f>
        <v>6.0638511321455688E-2</v>
      </c>
      <c r="P367" s="169">
        <f>(INDEX(Models!$BJ367:$BT367,,T367)*(1-R367)+INDEX(Models!$BJ367:$BT367,,T367+1)*R367-ERP_i)*Q367*Ramure*Pc/MaxiM</f>
        <v>7.7653106397649479E-4</v>
      </c>
      <c r="Q367" s="305">
        <f t="shared" si="125"/>
        <v>0.7</v>
      </c>
      <c r="R367" s="177">
        <f t="shared" si="126"/>
        <v>0.99927239760722297</v>
      </c>
      <c r="S367" s="810">
        <f t="shared" si="127"/>
        <v>-1</v>
      </c>
      <c r="T367" s="176">
        <f t="shared" si="128"/>
        <v>5</v>
      </c>
      <c r="U367" s="251">
        <f t="shared" si="129"/>
        <v>-7.2760239277702699E-4</v>
      </c>
      <c r="V367" s="383">
        <f t="shared" si="130"/>
        <v>17.412438974626543</v>
      </c>
      <c r="W367" s="402"/>
      <c r="X367" s="157">
        <f t="shared" si="131"/>
        <v>44549</v>
      </c>
      <c r="Y367" s="385">
        <f t="shared" si="132"/>
        <v>15.656685044204158</v>
      </c>
      <c r="Z367" s="385">
        <f t="shared" si="133"/>
        <v>16.113571150421748</v>
      </c>
      <c r="AA367" s="386">
        <f t="shared" si="134"/>
        <v>18.592640706868718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0.13333606535682269</v>
      </c>
      <c r="AD367" s="231">
        <f>(INDEX(Models!$BJ367:$BT367,,AH367)*(1-AF367)+INDEX(Models!$BJ367:$BT367,,AH367+1)*AF367-ERP_i)*AE367*Ramure*Pc/MaxiM</f>
        <v>7.7653106397649479E-4</v>
      </c>
      <c r="AE367" s="305">
        <f t="shared" si="136"/>
        <v>0.7</v>
      </c>
      <c r="AF367" s="177">
        <f t="shared" si="137"/>
        <v>0.99927239760722297</v>
      </c>
      <c r="AG367" s="810">
        <f t="shared" si="143"/>
        <v>-1</v>
      </c>
      <c r="AH367" s="176">
        <f t="shared" si="138"/>
        <v>5</v>
      </c>
      <c r="AI367" s="225">
        <f t="shared" si="139"/>
        <v>-7.2760239277702699E-4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6">
        <v>17.481999999999999</v>
      </c>
      <c r="C368" s="390"/>
      <c r="D368" s="393">
        <f t="shared" si="122"/>
        <v>17.992570312304373</v>
      </c>
      <c r="E368" s="385">
        <f t="shared" si="144"/>
        <v>19.157033063560533</v>
      </c>
      <c r="F368" s="385">
        <f t="shared" si="123"/>
        <v>19.171871090766793</v>
      </c>
      <c r="G368" s="110">
        <f t="shared" si="145"/>
        <v>1.0024357142397329</v>
      </c>
      <c r="H368" s="414" t="b">
        <f>Wh_hp&gt;='2020'!Maxi_hp</f>
        <v>1</v>
      </c>
      <c r="I368" s="380">
        <f>IF(H368,Wh_hp,'2020'!Maxi_hp)</f>
        <v>19.171871090766793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2.8376730141508322E-2</v>
      </c>
      <c r="M368" s="844"/>
      <c r="N368" s="844"/>
      <c r="O368" s="48">
        <f>IF(t&lt;Tnet,'2020'!Resal+('2020'!Salim-'2020'!Resal)*(1-EXP(('2020'!Tnet-t)/('2020'!Tau_j))),Resal+(Salim-Resal)*(1-EXP((Tnet-t)/(Tau_j))))*Salcycl</f>
        <v>6.0785130317028889E-2</v>
      </c>
      <c r="P368" s="169">
        <f>(INDEX(Models!$BJ368:$BT368,,T368)*(1-R368)+INDEX(Models!$BJ368:$BT368,,T368+1)*R368-ERP_i)*Q368*Ramure*Pc/MaxiM</f>
        <v>7.7394778715174752E-4</v>
      </c>
      <c r="Q368" s="305">
        <f t="shared" si="125"/>
        <v>0.7</v>
      </c>
      <c r="R368" s="177">
        <f t="shared" si="126"/>
        <v>0.99927843198549371</v>
      </c>
      <c r="S368" s="810">
        <f t="shared" si="127"/>
        <v>-1</v>
      </c>
      <c r="T368" s="176">
        <f t="shared" si="128"/>
        <v>5</v>
      </c>
      <c r="U368" s="251">
        <f t="shared" si="129"/>
        <v>-7.2156801450634633E-4</v>
      </c>
      <c r="V368" s="383">
        <f t="shared" si="130"/>
        <v>17.439522307182255</v>
      </c>
      <c r="W368" s="402"/>
      <c r="X368" s="157">
        <f t="shared" si="131"/>
        <v>44550</v>
      </c>
      <c r="Y368" s="385">
        <f t="shared" si="132"/>
        <v>16.130473063704077</v>
      </c>
      <c r="Z368" s="385">
        <f t="shared" si="133"/>
        <v>16.601571374523932</v>
      </c>
      <c r="AA368" s="386">
        <f t="shared" si="134"/>
        <v>19.157033063560533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0.1333954835572875</v>
      </c>
      <c r="AD368" s="231">
        <f>(INDEX(Models!$BJ368:$BT368,,AH368)*(1-AF368)+INDEX(Models!$BJ368:$BT368,,AH368+1)*AF368-ERP_i)*AE368*Ramure*Pc/MaxiM</f>
        <v>7.7394778715174752E-4</v>
      </c>
      <c r="AE368" s="305">
        <f t="shared" si="136"/>
        <v>0.7</v>
      </c>
      <c r="AF368" s="177">
        <f t="shared" si="137"/>
        <v>0.99927843198549371</v>
      </c>
      <c r="AG368" s="810">
        <f t="shared" si="143"/>
        <v>-1</v>
      </c>
      <c r="AH368" s="176">
        <f t="shared" si="138"/>
        <v>5</v>
      </c>
      <c r="AI368" s="225">
        <f t="shared" si="139"/>
        <v>-7.2156801450634633E-4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6">
        <v>13.827</v>
      </c>
      <c r="C369" s="390"/>
      <c r="D369" s="393">
        <f t="shared" si="122"/>
        <v>14.23115543948645</v>
      </c>
      <c r="E369" s="385">
        <f t="shared" si="144"/>
        <v>15.154553239186567</v>
      </c>
      <c r="F369" s="385">
        <f t="shared" si="123"/>
        <v>15.162766332679068</v>
      </c>
      <c r="G369" s="110">
        <f t="shared" si="145"/>
        <v>0.79122634010648918</v>
      </c>
      <c r="H369" s="414" t="b">
        <f>Wh_hp&gt;='2020'!Maxi_hp</f>
        <v>1</v>
      </c>
      <c r="I369" s="380">
        <f>IF(H369,Wh_hp,'2020'!Maxi_hp)</f>
        <v>15.162766332679068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2.8399341234448205E-2</v>
      </c>
      <c r="M369" s="844"/>
      <c r="N369" s="844"/>
      <c r="O369" s="48">
        <f>IF(t&lt;Tnet,'2020'!Resal+('2020'!Salim-'2020'!Resal)*(1-EXP(('2020'!Tnet-t)/('2020'!Tau_j))),Resal+(Salim-Resal)*(1-EXP((Tnet-t)/(Tau_j))))*Salcycl</f>
        <v>6.0932037066747706E-2</v>
      </c>
      <c r="P369" s="169">
        <f>(INDEX(Models!$BJ369:$BT369,,T369)*(1-R369)+INDEX(Models!$BJ369:$BT369,,T369+1)*R369-ERP_i)*Q369*Ramure*Pc/MaxiM</f>
        <v>7.7158501895722986E-4</v>
      </c>
      <c r="Q369" s="305">
        <f t="shared" si="125"/>
        <v>0.7</v>
      </c>
      <c r="R369" s="177">
        <f t="shared" si="126"/>
        <v>0.99928422357316316</v>
      </c>
      <c r="S369" s="810">
        <f t="shared" si="127"/>
        <v>-1</v>
      </c>
      <c r="T369" s="176">
        <f t="shared" si="128"/>
        <v>5</v>
      </c>
      <c r="U369" s="251">
        <f t="shared" si="129"/>
        <v>-7.1577642683678944E-4</v>
      </c>
      <c r="V369" s="383">
        <f t="shared" si="130"/>
        <v>17.471383888496611</v>
      </c>
      <c r="W369" s="402"/>
      <c r="X369" s="157">
        <f t="shared" si="131"/>
        <v>44551</v>
      </c>
      <c r="Y369" s="385">
        <f t="shared" si="132"/>
        <v>12.75914642453937</v>
      </c>
      <c r="Z369" s="385">
        <f t="shared" si="133"/>
        <v>13.132089104128701</v>
      </c>
      <c r="AA369" s="386">
        <f t="shared" si="134"/>
        <v>15.154553239186567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0.13345587317138385</v>
      </c>
      <c r="AD369" s="231">
        <f>(INDEX(Models!$BJ369:$BT369,,AH369)*(1-AF369)+INDEX(Models!$BJ369:$BT369,,AH369+1)*AF369-ERP_i)*AE369*Ramure*Pc/MaxiM</f>
        <v>7.7158501895722986E-4</v>
      </c>
      <c r="AE369" s="305">
        <f t="shared" si="136"/>
        <v>0.7</v>
      </c>
      <c r="AF369" s="177">
        <f t="shared" si="137"/>
        <v>0.99928422357316316</v>
      </c>
      <c r="AG369" s="810">
        <f t="shared" si="143"/>
        <v>-1</v>
      </c>
      <c r="AH369" s="176">
        <f t="shared" si="138"/>
        <v>5</v>
      </c>
      <c r="AI369" s="225">
        <f t="shared" si="139"/>
        <v>-7.1577642683678944E-4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6">
        <v>16.542000000000002</v>
      </c>
      <c r="C370" s="390"/>
      <c r="D370" s="393">
        <f t="shared" si="122"/>
        <v>17.025909581496805</v>
      </c>
      <c r="E370" s="385">
        <f t="shared" si="144"/>
        <v>18.13348854186572</v>
      </c>
      <c r="F370" s="385">
        <f t="shared" si="123"/>
        <v>18.146352200038717</v>
      </c>
      <c r="G370" s="110">
        <f t="shared" si="145"/>
        <v>0.94481707385791558</v>
      </c>
      <c r="H370" s="414" t="b">
        <f>Wh_hp&gt;='2020'!Maxi_hp</f>
        <v>1</v>
      </c>
      <c r="I370" s="380">
        <f>IF(H370,Wh_hp,'2020'!Maxi_hp)</f>
        <v>18.146352200038717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2.8421951801194889E-2</v>
      </c>
      <c r="M370" s="844"/>
      <c r="N370" s="844"/>
      <c r="O370" s="48">
        <f>IF(t&lt;Tnet,'2020'!Resal+('2020'!Salim-'2020'!Resal)*(1-EXP(('2020'!Tnet-t)/('2020'!Tau_j))),Resal+(Salim-Resal)*(1-EXP((Tnet-t)/(Tau_j))))*Salcycl</f>
        <v>6.107919928434017E-2</v>
      </c>
      <c r="P370" s="169">
        <f>(INDEX(Models!$BJ370:$BT370,,T370)*(1-R370)+INDEX(Models!$BJ370:$BT370,,T370+1)*R370-ERP_i)*Q370*Ramure*Pc/MaxiM</f>
        <v>7.6948131363578328E-4</v>
      </c>
      <c r="Q370" s="305">
        <f t="shared" si="125"/>
        <v>0.7</v>
      </c>
      <c r="R370" s="177">
        <f t="shared" si="126"/>
        <v>0.99928978213220099</v>
      </c>
      <c r="S370" s="810">
        <f t="shared" si="127"/>
        <v>-1</v>
      </c>
      <c r="T370" s="176">
        <f t="shared" si="128"/>
        <v>5</v>
      </c>
      <c r="U370" s="251">
        <f t="shared" si="129"/>
        <v>-7.102178677990123E-4</v>
      </c>
      <c r="V370" s="383">
        <f t="shared" si="130"/>
        <v>17.5070893036429</v>
      </c>
      <c r="W370" s="402"/>
      <c r="X370" s="157">
        <f t="shared" si="131"/>
        <v>44552</v>
      </c>
      <c r="Y370" s="385">
        <f t="shared" si="132"/>
        <v>15.265780860767057</v>
      </c>
      <c r="Z370" s="385">
        <f t="shared" si="133"/>
        <v>15.712356705740804</v>
      </c>
      <c r="AA370" s="386">
        <f t="shared" si="134"/>
        <v>18.13348854186572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0.13351715697369115</v>
      </c>
      <c r="AD370" s="231">
        <f>(INDEX(Models!$BJ370:$BT370,,AH370)*(1-AF370)+INDEX(Models!$BJ370:$BT370,,AH370+1)*AF370-ERP_i)*AE370*Ramure*Pc/MaxiM</f>
        <v>7.6948131363578328E-4</v>
      </c>
      <c r="AE370" s="305">
        <f t="shared" si="136"/>
        <v>0.7</v>
      </c>
      <c r="AF370" s="177">
        <f t="shared" si="137"/>
        <v>0.99928978213220099</v>
      </c>
      <c r="AG370" s="810">
        <f t="shared" si="143"/>
        <v>-1</v>
      </c>
      <c r="AH370" s="176">
        <f t="shared" si="138"/>
        <v>5</v>
      </c>
      <c r="AI370" s="225">
        <f t="shared" si="139"/>
        <v>-7.102178677990123E-4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6">
        <v>5.9539999999999997</v>
      </c>
      <c r="C371" s="390"/>
      <c r="D371" s="393">
        <f t="shared" si="122"/>
        <v>6.1283173004382476</v>
      </c>
      <c r="E371" s="385">
        <f t="shared" si="144"/>
        <v>6.5280047402085257</v>
      </c>
      <c r="F371" s="385">
        <f t="shared" si="123"/>
        <v>6.5282864076526392</v>
      </c>
      <c r="G371" s="110">
        <f t="shared" si="145"/>
        <v>0.339096436622294</v>
      </c>
      <c r="H371" s="414" t="b">
        <f>Wh_hp&gt;='2020'!Maxi_hp</f>
        <v>0</v>
      </c>
      <c r="I371" s="380">
        <f>IF(H371,Wh_hp,'2020'!Maxi_hp)</f>
        <v>16.298095724245826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2.8444561841760696E-2</v>
      </c>
      <c r="M371" s="844"/>
      <c r="N371" s="844"/>
      <c r="O371" s="48">
        <f>IF(t&lt;Tnet,'2020'!Resal+('2020'!Salim-'2020'!Resal)*(1-EXP(('2020'!Tnet-t)/('2020'!Tau_j))),Resal+(Salim-Resal)*(1-EXP((Tnet-t)/(Tau_j))))*Salcycl</f>
        <v>6.1226585408010951E-2</v>
      </c>
      <c r="P371" s="169">
        <f>(INDEX(Models!$BJ371:$BT371,,T371)*(1-R371)+INDEX(Models!$BJ371:$BT371,,T371+1)*R371-ERP_i)*Q371*Ramure*Pc/MaxiM</f>
        <v>7.6767189583153714E-4</v>
      </c>
      <c r="Q371" s="305">
        <f t="shared" si="125"/>
        <v>0.7</v>
      </c>
      <c r="R371" s="177">
        <f t="shared" si="126"/>
        <v>0.99928978213220099</v>
      </c>
      <c r="S371" s="810">
        <f t="shared" si="127"/>
        <v>-1</v>
      </c>
      <c r="T371" s="176">
        <f t="shared" si="128"/>
        <v>5</v>
      </c>
      <c r="U371" s="251">
        <f t="shared" si="129"/>
        <v>-7.102178677990123E-4</v>
      </c>
      <c r="V371" s="383">
        <f t="shared" si="130"/>
        <v>17.54570482699285</v>
      </c>
      <c r="W371" s="402"/>
      <c r="X371" s="157">
        <f t="shared" si="131"/>
        <v>44553</v>
      </c>
      <c r="Y371" s="385">
        <f t="shared" si="132"/>
        <v>5.4951162933282633</v>
      </c>
      <c r="Z371" s="385">
        <f t="shared" si="133"/>
        <v>5.655998698072505</v>
      </c>
      <c r="AA371" s="386">
        <f t="shared" si="134"/>
        <v>6.5280047402085257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0.13357925994829567</v>
      </c>
      <c r="AD371" s="231">
        <f>(INDEX(Models!$BJ371:$BT371,,AH371)*(1-AF371)+INDEX(Models!$BJ371:$BT371,,AH371+1)*AF371-ERP_i)*AE371*Ramure*Pc/MaxiM</f>
        <v>7.6767189583153714E-4</v>
      </c>
      <c r="AE371" s="305">
        <f t="shared" si="136"/>
        <v>0.7</v>
      </c>
      <c r="AF371" s="177">
        <f t="shared" si="137"/>
        <v>0.99928978213220099</v>
      </c>
      <c r="AG371" s="810">
        <f t="shared" si="143"/>
        <v>-1</v>
      </c>
      <c r="AH371" s="176">
        <f t="shared" si="138"/>
        <v>5</v>
      </c>
      <c r="AI371" s="225">
        <f t="shared" si="139"/>
        <v>-7.102178677990123E-4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6">
        <v>10.891</v>
      </c>
      <c r="C372" s="390"/>
      <c r="D372" s="393">
        <f t="shared" si="122"/>
        <v>11.210120418887637</v>
      </c>
      <c r="E372" s="385">
        <f t="shared" si="144"/>
        <v>11.943119396710111</v>
      </c>
      <c r="F372" s="385">
        <f t="shared" si="123"/>
        <v>11.947294766008682</v>
      </c>
      <c r="G372" s="110">
        <f t="shared" si="145"/>
        <v>0.61903081689164152</v>
      </c>
      <c r="H372" s="414" t="b">
        <f>Wh_hp&gt;='2020'!Maxi_hp</f>
        <v>0</v>
      </c>
      <c r="I372" s="380">
        <f>IF(H372,Wh_hp,'2020'!Maxi_hp)</f>
        <v>12.251345730545204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2.8467171356157728E-2</v>
      </c>
      <c r="M372" s="844"/>
      <c r="N372" s="844"/>
      <c r="O372" s="48">
        <f>IF(t&lt;Tnet,'2020'!Resal+('2020'!Salim-'2020'!Resal)*(1-EXP(('2020'!Tnet-t)/('2020'!Tau_j))),Resal+(Salim-Resal)*(1-EXP((Tnet-t)/(Tau_j))))*Salcycl</f>
        <v>6.1374164778457092E-2</v>
      </c>
      <c r="P372" s="169">
        <f>(INDEX(Models!$BJ372:$BT372,,T372)*(1-R372)+INDEX(Models!$BJ372:$BT372,,T372+1)*R372-ERP_i)*Q372*Ramure*Pc/MaxiM</f>
        <v>7.6619521441107451E-4</v>
      </c>
      <c r="Q372" s="305">
        <f t="shared" si="125"/>
        <v>0.7</v>
      </c>
      <c r="R372" s="177">
        <f t="shared" si="126"/>
        <v>0.99928978213220099</v>
      </c>
      <c r="S372" s="810">
        <f t="shared" si="127"/>
        <v>-1</v>
      </c>
      <c r="T372" s="176">
        <f t="shared" si="128"/>
        <v>5</v>
      </c>
      <c r="U372" s="251">
        <f t="shared" si="129"/>
        <v>-7.102178677990123E-4</v>
      </c>
      <c r="V372" s="383">
        <f t="shared" si="130"/>
        <v>17.586297316822442</v>
      </c>
      <c r="W372" s="402"/>
      <c r="X372" s="157">
        <f t="shared" si="131"/>
        <v>44554</v>
      </c>
      <c r="Y372" s="385">
        <f t="shared" si="132"/>
        <v>10.052465455052319</v>
      </c>
      <c r="Z372" s="385">
        <f t="shared" si="133"/>
        <v>10.34701572471257</v>
      </c>
      <c r="AA372" s="386">
        <f t="shared" si="134"/>
        <v>11.943119396710111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0.13364210965162157</v>
      </c>
      <c r="AD372" s="231">
        <f>(INDEX(Models!$BJ372:$BT372,,AH372)*(1-AF372)+INDEX(Models!$BJ372:$BT372,,AH372+1)*AF372-ERP_i)*AE372*Ramure*Pc/MaxiM</f>
        <v>7.6619521441107451E-4</v>
      </c>
      <c r="AE372" s="305">
        <f t="shared" si="136"/>
        <v>0.7</v>
      </c>
      <c r="AF372" s="177">
        <f t="shared" si="137"/>
        <v>0.99928978213220099</v>
      </c>
      <c r="AG372" s="810">
        <f t="shared" si="143"/>
        <v>-1</v>
      </c>
      <c r="AH372" s="176">
        <f t="shared" si="138"/>
        <v>5</v>
      </c>
      <c r="AI372" s="225">
        <f t="shared" si="139"/>
        <v>-7.102178677990123E-4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6">
        <v>8.73</v>
      </c>
      <c r="C373" s="390"/>
      <c r="D373" s="393">
        <f t="shared" si="122"/>
        <v>8.9860094349751343</v>
      </c>
      <c r="E373" s="385">
        <f t="shared" si="144"/>
        <v>9.5750870581723522</v>
      </c>
      <c r="F373" s="385">
        <f t="shared" si="123"/>
        <v>9.5771302641110072</v>
      </c>
      <c r="G373" s="110">
        <f t="shared" si="145"/>
        <v>0.49493252856089931</v>
      </c>
      <c r="H373" s="414" t="b">
        <f>Wh_hp&gt;='2020'!Maxi_hp</f>
        <v>0</v>
      </c>
      <c r="I373" s="380">
        <f>IF(H373,Wh_hp,'2020'!Maxi_hp)</f>
        <v>15.376095224212161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2.8489780344398419E-2</v>
      </c>
      <c r="M373" s="844"/>
      <c r="N373" s="844"/>
      <c r="O373" s="48">
        <f>IF(t&lt;Tnet,'2020'!Resal+('2020'!Salim-'2020'!Resal)*(1-EXP(('2020'!Tnet-t)/('2020'!Tau_j))),Resal+(Salim-Resal)*(1-EXP((Tnet-t)/(Tau_j))))*Salcycl</f>
        <v>6.1521907802857941E-2</v>
      </c>
      <c r="P373" s="169">
        <f>(INDEX(Models!$BJ373:$BT373,,T373)*(1-R373)+INDEX(Models!$BJ373:$BT373,,T373+1)*R373-ERP_i)*Q373*Ramure*Pc/MaxiM</f>
        <v>7.6503639222927811E-4</v>
      </c>
      <c r="Q373" s="305">
        <f t="shared" si="125"/>
        <v>0.7</v>
      </c>
      <c r="R373" s="177">
        <f t="shared" si="126"/>
        <v>0.99928978213220099</v>
      </c>
      <c r="S373" s="810">
        <f t="shared" si="127"/>
        <v>-1</v>
      </c>
      <c r="T373" s="176">
        <f t="shared" si="128"/>
        <v>5</v>
      </c>
      <c r="U373" s="251">
        <f t="shared" si="129"/>
        <v>-7.102178677990123E-4</v>
      </c>
      <c r="V373" s="383">
        <f t="shared" si="130"/>
        <v>17.629034622642415</v>
      </c>
      <c r="W373" s="402"/>
      <c r="X373" s="157">
        <f t="shared" si="131"/>
        <v>44555</v>
      </c>
      <c r="Y373" s="385">
        <f t="shared" si="132"/>
        <v>8.058525666053189</v>
      </c>
      <c r="Z373" s="385">
        <f t="shared" si="133"/>
        <v>8.2948439481263723</v>
      </c>
      <c r="AA373" s="386">
        <f t="shared" si="134"/>
        <v>9.5750870581723522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0.13370563654074458</v>
      </c>
      <c r="AD373" s="231">
        <f>(INDEX(Models!$BJ373:$BT373,,AH373)*(1-AF373)+INDEX(Models!$BJ373:$BT373,,AH373+1)*AF373-ERP_i)*AE373*Ramure*Pc/MaxiM</f>
        <v>7.6503639222927811E-4</v>
      </c>
      <c r="AE373" s="305">
        <f t="shared" si="136"/>
        <v>0.7</v>
      </c>
      <c r="AF373" s="177">
        <f t="shared" si="137"/>
        <v>0.99928978213220099</v>
      </c>
      <c r="AG373" s="810">
        <f t="shared" si="143"/>
        <v>-1</v>
      </c>
      <c r="AH373" s="176">
        <f t="shared" si="138"/>
        <v>5</v>
      </c>
      <c r="AI373" s="225">
        <f t="shared" si="139"/>
        <v>-7.102178677990123E-4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6">
        <v>9.98</v>
      </c>
      <c r="C374" s="390"/>
      <c r="D374" s="393">
        <f t="shared" si="122"/>
        <v>10.272905063338106</v>
      </c>
      <c r="E374" s="385">
        <f t="shared" si="144"/>
        <v>10.948070211532791</v>
      </c>
      <c r="F374" s="385">
        <f t="shared" si="123"/>
        <v>10.951233863233503</v>
      </c>
      <c r="G374" s="110">
        <f t="shared" si="145"/>
        <v>0.5643690800904414</v>
      </c>
      <c r="H374" s="414" t="b">
        <f>Wh_hp&gt;='2020'!Maxi_hp</f>
        <v>0</v>
      </c>
      <c r="I374" s="380">
        <f>IF(H374,Wh_hp,'2020'!Maxi_hp)</f>
        <v>17.449780292795875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2.8512388806494871E-2</v>
      </c>
      <c r="M374" s="844"/>
      <c r="N374" s="844"/>
      <c r="O374" s="48">
        <f>IF(t&lt;Tnet,'2020'!Resal+('2020'!Salim-'2020'!Resal)*(1-EXP(('2020'!Tnet-t)/('2020'!Tau_j))),Resal+(Salim-Resal)*(1-EXP((Tnet-t)/(Tau_j))))*Salcycl</f>
        <v>6.1669786103806717E-2</v>
      </c>
      <c r="P374" s="169">
        <f>(INDEX(Models!$BJ374:$BT374,,T374)*(1-R374)+INDEX(Models!$BJ374:$BT374,,T374+1)*R374-ERP_i)*Q374*Ramure*Pc/MaxiM</f>
        <v>7.6413881378967804E-4</v>
      </c>
      <c r="Q374" s="305">
        <f t="shared" si="125"/>
        <v>0.7</v>
      </c>
      <c r="R374" s="177">
        <f t="shared" si="126"/>
        <v>0.99928978213220099</v>
      </c>
      <c r="S374" s="810">
        <f t="shared" si="127"/>
        <v>-1</v>
      </c>
      <c r="T374" s="176">
        <f t="shared" si="128"/>
        <v>5</v>
      </c>
      <c r="U374" s="251">
        <f t="shared" si="129"/>
        <v>-7.102178677990123E-4</v>
      </c>
      <c r="V374" s="383">
        <f t="shared" si="130"/>
        <v>17.675056895141218</v>
      </c>
      <c r="W374" s="402"/>
      <c r="X374" s="157">
        <f t="shared" si="131"/>
        <v>44556</v>
      </c>
      <c r="Y374" s="385">
        <f t="shared" si="132"/>
        <v>9.2131506849115183</v>
      </c>
      <c r="Z374" s="385">
        <f t="shared" si="133"/>
        <v>9.483549330693835</v>
      </c>
      <c r="AA374" s="386">
        <f t="shared" si="134"/>
        <v>10.948070211532791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0.13376977426544234</v>
      </c>
      <c r="AD374" s="231">
        <f>(INDEX(Models!$BJ374:$BT374,,AH374)*(1-AF374)+INDEX(Models!$BJ374:$BT374,,AH374+1)*AF374-ERP_i)*AE374*Ramure*Pc/MaxiM</f>
        <v>7.6413881378967804E-4</v>
      </c>
      <c r="AE374" s="305">
        <f t="shared" si="136"/>
        <v>0.7</v>
      </c>
      <c r="AF374" s="177">
        <f t="shared" si="137"/>
        <v>0.99928978213220099</v>
      </c>
      <c r="AG374" s="810">
        <f t="shared" si="143"/>
        <v>-1</v>
      </c>
      <c r="AH374" s="176">
        <f t="shared" si="138"/>
        <v>5</v>
      </c>
      <c r="AI374" s="225">
        <f t="shared" si="139"/>
        <v>-7.102178677990123E-4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6">
        <v>9.141</v>
      </c>
      <c r="C375" s="390"/>
      <c r="D375" s="393">
        <f t="shared" si="122"/>
        <v>9.4095000533711168</v>
      </c>
      <c r="E375" s="385">
        <f t="shared" si="144"/>
        <v>10.029501496710713</v>
      </c>
      <c r="F375" s="385">
        <f t="shared" si="123"/>
        <v>10.031864135809425</v>
      </c>
      <c r="G375" s="110">
        <f t="shared" si="145"/>
        <v>0.5154431385486955</v>
      </c>
      <c r="H375" s="414" t="b">
        <f>Wh_hp&gt;='2020'!Maxi_hp</f>
        <v>0</v>
      </c>
      <c r="I375" s="380">
        <f>IF(H375,Wh_hp,'2020'!Maxi_hp)</f>
        <v>18.041116002865003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2.8534996742459406E-2</v>
      </c>
      <c r="M375" s="844"/>
      <c r="N375" s="844"/>
      <c r="O375" s="48">
        <f>IF(t&lt;Tnet,'2020'!Resal+('2020'!Salim-'2020'!Resal)*(1-EXP(('2020'!Tnet-t)/('2020'!Tau_j))),Resal+(Salim-Resal)*(1-EXP((Tnet-t)/(Tau_j))))*Salcycl</f>
        <v>6.1817772652303191E-2</v>
      </c>
      <c r="P375" s="169">
        <f>(INDEX(Models!$BJ375:$BT375,,T375)*(1-R375)+INDEX(Models!$BJ375:$BT375,,T375+1)*R375-ERP_i)*Q375*Ramure*Pc/MaxiM</f>
        <v>7.642433591215983E-4</v>
      </c>
      <c r="Q375" s="305">
        <f t="shared" si="125"/>
        <v>0.7</v>
      </c>
      <c r="R375" s="177">
        <f t="shared" si="126"/>
        <v>0.99928978213220099</v>
      </c>
      <c r="S375" s="810">
        <f t="shared" si="127"/>
        <v>-1</v>
      </c>
      <c r="T375" s="176">
        <f t="shared" si="128"/>
        <v>5</v>
      </c>
      <c r="U375" s="251">
        <f t="shared" si="129"/>
        <v>-7.102178677990123E-4</v>
      </c>
      <c r="V375" s="383">
        <f t="shared" si="130"/>
        <v>17.724876049845847</v>
      </c>
      <c r="W375" s="402"/>
      <c r="X375" s="157">
        <f t="shared" si="131"/>
        <v>44557</v>
      </c>
      <c r="Y375" s="385">
        <f t="shared" si="132"/>
        <v>8.4393191120569835</v>
      </c>
      <c r="Z375" s="385">
        <f t="shared" si="133"/>
        <v>8.6872085806056312</v>
      </c>
      <c r="AA375" s="386">
        <f t="shared" si="134"/>
        <v>10.029501496710713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0.13383445992258955</v>
      </c>
      <c r="AD375" s="231">
        <f>(INDEX(Models!$BJ375:$BT375,,AH375)*(1-AF375)+INDEX(Models!$BJ375:$BT375,,AH375+1)*AF375-ERP_i)*AE375*Ramure*Pc/MaxiM</f>
        <v>7.642433591215983E-4</v>
      </c>
      <c r="AE375" s="305">
        <f t="shared" si="136"/>
        <v>0.7</v>
      </c>
      <c r="AF375" s="177">
        <f t="shared" si="137"/>
        <v>0.99928978213220099</v>
      </c>
      <c r="AG375" s="810">
        <f t="shared" si="143"/>
        <v>-1</v>
      </c>
      <c r="AH375" s="176">
        <f t="shared" si="138"/>
        <v>5</v>
      </c>
      <c r="AI375" s="225">
        <f t="shared" si="139"/>
        <v>-7.102178677990123E-4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6">
        <v>4.8559999999999999</v>
      </c>
      <c r="C376" s="390"/>
      <c r="D376" s="393">
        <f t="shared" si="122"/>
        <v>4.9987523920680639</v>
      </c>
      <c r="E376" s="385">
        <f t="shared" si="144"/>
        <v>5.3289662735825001</v>
      </c>
      <c r="F376" s="385">
        <f t="shared" si="123"/>
        <v>5.3289662735825001</v>
      </c>
      <c r="G376" s="110">
        <f t="shared" si="145"/>
        <v>0.27292192616936467</v>
      </c>
      <c r="H376" s="414" t="b">
        <f>Wh_hp&gt;='2020'!Maxi_hp</f>
        <v>0</v>
      </c>
      <c r="I376" s="380">
        <f>IF(H376,Wh_hp,'2020'!Maxi_hp)</f>
        <v>6.7415764018535276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2.8557604152304239E-2</v>
      </c>
      <c r="M376" s="844"/>
      <c r="N376" s="844"/>
      <c r="O376" s="48">
        <f>IF(t&lt;Tnet,'2020'!Resal+('2020'!Salim-'2020'!Resal)*(1-EXP(('2020'!Tnet-t)/('2020'!Tau_j))),Resal+(Salim-Resal)*(1-EXP((Tnet-t)/(Tau_j))))*Salcycl</f>
        <v>6.1965841884085278E-2</v>
      </c>
      <c r="P376" s="169">
        <f>(INDEX(Models!$BJ376:$BT376,,T376)*(1-R376)+INDEX(Models!$BJ376:$BT376,,T376+1)*R376-ERP_i)*Q376*Ramure*Pc/MaxiM</f>
        <v>7.6514223084974786E-4</v>
      </c>
      <c r="Q376" s="305">
        <f t="shared" si="125"/>
        <v>0.7</v>
      </c>
      <c r="R376" s="177">
        <f t="shared" si="126"/>
        <v>0.99928978213220099</v>
      </c>
      <c r="S376" s="810">
        <f t="shared" si="127"/>
        <v>-1</v>
      </c>
      <c r="T376" s="176">
        <f t="shared" si="128"/>
        <v>5</v>
      </c>
      <c r="U376" s="251">
        <f t="shared" si="129"/>
        <v>-7.102178677990123E-4</v>
      </c>
      <c r="V376" s="383">
        <f t="shared" si="130"/>
        <v>17.779020313361912</v>
      </c>
      <c r="W376" s="402"/>
      <c r="X376" s="157">
        <f t="shared" si="131"/>
        <v>44558</v>
      </c>
      <c r="Y376" s="385">
        <f t="shared" si="132"/>
        <v>4.4836143114695881</v>
      </c>
      <c r="Z376" s="385">
        <f t="shared" si="133"/>
        <v>4.6154196385027202</v>
      </c>
      <c r="AA376" s="386">
        <f t="shared" si="134"/>
        <v>5.3289662735825001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0.13389963427186122</v>
      </c>
      <c r="AD376" s="231">
        <f>(INDEX(Models!$BJ376:$BT376,,AH376)*(1-AF376)+INDEX(Models!$BJ376:$BT376,,AH376+1)*AF376-ERP_i)*AE376*Ramure*Pc/MaxiM</f>
        <v>7.6514223084974786E-4</v>
      </c>
      <c r="AE376" s="305">
        <f t="shared" si="136"/>
        <v>0.7</v>
      </c>
      <c r="AF376" s="177">
        <f t="shared" si="137"/>
        <v>0.99928978213220099</v>
      </c>
      <c r="AG376" s="810">
        <f t="shared" si="143"/>
        <v>-1</v>
      </c>
      <c r="AH376" s="176">
        <f t="shared" si="138"/>
        <v>5</v>
      </c>
      <c r="AI376" s="225">
        <f t="shared" si="139"/>
        <v>-7.102178677990123E-4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6">
        <v>3.944</v>
      </c>
      <c r="C377" s="390"/>
      <c r="D377" s="393">
        <f t="shared" si="122"/>
        <v>4.060036705867776</v>
      </c>
      <c r="E377" s="385">
        <f t="shared" si="144"/>
        <v>4.3289233181099149</v>
      </c>
      <c r="F377" s="385">
        <f t="shared" si="123"/>
        <v>4.3289233181099149</v>
      </c>
      <c r="G377" s="110">
        <f t="shared" si="145"/>
        <v>0.22093130107236883</v>
      </c>
      <c r="H377" s="414" t="b">
        <f>Wh_hp&gt;='2020'!Maxi_hp</f>
        <v>0</v>
      </c>
      <c r="I377" s="380">
        <f>IF(H377,Wh_hp,'2020'!Maxi_hp)</f>
        <v>20.470863800267029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2.8580211036041581E-2</v>
      </c>
      <c r="M377" s="844"/>
      <c r="N377" s="844"/>
      <c r="O377" s="48">
        <f>IF(t&lt;Tnet,'2020'!Resal+('2020'!Salim-'2020'!Resal)*(1-EXP(('2020'!Tnet-t)/('2020'!Tau_j))),Resal+(Salim-Resal)*(1-EXP((Tnet-t)/(Tau_j))))*Salcycl</f>
        <v>6.2113969798739621E-2</v>
      </c>
      <c r="P377" s="169">
        <f>(INDEX(Models!$BJ377:$BT377,,T377)*(1-R377)+INDEX(Models!$BJ377:$BT377,,T377+1)*R377-ERP_i)*Q377*Ramure*Pc/MaxiM</f>
        <v>7.6680017224804611E-4</v>
      </c>
      <c r="Q377" s="305">
        <f t="shared" si="125"/>
        <v>0.7</v>
      </c>
      <c r="R377" s="177">
        <f t="shared" si="126"/>
        <v>0.99928978213220099</v>
      </c>
      <c r="S377" s="810">
        <f t="shared" si="127"/>
        <v>-1</v>
      </c>
      <c r="T377" s="176">
        <f t="shared" si="128"/>
        <v>5</v>
      </c>
      <c r="U377" s="251">
        <f t="shared" si="129"/>
        <v>-7.102178677990123E-4</v>
      </c>
      <c r="V377" s="383">
        <f t="shared" si="130"/>
        <v>17.838014446082212</v>
      </c>
      <c r="W377" s="402"/>
      <c r="X377" s="157">
        <f t="shared" si="131"/>
        <v>44559</v>
      </c>
      <c r="Y377" s="385">
        <f t="shared" si="132"/>
        <v>3.6418509028925685</v>
      </c>
      <c r="Z377" s="385">
        <f t="shared" si="133"/>
        <v>3.7489980585805096</v>
      </c>
      <c r="AA377" s="386">
        <f t="shared" si="134"/>
        <v>4.3289233181099149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0.13396524191207226</v>
      </c>
      <c r="AD377" s="231">
        <f>(INDEX(Models!$BJ377:$BT377,,AH377)*(1-AF377)+INDEX(Models!$BJ377:$BT377,,AH377+1)*AF377-ERP_i)*AE377*Ramure*Pc/MaxiM</f>
        <v>7.6680017224804611E-4</v>
      </c>
      <c r="AE377" s="305">
        <f t="shared" si="136"/>
        <v>0.7</v>
      </c>
      <c r="AF377" s="177">
        <f t="shared" si="137"/>
        <v>0.99928978213220099</v>
      </c>
      <c r="AG377" s="810">
        <f t="shared" si="143"/>
        <v>-1</v>
      </c>
      <c r="AH377" s="176">
        <f t="shared" si="138"/>
        <v>5</v>
      </c>
      <c r="AI377" s="225">
        <f t="shared" si="139"/>
        <v>-7.102178677990123E-4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6">
        <v>14.287000000000001</v>
      </c>
      <c r="C378" s="390"/>
      <c r="D378" s="393">
        <f t="shared" si="122"/>
        <v>14.707681117282153</v>
      </c>
      <c r="E378" s="385">
        <f t="shared" si="144"/>
        <v>15.684213735193582</v>
      </c>
      <c r="F378" s="385">
        <f t="shared" si="123"/>
        <v>15.69280197852588</v>
      </c>
      <c r="G378" s="110">
        <f t="shared" si="145"/>
        <v>0.79787299951798374</v>
      </c>
      <c r="H378" s="414" t="b">
        <f>Wh_hp&gt;='2020'!Maxi_hp</f>
        <v>0</v>
      </c>
      <c r="I378" s="380">
        <f>IF(H378,Wh_hp,'2020'!Maxi_hp)</f>
        <v>18.88344038484756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2.8602817393683755E-2</v>
      </c>
      <c r="M378" s="844"/>
      <c r="N378" s="844"/>
      <c r="O378" s="48">
        <f>IF(t&lt;Tnet,'2020'!Resal+('2020'!Salim-'2020'!Resal)*(1-EXP(('2020'!Tnet-t)/('2020'!Tau_j))),Resal+(Salim-Resal)*(1-EXP((Tnet-t)/(Tau_j))))*Salcycl</f>
        <v>6.2262134041198541E-2</v>
      </c>
      <c r="P378" s="169">
        <f>(INDEX(Models!$BJ378:$BT378,,T378)*(1-R378)+INDEX(Models!$BJ378:$BT378,,T378+1)*R378-ERP_i)*Q378*Ramure*Pc/MaxiM</f>
        <v>7.691814031927296E-4</v>
      </c>
      <c r="Q378" s="305">
        <f t="shared" si="125"/>
        <v>0.7</v>
      </c>
      <c r="R378" s="177">
        <f t="shared" si="126"/>
        <v>0.99928978213220099</v>
      </c>
      <c r="S378" s="810">
        <f t="shared" si="127"/>
        <v>-1</v>
      </c>
      <c r="T378" s="176">
        <f t="shared" si="128"/>
        <v>5</v>
      </c>
      <c r="U378" s="251">
        <f t="shared" si="129"/>
        <v>-7.102178677990123E-4</v>
      </c>
      <c r="V378" s="383">
        <f t="shared" si="130"/>
        <v>17.902382790333487</v>
      </c>
      <c r="W378" s="402"/>
      <c r="X378" s="157">
        <f t="shared" si="131"/>
        <v>44560</v>
      </c>
      <c r="Y378" s="385">
        <f t="shared" si="132"/>
        <v>13.193554665816187</v>
      </c>
      <c r="Z378" s="385">
        <f t="shared" si="133"/>
        <v>13.58203925444492</v>
      </c>
      <c r="AA378" s="386">
        <f t="shared" si="134"/>
        <v>15.684213735193582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0.13403123141784426</v>
      </c>
      <c r="AD378" s="231">
        <f>(INDEX(Models!$BJ378:$BT378,,AH378)*(1-AF378)+INDEX(Models!$BJ378:$BT378,,AH378+1)*AF378-ERP_i)*AE378*Ramure*Pc/MaxiM</f>
        <v>7.691814031927296E-4</v>
      </c>
      <c r="AE378" s="305">
        <f t="shared" si="136"/>
        <v>0.7</v>
      </c>
      <c r="AF378" s="177">
        <f t="shared" si="137"/>
        <v>0.99928978213220099</v>
      </c>
      <c r="AG378" s="810">
        <f t="shared" si="143"/>
        <v>-1</v>
      </c>
      <c r="AH378" s="176">
        <f t="shared" si="138"/>
        <v>5</v>
      </c>
      <c r="AI378" s="225">
        <f t="shared" si="139"/>
        <v>-7.102178677990123E-4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6">
        <v>17.190999999999999</v>
      </c>
      <c r="C379" s="390"/>
      <c r="D379" s="393">
        <f t="shared" si="122"/>
        <v>17.697601328088144</v>
      </c>
      <c r="E379" s="385">
        <f t="shared" si="144"/>
        <v>18.875635676985247</v>
      </c>
      <c r="F379" s="385">
        <f t="shared" si="123"/>
        <v>18.889316634056641</v>
      </c>
      <c r="G379" s="110">
        <f t="shared" si="145"/>
        <v>0.95646302963153962</v>
      </c>
      <c r="H379" s="414" t="b">
        <f>Wh_hp&gt;='2020'!Maxi_hp</f>
        <v>1</v>
      </c>
      <c r="I379" s="380">
        <f>IF(H379,Wh_hp,'2020'!Maxi_hp)</f>
        <v>18.889316634056641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2.8625423225242974E-2</v>
      </c>
      <c r="M379" s="844"/>
      <c r="N379" s="844"/>
      <c r="O379" s="48">
        <f>IF(t&lt;Tnet,'2020'!Resal+('2020'!Salim-'2020'!Resal)*(1-EXP(('2020'!Tnet-t)/('2020'!Tau_j))),Resal+(Salim-Resal)*(1-EXP((Tnet-t)/(Tau_j))))*Salcycl</f>
        <v>6.2410313965397222E-2</v>
      </c>
      <c r="P379" s="169">
        <f>(INDEX(Models!$BJ379:$BT379,,T379)*(1-R379)+INDEX(Models!$BJ379:$BT379,,T379+1)*R379-ERP_i)*Q379*Ramure*Pc/MaxiM</f>
        <v>7.722494692252276E-4</v>
      </c>
      <c r="Q379" s="306">
        <f t="shared" si="125"/>
        <v>0.7</v>
      </c>
      <c r="R379" s="177">
        <f t="shared" si="126"/>
        <v>0.99928978213220099</v>
      </c>
      <c r="S379" s="810">
        <f t="shared" si="127"/>
        <v>-1</v>
      </c>
      <c r="T379" s="176">
        <f t="shared" si="128"/>
        <v>5</v>
      </c>
      <c r="U379" s="307">
        <f t="shared" si="129"/>
        <v>-7.102178677990123E-4</v>
      </c>
      <c r="V379" s="383">
        <f t="shared" si="130"/>
        <v>17.972649278663496</v>
      </c>
      <c r="W379" s="402"/>
      <c r="X379" s="157">
        <f t="shared" si="131"/>
        <v>44561</v>
      </c>
      <c r="Y379" s="385">
        <f t="shared" si="132"/>
        <v>15.876592016968036</v>
      </c>
      <c r="Z379" s="385">
        <f t="shared" si="133"/>
        <v>16.344459075388702</v>
      </c>
      <c r="AA379" s="386">
        <f t="shared" si="134"/>
        <v>18.875635676985247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0.13409755543665045</v>
      </c>
      <c r="AD379" s="231">
        <f>(INDEX(Models!$BJ379:$BT379,,AH379)*(1-AF379)+INDEX(Models!$BJ379:$BT379,,AH379+1)*AF379-ERP_i)*AE379*Ramure*Pc/MaxiM</f>
        <v>7.722494692252276E-4</v>
      </c>
      <c r="AE379" s="306">
        <f t="shared" si="136"/>
        <v>0.7</v>
      </c>
      <c r="AF379" s="177">
        <f t="shared" si="137"/>
        <v>0.99928978213220099</v>
      </c>
      <c r="AG379" s="810">
        <f t="shared" si="143"/>
        <v>-1</v>
      </c>
      <c r="AH379" s="176">
        <f t="shared" si="138"/>
        <v>5</v>
      </c>
      <c r="AI379" s="222">
        <f t="shared" si="139"/>
        <v>-7.102178677990123E-4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6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11.874887310297245</v>
      </c>
      <c r="J380" s="85">
        <f>IF(H380,An,'2020'!An_max)</f>
        <v>2020</v>
      </c>
      <c r="K380" s="234"/>
      <c r="L380" s="214"/>
      <c r="M380" s="849"/>
      <c r="N380" s="849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1.7450000000000001</v>
      </c>
      <c r="C381" s="375"/>
      <c r="D381" s="373">
        <f>MIN(D15:D380)</f>
        <v>1.7948772276195439</v>
      </c>
      <c r="E381" s="373">
        <f>MIN(E15:E380)</f>
        <v>1.9036725947225628</v>
      </c>
      <c r="F381" s="374">
        <f>MIN(F15:F380)</f>
        <v>1.9036725947225628</v>
      </c>
      <c r="G381" s="125">
        <f>+MIN(G15:G380)</f>
        <v>8.8045050025399377E-2</v>
      </c>
      <c r="H381" s="94"/>
      <c r="I381" s="374">
        <f>MIN(I15:I380)</f>
        <v>6.7415764018535276</v>
      </c>
      <c r="J381" s="57">
        <f>MIN(J15:J380)</f>
        <v>2018</v>
      </c>
      <c r="K381" s="200" t="s">
        <v>7</v>
      </c>
      <c r="L381" s="146">
        <f t="shared" ref="L381:T381" si="146">MIN(L15:L380)</f>
        <v>2.0362046534201816E-2</v>
      </c>
      <c r="M381" s="846"/>
      <c r="N381" s="846"/>
      <c r="O381" s="47">
        <f t="shared" si="146"/>
        <v>1.8119499299608724E-2</v>
      </c>
      <c r="P381" s="168">
        <f t="shared" si="146"/>
        <v>7.544489469966355E-5</v>
      </c>
      <c r="Q381" s="310">
        <f t="shared" si="146"/>
        <v>0.7</v>
      </c>
      <c r="R381" s="311">
        <f t="shared" si="146"/>
        <v>0.5992908005611377</v>
      </c>
      <c r="S381" s="810">
        <f t="shared" si="146"/>
        <v>-1</v>
      </c>
      <c r="T381" s="176">
        <f t="shared" si="146"/>
        <v>5</v>
      </c>
      <c r="U381" s="252">
        <f>+MIN(U15:U380)</f>
        <v>-0.4007091994388623</v>
      </c>
      <c r="V381" s="57">
        <f>MIN(V15:V380)</f>
        <v>17.369198632639879</v>
      </c>
      <c r="W381" s="58"/>
      <c r="X381" s="112" t="s">
        <v>7</v>
      </c>
      <c r="Y381" s="373">
        <f>MIN(Y15:Y380)</f>
        <v>1.6057642212143788</v>
      </c>
      <c r="Z381" s="373">
        <f>MIN(Z15:Z380)</f>
        <v>1.6516616811369171</v>
      </c>
      <c r="AA381" s="373">
        <f>MIN(AA15:AA380)</f>
        <v>1.9036725947225628</v>
      </c>
      <c r="AB381" s="200" t="s">
        <v>7</v>
      </c>
      <c r="AC381" s="47">
        <f t="shared" ref="AC381:AH381" si="147">MIN(AC15:AC380)</f>
        <v>0.10553674568272284</v>
      </c>
      <c r="AD381" s="168">
        <f t="shared" si="147"/>
        <v>7.544489469966355E-5</v>
      </c>
      <c r="AE381" s="310">
        <f t="shared" si="147"/>
        <v>0.7</v>
      </c>
      <c r="AF381" s="311">
        <f t="shared" si="147"/>
        <v>0.5992908005611377</v>
      </c>
      <c r="AG381" s="810">
        <f t="shared" si="147"/>
        <v>-1</v>
      </c>
      <c r="AH381" s="176">
        <f t="shared" si="147"/>
        <v>5</v>
      </c>
      <c r="AI381" s="226">
        <f>MIN(AI15:AI380)</f>
        <v>-0.4007091994388623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28.23451506849316</v>
      </c>
      <c r="C382" s="375"/>
      <c r="D382" s="375">
        <f>AVERAGE(D15:D380)</f>
        <v>28.939941944540593</v>
      </c>
      <c r="E382" s="375">
        <f>AVERAGE(E15:E380)</f>
        <v>30.677273650191751</v>
      </c>
      <c r="F382" s="376">
        <f>AVERAGE(F15:F380)</f>
        <v>30.689819608697757</v>
      </c>
      <c r="G382" s="126">
        <f>AVERAGE(G15:G380)</f>
        <v>0.68067851107668309</v>
      </c>
      <c r="H382" s="94"/>
      <c r="I382" s="376">
        <f>AVERAGE(I15:I380)</f>
        <v>40.019693168375724</v>
      </c>
      <c r="J382" s="59">
        <f>AVERAGE(J15:J380)</f>
        <v>2019.8251366120219</v>
      </c>
      <c r="K382" s="200" t="s">
        <v>8</v>
      </c>
      <c r="L382" s="147">
        <f t="shared" ref="L382:V382" si="148">AVERAGE(L15:L380)</f>
        <v>2.4499552041093085E-2</v>
      </c>
      <c r="M382" s="844"/>
      <c r="N382" s="844"/>
      <c r="O382" s="48">
        <f t="shared" si="148"/>
        <v>6.2375424176811696E-2</v>
      </c>
      <c r="P382" s="169">
        <f t="shared" si="148"/>
        <v>7.6246241302987646E-4</v>
      </c>
      <c r="Q382" s="312">
        <f t="shared" si="148"/>
        <v>0.69999999999999529</v>
      </c>
      <c r="R382" s="177">
        <f t="shared" si="148"/>
        <v>0.82319767816045375</v>
      </c>
      <c r="S382" s="810">
        <f t="shared" si="148"/>
        <v>-1</v>
      </c>
      <c r="T382" s="176">
        <f t="shared" si="148"/>
        <v>5</v>
      </c>
      <c r="U382" s="251">
        <f t="shared" si="148"/>
        <v>-0.17680232183954739</v>
      </c>
      <c r="V382" s="59">
        <f t="shared" si="148"/>
        <v>40.288821613140378</v>
      </c>
      <c r="X382" s="112" t="s">
        <v>8</v>
      </c>
      <c r="Y382" s="375">
        <f>AVERAGE(Y15:Y380)</f>
        <v>26.275875682543948</v>
      </c>
      <c r="Z382" s="375">
        <f>AVERAGE(Z15:Z380)</f>
        <v>26.930949402026918</v>
      </c>
      <c r="AA382" s="375">
        <f>AVERAGE(AA15:AA380)</f>
        <v>30.677273650191751</v>
      </c>
      <c r="AB382" s="200" t="s">
        <v>8</v>
      </c>
      <c r="AC382" s="48">
        <f t="shared" ref="AC382:AH382" si="149">AVERAGE(AC15:AC380)</f>
        <v>0.12216593369106336</v>
      </c>
      <c r="AD382" s="169">
        <f t="shared" si="149"/>
        <v>7.6246241302987646E-4</v>
      </c>
      <c r="AE382" s="312">
        <f t="shared" si="149"/>
        <v>0.69999999999999529</v>
      </c>
      <c r="AF382" s="177">
        <f t="shared" si="149"/>
        <v>0.82319767816045375</v>
      </c>
      <c r="AG382" s="810">
        <f t="shared" si="149"/>
        <v>-1</v>
      </c>
      <c r="AH382" s="176">
        <f t="shared" si="149"/>
        <v>5</v>
      </c>
      <c r="AI382" s="225">
        <f>AVERAGE(AI15:AI380)</f>
        <v>-0.17680232183954739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59.624000000000002</v>
      </c>
      <c r="C383" s="377"/>
      <c r="D383" s="377">
        <f>MAX(D15:D380)</f>
        <v>61.060498971668537</v>
      </c>
      <c r="E383" s="377">
        <f>MAX(E15:E380)</f>
        <v>62.750653460721814</v>
      </c>
      <c r="F383" s="378">
        <f>MAX(F15:F380)</f>
        <v>62.756241359069833</v>
      </c>
      <c r="G383" s="127">
        <f>+MAX(G15:G380)</f>
        <v>1.042610985218579</v>
      </c>
      <c r="H383" s="94"/>
      <c r="I383" s="378">
        <f>MAX(I15:I380)</f>
        <v>66.086546918529152</v>
      </c>
      <c r="J383" s="60">
        <f>MAX(J15:J380)</f>
        <v>2021</v>
      </c>
      <c r="K383" s="200" t="s">
        <v>9</v>
      </c>
      <c r="L383" s="148">
        <f t="shared" ref="L383:T383" si="150">MAX(L15:L380)</f>
        <v>2.8625423225242974E-2</v>
      </c>
      <c r="M383" s="847"/>
      <c r="N383" s="847"/>
      <c r="O383" s="49">
        <f t="shared" si="150"/>
        <v>0.1133854820426822</v>
      </c>
      <c r="P383" s="170">
        <f t="shared" si="150"/>
        <v>2.679929911979179E-3</v>
      </c>
      <c r="Q383" s="313">
        <f t="shared" si="150"/>
        <v>0.7</v>
      </c>
      <c r="R383" s="314">
        <f t="shared" si="150"/>
        <v>0.99928978213220099</v>
      </c>
      <c r="S383" s="811">
        <f t="shared" si="150"/>
        <v>-1</v>
      </c>
      <c r="T383" s="233">
        <f t="shared" si="150"/>
        <v>5</v>
      </c>
      <c r="U383" s="253">
        <f>+MAX(U15:U380)</f>
        <v>-7.102178677990123E-4</v>
      </c>
      <c r="V383" s="60">
        <f>MAX(V15:V380)</f>
        <v>60.984203054186551</v>
      </c>
      <c r="X383" s="112" t="s">
        <v>9</v>
      </c>
      <c r="Y383" s="377">
        <f>MAX(Y15:Y380)</f>
        <v>53.888545490877839</v>
      </c>
      <c r="Z383" s="377">
        <f>MAX(Z15:Z380)</f>
        <v>55.186862279123496</v>
      </c>
      <c r="AA383" s="377">
        <f>MAX(AA15:AA380)</f>
        <v>62.750653460721814</v>
      </c>
      <c r="AB383" s="200" t="s">
        <v>9</v>
      </c>
      <c r="AC383" s="49">
        <f t="shared" ref="AC383:AH383" si="151">MAX(AC15:AC380)</f>
        <v>0.13409755543665045</v>
      </c>
      <c r="AD383" s="170">
        <f t="shared" si="151"/>
        <v>2.679929911979179E-3</v>
      </c>
      <c r="AE383" s="313">
        <f t="shared" si="151"/>
        <v>0.7</v>
      </c>
      <c r="AF383" s="314">
        <f t="shared" si="151"/>
        <v>0.99928978213220099</v>
      </c>
      <c r="AG383" s="811">
        <f t="shared" si="151"/>
        <v>-1</v>
      </c>
      <c r="AH383" s="233">
        <f t="shared" si="151"/>
        <v>5</v>
      </c>
      <c r="AI383" s="227">
        <f>MAX(AI15:AI380)</f>
        <v>-7.102178677990123E-4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7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3">
        <f>'2021'!An+1</f>
        <v>2022</v>
      </c>
      <c r="K1" s="1274"/>
      <c r="L1" s="113" t="str">
        <f>"Calcul pertes et enveloppes en "&amp;TEXT(An,0)</f>
        <v>Calcul pertes et enveloppes en 2022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8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9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4" t="s">
        <v>259</v>
      </c>
      <c r="AK2" s="834" t="s">
        <v>261</v>
      </c>
      <c r="AL2" s="834" t="s">
        <v>260</v>
      </c>
      <c r="AM2" s="834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3">
        <f>Tmaj</f>
        <v>44926</v>
      </c>
      <c r="F3" s="1283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2">
        <f>AL11-AJ11</f>
        <v>71.527132532959669</v>
      </c>
      <c r="AK3" s="833">
        <f>AM11-AK11</f>
        <v>0</v>
      </c>
      <c r="AL3" s="832"/>
      <c r="AM3" s="833"/>
      <c r="AN3" s="831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4" t="str">
        <f>Station</f>
        <v>Crêche d'Escalquens</v>
      </c>
      <c r="F4" s="1215"/>
      <c r="G4" s="1215"/>
      <c r="H4" s="1215"/>
      <c r="I4" s="1216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0.7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2">
        <f>AL12-AJ12</f>
        <v>620.11460496384598</v>
      </c>
      <c r="AK4" s="833">
        <f>AM12-AK12</f>
        <v>-0.38262386255629277</v>
      </c>
      <c r="AL4" s="832"/>
      <c r="AM4" s="833"/>
      <c r="AN4" s="831" t="s">
        <v>269</v>
      </c>
    </row>
    <row r="5" spans="1:40" s="35" customFormat="1" ht="16.5" customHeight="1" x14ac:dyDescent="0.25">
      <c r="D5" s="161" t="s">
        <v>20</v>
      </c>
      <c r="E5" s="1284">
        <f>T0</f>
        <v>43313</v>
      </c>
      <c r="F5" s="1284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691.52360911592677</v>
      </c>
      <c r="AA5" s="237">
        <f>Wh_Pvg_s-Wh_Pvg</f>
        <v>-0.38478662776655437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973.96399999999983</v>
      </c>
      <c r="AK5" s="515">
        <f>SUMIF(AK15:AK380,"VRAI",Wh)</f>
        <v>3.9115000000000002</v>
      </c>
      <c r="AL5" s="515">
        <f>SUMIF(AJ15:AJ380,"VRAI",Wh_s)</f>
        <v>898.24203663432377</v>
      </c>
      <c r="AM5" s="515">
        <f>SUMIF(AK15:AK380,"VRAI",Wh_s)</f>
        <v>0</v>
      </c>
      <c r="AN5" s="831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5">
        <f>Tservice</f>
        <v>43354</v>
      </c>
      <c r="F6" s="1285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9425.4859999999899</v>
      </c>
      <c r="AK6" s="515">
        <f>SUMIF(AK15:AK380,"FAUX",Wh)</f>
        <v>10395.538499999988</v>
      </c>
      <c r="AL6" s="515">
        <f>SUMIF(AJ15:AJ380,"FAUX",Wh_s)</f>
        <v>8805.296596117907</v>
      </c>
      <c r="AM6" s="515">
        <f>SUMIF(AK15:AK380,"FAUX",Wh_s)</f>
        <v>9703.538632752221</v>
      </c>
      <c r="AN6" s="831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2"/>
      <c r="N7" s="842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999.43207973836343</v>
      </c>
      <c r="AK7" s="515">
        <f>SUMIF(AK15:AK380,"VRAI",Wh_sa)</f>
        <v>0</v>
      </c>
      <c r="AL7" s="515">
        <f>SUMIF(AJ15:AJ380,"VRAI",Wh_pvt_s)</f>
        <v>925.44722301326499</v>
      </c>
      <c r="AM7" s="515">
        <f>SUMIF(AK15:AK380,"VRAI",Wh_sa_s)</f>
        <v>0</v>
      </c>
      <c r="AN7" s="831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1" t="s">
        <v>102</v>
      </c>
      <c r="Y8" s="1272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9746.6531785993993</v>
      </c>
      <c r="AK8" s="515">
        <f>SUMIF(AK15:AK380,"FAUX",Wh_sa)</f>
        <v>11762.21921193558</v>
      </c>
      <c r="AL8" s="515">
        <f>SUMIF(AJ15:AJ380,"FAUX",Wh_pvt_s)</f>
        <v>9105.3971113942298</v>
      </c>
      <c r="AM8" s="515">
        <f>SUMIF(AK15:AK380,"FAUX",Wh_sa_s)</f>
        <v>11762.21921193558</v>
      </c>
      <c r="AN8" s="831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10746.085258337762</v>
      </c>
      <c r="E9" s="184">
        <f>SUM(E$15:E$380)</f>
        <v>11762.21921193558</v>
      </c>
      <c r="F9" s="184">
        <f>SUM(F$15:F$380)</f>
        <v>11768.722834205053</v>
      </c>
      <c r="H9" s="1275">
        <f>+SUM(Wh)</f>
        <v>10399.449999999988</v>
      </c>
      <c r="I9" s="1276"/>
      <c r="J9" s="1277"/>
      <c r="K9" s="191"/>
      <c r="L9" s="232"/>
      <c r="M9" s="232"/>
      <c r="N9" s="232"/>
      <c r="O9" s="223">
        <f>Tnet_2022</f>
        <v>44621</v>
      </c>
      <c r="P9" s="244" t="s">
        <v>91</v>
      </c>
      <c r="Q9" s="245"/>
      <c r="R9" s="245"/>
      <c r="S9" s="245"/>
      <c r="T9" s="245"/>
      <c r="U9" s="246"/>
      <c r="V9" s="461"/>
      <c r="W9" s="520"/>
      <c r="X9" s="1269">
        <f>+SUM(Wh_s)</f>
        <v>9703.538632752221</v>
      </c>
      <c r="Y9" s="1270"/>
      <c r="Z9" s="515">
        <f>SUM(Z$15:Z$380)</f>
        <v>10030.844334407493</v>
      </c>
      <c r="AA9" s="515">
        <f>SUM(AA$15:AA$380)</f>
        <v>11762.21921193558</v>
      </c>
      <c r="AB9" s="515">
        <f>F9</f>
        <v>11768.722834205053</v>
      </c>
      <c r="AC9" s="325">
        <f>IF(An_Tnet,Tnet,'2021'!Tnet_s)</f>
        <v>44621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1071.6825420426044</v>
      </c>
      <c r="AK9" s="515">
        <f>SUMIF(AK15:AK380,"VRAI",Wh_hp)</f>
        <v>0</v>
      </c>
      <c r="AL9" s="515">
        <f>SUMIF(AJ15:AJ380,"VRAI",Wh_sa_s)</f>
        <v>1071.6825420426044</v>
      </c>
      <c r="AM9" s="515">
        <f>SUMIF(AK15:AK380,"VRAI",Wh_hp)</f>
        <v>0</v>
      </c>
      <c r="AN9" s="831" t="s">
        <v>263</v>
      </c>
    </row>
    <row r="10" spans="1:40" s="19" customFormat="1" ht="15" customHeight="1" x14ac:dyDescent="0.25">
      <c r="A10" s="206"/>
      <c r="B10" s="207"/>
      <c r="C10" s="838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7.1130378448823625E-2</v>
      </c>
      <c r="P10" s="420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0.40000000000000013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0.13821432329968256</v>
      </c>
      <c r="AD10" s="427"/>
      <c r="AE10" s="427"/>
      <c r="AF10" s="260"/>
      <c r="AG10" s="261"/>
      <c r="AH10" s="262"/>
      <c r="AI10" s="472"/>
      <c r="AJ10" s="515">
        <f>SUMIF(AJ15:AJ380,"FAUX",Wh_sa)</f>
        <v>10690.536669892977</v>
      </c>
      <c r="AK10" s="515">
        <f>SUMIF(AK15:AK380,"FAUX",Wh_hp)</f>
        <v>11768.722834205053</v>
      </c>
      <c r="AL10" s="515">
        <f>SUMIF(AJ15:AJ380,"FAUX",Wh_sa_s)</f>
        <v>10690.536669892977</v>
      </c>
      <c r="AM10" s="515">
        <f>SUMIF(AK15:AK380,"FAUX",Wh_hp)</f>
        <v>11768.722834205053</v>
      </c>
      <c r="AN10" s="831" t="s">
        <v>264</v>
      </c>
    </row>
    <row r="11" spans="1:40" s="40" customFormat="1" ht="15" customHeight="1" x14ac:dyDescent="0.25">
      <c r="A11" s="216"/>
      <c r="B11" s="217" t="s">
        <v>43</v>
      </c>
      <c r="C11" s="839"/>
      <c r="D11" s="50">
        <f>D$9-Prod_an</f>
        <v>346.63525833777385</v>
      </c>
      <c r="E11" s="51">
        <f>(E$9-D$9)*Prod_an/D$9</f>
        <v>983.35663543557212</v>
      </c>
      <c r="F11" s="186">
        <f>(F$9-E$9)*Prod_an/E$9</f>
        <v>5.7501134260136242</v>
      </c>
      <c r="G11" s="185" t="s">
        <v>6</v>
      </c>
      <c r="K11" s="194"/>
      <c r="L11" s="211">
        <f>Tvie_2022</f>
        <v>43313</v>
      </c>
      <c r="M11" s="843"/>
      <c r="N11" s="843"/>
      <c r="O11" s="202">
        <f>IF(An_Tnet,Salim_2022,'2021'!Salim)</f>
        <v>0.18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0.39928978213220112</v>
      </c>
      <c r="V11" s="19"/>
      <c r="W11" s="835"/>
      <c r="X11" s="235" t="s">
        <v>43</v>
      </c>
      <c r="Y11" s="50">
        <f>Z$9-Prod_an_s</f>
        <v>327.30570165527206</v>
      </c>
      <c r="Z11" s="51">
        <f>(AA$9-Z$9)*Prod_an_s/Z$9</f>
        <v>1674.8802445514989</v>
      </c>
      <c r="AA11" s="186">
        <f>(AB$9-AA$9)*Prod_an_s/AA$9</f>
        <v>5.3653267982470698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2">
        <f>IF($AJ7=0,0,($AJ9-$AJ7)*$AJ5/$AJ7)</f>
        <v>70.409336156299261</v>
      </c>
      <c r="AK11" s="833">
        <f>IF($AK7=0,0,($AK9-$AK7)*$AK5/$AK7)</f>
        <v>0</v>
      </c>
      <c r="AL11" s="832">
        <f>IF($AL7=0,0,($AL9-$AL7)*$AL5/$AL7)</f>
        <v>141.93646868925893</v>
      </c>
      <c r="AM11" s="833">
        <f>IF($AM7=0,0,($AM9-$AM7)*$AM5/$AM7)</f>
        <v>0</v>
      </c>
      <c r="AN11" s="831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4.6975195124397739E-2</v>
      </c>
      <c r="K12" s="191"/>
      <c r="L12" s="212">
        <f>Pspv_2022</f>
        <v>0</v>
      </c>
      <c r="M12" s="212"/>
      <c r="N12" s="212"/>
      <c r="O12" s="205">
        <f>IF(An_Tnet,Tau_2022*365,'2021'!Tau_j)</f>
        <v>912.5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-7.102178677990123E-4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0.7</v>
      </c>
      <c r="AF12" s="203"/>
      <c r="AG12" s="203"/>
      <c r="AH12" s="203"/>
      <c r="AI12" s="297">
        <f>'2021'!Hdf_s</f>
        <v>-7.102178677990123E-4</v>
      </c>
      <c r="AJ12" s="832">
        <f>IF($AJ8=0,0,($AJ10-$AJ8)*$AJ6/$AJ8)</f>
        <v>912.78108185410724</v>
      </c>
      <c r="AK12" s="833">
        <f>IF($AK8=0,0,($AK10-$AK8)*$AK6/$AK8)</f>
        <v>5.7479506608033626</v>
      </c>
      <c r="AL12" s="832">
        <f>IF($AL8=0,0,($AL10-$AL8)*$AL6/$AL8)</f>
        <v>1532.8956868179532</v>
      </c>
      <c r="AM12" s="833">
        <f>IF($AM8=0,0,($AM10-$AM8)*$AM6/$AM8)</f>
        <v>5.3653267982470698</v>
      </c>
      <c r="AN12" s="831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6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983.19041801040646</v>
      </c>
      <c r="AK13" s="73">
        <f>+AK11+AK12</f>
        <v>5.7479506608033626</v>
      </c>
      <c r="AL13" s="73">
        <f>+AL11+AL12</f>
        <v>1674.8321555072121</v>
      </c>
      <c r="AM13" s="73">
        <f>+AM11+AM12</f>
        <v>5.3653267982470698</v>
      </c>
      <c r="AN13" s="830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2022</v>
      </c>
      <c r="W14" s="837" t="s">
        <v>116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2" t="s">
        <v>255</v>
      </c>
      <c r="AK14" s="692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41">
        <v>17.673000000000002</v>
      </c>
      <c r="C15" s="840"/>
      <c r="D15" s="393">
        <f t="shared" ref="D15:D78" si="0">Wh/(1-Ppv)</f>
        <v>18.194228785336993</v>
      </c>
      <c r="E15" s="400">
        <f t="shared" ref="E15:E79" si="1">Wh_pvt/(1-Psa)</f>
        <v>19.408388261509106</v>
      </c>
      <c r="F15" s="400">
        <f t="shared" ref="F15:F78" si="2">Wh_sa/(1-Pvg*MEDIAN((-Sdif+Wh/Env_an)/Csdif,0,1))</f>
        <v>19.423010960329702</v>
      </c>
      <c r="G15" s="123">
        <f>+Wh_hp/MaxiM</f>
        <v>0.97912686810589789</v>
      </c>
      <c r="H15" s="414" t="b">
        <f>Wh_hp&gt;='2021'!Maxi_hp</f>
        <v>1</v>
      </c>
      <c r="I15" s="379">
        <f>IF(H15,Wh_hp,'2021'!Maxi_hp)</f>
        <v>19.423010960329702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2.8648028530731451E-2</v>
      </c>
      <c r="M15" s="844"/>
      <c r="N15" s="844"/>
      <c r="O15" s="48">
        <f>IF(t&lt;Tnet,'2021'!Resal+('2021'!Salim-'2021'!Resal)*(1-EXP(('2021'!Tnet-t)/('2021'!Tau_j))),Resal+(Salim-Resal)*(1-EXP((Tnet-t)/(Tau_j))))*Salcycl</f>
        <v>6.2558490680034787E-2</v>
      </c>
      <c r="P15" s="338">
        <f>(INDEX(Models!$BJ15:$BT15,,T15)*(1-R15)+INDEX(Models!$BJ15:$BT15,,T15+1)*R15-ERP_i)*Q15*Ramure*Pc/MaxiM</f>
        <v>7.7596766433002818E-4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0.99929073853078454</v>
      </c>
      <c r="S15" s="809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-7.0926146921550725E-4</v>
      </c>
      <c r="V15" s="382">
        <f t="shared" ref="V15:V78" si="8">MaxiM*(1-Ppv)*(1-Pvg)*(1-Psa)</f>
        <v>18.049337411510304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16.323062781265971</v>
      </c>
      <c r="Z15" s="385">
        <f>Wh_sa_s*(1-Psa_s)</f>
        <v>16.80447794487479</v>
      </c>
      <c r="AA15" s="386">
        <f t="shared" ref="AA15:AA78" si="12">Wh_hp*(1-Pvg_s*MEDIAN((-Sdif+Wh/Env_an)/Csdif,0,1))</f>
        <v>19.408388261509106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0.13416417074664641</v>
      </c>
      <c r="AD15" s="231">
        <f>(INDEX(Models!$BJ15:$BT15,,AH15)*(1-AF15)+INDEX(Models!$BJ15:$BT15,,AH15+1)*AF15-ERP_i)*AE15*Ramure*Pc/MaxiM</f>
        <v>7.7596766433002818E-4</v>
      </c>
      <c r="AE15" s="303">
        <f t="shared" ref="AE15:AE78" si="14">IF(OR(t&lt;Ttai,Notai),Dd_s+PousD*Croivg,Dens_s+PousD*(Croivg-Croi_tai))</f>
        <v>0.7</v>
      </c>
      <c r="AF15" s="304">
        <f>(Hp_vg_s-AG15)/(INDEX(Echel_vg,AH15+1)-AG15)</f>
        <v>0.99929073853078454</v>
      </c>
      <c r="AG15" s="809">
        <f>INDEX(Echel_vg,AH15)</f>
        <v>-1</v>
      </c>
      <c r="AH15" s="249">
        <f t="shared" ref="AH15:AH78" si="15">MIN(MATCH(Hp_vg_s,Echel_vg),10)</f>
        <v>5</v>
      </c>
      <c r="AI15" s="224">
        <f>IF(OR(t&lt;Ttai,Notai),Hdd_s+PousH*Croivg,Hdtai_s+PousH*(Croivg-Croi_tai))</f>
        <v>-7.0926146921550725E-4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42">
        <v>13.994</v>
      </c>
      <c r="C16" s="840"/>
      <c r="D16" s="393">
        <f t="shared" si="0"/>
        <v>14.407059520592579</v>
      </c>
      <c r="E16" s="385">
        <f t="shared" si="1"/>
        <v>15.370918267644193</v>
      </c>
      <c r="F16" s="385">
        <f t="shared" si="2"/>
        <v>15.379009053673034</v>
      </c>
      <c r="G16" s="110">
        <f t="shared" ref="G16:G79" si="19">+Wh_hp/MaxiM</f>
        <v>0.77154710780231439</v>
      </c>
      <c r="H16" s="414" t="b">
        <f>Wh_hp&gt;='2021'!Maxi_hp</f>
        <v>0</v>
      </c>
      <c r="I16" s="380">
        <f>IF(H16,Wh_hp,'2021'!Maxi_hp)</f>
        <v>17.983399088358674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2.8670633310161397E-2</v>
      </c>
      <c r="M16" s="844"/>
      <c r="N16" s="844"/>
      <c r="O16" s="48">
        <f>IF(t&lt;Tnet,'2021'!Resal+('2021'!Salim-'2021'!Resal)*(1-EXP(('2021'!Tnet-t)/('2021'!Tau_j))),Resal+(Salim-Resal)*(1-EXP((Tnet-t)/(Tau_j))))*Salcycl</f>
        <v>6.2706647076547009E-2</v>
      </c>
      <c r="P16" s="339">
        <f>(INDEX(Models!$BJ16:$BT16,,T16)*(1-R16)+INDEX(Models!$BJ16:$BT16,,T16+1)*R16-ERP_i)*Q16*Ramure*Pc/MaxiM</f>
        <v>7.8064634360957186E-4</v>
      </c>
      <c r="Q16" s="305">
        <f t="shared" si="4"/>
        <v>0.7</v>
      </c>
      <c r="R16" s="177">
        <f t="shared" si="5"/>
        <v>0.99931411022197991</v>
      </c>
      <c r="S16" s="810">
        <f t="shared" si="6"/>
        <v>-1</v>
      </c>
      <c r="T16" s="176">
        <f t="shared" si="7"/>
        <v>5</v>
      </c>
      <c r="U16" s="251">
        <f t="shared" ref="U16:U78" si="20">IF(OR(t&lt;Ttai,Notai),Hdd+PousH*Croivg,Hdtf+PousH*(Croivg-Croi_tai))</f>
        <v>-6.8588977802011618E-4</v>
      </c>
      <c r="V16" s="383">
        <f t="shared" si="8"/>
        <v>18.132963964574255</v>
      </c>
      <c r="W16" s="402">
        <f t="shared" si="9"/>
        <v>0</v>
      </c>
      <c r="X16" s="157">
        <f t="shared" si="10"/>
        <v>44563</v>
      </c>
      <c r="Y16" s="385">
        <f t="shared" si="11"/>
        <v>12.926124796016342</v>
      </c>
      <c r="Z16" s="385">
        <f t="shared" ref="Z16:Z78" si="21">Wh_sa_s*(1-Psa_s)</f>
        <v>13.307663949322214</v>
      </c>
      <c r="AA16" s="386">
        <f t="shared" si="12"/>
        <v>15.370918267644193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0.13423103827603663</v>
      </c>
      <c r="AD16" s="231">
        <f>(INDEX(Models!$BJ16:$BT16,,AH16)*(1-AF16)+INDEX(Models!$BJ16:$BT16,,AH16+1)*AF16-ERP_i)*AE16*Ramure*Pc/MaxiM</f>
        <v>7.8064634360957186E-4</v>
      </c>
      <c r="AE16" s="305">
        <f>IF(OR(t&lt;Ttai,Notai),Dd_s+PousD*Croivg,Dens_s+PousD*(Croivg-Croi_tai))</f>
        <v>0.7</v>
      </c>
      <c r="AF16" s="177">
        <f t="shared" ref="AF16:AF78" si="22">(Hp_vg_s-AG16)/(INDEX(Echel_vg,AH16+1)-AG16)</f>
        <v>0.99931411022197991</v>
      </c>
      <c r="AG16" s="810">
        <f t="shared" ref="AG16:AG79" si="23">INDEX(Echel_vg,AH16)</f>
        <v>-1</v>
      </c>
      <c r="AH16" s="176">
        <f t="shared" si="15"/>
        <v>5</v>
      </c>
      <c r="AI16" s="225">
        <f t="shared" ref="AI16:AI78" si="24">IF(OR(t&lt;Ttai,Notai),Hdd_s+PousH*Croivg,Hdtai_s+PousH*(Croivg-Croi_tai))</f>
        <v>-6.8588977802011618E-4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42">
        <v>13.831</v>
      </c>
      <c r="C17" s="840"/>
      <c r="D17" s="393">
        <f t="shared" si="0"/>
        <v>14.239579641457356</v>
      </c>
      <c r="E17" s="385">
        <f t="shared" si="1"/>
        <v>15.194634889866872</v>
      </c>
      <c r="F17" s="385">
        <f t="shared" si="2"/>
        <v>15.202471409857237</v>
      </c>
      <c r="G17" s="110">
        <f t="shared" si="19"/>
        <v>0.75873649887133665</v>
      </c>
      <c r="H17" s="414" t="b">
        <f>Wh_hp&gt;='2021'!Maxi_hp</f>
        <v>0</v>
      </c>
      <c r="I17" s="380">
        <f>IF(H17,Wh_hp,'2021'!Maxi_hp)</f>
        <v>19.915594108485788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2.8693237563545138E-2</v>
      </c>
      <c r="M17" s="844"/>
      <c r="N17" s="844"/>
      <c r="O17" s="48">
        <f>IF(t&lt;Tnet,'2021'!Resal+('2021'!Salim-'2021'!Resal)*(1-EXP(('2021'!Tnet-t)/('2021'!Tau_j))),Resal+(Salim-Resal)*(1-EXP((Tnet-t)/(Tau_j))))*Salcycl</f>
        <v>6.2854767839563716E-2</v>
      </c>
      <c r="P17" s="339">
        <f>(INDEX(Models!$BJ17:$BT17,,T17)*(1-R17)+INDEX(Models!$BJ17:$BT17,,T17+1)*R17-ERP_i)*Q17*Ramure*Pc/MaxiM</f>
        <v>7.8622925771824567E-4</v>
      </c>
      <c r="Q17" s="305">
        <f t="shared" si="4"/>
        <v>0.7</v>
      </c>
      <c r="R17" s="177">
        <f t="shared" si="5"/>
        <v>0.99933845949837152</v>
      </c>
      <c r="S17" s="810">
        <f t="shared" si="6"/>
        <v>-1</v>
      </c>
      <c r="T17" s="176">
        <f t="shared" si="7"/>
        <v>5</v>
      </c>
      <c r="U17" s="251">
        <f t="shared" si="20"/>
        <v>-6.6154050162845E-4</v>
      </c>
      <c r="V17" s="383">
        <f t="shared" si="8"/>
        <v>18.224051842477383</v>
      </c>
      <c r="W17" s="402">
        <f t="shared" si="9"/>
        <v>0</v>
      </c>
      <c r="X17" s="157">
        <f t="shared" si="10"/>
        <v>44564</v>
      </c>
      <c r="Y17" s="385">
        <f t="shared" si="11"/>
        <v>12.77659240927629</v>
      </c>
      <c r="Z17" s="385">
        <f t="shared" si="21"/>
        <v>13.154023943194943</v>
      </c>
      <c r="AA17" s="386">
        <f t="shared" si="12"/>
        <v>15.194634889866872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0.13429812308506273</v>
      </c>
      <c r="AD17" s="231">
        <f>(INDEX(Models!$BJ17:$BT17,,AH17)*(1-AF17)+INDEX(Models!$BJ17:$BT17,,AH17+1)*AF17-ERP_i)*AE17*Ramure*Pc/MaxiM</f>
        <v>7.8622925771824567E-4</v>
      </c>
      <c r="AE17" s="305">
        <f t="shared" si="14"/>
        <v>0.7</v>
      </c>
      <c r="AF17" s="177">
        <f>(Hp_vg_s-AG17)/(INDEX(Echel_vg,AH17+1)-AG17)</f>
        <v>0.99933845949837152</v>
      </c>
      <c r="AG17" s="810">
        <f>INDEX(Echel_vg,AH17)</f>
        <v>-1</v>
      </c>
      <c r="AH17" s="176">
        <f t="shared" si="15"/>
        <v>5</v>
      </c>
      <c r="AI17" s="225">
        <f t="shared" si="24"/>
        <v>-6.6154050162845E-4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42">
        <v>14.325000000000001</v>
      </c>
      <c r="C18" s="840"/>
      <c r="D18" s="393">
        <f t="shared" si="0"/>
        <v>14.748516046054725</v>
      </c>
      <c r="E18" s="385">
        <f t="shared" si="1"/>
        <v>15.740192891560774</v>
      </c>
      <c r="F18" s="385">
        <f t="shared" si="2"/>
        <v>15.74878515728671</v>
      </c>
      <c r="G18" s="110">
        <f t="shared" si="19"/>
        <v>0.78160574956561868</v>
      </c>
      <c r="H18" s="414" t="b">
        <f>Wh_hp&gt;='2021'!Maxi_hp</f>
        <v>0</v>
      </c>
      <c r="I18" s="380">
        <f>IF(H18,Wh_hp,'2021'!Maxi_hp)</f>
        <v>20.019430838359703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2.8715841290894883E-2</v>
      </c>
      <c r="M18" s="844"/>
      <c r="N18" s="844"/>
      <c r="O18" s="48">
        <f>IF(t&lt;Tnet,'2021'!Resal+('2021'!Salim-'2021'!Resal)*(1-EXP(('2021'!Tnet-t)/('2021'!Tau_j))),Resal+(Salim-Resal)*(1-EXP((Tnet-t)/(Tau_j))))*Salcycl</f>
        <v>6.3002839440280664E-2</v>
      </c>
      <c r="P18" s="339">
        <f>(INDEX(Models!$BJ18:$BT18,,T18)*(1-R18)+INDEX(Models!$BJ18:$BT18,,T18+1)*R18-ERP_i)*Q18*Ramure*Pc/MaxiM</f>
        <v>7.9267062015527792E-4</v>
      </c>
      <c r="Q18" s="305">
        <f t="shared" si="4"/>
        <v>0.7</v>
      </c>
      <c r="R18" s="177">
        <f t="shared" si="5"/>
        <v>0.99936382712340766</v>
      </c>
      <c r="S18" s="810">
        <f t="shared" si="6"/>
        <v>-1</v>
      </c>
      <c r="T18" s="176">
        <f t="shared" si="7"/>
        <v>5</v>
      </c>
      <c r="U18" s="251">
        <f t="shared" si="20"/>
        <v>-6.3617287659235443E-4</v>
      </c>
      <c r="V18" s="383">
        <f t="shared" si="8"/>
        <v>18.323123316644249</v>
      </c>
      <c r="W18" s="402">
        <f t="shared" si="9"/>
        <v>0</v>
      </c>
      <c r="X18" s="157">
        <f t="shared" si="10"/>
        <v>44565</v>
      </c>
      <c r="Y18" s="385">
        <f t="shared" si="11"/>
        <v>13.233994987853595</v>
      </c>
      <c r="Z18" s="385">
        <f>Wh_sa_s*(1-Psa_s)</f>
        <v>13.625255667139026</v>
      </c>
      <c r="AA18" s="386">
        <f t="shared" si="12"/>
        <v>15.740192891560774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0.1343653943120155</v>
      </c>
      <c r="AD18" s="231">
        <f>(INDEX(Models!$BJ18:$BT18,,AH18)*(1-AF18)+INDEX(Models!$BJ18:$BT18,,AH18+1)*AF18-ERP_i)*AE18*Ramure*Pc/MaxiM</f>
        <v>7.9267062015527792E-4</v>
      </c>
      <c r="AE18" s="305">
        <f t="shared" si="14"/>
        <v>0.7</v>
      </c>
      <c r="AF18" s="177">
        <f t="shared" si="22"/>
        <v>0.99936382712340766</v>
      </c>
      <c r="AG18" s="810">
        <f t="shared" si="23"/>
        <v>-1</v>
      </c>
      <c r="AH18" s="176">
        <f t="shared" si="15"/>
        <v>5</v>
      </c>
      <c r="AI18" s="225">
        <f t="shared" si="24"/>
        <v>-6.3617287659235443E-4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42">
        <v>12.259</v>
      </c>
      <c r="C19" s="840"/>
      <c r="D19" s="393">
        <f t="shared" si="0"/>
        <v>12.621728854068538</v>
      </c>
      <c r="E19" s="385">
        <f t="shared" si="1"/>
        <v>13.472530615622984</v>
      </c>
      <c r="F19" s="385">
        <f t="shared" si="2"/>
        <v>13.478154549187741</v>
      </c>
      <c r="G19" s="110">
        <f t="shared" si="19"/>
        <v>0.66488559029744698</v>
      </c>
      <c r="H19" s="414" t="b">
        <f>Wh_hp&gt;='2021'!Maxi_hp</f>
        <v>0</v>
      </c>
      <c r="I19" s="380">
        <f>IF(H19,Wh_hp,'2021'!Maxi_hp)</f>
        <v>19.724952113879578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2.8738444492222959E-2</v>
      </c>
      <c r="M19" s="844"/>
      <c r="N19" s="844"/>
      <c r="O19" s="48">
        <f>IF(t&lt;Tnet,'2021'!Resal+('2021'!Salim-'2021'!Resal)*(1-EXP(('2021'!Tnet-t)/('2021'!Tau_j))),Resal+(Salim-Resal)*(1-EXP((Tnet-t)/(Tau_j))))*Salcycl</f>
        <v>6.3150850113329174E-2</v>
      </c>
      <c r="P19" s="339">
        <f>(INDEX(Models!$BJ19:$BT19,,T19)*(1-R19)+INDEX(Models!$BJ19:$BT19,,T19+1)*R19-ERP_i)*Q19*Ramure*Pc/MaxiM</f>
        <v>7.9992287813575162E-4</v>
      </c>
      <c r="Q19" s="305">
        <f t="shared" si="4"/>
        <v>0.7</v>
      </c>
      <c r="R19" s="177">
        <f t="shared" si="5"/>
        <v>0.99939025554945693</v>
      </c>
      <c r="S19" s="810">
        <f t="shared" si="6"/>
        <v>-1</v>
      </c>
      <c r="T19" s="176">
        <f t="shared" si="7"/>
        <v>5</v>
      </c>
      <c r="U19" s="251">
        <f t="shared" si="20"/>
        <v>-6.0974445054302092E-4</v>
      </c>
      <c r="V19" s="383">
        <f t="shared" si="8"/>
        <v>18.430700246298944</v>
      </c>
      <c r="W19" s="402">
        <f t="shared" si="9"/>
        <v>0</v>
      </c>
      <c r="X19" s="157">
        <f t="shared" si="10"/>
        <v>44566</v>
      </c>
      <c r="Y19" s="385">
        <f t="shared" si="11"/>
        <v>11.326250334503627</v>
      </c>
      <c r="Z19" s="385">
        <f t="shared" si="21"/>
        <v>11.661380263921025</v>
      </c>
      <c r="AA19" s="386">
        <f t="shared" si="12"/>
        <v>13.472530615622984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0.13443282508497087</v>
      </c>
      <c r="AD19" s="231">
        <f>(INDEX(Models!$BJ19:$BT19,,AH19)*(1-AF19)+INDEX(Models!$BJ19:$BT19,,AH19+1)*AF19-ERP_i)*AE19*Ramure*Pc/MaxiM</f>
        <v>7.9992287813575162E-4</v>
      </c>
      <c r="AE19" s="305">
        <f t="shared" si="14"/>
        <v>0.7</v>
      </c>
      <c r="AF19" s="177">
        <f t="shared" si="22"/>
        <v>0.99939025554945693</v>
      </c>
      <c r="AG19" s="810">
        <f t="shared" si="23"/>
        <v>-1</v>
      </c>
      <c r="AH19" s="176">
        <f t="shared" si="15"/>
        <v>5</v>
      </c>
      <c r="AI19" s="225">
        <f t="shared" si="24"/>
        <v>-6.0974445054302092E-4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42">
        <v>15.748000000000001</v>
      </c>
      <c r="C20" s="840"/>
      <c r="D20" s="393">
        <f t="shared" si="0"/>
        <v>16.214341438915262</v>
      </c>
      <c r="E20" s="385">
        <f t="shared" si="1"/>
        <v>17.310046429600099</v>
      </c>
      <c r="F20" s="385">
        <f t="shared" si="2"/>
        <v>17.321023394714182</v>
      </c>
      <c r="G20" s="110">
        <f t="shared" si="19"/>
        <v>0.84892418246252266</v>
      </c>
      <c r="H20" s="414" t="b">
        <f>Wh_hp&gt;='2021'!Maxi_hp</f>
        <v>0</v>
      </c>
      <c r="I20" s="380">
        <f>IF(H20,Wh_hp,'2021'!Maxi_hp)</f>
        <v>19.527156693189088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2.8761047167541354E-2</v>
      </c>
      <c r="M20" s="844"/>
      <c r="N20" s="844"/>
      <c r="O20" s="48">
        <f>IF(t&lt;Tnet,'2021'!Resal+('2021'!Salim-'2021'!Resal)*(1-EXP(('2021'!Tnet-t)/('2021'!Tau_j))),Resal+(Salim-Resal)*(1-EXP((Tnet-t)/(Tau_j))))*Salcycl</f>
        <v>6.3298789817870488E-2</v>
      </c>
      <c r="P20" s="339">
        <f>(INDEX(Models!$BJ20:$BT20,,T20)*(1-R20)+INDEX(Models!$BJ20:$BT20,,T20+1)*R20-ERP_i)*Q20*Ramure*Pc/MaxiM</f>
        <v>8.0793669268379399E-4</v>
      </c>
      <c r="Q20" s="305">
        <f t="shared" si="4"/>
        <v>0.7</v>
      </c>
      <c r="R20" s="177">
        <f t="shared" si="5"/>
        <v>0.99941778898685751</v>
      </c>
      <c r="S20" s="810">
        <f t="shared" si="6"/>
        <v>-1</v>
      </c>
      <c r="T20" s="176">
        <f t="shared" si="7"/>
        <v>5</v>
      </c>
      <c r="U20" s="251">
        <f t="shared" si="20"/>
        <v>-5.8221101314245166E-4</v>
      </c>
      <c r="V20" s="383">
        <f t="shared" si="8"/>
        <v>18.54730408361749</v>
      </c>
      <c r="W20" s="402">
        <f t="shared" si="9"/>
        <v>0</v>
      </c>
      <c r="X20" s="157">
        <f t="shared" si="10"/>
        <v>44567</v>
      </c>
      <c r="Y20" s="385">
        <f t="shared" si="11"/>
        <v>14.550945031676914</v>
      </c>
      <c r="Z20" s="385">
        <f t="shared" si="21"/>
        <v>14.981838392335353</v>
      </c>
      <c r="AA20" s="386">
        <f t="shared" si="12"/>
        <v>17.310046429600099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0.13450039240123124</v>
      </c>
      <c r="AD20" s="231">
        <f>(INDEX(Models!$BJ20:$BT20,,AH20)*(1-AF20)+INDEX(Models!$BJ20:$BT20,,AH20+1)*AF20-ERP_i)*AE20*Ramure*Pc/MaxiM</f>
        <v>8.0793669268379399E-4</v>
      </c>
      <c r="AE20" s="305">
        <f t="shared" si="14"/>
        <v>0.7</v>
      </c>
      <c r="AF20" s="177">
        <f t="shared" si="22"/>
        <v>0.99941778898685751</v>
      </c>
      <c r="AG20" s="810">
        <f t="shared" si="23"/>
        <v>-1</v>
      </c>
      <c r="AH20" s="176">
        <f t="shared" si="15"/>
        <v>5</v>
      </c>
      <c r="AI20" s="225">
        <f t="shared" si="24"/>
        <v>-5.8221101314245166E-4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42">
        <v>9.7810000000000006</v>
      </c>
      <c r="C21" s="840"/>
      <c r="D21" s="393">
        <f t="shared" si="0"/>
        <v>10.070876579785965</v>
      </c>
      <c r="E21" s="385">
        <f t="shared" si="1"/>
        <v>10.753126430824418</v>
      </c>
      <c r="F21" s="385">
        <f t="shared" si="2"/>
        <v>10.755934680794235</v>
      </c>
      <c r="G21" s="110">
        <f t="shared" si="19"/>
        <v>0.52350055564341114</v>
      </c>
      <c r="H21" s="414" t="b">
        <f>Wh_hp&gt;='2021'!Maxi_hp</f>
        <v>0</v>
      </c>
      <c r="I21" s="380">
        <f>IF(H21,Wh_hp,'2021'!Maxi_hp)</f>
        <v>12.454416389518343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2.8783649316862614E-2</v>
      </c>
      <c r="M21" s="844"/>
      <c r="N21" s="844"/>
      <c r="O21" s="48">
        <f>IF(t&lt;Tnet,'2021'!Resal+('2021'!Salim-'2021'!Resal)*(1-EXP(('2021'!Tnet-t)/('2021'!Tau_j))),Resal+(Salim-Resal)*(1-EXP((Tnet-t)/(Tau_j))))*Salcycl</f>
        <v>6.3446650183777889E-2</v>
      </c>
      <c r="P21" s="339">
        <f>(INDEX(Models!$BJ21:$BT21,,T21)*(1-R21)+INDEX(Models!$BJ21:$BT21,,T21+1)*R21-ERP_i)*Q21*Ramure*Pc/MaxiM</f>
        <v>8.1666096172166821E-4</v>
      </c>
      <c r="Q21" s="305">
        <f t="shared" si="4"/>
        <v>0.7</v>
      </c>
      <c r="R21" s="177">
        <f t="shared" si="5"/>
        <v>0.99944647347570814</v>
      </c>
      <c r="S21" s="810">
        <f t="shared" si="6"/>
        <v>-1</v>
      </c>
      <c r="T21" s="176">
        <f t="shared" si="7"/>
        <v>5</v>
      </c>
      <c r="U21" s="251">
        <f t="shared" si="20"/>
        <v>-5.5352652429190464E-4</v>
      </c>
      <c r="V21" s="383">
        <f t="shared" si="8"/>
        <v>18.673455873978398</v>
      </c>
      <c r="W21" s="402">
        <f t="shared" si="9"/>
        <v>0</v>
      </c>
      <c r="X21" s="157">
        <f t="shared" si="10"/>
        <v>44568</v>
      </c>
      <c r="Y21" s="385">
        <f t="shared" si="11"/>
        <v>9.0382353987115369</v>
      </c>
      <c r="Z21" s="385">
        <f t="shared" si="21"/>
        <v>9.3060988855409956</v>
      </c>
      <c r="AA21" s="386">
        <f t="shared" si="12"/>
        <v>10.753126430824418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0.13456807697670514</v>
      </c>
      <c r="AD21" s="231">
        <f>(INDEX(Models!$BJ21:$BT21,,AH21)*(1-AF21)+INDEX(Models!$BJ21:$BT21,,AH21+1)*AF21-ERP_i)*AE21*Ramure*Pc/MaxiM</f>
        <v>8.1666096172166821E-4</v>
      </c>
      <c r="AE21" s="305">
        <f t="shared" si="14"/>
        <v>0.7</v>
      </c>
      <c r="AF21" s="177">
        <f t="shared" si="22"/>
        <v>0.99944647347570814</v>
      </c>
      <c r="AG21" s="810">
        <f t="shared" si="23"/>
        <v>-1</v>
      </c>
      <c r="AH21" s="176">
        <f t="shared" si="15"/>
        <v>5</v>
      </c>
      <c r="AI21" s="225">
        <f t="shared" si="24"/>
        <v>-5.5352652429190464E-4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42">
        <v>7.1109999999999998</v>
      </c>
      <c r="C22" s="840"/>
      <c r="D22" s="393">
        <f t="shared" si="0"/>
        <v>7.3219169778265734</v>
      </c>
      <c r="E22" s="385">
        <f t="shared" si="1"/>
        <v>7.8191727697459461</v>
      </c>
      <c r="F22" s="385">
        <f t="shared" si="2"/>
        <v>7.8198930123929804</v>
      </c>
      <c r="G22" s="110">
        <f t="shared" si="19"/>
        <v>0.37777260929434692</v>
      </c>
      <c r="H22" s="414" t="b">
        <f>Wh_hp&gt;='2021'!Maxi_hp</f>
        <v>0</v>
      </c>
      <c r="I22" s="380">
        <f>IF(H22,Wh_hp,'2021'!Maxi_hp)</f>
        <v>15.458337172992977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2.880625094019873E-2</v>
      </c>
      <c r="M22" s="844"/>
      <c r="N22" s="844"/>
      <c r="O22" s="48">
        <f>IF(t&lt;Tnet,'2021'!Resal+('2021'!Salim-'2021'!Resal)*(1-EXP(('2021'!Tnet-t)/('2021'!Tau_j))),Resal+(Salim-Resal)*(1-EXP((Tnet-t)/(Tau_j))))*Salcycl</f>
        <v>6.3594424443895362E-2</v>
      </c>
      <c r="P22" s="339">
        <f>(INDEX(Models!$BJ22:$BT22,,T22)*(1-R22)+INDEX(Models!$BJ22:$BT22,,T22+1)*R22-ERP_i)*Q22*Ramure*Pc/MaxiM</f>
        <v>8.2604288536902953E-4</v>
      </c>
      <c r="Q22" s="305">
        <f t="shared" si="4"/>
        <v>0.7</v>
      </c>
      <c r="R22" s="177">
        <f t="shared" si="5"/>
        <v>0.99947635696050585</v>
      </c>
      <c r="S22" s="810">
        <f t="shared" si="6"/>
        <v>-1</v>
      </c>
      <c r="T22" s="176">
        <f t="shared" si="7"/>
        <v>5</v>
      </c>
      <c r="U22" s="251">
        <f t="shared" si="20"/>
        <v>-5.2364303949418252E-4</v>
      </c>
      <c r="V22" s="383">
        <f t="shared" si="8"/>
        <v>18.80967625581075</v>
      </c>
      <c r="W22" s="402">
        <f t="shared" si="9"/>
        <v>0</v>
      </c>
      <c r="X22" s="157">
        <f t="shared" si="10"/>
        <v>44569</v>
      </c>
      <c r="Y22" s="385">
        <f t="shared" si="11"/>
        <v>6.5715161660279522</v>
      </c>
      <c r="Z22" s="385">
        <f t="shared" si="21"/>
        <v>6.7664316954158146</v>
      </c>
      <c r="AA22" s="386">
        <f t="shared" si="12"/>
        <v>7.8191727697459461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0.13463586306769074</v>
      </c>
      <c r="AD22" s="231">
        <f>(INDEX(Models!$BJ22:$BT22,,AH22)*(1-AF22)+INDEX(Models!$BJ22:$BT22,,AH22+1)*AF22-ERP_i)*AE22*Ramure*Pc/MaxiM</f>
        <v>8.2604288536902953E-4</v>
      </c>
      <c r="AE22" s="305">
        <f t="shared" si="14"/>
        <v>0.7</v>
      </c>
      <c r="AF22" s="177">
        <f t="shared" si="22"/>
        <v>0.99947635696050585</v>
      </c>
      <c r="AG22" s="810">
        <f t="shared" si="23"/>
        <v>-1</v>
      </c>
      <c r="AH22" s="176">
        <f t="shared" si="15"/>
        <v>5</v>
      </c>
      <c r="AI22" s="225">
        <f t="shared" si="24"/>
        <v>-5.2364303949418252E-4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42">
        <v>2.141</v>
      </c>
      <c r="C23" s="840"/>
      <c r="D23" s="393">
        <f t="shared" si="0"/>
        <v>2.2045547836670369</v>
      </c>
      <c r="E23" s="385">
        <f t="shared" si="1"/>
        <v>2.354644805647951</v>
      </c>
      <c r="F23" s="385">
        <f t="shared" si="2"/>
        <v>2.354644805647951</v>
      </c>
      <c r="G23" s="110">
        <f t="shared" si="19"/>
        <v>0.11285126131469118</v>
      </c>
      <c r="H23" s="414" t="b">
        <f>Wh_hp&gt;='2021'!Maxi_hp</f>
        <v>0</v>
      </c>
      <c r="I23" s="380">
        <f>IF(H23,Wh_hp,'2021'!Maxi_hp)</f>
        <v>19.717901161584987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2.8828852037562136E-2</v>
      </c>
      <c r="M23" s="844"/>
      <c r="N23" s="844"/>
      <c r="O23" s="48">
        <f>IF(t&lt;Tnet,'2021'!Resal+('2021'!Salim-'2021'!Resal)*(1-EXP(('2021'!Tnet-t)/('2021'!Tau_j))),Resal+(Salim-Resal)*(1-EXP((Tnet-t)/(Tau_j))))*Salcycl</f>
        <v>6.3742107353475103E-2</v>
      </c>
      <c r="P23" s="339">
        <f>(INDEX(Models!$BJ23:$BT23,,T23)*(1-R23)+INDEX(Models!$BJ23:$BT23,,T23+1)*R23-ERP_i)*Q23*Ramure*Pc/MaxiM</f>
        <v>8.3604887532133347E-4</v>
      </c>
      <c r="Q23" s="305">
        <f t="shared" si="4"/>
        <v>0.7</v>
      </c>
      <c r="R23" s="177">
        <f t="shared" si="5"/>
        <v>0.99950748936773393</v>
      </c>
      <c r="S23" s="810">
        <f t="shared" si="6"/>
        <v>-1</v>
      </c>
      <c r="T23" s="176">
        <f t="shared" si="7"/>
        <v>5</v>
      </c>
      <c r="U23" s="251">
        <f t="shared" si="20"/>
        <v>-4.9251063226608924E-4</v>
      </c>
      <c r="V23" s="383">
        <f t="shared" si="8"/>
        <v>18.956013379351134</v>
      </c>
      <c r="W23" s="402">
        <f t="shared" si="9"/>
        <v>0</v>
      </c>
      <c r="X23" s="157">
        <f t="shared" si="10"/>
        <v>44570</v>
      </c>
      <c r="Y23" s="385">
        <f t="shared" si="11"/>
        <v>1.9787275609843356</v>
      </c>
      <c r="Z23" s="385">
        <f t="shared" si="21"/>
        <v>2.0374653480344818</v>
      </c>
      <c r="AA23" s="386">
        <f t="shared" si="12"/>
        <v>2.354644805647951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0.134703738267729</v>
      </c>
      <c r="AD23" s="231">
        <f>(INDEX(Models!$BJ23:$BT23,,AH23)*(1-AF23)+INDEX(Models!$BJ23:$BT23,,AH23+1)*AF23-ERP_i)*AE23*Ramure*Pc/MaxiM</f>
        <v>8.3604887532133347E-4</v>
      </c>
      <c r="AE23" s="305">
        <f t="shared" si="14"/>
        <v>0.7</v>
      </c>
      <c r="AF23" s="177">
        <f t="shared" si="22"/>
        <v>0.99950748936773393</v>
      </c>
      <c r="AG23" s="810">
        <f t="shared" si="23"/>
        <v>-1</v>
      </c>
      <c r="AH23" s="176">
        <f t="shared" si="15"/>
        <v>5</v>
      </c>
      <c r="AI23" s="225">
        <f t="shared" si="24"/>
        <v>-4.9251063226608924E-4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42">
        <v>1.7110000000000001</v>
      </c>
      <c r="C24" s="840"/>
      <c r="D24" s="393">
        <f t="shared" si="0"/>
        <v>1.7618313949977646</v>
      </c>
      <c r="E24" s="385">
        <f t="shared" si="1"/>
        <v>1.8820767016149937</v>
      </c>
      <c r="F24" s="385">
        <f t="shared" si="2"/>
        <v>1.8820767016149937</v>
      </c>
      <c r="G24" s="110">
        <f t="shared" si="19"/>
        <v>8.9449673339919308E-2</v>
      </c>
      <c r="H24" s="414" t="b">
        <f>Wh_hp&gt;='2021'!Maxi_hp</f>
        <v>0</v>
      </c>
      <c r="I24" s="380">
        <f>IF(H24,Wh_hp,'2021'!Maxi_hp)</f>
        <v>10.382626561505731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2.8851452608964934E-2</v>
      </c>
      <c r="M24" s="844"/>
      <c r="N24" s="844"/>
      <c r="O24" s="48">
        <f>IF(t&lt;Tnet,'2021'!Resal+('2021'!Salim-'2021'!Resal)*(1-EXP(('2021'!Tnet-t)/('2021'!Tau_j))),Resal+(Salim-Resal)*(1-EXP((Tnet-t)/(Tau_j))))*Salcycl</f>
        <v>6.3889695097998689E-2</v>
      </c>
      <c r="P24" s="339">
        <f>(INDEX(Models!$BJ24:$BT24,,T24)*(1-R24)+INDEX(Models!$BJ24:$BT24,,T24+1)*R24-ERP_i)*Q24*Ramure*Pc/MaxiM</f>
        <v>8.4724282614538193E-4</v>
      </c>
      <c r="Q24" s="305">
        <f t="shared" si="4"/>
        <v>0.7</v>
      </c>
      <c r="R24" s="177">
        <f t="shared" si="5"/>
        <v>0.9995399226865096</v>
      </c>
      <c r="S24" s="810">
        <f t="shared" si="6"/>
        <v>-1</v>
      </c>
      <c r="T24" s="176">
        <f t="shared" si="7"/>
        <v>5</v>
      </c>
      <c r="U24" s="251">
        <f t="shared" si="20"/>
        <v>-4.6007731349044295E-4</v>
      </c>
      <c r="V24" s="383">
        <f t="shared" si="8"/>
        <v>19.111868201328946</v>
      </c>
      <c r="W24" s="402">
        <f t="shared" si="9"/>
        <v>0</v>
      </c>
      <c r="X24" s="157">
        <f t="shared" si="10"/>
        <v>44571</v>
      </c>
      <c r="Y24" s="385">
        <f t="shared" si="11"/>
        <v>1.5814435809985552</v>
      </c>
      <c r="Z24" s="385">
        <f t="shared" si="21"/>
        <v>1.6284260376510489</v>
      </c>
      <c r="AA24" s="386">
        <f t="shared" si="12"/>
        <v>1.8820767016149937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0.13477169328236696</v>
      </c>
      <c r="AD24" s="231">
        <f>(INDEX(Models!$BJ24:$BT24,,AH24)*(1-AF24)+INDEX(Models!$BJ24:$BT24,,AH24+1)*AF24-ERP_i)*AE24*Ramure*Pc/MaxiM</f>
        <v>8.4724282614538193E-4</v>
      </c>
      <c r="AE24" s="305">
        <f t="shared" si="14"/>
        <v>0.7</v>
      </c>
      <c r="AF24" s="177">
        <f t="shared" si="22"/>
        <v>0.9995399226865096</v>
      </c>
      <c r="AG24" s="810">
        <f t="shared" si="23"/>
        <v>-1</v>
      </c>
      <c r="AH24" s="176">
        <f t="shared" si="15"/>
        <v>5</v>
      </c>
      <c r="AI24" s="225">
        <f t="shared" si="24"/>
        <v>-4.6007731349044295E-4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42">
        <v>19.919</v>
      </c>
      <c r="C25" s="840"/>
      <c r="D25" s="393">
        <f t="shared" si="0"/>
        <v>20.511242701778738</v>
      </c>
      <c r="E25" s="385">
        <f t="shared" si="1"/>
        <v>21.91459145303471</v>
      </c>
      <c r="F25" s="385">
        <f t="shared" si="2"/>
        <v>21.933429825000896</v>
      </c>
      <c r="G25" s="110">
        <f t="shared" si="19"/>
        <v>1.033313558019227</v>
      </c>
      <c r="H25" s="414" t="b">
        <f>Wh_hp&gt;='2021'!Maxi_hp</f>
        <v>1</v>
      </c>
      <c r="I25" s="380">
        <f>IF(H25,Wh_hp,'2021'!Maxi_hp)</f>
        <v>21.933429825000896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2.8874052654419446E-2</v>
      </c>
      <c r="M25" s="844"/>
      <c r="N25" s="844"/>
      <c r="O25" s="48">
        <f>IF(t&lt;Tnet,'2021'!Resal+('2021'!Salim-'2021'!Resal)*(1-EXP(('2021'!Tnet-t)/('2021'!Tau_j))),Resal+(Salim-Resal)*(1-EXP((Tnet-t)/(Tau_j))))*Salcycl</f>
        <v>6.4037185190675222E-2</v>
      </c>
      <c r="P25" s="339">
        <f>(INDEX(Models!$BJ25:$BT25,,T25)*(1-R25)+INDEX(Models!$BJ25:$BT25,,T25+1)*R25-ERP_i)*Q25*Ramure*Pc/MaxiM</f>
        <v>8.5888856036152891E-4</v>
      </c>
      <c r="Q25" s="305">
        <f t="shared" si="4"/>
        <v>0.7</v>
      </c>
      <c r="R25" s="177">
        <f t="shared" si="5"/>
        <v>0.99957371105240234</v>
      </c>
      <c r="S25" s="810">
        <f t="shared" si="6"/>
        <v>-1</v>
      </c>
      <c r="T25" s="176">
        <f t="shared" si="7"/>
        <v>5</v>
      </c>
      <c r="U25" s="251">
        <f t="shared" si="20"/>
        <v>-4.2628894759763191E-4</v>
      </c>
      <c r="V25" s="383">
        <f t="shared" si="8"/>
        <v>19.276820521142692</v>
      </c>
      <c r="W25" s="402">
        <f t="shared" si="9"/>
        <v>0</v>
      </c>
      <c r="X25" s="157">
        <f t="shared" si="10"/>
        <v>44572</v>
      </c>
      <c r="Y25" s="385">
        <f t="shared" si="11"/>
        <v>18.412192569072221</v>
      </c>
      <c r="Z25" s="385">
        <f t="shared" si="21"/>
        <v>18.95963404067108</v>
      </c>
      <c r="AA25" s="386">
        <f t="shared" si="12"/>
        <v>21.91459145303471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0.13483972168481512</v>
      </c>
      <c r="AD25" s="231">
        <f>(INDEX(Models!$BJ25:$BT25,,AH25)*(1-AF25)+INDEX(Models!$BJ25:$BT25,,AH25+1)*AF25-ERP_i)*AE25*Ramure*Pc/MaxiM</f>
        <v>8.5888856036152891E-4</v>
      </c>
      <c r="AE25" s="305">
        <f t="shared" si="14"/>
        <v>0.7</v>
      </c>
      <c r="AF25" s="177">
        <f t="shared" si="22"/>
        <v>0.99957371105240234</v>
      </c>
      <c r="AG25" s="810">
        <f t="shared" si="23"/>
        <v>-1</v>
      </c>
      <c r="AH25" s="176">
        <f t="shared" si="15"/>
        <v>5</v>
      </c>
      <c r="AI25" s="225">
        <f t="shared" si="24"/>
        <v>-4.2628894759763191E-4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42">
        <v>16.901</v>
      </c>
      <c r="C26" s="840"/>
      <c r="D26" s="393">
        <f t="shared" si="0"/>
        <v>17.403914874596026</v>
      </c>
      <c r="E26" s="385">
        <f t="shared" si="1"/>
        <v>18.597593537109162</v>
      </c>
      <c r="F26" s="385">
        <f t="shared" si="2"/>
        <v>18.610767856588634</v>
      </c>
      <c r="G26" s="110">
        <f t="shared" si="19"/>
        <v>0.86878469029037519</v>
      </c>
      <c r="H26" s="414" t="b">
        <f>Wh_hp&gt;='2021'!Maxi_hp</f>
        <v>0</v>
      </c>
      <c r="I26" s="380">
        <f>IF(H26,Wh_hp,'2021'!Maxi_hp)</f>
        <v>20.947040284507079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2.8896652173937887E-2</v>
      </c>
      <c r="M26" s="844"/>
      <c r="N26" s="844"/>
      <c r="O26" s="48">
        <f>IF(t&lt;Tnet,'2021'!Resal+('2021'!Salim-'2021'!Resal)*(1-EXP(('2021'!Tnet-t)/('2021'!Tau_j))),Resal+(Salim-Resal)*(1-EXP((Tnet-t)/(Tau_j))))*Salcycl</f>
        <v>6.4184576360984555E-2</v>
      </c>
      <c r="P26" s="339">
        <f>(INDEX(Models!$BJ26:$BT26,,T26)*(1-R26)+INDEX(Models!$BJ26:$BT26,,T26+1)*R26-ERP_i)*Q26*Ramure*Pc/MaxiM</f>
        <v>8.7097516960249282E-4</v>
      </c>
      <c r="Q26" s="305">
        <f t="shared" si="4"/>
        <v>0.7</v>
      </c>
      <c r="R26" s="177">
        <f t="shared" si="5"/>
        <v>0.99960891083453929</v>
      </c>
      <c r="S26" s="810">
        <f t="shared" si="6"/>
        <v>-1</v>
      </c>
      <c r="T26" s="176">
        <f t="shared" si="7"/>
        <v>5</v>
      </c>
      <c r="U26" s="251">
        <f t="shared" si="20"/>
        <v>-3.9108916546074033E-4</v>
      </c>
      <c r="V26" s="383">
        <f t="shared" si="8"/>
        <v>19.450436779206335</v>
      </c>
      <c r="W26" s="402">
        <f t="shared" si="9"/>
        <v>0</v>
      </c>
      <c r="X26" s="157">
        <f t="shared" si="10"/>
        <v>44573</v>
      </c>
      <c r="Y26" s="385">
        <f t="shared" si="11"/>
        <v>15.623725117871894</v>
      </c>
      <c r="Z26" s="385">
        <f t="shared" si="21"/>
        <v>16.088632742176806</v>
      </c>
      <c r="AA26" s="386">
        <f t="shared" si="12"/>
        <v>18.597593537109162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0.13490781965559365</v>
      </c>
      <c r="AD26" s="231">
        <f>(INDEX(Models!$BJ26:$BT26,,AH26)*(1-AF26)+INDEX(Models!$BJ26:$BT26,,AH26+1)*AF26-ERP_i)*AE26*Ramure*Pc/MaxiM</f>
        <v>8.7097516960249282E-4</v>
      </c>
      <c r="AE26" s="305">
        <f t="shared" si="14"/>
        <v>0.7</v>
      </c>
      <c r="AF26" s="177">
        <f t="shared" si="22"/>
        <v>0.99960891083453929</v>
      </c>
      <c r="AG26" s="810">
        <f t="shared" si="23"/>
        <v>-1</v>
      </c>
      <c r="AH26" s="176">
        <f t="shared" si="15"/>
        <v>5</v>
      </c>
      <c r="AI26" s="225">
        <f t="shared" si="24"/>
        <v>-3.9108916546074033E-4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42">
        <v>5.532</v>
      </c>
      <c r="C27" s="840"/>
      <c r="D27" s="393">
        <f t="shared" si="0"/>
        <v>5.696745617345556</v>
      </c>
      <c r="E27" s="385">
        <f t="shared" si="1"/>
        <v>6.0884253991010659</v>
      </c>
      <c r="F27" s="385">
        <f t="shared" si="2"/>
        <v>6.0884253991010659</v>
      </c>
      <c r="G27" s="110">
        <f t="shared" si="19"/>
        <v>0.28153181790335685</v>
      </c>
      <c r="H27" s="414" t="b">
        <f>Wh_hp&gt;='2021'!Maxi_hp</f>
        <v>0</v>
      </c>
      <c r="I27" s="380">
        <f>IF(H27,Wh_hp,'2021'!Maxi_hp)</f>
        <v>14.546314827403963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2.8919251167532467E-2</v>
      </c>
      <c r="M27" s="844"/>
      <c r="N27" s="844"/>
      <c r="O27" s="48">
        <f>IF(t&lt;Tnet,'2021'!Resal+('2021'!Salim-'2021'!Resal)*(1-EXP(('2021'!Tnet-t)/('2021'!Tau_j))),Resal+(Salim-Resal)*(1-EXP((Tnet-t)/(Tau_j))))*Salcycl</f>
        <v>6.4331868435694411E-2</v>
      </c>
      <c r="P27" s="339">
        <f>(INDEX(Models!$BJ27:$BT27,,T27)*(1-R27)+INDEX(Models!$BJ27:$BT27,,T27+1)*R27-ERP_i)*Q27*Ramure*Pc/MaxiM</f>
        <v>8.8349187202957391E-4</v>
      </c>
      <c r="Q27" s="305">
        <f t="shared" si="4"/>
        <v>0.7</v>
      </c>
      <c r="R27" s="177">
        <f t="shared" si="5"/>
        <v>0.99964558072611454</v>
      </c>
      <c r="S27" s="810">
        <f t="shared" si="6"/>
        <v>-1</v>
      </c>
      <c r="T27" s="176">
        <f t="shared" si="7"/>
        <v>5</v>
      </c>
      <c r="U27" s="251">
        <f t="shared" si="20"/>
        <v>-3.5441927388544489E-4</v>
      </c>
      <c r="V27" s="383">
        <f t="shared" si="8"/>
        <v>19.63228371175175</v>
      </c>
      <c r="W27" s="402">
        <f t="shared" si="9"/>
        <v>0</v>
      </c>
      <c r="X27" s="157">
        <f t="shared" si="10"/>
        <v>44574</v>
      </c>
      <c r="Y27" s="385">
        <f t="shared" si="11"/>
        <v>5.1143270627968613</v>
      </c>
      <c r="Z27" s="385">
        <f t="shared" si="21"/>
        <v>5.2666341794395857</v>
      </c>
      <c r="AA27" s="386">
        <f t="shared" si="12"/>
        <v>6.0884253991010659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0.13497598570934524</v>
      </c>
      <c r="AD27" s="231">
        <f>(INDEX(Models!$BJ27:$BT27,,AH27)*(1-AF27)+INDEX(Models!$BJ27:$BT27,,AH27+1)*AF27-ERP_i)*AE27*Ramure*Pc/MaxiM</f>
        <v>8.8349187202957391E-4</v>
      </c>
      <c r="AE27" s="305">
        <f t="shared" si="14"/>
        <v>0.7</v>
      </c>
      <c r="AF27" s="177">
        <f t="shared" si="22"/>
        <v>0.99964558072611454</v>
      </c>
      <c r="AG27" s="810">
        <f t="shared" si="23"/>
        <v>-1</v>
      </c>
      <c r="AH27" s="176">
        <f t="shared" si="15"/>
        <v>5</v>
      </c>
      <c r="AI27" s="225">
        <f t="shared" si="24"/>
        <v>-3.5441927388544489E-4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42">
        <v>20.355</v>
      </c>
      <c r="C28" s="840"/>
      <c r="D28" s="393">
        <f t="shared" si="0"/>
        <v>20.961669486377833</v>
      </c>
      <c r="E28" s="385">
        <f t="shared" si="1"/>
        <v>22.406414052027227</v>
      </c>
      <c r="F28" s="385">
        <f t="shared" si="2"/>
        <v>22.426517813211682</v>
      </c>
      <c r="G28" s="110">
        <f t="shared" si="19"/>
        <v>1.0268930267870358</v>
      </c>
      <c r="H28" s="414" t="b">
        <f>Wh_hp&gt;='2021'!Maxi_hp</f>
        <v>1</v>
      </c>
      <c r="I28" s="380">
        <f>IF(H28,Wh_hp,'2021'!Maxi_hp)</f>
        <v>22.426517813211682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2.8941849635215511E-2</v>
      </c>
      <c r="M28" s="844"/>
      <c r="N28" s="844"/>
      <c r="O28" s="48">
        <f>IF(t&lt;Tnet,'2021'!Resal+('2021'!Salim-'2021'!Resal)*(1-EXP(('2021'!Tnet-t)/('2021'!Tau_j))),Resal+(Salim-Resal)*(1-EXP((Tnet-t)/(Tau_j))))*Salcycl</f>
        <v>6.4479062213825378E-2</v>
      </c>
      <c r="P28" s="339">
        <f>(INDEX(Models!$BJ28:$BT28,,T28)*(1-R28)+INDEX(Models!$BJ28:$BT28,,T28+1)*R28-ERP_i)*Q28*Ramure*Pc/MaxiM</f>
        <v>8.9642811924246443E-4</v>
      </c>
      <c r="Q28" s="305">
        <f t="shared" si="4"/>
        <v>0.7</v>
      </c>
      <c r="R28" s="177">
        <f t="shared" si="5"/>
        <v>0.9996837818384261</v>
      </c>
      <c r="S28" s="810">
        <f t="shared" si="6"/>
        <v>-1</v>
      </c>
      <c r="T28" s="176">
        <f t="shared" si="7"/>
        <v>5</v>
      </c>
      <c r="U28" s="251">
        <f t="shared" si="20"/>
        <v>-3.162181615738603E-4</v>
      </c>
      <c r="V28" s="383">
        <f t="shared" si="8"/>
        <v>19.82192834991503</v>
      </c>
      <c r="W28" s="402">
        <f t="shared" si="9"/>
        <v>0</v>
      </c>
      <c r="X28" s="157">
        <f t="shared" si="10"/>
        <v>44575</v>
      </c>
      <c r="Y28" s="385">
        <f t="shared" si="11"/>
        <v>18.819648157930448</v>
      </c>
      <c r="Z28" s="385">
        <f t="shared" si="21"/>
        <v>19.380557334141855</v>
      </c>
      <c r="AA28" s="386">
        <f t="shared" si="12"/>
        <v>22.406414052027227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0.13504422041203903</v>
      </c>
      <c r="AD28" s="231">
        <f>(INDEX(Models!$BJ28:$BT28,,AH28)*(1-AF28)+INDEX(Models!$BJ28:$BT28,,AH28+1)*AF28-ERP_i)*AE28*Ramure*Pc/MaxiM</f>
        <v>8.9642811924246443E-4</v>
      </c>
      <c r="AE28" s="305">
        <f t="shared" si="14"/>
        <v>0.7</v>
      </c>
      <c r="AF28" s="177">
        <f t="shared" si="22"/>
        <v>0.9996837818384261</v>
      </c>
      <c r="AG28" s="810">
        <f t="shared" si="23"/>
        <v>-1</v>
      </c>
      <c r="AH28" s="176">
        <f t="shared" si="15"/>
        <v>5</v>
      </c>
      <c r="AI28" s="225">
        <f t="shared" si="24"/>
        <v>-3.162181615738603E-4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42">
        <v>20.306000000000001</v>
      </c>
      <c r="C29" s="840"/>
      <c r="D29" s="393">
        <f t="shared" si="0"/>
        <v>20.911695714261896</v>
      </c>
      <c r="E29" s="385">
        <f t="shared" si="1"/>
        <v>22.356511167172538</v>
      </c>
      <c r="F29" s="385">
        <f t="shared" si="2"/>
        <v>22.376869053911303</v>
      </c>
      <c r="G29" s="110">
        <f t="shared" si="19"/>
        <v>1.0143395204614918</v>
      </c>
      <c r="H29" s="414" t="b">
        <f>Wh_hp&gt;='2021'!Maxi_hp</f>
        <v>1</v>
      </c>
      <c r="I29" s="380">
        <f>IF(H29,Wh_hp,'2021'!Maxi_hp)</f>
        <v>22.376869053911303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2.8964447576999119E-2</v>
      </c>
      <c r="M29" s="844"/>
      <c r="N29" s="844"/>
      <c r="O29" s="48">
        <f>IF(t&lt;Tnet,'2021'!Resal+('2021'!Salim-'2021'!Resal)*(1-EXP(('2021'!Tnet-t)/('2021'!Tau_j))),Resal+(Salim-Resal)*(1-EXP((Tnet-t)/(Tau_j))))*Salcycl</f>
        <v>6.4626159337068445E-2</v>
      </c>
      <c r="P29" s="339">
        <f>(INDEX(Models!$BJ29:$BT29,,T29)*(1-R29)+INDEX(Models!$BJ29:$BT29,,T29+1)*R29-ERP_i)*Q29*Ramure*Pc/MaxiM</f>
        <v>9.0977369039954624E-4</v>
      </c>
      <c r="Q29" s="305">
        <f t="shared" si="4"/>
        <v>0.7</v>
      </c>
      <c r="R29" s="177">
        <f t="shared" si="5"/>
        <v>0.99972357779856402</v>
      </c>
      <c r="S29" s="810">
        <f t="shared" si="6"/>
        <v>-1</v>
      </c>
      <c r="T29" s="176">
        <f t="shared" si="7"/>
        <v>5</v>
      </c>
      <c r="U29" s="251">
        <f t="shared" si="20"/>
        <v>-2.7642220143601697E-4</v>
      </c>
      <c r="V29" s="383">
        <f t="shared" si="8"/>
        <v>20.018938028522662</v>
      </c>
      <c r="W29" s="402">
        <f t="shared" si="9"/>
        <v>0</v>
      </c>
      <c r="X29" s="157">
        <f t="shared" si="10"/>
        <v>44576</v>
      </c>
      <c r="Y29" s="385">
        <f t="shared" si="11"/>
        <v>18.775813778085436</v>
      </c>
      <c r="Z29" s="385">
        <f t="shared" si="21"/>
        <v>19.335866468776157</v>
      </c>
      <c r="AA29" s="386">
        <f t="shared" si="12"/>
        <v>22.356511167172538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0.13511252609180735</v>
      </c>
      <c r="AD29" s="231">
        <f>(INDEX(Models!$BJ29:$BT29,,AH29)*(1-AF29)+INDEX(Models!$BJ29:$BT29,,AH29+1)*AF29-ERP_i)*AE29*Ramure*Pc/MaxiM</f>
        <v>9.0977369039954624E-4</v>
      </c>
      <c r="AE29" s="305">
        <f t="shared" si="14"/>
        <v>0.7</v>
      </c>
      <c r="AF29" s="177">
        <f t="shared" si="22"/>
        <v>0.99972357779856402</v>
      </c>
      <c r="AG29" s="810">
        <f t="shared" si="23"/>
        <v>-1</v>
      </c>
      <c r="AH29" s="176">
        <f t="shared" si="15"/>
        <v>5</v>
      </c>
      <c r="AI29" s="225">
        <f t="shared" si="24"/>
        <v>-2.7642220143601697E-4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42">
        <v>20.027000000000001</v>
      </c>
      <c r="C30" s="840"/>
      <c r="D30" s="393">
        <f t="shared" si="0"/>
        <v>20.62485355805935</v>
      </c>
      <c r="E30" s="385">
        <f t="shared" si="1"/>
        <v>22.053316611007666</v>
      </c>
      <c r="F30" s="385">
        <f t="shared" si="2"/>
        <v>22.073480721344577</v>
      </c>
      <c r="G30" s="110">
        <f t="shared" si="19"/>
        <v>0.99030399132377045</v>
      </c>
      <c r="H30" s="414" t="b">
        <f>Wh_hp&gt;='2021'!Maxi_hp</f>
        <v>1</v>
      </c>
      <c r="I30" s="380">
        <f>IF(H30,Wh_hp,'2021'!Maxi_hp)</f>
        <v>22.073480721344577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2.8987044992895616E-2</v>
      </c>
      <c r="M30" s="844"/>
      <c r="N30" s="844"/>
      <c r="O30" s="48">
        <f>IF(t&lt;Tnet,'2021'!Resal+('2021'!Salim-'2021'!Resal)*(1-EXP(('2021'!Tnet-t)/('2021'!Tau_j))),Resal+(Salim-Resal)*(1-EXP((Tnet-t)/(Tau_j))))*Salcycl</f>
        <v>6.4773162157174755E-2</v>
      </c>
      <c r="P30" s="339">
        <f>(INDEX(Models!$BJ30:$BT30,,T30)*(1-R30)+INDEX(Models!$BJ30:$BT30,,T30+1)*R30-ERP_i)*Q30*Ramure*Pc/MaxiM</f>
        <v>9.2631331837829509E-4</v>
      </c>
      <c r="Q30" s="305">
        <f t="shared" si="4"/>
        <v>0.7</v>
      </c>
      <c r="R30" s="177">
        <f t="shared" si="5"/>
        <v>0.99976503485087864</v>
      </c>
      <c r="S30" s="810">
        <f t="shared" si="6"/>
        <v>-1</v>
      </c>
      <c r="T30" s="176">
        <f t="shared" si="7"/>
        <v>5</v>
      </c>
      <c r="U30" s="251">
        <f t="shared" si="20"/>
        <v>-2.3496514912138626E-4</v>
      </c>
      <c r="V30" s="383">
        <f t="shared" si="8"/>
        <v>20.22282381522567</v>
      </c>
      <c r="W30" s="402">
        <f t="shared" si="9"/>
        <v>0</v>
      </c>
      <c r="X30" s="157">
        <f t="shared" si="10"/>
        <v>44577</v>
      </c>
      <c r="Y30" s="385">
        <f t="shared" si="11"/>
        <v>18.519284609645858</v>
      </c>
      <c r="Z30" s="385">
        <f t="shared" si="21"/>
        <v>19.072129279171524</v>
      </c>
      <c r="AA30" s="386">
        <f t="shared" si="12"/>
        <v>22.053316611007666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0.13518090654664233</v>
      </c>
      <c r="AD30" s="231">
        <f>(INDEX(Models!$BJ30:$BT30,,AH30)*(1-AF30)+INDEX(Models!$BJ30:$BT30,,AH30+1)*AF30-ERP_i)*AE30*Ramure*Pc/MaxiM</f>
        <v>9.2631331837829509E-4</v>
      </c>
      <c r="AE30" s="305">
        <f t="shared" si="14"/>
        <v>0.7</v>
      </c>
      <c r="AF30" s="177">
        <f t="shared" si="22"/>
        <v>0.99976503485087864</v>
      </c>
      <c r="AG30" s="810">
        <f t="shared" si="23"/>
        <v>-1</v>
      </c>
      <c r="AH30" s="176">
        <f t="shared" si="15"/>
        <v>5</v>
      </c>
      <c r="AI30" s="225">
        <f t="shared" si="24"/>
        <v>-2.3496514912138626E-4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42">
        <v>11.805</v>
      </c>
      <c r="C31" s="840"/>
      <c r="D31" s="393">
        <f t="shared" si="0"/>
        <v>12.157690239985415</v>
      </c>
      <c r="E31" s="385">
        <f t="shared" si="1"/>
        <v>13.001765834943814</v>
      </c>
      <c r="F31" s="385">
        <f t="shared" si="2"/>
        <v>13.006645214490723</v>
      </c>
      <c r="G31" s="110">
        <f t="shared" si="19"/>
        <v>0.57740764385004795</v>
      </c>
      <c r="H31" s="414" t="b">
        <f>Wh_hp&gt;='2021'!Maxi_hp</f>
        <v>1</v>
      </c>
      <c r="I31" s="380">
        <f>IF(H31,Wh_hp,'2021'!Maxi_hp)</f>
        <v>13.006645214490723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2.9009641882917325E-2</v>
      </c>
      <c r="M31" s="844"/>
      <c r="N31" s="844"/>
      <c r="O31" s="48">
        <f>IF(t&lt;Tnet,'2021'!Resal+('2021'!Salim-'2021'!Resal)*(1-EXP(('2021'!Tnet-t)/('2021'!Tau_j))),Resal+(Salim-Resal)*(1-EXP((Tnet-t)/(Tau_j))))*Salcycl</f>
        <v>6.492007360183677E-2</v>
      </c>
      <c r="P31" s="339">
        <f>(INDEX(Models!$BJ31:$BT31,,T31)*(1-R31)+INDEX(Models!$BJ31:$BT31,,T31+1)*R31-ERP_i)*Q31*Ramure*Pc/MaxiM</f>
        <v>9.4550354578800441E-4</v>
      </c>
      <c r="Q31" s="305">
        <f t="shared" si="4"/>
        <v>0.7</v>
      </c>
      <c r="R31" s="177">
        <f t="shared" si="5"/>
        <v>0.99980822196236196</v>
      </c>
      <c r="S31" s="810">
        <f t="shared" si="6"/>
        <v>-1</v>
      </c>
      <c r="T31" s="176">
        <f t="shared" si="7"/>
        <v>5</v>
      </c>
      <c r="U31" s="251">
        <f t="shared" si="20"/>
        <v>-1.917780376380875E-4</v>
      </c>
      <c r="V31" s="383">
        <f t="shared" si="8"/>
        <v>20.433162805648596</v>
      </c>
      <c r="W31" s="402">
        <f t="shared" si="9"/>
        <v>0</v>
      </c>
      <c r="X31" s="157">
        <f t="shared" si="10"/>
        <v>44578</v>
      </c>
      <c r="Y31" s="385">
        <f t="shared" si="11"/>
        <v>10.917121560734138</v>
      </c>
      <c r="Z31" s="385">
        <f t="shared" si="21"/>
        <v>11.243285239108156</v>
      </c>
      <c r="AA31" s="386">
        <f t="shared" si="12"/>
        <v>13.001765834943814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0.13524936675213228</v>
      </c>
      <c r="AD31" s="231">
        <f>(INDEX(Models!$BJ31:$BT31,,AH31)*(1-AF31)+INDEX(Models!$BJ31:$BT31,,AH31+1)*AF31-ERP_i)*AE31*Ramure*Pc/MaxiM</f>
        <v>9.4550354578800441E-4</v>
      </c>
      <c r="AE31" s="305">
        <f t="shared" si="14"/>
        <v>0.7</v>
      </c>
      <c r="AF31" s="177">
        <f t="shared" si="22"/>
        <v>0.99980822196236196</v>
      </c>
      <c r="AG31" s="810">
        <f t="shared" si="23"/>
        <v>-1</v>
      </c>
      <c r="AH31" s="176">
        <f t="shared" si="15"/>
        <v>5</v>
      </c>
      <c r="AI31" s="225">
        <f t="shared" si="24"/>
        <v>-1.917780376380875E-4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42">
        <v>3.8690000000000002</v>
      </c>
      <c r="C32" s="840"/>
      <c r="D32" s="393">
        <f t="shared" si="0"/>
        <v>3.984684304054702</v>
      </c>
      <c r="E32" s="385">
        <f t="shared" si="1"/>
        <v>4.2619993788235693</v>
      </c>
      <c r="F32" s="385">
        <f t="shared" si="2"/>
        <v>4.2619993788235693</v>
      </c>
      <c r="G32" s="110">
        <f t="shared" si="19"/>
        <v>0.18718386948673552</v>
      </c>
      <c r="H32" s="414" t="b">
        <f>Wh_hp&gt;='2021'!Maxi_hp</f>
        <v>0</v>
      </c>
      <c r="I32" s="380">
        <f>IF(H32,Wh_hp,'2021'!Maxi_hp)</f>
        <v>22.54898457519629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2.9032238247076347E-2</v>
      </c>
      <c r="M32" s="844"/>
      <c r="N32" s="844"/>
      <c r="O32" s="48">
        <f>IF(t&lt;Tnet,'2021'!Resal+('2021'!Salim-'2021'!Resal)*(1-EXP(('2021'!Tnet-t)/('2021'!Tau_j))),Resal+(Salim-Resal)*(1-EXP((Tnet-t)/(Tau_j))))*Salcycl</f>
        <v>6.506689704056548E-2</v>
      </c>
      <c r="P32" s="339">
        <f>(INDEX(Models!$BJ32:$BT32,,T32)*(1-R32)+INDEX(Models!$BJ32:$BT32,,T32+1)*R32-ERP_i)*Q32*Ramure*Pc/MaxiM</f>
        <v>9.6726141951483787E-4</v>
      </c>
      <c r="Q32" s="305">
        <f t="shared" si="4"/>
        <v>0.7</v>
      </c>
      <c r="R32" s="177">
        <f t="shared" si="5"/>
        <v>0.99985321093207524</v>
      </c>
      <c r="S32" s="810">
        <f t="shared" si="6"/>
        <v>-1</v>
      </c>
      <c r="T32" s="176">
        <f t="shared" si="7"/>
        <v>5</v>
      </c>
      <c r="U32" s="251">
        <f t="shared" si="20"/>
        <v>-1.4678906792474074E-4</v>
      </c>
      <c r="V32" s="383">
        <f t="shared" si="8"/>
        <v>20.649523253080321</v>
      </c>
      <c r="W32" s="402">
        <f t="shared" si="9"/>
        <v>0</v>
      </c>
      <c r="X32" s="157">
        <f t="shared" si="10"/>
        <v>44579</v>
      </c>
      <c r="Y32" s="385">
        <f t="shared" si="11"/>
        <v>3.578282751640641</v>
      </c>
      <c r="Z32" s="385">
        <f t="shared" si="21"/>
        <v>3.6852745194965446</v>
      </c>
      <c r="AA32" s="386">
        <f t="shared" si="12"/>
        <v>4.2619993788235693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0.13531791257234232</v>
      </c>
      <c r="AD32" s="231">
        <f>(INDEX(Models!$BJ32:$BT32,,AH32)*(1-AF32)+INDEX(Models!$BJ32:$BT32,,AH32+1)*AF32-ERP_i)*AE32*Ramure*Pc/MaxiM</f>
        <v>9.6726141951483787E-4</v>
      </c>
      <c r="AE32" s="305">
        <f t="shared" si="14"/>
        <v>0.7</v>
      </c>
      <c r="AF32" s="177">
        <f t="shared" si="22"/>
        <v>0.99985321093207524</v>
      </c>
      <c r="AG32" s="810">
        <f t="shared" si="23"/>
        <v>-1</v>
      </c>
      <c r="AH32" s="176">
        <f t="shared" si="15"/>
        <v>5</v>
      </c>
      <c r="AI32" s="225">
        <f t="shared" si="24"/>
        <v>-1.4678906792474074E-4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42">
        <v>9.0340000000000007</v>
      </c>
      <c r="C33" s="840"/>
      <c r="D33" s="393">
        <f t="shared" si="0"/>
        <v>9.3043359369219516</v>
      </c>
      <c r="E33" s="385">
        <f t="shared" si="1"/>
        <v>9.9534356691100037</v>
      </c>
      <c r="F33" s="385">
        <f t="shared" si="2"/>
        <v>9.9553088454209924</v>
      </c>
      <c r="G33" s="110">
        <f t="shared" si="19"/>
        <v>0.43249179855091868</v>
      </c>
      <c r="H33" s="414" t="b">
        <f>Wh_hp&gt;='2021'!Maxi_hp</f>
        <v>0</v>
      </c>
      <c r="I33" s="380">
        <f>IF(H33,Wh_hp,'2021'!Maxi_hp)</f>
        <v>23.630965099383026</v>
      </c>
      <c r="J33" s="85">
        <f>IF(H33,An,'2021'!An_max)</f>
        <v>2020</v>
      </c>
      <c r="K33" s="197">
        <f t="shared" si="3"/>
        <v>44580</v>
      </c>
      <c r="L33" s="147">
        <f>IF(t&lt;Tvie,1-EXP((T0-t)*PertePVj)+'2021'!Pspv,1-EXP((T0-t)*PertePVj)+Pspv)</f>
        <v>2.9054834085384895E-2</v>
      </c>
      <c r="M33" s="844"/>
      <c r="N33" s="844"/>
      <c r="O33" s="48">
        <f>IF(t&lt;Tnet,'2021'!Resal+('2021'!Salim-'2021'!Resal)*(1-EXP(('2021'!Tnet-t)/('2021'!Tau_j))),Resal+(Salim-Resal)*(1-EXP((Tnet-t)/(Tau_j))))*Salcycl</f>
        <v>6.5213636152037568E-2</v>
      </c>
      <c r="P33" s="339">
        <f>(INDEX(Models!$BJ33:$BT33,,T33)*(1-R33)+INDEX(Models!$BJ33:$BT33,,T33+1)*R33-ERP_i)*Q33*Ramure*Pc/MaxiM</f>
        <v>9.9150396032166867E-4</v>
      </c>
      <c r="Q33" s="305">
        <f t="shared" si="4"/>
        <v>0.7</v>
      </c>
      <c r="R33" s="177">
        <f t="shared" si="5"/>
        <v>0.99990007650476398</v>
      </c>
      <c r="S33" s="810">
        <f t="shared" si="6"/>
        <v>-1</v>
      </c>
      <c r="T33" s="176">
        <f t="shared" si="7"/>
        <v>5</v>
      </c>
      <c r="U33" s="251">
        <f t="shared" si="20"/>
        <v>-9.9923495236036342E-5</v>
      </c>
      <c r="V33" s="383">
        <f t="shared" si="8"/>
        <v>20.87147372933741</v>
      </c>
      <c r="W33" s="402">
        <f t="shared" si="9"/>
        <v>0</v>
      </c>
      <c r="X33" s="157">
        <f t="shared" si="10"/>
        <v>44580</v>
      </c>
      <c r="Y33" s="385">
        <f t="shared" si="11"/>
        <v>8.355832097121441</v>
      </c>
      <c r="Z33" s="385">
        <f t="shared" si="21"/>
        <v>8.6058743484760836</v>
      </c>
      <c r="AA33" s="386">
        <f t="shared" si="12"/>
        <v>9.9534356691100037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0.13538655047683787</v>
      </c>
      <c r="AD33" s="231">
        <f>(INDEX(Models!$BJ33:$BT33,,AH33)*(1-AF33)+INDEX(Models!$BJ33:$BT33,,AH33+1)*AF33-ERP_i)*AE33*Ramure*Pc/MaxiM</f>
        <v>9.9150396032166867E-4</v>
      </c>
      <c r="AE33" s="305">
        <f t="shared" si="14"/>
        <v>0.7</v>
      </c>
      <c r="AF33" s="177">
        <f t="shared" si="22"/>
        <v>0.99990007650476398</v>
      </c>
      <c r="AG33" s="810">
        <f t="shared" si="23"/>
        <v>-1</v>
      </c>
      <c r="AH33" s="176">
        <f t="shared" si="15"/>
        <v>5</v>
      </c>
      <c r="AI33" s="225">
        <f t="shared" si="24"/>
        <v>-9.9923495236036342E-5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42">
        <v>6.5940000000000003</v>
      </c>
      <c r="C34" s="840"/>
      <c r="D34" s="393">
        <f t="shared" si="0"/>
        <v>6.791478743676282</v>
      </c>
      <c r="E34" s="385">
        <f t="shared" si="1"/>
        <v>7.2664136841713711</v>
      </c>
      <c r="F34" s="385">
        <f t="shared" si="2"/>
        <v>7.2665461467096906</v>
      </c>
      <c r="G34" s="110">
        <f t="shared" si="19"/>
        <v>0.31222032166087121</v>
      </c>
      <c r="H34" s="414" t="b">
        <f>Wh_hp&gt;='2021'!Maxi_hp</f>
        <v>0</v>
      </c>
      <c r="I34" s="380">
        <f>IF(H34,Wh_hp,'2021'!Maxi_hp)</f>
        <v>11.506630779358042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2.9077429397855292E-2</v>
      </c>
      <c r="M34" s="844"/>
      <c r="N34" s="844"/>
      <c r="O34" s="48">
        <f>IF(t&lt;Tnet,'2021'!Resal+('2021'!Salim-'2021'!Resal)*(1-EXP(('2021'!Tnet-t)/('2021'!Tau_j))),Resal+(Salim-Resal)*(1-EXP((Tnet-t)/(Tau_j))))*Salcycl</f>
        <v>6.5360294794343021E-2</v>
      </c>
      <c r="P34" s="339">
        <f>(INDEX(Models!$BJ34:$BT34,,T34)*(1-R34)+INDEX(Models!$BJ34:$BT34,,T34+1)*R34-ERP_i)*Q34*Ramure*Pc/MaxiM</f>
        <v>1.0181545108295499E-3</v>
      </c>
      <c r="Q34" s="305">
        <f t="shared" si="4"/>
        <v>0.7</v>
      </c>
      <c r="R34" s="177">
        <f t="shared" si="5"/>
        <v>0.99994889648879803</v>
      </c>
      <c r="S34" s="810">
        <f t="shared" si="6"/>
        <v>-1</v>
      </c>
      <c r="T34" s="176">
        <f t="shared" si="7"/>
        <v>5</v>
      </c>
      <c r="U34" s="251">
        <f t="shared" si="20"/>
        <v>-5.1103511201916452E-5</v>
      </c>
      <c r="V34" s="383">
        <f t="shared" si="8"/>
        <v>21.098583002382519</v>
      </c>
      <c r="W34" s="402">
        <f t="shared" si="9"/>
        <v>0</v>
      </c>
      <c r="X34" s="157">
        <f t="shared" si="10"/>
        <v>44581</v>
      </c>
      <c r="Y34" s="385">
        <f t="shared" si="11"/>
        <v>6.0994710624976793</v>
      </c>
      <c r="Z34" s="385">
        <f t="shared" si="21"/>
        <v>6.282139531183133</v>
      </c>
      <c r="AA34" s="386">
        <f t="shared" si="12"/>
        <v>7.2664136841713711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0.13545528726671721</v>
      </c>
      <c r="AD34" s="231">
        <f>(INDEX(Models!$BJ34:$BT34,,AH34)*(1-AF34)+INDEX(Models!$BJ34:$BT34,,AH34+1)*AF34-ERP_i)*AE34*Ramure*Pc/MaxiM</f>
        <v>1.0181545108295499E-3</v>
      </c>
      <c r="AE34" s="305">
        <f t="shared" si="14"/>
        <v>0.7</v>
      </c>
      <c r="AF34" s="177">
        <f t="shared" si="22"/>
        <v>0.99994889648879803</v>
      </c>
      <c r="AG34" s="810">
        <f t="shared" si="23"/>
        <v>-1</v>
      </c>
      <c r="AH34" s="176">
        <f t="shared" si="15"/>
        <v>5</v>
      </c>
      <c r="AI34" s="225">
        <f t="shared" si="24"/>
        <v>-5.1103511201916452E-5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42">
        <v>17.894000000000002</v>
      </c>
      <c r="C35" s="840"/>
      <c r="D35" s="393">
        <f t="shared" si="0"/>
        <v>18.430322840383297</v>
      </c>
      <c r="E35" s="385">
        <f t="shared" si="1"/>
        <v>19.72226695349033</v>
      </c>
      <c r="F35" s="385">
        <f t="shared" si="2"/>
        <v>19.738178741287463</v>
      </c>
      <c r="G35" s="110">
        <f t="shared" si="19"/>
        <v>0.83869347254101045</v>
      </c>
      <c r="H35" s="414" t="b">
        <f>Wh_hp&gt;='2021'!Maxi_hp</f>
        <v>1</v>
      </c>
      <c r="I35" s="380">
        <f>IF(H35,Wh_hp,'2021'!Maxi_hp)</f>
        <v>19.738178741287463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2.9100024184499862E-2</v>
      </c>
      <c r="M35" s="844"/>
      <c r="N35" s="844"/>
      <c r="O35" s="48">
        <f>IF(t&lt;Tnet,'2021'!Resal+('2021'!Salim-'2021'!Resal)*(1-EXP(('2021'!Tnet-t)/('2021'!Tau_j))),Resal+(Salim-Resal)*(1-EXP((Tnet-t)/(Tau_j))))*Salcycl</f>
        <v>6.5506876879505474E-2</v>
      </c>
      <c r="P35" s="339">
        <f>(INDEX(Models!$BJ35:$BT35,,T35)*(1-R35)+INDEX(Models!$BJ35:$BT35,,T35+1)*R35-ERP_i)*Q35*Ramure*Pc/MaxiM</f>
        <v>1.047140930353529E-3</v>
      </c>
      <c r="Q35" s="305">
        <f t="shared" si="4"/>
        <v>0.7</v>
      </c>
      <c r="R35" s="177">
        <f t="shared" si="5"/>
        <v>0.99999975187858703</v>
      </c>
      <c r="S35" s="810">
        <f t="shared" si="6"/>
        <v>-1</v>
      </c>
      <c r="T35" s="176">
        <f t="shared" si="7"/>
        <v>5</v>
      </c>
      <c r="U35" s="251">
        <f t="shared" si="20"/>
        <v>-2.4812141296377734E-7</v>
      </c>
      <c r="V35" s="383">
        <f t="shared" si="8"/>
        <v>21.330420091872746</v>
      </c>
      <c r="W35" s="402">
        <f t="shared" si="9"/>
        <v>0</v>
      </c>
      <c r="X35" s="157">
        <f t="shared" si="10"/>
        <v>44582</v>
      </c>
      <c r="Y35" s="385">
        <f t="shared" si="11"/>
        <v>16.553285239256962</v>
      </c>
      <c r="Z35" s="385">
        <f t="shared" si="21"/>
        <v>17.049423886691471</v>
      </c>
      <c r="AA35" s="386">
        <f t="shared" si="12"/>
        <v>19.72226695349033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0.13552412981236089</v>
      </c>
      <c r="AD35" s="231">
        <f>(INDEX(Models!$BJ35:$BT35,,AH35)*(1-AF35)+INDEX(Models!$BJ35:$BT35,,AH35+1)*AF35-ERP_i)*AE35*Ramure*Pc/MaxiM</f>
        <v>1.047140930353529E-3</v>
      </c>
      <c r="AE35" s="305">
        <f t="shared" si="14"/>
        <v>0.7</v>
      </c>
      <c r="AF35" s="177">
        <f t="shared" si="22"/>
        <v>0.99999975187858703</v>
      </c>
      <c r="AG35" s="810">
        <f t="shared" si="23"/>
        <v>-1</v>
      </c>
      <c r="AH35" s="176">
        <f t="shared" si="15"/>
        <v>5</v>
      </c>
      <c r="AI35" s="225">
        <f t="shared" si="24"/>
        <v>-2.4812141296377734E-7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42">
        <v>21.494</v>
      </c>
      <c r="C36" s="840"/>
      <c r="D36" s="393">
        <f t="shared" si="0"/>
        <v>22.138738020224121</v>
      </c>
      <c r="E36" s="385">
        <f t="shared" si="1"/>
        <v>23.694352496719659</v>
      </c>
      <c r="F36" s="385">
        <f t="shared" si="2"/>
        <v>23.719809070516359</v>
      </c>
      <c r="G36" s="110">
        <f t="shared" si="19"/>
        <v>0.99663063321497303</v>
      </c>
      <c r="H36" s="414" t="b">
        <f>Wh_hp&gt;='2021'!Maxi_hp</f>
        <v>1</v>
      </c>
      <c r="I36" s="380">
        <f>IF(H36,Wh_hp,'2021'!Maxi_hp)</f>
        <v>23.719809070516359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2.9122618445330595E-2</v>
      </c>
      <c r="M36" s="844"/>
      <c r="N36" s="844"/>
      <c r="O36" s="48">
        <f>IF(t&lt;Tnet,'2021'!Resal+('2021'!Salim-'2021'!Resal)*(1-EXP(('2021'!Tnet-t)/('2021'!Tau_j))),Resal+(Salim-Resal)*(1-EXP((Tnet-t)/(Tau_j))))*Salcycl</f>
        <v>6.5653386253576848E-2</v>
      </c>
      <c r="P36" s="339">
        <f>(INDEX(Models!$BJ36:$BT36,,T36)*(1-R36)+INDEX(Models!$BJ36:$BT36,,T36+1)*R36-ERP_i)*Q36*Ramure*Pc/MaxiM</f>
        <v>1.0784028104528049E-3</v>
      </c>
      <c r="Q36" s="305">
        <f t="shared" si="4"/>
        <v>0.7</v>
      </c>
      <c r="R36" s="177">
        <f t="shared" si="5"/>
        <v>5.2726981612712673E-5</v>
      </c>
      <c r="S36" s="810">
        <f t="shared" si="6"/>
        <v>0</v>
      </c>
      <c r="T36" s="176">
        <f t="shared" si="7"/>
        <v>6</v>
      </c>
      <c r="U36" s="251">
        <f t="shared" si="20"/>
        <v>5.2726981612712673E-5</v>
      </c>
      <c r="V36" s="383">
        <f t="shared" si="8"/>
        <v>21.566554112358983</v>
      </c>
      <c r="W36" s="402">
        <f t="shared" si="9"/>
        <v>0</v>
      </c>
      <c r="X36" s="157">
        <f t="shared" si="10"/>
        <v>44583</v>
      </c>
      <c r="Y36" s="385">
        <f t="shared" si="11"/>
        <v>19.885085429586219</v>
      </c>
      <c r="Z36" s="385">
        <f t="shared" si="21"/>
        <v>20.481562149222349</v>
      </c>
      <c r="AA36" s="386">
        <f t="shared" si="12"/>
        <v>23.694352496719659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0.1355930848054237</v>
      </c>
      <c r="AD36" s="231">
        <f>(INDEX(Models!$BJ36:$BT36,,AH36)*(1-AF36)+INDEX(Models!$BJ36:$BT36,,AH36+1)*AF36-ERP_i)*AE36*Ramure*Pc/MaxiM</f>
        <v>1.0784028104528049E-3</v>
      </c>
      <c r="AE36" s="305">
        <f t="shared" si="14"/>
        <v>0.7</v>
      </c>
      <c r="AF36" s="177">
        <f t="shared" si="22"/>
        <v>5.2726981612712673E-5</v>
      </c>
      <c r="AG36" s="810">
        <f t="shared" si="23"/>
        <v>0</v>
      </c>
      <c r="AH36" s="176">
        <f t="shared" si="15"/>
        <v>6</v>
      </c>
      <c r="AI36" s="225">
        <f t="shared" si="24"/>
        <v>5.2726981612712673E-5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42">
        <v>21.718</v>
      </c>
      <c r="C37" s="840"/>
      <c r="D37" s="393">
        <f t="shared" si="0"/>
        <v>22.369977747933451</v>
      </c>
      <c r="E37" s="385">
        <f t="shared" si="1"/>
        <v>23.945593658074316</v>
      </c>
      <c r="F37" s="385">
        <f t="shared" si="2"/>
        <v>23.972086810605997</v>
      </c>
      <c r="G37" s="110">
        <f t="shared" si="19"/>
        <v>0.99584439685945703</v>
      </c>
      <c r="H37" s="414" t="b">
        <f>Wh_hp&gt;='2021'!Maxi_hp</f>
        <v>1</v>
      </c>
      <c r="I37" s="380">
        <f>IF(H37,Wh_hp,'2021'!Maxi_hp)</f>
        <v>23.972086810605997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2.9145212180359925E-2</v>
      </c>
      <c r="M37" s="844"/>
      <c r="N37" s="844"/>
      <c r="O37" s="48">
        <f>IF(t&lt;Tnet,'2021'!Resal+('2021'!Salim-'2021'!Resal)*(1-EXP(('2021'!Tnet-t)/('2021'!Tau_j))),Resal+(Salim-Resal)*(1-EXP((Tnet-t)/(Tau_j))))*Salcycl</f>
        <v>6.5799826583525775E-2</v>
      </c>
      <c r="P37" s="339">
        <f>(INDEX(Models!$BJ37:$BT37,,T37)*(1-R37)+INDEX(Models!$BJ37:$BT37,,T37+1)*R37-ERP_i)*Q37*Ramure*Pc/MaxiM</f>
        <v>1.1117563110388214E-3</v>
      </c>
      <c r="Q37" s="305">
        <f t="shared" si="4"/>
        <v>0.7</v>
      </c>
      <c r="R37" s="177">
        <f t="shared" si="5"/>
        <v>1.0790955023454759E-4</v>
      </c>
      <c r="S37" s="810">
        <f t="shared" si="6"/>
        <v>0</v>
      </c>
      <c r="T37" s="176">
        <f t="shared" si="7"/>
        <v>6</v>
      </c>
      <c r="U37" s="251">
        <f t="shared" si="20"/>
        <v>1.0790955023454759E-4</v>
      </c>
      <c r="V37" s="383">
        <f t="shared" si="8"/>
        <v>21.80848413406293</v>
      </c>
      <c r="W37" s="402">
        <f t="shared" si="9"/>
        <v>0</v>
      </c>
      <c r="X37" s="157">
        <f t="shared" si="10"/>
        <v>44584</v>
      </c>
      <c r="Y37" s="385">
        <f t="shared" si="11"/>
        <v>20.093861867368275</v>
      </c>
      <c r="Z37" s="385">
        <f t="shared" si="21"/>
        <v>20.697082735200148</v>
      </c>
      <c r="AA37" s="386">
        <f t="shared" si="12"/>
        <v>23.945593658074316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0.13566215852739102</v>
      </c>
      <c r="AD37" s="231">
        <f>(INDEX(Models!$BJ37:$BT37,,AH37)*(1-AF37)+INDEX(Models!$BJ37:$BT37,,AH37+1)*AF37-ERP_i)*AE37*Ramure*Pc/MaxiM</f>
        <v>1.1117563110388214E-3</v>
      </c>
      <c r="AE37" s="305">
        <f t="shared" si="14"/>
        <v>0.7</v>
      </c>
      <c r="AF37" s="177">
        <f t="shared" si="22"/>
        <v>1.0790955023454759E-4</v>
      </c>
      <c r="AG37" s="810">
        <f t="shared" si="23"/>
        <v>0</v>
      </c>
      <c r="AH37" s="176">
        <f t="shared" si="15"/>
        <v>6</v>
      </c>
      <c r="AI37" s="225">
        <f t="shared" si="24"/>
        <v>1.0790955023454759E-4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42">
        <v>22.07</v>
      </c>
      <c r="C38" s="840"/>
      <c r="D38" s="393">
        <f t="shared" si="0"/>
        <v>22.733073874684191</v>
      </c>
      <c r="E38" s="385">
        <f t="shared" si="1"/>
        <v>24.338077640877401</v>
      </c>
      <c r="F38" s="385">
        <f t="shared" si="2"/>
        <v>24.366089837944376</v>
      </c>
      <c r="G38" s="110">
        <f t="shared" si="19"/>
        <v>1.0005589453397303</v>
      </c>
      <c r="H38" s="414" t="b">
        <f>Wh_hp&gt;='2021'!Maxi_hp</f>
        <v>1</v>
      </c>
      <c r="I38" s="380">
        <f>IF(H38,Wh_hp,'2021'!Maxi_hp)</f>
        <v>24.366089837944376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2.9167805389600066E-2</v>
      </c>
      <c r="M38" s="844"/>
      <c r="N38" s="844"/>
      <c r="O38" s="48">
        <f>IF(t&lt;Tnet,'2021'!Resal+('2021'!Salim-'2021'!Resal)*(1-EXP(('2021'!Tnet-t)/('2021'!Tau_j))),Resal+(Salim-Resal)*(1-EXP((Tnet-t)/(Tau_j))))*Salcycl</f>
        <v>6.5946201252045519E-2</v>
      </c>
      <c r="P38" s="339">
        <f>(INDEX(Models!$BJ38:$BT38,,T38)*(1-R38)+INDEX(Models!$BJ38:$BT38,,T38+1)*R38-ERP_i)*Q38*Ramure*Pc/MaxiM</f>
        <v>1.1496385859726195E-3</v>
      </c>
      <c r="Q38" s="305">
        <f t="shared" si="4"/>
        <v>0.7</v>
      </c>
      <c r="R38" s="177">
        <f t="shared" si="5"/>
        <v>1.6539091841812894E-4</v>
      </c>
      <c r="S38" s="810">
        <f t="shared" si="6"/>
        <v>0</v>
      </c>
      <c r="T38" s="176">
        <f t="shared" si="7"/>
        <v>6</v>
      </c>
      <c r="U38" s="251">
        <f t="shared" si="20"/>
        <v>1.6539091841812894E-4</v>
      </c>
      <c r="V38" s="383">
        <f t="shared" si="8"/>
        <v>22.057670967607351</v>
      </c>
      <c r="W38" s="402">
        <f t="shared" si="9"/>
        <v>0</v>
      </c>
      <c r="X38" s="157">
        <f t="shared" si="10"/>
        <v>44585</v>
      </c>
      <c r="Y38" s="385">
        <f t="shared" si="11"/>
        <v>20.421103136236884</v>
      </c>
      <c r="Z38" s="385">
        <f t="shared" si="21"/>
        <v>21.034637344749346</v>
      </c>
      <c r="AA38" s="386">
        <f t="shared" si="12"/>
        <v>24.338077640877401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0.13573135663679989</v>
      </c>
      <c r="AD38" s="231">
        <f>(INDEX(Models!$BJ38:$BT38,,AH38)*(1-AF38)+INDEX(Models!$BJ38:$BT38,,AH38+1)*AF38-ERP_i)*AE38*Ramure*Pc/MaxiM</f>
        <v>1.1496385859726195E-3</v>
      </c>
      <c r="AE38" s="305">
        <f t="shared" si="14"/>
        <v>0.7</v>
      </c>
      <c r="AF38" s="177">
        <f t="shared" si="22"/>
        <v>1.6539091841812894E-4</v>
      </c>
      <c r="AG38" s="810">
        <f t="shared" si="23"/>
        <v>0</v>
      </c>
      <c r="AH38" s="176">
        <f t="shared" si="15"/>
        <v>6</v>
      </c>
      <c r="AI38" s="225">
        <f t="shared" si="24"/>
        <v>1.6539091841812894E-4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42">
        <v>22.029</v>
      </c>
      <c r="C39" s="840"/>
      <c r="D39" s="393">
        <f t="shared" si="0"/>
        <v>22.691370126825245</v>
      </c>
      <c r="E39" s="385">
        <f t="shared" si="1"/>
        <v>24.297235485354012</v>
      </c>
      <c r="F39" s="385">
        <f t="shared" si="2"/>
        <v>24.325688614436949</v>
      </c>
      <c r="G39" s="110">
        <f t="shared" si="19"/>
        <v>0.98721845003817144</v>
      </c>
      <c r="H39" s="414" t="b">
        <f>Wh_hp&gt;='2021'!Maxi_hp</f>
        <v>1</v>
      </c>
      <c r="I39" s="380">
        <f>IF(H39,Wh_hp,'2021'!Maxi_hp)</f>
        <v>24.325688614436949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2.9190398073063228E-2</v>
      </c>
      <c r="M39" s="844"/>
      <c r="N39" s="844"/>
      <c r="O39" s="48">
        <f>IF(t&lt;Tnet,'2021'!Resal+('2021'!Salim-'2021'!Resal)*(1-EXP(('2021'!Tnet-t)/('2021'!Tau_j))),Resal+(Salim-Resal)*(1-EXP((Tnet-t)/(Tau_j))))*Salcycl</f>
        <v>6.6092513261303165E-2</v>
      </c>
      <c r="P39" s="339">
        <f>(INDEX(Models!$BJ39:$BT39,,T39)*(1-R39)+INDEX(Models!$BJ39:$BT39,,T39+1)*R39-ERP_i)*Q39*Ramure*Pc/MaxiM</f>
        <v>1.1913916588107791E-3</v>
      </c>
      <c r="Q39" s="305">
        <f t="shared" si="4"/>
        <v>0.7</v>
      </c>
      <c r="R39" s="177">
        <f t="shared" si="5"/>
        <v>2.2526614354471551E-4</v>
      </c>
      <c r="S39" s="810">
        <f t="shared" si="6"/>
        <v>0</v>
      </c>
      <c r="T39" s="176">
        <f t="shared" si="7"/>
        <v>6</v>
      </c>
      <c r="U39" s="251">
        <f t="shared" si="20"/>
        <v>2.2526614354471551E-4</v>
      </c>
      <c r="V39" s="383">
        <f t="shared" si="8"/>
        <v>22.313725015813823</v>
      </c>
      <c r="W39" s="402">
        <f t="shared" si="9"/>
        <v>0</v>
      </c>
      <c r="X39" s="157">
        <f t="shared" si="10"/>
        <v>44586</v>
      </c>
      <c r="Y39" s="385">
        <f t="shared" si="11"/>
        <v>20.38472440043477</v>
      </c>
      <c r="Z39" s="385">
        <f t="shared" si="21"/>
        <v>20.997654287693095</v>
      </c>
      <c r="AA39" s="386">
        <f t="shared" si="12"/>
        <v>24.297235485354012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0.13580068397698372</v>
      </c>
      <c r="AD39" s="231">
        <f>(INDEX(Models!$BJ39:$BT39,,AH39)*(1-AF39)+INDEX(Models!$BJ39:$BT39,,AH39+1)*AF39-ERP_i)*AE39*Ramure*Pc/MaxiM</f>
        <v>1.1913916588107791E-3</v>
      </c>
      <c r="AE39" s="305">
        <f t="shared" si="14"/>
        <v>0.7</v>
      </c>
      <c r="AF39" s="177">
        <f t="shared" si="22"/>
        <v>2.2526614354471551E-4</v>
      </c>
      <c r="AG39" s="810">
        <f t="shared" si="23"/>
        <v>0</v>
      </c>
      <c r="AH39" s="176">
        <f t="shared" si="15"/>
        <v>6</v>
      </c>
      <c r="AI39" s="225">
        <f t="shared" si="24"/>
        <v>2.2526614354471551E-4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42">
        <v>22.158999999999999</v>
      </c>
      <c r="C40" s="840"/>
      <c r="D40" s="393">
        <f t="shared" si="0"/>
        <v>22.825810169490545</v>
      </c>
      <c r="E40" s="385">
        <f t="shared" si="1"/>
        <v>24.445017974078507</v>
      </c>
      <c r="F40" s="385">
        <f t="shared" si="2"/>
        <v>24.474490380311327</v>
      </c>
      <c r="G40" s="110">
        <f t="shared" si="19"/>
        <v>0.98148626819714335</v>
      </c>
      <c r="H40" s="414" t="b">
        <f>Wh_hp&gt;='2021'!Maxi_hp</f>
        <v>1</v>
      </c>
      <c r="I40" s="380">
        <f>IF(H40,Wh_hp,'2021'!Maxi_hp)</f>
        <v>24.474490380311327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2.9212990230761626E-2</v>
      </c>
      <c r="M40" s="844"/>
      <c r="N40" s="844"/>
      <c r="O40" s="48">
        <f>IF(t&lt;Tnet,'2021'!Resal+('2021'!Salim-'2021'!Resal)*(1-EXP(('2021'!Tnet-t)/('2021'!Tau_j))),Resal+(Salim-Resal)*(1-EXP((Tnet-t)/(Tau_j))))*Salcycl</f>
        <v>6.6238765146541145E-2</v>
      </c>
      <c r="P40" s="339">
        <f>(INDEX(Models!$BJ40:$BT40,,T40)*(1-R40)+INDEX(Models!$BJ40:$BT40,,T40+1)*R40-ERP_i)*Q40*Ramure*Pc/MaxiM</f>
        <v>1.2368653334279037E-3</v>
      </c>
      <c r="Q40" s="305">
        <f t="shared" si="4"/>
        <v>0.7</v>
      </c>
      <c r="R40" s="177">
        <f t="shared" si="5"/>
        <v>2.8763415345885038E-4</v>
      </c>
      <c r="S40" s="810">
        <f t="shared" si="6"/>
        <v>0</v>
      </c>
      <c r="T40" s="176">
        <f t="shared" si="7"/>
        <v>6</v>
      </c>
      <c r="U40" s="251">
        <f t="shared" si="20"/>
        <v>2.8763415345885038E-4</v>
      </c>
      <c r="V40" s="383">
        <f t="shared" si="8"/>
        <v>22.576246064824389</v>
      </c>
      <c r="W40" s="402">
        <f t="shared" si="9"/>
        <v>0</v>
      </c>
      <c r="X40" s="157">
        <f t="shared" si="10"/>
        <v>44587</v>
      </c>
      <c r="Y40" s="385">
        <f t="shared" si="11"/>
        <v>20.506584290912045</v>
      </c>
      <c r="Z40" s="385">
        <f t="shared" si="21"/>
        <v>21.123669851934441</v>
      </c>
      <c r="AA40" s="386">
        <f t="shared" si="12"/>
        <v>24.445017974078507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0.13587014440594902</v>
      </c>
      <c r="AD40" s="231">
        <f>(INDEX(Models!$BJ40:$BT40,,AH40)*(1-AF40)+INDEX(Models!$BJ40:$BT40,,AH40+1)*AF40-ERP_i)*AE40*Ramure*Pc/MaxiM</f>
        <v>1.2368653334279037E-3</v>
      </c>
      <c r="AE40" s="305">
        <f t="shared" si="14"/>
        <v>0.7</v>
      </c>
      <c r="AF40" s="177">
        <f t="shared" si="22"/>
        <v>2.8763415345885038E-4</v>
      </c>
      <c r="AG40" s="810">
        <f t="shared" si="23"/>
        <v>0</v>
      </c>
      <c r="AH40" s="176">
        <f t="shared" si="15"/>
        <v>6</v>
      </c>
      <c r="AI40" s="225">
        <f t="shared" si="24"/>
        <v>2.8763415345885038E-4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42">
        <v>23.081</v>
      </c>
      <c r="C41" s="840"/>
      <c r="D41" s="393">
        <f t="shared" si="0"/>
        <v>23.776108362405715</v>
      </c>
      <c r="E41" s="385">
        <f t="shared" si="1"/>
        <v>25.466715204588503</v>
      </c>
      <c r="F41" s="385">
        <f t="shared" si="2"/>
        <v>25.499505349293724</v>
      </c>
      <c r="G41" s="110">
        <f t="shared" si="19"/>
        <v>1.0103378208337837</v>
      </c>
      <c r="H41" s="414" t="b">
        <f>Wh_hp&gt;='2021'!Maxi_hp</f>
        <v>1</v>
      </c>
      <c r="I41" s="380">
        <f>IF(H41,Wh_hp,'2021'!Maxi_hp)</f>
        <v>25.499505349293724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2.9235581862707472E-2</v>
      </c>
      <c r="M41" s="844"/>
      <c r="N41" s="844"/>
      <c r="O41" s="48">
        <f>IF(t&lt;Tnet,'2021'!Resal+('2021'!Salim-'2021'!Resal)*(1-EXP(('2021'!Tnet-t)/('2021'!Tau_j))),Resal+(Salim-Resal)*(1-EXP((Tnet-t)/(Tau_j))))*Salcycl</f>
        <v>6.6384958900321006E-2</v>
      </c>
      <c r="P41" s="339">
        <f>(INDEX(Models!$BJ41:$BT41,,T41)*(1-R41)+INDEX(Models!$BJ41:$BT41,,T41+1)*R41-ERP_i)*Q41*Ramure*Pc/MaxiM</f>
        <v>1.2859129718816602E-3</v>
      </c>
      <c r="Q41" s="305">
        <f t="shared" si="4"/>
        <v>0.7</v>
      </c>
      <c r="R41" s="177">
        <f t="shared" si="5"/>
        <v>3.5259789891624424E-4</v>
      </c>
      <c r="S41" s="810">
        <f t="shared" si="6"/>
        <v>0</v>
      </c>
      <c r="T41" s="176">
        <f t="shared" si="7"/>
        <v>6</v>
      </c>
      <c r="U41" s="251">
        <f t="shared" si="20"/>
        <v>3.5259789891624424E-4</v>
      </c>
      <c r="V41" s="383">
        <f t="shared" si="8"/>
        <v>22.844834197092954</v>
      </c>
      <c r="W41" s="402">
        <f t="shared" si="9"/>
        <v>0</v>
      </c>
      <c r="X41" s="157">
        <f t="shared" si="10"/>
        <v>44588</v>
      </c>
      <c r="Y41" s="385">
        <f t="shared" si="11"/>
        <v>21.36145409843968</v>
      </c>
      <c r="Z41" s="385">
        <f t="shared" si="21"/>
        <v>22.0047765444763</v>
      </c>
      <c r="AA41" s="386">
        <f t="shared" si="12"/>
        <v>25.466715204588503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0.13593974064972636</v>
      </c>
      <c r="AD41" s="231">
        <f>(INDEX(Models!$BJ41:$BT41,,AH41)*(1-AF41)+INDEX(Models!$BJ41:$BT41,,AH41+1)*AF41-ERP_i)*AE41*Ramure*Pc/MaxiM</f>
        <v>1.2859129718816602E-3</v>
      </c>
      <c r="AE41" s="305">
        <f t="shared" si="14"/>
        <v>0.7</v>
      </c>
      <c r="AF41" s="177">
        <f t="shared" si="22"/>
        <v>3.5259789891624424E-4</v>
      </c>
      <c r="AG41" s="810">
        <f t="shared" si="23"/>
        <v>0</v>
      </c>
      <c r="AH41" s="176">
        <f t="shared" si="15"/>
        <v>6</v>
      </c>
      <c r="AI41" s="225">
        <f t="shared" si="24"/>
        <v>3.5259789891624424E-4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42">
        <v>4.2919999999999998</v>
      </c>
      <c r="C42" s="840"/>
      <c r="D42" s="393">
        <f t="shared" si="0"/>
        <v>4.4213609432351708</v>
      </c>
      <c r="E42" s="385">
        <f t="shared" si="1"/>
        <v>4.7364844440493226</v>
      </c>
      <c r="F42" s="385">
        <f t="shared" si="2"/>
        <v>4.7364844440493226</v>
      </c>
      <c r="G42" s="110">
        <f t="shared" si="19"/>
        <v>0.18539897798510999</v>
      </c>
      <c r="H42" s="414" t="b">
        <f>Wh_hp&gt;='2021'!Maxi_hp</f>
        <v>0</v>
      </c>
      <c r="I42" s="380">
        <f>IF(H42,Wh_hp,'2021'!Maxi_hp)</f>
        <v>17.271645259588524</v>
      </c>
      <c r="J42" s="85">
        <f>IF(H42,An,'2021'!An_max)</f>
        <v>2020</v>
      </c>
      <c r="K42" s="197">
        <f t="shared" si="3"/>
        <v>44589</v>
      </c>
      <c r="L42" s="147">
        <f>IF(t&lt;Tvie,1-EXP((T0-t)*PertePVj)+'2021'!Pspv,1-EXP((T0-t)*PertePVj)+Pspv)</f>
        <v>2.9258172968913088E-2</v>
      </c>
      <c r="M42" s="844"/>
      <c r="N42" s="844"/>
      <c r="O42" s="48">
        <f>IF(t&lt;Tnet,'2021'!Resal+('2021'!Salim-'2021'!Resal)*(1-EXP(('2021'!Tnet-t)/('2021'!Tau_j))),Resal+(Salim-Resal)*(1-EXP((Tnet-t)/(Tau_j))))*Salcycl</f>
        <v>6.65310959080751E-2</v>
      </c>
      <c r="P42" s="339">
        <f>(INDEX(Models!$BJ42:$BT42,,T42)*(1-R42)+INDEX(Models!$BJ42:$BT42,,T42+1)*R42-ERP_i)*Q42*Ramure*Pc/MaxiM</f>
        <v>1.3383923646251949E-3</v>
      </c>
      <c r="Q42" s="305">
        <f t="shared" si="4"/>
        <v>0.7</v>
      </c>
      <c r="R42" s="177">
        <f t="shared" si="5"/>
        <v>4.2026451159300608E-4</v>
      </c>
      <c r="S42" s="810">
        <f t="shared" si="6"/>
        <v>0</v>
      </c>
      <c r="T42" s="176">
        <f t="shared" si="7"/>
        <v>6</v>
      </c>
      <c r="U42" s="251">
        <f t="shared" si="20"/>
        <v>4.2026451159300608E-4</v>
      </c>
      <c r="V42" s="383">
        <f t="shared" si="8"/>
        <v>23.119089795172833</v>
      </c>
      <c r="W42" s="402">
        <f t="shared" si="9"/>
        <v>0</v>
      </c>
      <c r="X42" s="157">
        <f t="shared" si="10"/>
        <v>44589</v>
      </c>
      <c r="Y42" s="385">
        <f t="shared" si="11"/>
        <v>3.9725451169963359</v>
      </c>
      <c r="Z42" s="385">
        <f t="shared" si="21"/>
        <v>4.0922776853511635</v>
      </c>
      <c r="AA42" s="386">
        <f t="shared" si="12"/>
        <v>4.7364844440493226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0.13600947418026624</v>
      </c>
      <c r="AD42" s="231">
        <f>(INDEX(Models!$BJ42:$BT42,,AH42)*(1-AF42)+INDEX(Models!$BJ42:$BT42,,AH42+1)*AF42-ERP_i)*AE42*Ramure*Pc/MaxiM</f>
        <v>1.3383923646251949E-3</v>
      </c>
      <c r="AE42" s="305">
        <f t="shared" si="14"/>
        <v>0.7</v>
      </c>
      <c r="AF42" s="177">
        <f t="shared" si="22"/>
        <v>4.2026451159300608E-4</v>
      </c>
      <c r="AG42" s="810">
        <f t="shared" si="23"/>
        <v>0</v>
      </c>
      <c r="AH42" s="176">
        <f t="shared" si="15"/>
        <v>6</v>
      </c>
      <c r="AI42" s="225">
        <f t="shared" si="24"/>
        <v>4.2026451159300608E-4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42">
        <v>9.7759999999999998</v>
      </c>
      <c r="C43" s="840"/>
      <c r="D43" s="393">
        <f t="shared" si="0"/>
        <v>10.070883148195866</v>
      </c>
      <c r="E43" s="385">
        <f t="shared" si="1"/>
        <v>10.790353454228436</v>
      </c>
      <c r="F43" s="385">
        <f t="shared" si="2"/>
        <v>10.792885717173069</v>
      </c>
      <c r="G43" s="110">
        <f t="shared" si="19"/>
        <v>0.41731795911006264</v>
      </c>
      <c r="H43" s="414" t="b">
        <f>Wh_hp&gt;='2021'!Maxi_hp</f>
        <v>0</v>
      </c>
      <c r="I43" s="380">
        <f>IF(H43,Wh_hp,'2021'!Maxi_hp)</f>
        <v>16.235625620989971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2.9280763549390687E-2</v>
      </c>
      <c r="M43" s="844"/>
      <c r="N43" s="844"/>
      <c r="O43" s="48">
        <f>IF(t&lt;Tnet,'2021'!Resal+('2021'!Salim-'2021'!Resal)*(1-EXP(('2021'!Tnet-t)/('2021'!Tau_j))),Resal+(Salim-Resal)*(1-EXP((Tnet-t)/(Tau_j))))*Salcycl</f>
        <v>6.6677176895500873E-2</v>
      </c>
      <c r="P43" s="339">
        <f>(INDEX(Models!$BJ43:$BT43,,T43)*(1-R43)+INDEX(Models!$BJ43:$BT43,,T43+1)*R43-ERP_i)*Q43*Ramure*Pc/MaxiM</f>
        <v>1.394166468441965E-3</v>
      </c>
      <c r="Q43" s="305">
        <f t="shared" si="4"/>
        <v>0.7</v>
      </c>
      <c r="R43" s="177">
        <f t="shared" si="5"/>
        <v>4.9074546782122458E-4</v>
      </c>
      <c r="S43" s="810">
        <f t="shared" si="6"/>
        <v>0</v>
      </c>
      <c r="T43" s="176">
        <f t="shared" si="7"/>
        <v>6</v>
      </c>
      <c r="U43" s="251">
        <f t="shared" si="20"/>
        <v>4.9074546782122458E-4</v>
      </c>
      <c r="V43" s="383">
        <f t="shared" si="8"/>
        <v>23.39861353439457</v>
      </c>
      <c r="W43" s="402">
        <f t="shared" si="9"/>
        <v>0</v>
      </c>
      <c r="X43" s="157">
        <f t="shared" si="10"/>
        <v>44590</v>
      </c>
      <c r="Y43" s="385">
        <f t="shared" si="11"/>
        <v>9.0490536747264798</v>
      </c>
      <c r="Z43" s="385">
        <f t="shared" si="21"/>
        <v>9.3220092225780267</v>
      </c>
      <c r="AA43" s="386">
        <f t="shared" si="12"/>
        <v>10.790353454228436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0.13607934511867228</v>
      </c>
      <c r="AD43" s="231">
        <f>(INDEX(Models!$BJ43:$BT43,,AH43)*(1-AF43)+INDEX(Models!$BJ43:$BT43,,AH43+1)*AF43-ERP_i)*AE43*Ramure*Pc/MaxiM</f>
        <v>1.394166468441965E-3</v>
      </c>
      <c r="AE43" s="305">
        <f t="shared" si="14"/>
        <v>0.7</v>
      </c>
      <c r="AF43" s="177">
        <f t="shared" si="22"/>
        <v>4.9074546782122458E-4</v>
      </c>
      <c r="AG43" s="810">
        <f t="shared" si="23"/>
        <v>0</v>
      </c>
      <c r="AH43" s="176">
        <f t="shared" si="15"/>
        <v>6</v>
      </c>
      <c r="AI43" s="225">
        <f t="shared" si="24"/>
        <v>4.9074546782122458E-4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42">
        <v>4.6760000000000002</v>
      </c>
      <c r="C44" s="840"/>
      <c r="D44" s="393">
        <f t="shared" si="0"/>
        <v>4.8171589109345074</v>
      </c>
      <c r="E44" s="385">
        <f t="shared" si="1"/>
        <v>5.1621074598956964</v>
      </c>
      <c r="F44" s="385">
        <f t="shared" si="2"/>
        <v>5.1621074598956964</v>
      </c>
      <c r="G44" s="110">
        <f t="shared" si="19"/>
        <v>0.19715424669566115</v>
      </c>
      <c r="H44" s="414" t="b">
        <f>Wh_hp&gt;='2021'!Maxi_hp</f>
        <v>0</v>
      </c>
      <c r="I44" s="380">
        <f>IF(H44,Wh_hp,'2021'!Maxi_hp)</f>
        <v>11.307083616802787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2.9303353604152371E-2</v>
      </c>
      <c r="M44" s="844"/>
      <c r="N44" s="844"/>
      <c r="O44" s="48">
        <f>IF(t&lt;Tnet,'2021'!Resal+('2021'!Salim-'2021'!Resal)*(1-EXP(('2021'!Tnet-t)/('2021'!Tau_j))),Resal+(Salim-Resal)*(1-EXP((Tnet-t)/(Tau_j))))*Salcycl</f>
        <v>6.6823201888199096E-2</v>
      </c>
      <c r="P44" s="339">
        <f>(INDEX(Models!$BJ44:$BT44,,T44)*(1-R44)+INDEX(Models!$BJ44:$BT44,,T44+1)*R44-ERP_i)*Q44*Ramure*Pc/MaxiM</f>
        <v>1.4529352439747684E-3</v>
      </c>
      <c r="Q44" s="305">
        <f t="shared" si="4"/>
        <v>0.7</v>
      </c>
      <c r="R44" s="177">
        <f t="shared" si="5"/>
        <v>5.6415675821600182E-4</v>
      </c>
      <c r="S44" s="810">
        <f t="shared" si="6"/>
        <v>0</v>
      </c>
      <c r="T44" s="176">
        <f t="shared" si="7"/>
        <v>6</v>
      </c>
      <c r="U44" s="251">
        <f t="shared" si="20"/>
        <v>5.6415675821600182E-4</v>
      </c>
      <c r="V44" s="383">
        <f t="shared" si="8"/>
        <v>23.683010399501232</v>
      </c>
      <c r="W44" s="402">
        <f t="shared" si="9"/>
        <v>0</v>
      </c>
      <c r="X44" s="157">
        <f t="shared" si="10"/>
        <v>44591</v>
      </c>
      <c r="Y44" s="385">
        <f t="shared" si="11"/>
        <v>4.3286177254439862</v>
      </c>
      <c r="Z44" s="385">
        <f t="shared" si="21"/>
        <v>4.4592898734284763</v>
      </c>
      <c r="AA44" s="386">
        <f t="shared" si="12"/>
        <v>5.1621074598956964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0.13614935216428461</v>
      </c>
      <c r="AD44" s="231">
        <f>(INDEX(Models!$BJ44:$BT44,,AH44)*(1-AF44)+INDEX(Models!$BJ44:$BT44,,AH44+1)*AF44-ERP_i)*AE44*Ramure*Pc/MaxiM</f>
        <v>1.4529352439747684E-3</v>
      </c>
      <c r="AE44" s="305">
        <f t="shared" si="14"/>
        <v>0.7</v>
      </c>
      <c r="AF44" s="177">
        <f t="shared" si="22"/>
        <v>5.6415675821600182E-4</v>
      </c>
      <c r="AG44" s="810">
        <f t="shared" si="23"/>
        <v>0</v>
      </c>
      <c r="AH44" s="176">
        <f t="shared" si="15"/>
        <v>6</v>
      </c>
      <c r="AI44" s="225">
        <f t="shared" si="24"/>
        <v>5.6415675821600182E-4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42">
        <v>8.2580000000000009</v>
      </c>
      <c r="C45" s="840"/>
      <c r="D45" s="393">
        <f t="shared" si="0"/>
        <v>8.5074901730203436</v>
      </c>
      <c r="E45" s="385">
        <f t="shared" si="1"/>
        <v>9.1181233257816956</v>
      </c>
      <c r="F45" s="385">
        <f t="shared" si="2"/>
        <v>9.1189997035256862</v>
      </c>
      <c r="G45" s="110">
        <f t="shared" si="19"/>
        <v>0.343998240135716</v>
      </c>
      <c r="H45" s="414" t="b">
        <f>Wh_hp&gt;='2021'!Maxi_hp</f>
        <v>0</v>
      </c>
      <c r="I45" s="380">
        <f>IF(H45,Wh_hp,'2021'!Maxi_hp)</f>
        <v>20.821047723853216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2.9325943133210575E-2</v>
      </c>
      <c r="M45" s="844"/>
      <c r="N45" s="844"/>
      <c r="O45" s="48">
        <f>IF(t&lt;Tnet,'2021'!Resal+('2021'!Salim-'2021'!Resal)*(1-EXP(('2021'!Tnet-t)/('2021'!Tau_j))),Resal+(Salim-Resal)*(1-EXP((Tnet-t)/(Tau_j))))*Salcycl</f>
        <v>6.6969170183821966E-2</v>
      </c>
      <c r="P45" s="339">
        <f>(INDEX(Models!$BJ45:$BT45,,T45)*(1-R45)+INDEX(Models!$BJ45:$BT45,,T45+1)*R45-ERP_i)*Q45*Ramure*Pc/MaxiM</f>
        <v>1.5122292247667143E-3</v>
      </c>
      <c r="Q45" s="305">
        <f t="shared" si="4"/>
        <v>0.7</v>
      </c>
      <c r="R45" s="177">
        <f t="shared" si="5"/>
        <v>6.406190633600501E-4</v>
      </c>
      <c r="S45" s="810">
        <f t="shared" si="6"/>
        <v>0</v>
      </c>
      <c r="T45" s="176">
        <f t="shared" si="7"/>
        <v>6</v>
      </c>
      <c r="U45" s="251">
        <f t="shared" si="20"/>
        <v>6.406190633600501E-4</v>
      </c>
      <c r="V45" s="383">
        <f t="shared" si="8"/>
        <v>23.971938099270542</v>
      </c>
      <c r="W45" s="402">
        <f t="shared" si="9"/>
        <v>0</v>
      </c>
      <c r="X45" s="157">
        <f t="shared" si="10"/>
        <v>44592</v>
      </c>
      <c r="Y45" s="385">
        <f t="shared" si="11"/>
        <v>7.6450843879710941</v>
      </c>
      <c r="Z45" s="385">
        <f t="shared" si="21"/>
        <v>7.8760571933368038</v>
      </c>
      <c r="AA45" s="386">
        <f t="shared" si="12"/>
        <v>9.1181233257816956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0.13621949254984547</v>
      </c>
      <c r="AD45" s="231">
        <f>(INDEX(Models!$BJ45:$BT45,,AH45)*(1-AF45)+INDEX(Models!$BJ45:$BT45,,AH45+1)*AF45-ERP_i)*AE45*Ramure*Pc/MaxiM</f>
        <v>1.5122292247667143E-3</v>
      </c>
      <c r="AE45" s="305">
        <f t="shared" si="14"/>
        <v>0.7</v>
      </c>
      <c r="AF45" s="177">
        <f t="shared" si="22"/>
        <v>6.406190633600501E-4</v>
      </c>
      <c r="AG45" s="810">
        <f t="shared" si="23"/>
        <v>0</v>
      </c>
      <c r="AH45" s="176">
        <f t="shared" si="15"/>
        <v>6</v>
      </c>
      <c r="AI45" s="225">
        <f t="shared" si="24"/>
        <v>6.406190633600501E-4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42">
        <v>9.7029999999999994</v>
      </c>
      <c r="C46" s="840"/>
      <c r="D46" s="393">
        <f t="shared" si="0"/>
        <v>9.996379051852708</v>
      </c>
      <c r="E46" s="385">
        <f t="shared" si="1"/>
        <v>10.715554342396656</v>
      </c>
      <c r="F46" s="385">
        <f t="shared" si="2"/>
        <v>10.71795835093012</v>
      </c>
      <c r="G46" s="110">
        <f t="shared" si="19"/>
        <v>0.3993373504465445</v>
      </c>
      <c r="H46" s="414" t="b">
        <f>Wh_hp&gt;='2021'!Maxi_hp</f>
        <v>0</v>
      </c>
      <c r="I46" s="380">
        <f>IF(H46,Wh_hp,'2021'!Maxi_hp)</f>
        <v>21.147132908302876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2.9348532136577399E-2</v>
      </c>
      <c r="M46" s="844"/>
      <c r="N46" s="844"/>
      <c r="O46" s="48">
        <f>IF(t&lt;Tnet,'2021'!Resal+('2021'!Salim-'2021'!Resal)*(1-EXP(('2021'!Tnet-t)/('2021'!Tau_j))),Resal+(Salim-Resal)*(1-EXP((Tnet-t)/(Tau_j))))*Salcycl</f>
        <v>6.7115080336860741E-2</v>
      </c>
      <c r="P46" s="339">
        <f>(INDEX(Models!$BJ46:$BT46,,T46)*(1-R46)+INDEX(Models!$BJ46:$BT46,,T46+1)*R46-ERP_i)*Q46*Ramure*Pc/MaxiM</f>
        <v>1.5720238110119578E-3</v>
      </c>
      <c r="Q46" s="305">
        <f t="shared" si="4"/>
        <v>0.7</v>
      </c>
      <c r="R46" s="177">
        <f t="shared" si="5"/>
        <v>7.2025793571242982E-4</v>
      </c>
      <c r="S46" s="810">
        <f t="shared" si="6"/>
        <v>0</v>
      </c>
      <c r="T46" s="176">
        <f t="shared" si="7"/>
        <v>6</v>
      </c>
      <c r="U46" s="251">
        <f t="shared" si="20"/>
        <v>7.2025793571242982E-4</v>
      </c>
      <c r="V46" s="383">
        <f t="shared" si="8"/>
        <v>24.264998163849498</v>
      </c>
      <c r="W46" s="402">
        <f t="shared" si="9"/>
        <v>0</v>
      </c>
      <c r="X46" s="157">
        <f t="shared" si="10"/>
        <v>44593</v>
      </c>
      <c r="Y46" s="385">
        <f t="shared" si="11"/>
        <v>8.9835093937630575</v>
      </c>
      <c r="Z46" s="385">
        <f t="shared" si="21"/>
        <v>9.2551339911300676</v>
      </c>
      <c r="AA46" s="386">
        <f t="shared" si="12"/>
        <v>10.715554342396656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0.1362897620227036</v>
      </c>
      <c r="AD46" s="231">
        <f>(INDEX(Models!$BJ46:$BT46,,AH46)*(1-AF46)+INDEX(Models!$BJ46:$BT46,,AH46+1)*AF46-ERP_i)*AE46*Ramure*Pc/MaxiM</f>
        <v>1.5720238110119578E-3</v>
      </c>
      <c r="AE46" s="305">
        <f t="shared" si="14"/>
        <v>0.7</v>
      </c>
      <c r="AF46" s="177">
        <f t="shared" si="22"/>
        <v>7.2025793571242982E-4</v>
      </c>
      <c r="AG46" s="810">
        <f t="shared" si="23"/>
        <v>0</v>
      </c>
      <c r="AH46" s="176">
        <f t="shared" si="15"/>
        <v>6</v>
      </c>
      <c r="AI46" s="225">
        <f t="shared" si="24"/>
        <v>7.2025793571242982E-4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42">
        <v>5.4980000000000002</v>
      </c>
      <c r="C47" s="840"/>
      <c r="D47" s="393">
        <f t="shared" si="0"/>
        <v>5.6643688610207272</v>
      </c>
      <c r="E47" s="385">
        <f t="shared" si="1"/>
        <v>6.0728332758361949</v>
      </c>
      <c r="F47" s="385">
        <f t="shared" si="2"/>
        <v>6.0728332758361949</v>
      </c>
      <c r="G47" s="110">
        <f t="shared" si="19"/>
        <v>0.22347821871496043</v>
      </c>
      <c r="H47" s="414" t="b">
        <f>Wh_hp&gt;='2021'!Maxi_hp</f>
        <v>0</v>
      </c>
      <c r="I47" s="380">
        <f>IF(H47,Wh_hp,'2021'!Maxi_hp)</f>
        <v>24.623005802832068</v>
      </c>
      <c r="J47" s="85">
        <f>IF(H47,An,'2021'!An_max)</f>
        <v>2020</v>
      </c>
      <c r="K47" s="197">
        <f t="shared" si="3"/>
        <v>44594</v>
      </c>
      <c r="L47" s="147">
        <f>IF(t&lt;Tvie,1-EXP((T0-t)*PertePVj)+'2021'!Pspv,1-EXP((T0-t)*PertePVj)+Pspv)</f>
        <v>2.9371120614265056E-2</v>
      </c>
      <c r="M47" s="844"/>
      <c r="N47" s="844"/>
      <c r="O47" s="48">
        <f>IF(t&lt;Tnet,'2021'!Resal+('2021'!Salim-'2021'!Resal)*(1-EXP(('2021'!Tnet-t)/('2021'!Tau_j))),Resal+(Salim-Resal)*(1-EXP((Tnet-t)/(Tau_j))))*Salcycl</f>
        <v>6.7260930156068585E-2</v>
      </c>
      <c r="P47" s="339">
        <f>(INDEX(Models!$BJ47:$BT47,,T47)*(1-R47)+INDEX(Models!$BJ47:$BT47,,T47+1)*R47-ERP_i)*Q47*Ramure*Pc/MaxiM</f>
        <v>1.6322991836123038E-3</v>
      </c>
      <c r="Q47" s="305">
        <f t="shared" si="4"/>
        <v>0.7</v>
      </c>
      <c r="R47" s="177">
        <f t="shared" si="5"/>
        <v>8.0320398790833429E-4</v>
      </c>
      <c r="S47" s="810">
        <f t="shared" si="6"/>
        <v>0</v>
      </c>
      <c r="T47" s="176">
        <f t="shared" si="7"/>
        <v>6</v>
      </c>
      <c r="U47" s="251">
        <f t="shared" si="20"/>
        <v>8.0320398790833429E-4</v>
      </c>
      <c r="V47" s="383">
        <f t="shared" si="8"/>
        <v>24.561792422775586</v>
      </c>
      <c r="W47" s="402">
        <f t="shared" si="9"/>
        <v>0</v>
      </c>
      <c r="X47" s="157">
        <f t="shared" si="10"/>
        <v>44594</v>
      </c>
      <c r="Y47" s="385">
        <f t="shared" si="11"/>
        <v>5.0906968756220472</v>
      </c>
      <c r="Z47" s="385">
        <f t="shared" si="21"/>
        <v>5.2447407899543519</v>
      </c>
      <c r="AA47" s="386">
        <f t="shared" si="12"/>
        <v>6.0728332758361949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0.1363601548517433</v>
      </c>
      <c r="AD47" s="231">
        <f>(INDEX(Models!$BJ47:$BT47,,AH47)*(1-AF47)+INDEX(Models!$BJ47:$BT47,,AH47+1)*AF47-ERP_i)*AE47*Ramure*Pc/MaxiM</f>
        <v>1.6322991836123038E-3</v>
      </c>
      <c r="AE47" s="305">
        <f t="shared" si="14"/>
        <v>0.7</v>
      </c>
      <c r="AF47" s="177">
        <f t="shared" si="22"/>
        <v>8.0320398790833429E-4</v>
      </c>
      <c r="AG47" s="810">
        <f t="shared" si="23"/>
        <v>0</v>
      </c>
      <c r="AH47" s="176">
        <f t="shared" si="15"/>
        <v>6</v>
      </c>
      <c r="AI47" s="225">
        <f t="shared" si="24"/>
        <v>8.0320398790833429E-4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42">
        <v>9.9939999999999998</v>
      </c>
      <c r="C48" s="840"/>
      <c r="D48" s="393">
        <f t="shared" si="0"/>
        <v>10.296656933098525</v>
      </c>
      <c r="E48" s="385">
        <f t="shared" si="1"/>
        <v>11.040886866375839</v>
      </c>
      <c r="F48" s="385">
        <f t="shared" si="2"/>
        <v>11.043610796915035</v>
      </c>
      <c r="G48" s="110">
        <f t="shared" si="19"/>
        <v>0.40139860583066367</v>
      </c>
      <c r="H48" s="414" t="b">
        <f>Wh_hp&gt;='2021'!Maxi_hp</f>
        <v>0</v>
      </c>
      <c r="I48" s="380">
        <f>IF(H48,Wh_hp,'2021'!Maxi_hp)</f>
        <v>23.131615520800864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2.939370856628587E-2</v>
      </c>
      <c r="M48" s="844"/>
      <c r="N48" s="844"/>
      <c r="O48" s="48">
        <f>IF(t&lt;Tnet,'2021'!Resal+('2021'!Salim-'2021'!Resal)*(1-EXP(('2021'!Tnet-t)/('2021'!Tau_j))),Resal+(Salim-Resal)*(1-EXP((Tnet-t)/(Tau_j))))*Salcycl</f>
        <v>6.7406716714379922E-2</v>
      </c>
      <c r="P48" s="339">
        <f>(INDEX(Models!$BJ48:$BT48,,T48)*(1-R48)+INDEX(Models!$BJ48:$BT48,,T48+1)*R48-ERP_i)*Q48*Ramure*Pc/MaxiM</f>
        <v>1.693040123882013E-3</v>
      </c>
      <c r="Q48" s="305">
        <f t="shared" si="4"/>
        <v>0.7</v>
      </c>
      <c r="R48" s="177">
        <f t="shared" si="5"/>
        <v>8.8959308761472119E-4</v>
      </c>
      <c r="S48" s="810">
        <f t="shared" si="6"/>
        <v>0</v>
      </c>
      <c r="T48" s="176">
        <f t="shared" si="7"/>
        <v>6</v>
      </c>
      <c r="U48" s="251">
        <f t="shared" si="20"/>
        <v>8.8959308761472119E-4</v>
      </c>
      <c r="V48" s="383">
        <f t="shared" si="8"/>
        <v>24.861923005001149</v>
      </c>
      <c r="W48" s="402">
        <f t="shared" si="9"/>
        <v>0</v>
      </c>
      <c r="X48" s="157">
        <f t="shared" si="10"/>
        <v>44595</v>
      </c>
      <c r="Y48" s="385">
        <f t="shared" si="11"/>
        <v>9.2543149302795502</v>
      </c>
      <c r="Z48" s="385">
        <f t="shared" si="21"/>
        <v>9.534571341598971</v>
      </c>
      <c r="AA48" s="386">
        <f t="shared" si="12"/>
        <v>11.040886866375839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0.13643066385946173</v>
      </c>
      <c r="AD48" s="231">
        <f>(INDEX(Models!$BJ48:$BT48,,AH48)*(1-AF48)+INDEX(Models!$BJ48:$BT48,,AH48+1)*AF48-ERP_i)*AE48*Ramure*Pc/MaxiM</f>
        <v>1.693040123882013E-3</v>
      </c>
      <c r="AE48" s="305">
        <f t="shared" si="14"/>
        <v>0.7</v>
      </c>
      <c r="AF48" s="177">
        <f t="shared" si="22"/>
        <v>8.8959308761472119E-4</v>
      </c>
      <c r="AG48" s="810">
        <f t="shared" si="23"/>
        <v>0</v>
      </c>
      <c r="AH48" s="176">
        <f t="shared" si="15"/>
        <v>6</v>
      </c>
      <c r="AI48" s="225">
        <f t="shared" si="24"/>
        <v>8.8959308761472119E-4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42">
        <v>9.8650000000000002</v>
      </c>
      <c r="C49" s="840"/>
      <c r="D49" s="393">
        <f t="shared" si="0"/>
        <v>10.163986845513033</v>
      </c>
      <c r="E49" s="385">
        <f t="shared" si="1"/>
        <v>10.900330744558332</v>
      </c>
      <c r="F49" s="385">
        <f t="shared" si="2"/>
        <v>10.902844819281858</v>
      </c>
      <c r="G49" s="110">
        <f t="shared" si="19"/>
        <v>0.39141540840685241</v>
      </c>
      <c r="H49" s="414" t="b">
        <f>Wh_hp&gt;='2021'!Maxi_hp</f>
        <v>0</v>
      </c>
      <c r="I49" s="380">
        <f>IF(H49,Wh_hp,'2021'!Maxi_hp)</f>
        <v>21.711002332701614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2.9416295992652053E-2</v>
      </c>
      <c r="M49" s="844"/>
      <c r="N49" s="844"/>
      <c r="O49" s="48">
        <f>IF(t&lt;Tnet,'2021'!Resal+('2021'!Salim-'2021'!Resal)*(1-EXP(('2021'!Tnet-t)/('2021'!Tau_j))),Resal+(Salim-Resal)*(1-EXP((Tnet-t)/(Tau_j))))*Salcycl</f>
        <v>6.755243637106112E-2</v>
      </c>
      <c r="P49" s="339">
        <f>(INDEX(Models!$BJ49:$BT49,,T49)*(1-R49)+INDEX(Models!$BJ49:$BT49,,T49+1)*R49-ERP_i)*Q49*Ramure*Pc/MaxiM</f>
        <v>1.7542358310321485E-3</v>
      </c>
      <c r="Q49" s="305">
        <f t="shared" si="4"/>
        <v>0.7</v>
      </c>
      <c r="R49" s="177">
        <f t="shared" si="5"/>
        <v>9.795665591074954E-4</v>
      </c>
      <c r="S49" s="810">
        <f t="shared" si="6"/>
        <v>0</v>
      </c>
      <c r="T49" s="176">
        <f t="shared" si="7"/>
        <v>6</v>
      </c>
      <c r="U49" s="251">
        <f t="shared" si="20"/>
        <v>9.795665591074954E-4</v>
      </c>
      <c r="V49" s="383">
        <f t="shared" si="8"/>
        <v>25.164992344432772</v>
      </c>
      <c r="W49" s="402">
        <f t="shared" si="9"/>
        <v>0</v>
      </c>
      <c r="X49" s="157">
        <f t="shared" si="10"/>
        <v>44596</v>
      </c>
      <c r="Y49" s="385">
        <f t="shared" si="11"/>
        <v>9.135543059310022</v>
      </c>
      <c r="Z49" s="385">
        <f t="shared" si="21"/>
        <v>9.4124216402883896</v>
      </c>
      <c r="AA49" s="386">
        <f t="shared" si="12"/>
        <v>10.900330744558332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0.13650128047836876</v>
      </c>
      <c r="AD49" s="231">
        <f>(INDEX(Models!$BJ49:$BT49,,AH49)*(1-AF49)+INDEX(Models!$BJ49:$BT49,,AH49+1)*AF49-ERP_i)*AE49*Ramure*Pc/MaxiM</f>
        <v>1.7542358310321485E-3</v>
      </c>
      <c r="AE49" s="305">
        <f t="shared" si="14"/>
        <v>0.7</v>
      </c>
      <c r="AF49" s="177">
        <f t="shared" si="22"/>
        <v>9.795665591074954E-4</v>
      </c>
      <c r="AG49" s="810">
        <f t="shared" si="23"/>
        <v>0</v>
      </c>
      <c r="AH49" s="176">
        <f t="shared" si="15"/>
        <v>6</v>
      </c>
      <c r="AI49" s="225">
        <f t="shared" si="24"/>
        <v>9.795665591074954E-4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42">
        <v>9.0739999999999998</v>
      </c>
      <c r="C50" s="840"/>
      <c r="D50" s="393">
        <f t="shared" si="0"/>
        <v>9.3492309140209944</v>
      </c>
      <c r="E50" s="385">
        <f t="shared" si="1"/>
        <v>10.028115100538587</v>
      </c>
      <c r="F50" s="385">
        <f t="shared" si="2"/>
        <v>10.029578705425699</v>
      </c>
      <c r="G50" s="110">
        <f t="shared" si="19"/>
        <v>0.35565881936013022</v>
      </c>
      <c r="H50" s="414" t="b">
        <f>Wh_hp&gt;='2021'!Maxi_hp</f>
        <v>0</v>
      </c>
      <c r="I50" s="380">
        <f>IF(H50,Wh_hp,'2021'!Maxi_hp)</f>
        <v>28.631560461107572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2.9438882893375928E-2</v>
      </c>
      <c r="M50" s="844"/>
      <c r="N50" s="844"/>
      <c r="O50" s="48">
        <f>IF(t&lt;Tnet,'2021'!Resal+('2021'!Salim-'2021'!Resal)*(1-EXP(('2021'!Tnet-t)/('2021'!Tau_j))),Resal+(Salim-Resal)*(1-EXP((Tnet-t)/(Tau_j))))*Salcycl</f>
        <v>6.7698084805701053E-2</v>
      </c>
      <c r="P50" s="339">
        <f>(INDEX(Models!$BJ50:$BT50,,T50)*(1-R50)+INDEX(Models!$BJ50:$BT50,,T50+1)*R50-ERP_i)*Q50*Ramure*Pc/MaxiM</f>
        <v>1.8158797424483839E-3</v>
      </c>
      <c r="Q50" s="305">
        <f t="shared" si="4"/>
        <v>0.7</v>
      </c>
      <c r="R50" s="177">
        <f t="shared" si="5"/>
        <v>1.0732713917321751E-3</v>
      </c>
      <c r="S50" s="810">
        <f t="shared" si="6"/>
        <v>0</v>
      </c>
      <c r="T50" s="176">
        <f t="shared" si="7"/>
        <v>6</v>
      </c>
      <c r="U50" s="251">
        <f t="shared" si="20"/>
        <v>1.0732713917321751E-3</v>
      </c>
      <c r="V50" s="383">
        <f t="shared" si="8"/>
        <v>25.470603176094894</v>
      </c>
      <c r="W50" s="402">
        <f t="shared" si="9"/>
        <v>0</v>
      </c>
      <c r="X50" s="157">
        <f t="shared" si="10"/>
        <v>44597</v>
      </c>
      <c r="Y50" s="385">
        <f t="shared" si="11"/>
        <v>8.4036572179237599</v>
      </c>
      <c r="Z50" s="385">
        <f t="shared" si="21"/>
        <v>8.6585554168667045</v>
      </c>
      <c r="AA50" s="386">
        <f t="shared" si="12"/>
        <v>10.028115100538587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0.13657199483064628</v>
      </c>
      <c r="AD50" s="231">
        <f>(INDEX(Models!$BJ50:$BT50,,AH50)*(1-AF50)+INDEX(Models!$BJ50:$BT50,,AH50+1)*AF50-ERP_i)*AE50*Ramure*Pc/MaxiM</f>
        <v>1.8158797424483839E-3</v>
      </c>
      <c r="AE50" s="305">
        <f t="shared" si="14"/>
        <v>0.7</v>
      </c>
      <c r="AF50" s="177">
        <f t="shared" si="22"/>
        <v>1.0732713917321751E-3</v>
      </c>
      <c r="AG50" s="810">
        <f t="shared" si="23"/>
        <v>0</v>
      </c>
      <c r="AH50" s="176">
        <f t="shared" si="15"/>
        <v>6</v>
      </c>
      <c r="AI50" s="225">
        <f t="shared" si="24"/>
        <v>1.0732713917321751E-3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42">
        <v>17.315999999999999</v>
      </c>
      <c r="C51" s="840"/>
      <c r="D51" s="393">
        <f t="shared" si="0"/>
        <v>17.841640956746247</v>
      </c>
      <c r="E51" s="385">
        <f t="shared" si="1"/>
        <v>19.140180820463833</v>
      </c>
      <c r="F51" s="385">
        <f t="shared" si="2"/>
        <v>19.159284448177917</v>
      </c>
      <c r="G51" s="110">
        <f t="shared" si="19"/>
        <v>0.67109154211644051</v>
      </c>
      <c r="H51" s="414" t="b">
        <f>Wh_hp&gt;='2021'!Maxi_hp</f>
        <v>0</v>
      </c>
      <c r="I51" s="380">
        <f>IF(H51,Wh_hp,'2021'!Maxi_hp)</f>
        <v>29.492309215343429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2.9461469268469487E-2</v>
      </c>
      <c r="M51" s="844"/>
      <c r="N51" s="844"/>
      <c r="O51" s="48">
        <f>IF(t&lt;Tnet,'2021'!Resal+('2021'!Salim-'2021'!Resal)*(1-EXP(('2021'!Tnet-t)/('2021'!Tau_j))),Resal+(Salim-Resal)*(1-EXP((Tnet-t)/(Tau_j))))*Salcycl</f>
        <v>6.7843657063534346E-2</v>
      </c>
      <c r="P51" s="339">
        <f>(INDEX(Models!$BJ51:$BT51,,T51)*(1-R51)+INDEX(Models!$BJ51:$BT51,,T51+1)*R51-ERP_i)*Q51*Ramure*Pc/MaxiM</f>
        <v>1.8778506970335877E-3</v>
      </c>
      <c r="Q51" s="305">
        <f t="shared" si="4"/>
        <v>0.7</v>
      </c>
      <c r="R51" s="177">
        <f t="shared" si="5"/>
        <v>1.1708604554074946E-3</v>
      </c>
      <c r="S51" s="810">
        <f t="shared" si="6"/>
        <v>0</v>
      </c>
      <c r="T51" s="176">
        <f t="shared" si="7"/>
        <v>6</v>
      </c>
      <c r="U51" s="251">
        <f t="shared" si="20"/>
        <v>1.1708604554074946E-3</v>
      </c>
      <c r="V51" s="383">
        <f t="shared" si="8"/>
        <v>25.779990548892737</v>
      </c>
      <c r="W51" s="402">
        <f t="shared" si="9"/>
        <v>0</v>
      </c>
      <c r="X51" s="157">
        <f t="shared" si="10"/>
        <v>44598</v>
      </c>
      <c r="Y51" s="385">
        <f t="shared" si="11"/>
        <v>16.037967730087573</v>
      </c>
      <c r="Z51" s="385">
        <f t="shared" si="21"/>
        <v>16.524813000468068</v>
      </c>
      <c r="AA51" s="386">
        <f t="shared" si="12"/>
        <v>19.140180820463833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0.13664279582978275</v>
      </c>
      <c r="AD51" s="231">
        <f>(INDEX(Models!$BJ51:$BT51,,AH51)*(1-AF51)+INDEX(Models!$BJ51:$BT51,,AH51+1)*AF51-ERP_i)*AE51*Ramure*Pc/MaxiM</f>
        <v>1.8778506970335877E-3</v>
      </c>
      <c r="AE51" s="305">
        <f t="shared" si="14"/>
        <v>0.7</v>
      </c>
      <c r="AF51" s="177">
        <f t="shared" si="22"/>
        <v>1.1708604554074946E-3</v>
      </c>
      <c r="AG51" s="810">
        <f t="shared" si="23"/>
        <v>0</v>
      </c>
      <c r="AH51" s="176">
        <f t="shared" si="15"/>
        <v>6</v>
      </c>
      <c r="AI51" s="225">
        <f t="shared" si="24"/>
        <v>1.1708604554074946E-3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42">
        <v>9.2469999999999999</v>
      </c>
      <c r="C52" s="840"/>
      <c r="D52" s="393">
        <f t="shared" si="0"/>
        <v>9.5279217706451718</v>
      </c>
      <c r="E52" s="385">
        <f t="shared" si="1"/>
        <v>10.222972990311623</v>
      </c>
      <c r="F52" s="385">
        <f t="shared" si="2"/>
        <v>10.224509269709591</v>
      </c>
      <c r="G52" s="110">
        <f t="shared" si="19"/>
        <v>0.35373215250888529</v>
      </c>
      <c r="H52" s="414" t="b">
        <f>Wh_hp&gt;='2021'!Maxi_hp</f>
        <v>0</v>
      </c>
      <c r="I52" s="380">
        <f>IF(H52,Wh_hp,'2021'!Maxi_hp)</f>
        <v>20.449279964874634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2.9484055117945163E-2</v>
      </c>
      <c r="M52" s="844"/>
      <c r="N52" s="844"/>
      <c r="O52" s="48">
        <f>IF(t&lt;Tnet,'2021'!Resal+('2021'!Salim-'2021'!Resal)*(1-EXP(('2021'!Tnet-t)/('2021'!Tau_j))),Resal+(Salim-Resal)*(1-EXP((Tnet-t)/(Tau_j))))*Salcycl</f>
        <v>6.7989147611478146E-2</v>
      </c>
      <c r="P52" s="339">
        <f>(INDEX(Models!$BJ52:$BT52,,T52)*(1-R52)+INDEX(Models!$BJ52:$BT52,,T52+1)*R52-ERP_i)*Q52*Ramure*Pc/MaxiM</f>
        <v>1.9346824489332431E-3</v>
      </c>
      <c r="Q52" s="305">
        <f t="shared" si="4"/>
        <v>0.7</v>
      </c>
      <c r="R52" s="177">
        <f t="shared" si="5"/>
        <v>1.2724927233286683E-3</v>
      </c>
      <c r="S52" s="810">
        <f t="shared" si="6"/>
        <v>0</v>
      </c>
      <c r="T52" s="176">
        <f t="shared" si="7"/>
        <v>6</v>
      </c>
      <c r="U52" s="251">
        <f t="shared" si="20"/>
        <v>1.2724927233286683E-3</v>
      </c>
      <c r="V52" s="383">
        <f t="shared" si="8"/>
        <v>26.0945940322658</v>
      </c>
      <c r="W52" s="402">
        <f t="shared" si="9"/>
        <v>0</v>
      </c>
      <c r="X52" s="157">
        <f t="shared" si="10"/>
        <v>44599</v>
      </c>
      <c r="Y52" s="385">
        <f t="shared" si="11"/>
        <v>8.5651456321628885</v>
      </c>
      <c r="Z52" s="385">
        <f t="shared" si="21"/>
        <v>8.8253528211778072</v>
      </c>
      <c r="AA52" s="386">
        <f t="shared" si="12"/>
        <v>10.222972990311623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0.13671367130269732</v>
      </c>
      <c r="AD52" s="231">
        <f>(INDEX(Models!$BJ52:$BT52,,AH52)*(1-AF52)+INDEX(Models!$BJ52:$BT52,,AH52+1)*AF52-ERP_i)*AE52*Ramure*Pc/MaxiM</f>
        <v>1.9346824489332431E-3</v>
      </c>
      <c r="AE52" s="305">
        <f t="shared" si="14"/>
        <v>0.7</v>
      </c>
      <c r="AF52" s="177">
        <f t="shared" si="22"/>
        <v>1.2724927233286683E-3</v>
      </c>
      <c r="AG52" s="810">
        <f t="shared" si="23"/>
        <v>0</v>
      </c>
      <c r="AH52" s="176">
        <f t="shared" si="15"/>
        <v>6</v>
      </c>
      <c r="AI52" s="225">
        <f t="shared" si="24"/>
        <v>1.2724927233286683E-3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42">
        <v>27.062000000000001</v>
      </c>
      <c r="C53" s="840"/>
      <c r="D53" s="393">
        <f t="shared" si="0"/>
        <v>27.884786365070976</v>
      </c>
      <c r="E53" s="385">
        <f t="shared" si="1"/>
        <v>29.923618669589036</v>
      </c>
      <c r="F53" s="385">
        <f t="shared" si="2"/>
        <v>29.983116479380318</v>
      </c>
      <c r="G53" s="110">
        <f t="shared" si="19"/>
        <v>1.0245257763407305</v>
      </c>
      <c r="H53" s="414" t="b">
        <f>Wh_hp&gt;='2021'!Maxi_hp</f>
        <v>1</v>
      </c>
      <c r="I53" s="380">
        <f>IF(H53,Wh_hp,'2021'!Maxi_hp)</f>
        <v>29.983116479380318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2.9506640441815057E-2</v>
      </c>
      <c r="M53" s="844"/>
      <c r="N53" s="844"/>
      <c r="O53" s="48">
        <f>IF(t&lt;Tnet,'2021'!Resal+('2021'!Salim-'2021'!Resal)*(1-EXP(('2021'!Tnet-t)/('2021'!Tau_j))),Resal+(Salim-Resal)*(1-EXP((Tnet-t)/(Tau_j))))*Salcycl</f>
        <v>6.8134550404162747E-2</v>
      </c>
      <c r="P53" s="339">
        <f>(INDEX(Models!$BJ53:$BT53,,T53)*(1-R53)+INDEX(Models!$BJ53:$BT53,,T53+1)*R53-ERP_i)*Q53*Ramure*Pc/MaxiM</f>
        <v>1.9843771021000999E-3</v>
      </c>
      <c r="Q53" s="305">
        <f t="shared" si="4"/>
        <v>0.7</v>
      </c>
      <c r="R53" s="177">
        <f t="shared" si="5"/>
        <v>1.3783335020216779E-3</v>
      </c>
      <c r="S53" s="810">
        <f t="shared" si="6"/>
        <v>0</v>
      </c>
      <c r="T53" s="176">
        <f t="shared" si="7"/>
        <v>6</v>
      </c>
      <c r="U53" s="251">
        <f t="shared" si="20"/>
        <v>1.3783335020216779E-3</v>
      </c>
      <c r="V53" s="383">
        <f t="shared" si="8"/>
        <v>26.414171927090575</v>
      </c>
      <c r="W53" s="402">
        <f t="shared" si="9"/>
        <v>0</v>
      </c>
      <c r="X53" s="157">
        <f t="shared" si="10"/>
        <v>44600</v>
      </c>
      <c r="Y53" s="385">
        <f t="shared" si="11"/>
        <v>25.068356107525169</v>
      </c>
      <c r="Z53" s="385">
        <f t="shared" si="21"/>
        <v>25.830528216017353</v>
      </c>
      <c r="AA53" s="386">
        <f t="shared" si="12"/>
        <v>29.923618669589036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0.13678460813068155</v>
      </c>
      <c r="AD53" s="231">
        <f>(INDEX(Models!$BJ53:$BT53,,AH53)*(1-AF53)+INDEX(Models!$BJ53:$BT53,,AH53+1)*AF53-ERP_i)*AE53*Ramure*Pc/MaxiM</f>
        <v>1.9843771021000999E-3</v>
      </c>
      <c r="AE53" s="305">
        <f t="shared" si="14"/>
        <v>0.7</v>
      </c>
      <c r="AF53" s="177">
        <f t="shared" si="22"/>
        <v>1.3783335020216779E-3</v>
      </c>
      <c r="AG53" s="810">
        <f t="shared" si="23"/>
        <v>0</v>
      </c>
      <c r="AH53" s="176">
        <f t="shared" si="15"/>
        <v>6</v>
      </c>
      <c r="AI53" s="225">
        <f t="shared" si="24"/>
        <v>1.3783335020216779E-3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42">
        <v>27.14</v>
      </c>
      <c r="C54" s="840"/>
      <c r="D54" s="393">
        <f t="shared" si="0"/>
        <v>27.965808663031979</v>
      </c>
      <c r="E54" s="385">
        <f t="shared" si="1"/>
        <v>30.015245384510411</v>
      </c>
      <c r="F54" s="385">
        <f t="shared" si="2"/>
        <v>30.076215660223145</v>
      </c>
      <c r="G54" s="110">
        <f t="shared" si="19"/>
        <v>1.0150186423570313</v>
      </c>
      <c r="H54" s="414" t="b">
        <f>Wh_hp&gt;='2021'!Maxi_hp</f>
        <v>1</v>
      </c>
      <c r="I54" s="380">
        <f>IF(H54,Wh_hp,'2021'!Maxi_hp)</f>
        <v>30.076215660223145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2.9529225240091606E-2</v>
      </c>
      <c r="M54" s="844"/>
      <c r="N54" s="844"/>
      <c r="O54" s="48">
        <f>IF(t&lt;Tnet,'2021'!Resal+('2021'!Salim-'2021'!Resal)*(1-EXP(('2021'!Tnet-t)/('2021'!Tau_j))),Resal+(Salim-Resal)*(1-EXP((Tnet-t)/(Tau_j))))*Salcycl</f>
        <v>6.8279858959142764E-2</v>
      </c>
      <c r="P54" s="339">
        <f>(INDEX(Models!$BJ54:$BT54,,T54)*(1-R54)+INDEX(Models!$BJ54:$BT54,,T54+1)*R54-ERP_i)*Q54*Ramure*Pc/MaxiM</f>
        <v>2.027192396860169E-3</v>
      </c>
      <c r="Q54" s="305">
        <f t="shared" si="4"/>
        <v>0.7</v>
      </c>
      <c r="R54" s="177">
        <f t="shared" si="5"/>
        <v>1.4885546688945843E-3</v>
      </c>
      <c r="S54" s="810">
        <f t="shared" si="6"/>
        <v>0</v>
      </c>
      <c r="T54" s="176">
        <f t="shared" si="7"/>
        <v>6</v>
      </c>
      <c r="U54" s="251">
        <f t="shared" si="20"/>
        <v>1.4885546688945843E-3</v>
      </c>
      <c r="V54" s="383">
        <f t="shared" si="8"/>
        <v>26.738425155400787</v>
      </c>
      <c r="W54" s="402">
        <f t="shared" si="9"/>
        <v>0</v>
      </c>
      <c r="X54" s="157">
        <f t="shared" si="10"/>
        <v>44601</v>
      </c>
      <c r="Y54" s="385">
        <f t="shared" si="11"/>
        <v>25.142463053224766</v>
      </c>
      <c r="Z54" s="385">
        <f t="shared" si="21"/>
        <v>25.907491196161921</v>
      </c>
      <c r="AA54" s="386">
        <f t="shared" si="12"/>
        <v>30.015245384510411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0.13685559240732809</v>
      </c>
      <c r="AD54" s="231">
        <f>(INDEX(Models!$BJ54:$BT54,,AH54)*(1-AF54)+INDEX(Models!$BJ54:$BT54,,AH54+1)*AF54-ERP_i)*AE54*Ramure*Pc/MaxiM</f>
        <v>2.027192396860169E-3</v>
      </c>
      <c r="AE54" s="305">
        <f t="shared" si="14"/>
        <v>0.7</v>
      </c>
      <c r="AF54" s="177">
        <f t="shared" si="22"/>
        <v>1.4885546688945843E-3</v>
      </c>
      <c r="AG54" s="810">
        <f t="shared" si="23"/>
        <v>0</v>
      </c>
      <c r="AH54" s="176">
        <f t="shared" si="15"/>
        <v>6</v>
      </c>
      <c r="AI54" s="225">
        <f t="shared" si="24"/>
        <v>1.4885546688945843E-3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42">
        <v>25.47</v>
      </c>
      <c r="C55" s="840"/>
      <c r="D55" s="393">
        <f t="shared" si="0"/>
        <v>26.245605123147062</v>
      </c>
      <c r="E55" s="385">
        <f t="shared" si="1"/>
        <v>28.173369825292479</v>
      </c>
      <c r="F55" s="385">
        <f t="shared" si="2"/>
        <v>28.226702999052218</v>
      </c>
      <c r="G55" s="110">
        <f t="shared" si="19"/>
        <v>0.94083238371442457</v>
      </c>
      <c r="H55" s="414" t="b">
        <f>Wh_hp&gt;='2021'!Maxi_hp</f>
        <v>1</v>
      </c>
      <c r="I55" s="380">
        <f>IF(H55,Wh_hp,'2021'!Maxi_hp)</f>
        <v>28.226702999052218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2.9551809512786797E-2</v>
      </c>
      <c r="M55" s="844"/>
      <c r="N55" s="844"/>
      <c r="O55" s="48">
        <f>IF(t&lt;Tnet,'2021'!Resal+('2021'!Salim-'2021'!Resal)*(1-EXP(('2021'!Tnet-t)/('2021'!Tau_j))),Resal+(Salim-Resal)*(1-EXP((Tnet-t)/(Tau_j))))*Salcycl</f>
        <v>6.8425066440393562E-2</v>
      </c>
      <c r="P55" s="339">
        <f>(INDEX(Models!$BJ55:$BT55,,T55)*(1-R55)+INDEX(Models!$BJ55:$BT55,,T55+1)*R55-ERP_i)*Q55*Ramure*Pc/MaxiM</f>
        <v>2.0633825549956019E-3</v>
      </c>
      <c r="Q55" s="305">
        <f t="shared" si="4"/>
        <v>0.7</v>
      </c>
      <c r="R55" s="177">
        <f t="shared" si="5"/>
        <v>1.60333491742459E-3</v>
      </c>
      <c r="S55" s="810">
        <f t="shared" si="6"/>
        <v>0</v>
      </c>
      <c r="T55" s="176">
        <f t="shared" si="7"/>
        <v>6</v>
      </c>
      <c r="U55" s="251">
        <f t="shared" si="20"/>
        <v>1.60333491742459E-3</v>
      </c>
      <c r="V55" s="383">
        <f t="shared" si="8"/>
        <v>27.067054876186397</v>
      </c>
      <c r="W55" s="402">
        <f t="shared" si="9"/>
        <v>0</v>
      </c>
      <c r="X55" s="157">
        <f t="shared" si="10"/>
        <v>44602</v>
      </c>
      <c r="Y55" s="385">
        <f t="shared" si="11"/>
        <v>23.597113298443251</v>
      </c>
      <c r="Z55" s="385">
        <f t="shared" si="21"/>
        <v>24.315685813784999</v>
      </c>
      <c r="AA55" s="386">
        <f t="shared" si="12"/>
        <v>28.173369825292479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0.13692660961147313</v>
      </c>
      <c r="AD55" s="231">
        <f>(INDEX(Models!$BJ55:$BT55,,AH55)*(1-AF55)+INDEX(Models!$BJ55:$BT55,,AH55+1)*AF55-ERP_i)*AE55*Ramure*Pc/MaxiM</f>
        <v>2.0633825549956019E-3</v>
      </c>
      <c r="AE55" s="305">
        <f t="shared" si="14"/>
        <v>0.7</v>
      </c>
      <c r="AF55" s="177">
        <f t="shared" si="22"/>
        <v>1.60333491742459E-3</v>
      </c>
      <c r="AG55" s="810">
        <f t="shared" si="23"/>
        <v>0</v>
      </c>
      <c r="AH55" s="176">
        <f t="shared" si="15"/>
        <v>6</v>
      </c>
      <c r="AI55" s="225">
        <f t="shared" si="24"/>
        <v>1.60333491742459E-3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42">
        <v>16.189</v>
      </c>
      <c r="C56" s="840"/>
      <c r="D56" s="393">
        <f t="shared" si="0"/>
        <v>16.68237100047584</v>
      </c>
      <c r="E56" s="385">
        <f t="shared" si="1"/>
        <v>17.910496729893836</v>
      </c>
      <c r="F56" s="385">
        <f t="shared" si="2"/>
        <v>17.926087176291055</v>
      </c>
      <c r="G56" s="110">
        <f t="shared" si="19"/>
        <v>0.59012101596217437</v>
      </c>
      <c r="H56" s="414" t="b">
        <f>Wh_hp&gt;='2021'!Maxi_hp</f>
        <v>0</v>
      </c>
      <c r="I56" s="380">
        <f>IF(H56,Wh_hp,'2021'!Maxi_hp)</f>
        <v>25.264298487786281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2.9574393259912957E-2</v>
      </c>
      <c r="M56" s="844"/>
      <c r="N56" s="844"/>
      <c r="O56" s="48">
        <f>IF(t&lt;Tnet,'2021'!Resal+('2021'!Salim-'2021'!Resal)*(1-EXP(('2021'!Tnet-t)/('2021'!Tau_j))),Resal+(Salim-Resal)*(1-EXP((Tnet-t)/(Tau_j))))*Salcycl</f>
        <v>6.8570165749125916E-2</v>
      </c>
      <c r="P56" s="339">
        <f>(INDEX(Models!$BJ56:$BT56,,T56)*(1-R56)+INDEX(Models!$BJ56:$BT56,,T56+1)*R56-ERP_i)*Q56*Ramure*Pc/MaxiM</f>
        <v>2.0931973415996706E-3</v>
      </c>
      <c r="Q56" s="305">
        <f t="shared" si="4"/>
        <v>0.7</v>
      </c>
      <c r="R56" s="177">
        <f t="shared" si="5"/>
        <v>1.7228600101135542E-3</v>
      </c>
      <c r="S56" s="810">
        <f t="shared" si="6"/>
        <v>0</v>
      </c>
      <c r="T56" s="176">
        <f t="shared" si="7"/>
        <v>6</v>
      </c>
      <c r="U56" s="251">
        <f t="shared" si="20"/>
        <v>1.7228600101135542E-3</v>
      </c>
      <c r="V56" s="383">
        <f t="shared" si="8"/>
        <v>27.399762487286893</v>
      </c>
      <c r="W56" s="402">
        <f t="shared" si="9"/>
        <v>0</v>
      </c>
      <c r="X56" s="157">
        <f t="shared" si="10"/>
        <v>44603</v>
      </c>
      <c r="Y56" s="385">
        <f t="shared" si="11"/>
        <v>14.999675353626316</v>
      </c>
      <c r="Z56" s="385">
        <f t="shared" si="21"/>
        <v>15.456800860824501</v>
      </c>
      <c r="AA56" s="386">
        <f t="shared" si="12"/>
        <v>17.910496729893836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0.13699764479306434</v>
      </c>
      <c r="AD56" s="231">
        <f>(INDEX(Models!$BJ56:$BT56,,AH56)*(1-AF56)+INDEX(Models!$BJ56:$BT56,,AH56+1)*AF56-ERP_i)*AE56*Ramure*Pc/MaxiM</f>
        <v>2.0931973415996706E-3</v>
      </c>
      <c r="AE56" s="305">
        <f t="shared" si="14"/>
        <v>0.7</v>
      </c>
      <c r="AF56" s="177">
        <f t="shared" si="22"/>
        <v>1.7228600101135542E-3</v>
      </c>
      <c r="AG56" s="810">
        <f t="shared" si="23"/>
        <v>0</v>
      </c>
      <c r="AH56" s="176">
        <f t="shared" si="15"/>
        <v>6</v>
      </c>
      <c r="AI56" s="225">
        <f t="shared" si="24"/>
        <v>1.7228600101135542E-3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42">
        <v>23.404</v>
      </c>
      <c r="C57" s="840"/>
      <c r="D57" s="393">
        <f t="shared" si="0"/>
        <v>24.117814385141799</v>
      </c>
      <c r="E57" s="385">
        <f t="shared" si="1"/>
        <v>25.897355009397927</v>
      </c>
      <c r="F57" s="385">
        <f t="shared" si="2"/>
        <v>25.94001416598579</v>
      </c>
      <c r="G57" s="110">
        <f t="shared" si="19"/>
        <v>0.84340627243103694</v>
      </c>
      <c r="H57" s="414" t="b">
        <f>Wh_hp&gt;='2021'!Maxi_hp</f>
        <v>0</v>
      </c>
      <c r="I57" s="380">
        <f>IF(H57,Wh_hp,'2021'!Maxi_hp)</f>
        <v>31.080312640486358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2.9596976481482407E-2</v>
      </c>
      <c r="M57" s="844"/>
      <c r="N57" s="844"/>
      <c r="O57" s="48">
        <f>IF(t&lt;Tnet,'2021'!Resal+('2021'!Salim-'2021'!Resal)*(1-EXP(('2021'!Tnet-t)/('2021'!Tau_j))),Resal+(Salim-Resal)*(1-EXP((Tnet-t)/(Tau_j))))*Salcycl</f>
        <v>6.8715149620891702E-2</v>
      </c>
      <c r="P57" s="339">
        <f>(INDEX(Models!$BJ57:$BT57,,T57)*(1-R57)+INDEX(Models!$BJ57:$BT57,,T57+1)*R57-ERP_i)*Q57*Ramure*Pc/MaxiM</f>
        <v>2.1168812663785314E-3</v>
      </c>
      <c r="Q57" s="305">
        <f t="shared" si="4"/>
        <v>0.7</v>
      </c>
      <c r="R57" s="177">
        <f t="shared" si="5"/>
        <v>1.8473230393318274E-3</v>
      </c>
      <c r="S57" s="810">
        <f t="shared" si="6"/>
        <v>0</v>
      </c>
      <c r="T57" s="176">
        <f t="shared" si="7"/>
        <v>6</v>
      </c>
      <c r="U57" s="251">
        <f t="shared" si="20"/>
        <v>1.8473230393318274E-3</v>
      </c>
      <c r="V57" s="383">
        <f t="shared" si="8"/>
        <v>27.736249620390218</v>
      </c>
      <c r="W57" s="402">
        <f t="shared" si="9"/>
        <v>0</v>
      </c>
      <c r="X57" s="157">
        <f t="shared" si="10"/>
        <v>44604</v>
      </c>
      <c r="Y57" s="385">
        <f t="shared" si="11"/>
        <v>21.686216134875153</v>
      </c>
      <c r="Z57" s="385">
        <f t="shared" si="21"/>
        <v>22.347638671038549</v>
      </c>
      <c r="AA57" s="386">
        <f t="shared" si="12"/>
        <v>25.897355009397927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0.1370686827697738</v>
      </c>
      <c r="AD57" s="231">
        <f>(INDEX(Models!$BJ57:$BT57,,AH57)*(1-AF57)+INDEX(Models!$BJ57:$BT57,,AH57+1)*AF57-ERP_i)*AE57*Ramure*Pc/MaxiM</f>
        <v>2.1168812663785314E-3</v>
      </c>
      <c r="AE57" s="305">
        <f t="shared" si="14"/>
        <v>0.7</v>
      </c>
      <c r="AF57" s="177">
        <f t="shared" si="22"/>
        <v>1.8473230393318274E-3</v>
      </c>
      <c r="AG57" s="810">
        <f t="shared" si="23"/>
        <v>0</v>
      </c>
      <c r="AH57" s="176">
        <f t="shared" si="15"/>
        <v>6</v>
      </c>
      <c r="AI57" s="225">
        <f t="shared" si="24"/>
        <v>1.8473230393318274E-3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42">
        <v>27.685000000000002</v>
      </c>
      <c r="C58" s="840"/>
      <c r="D58" s="393">
        <f t="shared" si="0"/>
        <v>28.530047428134726</v>
      </c>
      <c r="E58" s="385">
        <f t="shared" si="1"/>
        <v>30.639912104341789</v>
      </c>
      <c r="F58" s="385">
        <f t="shared" si="2"/>
        <v>30.703959181502739</v>
      </c>
      <c r="G58" s="110">
        <f t="shared" si="19"/>
        <v>0.98601771397715343</v>
      </c>
      <c r="H58" s="414" t="b">
        <f>Wh_hp&gt;='2021'!Maxi_hp</f>
        <v>0</v>
      </c>
      <c r="I58" s="380">
        <f>IF(H58,Wh_hp,'2021'!Maxi_hp)</f>
        <v>32.091869543727995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2.9619559177507249E-2</v>
      </c>
      <c r="M58" s="844"/>
      <c r="N58" s="844"/>
      <c r="O58" s="48">
        <f>IF(t&lt;Tnet,'2021'!Resal+('2021'!Salim-'2021'!Resal)*(1-EXP(('2021'!Tnet-t)/('2021'!Tau_j))),Resal+(Salim-Resal)*(1-EXP((Tnet-t)/(Tau_j))))*Salcycl</f>
        <v>6.8860010727905666E-2</v>
      </c>
      <c r="P58" s="339">
        <f>(INDEX(Models!$BJ58:$BT58,,T58)*(1-R58)+INDEX(Models!$BJ58:$BT58,,T58+1)*R58-ERP_i)*Q58*Ramure*Pc/MaxiM</f>
        <v>2.1283406106925801E-3</v>
      </c>
      <c r="Q58" s="305">
        <f t="shared" si="4"/>
        <v>0.7</v>
      </c>
      <c r="R58" s="177">
        <f t="shared" si="5"/>
        <v>1.9769246961631737E-3</v>
      </c>
      <c r="S58" s="810">
        <f t="shared" si="6"/>
        <v>0</v>
      </c>
      <c r="T58" s="176">
        <f t="shared" si="7"/>
        <v>6</v>
      </c>
      <c r="U58" s="251">
        <f t="shared" si="20"/>
        <v>1.9769246961631737E-3</v>
      </c>
      <c r="V58" s="383">
        <f t="shared" si="8"/>
        <v>28.076396305113303</v>
      </c>
      <c r="W58" s="402">
        <f t="shared" si="9"/>
        <v>0</v>
      </c>
      <c r="X58" s="157">
        <f t="shared" si="10"/>
        <v>44605</v>
      </c>
      <c r="Y58" s="385">
        <f t="shared" si="11"/>
        <v>25.654882670757072</v>
      </c>
      <c r="Z58" s="385">
        <f t="shared" si="21"/>
        <v>26.437963495030917</v>
      </c>
      <c r="AA58" s="386">
        <f t="shared" si="12"/>
        <v>30.639912104341789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0.13713970833210842</v>
      </c>
      <c r="AD58" s="231">
        <f>(INDEX(Models!$BJ58:$BT58,,AH58)*(1-AF58)+INDEX(Models!$BJ58:$BT58,,AH58+1)*AF58-ERP_i)*AE58*Ramure*Pc/MaxiM</f>
        <v>2.1283406106925801E-3</v>
      </c>
      <c r="AE58" s="305">
        <f t="shared" si="14"/>
        <v>0.7</v>
      </c>
      <c r="AF58" s="177">
        <f t="shared" si="22"/>
        <v>1.9769246961631737E-3</v>
      </c>
      <c r="AG58" s="810">
        <f t="shared" si="23"/>
        <v>0</v>
      </c>
      <c r="AH58" s="176">
        <f t="shared" si="15"/>
        <v>6</v>
      </c>
      <c r="AI58" s="225">
        <f t="shared" si="24"/>
        <v>1.9769246961631737E-3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42">
        <v>14.5</v>
      </c>
      <c r="C59" s="840"/>
      <c r="D59" s="393">
        <f t="shared" si="0"/>
        <v>14.942940762228773</v>
      </c>
      <c r="E59" s="385">
        <f t="shared" si="1"/>
        <v>16.050501471818965</v>
      </c>
      <c r="F59" s="385">
        <f t="shared" si="2"/>
        <v>16.06076555020018</v>
      </c>
      <c r="G59" s="110">
        <f t="shared" si="19"/>
        <v>0.50944563225568962</v>
      </c>
      <c r="H59" s="414" t="b">
        <f>Wh_hp&gt;='2021'!Maxi_hp</f>
        <v>0</v>
      </c>
      <c r="I59" s="380">
        <f>IF(H59,Wh_hp,'2021'!Maxi_hp)</f>
        <v>32.218134869509122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2.9642141347999806E-2</v>
      </c>
      <c r="M59" s="844"/>
      <c r="N59" s="844"/>
      <c r="O59" s="48">
        <f>IF(t&lt;Tnet,'2021'!Resal+('2021'!Salim-'2021'!Resal)*(1-EXP(('2021'!Tnet-t)/('2021'!Tau_j))),Resal+(Salim-Resal)*(1-EXP((Tnet-t)/(Tau_j))))*Salcycl</f>
        <v>6.9004741785471085E-2</v>
      </c>
      <c r="P59" s="339">
        <f>(INDEX(Models!$BJ59:$BT59,,T59)*(1-R59)+INDEX(Models!$BJ59:$BT59,,T59+1)*R59-ERP_i)*Q59*Ramure*Pc/MaxiM</f>
        <v>2.128173013981151E-3</v>
      </c>
      <c r="Q59" s="305">
        <f t="shared" si="4"/>
        <v>0.7</v>
      </c>
      <c r="R59" s="177">
        <f t="shared" si="5"/>
        <v>2.1118735473485361E-3</v>
      </c>
      <c r="S59" s="810">
        <f t="shared" si="6"/>
        <v>0</v>
      </c>
      <c r="T59" s="176">
        <f t="shared" si="7"/>
        <v>6</v>
      </c>
      <c r="U59" s="251">
        <f t="shared" si="20"/>
        <v>2.1118735473485361E-3</v>
      </c>
      <c r="V59" s="383">
        <f t="shared" si="8"/>
        <v>28.419900760115908</v>
      </c>
      <c r="W59" s="402">
        <f t="shared" si="9"/>
        <v>0</v>
      </c>
      <c r="X59" s="157">
        <f t="shared" si="10"/>
        <v>44606</v>
      </c>
      <c r="Y59" s="385">
        <f t="shared" si="11"/>
        <v>13.437710499620694</v>
      </c>
      <c r="Z59" s="385">
        <f t="shared" si="21"/>
        <v>13.848200825918045</v>
      </c>
      <c r="AA59" s="386">
        <f t="shared" si="12"/>
        <v>16.050501471818965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0.13721070645472727</v>
      </c>
      <c r="AD59" s="231">
        <f>(INDEX(Models!$BJ59:$BT59,,AH59)*(1-AF59)+INDEX(Models!$BJ59:$BT59,,AH59+1)*AF59-ERP_i)*AE59*Ramure*Pc/MaxiM</f>
        <v>2.128173013981151E-3</v>
      </c>
      <c r="AE59" s="305">
        <f t="shared" si="14"/>
        <v>0.7</v>
      </c>
      <c r="AF59" s="177">
        <f t="shared" si="22"/>
        <v>2.1118735473485361E-3</v>
      </c>
      <c r="AG59" s="810">
        <f t="shared" si="23"/>
        <v>0</v>
      </c>
      <c r="AH59" s="176">
        <f t="shared" si="15"/>
        <v>6</v>
      </c>
      <c r="AI59" s="225">
        <f t="shared" si="24"/>
        <v>2.1118735473485361E-3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42">
        <v>17.097000000000001</v>
      </c>
      <c r="C60" s="840"/>
      <c r="D60" s="393">
        <f t="shared" si="0"/>
        <v>17.619683015890367</v>
      </c>
      <c r="E60" s="385">
        <f t="shared" si="1"/>
        <v>18.928581877748631</v>
      </c>
      <c r="F60" s="385">
        <f t="shared" si="2"/>
        <v>18.945444948822427</v>
      </c>
      <c r="G60" s="110">
        <f t="shared" si="19"/>
        <v>0.59360813526163148</v>
      </c>
      <c r="H60" s="414" t="b">
        <f>Wh_hp&gt;='2021'!Maxi_hp</f>
        <v>0</v>
      </c>
      <c r="I60" s="380">
        <f>IF(H60,Wh_hp,'2021'!Maxi_hp)</f>
        <v>32.495097407012501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2.9664722992972181E-2</v>
      </c>
      <c r="M60" s="844"/>
      <c r="N60" s="844"/>
      <c r="O60" s="48">
        <f>IF(t&lt;Tnet,'2021'!Resal+('2021'!Salim-'2021'!Resal)*(1-EXP(('2021'!Tnet-t)/('2021'!Tau_j))),Resal+(Salim-Resal)*(1-EXP((Tnet-t)/(Tau_j))))*Salcycl</f>
        <v>6.9149335661375322E-2</v>
      </c>
      <c r="P60" s="339">
        <f>(INDEX(Models!$BJ60:$BT60,,T60)*(1-R60)+INDEX(Models!$BJ60:$BT60,,T60+1)*R60-ERP_i)*Q60*Ramure*Pc/MaxiM</f>
        <v>2.1168190983691594E-3</v>
      </c>
      <c r="Q60" s="305">
        <f t="shared" si="4"/>
        <v>0.7</v>
      </c>
      <c r="R60" s="177">
        <f t="shared" si="5"/>
        <v>2.2523863204128879E-3</v>
      </c>
      <c r="S60" s="810">
        <f t="shared" si="6"/>
        <v>0</v>
      </c>
      <c r="T60" s="176">
        <f t="shared" si="7"/>
        <v>6</v>
      </c>
      <c r="U60" s="251">
        <f t="shared" si="20"/>
        <v>2.2523863204128879E-3</v>
      </c>
      <c r="V60" s="383">
        <f t="shared" si="8"/>
        <v>28.766465351854503</v>
      </c>
      <c r="W60" s="402">
        <f t="shared" si="9"/>
        <v>0</v>
      </c>
      <c r="X60" s="157">
        <f t="shared" si="10"/>
        <v>44607</v>
      </c>
      <c r="Y60" s="385">
        <f t="shared" si="11"/>
        <v>15.845608733080791</v>
      </c>
      <c r="Z60" s="385">
        <f t="shared" si="21"/>
        <v>16.33003468858324</v>
      </c>
      <c r="AA60" s="386">
        <f t="shared" si="12"/>
        <v>18.928581877748631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0.13728166251165885</v>
      </c>
      <c r="AD60" s="231">
        <f>(INDEX(Models!$BJ60:$BT60,,AH60)*(1-AF60)+INDEX(Models!$BJ60:$BT60,,AH60+1)*AF60-ERP_i)*AE60*Ramure*Pc/MaxiM</f>
        <v>2.1168190983691594E-3</v>
      </c>
      <c r="AE60" s="305">
        <f t="shared" si="14"/>
        <v>0.7</v>
      </c>
      <c r="AF60" s="177">
        <f t="shared" si="22"/>
        <v>2.2523863204128879E-3</v>
      </c>
      <c r="AG60" s="810">
        <f t="shared" si="23"/>
        <v>0</v>
      </c>
      <c r="AH60" s="176">
        <f t="shared" si="15"/>
        <v>6</v>
      </c>
      <c r="AI60" s="225">
        <f t="shared" si="24"/>
        <v>2.2523863204128879E-3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42">
        <v>9.41</v>
      </c>
      <c r="C61" s="840"/>
      <c r="D61" s="393">
        <f t="shared" si="0"/>
        <v>9.6979046444326862</v>
      </c>
      <c r="E61" s="385">
        <f t="shared" si="1"/>
        <v>10.419941860502481</v>
      </c>
      <c r="F61" s="385">
        <f t="shared" si="2"/>
        <v>10.420665069598725</v>
      </c>
      <c r="G61" s="110">
        <f t="shared" si="19"/>
        <v>0.3225376922708646</v>
      </c>
      <c r="H61" s="414" t="b">
        <f>Wh_hp&gt;='2021'!Maxi_hp</f>
        <v>0</v>
      </c>
      <c r="I61" s="380">
        <f>IF(H61,Wh_hp,'2021'!Maxi_hp)</f>
        <v>33.091277518761402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2.9687304112436697E-2</v>
      </c>
      <c r="M61" s="844"/>
      <c r="N61" s="844"/>
      <c r="O61" s="48">
        <f>IF(t&lt;Tnet,'2021'!Resal+('2021'!Salim-'2021'!Resal)*(1-EXP(('2021'!Tnet-t)/('2021'!Tau_j))),Resal+(Salim-Resal)*(1-EXP((Tnet-t)/(Tau_j))))*Salcycl</f>
        <v>6.9293785487107962E-2</v>
      </c>
      <c r="P61" s="339">
        <f>(INDEX(Models!$BJ61:$BT61,,T61)*(1-R61)+INDEX(Models!$BJ61:$BT61,,T61+1)*R61-ERP_i)*Q61*Ramure*Pc/MaxiM</f>
        <v>2.0947040104454138E-3</v>
      </c>
      <c r="Q61" s="305">
        <f t="shared" si="4"/>
        <v>0.7</v>
      </c>
      <c r="R61" s="177">
        <f t="shared" si="5"/>
        <v>2.3986881970433508E-3</v>
      </c>
      <c r="S61" s="810">
        <f t="shared" si="6"/>
        <v>0</v>
      </c>
      <c r="T61" s="176">
        <f t="shared" si="7"/>
        <v>6</v>
      </c>
      <c r="U61" s="251">
        <f t="shared" si="20"/>
        <v>2.3986881970433508E-3</v>
      </c>
      <c r="V61" s="383">
        <f t="shared" si="8"/>
        <v>29.115792681109625</v>
      </c>
      <c r="W61" s="402">
        <f t="shared" si="9"/>
        <v>0</v>
      </c>
      <c r="X61" s="157">
        <f t="shared" si="10"/>
        <v>44608</v>
      </c>
      <c r="Y61" s="385">
        <f t="shared" si="11"/>
        <v>8.7218848014120809</v>
      </c>
      <c r="Z61" s="385">
        <f t="shared" si="21"/>
        <v>8.9887361449331635</v>
      </c>
      <c r="AA61" s="386">
        <f t="shared" si="12"/>
        <v>10.419941860502481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0.1373525624931175</v>
      </c>
      <c r="AD61" s="231">
        <f>(INDEX(Models!$BJ61:$BT61,,AH61)*(1-AF61)+INDEX(Models!$BJ61:$BT61,,AH61+1)*AF61-ERP_i)*AE61*Ramure*Pc/MaxiM</f>
        <v>2.0947040104454138E-3</v>
      </c>
      <c r="AE61" s="305">
        <f t="shared" si="14"/>
        <v>0.7</v>
      </c>
      <c r="AF61" s="177">
        <f t="shared" si="22"/>
        <v>2.3986881970433508E-3</v>
      </c>
      <c r="AG61" s="810">
        <f t="shared" si="23"/>
        <v>0</v>
      </c>
      <c r="AH61" s="176">
        <f t="shared" si="15"/>
        <v>6</v>
      </c>
      <c r="AI61" s="225">
        <f t="shared" si="24"/>
        <v>2.3986881970433508E-3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42">
        <v>11.206</v>
      </c>
      <c r="C62" s="840"/>
      <c r="D62" s="393">
        <f t="shared" si="0"/>
        <v>11.549123116243685</v>
      </c>
      <c r="E62" s="385">
        <f t="shared" si="1"/>
        <v>12.410913156043097</v>
      </c>
      <c r="F62" s="385">
        <f t="shared" si="2"/>
        <v>12.413849226985109</v>
      </c>
      <c r="G62" s="110">
        <f t="shared" si="19"/>
        <v>0.37958780499303513</v>
      </c>
      <c r="H62" s="414" t="b">
        <f>Wh_hp&gt;='2021'!Maxi_hp</f>
        <v>0</v>
      </c>
      <c r="I62" s="380">
        <f>IF(H62,Wh_hp,'2021'!Maxi_hp)</f>
        <v>33.499351483700778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2.9709884706405676E-2</v>
      </c>
      <c r="M62" s="844"/>
      <c r="N62" s="844"/>
      <c r="O62" s="48">
        <f>IF(t&lt;Tnet,'2021'!Resal+('2021'!Salim-'2021'!Resal)*(1-EXP(('2021'!Tnet-t)/('2021'!Tau_j))),Resal+(Salim-Resal)*(1-EXP((Tnet-t)/(Tau_j))))*Salcycl</f>
        <v>6.9438084769757005E-2</v>
      </c>
      <c r="P62" s="339">
        <f>(INDEX(Models!$BJ62:$BT62,,T62)*(1-R62)+INDEX(Models!$BJ62:$BT62,,T62+1)*R62-ERP_i)*Q62*Ramure*Pc/MaxiM</f>
        <v>2.062236819848776E-3</v>
      </c>
      <c r="Q62" s="305">
        <f t="shared" si="4"/>
        <v>0.7</v>
      </c>
      <c r="R62" s="177">
        <f t="shared" si="5"/>
        <v>2.5510131147684187E-3</v>
      </c>
      <c r="S62" s="810">
        <f t="shared" si="6"/>
        <v>0</v>
      </c>
      <c r="T62" s="176">
        <f t="shared" si="7"/>
        <v>6</v>
      </c>
      <c r="U62" s="251">
        <f t="shared" si="20"/>
        <v>2.5510131147684187E-3</v>
      </c>
      <c r="V62" s="383">
        <f t="shared" si="8"/>
        <v>29.467585582583482</v>
      </c>
      <c r="W62" s="402">
        <f t="shared" si="9"/>
        <v>0</v>
      </c>
      <c r="X62" s="157">
        <f t="shared" si="10"/>
        <v>44609</v>
      </c>
      <c r="Y62" s="385">
        <f t="shared" si="11"/>
        <v>10.387308246079023</v>
      </c>
      <c r="Z62" s="385">
        <f t="shared" si="21"/>
        <v>10.70536335716044</v>
      </c>
      <c r="AA62" s="386">
        <f t="shared" si="12"/>
        <v>12.410913156043097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0.13742339322164976</v>
      </c>
      <c r="AD62" s="231">
        <f>(INDEX(Models!$BJ62:$BT62,,AH62)*(1-AF62)+INDEX(Models!$BJ62:$BT62,,AH62+1)*AF62-ERP_i)*AE62*Ramure*Pc/MaxiM</f>
        <v>2.062236819848776E-3</v>
      </c>
      <c r="AE62" s="305">
        <f t="shared" si="14"/>
        <v>0.7</v>
      </c>
      <c r="AF62" s="177">
        <f t="shared" si="22"/>
        <v>2.5510131147684187E-3</v>
      </c>
      <c r="AG62" s="810">
        <f t="shared" si="23"/>
        <v>0</v>
      </c>
      <c r="AH62" s="176">
        <f t="shared" si="15"/>
        <v>6</v>
      </c>
      <c r="AI62" s="225">
        <f t="shared" si="24"/>
        <v>2.5510131147684187E-3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42">
        <v>24.810000000000002</v>
      </c>
      <c r="C63" s="840"/>
      <c r="D63" s="393">
        <f t="shared" si="0"/>
        <v>25.570267064788386</v>
      </c>
      <c r="E63" s="385">
        <f t="shared" si="1"/>
        <v>27.482565166588351</v>
      </c>
      <c r="F63" s="385">
        <f t="shared" si="2"/>
        <v>27.524813219112943</v>
      </c>
      <c r="G63" s="110">
        <f t="shared" si="19"/>
        <v>0.83154475459830379</v>
      </c>
      <c r="H63" s="414" t="b">
        <f>Wh_hp&gt;='2021'!Maxi_hp</f>
        <v>0</v>
      </c>
      <c r="I63" s="380">
        <f>IF(H63,Wh_hp,'2021'!Maxi_hp)</f>
        <v>33.359346298317604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2.9732464774891221E-2</v>
      </c>
      <c r="M63" s="844"/>
      <c r="N63" s="844"/>
      <c r="O63" s="48">
        <f>IF(t&lt;Tnet,'2021'!Resal+('2021'!Salim-'2021'!Resal)*(1-EXP(('2021'!Tnet-t)/('2021'!Tau_j))),Resal+(Salim-Resal)*(1-EXP((Tnet-t)/(Tau_j))))*Salcycl</f>
        <v>6.9582227503450902E-2</v>
      </c>
      <c r="P63" s="339">
        <f>(INDEX(Models!$BJ63:$BT63,,T63)*(1-R63)+INDEX(Models!$BJ63:$BT63,,T63+1)*R63-ERP_i)*Q63*Ramure*Pc/MaxiM</f>
        <v>2.0198100541915427E-3</v>
      </c>
      <c r="Q63" s="305">
        <f t="shared" si="4"/>
        <v>0.7</v>
      </c>
      <c r="R63" s="177">
        <f t="shared" si="5"/>
        <v>2.709604076967036E-3</v>
      </c>
      <c r="S63" s="810">
        <f t="shared" si="6"/>
        <v>0</v>
      </c>
      <c r="T63" s="176">
        <f t="shared" si="7"/>
        <v>6</v>
      </c>
      <c r="U63" s="251">
        <f t="shared" si="20"/>
        <v>2.709604076967036E-3</v>
      </c>
      <c r="V63" s="383">
        <f t="shared" si="8"/>
        <v>29.821547121533719</v>
      </c>
      <c r="W63" s="402">
        <f t="shared" si="9"/>
        <v>0</v>
      </c>
      <c r="X63" s="157">
        <f t="shared" si="10"/>
        <v>44610</v>
      </c>
      <c r="Y63" s="385">
        <f t="shared" si="11"/>
        <v>22.999098851620321</v>
      </c>
      <c r="Z63" s="385">
        <f t="shared" si="21"/>
        <v>23.703873433510655</v>
      </c>
      <c r="AA63" s="386">
        <f t="shared" si="12"/>
        <v>27.482565166588351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0.13749414256539644</v>
      </c>
      <c r="AD63" s="231">
        <f>(INDEX(Models!$BJ63:$BT63,,AH63)*(1-AF63)+INDEX(Models!$BJ63:$BT63,,AH63+1)*AF63-ERP_i)*AE63*Ramure*Pc/MaxiM</f>
        <v>2.0198100541915427E-3</v>
      </c>
      <c r="AE63" s="305">
        <f t="shared" si="14"/>
        <v>0.7</v>
      </c>
      <c r="AF63" s="177">
        <f t="shared" si="22"/>
        <v>2.709604076967036E-3</v>
      </c>
      <c r="AG63" s="810">
        <f t="shared" si="23"/>
        <v>0</v>
      </c>
      <c r="AH63" s="176">
        <f t="shared" si="15"/>
        <v>6</v>
      </c>
      <c r="AI63" s="225">
        <f t="shared" si="24"/>
        <v>2.709604076967036E-3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42">
        <v>18.974</v>
      </c>
      <c r="C64" s="840"/>
      <c r="D64" s="393">
        <f t="shared" si="0"/>
        <v>19.555886262414049</v>
      </c>
      <c r="E64" s="385">
        <f t="shared" si="1"/>
        <v>21.021645924519518</v>
      </c>
      <c r="F64" s="385">
        <f t="shared" si="2"/>
        <v>21.041091265673611</v>
      </c>
      <c r="G64" s="110">
        <f t="shared" si="19"/>
        <v>0.62809227659425659</v>
      </c>
      <c r="H64" s="414" t="b">
        <f>Wh_hp&gt;='2021'!Maxi_hp</f>
        <v>0</v>
      </c>
      <c r="I64" s="380">
        <f>IF(H64,Wh_hp,'2021'!Maxi_hp)</f>
        <v>33.466194315132412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2.9755044317905543E-2</v>
      </c>
      <c r="M64" s="844"/>
      <c r="N64" s="844"/>
      <c r="O64" s="48">
        <f>IF(t&lt;Tnet,'2021'!Resal+('2021'!Salim-'2021'!Resal)*(1-EXP(('2021'!Tnet-t)/('2021'!Tau_j))),Resal+(Salim-Resal)*(1-EXP((Tnet-t)/(Tau_j))))*Salcycl</f>
        <v>6.9726208279239213E-2</v>
      </c>
      <c r="P64" s="339">
        <f>(INDEX(Models!$BJ64:$BT64,,T64)*(1-R64)+INDEX(Models!$BJ64:$BT64,,T64+1)*R64-ERP_i)*Q64*Ramure*Pc/MaxiM</f>
        <v>1.9677993511066599E-3</v>
      </c>
      <c r="Q64" s="305">
        <f t="shared" si="4"/>
        <v>0.7</v>
      </c>
      <c r="R64" s="177">
        <f t="shared" si="5"/>
        <v>2.8747134712142079E-3</v>
      </c>
      <c r="S64" s="810">
        <f t="shared" si="6"/>
        <v>0</v>
      </c>
      <c r="T64" s="176">
        <f t="shared" si="7"/>
        <v>6</v>
      </c>
      <c r="U64" s="251">
        <f t="shared" si="20"/>
        <v>2.8747134712142079E-3</v>
      </c>
      <c r="V64" s="383">
        <f t="shared" si="8"/>
        <v>30.177380588418441</v>
      </c>
      <c r="W64" s="402">
        <f t="shared" si="9"/>
        <v>0</v>
      </c>
      <c r="X64" s="157">
        <f t="shared" si="10"/>
        <v>44611</v>
      </c>
      <c r="Y64" s="385">
        <f t="shared" si="11"/>
        <v>17.590354191578072</v>
      </c>
      <c r="Z64" s="385">
        <f t="shared" si="21"/>
        <v>18.129807414676876</v>
      </c>
      <c r="AA64" s="386">
        <f t="shared" si="12"/>
        <v>21.021645924519518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0.13756479964633114</v>
      </c>
      <c r="AD64" s="231">
        <f>(INDEX(Models!$BJ64:$BT64,,AH64)*(1-AF64)+INDEX(Models!$BJ64:$BT64,,AH64+1)*AF64-ERP_i)*AE64*Ramure*Pc/MaxiM</f>
        <v>1.9677993511066599E-3</v>
      </c>
      <c r="AE64" s="305">
        <f t="shared" si="14"/>
        <v>0.7</v>
      </c>
      <c r="AF64" s="177">
        <f t="shared" si="22"/>
        <v>2.8747134712142079E-3</v>
      </c>
      <c r="AG64" s="810">
        <f t="shared" si="23"/>
        <v>0</v>
      </c>
      <c r="AH64" s="176">
        <f t="shared" si="15"/>
        <v>6</v>
      </c>
      <c r="AI64" s="225">
        <f t="shared" si="24"/>
        <v>2.8747134712142079E-3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42">
        <v>18.619</v>
      </c>
      <c r="C65" s="840"/>
      <c r="D65" s="393">
        <f t="shared" si="0"/>
        <v>19.190445868718243</v>
      </c>
      <c r="E65" s="385">
        <f t="shared" si="1"/>
        <v>20.632004484015269</v>
      </c>
      <c r="F65" s="385">
        <f t="shared" si="2"/>
        <v>20.649424240991181</v>
      </c>
      <c r="G65" s="110">
        <f t="shared" si="19"/>
        <v>0.6090915455592919</v>
      </c>
      <c r="H65" s="414" t="b">
        <f>Wh_hp&gt;='2021'!Maxi_hp</f>
        <v>0</v>
      </c>
      <c r="I65" s="380">
        <f>IF(H65,Wh_hp,'2021'!Maxi_hp)</f>
        <v>34.378402325425711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2.9777623335460857E-2</v>
      </c>
      <c r="M65" s="844"/>
      <c r="N65" s="844"/>
      <c r="O65" s="48">
        <f>IF(t&lt;Tnet,'2021'!Resal+('2021'!Salim-'2021'!Resal)*(1-EXP(('2021'!Tnet-t)/('2021'!Tau_j))),Resal+(Salim-Resal)*(1-EXP((Tnet-t)/(Tau_j))))*Salcycl</f>
        <v>6.9870022392340941E-2</v>
      </c>
      <c r="P65" s="339">
        <f>(INDEX(Models!$BJ65:$BT65,,T65)*(1-R65)+INDEX(Models!$BJ65:$BT65,,T65+1)*R65-ERP_i)*Q65*Ramure*Pc/MaxiM</f>
        <v>1.906490453076995E-3</v>
      </c>
      <c r="Q65" s="305">
        <f t="shared" si="4"/>
        <v>0.7</v>
      </c>
      <c r="R65" s="177">
        <f t="shared" si="5"/>
        <v>3.046603395942437E-3</v>
      </c>
      <c r="S65" s="810">
        <f t="shared" si="6"/>
        <v>0</v>
      </c>
      <c r="T65" s="176">
        <f t="shared" si="7"/>
        <v>6</v>
      </c>
      <c r="U65" s="251">
        <f t="shared" si="20"/>
        <v>3.046603395942437E-3</v>
      </c>
      <c r="V65" s="383">
        <f t="shared" si="8"/>
        <v>30.535957002893966</v>
      </c>
      <c r="W65" s="402">
        <f t="shared" si="9"/>
        <v>0</v>
      </c>
      <c r="X65" s="157">
        <f t="shared" si="10"/>
        <v>44612</v>
      </c>
      <c r="Y65" s="385">
        <f t="shared" si="11"/>
        <v>17.262498479816028</v>
      </c>
      <c r="Z65" s="385">
        <f t="shared" si="21"/>
        <v>17.792311221641359</v>
      </c>
      <c r="AA65" s="386">
        <f t="shared" si="12"/>
        <v>20.632004484015269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0.13763535504143445</v>
      </c>
      <c r="AD65" s="231">
        <f>(INDEX(Models!$BJ65:$BT65,,AH65)*(1-AF65)+INDEX(Models!$BJ65:$BT65,,AH65+1)*AF65-ERP_i)*AE65*Ramure*Pc/MaxiM</f>
        <v>1.906490453076995E-3</v>
      </c>
      <c r="AE65" s="305">
        <f t="shared" si="14"/>
        <v>0.7</v>
      </c>
      <c r="AF65" s="177">
        <f t="shared" si="22"/>
        <v>3.046603395942437E-3</v>
      </c>
      <c r="AG65" s="810">
        <f t="shared" si="23"/>
        <v>0</v>
      </c>
      <c r="AH65" s="176">
        <f t="shared" si="15"/>
        <v>6</v>
      </c>
      <c r="AI65" s="225">
        <f t="shared" si="24"/>
        <v>3.046603395942437E-3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42">
        <v>20.305</v>
      </c>
      <c r="C66" s="840"/>
      <c r="D66" s="393">
        <f t="shared" si="0"/>
        <v>20.928678853828472</v>
      </c>
      <c r="E66" s="385">
        <f t="shared" si="1"/>
        <v>22.504286447511713</v>
      </c>
      <c r="F66" s="385">
        <f t="shared" si="2"/>
        <v>22.525417309326187</v>
      </c>
      <c r="G66" s="110">
        <f t="shared" si="19"/>
        <v>0.65656702616958262</v>
      </c>
      <c r="H66" s="414" t="b">
        <f>Wh_hp&gt;='2021'!Maxi_hp</f>
        <v>0</v>
      </c>
      <c r="I66" s="380">
        <f>IF(H66,Wh_hp,'2021'!Maxi_hp)</f>
        <v>33.562567282376634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2.9800201827569484E-2</v>
      </c>
      <c r="M66" s="844"/>
      <c r="N66" s="844"/>
      <c r="O66" s="48">
        <f>IF(t&lt;Tnet,'2021'!Resal+('2021'!Salim-'2021'!Resal)*(1-EXP(('2021'!Tnet-t)/('2021'!Tau_j))),Resal+(Salim-Resal)*(1-EXP((Tnet-t)/(Tau_j))))*Salcycl</f>
        <v>7.0013665945736062E-2</v>
      </c>
      <c r="P66" s="339">
        <f>(INDEX(Models!$BJ66:$BT66,,T66)*(1-R66)+INDEX(Models!$BJ66:$BT66,,T66+1)*R66-ERP_i)*Q66*Ramure*Pc/MaxiM</f>
        <v>1.8385709374841765E-3</v>
      </c>
      <c r="Q66" s="305">
        <f t="shared" si="4"/>
        <v>0.7</v>
      </c>
      <c r="R66" s="177">
        <f t="shared" si="5"/>
        <v>3.2255459953717345E-3</v>
      </c>
      <c r="S66" s="810">
        <f t="shared" si="6"/>
        <v>0</v>
      </c>
      <c r="T66" s="176">
        <f t="shared" si="7"/>
        <v>6</v>
      </c>
      <c r="U66" s="251">
        <f t="shared" si="20"/>
        <v>3.2255459953717345E-3</v>
      </c>
      <c r="V66" s="383">
        <f t="shared" si="8"/>
        <v>30.898137968177743</v>
      </c>
      <c r="W66" s="402">
        <f t="shared" si="9"/>
        <v>0</v>
      </c>
      <c r="X66" s="157">
        <f t="shared" si="10"/>
        <v>44613</v>
      </c>
      <c r="Y66" s="385">
        <f t="shared" si="11"/>
        <v>18.827033333786012</v>
      </c>
      <c r="Z66" s="385">
        <f t="shared" si="21"/>
        <v>19.405315656888998</v>
      </c>
      <c r="AA66" s="386">
        <f t="shared" si="12"/>
        <v>22.504286447511713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0.13770580097487906</v>
      </c>
      <c r="AD66" s="231">
        <f>(INDEX(Models!$BJ66:$BT66,,AH66)*(1-AF66)+INDEX(Models!$BJ66:$BT66,,AH66+1)*AF66-ERP_i)*AE66*Ramure*Pc/MaxiM</f>
        <v>1.8385709374841765E-3</v>
      </c>
      <c r="AE66" s="305">
        <f t="shared" si="14"/>
        <v>0.7</v>
      </c>
      <c r="AF66" s="177">
        <f t="shared" si="22"/>
        <v>3.2255459953717345E-3</v>
      </c>
      <c r="AG66" s="810">
        <f t="shared" si="23"/>
        <v>0</v>
      </c>
      <c r="AH66" s="176">
        <f t="shared" si="15"/>
        <v>6</v>
      </c>
      <c r="AI66" s="225">
        <f t="shared" si="24"/>
        <v>3.2255459953717345E-3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42">
        <v>29.634</v>
      </c>
      <c r="C67" s="840"/>
      <c r="D67" s="393">
        <f t="shared" si="0"/>
        <v>30.54493486634863</v>
      </c>
      <c r="E67" s="385">
        <f t="shared" si="1"/>
        <v>32.849566359287202</v>
      </c>
      <c r="F67" s="385">
        <f t="shared" si="2"/>
        <v>32.903430507310901</v>
      </c>
      <c r="G67" s="110">
        <f t="shared" si="19"/>
        <v>0.9477508758619384</v>
      </c>
      <c r="H67" s="414" t="b">
        <f>Wh_hp&gt;='2021'!Maxi_hp</f>
        <v>0</v>
      </c>
      <c r="I67" s="380">
        <f>IF(H67,Wh_hp,'2021'!Maxi_hp)</f>
        <v>34.11239789666849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2.9822779794243637E-2</v>
      </c>
      <c r="M67" s="844"/>
      <c r="N67" s="844"/>
      <c r="O67" s="48">
        <f>IF(t&lt;Tnet,'2021'!Resal+('2021'!Salim-'2021'!Resal)*(1-EXP(('2021'!Tnet-t)/('2021'!Tau_j))),Resal+(Salim-Resal)*(1-EXP((Tnet-t)/(Tau_j))))*Salcycl</f>
        <v>7.0157135949132782E-2</v>
      </c>
      <c r="P67" s="339">
        <f>(INDEX(Models!$BJ67:$BT67,,T67)*(1-R67)+INDEX(Models!$BJ67:$BT67,,T67+1)*R67-ERP_i)*Q67*Ramure*Pc/MaxiM</f>
        <v>1.7687433321860429E-3</v>
      </c>
      <c r="Q67" s="305">
        <f t="shared" si="4"/>
        <v>0.7</v>
      </c>
      <c r="R67" s="177">
        <f t="shared" si="5"/>
        <v>3.4118238026271657E-3</v>
      </c>
      <c r="S67" s="810">
        <f t="shared" si="6"/>
        <v>0</v>
      </c>
      <c r="T67" s="176">
        <f t="shared" si="7"/>
        <v>6</v>
      </c>
      <c r="U67" s="251">
        <f t="shared" si="20"/>
        <v>3.4118238026271657E-3</v>
      </c>
      <c r="V67" s="383">
        <f t="shared" si="8"/>
        <v>31.263585592782164</v>
      </c>
      <c r="W67" s="402">
        <f t="shared" si="9"/>
        <v>0</v>
      </c>
      <c r="X67" s="157">
        <f t="shared" si="10"/>
        <v>44614</v>
      </c>
      <c r="Y67" s="385">
        <f t="shared" si="11"/>
        <v>27.478989307754659</v>
      </c>
      <c r="Z67" s="385">
        <f t="shared" si="21"/>
        <v>28.323680184870639</v>
      </c>
      <c r="AA67" s="386">
        <f t="shared" si="12"/>
        <v>32.849566359287202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0.13777613149943477</v>
      </c>
      <c r="AD67" s="231">
        <f>(INDEX(Models!$BJ67:$BT67,,AH67)*(1-AF67)+INDEX(Models!$BJ67:$BT67,,AH67+1)*AF67-ERP_i)*AE67*Ramure*Pc/MaxiM</f>
        <v>1.7687433321860429E-3</v>
      </c>
      <c r="AE67" s="305">
        <f t="shared" si="14"/>
        <v>0.7</v>
      </c>
      <c r="AF67" s="177">
        <f t="shared" si="22"/>
        <v>3.4118238026271657E-3</v>
      </c>
      <c r="AG67" s="810">
        <f t="shared" si="23"/>
        <v>0</v>
      </c>
      <c r="AH67" s="176">
        <f t="shared" si="15"/>
        <v>6</v>
      </c>
      <c r="AI67" s="225">
        <f t="shared" si="24"/>
        <v>3.4118238026271657E-3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42">
        <v>29.856000000000002</v>
      </c>
      <c r="C68" s="840"/>
      <c r="D68" s="393">
        <f t="shared" si="0"/>
        <v>30.774475206265908</v>
      </c>
      <c r="E68" s="385">
        <f t="shared" si="1"/>
        <v>33.101526786677169</v>
      </c>
      <c r="F68" s="385">
        <f t="shared" si="2"/>
        <v>33.153277879490332</v>
      </c>
      <c r="G68" s="110">
        <f t="shared" si="19"/>
        <v>0.94372260826102894</v>
      </c>
      <c r="H68" s="414" t="b">
        <f>Wh_hp&gt;='2021'!Maxi_hp</f>
        <v>0</v>
      </c>
      <c r="I68" s="380">
        <f>IF(H68,Wh_hp,'2021'!Maxi_hp)</f>
        <v>35.162786198923072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2.9845357235495529E-2</v>
      </c>
      <c r="M68" s="844"/>
      <c r="N68" s="844"/>
      <c r="O68" s="48">
        <f>IF(t&lt;Tnet,'2021'!Resal+('2021'!Salim-'2021'!Resal)*(1-EXP(('2021'!Tnet-t)/('2021'!Tau_j))),Resal+(Salim-Resal)*(1-EXP((Tnet-t)/(Tau_j))))*Salcycl</f>
        <v>7.030043041240816E-2</v>
      </c>
      <c r="P68" s="339">
        <f>(INDEX(Models!$BJ68:$BT68,,T68)*(1-R68)+INDEX(Models!$BJ68:$BT68,,T68+1)*R68-ERP_i)*Q68*Ramure*Pc/MaxiM</f>
        <v>1.6970925177688893E-3</v>
      </c>
      <c r="Q68" s="305">
        <f t="shared" si="4"/>
        <v>0.7</v>
      </c>
      <c r="R68" s="177">
        <f t="shared" si="5"/>
        <v>3.6057300909294581E-3</v>
      </c>
      <c r="S68" s="810">
        <f t="shared" si="6"/>
        <v>0</v>
      </c>
      <c r="T68" s="176">
        <f t="shared" si="7"/>
        <v>6</v>
      </c>
      <c r="U68" s="251">
        <f t="shared" si="20"/>
        <v>3.6057300909294581E-3</v>
      </c>
      <c r="V68" s="383">
        <f t="shared" si="8"/>
        <v>31.632101582848168</v>
      </c>
      <c r="W68" s="402">
        <f t="shared" si="9"/>
        <v>0</v>
      </c>
      <c r="X68" s="157">
        <f t="shared" si="10"/>
        <v>44615</v>
      </c>
      <c r="Y68" s="385">
        <f t="shared" si="11"/>
        <v>27.686857599383973</v>
      </c>
      <c r="Z68" s="385">
        <f t="shared" si="21"/>
        <v>28.538602382491188</v>
      </c>
      <c r="AA68" s="386">
        <f t="shared" si="12"/>
        <v>33.101526786677169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0.13784634266545323</v>
      </c>
      <c r="AD68" s="231">
        <f>(INDEX(Models!$BJ68:$BT68,,AH68)*(1-AF68)+INDEX(Models!$BJ68:$BT68,,AH68+1)*AF68-ERP_i)*AE68*Ramure*Pc/MaxiM</f>
        <v>1.6970925177688893E-3</v>
      </c>
      <c r="AE68" s="305">
        <f t="shared" si="14"/>
        <v>0.7</v>
      </c>
      <c r="AF68" s="177">
        <f t="shared" si="22"/>
        <v>3.6057300909294581E-3</v>
      </c>
      <c r="AG68" s="810">
        <f t="shared" si="23"/>
        <v>0</v>
      </c>
      <c r="AH68" s="176">
        <f t="shared" si="15"/>
        <v>6</v>
      </c>
      <c r="AI68" s="225">
        <f t="shared" si="24"/>
        <v>3.6057300909294581E-3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42">
        <v>18.312000000000001</v>
      </c>
      <c r="C69" s="840"/>
      <c r="D69" s="393">
        <f t="shared" si="0"/>
        <v>18.875780571154333</v>
      </c>
      <c r="E69" s="385">
        <f t="shared" si="1"/>
        <v>20.306222972610513</v>
      </c>
      <c r="F69" s="385">
        <f t="shared" si="2"/>
        <v>20.319051644453015</v>
      </c>
      <c r="G69" s="110">
        <f t="shared" si="19"/>
        <v>0.57161947429707283</v>
      </c>
      <c r="H69" s="414" t="b">
        <f>Wh_hp&gt;='2021'!Maxi_hp</f>
        <v>0</v>
      </c>
      <c r="I69" s="380">
        <f>IF(H69,Wh_hp,'2021'!Maxi_hp)</f>
        <v>36.637666820783267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2.9867934151337372E-2</v>
      </c>
      <c r="M69" s="844"/>
      <c r="N69" s="844"/>
      <c r="O69" s="48">
        <f>IF(t&lt;Tnet,'2021'!Resal+('2021'!Salim-'2021'!Resal)*(1-EXP(('2021'!Tnet-t)/('2021'!Tau_j))),Resal+(Salim-Resal)*(1-EXP((Tnet-t)/(Tau_j))))*Salcycl</f>
        <v>7.044354843269432E-2</v>
      </c>
      <c r="P69" s="339">
        <f>(INDEX(Models!$BJ69:$BT69,,T69)*(1-R69)+INDEX(Models!$BJ69:$BT69,,T69+1)*R69-ERP_i)*Q69*Ramure*Pc/MaxiM</f>
        <v>1.6237078856456914E-3</v>
      </c>
      <c r="Q69" s="305">
        <f t="shared" si="4"/>
        <v>0.7</v>
      </c>
      <c r="R69" s="177">
        <f t="shared" si="5"/>
        <v>3.8075692327040871E-3</v>
      </c>
      <c r="S69" s="810">
        <f t="shared" si="6"/>
        <v>0</v>
      </c>
      <c r="T69" s="176">
        <f t="shared" si="7"/>
        <v>6</v>
      </c>
      <c r="U69" s="251">
        <f t="shared" si="20"/>
        <v>3.8075692327040871E-3</v>
      </c>
      <c r="V69" s="383">
        <f t="shared" si="8"/>
        <v>32.003487459309753</v>
      </c>
      <c r="W69" s="402">
        <f t="shared" si="9"/>
        <v>0</v>
      </c>
      <c r="X69" s="157">
        <f t="shared" si="10"/>
        <v>44616</v>
      </c>
      <c r="Y69" s="385">
        <f t="shared" si="11"/>
        <v>16.982803204927134</v>
      </c>
      <c r="Z69" s="385">
        <f t="shared" si="21"/>
        <v>17.505661139105563</v>
      </c>
      <c r="AA69" s="386">
        <f t="shared" si="12"/>
        <v>20.306222972610513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0.1379164326759541</v>
      </c>
      <c r="AD69" s="231">
        <f>(INDEX(Models!$BJ69:$BT69,,AH69)*(1-AF69)+INDEX(Models!$BJ69:$BT69,,AH69+1)*AF69-ERP_i)*AE69*Ramure*Pc/MaxiM</f>
        <v>1.6237078856456914E-3</v>
      </c>
      <c r="AE69" s="305">
        <f t="shared" si="14"/>
        <v>0.7</v>
      </c>
      <c r="AF69" s="177">
        <f t="shared" si="22"/>
        <v>3.8075692327040871E-3</v>
      </c>
      <c r="AG69" s="810">
        <f t="shared" si="23"/>
        <v>0</v>
      </c>
      <c r="AH69" s="176">
        <f t="shared" si="15"/>
        <v>6</v>
      </c>
      <c r="AI69" s="225">
        <f t="shared" si="24"/>
        <v>3.8075692327040871E-3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42">
        <v>29.440999999999999</v>
      </c>
      <c r="C70" s="840"/>
      <c r="D70" s="393">
        <f t="shared" si="0"/>
        <v>30.348120825456565</v>
      </c>
      <c r="E70" s="385">
        <f t="shared" si="1"/>
        <v>32.652980086781092</v>
      </c>
      <c r="F70" s="385">
        <f t="shared" si="2"/>
        <v>32.69705626771465</v>
      </c>
      <c r="G70" s="110">
        <f t="shared" si="19"/>
        <v>0.90912033688696992</v>
      </c>
      <c r="H70" s="414" t="b">
        <f>Wh_hp&gt;='2021'!Maxi_hp</f>
        <v>0</v>
      </c>
      <c r="I70" s="380">
        <f>IF(H70,Wh_hp,'2021'!Maxi_hp)</f>
        <v>35.339882745455832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2.989051054178149E-2</v>
      </c>
      <c r="M70" s="844"/>
      <c r="N70" s="844"/>
      <c r="O70" s="48">
        <f>IF(t&lt;Tnet,'2021'!Resal+('2021'!Salim-'2021'!Resal)*(1-EXP(('2021'!Tnet-t)/('2021'!Tau_j))),Resal+(Salim-Resal)*(1-EXP((Tnet-t)/(Tau_j))))*Salcycl</f>
        <v>7.0586490274362534E-2</v>
      </c>
      <c r="P70" s="339">
        <f>(INDEX(Models!$BJ70:$BT70,,T70)*(1-R70)+INDEX(Models!$BJ70:$BT70,,T70+1)*R70-ERP_i)*Q70*Ramure*Pc/MaxiM</f>
        <v>1.5486739620963852E-3</v>
      </c>
      <c r="Q70" s="305">
        <f t="shared" si="4"/>
        <v>0.7</v>
      </c>
      <c r="R70" s="177">
        <f t="shared" si="5"/>
        <v>4.017657066412929E-3</v>
      </c>
      <c r="S70" s="810">
        <f t="shared" si="6"/>
        <v>0</v>
      </c>
      <c r="T70" s="176">
        <f t="shared" si="7"/>
        <v>6</v>
      </c>
      <c r="U70" s="251">
        <f t="shared" si="20"/>
        <v>4.017657066412929E-3</v>
      </c>
      <c r="V70" s="383">
        <f t="shared" si="8"/>
        <v>32.377544846105529</v>
      </c>
      <c r="W70" s="402">
        <f t="shared" si="9"/>
        <v>0</v>
      </c>
      <c r="X70" s="157">
        <f t="shared" si="10"/>
        <v>44617</v>
      </c>
      <c r="Y70" s="385">
        <f t="shared" si="11"/>
        <v>27.305975297722132</v>
      </c>
      <c r="Z70" s="385">
        <f t="shared" si="21"/>
        <v>28.147312849162855</v>
      </c>
      <c r="AA70" s="386">
        <f t="shared" si="12"/>
        <v>32.652980086781092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0.13798640202651108</v>
      </c>
      <c r="AD70" s="231">
        <f>(INDEX(Models!$BJ70:$BT70,,AH70)*(1-AF70)+INDEX(Models!$BJ70:$BT70,,AH70+1)*AF70-ERP_i)*AE70*Ramure*Pc/MaxiM</f>
        <v>1.5486739620963852E-3</v>
      </c>
      <c r="AE70" s="305">
        <f t="shared" si="14"/>
        <v>0.7</v>
      </c>
      <c r="AF70" s="177">
        <f t="shared" si="22"/>
        <v>4.017657066412929E-3</v>
      </c>
      <c r="AG70" s="810">
        <f t="shared" si="23"/>
        <v>0</v>
      </c>
      <c r="AH70" s="176">
        <f t="shared" si="15"/>
        <v>6</v>
      </c>
      <c r="AI70" s="225">
        <f t="shared" si="24"/>
        <v>4.017657066412929E-3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43">
        <f>35.45*0.95</f>
        <v>33.677500000000002</v>
      </c>
      <c r="C71" s="840"/>
      <c r="D71" s="393">
        <f t="shared" si="0"/>
        <v>34.715961557774236</v>
      </c>
      <c r="E71" s="385">
        <f t="shared" si="1"/>
        <v>37.35828533908596</v>
      </c>
      <c r="F71" s="385">
        <f t="shared" si="2"/>
        <v>37.413360442633895</v>
      </c>
      <c r="G71" s="110">
        <f t="shared" si="19"/>
        <v>1.0281926607440854</v>
      </c>
      <c r="H71" s="414" t="b">
        <f>Wh_hp&gt;='2021'!Maxi_hp</f>
        <v>1</v>
      </c>
      <c r="I71" s="380">
        <f>IF(H71,Wh_hp,'2021'!Maxi_hp)</f>
        <v>37.413360442633895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2.9913086406839873E-2</v>
      </c>
      <c r="M71" s="844"/>
      <c r="N71" s="844"/>
      <c r="O71" s="48">
        <f>IF(t&lt;Tnet,'2021'!Resal+('2021'!Salim-'2021'!Resal)*(1-EXP(('2021'!Tnet-t)/('2021'!Tau_j))),Resal+(Salim-Resal)*(1-EXP((Tnet-t)/(Tau_j))))*Salcycl</f>
        <v>7.0729257441245599E-2</v>
      </c>
      <c r="P71" s="339">
        <f>(INDEX(Models!$BJ71:$BT71,,T71)*(1-R71)+INDEX(Models!$BJ71:$BT71,,T71+1)*R71-ERP_i)*Q71*Ramure*Pc/MaxiM</f>
        <v>1.4720704822114013E-3</v>
      </c>
      <c r="Q71" s="305">
        <f t="shared" si="4"/>
        <v>0.7</v>
      </c>
      <c r="R71" s="177">
        <f t="shared" si="5"/>
        <v>4.2363212708651692E-3</v>
      </c>
      <c r="S71" s="810">
        <f t="shared" si="6"/>
        <v>0</v>
      </c>
      <c r="T71" s="176">
        <f t="shared" si="7"/>
        <v>6</v>
      </c>
      <c r="U71" s="251">
        <f t="shared" si="20"/>
        <v>4.2363212708651692E-3</v>
      </c>
      <c r="V71" s="383">
        <f t="shared" si="8"/>
        <v>32.754075462499578</v>
      </c>
      <c r="W71" s="402">
        <f t="shared" si="9"/>
        <v>0</v>
      </c>
      <c r="X71" s="157">
        <f t="shared" si="10"/>
        <v>44618</v>
      </c>
      <c r="Y71" s="385">
        <f t="shared" si="11"/>
        <v>31.237516892532611</v>
      </c>
      <c r="Z71" s="385">
        <f t="shared" si="21"/>
        <v>32.200740423175276</v>
      </c>
      <c r="AA71" s="386">
        <f t="shared" si="12"/>
        <v>37.35828533908596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0.1380562536288201</v>
      </c>
      <c r="AD71" s="231">
        <f>(INDEX(Models!$BJ71:$BT71,,AH71)*(1-AF71)+INDEX(Models!$BJ71:$BT71,,AH71+1)*AF71-ERP_i)*AE71*Ramure*Pc/MaxiM</f>
        <v>1.4720704822114013E-3</v>
      </c>
      <c r="AE71" s="305">
        <f t="shared" si="14"/>
        <v>0.7</v>
      </c>
      <c r="AF71" s="177">
        <f t="shared" si="22"/>
        <v>4.2363212708651692E-3</v>
      </c>
      <c r="AG71" s="810">
        <f t="shared" si="23"/>
        <v>0</v>
      </c>
      <c r="AH71" s="176">
        <f t="shared" si="15"/>
        <v>6</v>
      </c>
      <c r="AI71" s="225">
        <f t="shared" si="24"/>
        <v>4.2363212708651692E-3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42">
        <v>27.573</v>
      </c>
      <c r="C72" s="840"/>
      <c r="D72" s="393">
        <f t="shared" si="0"/>
        <v>28.423887893500993</v>
      </c>
      <c r="E72" s="385">
        <f t="shared" si="1"/>
        <v>30.591999582984652</v>
      </c>
      <c r="F72" s="385">
        <f t="shared" si="2"/>
        <v>30.624553643989604</v>
      </c>
      <c r="G72" s="110">
        <f t="shared" si="19"/>
        <v>0.83191873440749886</v>
      </c>
      <c r="H72" s="414" t="b">
        <f>Wh_hp&gt;='2021'!Maxi_hp</f>
        <v>0</v>
      </c>
      <c r="I72" s="380">
        <f>IF(H72,Wh_hp,'2021'!Maxi_hp)</f>
        <v>37.047346489228502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2.9935661746524955E-2</v>
      </c>
      <c r="M72" s="844"/>
      <c r="N72" s="844"/>
      <c r="O72" s="48">
        <f>IF(t&lt;Tnet,'2021'!Resal+('2021'!Salim-'2021'!Resal)*(1-EXP(('2021'!Tnet-t)/('2021'!Tau_j))),Resal+(Salim-Resal)*(1-EXP((Tnet-t)/(Tau_j))))*Salcycl</f>
        <v>7.0871852740530497E-2</v>
      </c>
      <c r="P72" s="339">
        <f>(INDEX(Models!$BJ72:$BT72,,T72)*(1-R72)+INDEX(Models!$BJ72:$BT72,,T72+1)*R72-ERP_i)*Q72*Ramure*Pc/MaxiM</f>
        <v>1.3981708511084543E-3</v>
      </c>
      <c r="Q72" s="305">
        <f t="shared" si="4"/>
        <v>0.7</v>
      </c>
      <c r="R72" s="177">
        <f t="shared" si="5"/>
        <v>4.4639017467132738E-3</v>
      </c>
      <c r="S72" s="810">
        <f t="shared" si="6"/>
        <v>0</v>
      </c>
      <c r="T72" s="176">
        <f t="shared" si="7"/>
        <v>6</v>
      </c>
      <c r="U72" s="251">
        <f t="shared" si="20"/>
        <v>4.4639017467132738E-3</v>
      </c>
      <c r="V72" s="383">
        <f t="shared" si="8"/>
        <v>33.13274182243827</v>
      </c>
      <c r="W72" s="402">
        <f t="shared" si="9"/>
        <v>0</v>
      </c>
      <c r="X72" s="157">
        <f t="shared" si="10"/>
        <v>44619</v>
      </c>
      <c r="Y72" s="385">
        <f t="shared" si="11"/>
        <v>25.577152158605774</v>
      </c>
      <c r="Z72" s="385">
        <f t="shared" si="21"/>
        <v>26.36644926526774</v>
      </c>
      <c r="AA72" s="386">
        <f t="shared" si="12"/>
        <v>30.591999582984652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0.13812599291702315</v>
      </c>
      <c r="AD72" s="231">
        <f>(INDEX(Models!$BJ72:$BT72,,AH72)*(1-AF72)+INDEX(Models!$BJ72:$BT72,,AH72+1)*AF72-ERP_i)*AE72*Ramure*Pc/MaxiM</f>
        <v>1.3981708511084543E-3</v>
      </c>
      <c r="AE72" s="305">
        <f t="shared" si="14"/>
        <v>0.7</v>
      </c>
      <c r="AF72" s="177">
        <f t="shared" si="22"/>
        <v>4.4639017467132738E-3</v>
      </c>
      <c r="AG72" s="810">
        <f t="shared" si="23"/>
        <v>0</v>
      </c>
      <c r="AH72" s="176">
        <f t="shared" si="15"/>
        <v>6</v>
      </c>
      <c r="AI72" s="225">
        <f t="shared" si="24"/>
        <v>4.4639017467132738E-3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42">
        <v>28.628</v>
      </c>
      <c r="C73" s="840"/>
      <c r="D73" s="393">
        <f t="shared" si="0"/>
        <v>29.512131414325218</v>
      </c>
      <c r="E73" s="385">
        <f t="shared" si="1"/>
        <v>31.768121715647087</v>
      </c>
      <c r="F73" s="385">
        <f t="shared" si="2"/>
        <v>31.801666100904498</v>
      </c>
      <c r="G73" s="110">
        <f t="shared" si="19"/>
        <v>0.85399417106906761</v>
      </c>
      <c r="H73" s="414" t="b">
        <f>Wh_hp&gt;='2021'!Maxi_hp</f>
        <v>1</v>
      </c>
      <c r="I73" s="380">
        <f>IF(H73,Wh_hp,'2021'!Maxi_hp)</f>
        <v>31.801666100904498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2.995823656084895E-2</v>
      </c>
      <c r="M73" s="844"/>
      <c r="N73" s="844"/>
      <c r="O73" s="48">
        <f>IF(t&lt;Tnet,'2021'!Resal+('2021'!Salim-'2021'!Resal)*(1-EXP(('2021'!Tnet-t)/('2021'!Tau_j))),Resal+(Salim-Resal)*(1-EXP((Tnet-t)/(Tau_j))))*Salcycl</f>
        <v>7.1014280337848956E-2</v>
      </c>
      <c r="P73" s="339">
        <f>(INDEX(Models!$BJ73:$BT73,,T73)*(1-R73)+INDEX(Models!$BJ73:$BT73,,T73+1)*R73-ERP_i)*Q73*Ramure*Pc/MaxiM</f>
        <v>1.3322228334414505E-3</v>
      </c>
      <c r="Q73" s="305">
        <f t="shared" si="4"/>
        <v>0.7</v>
      </c>
      <c r="R73" s="177">
        <f t="shared" si="5"/>
        <v>4.7007510047834015E-3</v>
      </c>
      <c r="S73" s="810">
        <f t="shared" si="6"/>
        <v>0</v>
      </c>
      <c r="T73" s="176">
        <f t="shared" si="7"/>
        <v>6</v>
      </c>
      <c r="U73" s="251">
        <f t="shared" si="20"/>
        <v>4.7007510047834015E-3</v>
      </c>
      <c r="V73" s="383">
        <f t="shared" si="8"/>
        <v>33.513167316145335</v>
      </c>
      <c r="W73" s="402">
        <f t="shared" si="9"/>
        <v>0</v>
      </c>
      <c r="X73" s="157">
        <f t="shared" si="10"/>
        <v>44620</v>
      </c>
      <c r="Y73" s="385">
        <f t="shared" si="11"/>
        <v>26.557712396719086</v>
      </c>
      <c r="Z73" s="385">
        <f t="shared" si="21"/>
        <v>27.377906186804093</v>
      </c>
      <c r="AA73" s="386">
        <f t="shared" si="12"/>
        <v>31.768121715647087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0.1381956279360588</v>
      </c>
      <c r="AD73" s="231">
        <f>(INDEX(Models!$BJ73:$BT73,,AH73)*(1-AF73)+INDEX(Models!$BJ73:$BT73,,AH73+1)*AF73-ERP_i)*AE73*Ramure*Pc/MaxiM</f>
        <v>1.3322228334414505E-3</v>
      </c>
      <c r="AE73" s="305">
        <f t="shared" si="14"/>
        <v>0.7</v>
      </c>
      <c r="AF73" s="177">
        <f t="shared" si="22"/>
        <v>4.7007510047834015E-3</v>
      </c>
      <c r="AG73" s="810">
        <f t="shared" si="23"/>
        <v>0</v>
      </c>
      <c r="AH73" s="176">
        <f t="shared" si="15"/>
        <v>6</v>
      </c>
      <c r="AI73" s="225">
        <f t="shared" si="24"/>
        <v>4.7007510047834015E-3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42">
        <v>33.951999999999998</v>
      </c>
      <c r="C74" s="840"/>
      <c r="D74" s="393">
        <f t="shared" si="0"/>
        <v>35.001369436562385</v>
      </c>
      <c r="E74" s="385">
        <f t="shared" si="1"/>
        <v>37.682743285120004</v>
      </c>
      <c r="F74" s="385">
        <f t="shared" si="2"/>
        <v>37.730811639617201</v>
      </c>
      <c r="G74" s="110">
        <f t="shared" si="19"/>
        <v>1.0016771201596428</v>
      </c>
      <c r="H74" s="414" t="b">
        <f>Wh_hp&gt;='2021'!Maxi_hp</f>
        <v>1</v>
      </c>
      <c r="I74" s="380">
        <f>IF(H74,Wh_hp,'2021'!Maxi_hp)</f>
        <v>37.730811639617201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2.9980810849823958E-2</v>
      </c>
      <c r="M74" s="844"/>
      <c r="N74" s="844"/>
      <c r="O74" s="48">
        <f>IF(t&lt;Tnet,'2021'!Resal+('2021'!Salim-'2021'!Resal)*(1-EXP(('2021'!Tnet-t)/('2021'!Tau_j))),Resal+(Salim-Resal)*(1-EXP((Tnet-t)/(Tau_j))))*Salcycl</f>
        <v>7.1156545803193416E-2</v>
      </c>
      <c r="P74" s="339">
        <f>(INDEX(Models!$BJ74:$BT74,,T74)*(1-R74)+INDEX(Models!$BJ74:$BT74,,T74+1)*R74-ERP_i)*Q74*Ramure*Pc/MaxiM</f>
        <v>1.2739814599357861E-3</v>
      </c>
      <c r="Q74" s="305">
        <f t="shared" si="4"/>
        <v>0.7</v>
      </c>
      <c r="R74" s="177">
        <f t="shared" si="5"/>
        <v>4.9472345608304272E-3</v>
      </c>
      <c r="S74" s="810">
        <f t="shared" si="6"/>
        <v>0</v>
      </c>
      <c r="T74" s="176">
        <f t="shared" si="7"/>
        <v>6</v>
      </c>
      <c r="U74" s="251">
        <f t="shared" si="20"/>
        <v>4.9472345608304272E-3</v>
      </c>
      <c r="V74" s="383">
        <f t="shared" si="8"/>
        <v>33.895153754324426</v>
      </c>
      <c r="W74" s="402">
        <f t="shared" si="9"/>
        <v>0</v>
      </c>
      <c r="X74" s="157">
        <f t="shared" si="10"/>
        <v>44621</v>
      </c>
      <c r="Y74" s="385">
        <f t="shared" si="11"/>
        <v>31.498979549185997</v>
      </c>
      <c r="Z74" s="385">
        <f t="shared" si="21"/>
        <v>32.472532400912534</v>
      </c>
      <c r="AA74" s="386">
        <f t="shared" si="12"/>
        <v>37.682743285120004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0.13826516941150757</v>
      </c>
      <c r="AD74" s="231">
        <f>(INDEX(Models!$BJ74:$BT74,,AH74)*(1-AF74)+INDEX(Models!$BJ74:$BT74,,AH74+1)*AF74-ERP_i)*AE74*Ramure*Pc/MaxiM</f>
        <v>1.2739814599357861E-3</v>
      </c>
      <c r="AE74" s="305">
        <f t="shared" si="14"/>
        <v>0.7</v>
      </c>
      <c r="AF74" s="177">
        <f t="shared" si="22"/>
        <v>4.9472345608304272E-3</v>
      </c>
      <c r="AG74" s="810">
        <f t="shared" si="23"/>
        <v>0</v>
      </c>
      <c r="AH74" s="176">
        <f t="shared" si="15"/>
        <v>6</v>
      </c>
      <c r="AI74" s="225">
        <f t="shared" si="24"/>
        <v>4.9472345608304272E-3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42">
        <v>10.89</v>
      </c>
      <c r="C75" s="840"/>
      <c r="D75" s="393">
        <f t="shared" si="0"/>
        <v>11.226843297448417</v>
      </c>
      <c r="E75" s="385">
        <f t="shared" si="1"/>
        <v>12.088470059104957</v>
      </c>
      <c r="F75" s="385">
        <f t="shared" si="2"/>
        <v>12.088843632467043</v>
      </c>
      <c r="G75" s="110">
        <f t="shared" si="19"/>
        <v>0.31730553459232885</v>
      </c>
      <c r="H75" s="414" t="b">
        <f>Wh_hp&gt;='2021'!Maxi_hp</f>
        <v>0</v>
      </c>
      <c r="I75" s="380">
        <f>IF(H75,Wh_hp,'2021'!Maxi_hp)</f>
        <v>27.571693836230367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3.0003384613462303E-2</v>
      </c>
      <c r="M75" s="844"/>
      <c r="N75" s="844"/>
      <c r="O75" s="48">
        <f>IF(t&lt;Tnet,'2021'!Resal+('2021'!Salim-'2021'!Resal)*(1-EXP(('2021'!Tnet-t)/('2021'!Tau_j))),Resal+(Salim-Resal)*(1-EXP((Tnet-t)/(Tau_j))))*Salcycl</f>
        <v>7.1276742006534444E-2</v>
      </c>
      <c r="P75" s="339">
        <f>(INDEX(Models!$BJ75:$BT75,,T75)*(1-R75)+INDEX(Models!$BJ75:$BT75,,T75+1)*R75-ERP_i)*Q75*Ramure*Pc/MaxiM</f>
        <v>1.2232091757182085E-3</v>
      </c>
      <c r="Q75" s="305">
        <f t="shared" si="4"/>
        <v>0.7</v>
      </c>
      <c r="R75" s="177">
        <f t="shared" si="5"/>
        <v>5.2037313362396694E-3</v>
      </c>
      <c r="S75" s="810">
        <f t="shared" si="6"/>
        <v>0</v>
      </c>
      <c r="T75" s="176">
        <f t="shared" si="7"/>
        <v>6</v>
      </c>
      <c r="U75" s="251">
        <f t="shared" si="20"/>
        <v>5.2037313362396694E-3</v>
      </c>
      <c r="V75" s="383">
        <f t="shared" si="8"/>
        <v>34.279311866097402</v>
      </c>
      <c r="W75" s="402">
        <f t="shared" si="9"/>
        <v>0</v>
      </c>
      <c r="X75" s="157">
        <f t="shared" si="10"/>
        <v>44622</v>
      </c>
      <c r="Y75" s="385">
        <f t="shared" si="11"/>
        <v>10.103951241459406</v>
      </c>
      <c r="Z75" s="385">
        <f t="shared" si="21"/>
        <v>10.416480924970077</v>
      </c>
      <c r="AA75" s="386">
        <f t="shared" si="12"/>
        <v>12.088470059104957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0.13831271665975192</v>
      </c>
      <c r="AD75" s="231">
        <f>(INDEX(Models!$BJ75:$BT75,,AH75)*(1-AF75)+INDEX(Models!$BJ75:$BT75,,AH75+1)*AF75-ERP_i)*AE75*Ramure*Pc/MaxiM</f>
        <v>1.2232091757182085E-3</v>
      </c>
      <c r="AE75" s="305">
        <f t="shared" si="14"/>
        <v>0.7</v>
      </c>
      <c r="AF75" s="177">
        <f t="shared" si="22"/>
        <v>5.2037313362396694E-3</v>
      </c>
      <c r="AG75" s="810">
        <f t="shared" si="23"/>
        <v>0</v>
      </c>
      <c r="AH75" s="176">
        <f t="shared" si="15"/>
        <v>6</v>
      </c>
      <c r="AI75" s="225">
        <f t="shared" si="24"/>
        <v>5.2037313362396694E-3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42">
        <v>32.536999999999999</v>
      </c>
      <c r="C76" s="840"/>
      <c r="D76" s="393">
        <f t="shared" si="0"/>
        <v>33.544196634313593</v>
      </c>
      <c r="E76" s="385">
        <f t="shared" si="1"/>
        <v>36.123284064140897</v>
      </c>
      <c r="F76" s="385">
        <f t="shared" si="2"/>
        <v>36.162203215099751</v>
      </c>
      <c r="G76" s="110">
        <f t="shared" si="19"/>
        <v>0.93852465574393862</v>
      </c>
      <c r="H76" s="414" t="b">
        <f>Wh_hp&gt;='2021'!Maxi_hp</f>
        <v>1</v>
      </c>
      <c r="I76" s="380">
        <f>IF(H76,Wh_hp,'2021'!Maxi_hp)</f>
        <v>36.162203215099751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3.0025957851776197E-2</v>
      </c>
      <c r="M76" s="844"/>
      <c r="N76" s="844"/>
      <c r="O76" s="48">
        <f>IF(t&lt;Tnet,'2021'!Resal+('2021'!Salim-'2021'!Resal)*(1-EXP(('2021'!Tnet-t)/('2021'!Tau_j))),Resal+(Salim-Resal)*(1-EXP((Tnet-t)/(Tau_j))))*Salcycl</f>
        <v>7.1396815008509515E-2</v>
      </c>
      <c r="P76" s="339">
        <f>(INDEX(Models!$BJ76:$BT76,,T76)*(1-R76)+INDEX(Models!$BJ76:$BT76,,T76+1)*R76-ERP_i)*Q76*Ramure*Pc/MaxiM</f>
        <v>1.1796759946384012E-3</v>
      </c>
      <c r="Q76" s="305">
        <f t="shared" si="4"/>
        <v>0.7</v>
      </c>
      <c r="R76" s="177">
        <f t="shared" si="5"/>
        <v>5.4706340641259756E-3</v>
      </c>
      <c r="S76" s="810">
        <f t="shared" si="6"/>
        <v>0</v>
      </c>
      <c r="T76" s="176">
        <f t="shared" si="7"/>
        <v>6</v>
      </c>
      <c r="U76" s="251">
        <f t="shared" si="20"/>
        <v>5.4706340641259756E-3</v>
      </c>
      <c r="V76" s="383">
        <f t="shared" si="8"/>
        <v>34.66465225515676</v>
      </c>
      <c r="W76" s="402">
        <f t="shared" si="9"/>
        <v>0</v>
      </c>
      <c r="X76" s="157">
        <f t="shared" si="10"/>
        <v>44623</v>
      </c>
      <c r="Y76" s="385">
        <f t="shared" si="11"/>
        <v>30.190692710969614</v>
      </c>
      <c r="Z76" s="385">
        <f t="shared" si="21"/>
        <v>31.125258408055533</v>
      </c>
      <c r="AA76" s="386">
        <f t="shared" si="12"/>
        <v>36.123284064140897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0.13836022348385649</v>
      </c>
      <c r="AD76" s="231">
        <f>(INDEX(Models!$BJ76:$BT76,,AH76)*(1-AF76)+INDEX(Models!$BJ76:$BT76,,AH76+1)*AF76-ERP_i)*AE76*Ramure*Pc/MaxiM</f>
        <v>1.1796759946384012E-3</v>
      </c>
      <c r="AE76" s="305">
        <f t="shared" si="14"/>
        <v>0.7</v>
      </c>
      <c r="AF76" s="177">
        <f t="shared" si="22"/>
        <v>5.4706340641259756E-3</v>
      </c>
      <c r="AG76" s="810">
        <f t="shared" si="23"/>
        <v>0</v>
      </c>
      <c r="AH76" s="176">
        <f t="shared" si="15"/>
        <v>6</v>
      </c>
      <c r="AI76" s="225">
        <f t="shared" si="24"/>
        <v>5.4706340641259756E-3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42">
        <v>3.8650000000000002</v>
      </c>
      <c r="C77" s="840"/>
      <c r="D77" s="393">
        <f t="shared" si="0"/>
        <v>3.9847354448058012</v>
      </c>
      <c r="E77" s="385">
        <f t="shared" si="1"/>
        <v>4.291661213011591</v>
      </c>
      <c r="F77" s="385">
        <f t="shared" si="2"/>
        <v>4.291661213011591</v>
      </c>
      <c r="G77" s="110">
        <f t="shared" si="19"/>
        <v>0.1101419139499768</v>
      </c>
      <c r="H77" s="414" t="b">
        <f>Wh_hp&gt;='2021'!Maxi_hp</f>
        <v>0</v>
      </c>
      <c r="I77" s="380">
        <f>IF(H77,Wh_hp,'2021'!Maxi_hp)</f>
        <v>30.44612113653443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3.0048530564777853E-2</v>
      </c>
      <c r="M77" s="844"/>
      <c r="N77" s="844"/>
      <c r="O77" s="48">
        <f>IF(t&lt;Tnet,'2021'!Resal+('2021'!Salim-'2021'!Resal)*(1-EXP(('2021'!Tnet-t)/('2021'!Tau_j))),Resal+(Salim-Resal)*(1-EXP((Tnet-t)/(Tau_j))))*Salcycl</f>
        <v>7.151677473404526E-2</v>
      </c>
      <c r="P77" s="339">
        <f>(INDEX(Models!$BJ77:$BT77,,T77)*(1-R77)+INDEX(Models!$BJ77:$BT77,,T77+1)*R77-ERP_i)*Q77*Ramure*Pc/MaxiM</f>
        <v>1.1431596265909089E-3</v>
      </c>
      <c r="Q77" s="305">
        <f t="shared" si="4"/>
        <v>0.7</v>
      </c>
      <c r="R77" s="177">
        <f t="shared" si="5"/>
        <v>5.7483497002046042E-3</v>
      </c>
      <c r="S77" s="810">
        <f t="shared" si="6"/>
        <v>0</v>
      </c>
      <c r="T77" s="176">
        <f t="shared" si="7"/>
        <v>6</v>
      </c>
      <c r="U77" s="251">
        <f t="shared" si="20"/>
        <v>5.7483497002046042E-3</v>
      </c>
      <c r="V77" s="383">
        <f t="shared" si="8"/>
        <v>35.050976958658886</v>
      </c>
      <c r="W77" s="402">
        <f t="shared" si="9"/>
        <v>0</v>
      </c>
      <c r="X77" s="157">
        <f t="shared" si="10"/>
        <v>44624</v>
      </c>
      <c r="Y77" s="385">
        <f t="shared" si="11"/>
        <v>3.5865529012301929</v>
      </c>
      <c r="Z77" s="385">
        <f t="shared" si="21"/>
        <v>3.6976622173875882</v>
      </c>
      <c r="AA77" s="386">
        <f t="shared" si="12"/>
        <v>4.291661213011591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0.13840770884316264</v>
      </c>
      <c r="AD77" s="231">
        <f>(INDEX(Models!$BJ77:$BT77,,AH77)*(1-AF77)+INDEX(Models!$BJ77:$BT77,,AH77+1)*AF77-ERP_i)*AE77*Ramure*Pc/MaxiM</f>
        <v>1.1431596265909089E-3</v>
      </c>
      <c r="AE77" s="305">
        <f t="shared" si="14"/>
        <v>0.7</v>
      </c>
      <c r="AF77" s="177">
        <f t="shared" si="22"/>
        <v>5.7483497002046042E-3</v>
      </c>
      <c r="AG77" s="810">
        <f t="shared" si="23"/>
        <v>0</v>
      </c>
      <c r="AH77" s="176">
        <f t="shared" si="15"/>
        <v>6</v>
      </c>
      <c r="AI77" s="225">
        <f t="shared" si="24"/>
        <v>5.7483497002046042E-3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42">
        <v>13.536</v>
      </c>
      <c r="C78" s="840"/>
      <c r="D78" s="393">
        <f t="shared" si="0"/>
        <v>13.955662150506777</v>
      </c>
      <c r="E78" s="385">
        <f t="shared" si="1"/>
        <v>15.032542903316319</v>
      </c>
      <c r="F78" s="385">
        <f t="shared" si="2"/>
        <v>15.034502975801182</v>
      </c>
      <c r="G78" s="110">
        <f t="shared" si="19"/>
        <v>0.38158636994419243</v>
      </c>
      <c r="H78" s="414" t="b">
        <f>Wh_hp&gt;='2021'!Maxi_hp</f>
        <v>0</v>
      </c>
      <c r="I78" s="380">
        <f>IF(H78,Wh_hp,'2021'!Maxi_hp)</f>
        <v>38.571800708819332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3.0071102752479484E-2</v>
      </c>
      <c r="M78" s="844"/>
      <c r="N78" s="844"/>
      <c r="O78" s="48">
        <f>IF(t&lt;Tnet,'2021'!Resal+('2021'!Salim-'2021'!Resal)*(1-EXP(('2021'!Tnet-t)/('2021'!Tau_j))),Resal+(Salim-Resal)*(1-EXP((Tnet-t)/(Tau_j))))*Salcycl</f>
        <v>7.1636632586757662E-2</v>
      </c>
      <c r="P78" s="339">
        <f>(INDEX(Models!$BJ78:$BT78,,T78)*(1-R78)+INDEX(Models!$BJ78:$BT78,,T78+1)*R78-ERP_i)*Q78*Ramure*Pc/MaxiM</f>
        <v>1.1134455811922705E-3</v>
      </c>
      <c r="Q78" s="305">
        <f t="shared" si="4"/>
        <v>0.7</v>
      </c>
      <c r="R78" s="177">
        <f t="shared" si="5"/>
        <v>6.0372998377211185E-3</v>
      </c>
      <c r="S78" s="810">
        <f t="shared" si="6"/>
        <v>0</v>
      </c>
      <c r="T78" s="176">
        <f t="shared" si="7"/>
        <v>6</v>
      </c>
      <c r="U78" s="251">
        <f t="shared" si="20"/>
        <v>6.0372998377211185E-3</v>
      </c>
      <c r="V78" s="383">
        <f t="shared" si="8"/>
        <v>35.438088047407291</v>
      </c>
      <c r="W78" s="402">
        <f t="shared" si="9"/>
        <v>0</v>
      </c>
      <c r="X78" s="157">
        <f t="shared" si="10"/>
        <v>44625</v>
      </c>
      <c r="Y78" s="385">
        <f t="shared" si="11"/>
        <v>12.561752108289147</v>
      </c>
      <c r="Z78" s="385">
        <f t="shared" si="21"/>
        <v>12.951209252489626</v>
      </c>
      <c r="AA78" s="386">
        <f t="shared" si="12"/>
        <v>15.032542903316319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0.13845519445466078</v>
      </c>
      <c r="AD78" s="231">
        <f>(INDEX(Models!$BJ78:$BT78,,AH78)*(1-AF78)+INDEX(Models!$BJ78:$BT78,,AH78+1)*AF78-ERP_i)*AE78*Ramure*Pc/MaxiM</f>
        <v>1.1134455811922705E-3</v>
      </c>
      <c r="AE78" s="305">
        <f t="shared" si="14"/>
        <v>0.7</v>
      </c>
      <c r="AF78" s="177">
        <f t="shared" si="22"/>
        <v>6.0372998377211185E-3</v>
      </c>
      <c r="AG78" s="810">
        <f t="shared" si="23"/>
        <v>0</v>
      </c>
      <c r="AH78" s="176">
        <f t="shared" si="15"/>
        <v>6</v>
      </c>
      <c r="AI78" s="225">
        <f t="shared" si="24"/>
        <v>6.0372998377211185E-3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42">
        <v>15.965</v>
      </c>
      <c r="C79" s="840"/>
      <c r="D79" s="393">
        <f t="shared" ref="D79:D142" si="25">Wh/(1-Ppv)</f>
        <v>16.460352488544643</v>
      </c>
      <c r="E79" s="385">
        <f t="shared" si="1"/>
        <v>17.73279397150139</v>
      </c>
      <c r="F79" s="385">
        <f t="shared" ref="F79:F142" si="26">Wh_sa/(1-Pvg*MEDIAN((-Sdif+Wh/Env_an)/Csdif,0,1))</f>
        <v>17.736816844735138</v>
      </c>
      <c r="G79" s="110">
        <f t="shared" si="19"/>
        <v>0.44523242297492432</v>
      </c>
      <c r="H79" s="414" t="b">
        <f>Wh_hp&gt;='2021'!Maxi_hp</f>
        <v>0</v>
      </c>
      <c r="I79" s="380">
        <f>IF(H79,Wh_hp,'2021'!Maxi_hp)</f>
        <v>22.950602771895554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3.0093674414893412E-2</v>
      </c>
      <c r="M79" s="844"/>
      <c r="N79" s="844"/>
      <c r="O79" s="48">
        <f>IF(t&lt;Tnet,'2021'!Resal+('2021'!Salim-'2021'!Resal)*(1-EXP(('2021'!Tnet-t)/('2021'!Tau_j))),Resal+(Salim-Resal)*(1-EXP((Tnet-t)/(Tau_j))))*Salcycl</f>
        <v>7.1756401444786733E-2</v>
      </c>
      <c r="P79" s="339">
        <f>(INDEX(Models!$BJ79:$BT79,,T79)*(1-R79)+INDEX(Models!$BJ79:$BT79,,T79+1)*R79-ERP_i)*Q79*Ramure*Pc/MaxiM</f>
        <v>1.0902993237157932E-3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6.3379211256396183E-3</v>
      </c>
      <c r="S79" s="810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6.3379211256396183E-3</v>
      </c>
      <c r="V79" s="383">
        <f t="shared" ref="V79:V142" si="33">MaxiM*(1-Ppv)*(1-Pvg)*(1-Psa)</f>
        <v>35.826706299091128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14.817020381073132</v>
      </c>
      <c r="Z79" s="385">
        <f t="shared" ref="Z79:Z142" si="37">Wh_sa_s*(1-Psa_s)</f>
        <v>15.276754043370737</v>
      </c>
      <c r="AA79" s="386">
        <f t="shared" ref="AA79:AA142" si="38">Wh_hp*(1-Pvg_s*MEDIAN((-Sdif+Wh/Env_an)/Csdif,0,1))</f>
        <v>17.73279397150139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0.13850270476709922</v>
      </c>
      <c r="AD79" s="231">
        <f>(INDEX(Models!$BJ79:$BT79,,AH79)*(1-AF79)+INDEX(Models!$BJ79:$BT79,,AH79+1)*AF79-ERP_i)*AE79*Ramure*Pc/MaxiM</f>
        <v>1.0902993237157932E-3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6.3379211256396183E-3</v>
      </c>
      <c r="AG79" s="810">
        <f t="shared" si="23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6.3379211256396183E-3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42">
        <v>34.789000000000001</v>
      </c>
      <c r="C80" s="840"/>
      <c r="D80" s="393">
        <f t="shared" si="25"/>
        <v>35.869247051984047</v>
      </c>
      <c r="E80" s="385">
        <f t="shared" ref="E80:E143" si="47">Wh_pvt/(1-Psa)</f>
        <v>38.64704581335166</v>
      </c>
      <c r="F80" s="385">
        <f t="shared" si="26"/>
        <v>38.686228765533436</v>
      </c>
      <c r="G80" s="110">
        <f t="shared" ref="G80:G143" si="48">+Wh_hp/MaxiM</f>
        <v>0.960498039590018</v>
      </c>
      <c r="H80" s="414" t="b">
        <f>Wh_hp&gt;='2021'!Maxi_hp</f>
        <v>1</v>
      </c>
      <c r="I80" s="380">
        <f>IF(H80,Wh_hp,'2021'!Maxi_hp)</f>
        <v>38.686228765533436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3.011624555203174E-2</v>
      </c>
      <c r="M80" s="844"/>
      <c r="N80" s="844"/>
      <c r="O80" s="48">
        <f>IF(t&lt;Tnet,'2021'!Resal+('2021'!Salim-'2021'!Resal)*(1-EXP(('2021'!Tnet-t)/('2021'!Tau_j))),Resal+(Salim-Resal)*(1-EXP((Tnet-t)/(Tau_j))))*Salcycl</f>
        <v>7.1876095647340543E-2</v>
      </c>
      <c r="P80" s="339">
        <f>(INDEX(Models!$BJ80:$BT80,,T80)*(1-R80)+INDEX(Models!$BJ80:$BT80,,T80+1)*R80-ERP_i)*Q80*Ramure*Pc/MaxiM</f>
        <v>1.0733195259395466E-3</v>
      </c>
      <c r="Q80" s="305">
        <f t="shared" si="28"/>
        <v>0.7</v>
      </c>
      <c r="R80" s="177">
        <f t="shared" si="29"/>
        <v>6.650665689188073E-3</v>
      </c>
      <c r="S80" s="810">
        <f t="shared" si="30"/>
        <v>0</v>
      </c>
      <c r="T80" s="176">
        <f t="shared" si="31"/>
        <v>6</v>
      </c>
      <c r="U80" s="251">
        <f t="shared" si="32"/>
        <v>6.650665689188073E-3</v>
      </c>
      <c r="V80" s="383">
        <f t="shared" si="33"/>
        <v>36.217558395471862</v>
      </c>
      <c r="W80" s="402">
        <f t="shared" si="34"/>
        <v>0</v>
      </c>
      <c r="X80" s="157">
        <f t="shared" si="35"/>
        <v>44627</v>
      </c>
      <c r="Y80" s="385">
        <f t="shared" si="36"/>
        <v>32.289842577764638</v>
      </c>
      <c r="Z80" s="385">
        <f t="shared" si="37"/>
        <v>33.292487300339559</v>
      </c>
      <c r="AA80" s="386">
        <f t="shared" si="38"/>
        <v>38.64704581335166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0.1385502669174839</v>
      </c>
      <c r="AD80" s="231">
        <f>(INDEX(Models!$BJ80:$BT80,,AH80)*(1-AF80)+INDEX(Models!$BJ80:$BT80,,AH80+1)*AF80-ERP_i)*AE80*Ramure*Pc/MaxiM</f>
        <v>1.0733195259395466E-3</v>
      </c>
      <c r="AE80" s="305">
        <f t="shared" si="40"/>
        <v>0.7</v>
      </c>
      <c r="AF80" s="177">
        <f t="shared" si="41"/>
        <v>6.650665689188073E-3</v>
      </c>
      <c r="AG80" s="810">
        <f t="shared" ref="AG80:AG143" si="49">INDEX(Echel_vg,AH80)</f>
        <v>0</v>
      </c>
      <c r="AH80" s="176">
        <f t="shared" si="42"/>
        <v>6</v>
      </c>
      <c r="AI80" s="225">
        <f t="shared" si="43"/>
        <v>6.650665689188073E-3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42">
        <v>27.510999999999999</v>
      </c>
      <c r="C81" s="840"/>
      <c r="D81" s="393">
        <f t="shared" si="25"/>
        <v>28.365915100536039</v>
      </c>
      <c r="E81" s="385">
        <f t="shared" si="47"/>
        <v>30.56657824457503</v>
      </c>
      <c r="F81" s="385">
        <f t="shared" si="26"/>
        <v>30.587494288179425</v>
      </c>
      <c r="G81" s="110">
        <f t="shared" si="48"/>
        <v>0.75116757276509605</v>
      </c>
      <c r="H81" s="414" t="b">
        <f>Wh_hp&gt;='2021'!Maxi_hp</f>
        <v>1</v>
      </c>
      <c r="I81" s="380">
        <f>IF(H81,Wh_hp,'2021'!Maxi_hp)</f>
        <v>30.587494288179425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3.0138816163906679E-2</v>
      </c>
      <c r="M81" s="844"/>
      <c r="N81" s="844"/>
      <c r="O81" s="48">
        <f>IF(t&lt;Tnet,'2021'!Resal+('2021'!Salim-'2021'!Resal)*(1-EXP(('2021'!Tnet-t)/('2021'!Tau_j))),Resal+(Salim-Resal)*(1-EXP((Tnet-t)/(Tau_j))))*Salcycl</f>
        <v>7.1995730972261127E-2</v>
      </c>
      <c r="P81" s="339">
        <f>(INDEX(Models!$BJ81:$BT81,,T81)*(1-R81)+INDEX(Models!$BJ81:$BT81,,T81+1)*R81-ERP_i)*Q81*Ramure*Pc/MaxiM</f>
        <v>1.0602868507403906E-3</v>
      </c>
      <c r="Q81" s="305">
        <f t="shared" si="28"/>
        <v>0.7</v>
      </c>
      <c r="R81" s="177">
        <f t="shared" si="29"/>
        <v>6.9760015517561372E-3</v>
      </c>
      <c r="S81" s="810">
        <f t="shared" si="30"/>
        <v>0</v>
      </c>
      <c r="T81" s="176">
        <f t="shared" si="31"/>
        <v>6</v>
      </c>
      <c r="U81" s="251">
        <f t="shared" si="32"/>
        <v>6.9760015517561372E-3</v>
      </c>
      <c r="V81" s="383">
        <f t="shared" si="33"/>
        <v>36.610520293236235</v>
      </c>
      <c r="W81" s="402">
        <f t="shared" si="34"/>
        <v>0</v>
      </c>
      <c r="X81" s="157">
        <f t="shared" si="35"/>
        <v>44628</v>
      </c>
      <c r="Y81" s="385">
        <f t="shared" si="36"/>
        <v>25.536555887146644</v>
      </c>
      <c r="Z81" s="385">
        <f t="shared" si="37"/>
        <v>26.330114363523517</v>
      </c>
      <c r="AA81" s="386">
        <f t="shared" si="38"/>
        <v>30.56657824457503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0.1385979106707308</v>
      </c>
      <c r="AD81" s="231">
        <f>(INDEX(Models!$BJ81:$BT81,,AH81)*(1-AF81)+INDEX(Models!$BJ81:$BT81,,AH81+1)*AF81-ERP_i)*AE81*Ramure*Pc/MaxiM</f>
        <v>1.0602868507403906E-3</v>
      </c>
      <c r="AE81" s="305">
        <f t="shared" si="40"/>
        <v>0.7</v>
      </c>
      <c r="AF81" s="177">
        <f t="shared" si="41"/>
        <v>6.9760015517561372E-3</v>
      </c>
      <c r="AG81" s="810">
        <f t="shared" si="49"/>
        <v>0</v>
      </c>
      <c r="AH81" s="176">
        <f t="shared" si="42"/>
        <v>6</v>
      </c>
      <c r="AI81" s="225">
        <f t="shared" si="43"/>
        <v>6.9760015517561372E-3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42">
        <v>29.298000000000002</v>
      </c>
      <c r="C82" s="840"/>
      <c r="D82" s="393">
        <f t="shared" si="25"/>
        <v>30.209149836519416</v>
      </c>
      <c r="E82" s="385">
        <f t="shared" si="47"/>
        <v>32.557009117172278</v>
      </c>
      <c r="F82" s="385">
        <f t="shared" si="26"/>
        <v>32.581065323474022</v>
      </c>
      <c r="G82" s="110">
        <f t="shared" si="48"/>
        <v>0.79147464560023273</v>
      </c>
      <c r="H82" s="414" t="b">
        <f>Wh_hp&gt;='2021'!Maxi_hp</f>
        <v>0</v>
      </c>
      <c r="I82" s="380">
        <f>IF(H82,Wh_hp,'2021'!Maxi_hp)</f>
        <v>40.500150797480835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3.0161386250530553E-2</v>
      </c>
      <c r="M82" s="844"/>
      <c r="N82" s="844"/>
      <c r="O82" s="48">
        <f>IF(t&lt;Tnet,'2021'!Resal+('2021'!Salim-'2021'!Resal)*(1-EXP(('2021'!Tnet-t)/('2021'!Tau_j))),Resal+(Salim-Resal)*(1-EXP((Tnet-t)/(Tau_j))))*Salcycl</f>
        <v>7.2115324605001238E-2</v>
      </c>
      <c r="P82" s="339">
        <f>(INDEX(Models!$BJ82:$BT82,,T82)*(1-R82)+INDEX(Models!$BJ82:$BT82,,T82+1)*R82-ERP_i)*Q82*Ramure*Pc/MaxiM</f>
        <v>1.0510899357880331E-3</v>
      </c>
      <c r="Q82" s="305">
        <f t="shared" si="28"/>
        <v>0.7</v>
      </c>
      <c r="R82" s="177">
        <f t="shared" si="29"/>
        <v>7.3144130570256781E-3</v>
      </c>
      <c r="S82" s="810">
        <f t="shared" si="30"/>
        <v>0</v>
      </c>
      <c r="T82" s="176">
        <f t="shared" si="31"/>
        <v>6</v>
      </c>
      <c r="U82" s="251">
        <f t="shared" si="32"/>
        <v>7.3144130570256781E-3</v>
      </c>
      <c r="V82" s="383">
        <f t="shared" si="33"/>
        <v>37.005393308539439</v>
      </c>
      <c r="W82" s="402">
        <f t="shared" si="34"/>
        <v>0</v>
      </c>
      <c r="X82" s="157">
        <f t="shared" si="35"/>
        <v>44629</v>
      </c>
      <c r="Y82" s="385">
        <f t="shared" si="36"/>
        <v>27.197301429871111</v>
      </c>
      <c r="Z82" s="385">
        <f t="shared" si="37"/>
        <v>28.043120828860676</v>
      </c>
      <c r="AA82" s="386">
        <f t="shared" si="38"/>
        <v>32.557009117172278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0.13864566834337189</v>
      </c>
      <c r="AD82" s="231">
        <f>(INDEX(Models!$BJ82:$BT82,,AH82)*(1-AF82)+INDEX(Models!$BJ82:$BT82,,AH82+1)*AF82-ERP_i)*AE82*Ramure*Pc/MaxiM</f>
        <v>1.0510899357880331E-3</v>
      </c>
      <c r="AE82" s="305">
        <f t="shared" si="40"/>
        <v>0.7</v>
      </c>
      <c r="AF82" s="177">
        <f t="shared" si="41"/>
        <v>7.3144130570256781E-3</v>
      </c>
      <c r="AG82" s="810">
        <f t="shared" si="49"/>
        <v>0</v>
      </c>
      <c r="AH82" s="176">
        <f t="shared" si="42"/>
        <v>6</v>
      </c>
      <c r="AI82" s="225">
        <f t="shared" si="43"/>
        <v>7.3144130570256781E-3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42">
        <v>22.134</v>
      </c>
      <c r="C83" s="840"/>
      <c r="D83" s="393">
        <f t="shared" si="25"/>
        <v>22.822884950857105</v>
      </c>
      <c r="E83" s="385">
        <f t="shared" si="47"/>
        <v>24.599852732447953</v>
      </c>
      <c r="F83" s="385">
        <f t="shared" si="26"/>
        <v>24.610579378910501</v>
      </c>
      <c r="G83" s="110">
        <f t="shared" si="48"/>
        <v>0.5914258624075851</v>
      </c>
      <c r="H83" s="414" t="b">
        <f>Wh_hp&gt;='2021'!Maxi_hp</f>
        <v>0</v>
      </c>
      <c r="I83" s="380">
        <f>IF(H83,Wh_hp,'2021'!Maxi_hp)</f>
        <v>40.033914552307429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3.0183955811915575E-2</v>
      </c>
      <c r="M83" s="844"/>
      <c r="N83" s="844"/>
      <c r="O83" s="48">
        <f>IF(t&lt;Tnet,'2021'!Resal+('2021'!Salim-'2021'!Resal)*(1-EXP(('2021'!Tnet-t)/('2021'!Tau_j))),Resal+(Salim-Resal)*(1-EXP((Tnet-t)/(Tau_j))))*Salcycl</f>
        <v>7.2234895099472424E-2</v>
      </c>
      <c r="P83" s="339">
        <f>(INDEX(Models!$BJ83:$BT83,,T83)*(1-R83)+INDEX(Models!$BJ83:$BT83,,T83+1)*R83-ERP_i)*Q83*Ramure*Pc/MaxiM</f>
        <v>1.0456213004075329E-3</v>
      </c>
      <c r="Q83" s="305">
        <f t="shared" si="28"/>
        <v>0.7</v>
      </c>
      <c r="R83" s="177">
        <f t="shared" si="29"/>
        <v>7.6664012900950849E-3</v>
      </c>
      <c r="S83" s="810">
        <f t="shared" si="30"/>
        <v>0</v>
      </c>
      <c r="T83" s="176">
        <f t="shared" si="31"/>
        <v>6</v>
      </c>
      <c r="U83" s="251">
        <f t="shared" si="32"/>
        <v>7.6664012900950849E-3</v>
      </c>
      <c r="V83" s="383">
        <f t="shared" si="33"/>
        <v>37.401978769906478</v>
      </c>
      <c r="W83" s="402">
        <f t="shared" si="34"/>
        <v>0</v>
      </c>
      <c r="X83" s="157">
        <f t="shared" si="35"/>
        <v>44630</v>
      </c>
      <c r="Y83" s="385">
        <f t="shared" si="36"/>
        <v>20.548473225193199</v>
      </c>
      <c r="Z83" s="385">
        <f t="shared" si="37"/>
        <v>21.188011219587601</v>
      </c>
      <c r="AA83" s="386">
        <f t="shared" si="38"/>
        <v>24.599852732447953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0.13869357471234076</v>
      </c>
      <c r="AD83" s="231">
        <f>(INDEX(Models!$BJ83:$BT83,,AH83)*(1-AF83)+INDEX(Models!$BJ83:$BT83,,AH83+1)*AF83-ERP_i)*AE83*Ramure*Pc/MaxiM</f>
        <v>1.0456213004075329E-3</v>
      </c>
      <c r="AE83" s="305">
        <f t="shared" si="40"/>
        <v>0.7</v>
      </c>
      <c r="AF83" s="177">
        <f t="shared" si="41"/>
        <v>7.6664012900950849E-3</v>
      </c>
      <c r="AG83" s="810">
        <f t="shared" si="49"/>
        <v>0</v>
      </c>
      <c r="AH83" s="176">
        <f t="shared" si="42"/>
        <v>6</v>
      </c>
      <c r="AI83" s="225">
        <f t="shared" si="43"/>
        <v>7.6664012900950849E-3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42">
        <v>14.407</v>
      </c>
      <c r="C84" s="840"/>
      <c r="D84" s="393">
        <f t="shared" si="25"/>
        <v>14.855740288150551</v>
      </c>
      <c r="E84" s="385">
        <f t="shared" si="47"/>
        <v>16.014457769596827</v>
      </c>
      <c r="F84" s="385">
        <f t="shared" si="26"/>
        <v>16.016395495883973</v>
      </c>
      <c r="G84" s="110">
        <f t="shared" si="48"/>
        <v>0.38078502645021567</v>
      </c>
      <c r="H84" s="414" t="b">
        <f>Wh_hp&gt;='2021'!Maxi_hp</f>
        <v>0</v>
      </c>
      <c r="I84" s="380">
        <f>IF(H84,Wh_hp,'2021'!Maxi_hp)</f>
        <v>32.943027804132434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3.0206524848073846E-2</v>
      </c>
      <c r="M84" s="844"/>
      <c r="N84" s="844"/>
      <c r="O84" s="48">
        <f>IF(t&lt;Tnet,'2021'!Resal+('2021'!Salim-'2021'!Resal)*(1-EXP(('2021'!Tnet-t)/('2021'!Tau_j))),Resal+(Salim-Resal)*(1-EXP((Tnet-t)/(Tau_j))))*Salcycl</f>
        <v>7.2354462331286756E-2</v>
      </c>
      <c r="P84" s="339">
        <f>(INDEX(Models!$BJ84:$BT84,,T84)*(1-R84)+INDEX(Models!$BJ84:$BT84,,T84+1)*R84-ERP_i)*Q84*Ramure*Pc/MaxiM</f>
        <v>1.0437774753847659E-3</v>
      </c>
      <c r="Q84" s="305">
        <f t="shared" si="28"/>
        <v>0.7</v>
      </c>
      <c r="R84" s="177">
        <f t="shared" si="29"/>
        <v>8.0324844962269635E-3</v>
      </c>
      <c r="S84" s="810">
        <f t="shared" si="30"/>
        <v>0</v>
      </c>
      <c r="T84" s="176">
        <f t="shared" si="31"/>
        <v>6</v>
      </c>
      <c r="U84" s="251">
        <f t="shared" si="32"/>
        <v>8.0324844962269635E-3</v>
      </c>
      <c r="V84" s="383">
        <f t="shared" si="33"/>
        <v>37.800078009290424</v>
      </c>
      <c r="W84" s="402">
        <f t="shared" si="34"/>
        <v>0</v>
      </c>
      <c r="X84" s="157">
        <f t="shared" si="35"/>
        <v>44631</v>
      </c>
      <c r="Y84" s="385">
        <f t="shared" si="36"/>
        <v>13.375959136300295</v>
      </c>
      <c r="Z84" s="385">
        <f t="shared" si="37"/>
        <v>13.792585203983602</v>
      </c>
      <c r="AA84" s="386">
        <f t="shared" si="38"/>
        <v>16.014457769596827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0.13874166690997264</v>
      </c>
      <c r="AD84" s="231">
        <f>(INDEX(Models!$BJ84:$BT84,,AH84)*(1-AF84)+INDEX(Models!$BJ84:$BT84,,AH84+1)*AF84-ERP_i)*AE84*Ramure*Pc/MaxiM</f>
        <v>1.0437774753847659E-3</v>
      </c>
      <c r="AE84" s="305">
        <f t="shared" si="40"/>
        <v>0.7</v>
      </c>
      <c r="AF84" s="177">
        <f t="shared" si="41"/>
        <v>8.0324844962269635E-3</v>
      </c>
      <c r="AG84" s="810">
        <f t="shared" si="49"/>
        <v>0</v>
      </c>
      <c r="AH84" s="176">
        <f t="shared" si="42"/>
        <v>6</v>
      </c>
      <c r="AI84" s="225">
        <f t="shared" si="43"/>
        <v>8.0324844962269635E-3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42">
        <v>16.120999999999999</v>
      </c>
      <c r="C85" s="840"/>
      <c r="D85" s="393">
        <f t="shared" si="25"/>
        <v>16.623513749075723</v>
      </c>
      <c r="E85" s="385">
        <f t="shared" si="47"/>
        <v>17.922424384207748</v>
      </c>
      <c r="F85" s="385">
        <f t="shared" si="26"/>
        <v>17.925691169757666</v>
      </c>
      <c r="G85" s="110">
        <f t="shared" si="48"/>
        <v>0.42165695194868325</v>
      </c>
      <c r="H85" s="414" t="b">
        <f>Wh_hp&gt;='2021'!Maxi_hp</f>
        <v>0</v>
      </c>
      <c r="I85" s="380">
        <f>IF(H85,Wh_hp,'2021'!Maxi_hp)</f>
        <v>41.337289787164842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3.0229093359017689E-2</v>
      </c>
      <c r="M85" s="844"/>
      <c r="N85" s="844"/>
      <c r="O85" s="48">
        <f>IF(t&lt;Tnet,'2021'!Resal+('2021'!Salim-'2021'!Resal)*(1-EXP(('2021'!Tnet-t)/('2021'!Tau_j))),Resal+(Salim-Resal)*(1-EXP((Tnet-t)/(Tau_j))))*Salcycl</f>
        <v>7.2474047443969389E-2</v>
      </c>
      <c r="P85" s="339">
        <f>(INDEX(Models!$BJ85:$BT85,,T85)*(1-R85)+INDEX(Models!$BJ85:$BT85,,T85+1)*R85-ERP_i)*Q85*Ramure*Pc/MaxiM</f>
        <v>1.0454591183022815E-3</v>
      </c>
      <c r="Q85" s="305">
        <f t="shared" si="28"/>
        <v>0.7</v>
      </c>
      <c r="R85" s="177">
        <f t="shared" si="29"/>
        <v>8.4131984957111581E-3</v>
      </c>
      <c r="S85" s="810">
        <f t="shared" si="30"/>
        <v>0</v>
      </c>
      <c r="T85" s="176">
        <f t="shared" si="31"/>
        <v>6</v>
      </c>
      <c r="U85" s="251">
        <f t="shared" si="32"/>
        <v>8.4131984957111581E-3</v>
      </c>
      <c r="V85" s="383">
        <f t="shared" si="33"/>
        <v>38.199492360961713</v>
      </c>
      <c r="W85" s="402">
        <f t="shared" si="34"/>
        <v>0</v>
      </c>
      <c r="X85" s="157">
        <f t="shared" si="35"/>
        <v>44632</v>
      </c>
      <c r="Y85" s="385">
        <f t="shared" si="36"/>
        <v>14.968386194193434</v>
      </c>
      <c r="Z85" s="385">
        <f t="shared" si="37"/>
        <v>15.434971385190112</v>
      </c>
      <c r="AA85" s="386">
        <f t="shared" si="38"/>
        <v>17.922424384207748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0.13878998430644476</v>
      </c>
      <c r="AD85" s="231">
        <f>(INDEX(Models!$BJ85:$BT85,,AH85)*(1-AF85)+INDEX(Models!$BJ85:$BT85,,AH85+1)*AF85-ERP_i)*AE85*Ramure*Pc/MaxiM</f>
        <v>1.0454591183022815E-3</v>
      </c>
      <c r="AE85" s="305">
        <f t="shared" si="40"/>
        <v>0.7</v>
      </c>
      <c r="AF85" s="177">
        <f t="shared" si="41"/>
        <v>8.4131984957111581E-3</v>
      </c>
      <c r="AG85" s="810">
        <f t="shared" si="49"/>
        <v>0</v>
      </c>
      <c r="AH85" s="176">
        <f t="shared" si="42"/>
        <v>6</v>
      </c>
      <c r="AI85" s="225">
        <f t="shared" si="43"/>
        <v>8.4131984957111581E-3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42">
        <v>9.8640000000000008</v>
      </c>
      <c r="C86" s="840"/>
      <c r="D86" s="393">
        <f t="shared" si="25"/>
        <v>10.171711161349865</v>
      </c>
      <c r="E86" s="385">
        <f t="shared" si="47"/>
        <v>10.967912190050276</v>
      </c>
      <c r="F86" s="385">
        <f t="shared" si="26"/>
        <v>10.967912190050276</v>
      </c>
      <c r="G86" s="110">
        <f t="shared" si="48"/>
        <v>0.25527542112947393</v>
      </c>
      <c r="H86" s="414" t="b">
        <f>Wh_hp&gt;='2021'!Maxi_hp</f>
        <v>0</v>
      </c>
      <c r="I86" s="380">
        <f>IF(H86,Wh_hp,'2021'!Maxi_hp)</f>
        <v>39.947876857948046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3.0251661344759317E-2</v>
      </c>
      <c r="M86" s="844"/>
      <c r="N86" s="844"/>
      <c r="O86" s="48">
        <f>IF(t&lt;Tnet,'2021'!Resal+('2021'!Salim-'2021'!Resal)*(1-EXP(('2021'!Tnet-t)/('2021'!Tau_j))),Resal+(Salim-Resal)*(1-EXP((Tnet-t)/(Tau_j))))*Salcycl</f>
        <v>7.259367278876451E-2</v>
      </c>
      <c r="P86" s="339">
        <f>(INDEX(Models!$BJ86:$BT86,,T86)*(1-R86)+INDEX(Models!$BJ86:$BT86,,T86+1)*R86-ERP_i)*Q86*Ramure*Pc/MaxiM</f>
        <v>1.0493080696770568E-3</v>
      </c>
      <c r="Q86" s="305">
        <f t="shared" si="28"/>
        <v>0.7</v>
      </c>
      <c r="R86" s="177">
        <f t="shared" si="29"/>
        <v>8.809097093187784E-3</v>
      </c>
      <c r="S86" s="810">
        <f t="shared" si="30"/>
        <v>0</v>
      </c>
      <c r="T86" s="176">
        <f t="shared" si="31"/>
        <v>6</v>
      </c>
      <c r="U86" s="251">
        <f t="shared" si="32"/>
        <v>8.809097093187784E-3</v>
      </c>
      <c r="V86" s="383">
        <f t="shared" si="33"/>
        <v>38.60007195993618</v>
      </c>
      <c r="W86" s="402">
        <f t="shared" si="34"/>
        <v>0</v>
      </c>
      <c r="X86" s="157">
        <f t="shared" si="35"/>
        <v>44633</v>
      </c>
      <c r="Y86" s="385">
        <f t="shared" si="36"/>
        <v>9.1594116971723647</v>
      </c>
      <c r="Z86" s="385">
        <f t="shared" si="37"/>
        <v>9.4451429634556625</v>
      </c>
      <c r="AA86" s="386">
        <f t="shared" si="38"/>
        <v>10.967912190050276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0.13883856838095579</v>
      </c>
      <c r="AD86" s="231">
        <f>(INDEX(Models!$BJ86:$BT86,,AH86)*(1-AF86)+INDEX(Models!$BJ86:$BT86,,AH86+1)*AF86-ERP_i)*AE86*Ramure*Pc/MaxiM</f>
        <v>1.0493080696770568E-3</v>
      </c>
      <c r="AE86" s="305">
        <f t="shared" si="40"/>
        <v>0.7</v>
      </c>
      <c r="AF86" s="177">
        <f t="shared" si="41"/>
        <v>8.809097093187784E-3</v>
      </c>
      <c r="AG86" s="810">
        <f t="shared" si="49"/>
        <v>0</v>
      </c>
      <c r="AH86" s="176">
        <f t="shared" si="42"/>
        <v>6</v>
      </c>
      <c r="AI86" s="225">
        <f t="shared" si="43"/>
        <v>8.809097093187784E-3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42">
        <v>14.519</v>
      </c>
      <c r="C87" s="840"/>
      <c r="D87" s="393">
        <f t="shared" si="25"/>
        <v>14.972274050335685</v>
      </c>
      <c r="E87" s="385">
        <f t="shared" si="47"/>
        <v>16.146327828412097</v>
      </c>
      <c r="F87" s="385">
        <f t="shared" si="26"/>
        <v>16.148081058052512</v>
      </c>
      <c r="G87" s="110">
        <f t="shared" si="48"/>
        <v>0.37191414248031357</v>
      </c>
      <c r="H87" s="414" t="b">
        <f>Wh_hp&gt;='2021'!Maxi_hp</f>
        <v>0</v>
      </c>
      <c r="I87" s="380">
        <f>IF(H87,Wh_hp,'2021'!Maxi_hp)</f>
        <v>39.828022010256511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3.0274228805311054E-2</v>
      </c>
      <c r="M87" s="844"/>
      <c r="N87" s="844"/>
      <c r="O87" s="48">
        <f>IF(t&lt;Tnet,'2021'!Resal+('2021'!Salim-'2021'!Resal)*(1-EXP(('2021'!Tnet-t)/('2021'!Tau_j))),Resal+(Salim-Resal)*(1-EXP((Tnet-t)/(Tau_j))))*Salcycl</f>
        <v>7.2713361858692968E-2</v>
      </c>
      <c r="P87" s="339">
        <f>(INDEX(Models!$BJ87:$BT87,,T87)*(1-R87)+INDEX(Models!$BJ87:$BT87,,T87+1)*R87-ERP_i)*Q87*Ramure*Pc/MaxiM</f>
        <v>1.0516864965476878E-3</v>
      </c>
      <c r="Q87" s="305">
        <f t="shared" si="28"/>
        <v>0.7</v>
      </c>
      <c r="R87" s="177">
        <f t="shared" si="29"/>
        <v>9.2207524796178927E-3</v>
      </c>
      <c r="S87" s="810">
        <f t="shared" si="30"/>
        <v>0</v>
      </c>
      <c r="T87" s="176">
        <f t="shared" si="31"/>
        <v>6</v>
      </c>
      <c r="U87" s="251">
        <f t="shared" si="32"/>
        <v>9.2207524796178927E-3</v>
      </c>
      <c r="V87" s="383">
        <f t="shared" si="33"/>
        <v>39.001758140216708</v>
      </c>
      <c r="W87" s="402">
        <f t="shared" si="34"/>
        <v>0</v>
      </c>
      <c r="X87" s="157">
        <f t="shared" si="35"/>
        <v>44634</v>
      </c>
      <c r="Y87" s="385">
        <f t="shared" si="36"/>
        <v>13.482878342578047</v>
      </c>
      <c r="Z87" s="385">
        <f t="shared" si="37"/>
        <v>13.903805326290673</v>
      </c>
      <c r="AA87" s="386">
        <f t="shared" si="38"/>
        <v>16.146327828412097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0.13888746258299917</v>
      </c>
      <c r="AD87" s="231">
        <f>(INDEX(Models!$BJ87:$BT87,,AH87)*(1-AF87)+INDEX(Models!$BJ87:$BT87,,AH87+1)*AF87-ERP_i)*AE87*Ramure*Pc/MaxiM</f>
        <v>1.0516864965476878E-3</v>
      </c>
      <c r="AE87" s="305">
        <f t="shared" si="40"/>
        <v>0.7</v>
      </c>
      <c r="AF87" s="177">
        <f t="shared" si="41"/>
        <v>9.2207524796178927E-3</v>
      </c>
      <c r="AG87" s="810">
        <f t="shared" si="49"/>
        <v>0</v>
      </c>
      <c r="AH87" s="176">
        <f t="shared" si="42"/>
        <v>6</v>
      </c>
      <c r="AI87" s="225">
        <f t="shared" si="43"/>
        <v>9.2207524796178927E-3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42">
        <v>13.768000000000001</v>
      </c>
      <c r="C88" s="840"/>
      <c r="D88" s="393">
        <f t="shared" si="25"/>
        <v>14.198158714466002</v>
      </c>
      <c r="E88" s="385">
        <f t="shared" si="47"/>
        <v>15.313488127135956</v>
      </c>
      <c r="F88" s="385">
        <f t="shared" si="26"/>
        <v>15.314625872017734</v>
      </c>
      <c r="G88" s="110">
        <f t="shared" si="48"/>
        <v>0.34906115970781937</v>
      </c>
      <c r="H88" s="414" t="b">
        <f>Wh_hp&gt;='2021'!Maxi_hp</f>
        <v>0</v>
      </c>
      <c r="I88" s="380">
        <f>IF(H88,Wh_hp,'2021'!Maxi_hp)</f>
        <v>32.760869095233581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3.029679574068489E-2</v>
      </c>
      <c r="M88" s="844"/>
      <c r="N88" s="844"/>
      <c r="O88" s="48">
        <f>IF(t&lt;Tnet,'2021'!Resal+('2021'!Salim-'2021'!Resal)*(1-EXP(('2021'!Tnet-t)/('2021'!Tau_j))),Resal+(Salim-Resal)*(1-EXP((Tnet-t)/(Tau_j))))*Salcycl</f>
        <v>7.2833139217547527E-2</v>
      </c>
      <c r="P88" s="339">
        <f>(INDEX(Models!$BJ88:$BT88,,T88)*(1-R88)+INDEX(Models!$BJ88:$BT88,,T88+1)*R88-ERP_i)*Q88*Ramure*Pc/MaxiM</f>
        <v>1.0526475657250515E-3</v>
      </c>
      <c r="Q88" s="305">
        <f t="shared" si="28"/>
        <v>0.7</v>
      </c>
      <c r="R88" s="177">
        <f t="shared" si="29"/>
        <v>9.6487556249231724E-3</v>
      </c>
      <c r="S88" s="810">
        <f t="shared" si="30"/>
        <v>0</v>
      </c>
      <c r="T88" s="176">
        <f t="shared" si="31"/>
        <v>6</v>
      </c>
      <c r="U88" s="251">
        <f t="shared" si="32"/>
        <v>9.6487556249231724E-3</v>
      </c>
      <c r="V88" s="383">
        <f t="shared" si="33"/>
        <v>39.404352529340017</v>
      </c>
      <c r="W88" s="402">
        <f t="shared" si="34"/>
        <v>0</v>
      </c>
      <c r="X88" s="157">
        <f t="shared" si="35"/>
        <v>44635</v>
      </c>
      <c r="Y88" s="385">
        <f t="shared" si="36"/>
        <v>12.786392447882061</v>
      </c>
      <c r="Z88" s="385">
        <f t="shared" si="37"/>
        <v>13.185882434665816</v>
      </c>
      <c r="AA88" s="386">
        <f t="shared" si="38"/>
        <v>15.313488127135956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0.13893671218512005</v>
      </c>
      <c r="AD88" s="231">
        <f>(INDEX(Models!$BJ88:$BT88,,AH88)*(1-AF88)+INDEX(Models!$BJ88:$BT88,,AH88+1)*AF88-ERP_i)*AE88*Ramure*Pc/MaxiM</f>
        <v>1.0526475657250515E-3</v>
      </c>
      <c r="AE88" s="305">
        <f t="shared" si="40"/>
        <v>0.7</v>
      </c>
      <c r="AF88" s="177">
        <f t="shared" si="41"/>
        <v>9.6487556249231724E-3</v>
      </c>
      <c r="AG88" s="810">
        <f t="shared" si="49"/>
        <v>0</v>
      </c>
      <c r="AH88" s="176">
        <f t="shared" si="42"/>
        <v>6</v>
      </c>
      <c r="AI88" s="225">
        <f t="shared" si="43"/>
        <v>9.6487556249231724E-3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42">
        <v>13.484</v>
      </c>
      <c r="C89" s="840"/>
      <c r="D89" s="393">
        <f t="shared" si="25"/>
        <v>13.905609201303101</v>
      </c>
      <c r="E89" s="385">
        <f t="shared" si="47"/>
        <v>14.99989715480217</v>
      </c>
      <c r="F89" s="385">
        <f t="shared" si="26"/>
        <v>15.000770458834511</v>
      </c>
      <c r="G89" s="110">
        <f t="shared" si="48"/>
        <v>0.33839208008443417</v>
      </c>
      <c r="H89" s="414" t="b">
        <f>Wh_hp&gt;='2021'!Maxi_hp</f>
        <v>0</v>
      </c>
      <c r="I89" s="380">
        <f>IF(H89,Wh_hp,'2021'!Maxi_hp)</f>
        <v>45.209296903916872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3.0319362150893148E-2</v>
      </c>
      <c r="M89" s="844"/>
      <c r="N89" s="844"/>
      <c r="O89" s="48">
        <f>IF(t&lt;Tnet,'2021'!Resal+('2021'!Salim-'2021'!Resal)*(1-EXP(('2021'!Tnet-t)/('2021'!Tau_j))),Resal+(Salim-Resal)*(1-EXP((Tnet-t)/(Tau_j))))*Salcycl</f>
        <v>7.2953030424527762E-2</v>
      </c>
      <c r="P89" s="339">
        <f>(INDEX(Models!$BJ89:$BT89,,T89)*(1-R89)+INDEX(Models!$BJ89:$BT89,,T89+1)*R89-ERP_i)*Q89*Ramure*Pc/MaxiM</f>
        <v>1.0522425191423477E-3</v>
      </c>
      <c r="Q89" s="305">
        <f t="shared" si="28"/>
        <v>0.7</v>
      </c>
      <c r="R89" s="177">
        <f t="shared" si="29"/>
        <v>1.0093716659140715E-2</v>
      </c>
      <c r="S89" s="810">
        <f t="shared" si="30"/>
        <v>0</v>
      </c>
      <c r="T89" s="176">
        <f t="shared" si="31"/>
        <v>6</v>
      </c>
      <c r="U89" s="251">
        <f t="shared" si="32"/>
        <v>1.0093716659140715E-2</v>
      </c>
      <c r="V89" s="383">
        <f t="shared" si="33"/>
        <v>39.80765678658252</v>
      </c>
      <c r="W89" s="402">
        <f t="shared" si="34"/>
        <v>0</v>
      </c>
      <c r="X89" s="157">
        <f t="shared" si="35"/>
        <v>44636</v>
      </c>
      <c r="Y89" s="385">
        <f t="shared" si="36"/>
        <v>12.523537908124572</v>
      </c>
      <c r="Z89" s="385">
        <f t="shared" si="37"/>
        <v>12.915115986953815</v>
      </c>
      <c r="AA89" s="386">
        <f t="shared" si="38"/>
        <v>14.99989715480217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0.13898636412856469</v>
      </c>
      <c r="AD89" s="231">
        <f>(INDEX(Models!$BJ89:$BT89,,AH89)*(1-AF89)+INDEX(Models!$BJ89:$BT89,,AH89+1)*AF89-ERP_i)*AE89*Ramure*Pc/MaxiM</f>
        <v>1.0522425191423477E-3</v>
      </c>
      <c r="AE89" s="305">
        <f t="shared" si="40"/>
        <v>0.7</v>
      </c>
      <c r="AF89" s="177">
        <f t="shared" si="41"/>
        <v>1.0093716659140715E-2</v>
      </c>
      <c r="AG89" s="810">
        <f t="shared" si="49"/>
        <v>0</v>
      </c>
      <c r="AH89" s="176">
        <f t="shared" si="42"/>
        <v>6</v>
      </c>
      <c r="AI89" s="225">
        <f t="shared" si="43"/>
        <v>1.0093716659140715E-2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42">
        <v>11.691000000000001</v>
      </c>
      <c r="C90" s="840"/>
      <c r="D90" s="393">
        <f t="shared" si="25"/>
        <v>12.056827388978228</v>
      </c>
      <c r="E90" s="385">
        <f t="shared" si="47"/>
        <v>13.007311465572947</v>
      </c>
      <c r="F90" s="385">
        <f t="shared" si="26"/>
        <v>13.007311465572947</v>
      </c>
      <c r="G90" s="110">
        <f t="shared" si="48"/>
        <v>0.29043249613765876</v>
      </c>
      <c r="H90" s="414" t="b">
        <f>Wh_hp&gt;='2021'!Maxi_hp</f>
        <v>0</v>
      </c>
      <c r="I90" s="380">
        <f>IF(H90,Wh_hp,'2021'!Maxi_hp)</f>
        <v>26.308361762464799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3.0341928035948151E-2</v>
      </c>
      <c r="M90" s="844"/>
      <c r="N90" s="844"/>
      <c r="O90" s="48">
        <f>IF(t&lt;Tnet,'2021'!Resal+('2021'!Salim-'2021'!Resal)*(1-EXP(('2021'!Tnet-t)/('2021'!Tau_j))),Resal+(Salim-Resal)*(1-EXP((Tnet-t)/(Tau_j))))*Salcycl</f>
        <v>7.307306195522488E-2</v>
      </c>
      <c r="P90" s="339">
        <f>(INDEX(Models!$BJ90:$BT90,,T90)*(1-R90)+INDEX(Models!$BJ90:$BT90,,T90+1)*R90-ERP_i)*Q90*Ramure*Pc/MaxiM</f>
        <v>1.0505206496506632E-3</v>
      </c>
      <c r="Q90" s="305">
        <f t="shared" si="28"/>
        <v>0.7</v>
      </c>
      <c r="R90" s="177">
        <f t="shared" si="29"/>
        <v>1.0556265239752114E-2</v>
      </c>
      <c r="S90" s="810">
        <f t="shared" si="30"/>
        <v>0</v>
      </c>
      <c r="T90" s="176">
        <f t="shared" si="31"/>
        <v>6</v>
      </c>
      <c r="U90" s="251">
        <f t="shared" si="32"/>
        <v>1.0556265239752114E-2</v>
      </c>
      <c r="V90" s="383">
        <f t="shared" si="33"/>
        <v>40.211472608593617</v>
      </c>
      <c r="W90" s="402">
        <f t="shared" si="34"/>
        <v>0</v>
      </c>
      <c r="X90" s="157">
        <f t="shared" si="35"/>
        <v>44637</v>
      </c>
      <c r="Y90" s="385">
        <f t="shared" si="36"/>
        <v>10.859027020116413</v>
      </c>
      <c r="Z90" s="385">
        <f t="shared" si="37"/>
        <v>11.198820836010109</v>
      </c>
      <c r="AA90" s="386">
        <f t="shared" si="38"/>
        <v>13.007311465572947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0.13903646686322951</v>
      </c>
      <c r="AD90" s="231">
        <f>(INDEX(Models!$BJ90:$BT90,,AH90)*(1-AF90)+INDEX(Models!$BJ90:$BT90,,AH90+1)*AF90-ERP_i)*AE90*Ramure*Pc/MaxiM</f>
        <v>1.0505206496506632E-3</v>
      </c>
      <c r="AE90" s="305">
        <f t="shared" si="40"/>
        <v>0.7</v>
      </c>
      <c r="AF90" s="177">
        <f t="shared" si="41"/>
        <v>1.0556265239752114E-2</v>
      </c>
      <c r="AG90" s="810">
        <f t="shared" si="49"/>
        <v>0</v>
      </c>
      <c r="AH90" s="176">
        <f t="shared" si="42"/>
        <v>6</v>
      </c>
      <c r="AI90" s="225">
        <f t="shared" si="43"/>
        <v>1.0556265239752114E-2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42">
        <v>15.138</v>
      </c>
      <c r="C91" s="840"/>
      <c r="D91" s="393">
        <f t="shared" si="25"/>
        <v>15.612052051410922</v>
      </c>
      <c r="E91" s="385">
        <f t="shared" si="47"/>
        <v>16.844991945431541</v>
      </c>
      <c r="F91" s="385">
        <f t="shared" si="26"/>
        <v>16.846825119635568</v>
      </c>
      <c r="G91" s="110">
        <f t="shared" si="48"/>
        <v>0.37236400646239853</v>
      </c>
      <c r="H91" s="414" t="b">
        <f>Wh_hp&gt;='2021'!Maxi_hp</f>
        <v>0</v>
      </c>
      <c r="I91" s="380">
        <f>IF(H91,Wh_hp,'2021'!Maxi_hp)</f>
        <v>32.389497861269035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3.0364493395862113E-2</v>
      </c>
      <c r="M91" s="844"/>
      <c r="N91" s="844"/>
      <c r="O91" s="48">
        <f>IF(t&lt;Tnet,'2021'!Resal+('2021'!Salim-'2021'!Resal)*(1-EXP(('2021'!Tnet-t)/('2021'!Tau_j))),Resal+(Salim-Resal)*(1-EXP((Tnet-t)/(Tau_j))))*Salcycl</f>
        <v>7.319326111966476E-2</v>
      </c>
      <c r="P91" s="339">
        <f>(INDEX(Models!$BJ91:$BT91,,T91)*(1-R91)+INDEX(Models!$BJ91:$BT91,,T91+1)*R91-ERP_i)*Q91*Ramure*Pc/MaxiM</f>
        <v>1.0475292808753483E-3</v>
      </c>
      <c r="Q91" s="305">
        <f t="shared" si="28"/>
        <v>0.7</v>
      </c>
      <c r="R91" s="177">
        <f t="shared" si="29"/>
        <v>1.1037050902652456E-2</v>
      </c>
      <c r="S91" s="810">
        <f t="shared" si="30"/>
        <v>0</v>
      </c>
      <c r="T91" s="176">
        <f t="shared" si="31"/>
        <v>6</v>
      </c>
      <c r="U91" s="251">
        <f t="shared" si="32"/>
        <v>1.1037050902652456E-2</v>
      </c>
      <c r="V91" s="383">
        <f t="shared" si="33"/>
        <v>40.615601729890059</v>
      </c>
      <c r="W91" s="402">
        <f t="shared" si="34"/>
        <v>0</v>
      </c>
      <c r="X91" s="157">
        <f t="shared" si="35"/>
        <v>44638</v>
      </c>
      <c r="Y91" s="385">
        <f t="shared" si="36"/>
        <v>14.061723318185654</v>
      </c>
      <c r="Z91" s="385">
        <f t="shared" si="37"/>
        <v>14.502071368480193</v>
      </c>
      <c r="AA91" s="386">
        <f t="shared" si="38"/>
        <v>16.844991945431541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0.13908707018329938</v>
      </c>
      <c r="AD91" s="231">
        <f>(INDEX(Models!$BJ91:$BT91,,AH91)*(1-AF91)+INDEX(Models!$BJ91:$BT91,,AH91+1)*AF91-ERP_i)*AE91*Ramure*Pc/MaxiM</f>
        <v>1.0475292808753483E-3</v>
      </c>
      <c r="AE91" s="305">
        <f t="shared" si="40"/>
        <v>0.7</v>
      </c>
      <c r="AF91" s="177">
        <f t="shared" si="41"/>
        <v>1.1037050902652456E-2</v>
      </c>
      <c r="AG91" s="810">
        <f t="shared" si="49"/>
        <v>0</v>
      </c>
      <c r="AH91" s="176">
        <f t="shared" si="42"/>
        <v>6</v>
      </c>
      <c r="AI91" s="225">
        <f t="shared" si="43"/>
        <v>1.1037050902652456E-2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42">
        <v>26.7</v>
      </c>
      <c r="C92" s="840"/>
      <c r="D92" s="393">
        <f t="shared" si="25"/>
        <v>27.536761165004407</v>
      </c>
      <c r="E92" s="385">
        <f t="shared" si="47"/>
        <v>29.715298323586616</v>
      </c>
      <c r="F92" s="385">
        <f t="shared" si="26"/>
        <v>29.730847702674215</v>
      </c>
      <c r="G92" s="110">
        <f t="shared" si="48"/>
        <v>0.65056559524716395</v>
      </c>
      <c r="H92" s="414" t="b">
        <f>Wh_hp&gt;='2021'!Maxi_hp</f>
        <v>0</v>
      </c>
      <c r="I92" s="380">
        <f>IF(H92,Wh_hp,'2021'!Maxi_hp)</f>
        <v>42.780968964285989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3.0387058230647024E-2</v>
      </c>
      <c r="M92" s="844"/>
      <c r="N92" s="844"/>
      <c r="O92" s="48">
        <f>IF(t&lt;Tnet,'2021'!Resal+('2021'!Salim-'2021'!Resal)*(1-EXP(('2021'!Tnet-t)/('2021'!Tau_j))),Resal+(Salim-Resal)*(1-EXP((Tnet-t)/(Tau_j))))*Salcycl</f>
        <v>7.3313655978105727E-2</v>
      </c>
      <c r="P92" s="339">
        <f>(INDEX(Models!$BJ92:$BT92,,T92)*(1-R92)+INDEX(Models!$BJ92:$BT92,,T92+1)*R92-ERP_i)*Q92*Ramure*Pc/MaxiM</f>
        <v>1.043313750578473E-3</v>
      </c>
      <c r="Q92" s="305">
        <f t="shared" si="28"/>
        <v>0.7</v>
      </c>
      <c r="R92" s="177">
        <f t="shared" si="29"/>
        <v>1.1536743394017727E-2</v>
      </c>
      <c r="S92" s="810">
        <f t="shared" si="30"/>
        <v>0</v>
      </c>
      <c r="T92" s="176">
        <f t="shared" si="31"/>
        <v>6</v>
      </c>
      <c r="U92" s="251">
        <f t="shared" si="32"/>
        <v>1.1536743394017727E-2</v>
      </c>
      <c r="V92" s="383">
        <f t="shared" si="33"/>
        <v>41.01984592973762</v>
      </c>
      <c r="W92" s="402">
        <f t="shared" si="34"/>
        <v>0</v>
      </c>
      <c r="X92" s="157">
        <f t="shared" si="35"/>
        <v>44639</v>
      </c>
      <c r="Y92" s="385">
        <f t="shared" si="36"/>
        <v>24.803440278555435</v>
      </c>
      <c r="Z92" s="385">
        <f t="shared" si="37"/>
        <v>25.580764457716533</v>
      </c>
      <c r="AA92" s="386">
        <f t="shared" si="38"/>
        <v>29.715298323586616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0.13913822505992757</v>
      </c>
      <c r="AD92" s="231">
        <f>(INDEX(Models!$BJ92:$BT92,,AH92)*(1-AF92)+INDEX(Models!$BJ92:$BT92,,AH92+1)*AF92-ERP_i)*AE92*Ramure*Pc/MaxiM</f>
        <v>1.043313750578473E-3</v>
      </c>
      <c r="AE92" s="305">
        <f t="shared" si="40"/>
        <v>0.7</v>
      </c>
      <c r="AF92" s="177">
        <f t="shared" si="41"/>
        <v>1.1536743394017727E-2</v>
      </c>
      <c r="AG92" s="810">
        <f t="shared" si="49"/>
        <v>0</v>
      </c>
      <c r="AH92" s="176">
        <f t="shared" si="42"/>
        <v>6</v>
      </c>
      <c r="AI92" s="225">
        <f t="shared" si="43"/>
        <v>1.1536743394017727E-2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42">
        <v>30</v>
      </c>
      <c r="C93" s="840"/>
      <c r="D93" s="393">
        <f t="shared" si="25"/>
        <v>30.940901124245524</v>
      </c>
      <c r="E93" s="385">
        <f t="shared" si="47"/>
        <v>33.39309915955473</v>
      </c>
      <c r="F93" s="385">
        <f t="shared" si="26"/>
        <v>33.414111428696607</v>
      </c>
      <c r="G93" s="110">
        <f t="shared" si="48"/>
        <v>0.72385326691310659</v>
      </c>
      <c r="H93" s="414" t="b">
        <f>Wh_hp&gt;='2021'!Maxi_hp</f>
        <v>0</v>
      </c>
      <c r="I93" s="380">
        <f>IF(H93,Wh_hp,'2021'!Maxi_hp)</f>
        <v>45.417095514762579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3.0409622540315318E-2</v>
      </c>
      <c r="M93" s="844"/>
      <c r="N93" s="844"/>
      <c r="O93" s="48">
        <f>IF(t&lt;Tnet,'2021'!Resal+('2021'!Salim-'2021'!Resal)*(1-EXP(('2021'!Tnet-t)/('2021'!Tau_j))),Resal+(Salim-Resal)*(1-EXP((Tnet-t)/(Tau_j))))*Salcycl</f>
        <v>7.3434275255268244E-2</v>
      </c>
      <c r="P93" s="339">
        <f>(INDEX(Models!$BJ93:$BT93,,T93)*(1-R93)+INDEX(Models!$BJ93:$BT93,,T93+1)*R93-ERP_i)*Q93*Ramure*Pc/MaxiM</f>
        <v>1.037819922663235E-3</v>
      </c>
      <c r="Q93" s="305">
        <f t="shared" si="28"/>
        <v>0.7</v>
      </c>
      <c r="R93" s="177">
        <f t="shared" si="29"/>
        <v>1.2056032980114907E-2</v>
      </c>
      <c r="S93" s="810">
        <f t="shared" si="30"/>
        <v>0</v>
      </c>
      <c r="T93" s="176">
        <f t="shared" si="31"/>
        <v>6</v>
      </c>
      <c r="U93" s="251">
        <f t="shared" si="32"/>
        <v>1.2056032980114907E-2</v>
      </c>
      <c r="V93" s="383">
        <f t="shared" si="33"/>
        <v>41.427903109376096</v>
      </c>
      <c r="W93" s="402">
        <f t="shared" si="34"/>
        <v>0</v>
      </c>
      <c r="X93" s="157">
        <f t="shared" si="35"/>
        <v>44640</v>
      </c>
      <c r="Y93" s="385">
        <f t="shared" si="36"/>
        <v>27.870986165548885</v>
      </c>
      <c r="Z93" s="385">
        <f t="shared" si="37"/>
        <v>28.745114239448764</v>
      </c>
      <c r="AA93" s="386">
        <f t="shared" si="38"/>
        <v>33.39309915955473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0.13918998347226003</v>
      </c>
      <c r="AD93" s="231">
        <f>(INDEX(Models!$BJ93:$BT93,,AH93)*(1-AF93)+INDEX(Models!$BJ93:$BT93,,AH93+1)*AF93-ERP_i)*AE93*Ramure*Pc/MaxiM</f>
        <v>1.037819922663235E-3</v>
      </c>
      <c r="AE93" s="305">
        <f t="shared" si="40"/>
        <v>0.7</v>
      </c>
      <c r="AF93" s="177">
        <f t="shared" si="41"/>
        <v>1.2056032980114907E-2</v>
      </c>
      <c r="AG93" s="810">
        <f t="shared" si="49"/>
        <v>0</v>
      </c>
      <c r="AH93" s="176">
        <f t="shared" si="42"/>
        <v>6</v>
      </c>
      <c r="AI93" s="225">
        <f t="shared" si="43"/>
        <v>1.2056032980114907E-2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42">
        <v>40.075000000000003</v>
      </c>
      <c r="C94" s="840"/>
      <c r="D94" s="393">
        <f t="shared" si="25"/>
        <v>41.332848960916714</v>
      </c>
      <c r="E94" s="385">
        <f t="shared" si="47"/>
        <v>44.614473147542448</v>
      </c>
      <c r="F94" s="385">
        <f t="shared" si="26"/>
        <v>44.657674325895407</v>
      </c>
      <c r="G94" s="110">
        <f t="shared" si="48"/>
        <v>0.95769605817993109</v>
      </c>
      <c r="H94" s="414" t="b">
        <f>Wh_hp&gt;='2021'!Maxi_hp</f>
        <v>0</v>
      </c>
      <c r="I94" s="380">
        <f>IF(H94,Wh_hp,'2021'!Maxi_hp)</f>
        <v>48.198985258159908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3.0432186324879207E-2</v>
      </c>
      <c r="M94" s="844"/>
      <c r="N94" s="844"/>
      <c r="O94" s="48">
        <f>IF(t&lt;Tnet,'2021'!Resal+('2021'!Salim-'2021'!Resal)*(1-EXP(('2021'!Tnet-t)/('2021'!Tau_j))),Resal+(Salim-Resal)*(1-EXP((Tnet-t)/(Tau_j))))*Salcycl</f>
        <v>7.3555148253644648E-2</v>
      </c>
      <c r="P94" s="339">
        <f>(INDEX(Models!$BJ94:$BT94,,T94)*(1-R94)+INDEX(Models!$BJ94:$BT94,,T94+1)*R94-ERP_i)*Q94*Ramure*Pc/MaxiM</f>
        <v>1.0295156719187725E-3</v>
      </c>
      <c r="Q94" s="305">
        <f t="shared" si="28"/>
        <v>0.7</v>
      </c>
      <c r="R94" s="177">
        <f t="shared" si="29"/>
        <v>1.2595630731875073E-2</v>
      </c>
      <c r="S94" s="810">
        <f t="shared" si="30"/>
        <v>0</v>
      </c>
      <c r="T94" s="176">
        <f t="shared" si="31"/>
        <v>6</v>
      </c>
      <c r="U94" s="251">
        <f t="shared" si="32"/>
        <v>1.2595630731875073E-2</v>
      </c>
      <c r="V94" s="383">
        <f t="shared" si="33"/>
        <v>41.842615277241713</v>
      </c>
      <c r="W94" s="402">
        <f t="shared" si="34"/>
        <v>0</v>
      </c>
      <c r="X94" s="157">
        <f t="shared" si="35"/>
        <v>44641</v>
      </c>
      <c r="Y94" s="385">
        <f t="shared" si="36"/>
        <v>37.233582577082295</v>
      </c>
      <c r="Z94" s="385">
        <f t="shared" si="37"/>
        <v>38.402246910352147</v>
      </c>
      <c r="AA94" s="386">
        <f t="shared" si="38"/>
        <v>44.614473147542448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0.13924239823803666</v>
      </c>
      <c r="AD94" s="231">
        <f>(INDEX(Models!$BJ94:$BT94,,AH94)*(1-AF94)+INDEX(Models!$BJ94:$BT94,,AH94+1)*AF94-ERP_i)*AE94*Ramure*Pc/MaxiM</f>
        <v>1.0295156719187725E-3</v>
      </c>
      <c r="AE94" s="305">
        <f t="shared" si="40"/>
        <v>0.7</v>
      </c>
      <c r="AF94" s="177">
        <f t="shared" si="41"/>
        <v>1.2595630731875073E-2</v>
      </c>
      <c r="AG94" s="810">
        <f t="shared" si="49"/>
        <v>0</v>
      </c>
      <c r="AH94" s="176">
        <f t="shared" si="42"/>
        <v>6</v>
      </c>
      <c r="AI94" s="225">
        <f t="shared" si="43"/>
        <v>1.2595630731875073E-2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42">
        <v>37.981999999999999</v>
      </c>
      <c r="C95" s="840"/>
      <c r="D95" s="393">
        <f t="shared" si="25"/>
        <v>39.17506685089419</v>
      </c>
      <c r="E95" s="385">
        <f t="shared" si="47"/>
        <v>42.290904413299394</v>
      </c>
      <c r="F95" s="385">
        <f t="shared" si="26"/>
        <v>42.327783968402358</v>
      </c>
      <c r="G95" s="110">
        <f t="shared" si="48"/>
        <v>0.89858589871834038</v>
      </c>
      <c r="H95" s="414" t="b">
        <f>Wh_hp&gt;='2021'!Maxi_hp</f>
        <v>0</v>
      </c>
      <c r="I95" s="380">
        <f>IF(H95,Wh_hp,'2021'!Maxi_hp)</f>
        <v>46.410432138632295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3.0454749584350904E-2</v>
      </c>
      <c r="M95" s="844"/>
      <c r="N95" s="844"/>
      <c r="O95" s="48">
        <f>IF(t&lt;Tnet,'2021'!Resal+('2021'!Salim-'2021'!Resal)*(1-EXP(('2021'!Tnet-t)/('2021'!Tau_j))),Resal+(Salim-Resal)*(1-EXP((Tnet-t)/(Tau_j))))*Salcycl</f>
        <v>7.3676304766500916E-2</v>
      </c>
      <c r="P95" s="339">
        <f>(INDEX(Models!$BJ95:$BT95,,T95)*(1-R95)+INDEX(Models!$BJ95:$BT95,,T95+1)*R95-ERP_i)*Q95*Ramure*Pc/MaxiM</f>
        <v>1.0186747016795127E-3</v>
      </c>
      <c r="Q95" s="305">
        <f t="shared" si="28"/>
        <v>0.7</v>
      </c>
      <c r="R95" s="177">
        <f t="shared" si="29"/>
        <v>1.315626878081484E-2</v>
      </c>
      <c r="S95" s="810">
        <f t="shared" si="30"/>
        <v>0</v>
      </c>
      <c r="T95" s="176">
        <f t="shared" si="31"/>
        <v>6</v>
      </c>
      <c r="U95" s="251">
        <f t="shared" si="32"/>
        <v>1.315626878081484E-2</v>
      </c>
      <c r="V95" s="383">
        <f t="shared" si="33"/>
        <v>42.262400299575162</v>
      </c>
      <c r="W95" s="402">
        <f t="shared" si="34"/>
        <v>0</v>
      </c>
      <c r="X95" s="157">
        <f t="shared" si="35"/>
        <v>44642</v>
      </c>
      <c r="Y95" s="385">
        <f t="shared" si="36"/>
        <v>35.291418776741537</v>
      </c>
      <c r="Z95" s="385">
        <f t="shared" si="37"/>
        <v>36.399970771464169</v>
      </c>
      <c r="AA95" s="386">
        <f t="shared" si="38"/>
        <v>42.290904413299394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0.13929552284492347</v>
      </c>
      <c r="AD95" s="231">
        <f>(INDEX(Models!$BJ95:$BT95,,AH95)*(1-AF95)+INDEX(Models!$BJ95:$BT95,,AH95+1)*AF95-ERP_i)*AE95*Ramure*Pc/MaxiM</f>
        <v>1.0186747016795127E-3</v>
      </c>
      <c r="AE95" s="305">
        <f t="shared" si="40"/>
        <v>0.7</v>
      </c>
      <c r="AF95" s="177">
        <f t="shared" si="41"/>
        <v>1.315626878081484E-2</v>
      </c>
      <c r="AG95" s="810">
        <f t="shared" si="49"/>
        <v>0</v>
      </c>
      <c r="AH95" s="176">
        <f t="shared" si="42"/>
        <v>6</v>
      </c>
      <c r="AI95" s="225">
        <f t="shared" si="43"/>
        <v>1.315626878081484E-2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42">
        <v>43.608000000000004</v>
      </c>
      <c r="C96" s="840"/>
      <c r="D96" s="393">
        <f t="shared" si="25"/>
        <v>44.978833970656567</v>
      </c>
      <c r="E96" s="385">
        <f t="shared" si="47"/>
        <v>48.562649447561249</v>
      </c>
      <c r="F96" s="385">
        <f t="shared" si="26"/>
        <v>48.611523908671685</v>
      </c>
      <c r="G96" s="110">
        <f t="shared" si="48"/>
        <v>1.0216071649905401</v>
      </c>
      <c r="H96" s="414" t="b">
        <f>Wh_hp&gt;='2021'!Maxi_hp</f>
        <v>0</v>
      </c>
      <c r="I96" s="380">
        <f>IF(H96,Wh_hp,'2021'!Maxi_hp)</f>
        <v>49.043918463336865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3.0477312318742511E-2</v>
      </c>
      <c r="M96" s="844"/>
      <c r="N96" s="844"/>
      <c r="O96" s="48">
        <f>IF(t&lt;Tnet,'2021'!Resal+('2021'!Salim-'2021'!Resal)*(1-EXP(('2021'!Tnet-t)/('2021'!Tau_j))),Resal+(Salim-Resal)*(1-EXP((Tnet-t)/(Tau_j))))*Salcycl</f>
        <v>7.3797774991138876E-2</v>
      </c>
      <c r="P96" s="339">
        <f>(INDEX(Models!$BJ96:$BT96,,T96)*(1-R96)+INDEX(Models!$BJ96:$BT96,,T96+1)*R96-ERP_i)*Q96*Ramure*Pc/MaxiM</f>
        <v>1.0054089479329966E-3</v>
      </c>
      <c r="Q96" s="305">
        <f t="shared" si="28"/>
        <v>0.7</v>
      </c>
      <c r="R96" s="177">
        <f t="shared" si="29"/>
        <v>1.3738700542650556E-2</v>
      </c>
      <c r="S96" s="810">
        <f t="shared" si="30"/>
        <v>0</v>
      </c>
      <c r="T96" s="176">
        <f t="shared" si="31"/>
        <v>6</v>
      </c>
      <c r="U96" s="251">
        <f t="shared" si="32"/>
        <v>1.3738700542650556E-2</v>
      </c>
      <c r="V96" s="383">
        <f t="shared" si="33"/>
        <v>42.685683396125953</v>
      </c>
      <c r="W96" s="402">
        <f t="shared" si="34"/>
        <v>0</v>
      </c>
      <c r="X96" s="157">
        <f t="shared" si="35"/>
        <v>44643</v>
      </c>
      <c r="Y96" s="385">
        <f t="shared" si="36"/>
        <v>40.521659157517419</v>
      </c>
      <c r="Z96" s="385">
        <f t="shared" si="37"/>
        <v>41.795472836670136</v>
      </c>
      <c r="AA96" s="386">
        <f t="shared" si="38"/>
        <v>48.562649447561249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0.13934941128363323</v>
      </c>
      <c r="AD96" s="231">
        <f>(INDEX(Models!$BJ96:$BT96,,AH96)*(1-AF96)+INDEX(Models!$BJ96:$BT96,,AH96+1)*AF96-ERP_i)*AE96*Ramure*Pc/MaxiM</f>
        <v>1.0054089479329966E-3</v>
      </c>
      <c r="AE96" s="305">
        <f t="shared" si="40"/>
        <v>0.7</v>
      </c>
      <c r="AF96" s="177">
        <f t="shared" si="41"/>
        <v>1.3738700542650556E-2</v>
      </c>
      <c r="AG96" s="810">
        <f t="shared" si="49"/>
        <v>0</v>
      </c>
      <c r="AH96" s="176">
        <f t="shared" si="42"/>
        <v>6</v>
      </c>
      <c r="AI96" s="225">
        <f t="shared" si="43"/>
        <v>1.3738700542650556E-2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42">
        <v>42.951999999999998</v>
      </c>
      <c r="C97" s="840"/>
      <c r="D97" s="393">
        <f t="shared" si="25"/>
        <v>44.303243363781732</v>
      </c>
      <c r="E97" s="385">
        <f t="shared" si="47"/>
        <v>47.839521124447636</v>
      </c>
      <c r="F97" s="385">
        <f t="shared" si="26"/>
        <v>47.886670944500004</v>
      </c>
      <c r="G97" s="110">
        <f t="shared" si="48"/>
        <v>0.99630917394196328</v>
      </c>
      <c r="H97" s="414" t="b">
        <f>Wh_hp&gt;='2021'!Maxi_hp</f>
        <v>0</v>
      </c>
      <c r="I97" s="380">
        <f>IF(H97,Wh_hp,'2021'!Maxi_hp)</f>
        <v>48.279322574126304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3.0499874528066351E-2</v>
      </c>
      <c r="M97" s="844"/>
      <c r="N97" s="844"/>
      <c r="O97" s="48">
        <f>IF(t&lt;Tnet,'2021'!Resal+('2021'!Salim-'2021'!Resal)*(1-EXP(('2021'!Tnet-t)/('2021'!Tau_j))),Resal+(Salim-Resal)*(1-EXP((Tnet-t)/(Tau_j))))*Salcycl</f>
        <v>7.3919589442937431E-2</v>
      </c>
      <c r="P97" s="339">
        <f>(INDEX(Models!$BJ97:$BT97,,T97)*(1-R97)+INDEX(Models!$BJ97:$BT97,,T97+1)*R97-ERP_i)*Q97*Ramure*Pc/MaxiM</f>
        <v>9.8982421604127692E-4</v>
      </c>
      <c r="Q97" s="305">
        <f t="shared" si="28"/>
        <v>0.7</v>
      </c>
      <c r="R97" s="177">
        <f t="shared" si="29"/>
        <v>1.4343700904698407E-2</v>
      </c>
      <c r="S97" s="810">
        <f t="shared" si="30"/>
        <v>0</v>
      </c>
      <c r="T97" s="176">
        <f t="shared" si="31"/>
        <v>6</v>
      </c>
      <c r="U97" s="251">
        <f t="shared" si="32"/>
        <v>1.4343700904698407E-2</v>
      </c>
      <c r="V97" s="383">
        <f t="shared" si="33"/>
        <v>43.110890729355283</v>
      </c>
      <c r="W97" s="402">
        <f t="shared" si="34"/>
        <v>0</v>
      </c>
      <c r="X97" s="157">
        <f t="shared" si="35"/>
        <v>44644</v>
      </c>
      <c r="Y97" s="385">
        <f t="shared" si="36"/>
        <v>39.914799953948268</v>
      </c>
      <c r="Z97" s="385">
        <f t="shared" si="37"/>
        <v>41.170494882111051</v>
      </c>
      <c r="AA97" s="386">
        <f t="shared" si="38"/>
        <v>47.839521124447636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0.13940411788379051</v>
      </c>
      <c r="AD97" s="231">
        <f>(INDEX(Models!$BJ97:$BT97,,AH97)*(1-AF97)+INDEX(Models!$BJ97:$BT97,,AH97+1)*AF97-ERP_i)*AE97*Ramure*Pc/MaxiM</f>
        <v>9.8982421604127692E-4</v>
      </c>
      <c r="AE97" s="305">
        <f t="shared" si="40"/>
        <v>0.7</v>
      </c>
      <c r="AF97" s="177">
        <f t="shared" si="41"/>
        <v>1.4343700904698407E-2</v>
      </c>
      <c r="AG97" s="810">
        <f t="shared" si="49"/>
        <v>0</v>
      </c>
      <c r="AH97" s="176">
        <f t="shared" si="42"/>
        <v>6</v>
      </c>
      <c r="AI97" s="225">
        <f t="shared" si="43"/>
        <v>1.4343700904698407E-2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42">
        <v>40.564</v>
      </c>
      <c r="C98" s="840"/>
      <c r="D98" s="393">
        <f t="shared" si="25"/>
        <v>41.841092063564567</v>
      </c>
      <c r="E98" s="385">
        <f t="shared" si="47"/>
        <v>45.186803366281673</v>
      </c>
      <c r="F98" s="385">
        <f t="shared" si="26"/>
        <v>45.226476614605296</v>
      </c>
      <c r="G98" s="110">
        <f t="shared" si="48"/>
        <v>0.93163662714880968</v>
      </c>
      <c r="H98" s="414" t="b">
        <f>Wh_hp&gt;='2021'!Maxi_hp</f>
        <v>1</v>
      </c>
      <c r="I98" s="380">
        <f>IF(H98,Wh_hp,'2021'!Maxi_hp)</f>
        <v>45.226476614605296</v>
      </c>
      <c r="J98" s="85">
        <f>IF(H98,An,'2021'!An_max)</f>
        <v>2022</v>
      </c>
      <c r="K98" s="197">
        <f t="shared" si="27"/>
        <v>44645</v>
      </c>
      <c r="L98" s="147">
        <f>IF(t&lt;Tvie,1-EXP((T0-t)*PertePVj)+'2021'!Pspv,1-EXP((T0-t)*PertePVj)+Pspv)</f>
        <v>3.0522436212334525E-2</v>
      </c>
      <c r="M98" s="844"/>
      <c r="N98" s="844"/>
      <c r="O98" s="48">
        <f>IF(t&lt;Tnet,'2021'!Resal+('2021'!Salim-'2021'!Resal)*(1-EXP(('2021'!Tnet-t)/('2021'!Tau_j))),Resal+(Salim-Resal)*(1-EXP((Tnet-t)/(Tau_j))))*Salcycl</f>
        <v>7.4041778870635261E-2</v>
      </c>
      <c r="P98" s="339">
        <f>(INDEX(Models!$BJ98:$BT98,,T98)*(1-R98)+INDEX(Models!$BJ98:$BT98,,T98+1)*R98-ERP_i)*Q98*Ramure*Pc/MaxiM</f>
        <v>9.7201944956651408E-4</v>
      </c>
      <c r="Q98" s="305">
        <f t="shared" si="28"/>
        <v>0.7</v>
      </c>
      <c r="R98" s="177">
        <f t="shared" si="29"/>
        <v>1.4972066372896199E-2</v>
      </c>
      <c r="S98" s="810">
        <f t="shared" si="30"/>
        <v>0</v>
      </c>
      <c r="T98" s="176">
        <f t="shared" si="31"/>
        <v>6</v>
      </c>
      <c r="U98" s="251">
        <f t="shared" si="32"/>
        <v>1.4972066372896199E-2</v>
      </c>
      <c r="V98" s="383">
        <f t="shared" si="33"/>
        <v>43.536449414210765</v>
      </c>
      <c r="W98" s="402">
        <f t="shared" si="34"/>
        <v>0</v>
      </c>
      <c r="X98" s="157">
        <f t="shared" si="35"/>
        <v>44645</v>
      </c>
      <c r="Y98" s="385">
        <f t="shared" si="36"/>
        <v>37.698198523574121</v>
      </c>
      <c r="Z98" s="385">
        <f t="shared" si="37"/>
        <v>38.885065453490746</v>
      </c>
      <c r="AA98" s="386">
        <f t="shared" si="38"/>
        <v>45.186803366281673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0.13945969715337903</v>
      </c>
      <c r="AD98" s="231">
        <f>(INDEX(Models!$BJ98:$BT98,,AH98)*(1-AF98)+INDEX(Models!$BJ98:$BT98,,AH98+1)*AF98-ERP_i)*AE98*Ramure*Pc/MaxiM</f>
        <v>9.7201944956651408E-4</v>
      </c>
      <c r="AE98" s="305">
        <f t="shared" si="40"/>
        <v>0.7</v>
      </c>
      <c r="AF98" s="177">
        <f t="shared" si="41"/>
        <v>1.4972066372896199E-2</v>
      </c>
      <c r="AG98" s="810">
        <f t="shared" si="49"/>
        <v>0</v>
      </c>
      <c r="AH98" s="176">
        <f t="shared" si="42"/>
        <v>6</v>
      </c>
      <c r="AI98" s="225">
        <f t="shared" si="43"/>
        <v>1.4972066372896199E-2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42">
        <v>43.17</v>
      </c>
      <c r="C99" s="840"/>
      <c r="D99" s="393">
        <f t="shared" si="25"/>
        <v>44.530174049290672</v>
      </c>
      <c r="E99" s="385">
        <f t="shared" si="47"/>
        <v>48.097278617385925</v>
      </c>
      <c r="F99" s="385">
        <f t="shared" si="26"/>
        <v>48.141936019805243</v>
      </c>
      <c r="G99" s="110">
        <f t="shared" si="48"/>
        <v>0.98198747617418514</v>
      </c>
      <c r="H99" s="414" t="b">
        <f>Wh_hp&gt;='2021'!Maxi_hp</f>
        <v>0</v>
      </c>
      <c r="I99" s="380">
        <f>IF(H99,Wh_hp,'2021'!Maxi_hp)</f>
        <v>50.66707986781163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3.0544997371559468E-2</v>
      </c>
      <c r="M99" s="844"/>
      <c r="N99" s="844"/>
      <c r="O99" s="48">
        <f>IF(t&lt;Tnet,'2021'!Resal+('2021'!Salim-'2021'!Resal)*(1-EXP(('2021'!Tnet-t)/('2021'!Tau_j))),Resal+(Salim-Resal)*(1-EXP((Tnet-t)/(Tau_j))))*Salcycl</f>
        <v>7.416437417325801E-2</v>
      </c>
      <c r="P99" s="339">
        <f>(INDEX(Models!$BJ99:$BT99,,T99)*(1-R99)+INDEX(Models!$BJ99:$BT99,,T99+1)*R99-ERP_i)*Q99*Ramure*Pc/MaxiM</f>
        <v>9.5208611810066639E-4</v>
      </c>
      <c r="Q99" s="305">
        <f t="shared" si="28"/>
        <v>0.7</v>
      </c>
      <c r="R99" s="177">
        <f t="shared" si="29"/>
        <v>1.5624615174019092E-2</v>
      </c>
      <c r="S99" s="810">
        <f t="shared" si="30"/>
        <v>0</v>
      </c>
      <c r="T99" s="176">
        <f t="shared" si="31"/>
        <v>6</v>
      </c>
      <c r="U99" s="251">
        <f t="shared" si="32"/>
        <v>1.5624615174019092E-2</v>
      </c>
      <c r="V99" s="383">
        <f t="shared" si="33"/>
        <v>43.960787531638495</v>
      </c>
      <c r="W99" s="402">
        <f t="shared" si="34"/>
        <v>0</v>
      </c>
      <c r="X99" s="157">
        <f t="shared" si="35"/>
        <v>44646</v>
      </c>
      <c r="Y99" s="385">
        <f t="shared" si="36"/>
        <v>40.122765265644077</v>
      </c>
      <c r="Z99" s="385">
        <f t="shared" si="37"/>
        <v>41.386928900115009</v>
      </c>
      <c r="AA99" s="386">
        <f t="shared" si="38"/>
        <v>48.097278617385925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0.13951620362249142</v>
      </c>
      <c r="AD99" s="231">
        <f>(INDEX(Models!$BJ99:$BT99,,AH99)*(1-AF99)+INDEX(Models!$BJ99:$BT99,,AH99+1)*AF99-ERP_i)*AE99*Ramure*Pc/MaxiM</f>
        <v>9.5208611810066639E-4</v>
      </c>
      <c r="AE99" s="305">
        <f t="shared" si="40"/>
        <v>0.7</v>
      </c>
      <c r="AF99" s="177">
        <f t="shared" si="41"/>
        <v>1.5624615174019092E-2</v>
      </c>
      <c r="AG99" s="810">
        <f t="shared" si="49"/>
        <v>0</v>
      </c>
      <c r="AH99" s="176">
        <f t="shared" si="42"/>
        <v>6</v>
      </c>
      <c r="AI99" s="225">
        <f t="shared" si="43"/>
        <v>1.5624615174019092E-2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42">
        <v>41.375999999999998</v>
      </c>
      <c r="C100" s="840"/>
      <c r="D100" s="393">
        <f t="shared" si="25"/>
        <v>42.680643031591003</v>
      </c>
      <c r="E100" s="385">
        <f t="shared" si="47"/>
        <v>46.105717177160955</v>
      </c>
      <c r="F100" s="385">
        <f t="shared" si="26"/>
        <v>46.144451897011812</v>
      </c>
      <c r="G100" s="110">
        <f t="shared" si="48"/>
        <v>0.93217820736240176</v>
      </c>
      <c r="H100" s="414" t="b">
        <f>Wh_hp&gt;='2021'!Maxi_hp</f>
        <v>0</v>
      </c>
      <c r="I100" s="380">
        <f>IF(H100,Wh_hp,'2021'!Maxi_hp)</f>
        <v>49.81019451356466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3.0567558005753281E-2</v>
      </c>
      <c r="M100" s="844"/>
      <c r="N100" s="844"/>
      <c r="O100" s="48">
        <f>IF(t&lt;Tnet,'2021'!Resal+('2021'!Salim-'2021'!Resal)*(1-EXP(('2021'!Tnet-t)/('2021'!Tau_j))),Resal+(Salim-Resal)*(1-EXP((Tnet-t)/(Tau_j))))*Salcycl</f>
        <v>7.428740631902811E-2</v>
      </c>
      <c r="P100" s="339">
        <f>(INDEX(Models!$BJ100:$BT100,,T100)*(1-R100)+INDEX(Models!$BJ100:$BT100,,T100+1)*R100-ERP_i)*Q100*Ramure*Pc/MaxiM</f>
        <v>9.2935535455435602E-4</v>
      </c>
      <c r="Q100" s="305">
        <f t="shared" si="28"/>
        <v>0.7</v>
      </c>
      <c r="R100" s="177">
        <f t="shared" si="29"/>
        <v>1.6302187308390757E-2</v>
      </c>
      <c r="S100" s="810">
        <f t="shared" si="30"/>
        <v>0</v>
      </c>
      <c r="T100" s="176">
        <f t="shared" si="31"/>
        <v>6</v>
      </c>
      <c r="U100" s="251">
        <f t="shared" si="32"/>
        <v>1.6302187308390757E-2</v>
      </c>
      <c r="V100" s="383">
        <f t="shared" si="33"/>
        <v>44.382367567720472</v>
      </c>
      <c r="W100" s="402">
        <f t="shared" si="34"/>
        <v>0</v>
      </c>
      <c r="X100" s="157">
        <f t="shared" si="35"/>
        <v>44647</v>
      </c>
      <c r="Y100" s="385">
        <f t="shared" si="36"/>
        <v>38.45793951121523</v>
      </c>
      <c r="Z100" s="385">
        <f t="shared" si="37"/>
        <v>39.670572022638652</v>
      </c>
      <c r="AA100" s="386">
        <f t="shared" si="38"/>
        <v>46.105717177160955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0.13957369169197167</v>
      </c>
      <c r="AD100" s="231">
        <f>(INDEX(Models!$BJ100:$BT100,,AH100)*(1-AF100)+INDEX(Models!$BJ100:$BT100,,AH100+1)*AF100-ERP_i)*AE100*Ramure*Pc/MaxiM</f>
        <v>9.2935535455435602E-4</v>
      </c>
      <c r="AE100" s="305">
        <f t="shared" si="40"/>
        <v>0.7</v>
      </c>
      <c r="AF100" s="177">
        <f t="shared" si="41"/>
        <v>1.6302187308390757E-2</v>
      </c>
      <c r="AG100" s="810">
        <f t="shared" si="49"/>
        <v>0</v>
      </c>
      <c r="AH100" s="176">
        <f t="shared" si="42"/>
        <v>6</v>
      </c>
      <c r="AI100" s="225">
        <f t="shared" si="43"/>
        <v>1.6302187308390757E-2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42">
        <v>31.309000000000001</v>
      </c>
      <c r="C101" s="840"/>
      <c r="D101" s="393">
        <f t="shared" si="25"/>
        <v>32.296968067952733</v>
      </c>
      <c r="E101" s="385">
        <f t="shared" si="47"/>
        <v>34.893418998358285</v>
      </c>
      <c r="F101" s="385">
        <f t="shared" si="26"/>
        <v>34.911422637515038</v>
      </c>
      <c r="G101" s="110">
        <f t="shared" si="48"/>
        <v>0.69859608129497541</v>
      </c>
      <c r="H101" s="414" t="b">
        <f>Wh_hp&gt;='2021'!Maxi_hp</f>
        <v>0</v>
      </c>
      <c r="I101" s="380">
        <f>IF(H101,Wh_hp,'2021'!Maxi_hp)</f>
        <v>49.482894626918331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3.0590118114928067E-2</v>
      </c>
      <c r="M101" s="844"/>
      <c r="N101" s="844"/>
      <c r="O101" s="48">
        <f>IF(t&lt;Tnet,'2021'!Resal+('2021'!Salim-'2021'!Resal)*(1-EXP(('2021'!Tnet-t)/('2021'!Tau_j))),Resal+(Salim-Resal)*(1-EXP((Tnet-t)/(Tau_j))))*Salcycl</f>
        <v>7.441090626652884E-2</v>
      </c>
      <c r="P101" s="339">
        <f>(INDEX(Models!$BJ101:$BT101,,T101)*(1-R101)+INDEX(Models!$BJ101:$BT101,,T101+1)*R101-ERP_i)*Q101*Ramure*Pc/MaxiM</f>
        <v>9.0502641820065246E-4</v>
      </c>
      <c r="Q101" s="305">
        <f t="shared" si="28"/>
        <v>0.7</v>
      </c>
      <c r="R101" s="177">
        <f t="shared" si="29"/>
        <v>1.7005644548122149E-2</v>
      </c>
      <c r="S101" s="810">
        <f t="shared" si="30"/>
        <v>0</v>
      </c>
      <c r="T101" s="176">
        <f t="shared" si="31"/>
        <v>6</v>
      </c>
      <c r="U101" s="251">
        <f t="shared" si="32"/>
        <v>1.7005644548122149E-2</v>
      </c>
      <c r="V101" s="383">
        <f t="shared" si="33"/>
        <v>44.799570116455264</v>
      </c>
      <c r="W101" s="402">
        <f t="shared" si="34"/>
        <v>0</v>
      </c>
      <c r="X101" s="157">
        <f t="shared" si="35"/>
        <v>44648</v>
      </c>
      <c r="Y101" s="385">
        <f t="shared" si="36"/>
        <v>29.102822351385019</v>
      </c>
      <c r="Z101" s="385">
        <f t="shared" si="37"/>
        <v>30.021173597687024</v>
      </c>
      <c r="AA101" s="386">
        <f t="shared" si="38"/>
        <v>34.893418998358285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0.13963221548741039</v>
      </c>
      <c r="AD101" s="231">
        <f>(INDEX(Models!$BJ101:$BT101,,AH101)*(1-AF101)+INDEX(Models!$BJ101:$BT101,,AH101+1)*AF101-ERP_i)*AE101*Ramure*Pc/MaxiM</f>
        <v>9.0502641820065246E-4</v>
      </c>
      <c r="AE101" s="305">
        <f t="shared" si="40"/>
        <v>0.7</v>
      </c>
      <c r="AF101" s="177">
        <f t="shared" si="41"/>
        <v>1.7005644548122149E-2</v>
      </c>
      <c r="AG101" s="810">
        <f t="shared" si="49"/>
        <v>0</v>
      </c>
      <c r="AH101" s="176">
        <f t="shared" si="42"/>
        <v>6</v>
      </c>
      <c r="AI101" s="225">
        <f t="shared" si="43"/>
        <v>1.7005644548122149E-2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42">
        <v>26.964000000000002</v>
      </c>
      <c r="C102" s="840"/>
      <c r="D102" s="393">
        <f t="shared" si="25"/>
        <v>27.815507155591014</v>
      </c>
      <c r="E102" s="385">
        <f t="shared" si="47"/>
        <v>30.055706371329521</v>
      </c>
      <c r="F102" s="385">
        <f t="shared" si="26"/>
        <v>30.066899311621818</v>
      </c>
      <c r="G102" s="110">
        <f t="shared" si="48"/>
        <v>0.59610339894379583</v>
      </c>
      <c r="H102" s="414" t="b">
        <f>Wh_hp&gt;='2021'!Maxi_hp</f>
        <v>0</v>
      </c>
      <c r="I102" s="380">
        <f>IF(H102,Wh_hp,'2021'!Maxi_hp)</f>
        <v>51.787106415664866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3.0612677699096258E-2</v>
      </c>
      <c r="M102" s="844"/>
      <c r="N102" s="844"/>
      <c r="O102" s="48">
        <f>IF(t&lt;Tnet,'2021'!Resal+('2021'!Salim-'2021'!Resal)*(1-EXP(('2021'!Tnet-t)/('2021'!Tau_j))),Resal+(Salim-Resal)*(1-EXP((Tnet-t)/(Tau_j))))*Salcycl</f>
        <v>7.4534904888326259E-2</v>
      </c>
      <c r="P102" s="339">
        <f>(INDEX(Models!$BJ102:$BT102,,T102)*(1-R102)+INDEX(Models!$BJ102:$BT102,,T102+1)*R102-ERP_i)*Q102*Ramure*Pc/MaxiM</f>
        <v>8.7915783654594004E-4</v>
      </c>
      <c r="Q102" s="305">
        <f t="shared" si="28"/>
        <v>0.7</v>
      </c>
      <c r="R102" s="177">
        <f t="shared" si="29"/>
        <v>1.7735870375631256E-2</v>
      </c>
      <c r="S102" s="810">
        <f t="shared" si="30"/>
        <v>0</v>
      </c>
      <c r="T102" s="176">
        <f t="shared" si="31"/>
        <v>6</v>
      </c>
      <c r="U102" s="251">
        <f t="shared" si="32"/>
        <v>1.7735870375631256E-2</v>
      </c>
      <c r="V102" s="383">
        <f t="shared" si="33"/>
        <v>45.210826136001742</v>
      </c>
      <c r="W102" s="402">
        <f t="shared" si="34"/>
        <v>0</v>
      </c>
      <c r="X102" s="157">
        <f t="shared" si="35"/>
        <v>44649</v>
      </c>
      <c r="Y102" s="385">
        <f t="shared" si="36"/>
        <v>25.065612580047155</v>
      </c>
      <c r="Z102" s="385">
        <f t="shared" si="37"/>
        <v>25.857169784882576</v>
      </c>
      <c r="AA102" s="386">
        <f t="shared" si="38"/>
        <v>30.055706371329521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0.1396918287188211</v>
      </c>
      <c r="AD102" s="231">
        <f>(INDEX(Models!$BJ102:$BT102,,AH102)*(1-AF102)+INDEX(Models!$BJ102:$BT102,,AH102+1)*AF102-ERP_i)*AE102*Ramure*Pc/MaxiM</f>
        <v>8.7915783654594004E-4</v>
      </c>
      <c r="AE102" s="305">
        <f t="shared" si="40"/>
        <v>0.7</v>
      </c>
      <c r="AF102" s="177">
        <f t="shared" si="41"/>
        <v>1.7735870375631256E-2</v>
      </c>
      <c r="AG102" s="810">
        <f t="shared" si="49"/>
        <v>0</v>
      </c>
      <c r="AH102" s="176">
        <f t="shared" si="42"/>
        <v>6</v>
      </c>
      <c r="AI102" s="225">
        <f t="shared" si="43"/>
        <v>1.7735870375631256E-2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42">
        <v>7.9140000000000006</v>
      </c>
      <c r="C103" s="840"/>
      <c r="D103" s="393">
        <f t="shared" si="25"/>
        <v>8.1641094251602073</v>
      </c>
      <c r="E103" s="385">
        <f t="shared" si="47"/>
        <v>8.8228158533257783</v>
      </c>
      <c r="F103" s="385">
        <f t="shared" si="26"/>
        <v>8.8228158533257783</v>
      </c>
      <c r="G103" s="110">
        <f t="shared" si="48"/>
        <v>0.17334942038073822</v>
      </c>
      <c r="H103" s="414" t="b">
        <f>Wh_hp&gt;='2021'!Maxi_hp</f>
        <v>0</v>
      </c>
      <c r="I103" s="380">
        <f>IF(H103,Wh_hp,'2021'!Maxi_hp)</f>
        <v>50.64313114829168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3.0635236758269957E-2</v>
      </c>
      <c r="M103" s="844"/>
      <c r="N103" s="844"/>
      <c r="O103" s="48">
        <f>IF(t&lt;Tnet,'2021'!Resal+('2021'!Salim-'2021'!Resal)*(1-EXP(('2021'!Tnet-t)/('2021'!Tau_j))),Resal+(Salim-Resal)*(1-EXP((Tnet-t)/(Tau_j))))*Salcycl</f>
        <v>7.4659432897182201E-2</v>
      </c>
      <c r="P103" s="339">
        <f>(INDEX(Models!$BJ103:$BT103,,T103)*(1-R103)+INDEX(Models!$BJ103:$BT103,,T103+1)*R103-ERP_i)*Q103*Ramure*Pc/MaxiM</f>
        <v>8.5179992447125495E-4</v>
      </c>
      <c r="Q103" s="305">
        <f t="shared" si="28"/>
        <v>0.7</v>
      </c>
      <c r="R103" s="177">
        <f t="shared" si="29"/>
        <v>1.8493769856925926E-2</v>
      </c>
      <c r="S103" s="810">
        <f t="shared" si="30"/>
        <v>0</v>
      </c>
      <c r="T103" s="176">
        <f t="shared" si="31"/>
        <v>6</v>
      </c>
      <c r="U103" s="251">
        <f t="shared" si="32"/>
        <v>1.8493769856925926E-2</v>
      </c>
      <c r="V103" s="383">
        <f t="shared" si="33"/>
        <v>45.614567605882534</v>
      </c>
      <c r="W103" s="402">
        <f t="shared" si="34"/>
        <v>0</v>
      </c>
      <c r="X103" s="157">
        <f t="shared" si="35"/>
        <v>44650</v>
      </c>
      <c r="Y103" s="385">
        <f t="shared" si="36"/>
        <v>7.3572890759743128</v>
      </c>
      <c r="Z103" s="385">
        <f t="shared" si="37"/>
        <v>7.5898045348483842</v>
      </c>
      <c r="AA103" s="386">
        <f t="shared" si="38"/>
        <v>8.8228158533257783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0.13975258454619199</v>
      </c>
      <c r="AD103" s="231">
        <f>(INDEX(Models!$BJ103:$BT103,,AH103)*(1-AF103)+INDEX(Models!$BJ103:$BT103,,AH103+1)*AF103-ERP_i)*AE103*Ramure*Pc/MaxiM</f>
        <v>8.5179992447125495E-4</v>
      </c>
      <c r="AE103" s="305">
        <f t="shared" si="40"/>
        <v>0.7</v>
      </c>
      <c r="AF103" s="177">
        <f t="shared" si="41"/>
        <v>1.8493769856925926E-2</v>
      </c>
      <c r="AG103" s="810">
        <f t="shared" si="49"/>
        <v>0</v>
      </c>
      <c r="AH103" s="176">
        <f t="shared" si="42"/>
        <v>6</v>
      </c>
      <c r="AI103" s="225">
        <f t="shared" si="43"/>
        <v>1.8493769856925926E-2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42">
        <v>28.484000000000002</v>
      </c>
      <c r="C104" s="840"/>
      <c r="D104" s="393">
        <f t="shared" si="25"/>
        <v>29.384875497703046</v>
      </c>
      <c r="E104" s="385">
        <f t="shared" si="47"/>
        <v>31.760034454151871</v>
      </c>
      <c r="F104" s="385">
        <f t="shared" si="26"/>
        <v>31.771954019990883</v>
      </c>
      <c r="G104" s="110">
        <f t="shared" si="48"/>
        <v>0.61881584654023469</v>
      </c>
      <c r="H104" s="414" t="b">
        <f>Wh_hp&gt;='2021'!Maxi_hp</f>
        <v>0</v>
      </c>
      <c r="I104" s="380">
        <f>IF(H104,Wh_hp,'2021'!Maxi_hp)</f>
        <v>46.771911898558628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3.0657795292461376E-2</v>
      </c>
      <c r="M104" s="844"/>
      <c r="N104" s="844"/>
      <c r="O104" s="48">
        <f>IF(t&lt;Tnet,'2021'!Resal+('2021'!Salim-'2021'!Resal)*(1-EXP(('2021'!Tnet-t)/('2021'!Tau_j))),Resal+(Salim-Resal)*(1-EXP((Tnet-t)/(Tau_j))))*Salcycl</f>
        <v>7.4784520774924076E-2</v>
      </c>
      <c r="P104" s="339">
        <f>(INDEX(Models!$BJ104:$BT104,,T104)*(1-R104)+INDEX(Models!$BJ104:$BT104,,T104+1)*R104-ERP_i)*Q104*Ramure*Pc/MaxiM</f>
        <v>8.2299462626217619E-4</v>
      </c>
      <c r="Q104" s="305">
        <f t="shared" si="28"/>
        <v>0.7</v>
      </c>
      <c r="R104" s="177">
        <f t="shared" si="29"/>
        <v>1.9280269443857332E-2</v>
      </c>
      <c r="S104" s="810">
        <f t="shared" si="30"/>
        <v>0</v>
      </c>
      <c r="T104" s="176">
        <f t="shared" si="31"/>
        <v>6</v>
      </c>
      <c r="U104" s="251">
        <f t="shared" si="32"/>
        <v>1.9280269443857332E-2</v>
      </c>
      <c r="V104" s="383">
        <f t="shared" si="33"/>
        <v>46.009227543085103</v>
      </c>
      <c r="W104" s="402">
        <f t="shared" si="34"/>
        <v>0</v>
      </c>
      <c r="X104" s="157">
        <f t="shared" si="35"/>
        <v>44651</v>
      </c>
      <c r="Y104" s="385">
        <f t="shared" si="36"/>
        <v>26.481963739664032</v>
      </c>
      <c r="Z104" s="385">
        <f t="shared" si="37"/>
        <v>27.319519991037566</v>
      </c>
      <c r="AA104" s="386">
        <f t="shared" si="38"/>
        <v>31.760034454151871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0.13981453545097813</v>
      </c>
      <c r="AD104" s="231">
        <f>(INDEX(Models!$BJ104:$BT104,,AH104)*(1-AF104)+INDEX(Models!$BJ104:$BT104,,AH104+1)*AF104-ERP_i)*AE104*Ramure*Pc/MaxiM</f>
        <v>8.2299462626217619E-4</v>
      </c>
      <c r="AE104" s="305">
        <f t="shared" si="40"/>
        <v>0.7</v>
      </c>
      <c r="AF104" s="177">
        <f t="shared" si="41"/>
        <v>1.9280269443857332E-2</v>
      </c>
      <c r="AG104" s="810">
        <f t="shared" si="49"/>
        <v>0</v>
      </c>
      <c r="AH104" s="176">
        <f t="shared" si="42"/>
        <v>6</v>
      </c>
      <c r="AI104" s="225">
        <f t="shared" si="43"/>
        <v>1.9280269443857332E-2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42">
        <v>32.554000000000002</v>
      </c>
      <c r="C105" s="840"/>
      <c r="D105" s="393">
        <f t="shared" si="25"/>
        <v>33.584380664195727</v>
      </c>
      <c r="E105" s="385">
        <f t="shared" si="47"/>
        <v>36.303914081794773</v>
      </c>
      <c r="F105" s="385">
        <f t="shared" si="26"/>
        <v>36.320437573840927</v>
      </c>
      <c r="G105" s="110">
        <f t="shared" si="48"/>
        <v>0.70145988874353027</v>
      </c>
      <c r="H105" s="414" t="b">
        <f>Wh_hp&gt;='2021'!Maxi_hp</f>
        <v>0</v>
      </c>
      <c r="I105" s="380">
        <f>IF(H105,Wh_hp,'2021'!Maxi_hp)</f>
        <v>47.56351472577898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3.0680353301682728E-2</v>
      </c>
      <c r="M105" s="844"/>
      <c r="N105" s="844"/>
      <c r="O105" s="48">
        <f>IF(t&lt;Tnet,'2021'!Resal+('2021'!Salim-'2021'!Resal)*(1-EXP(('2021'!Tnet-t)/('2021'!Tau_j))),Resal+(Salim-Resal)*(1-EXP((Tnet-t)/(Tau_j))))*Salcycl</f>
        <v>7.4910198703968547E-2</v>
      </c>
      <c r="P105" s="339">
        <f>(INDEX(Models!$BJ105:$BT105,,T105)*(1-R105)+INDEX(Models!$BJ105:$BT105,,T105+1)*R105-ERP_i)*Q105*Ramure*Pc/MaxiM</f>
        <v>7.9277537825857714E-4</v>
      </c>
      <c r="Q105" s="305">
        <f t="shared" si="28"/>
        <v>0.7</v>
      </c>
      <c r="R105" s="177">
        <f t="shared" si="29"/>
        <v>2.0096316699285521E-2</v>
      </c>
      <c r="S105" s="810">
        <f t="shared" si="30"/>
        <v>0</v>
      </c>
      <c r="T105" s="176">
        <f t="shared" si="31"/>
        <v>6</v>
      </c>
      <c r="U105" s="251">
        <f t="shared" si="32"/>
        <v>2.0096316699285521E-2</v>
      </c>
      <c r="V105" s="383">
        <f t="shared" si="33"/>
        <v>46.393240025666259</v>
      </c>
      <c r="W105" s="402">
        <f t="shared" si="34"/>
        <v>0</v>
      </c>
      <c r="X105" s="157">
        <f t="shared" si="35"/>
        <v>44652</v>
      </c>
      <c r="Y105" s="385">
        <f t="shared" si="36"/>
        <v>30.267786151134732</v>
      </c>
      <c r="Z105" s="385">
        <f t="shared" si="37"/>
        <v>31.225804876887032</v>
      </c>
      <c r="AA105" s="386">
        <f t="shared" si="38"/>
        <v>36.303914081794773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0.13987773311347296</v>
      </c>
      <c r="AD105" s="231">
        <f>(INDEX(Models!$BJ105:$BT105,,AH105)*(1-AF105)+INDEX(Models!$BJ105:$BT105,,AH105+1)*AF105-ERP_i)*AE105*Ramure*Pc/MaxiM</f>
        <v>7.9277537825857714E-4</v>
      </c>
      <c r="AE105" s="305">
        <f t="shared" si="40"/>
        <v>0.7</v>
      </c>
      <c r="AF105" s="177">
        <f t="shared" si="41"/>
        <v>2.0096316699285521E-2</v>
      </c>
      <c r="AG105" s="810">
        <f t="shared" si="49"/>
        <v>0</v>
      </c>
      <c r="AH105" s="176">
        <f t="shared" si="42"/>
        <v>6</v>
      </c>
      <c r="AI105" s="225">
        <f t="shared" si="43"/>
        <v>2.0096316699285521E-2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42">
        <v>20.711000000000002</v>
      </c>
      <c r="C106" s="840"/>
      <c r="D106" s="393">
        <f t="shared" si="25"/>
        <v>21.367030016352714</v>
      </c>
      <c r="E106" s="385">
        <f t="shared" si="47"/>
        <v>23.100403351628881</v>
      </c>
      <c r="F106" s="385">
        <f t="shared" si="26"/>
        <v>23.103992743018079</v>
      </c>
      <c r="G106" s="110">
        <f t="shared" si="48"/>
        <v>0.44260522496203214</v>
      </c>
      <c r="H106" s="414" t="b">
        <f>Wh_hp&gt;='2021'!Maxi_hp</f>
        <v>0</v>
      </c>
      <c r="I106" s="380">
        <f>IF(H106,Wh_hp,'2021'!Maxi_hp)</f>
        <v>43.51711445287431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3.0702910785946225E-2</v>
      </c>
      <c r="M106" s="844"/>
      <c r="N106" s="844"/>
      <c r="O106" s="48">
        <f>IF(t&lt;Tnet,'2021'!Resal+('2021'!Salim-'2021'!Resal)*(1-EXP(('2021'!Tnet-t)/('2021'!Tau_j))),Resal+(Salim-Resal)*(1-EXP((Tnet-t)/(Tau_j))))*Salcycl</f>
        <v>7.5036496501431807E-2</v>
      </c>
      <c r="P106" s="339">
        <f>(INDEX(Models!$BJ106:$BT106,,T106)*(1-R106)+INDEX(Models!$BJ106:$BT106,,T106+1)*R106-ERP_i)*Q106*Ramure*Pc/MaxiM</f>
        <v>7.6116698098159898E-4</v>
      </c>
      <c r="Q106" s="305">
        <f t="shared" si="28"/>
        <v>0.7</v>
      </c>
      <c r="R106" s="177">
        <f t="shared" si="29"/>
        <v>2.0942879938837013E-2</v>
      </c>
      <c r="S106" s="810">
        <f t="shared" si="30"/>
        <v>0</v>
      </c>
      <c r="T106" s="176">
        <f t="shared" si="31"/>
        <v>6</v>
      </c>
      <c r="U106" s="251">
        <f t="shared" si="32"/>
        <v>2.0942879938837013E-2</v>
      </c>
      <c r="V106" s="383">
        <f t="shared" si="33"/>
        <v>46.765040208361349</v>
      </c>
      <c r="W106" s="402">
        <f t="shared" si="34"/>
        <v>0</v>
      </c>
      <c r="X106" s="157">
        <f t="shared" si="35"/>
        <v>44653</v>
      </c>
      <c r="Y106" s="385">
        <f t="shared" si="36"/>
        <v>19.257685781535994</v>
      </c>
      <c r="Z106" s="385">
        <f t="shared" si="37"/>
        <v>19.867681432068391</v>
      </c>
      <c r="AA106" s="386">
        <f t="shared" si="38"/>
        <v>23.100403351628881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0.13994222829587696</v>
      </c>
      <c r="AD106" s="231">
        <f>(INDEX(Models!$BJ106:$BT106,,AH106)*(1-AF106)+INDEX(Models!$BJ106:$BT106,,AH106+1)*AF106-ERP_i)*AE106*Ramure*Pc/MaxiM</f>
        <v>7.6116698098159898E-4</v>
      </c>
      <c r="AE106" s="305">
        <f t="shared" si="40"/>
        <v>0.7</v>
      </c>
      <c r="AF106" s="177">
        <f t="shared" si="41"/>
        <v>2.0942879938837013E-2</v>
      </c>
      <c r="AG106" s="810">
        <f t="shared" si="49"/>
        <v>0</v>
      </c>
      <c r="AH106" s="176">
        <f t="shared" si="42"/>
        <v>6</v>
      </c>
      <c r="AI106" s="225">
        <f t="shared" si="43"/>
        <v>2.0942879938837013E-2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42">
        <v>21.699000000000002</v>
      </c>
      <c r="C107" s="840"/>
      <c r="D107" s="393">
        <f t="shared" si="25"/>
        <v>22.386846324666735</v>
      </c>
      <c r="E107" s="385">
        <f t="shared" si="47"/>
        <v>24.206273171917989</v>
      </c>
      <c r="F107" s="385">
        <f t="shared" si="26"/>
        <v>24.210313390066172</v>
      </c>
      <c r="G107" s="110">
        <f t="shared" si="48"/>
        <v>0.46017631032028317</v>
      </c>
      <c r="H107" s="414" t="b">
        <f>Wh_hp&gt;='2021'!Maxi_hp</f>
        <v>0</v>
      </c>
      <c r="I107" s="380">
        <f>IF(H107,Wh_hp,'2021'!Maxi_hp)</f>
        <v>53.130196848122523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3.072546774526419E-2</v>
      </c>
      <c r="M107" s="844"/>
      <c r="N107" s="844"/>
      <c r="O107" s="48">
        <f>IF(t&lt;Tnet,'2021'!Resal+('2021'!Salim-'2021'!Resal)*(1-EXP(('2021'!Tnet-t)/('2021'!Tau_j))),Resal+(Salim-Resal)*(1-EXP((Tnet-t)/(Tau_j))))*Salcycl</f>
        <v>7.5163443555697554E-2</v>
      </c>
      <c r="P107" s="339">
        <f>(INDEX(Models!$BJ107:$BT107,,T107)*(1-R107)+INDEX(Models!$BJ107:$BT107,,T107+1)*R107-ERP_i)*Q107*Ramure*Pc/MaxiM</f>
        <v>7.2812166192730786E-4</v>
      </c>
      <c r="Q107" s="305">
        <f t="shared" si="28"/>
        <v>0.7</v>
      </c>
      <c r="R107" s="177">
        <f t="shared" si="29"/>
        <v>2.182094778268787E-2</v>
      </c>
      <c r="S107" s="810">
        <f t="shared" si="30"/>
        <v>0</v>
      </c>
      <c r="T107" s="176">
        <f t="shared" si="31"/>
        <v>6</v>
      </c>
      <c r="U107" s="251">
        <f t="shared" si="32"/>
        <v>2.182094778268787E-2</v>
      </c>
      <c r="V107" s="383">
        <f t="shared" si="33"/>
        <v>47.127196900588942</v>
      </c>
      <c r="W107" s="402">
        <f t="shared" si="34"/>
        <v>0</v>
      </c>
      <c r="X107" s="157">
        <f t="shared" si="35"/>
        <v>44654</v>
      </c>
      <c r="Y107" s="385">
        <f t="shared" si="36"/>
        <v>20.177581371738174</v>
      </c>
      <c r="Z107" s="385">
        <f t="shared" si="37"/>
        <v>20.81719956553577</v>
      </c>
      <c r="AA107" s="386">
        <f t="shared" si="38"/>
        <v>24.206273171917989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0.1400080707307694</v>
      </c>
      <c r="AD107" s="231">
        <f>(INDEX(Models!$BJ107:$BT107,,AH107)*(1-AF107)+INDEX(Models!$BJ107:$BT107,,AH107+1)*AF107-ERP_i)*AE107*Ramure*Pc/MaxiM</f>
        <v>7.2812166192730786E-4</v>
      </c>
      <c r="AE107" s="305">
        <f t="shared" si="40"/>
        <v>0.7</v>
      </c>
      <c r="AF107" s="177">
        <f t="shared" si="41"/>
        <v>2.182094778268787E-2</v>
      </c>
      <c r="AG107" s="810">
        <f t="shared" si="49"/>
        <v>0</v>
      </c>
      <c r="AH107" s="176">
        <f t="shared" si="42"/>
        <v>6</v>
      </c>
      <c r="AI107" s="225">
        <f t="shared" si="43"/>
        <v>2.182094778268787E-2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42">
        <v>43.396000000000001</v>
      </c>
      <c r="C108" s="840"/>
      <c r="D108" s="393">
        <f t="shared" si="25"/>
        <v>44.772671175904165</v>
      </c>
      <c r="E108" s="385">
        <f t="shared" si="47"/>
        <v>48.418123437090806</v>
      </c>
      <c r="F108" s="385">
        <f t="shared" si="26"/>
        <v>48.44761569885128</v>
      </c>
      <c r="G108" s="110">
        <f t="shared" si="48"/>
        <v>0.91384455649608953</v>
      </c>
      <c r="H108" s="414" t="b">
        <f>Wh_hp&gt;='2021'!Maxi_hp</f>
        <v>0</v>
      </c>
      <c r="I108" s="380">
        <f>IF(H108,Wh_hp,'2021'!Maxi_hp)</f>
        <v>54.788293499905031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3.0748024179648725E-2</v>
      </c>
      <c r="M108" s="844"/>
      <c r="N108" s="844"/>
      <c r="O108" s="48">
        <f>IF(t&lt;Tnet,'2021'!Resal+('2021'!Salim-'2021'!Resal)*(1-EXP(('2021'!Tnet-t)/('2021'!Tau_j))),Resal+(Salim-Resal)*(1-EXP((Tnet-t)/(Tau_j))))*Salcycl</f>
        <v>7.5291068765255695E-2</v>
      </c>
      <c r="P108" s="339">
        <f>(INDEX(Models!$BJ108:$BT108,,T108)*(1-R108)+INDEX(Models!$BJ108:$BT108,,T108+1)*R108-ERP_i)*Q108*Ramure*Pc/MaxiM</f>
        <v>6.9409686695921823E-4</v>
      </c>
      <c r="Q108" s="305">
        <f t="shared" si="28"/>
        <v>0.7</v>
      </c>
      <c r="R108" s="177">
        <f t="shared" si="29"/>
        <v>2.2731528610570005E-2</v>
      </c>
      <c r="S108" s="810">
        <f t="shared" si="30"/>
        <v>0</v>
      </c>
      <c r="T108" s="176">
        <f t="shared" si="31"/>
        <v>6</v>
      </c>
      <c r="U108" s="251">
        <f t="shared" si="32"/>
        <v>2.2731528610570005E-2</v>
      </c>
      <c r="V108" s="383">
        <f t="shared" si="33"/>
        <v>47.483232812280349</v>
      </c>
      <c r="W108" s="402">
        <f t="shared" si="34"/>
        <v>0</v>
      </c>
      <c r="X108" s="157">
        <f t="shared" si="35"/>
        <v>44655</v>
      </c>
      <c r="Y108" s="385">
        <f t="shared" si="36"/>
        <v>40.355716949953191</v>
      </c>
      <c r="Z108" s="385">
        <f t="shared" si="37"/>
        <v>41.635939834733989</v>
      </c>
      <c r="AA108" s="386">
        <f t="shared" si="38"/>
        <v>48.418123437090806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0.14007530901458504</v>
      </c>
      <c r="AD108" s="231">
        <f>(INDEX(Models!$BJ108:$BT108,,AH108)*(1-AF108)+INDEX(Models!$BJ108:$BT108,,AH108+1)*AF108-ERP_i)*AE108*Ramure*Pc/MaxiM</f>
        <v>6.9409686695921823E-4</v>
      </c>
      <c r="AE108" s="305">
        <f t="shared" si="40"/>
        <v>0.7</v>
      </c>
      <c r="AF108" s="177">
        <f t="shared" si="41"/>
        <v>2.2731528610570005E-2</v>
      </c>
      <c r="AG108" s="810">
        <f t="shared" si="49"/>
        <v>0</v>
      </c>
      <c r="AH108" s="176">
        <f t="shared" si="42"/>
        <v>6</v>
      </c>
      <c r="AI108" s="225">
        <f t="shared" si="43"/>
        <v>2.2731528610570005E-2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42">
        <v>48.694000000000003</v>
      </c>
      <c r="C109" s="840"/>
      <c r="D109" s="393">
        <f t="shared" si="25"/>
        <v>50.239911211606625</v>
      </c>
      <c r="E109" s="385">
        <f t="shared" si="47"/>
        <v>54.338054721963395</v>
      </c>
      <c r="F109" s="385">
        <f t="shared" si="26"/>
        <v>54.373965155861008</v>
      </c>
      <c r="G109" s="110">
        <f t="shared" si="48"/>
        <v>1.0180004045115796</v>
      </c>
      <c r="H109" s="414" t="b">
        <f>Wh_hp&gt;='2021'!Maxi_hp</f>
        <v>0</v>
      </c>
      <c r="I109" s="380">
        <f>IF(H109,Wh_hp,'2021'!Maxi_hp)</f>
        <v>55.766032914356472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3.0770580089112043E-2</v>
      </c>
      <c r="M109" s="844"/>
      <c r="N109" s="844"/>
      <c r="O109" s="48">
        <f>IF(t&lt;Tnet,'2021'!Resal+('2021'!Salim-'2021'!Resal)*(1-EXP(('2021'!Tnet-t)/('2021'!Tau_j))),Resal+(Salim-Resal)*(1-EXP((Tnet-t)/(Tau_j))))*Salcycl</f>
        <v>7.5419400479574128E-2</v>
      </c>
      <c r="P109" s="339">
        <f>(INDEX(Models!$BJ109:$BT109,,T109)*(1-R109)+INDEX(Models!$BJ109:$BT109,,T109+1)*R109-ERP_i)*Q109*Ramure*Pc/MaxiM</f>
        <v>6.6043434196271043E-4</v>
      </c>
      <c r="Q109" s="305">
        <f t="shared" si="28"/>
        <v>0.7</v>
      </c>
      <c r="R109" s="177">
        <f t="shared" si="29"/>
        <v>2.367564991298499E-2</v>
      </c>
      <c r="S109" s="810">
        <f t="shared" si="30"/>
        <v>0</v>
      </c>
      <c r="T109" s="176">
        <f t="shared" si="31"/>
        <v>6</v>
      </c>
      <c r="U109" s="251">
        <f t="shared" si="32"/>
        <v>2.367564991298499E-2</v>
      </c>
      <c r="V109" s="383">
        <f t="shared" si="33"/>
        <v>47.83298688703627</v>
      </c>
      <c r="W109" s="402">
        <f t="shared" si="34"/>
        <v>0</v>
      </c>
      <c r="X109" s="157">
        <f t="shared" si="35"/>
        <v>44656</v>
      </c>
      <c r="Y109" s="385">
        <f t="shared" si="36"/>
        <v>45.285212071330129</v>
      </c>
      <c r="Z109" s="385">
        <f t="shared" si="37"/>
        <v>46.722902896915471</v>
      </c>
      <c r="AA109" s="386">
        <f t="shared" si="38"/>
        <v>54.338054721963395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0.1401439905056058</v>
      </c>
      <c r="AD109" s="231">
        <f>(INDEX(Models!$BJ109:$BT109,,AH109)*(1-AF109)+INDEX(Models!$BJ109:$BT109,,AH109+1)*AF109-ERP_i)*AE109*Ramure*Pc/MaxiM</f>
        <v>6.6043434196271043E-4</v>
      </c>
      <c r="AE109" s="305">
        <f t="shared" si="40"/>
        <v>0.7</v>
      </c>
      <c r="AF109" s="177">
        <f t="shared" si="41"/>
        <v>2.367564991298499E-2</v>
      </c>
      <c r="AG109" s="810">
        <f t="shared" si="49"/>
        <v>0</v>
      </c>
      <c r="AH109" s="176">
        <f t="shared" si="42"/>
        <v>6</v>
      </c>
      <c r="AI109" s="225">
        <f t="shared" si="43"/>
        <v>2.367564991298499E-2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42">
        <v>11.494</v>
      </c>
      <c r="C110" s="840"/>
      <c r="D110" s="393">
        <f t="shared" si="25"/>
        <v>11.859181378804301</v>
      </c>
      <c r="E110" s="385">
        <f t="shared" si="47"/>
        <v>12.82834302103155</v>
      </c>
      <c r="F110" s="385">
        <f t="shared" si="26"/>
        <v>12.82834302103155</v>
      </c>
      <c r="G110" s="110">
        <f t="shared" si="48"/>
        <v>0.23843211679441387</v>
      </c>
      <c r="H110" s="414" t="b">
        <f>Wh_hp&gt;='2021'!Maxi_hp</f>
        <v>0</v>
      </c>
      <c r="I110" s="380">
        <f>IF(H110,Wh_hp,'2021'!Maxi_hp)</f>
        <v>56.273634835365598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3.0793135473666355E-2</v>
      </c>
      <c r="M110" s="844"/>
      <c r="N110" s="844"/>
      <c r="O110" s="48">
        <f>IF(t&lt;Tnet,'2021'!Resal+('2021'!Salim-'2021'!Resal)*(1-EXP(('2021'!Tnet-t)/('2021'!Tau_j))),Resal+(Salim-Resal)*(1-EXP((Tnet-t)/(Tau_j))))*Salcycl</f>
        <v>7.5548466441718004E-2</v>
      </c>
      <c r="P110" s="339">
        <f>(INDEX(Models!$BJ110:$BT110,,T110)*(1-R110)+INDEX(Models!$BJ110:$BT110,,T110+1)*R110-ERP_i)*Q110*Ramure*Pc/MaxiM</f>
        <v>6.2710442608120793E-4</v>
      </c>
      <c r="Q110" s="305">
        <f t="shared" si="28"/>
        <v>0.7</v>
      </c>
      <c r="R110" s="177">
        <f t="shared" si="29"/>
        <v>2.4654357531417152E-2</v>
      </c>
      <c r="S110" s="810">
        <f t="shared" si="30"/>
        <v>0</v>
      </c>
      <c r="T110" s="176">
        <f t="shared" si="31"/>
        <v>6</v>
      </c>
      <c r="U110" s="251">
        <f t="shared" si="32"/>
        <v>2.4654357531417152E-2</v>
      </c>
      <c r="V110" s="383">
        <f t="shared" si="33"/>
        <v>48.176362380035464</v>
      </c>
      <c r="W110" s="402">
        <f t="shared" si="34"/>
        <v>0</v>
      </c>
      <c r="X110" s="157">
        <f t="shared" si="35"/>
        <v>44657</v>
      </c>
      <c r="Y110" s="385">
        <f t="shared" si="36"/>
        <v>10.689990845524962</v>
      </c>
      <c r="Z110" s="385">
        <f t="shared" si="37"/>
        <v>11.029627664419531</v>
      </c>
      <c r="AA110" s="386">
        <f t="shared" si="38"/>
        <v>12.82834302103155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0.14021416122589639</v>
      </c>
      <c r="AD110" s="231">
        <f>(INDEX(Models!$BJ110:$BT110,,AH110)*(1-AF110)+INDEX(Models!$BJ110:$BT110,,AH110+1)*AF110-ERP_i)*AE110*Ramure*Pc/MaxiM</f>
        <v>6.2710442608120793E-4</v>
      </c>
      <c r="AE110" s="305">
        <f t="shared" si="40"/>
        <v>0.7</v>
      </c>
      <c r="AF110" s="177">
        <f t="shared" si="41"/>
        <v>2.4654357531417152E-2</v>
      </c>
      <c r="AG110" s="810">
        <f t="shared" si="49"/>
        <v>0</v>
      </c>
      <c r="AH110" s="176">
        <f t="shared" si="42"/>
        <v>6</v>
      </c>
      <c r="AI110" s="225">
        <f t="shared" si="43"/>
        <v>2.4654357531417152E-2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42">
        <v>34.780999999999999</v>
      </c>
      <c r="C111" s="840"/>
      <c r="D111" s="393">
        <f t="shared" si="25"/>
        <v>35.886878948713026</v>
      </c>
      <c r="E111" s="385">
        <f t="shared" si="47"/>
        <v>38.825095965368561</v>
      </c>
      <c r="F111" s="385">
        <f t="shared" si="26"/>
        <v>38.838839006930293</v>
      </c>
      <c r="G111" s="110">
        <f t="shared" si="48"/>
        <v>0.71676567821960058</v>
      </c>
      <c r="H111" s="414" t="b">
        <f>Wh_hp&gt;='2021'!Maxi_hp</f>
        <v>0</v>
      </c>
      <c r="I111" s="380">
        <f>IF(H111,Wh_hp,'2021'!Maxi_hp)</f>
        <v>55.325751817582876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3.0815690333323986E-2</v>
      </c>
      <c r="M111" s="844"/>
      <c r="N111" s="844"/>
      <c r="O111" s="48">
        <f>IF(t&lt;Tnet,'2021'!Resal+('2021'!Salim-'2021'!Resal)*(1-EXP(('2021'!Tnet-t)/('2021'!Tau_j))),Resal+(Salim-Resal)*(1-EXP((Tnet-t)/(Tau_j))))*Salcycl</f>
        <v>7.5678293732393709E-2</v>
      </c>
      <c r="P111" s="339">
        <f>(INDEX(Models!$BJ111:$BT111,,T111)*(1-R111)+INDEX(Models!$BJ111:$BT111,,T111+1)*R111-ERP_i)*Q111*Ramure*Pc/MaxiM</f>
        <v>5.9407765024726883E-4</v>
      </c>
      <c r="Q111" s="305">
        <f t="shared" si="28"/>
        <v>0.7</v>
      </c>
      <c r="R111" s="177">
        <f t="shared" si="29"/>
        <v>2.566871478017636E-2</v>
      </c>
      <c r="S111" s="810">
        <f t="shared" si="30"/>
        <v>0</v>
      </c>
      <c r="T111" s="176">
        <f t="shared" si="31"/>
        <v>6</v>
      </c>
      <c r="U111" s="251">
        <f t="shared" si="32"/>
        <v>2.566871478017636E-2</v>
      </c>
      <c r="V111" s="383">
        <f t="shared" si="33"/>
        <v>48.513262657579098</v>
      </c>
      <c r="W111" s="402">
        <f t="shared" si="34"/>
        <v>0</v>
      </c>
      <c r="X111" s="157">
        <f t="shared" si="35"/>
        <v>44658</v>
      </c>
      <c r="Y111" s="385">
        <f t="shared" si="36"/>
        <v>32.34990274491804</v>
      </c>
      <c r="Z111" s="385">
        <f t="shared" si="37"/>
        <v>33.3784837643976</v>
      </c>
      <c r="AA111" s="386">
        <f t="shared" si="38"/>
        <v>38.825095965368561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0.14028586576654595</v>
      </c>
      <c r="AD111" s="231">
        <f>(INDEX(Models!$BJ111:$BT111,,AH111)*(1-AF111)+INDEX(Models!$BJ111:$BT111,,AH111+1)*AF111-ERP_i)*AE111*Ramure*Pc/MaxiM</f>
        <v>5.9407765024726883E-4</v>
      </c>
      <c r="AE111" s="305">
        <f t="shared" si="40"/>
        <v>0.7</v>
      </c>
      <c r="AF111" s="177">
        <f t="shared" si="41"/>
        <v>2.566871478017636E-2</v>
      </c>
      <c r="AG111" s="810">
        <f t="shared" si="49"/>
        <v>0</v>
      </c>
      <c r="AH111" s="176">
        <f t="shared" si="42"/>
        <v>6</v>
      </c>
      <c r="AI111" s="225">
        <f t="shared" si="43"/>
        <v>2.566871478017636E-2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42">
        <v>27.709</v>
      </c>
      <c r="C112" s="840"/>
      <c r="D112" s="393">
        <f t="shared" si="25"/>
        <v>28.590686588236935</v>
      </c>
      <c r="E112" s="385">
        <f t="shared" si="47"/>
        <v>30.935903686851354</v>
      </c>
      <c r="F112" s="385">
        <f t="shared" si="26"/>
        <v>30.942536106433472</v>
      </c>
      <c r="G112" s="110">
        <f t="shared" si="48"/>
        <v>0.56710374538672126</v>
      </c>
      <c r="H112" s="414" t="b">
        <f>Wh_hp&gt;='2021'!Maxi_hp</f>
        <v>0</v>
      </c>
      <c r="I112" s="380">
        <f>IF(H112,Wh_hp,'2021'!Maxi_hp)</f>
        <v>53.843386079314278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3.0838244668097148E-2</v>
      </c>
      <c r="M112" s="844"/>
      <c r="N112" s="844"/>
      <c r="O112" s="48">
        <f>IF(t&lt;Tnet,'2021'!Resal+('2021'!Salim-'2021'!Resal)*(1-EXP(('2021'!Tnet-t)/('2021'!Tau_j))),Resal+(Salim-Resal)*(1-EXP((Tnet-t)/(Tau_j))))*Salcycl</f>
        <v>7.5808908715060547E-2</v>
      </c>
      <c r="P112" s="339">
        <f>(INDEX(Models!$BJ112:$BT112,,T112)*(1-R112)+INDEX(Models!$BJ112:$BT112,,T112+1)*R112-ERP_i)*Q112*Ramure*Pc/MaxiM</f>
        <v>5.6132469157272431E-4</v>
      </c>
      <c r="Q112" s="305">
        <f t="shared" si="28"/>
        <v>0.7</v>
      </c>
      <c r="R112" s="177">
        <f t="shared" si="29"/>
        <v>2.6719801442371224E-2</v>
      </c>
      <c r="S112" s="810">
        <f t="shared" si="30"/>
        <v>0</v>
      </c>
      <c r="T112" s="176">
        <f t="shared" si="31"/>
        <v>6</v>
      </c>
      <c r="U112" s="251">
        <f t="shared" si="32"/>
        <v>2.6719801442371224E-2</v>
      </c>
      <c r="V112" s="383">
        <f t="shared" si="33"/>
        <v>48.843591214344436</v>
      </c>
      <c r="W112" s="402">
        <f t="shared" si="34"/>
        <v>0</v>
      </c>
      <c r="X112" s="157">
        <f t="shared" si="35"/>
        <v>44659</v>
      </c>
      <c r="Y112" s="385">
        <f t="shared" si="36"/>
        <v>25.773661545732512</v>
      </c>
      <c r="Z112" s="385">
        <f t="shared" si="37"/>
        <v>26.593766627642012</v>
      </c>
      <c r="AA112" s="386">
        <f t="shared" si="38"/>
        <v>30.935903686851354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0.1403591471955247</v>
      </c>
      <c r="AD112" s="231">
        <f>(INDEX(Models!$BJ112:$BT112,,AH112)*(1-AF112)+INDEX(Models!$BJ112:$BT112,,AH112+1)*AF112-ERP_i)*AE112*Ramure*Pc/MaxiM</f>
        <v>5.6132469157272431E-4</v>
      </c>
      <c r="AE112" s="305">
        <f t="shared" si="40"/>
        <v>0.7</v>
      </c>
      <c r="AF112" s="177">
        <f t="shared" si="41"/>
        <v>2.6719801442371224E-2</v>
      </c>
      <c r="AG112" s="810">
        <f t="shared" si="49"/>
        <v>0</v>
      </c>
      <c r="AH112" s="176">
        <f t="shared" si="42"/>
        <v>6</v>
      </c>
      <c r="AI112" s="225">
        <f t="shared" si="43"/>
        <v>2.6719801442371224E-2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42">
        <v>36.210999999999999</v>
      </c>
      <c r="C113" s="840"/>
      <c r="D113" s="393">
        <f t="shared" si="25"/>
        <v>37.364085513341927</v>
      </c>
      <c r="E113" s="385">
        <f t="shared" si="47"/>
        <v>40.434711100037738</v>
      </c>
      <c r="F113" s="385">
        <f t="shared" si="26"/>
        <v>40.448048613227783</v>
      </c>
      <c r="G113" s="110">
        <f t="shared" si="48"/>
        <v>0.7363394900676099</v>
      </c>
      <c r="H113" s="414" t="b">
        <f>Wh_hp&gt;='2021'!Maxi_hp</f>
        <v>0</v>
      </c>
      <c r="I113" s="380">
        <f>IF(H113,Wh_hp,'2021'!Maxi_hp)</f>
        <v>46.323967550802834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3.0860798477997942E-2</v>
      </c>
      <c r="M113" s="844"/>
      <c r="N113" s="844"/>
      <c r="O113" s="48">
        <f>IF(t&lt;Tnet,'2021'!Resal+('2021'!Salim-'2021'!Resal)*(1-EXP(('2021'!Tnet-t)/('2021'!Tau_j))),Resal+(Salim-Resal)*(1-EXP((Tnet-t)/(Tau_j))))*Salcycl</f>
        <v>7.5940336981731166E-2</v>
      </c>
      <c r="P113" s="339">
        <f>(INDEX(Models!$BJ113:$BT113,,T113)*(1-R113)+INDEX(Models!$BJ113:$BT113,,T113+1)*R113-ERP_i)*Q113*Ramure*Pc/MaxiM</f>
        <v>5.2881632983690864E-4</v>
      </c>
      <c r="Q113" s="305">
        <f t="shared" si="28"/>
        <v>0.7</v>
      </c>
      <c r="R113" s="177">
        <f t="shared" si="29"/>
        <v>2.7808712632424053E-2</v>
      </c>
      <c r="S113" s="810">
        <f t="shared" si="30"/>
        <v>0</v>
      </c>
      <c r="T113" s="176">
        <f t="shared" si="31"/>
        <v>6</v>
      </c>
      <c r="U113" s="251">
        <f t="shared" si="32"/>
        <v>2.7808712632424053E-2</v>
      </c>
      <c r="V113" s="383">
        <f t="shared" si="33"/>
        <v>49.167251672688543</v>
      </c>
      <c r="W113" s="402">
        <f t="shared" si="34"/>
        <v>0</v>
      </c>
      <c r="X113" s="157">
        <f t="shared" si="35"/>
        <v>44660</v>
      </c>
      <c r="Y113" s="385">
        <f t="shared" si="36"/>
        <v>33.683693781845228</v>
      </c>
      <c r="Z113" s="385">
        <f t="shared" si="37"/>
        <v>34.756300982300651</v>
      </c>
      <c r="AA113" s="386">
        <f t="shared" si="38"/>
        <v>40.434711100037738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0.14043404696742812</v>
      </c>
      <c r="AD113" s="231">
        <f>(INDEX(Models!$BJ113:$BT113,,AH113)*(1-AF113)+INDEX(Models!$BJ113:$BT113,,AH113+1)*AF113-ERP_i)*AE113*Ramure*Pc/MaxiM</f>
        <v>5.2881632983690864E-4</v>
      </c>
      <c r="AE113" s="305">
        <f t="shared" si="40"/>
        <v>0.7</v>
      </c>
      <c r="AF113" s="177">
        <f t="shared" si="41"/>
        <v>2.7808712632424053E-2</v>
      </c>
      <c r="AG113" s="810">
        <f t="shared" si="49"/>
        <v>0</v>
      </c>
      <c r="AH113" s="176">
        <f t="shared" si="42"/>
        <v>6</v>
      </c>
      <c r="AI113" s="225">
        <f t="shared" si="43"/>
        <v>2.7808712632424053E-2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42">
        <v>49.369</v>
      </c>
      <c r="C114" s="840"/>
      <c r="D114" s="393">
        <f t="shared" si="25"/>
        <v>50.942267981685369</v>
      </c>
      <c r="E114" s="385">
        <f t="shared" si="47"/>
        <v>55.136657018273034</v>
      </c>
      <c r="F114" s="385">
        <f t="shared" si="26"/>
        <v>55.163997970582578</v>
      </c>
      <c r="G114" s="110">
        <f t="shared" si="48"/>
        <v>0.99767214529019643</v>
      </c>
      <c r="H114" s="414" t="b">
        <f>Wh_hp&gt;='2021'!Maxi_hp</f>
        <v>0</v>
      </c>
      <c r="I114" s="380">
        <f>IF(H114,Wh_hp,'2021'!Maxi_hp)</f>
        <v>55.540517907478055</v>
      </c>
      <c r="J114" s="85">
        <f>IF(H114,An,'2021'!An_max)</f>
        <v>2020</v>
      </c>
      <c r="K114" s="197">
        <f t="shared" si="27"/>
        <v>44661</v>
      </c>
      <c r="L114" s="147">
        <f>IF(t&lt;Tvie,1-EXP((T0-t)*PertePVj)+'2021'!Pspv,1-EXP((T0-t)*PertePVj)+Pspv)</f>
        <v>3.088335176303858E-2</v>
      </c>
      <c r="M114" s="844"/>
      <c r="N114" s="844"/>
      <c r="O114" s="48">
        <f>IF(t&lt;Tnet,'2021'!Resal+('2021'!Salim-'2021'!Resal)*(1-EXP(('2021'!Tnet-t)/('2021'!Tau_j))),Resal+(Salim-Resal)*(1-EXP((Tnet-t)/(Tau_j))))*Salcycl</f>
        <v>7.607260329906454E-2</v>
      </c>
      <c r="P114" s="339">
        <f>(INDEX(Models!$BJ114:$BT114,,T114)*(1-R114)+INDEX(Models!$BJ114:$BT114,,T114+1)*R114-ERP_i)*Q114*Ramure*Pc/MaxiM</f>
        <v>4.9728290830373413E-4</v>
      </c>
      <c r="Q114" s="305">
        <f t="shared" si="28"/>
        <v>0.7</v>
      </c>
      <c r="R114" s="177">
        <f t="shared" si="29"/>
        <v>2.8936557517498074E-2</v>
      </c>
      <c r="S114" s="810">
        <f t="shared" si="30"/>
        <v>0</v>
      </c>
      <c r="T114" s="176">
        <f t="shared" si="31"/>
        <v>6</v>
      </c>
      <c r="U114" s="251">
        <f t="shared" si="32"/>
        <v>2.8936557517498074E-2</v>
      </c>
      <c r="V114" s="383">
        <f t="shared" si="33"/>
        <v>49.484110193984499</v>
      </c>
      <c r="W114" s="402">
        <f t="shared" si="34"/>
        <v>0</v>
      </c>
      <c r="X114" s="157">
        <f t="shared" si="35"/>
        <v>44661</v>
      </c>
      <c r="Y114" s="385">
        <f t="shared" si="36"/>
        <v>45.925829347029755</v>
      </c>
      <c r="Z114" s="385">
        <f t="shared" si="37"/>
        <v>47.389371992090986</v>
      </c>
      <c r="AA114" s="386">
        <f t="shared" si="38"/>
        <v>55.136657018273034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0.14051060483435723</v>
      </c>
      <c r="AD114" s="231">
        <f>(INDEX(Models!$BJ114:$BT114,,AH114)*(1-AF114)+INDEX(Models!$BJ114:$BT114,,AH114+1)*AF114-ERP_i)*AE114*Ramure*Pc/MaxiM</f>
        <v>4.9728290830373413E-4</v>
      </c>
      <c r="AE114" s="305">
        <f t="shared" si="40"/>
        <v>0.7</v>
      </c>
      <c r="AF114" s="177">
        <f t="shared" si="41"/>
        <v>2.8936557517498074E-2</v>
      </c>
      <c r="AG114" s="810">
        <f t="shared" si="49"/>
        <v>0</v>
      </c>
      <c r="AH114" s="176">
        <f t="shared" si="42"/>
        <v>6</v>
      </c>
      <c r="AI114" s="225">
        <f t="shared" si="43"/>
        <v>2.8936557517498074E-2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42">
        <v>41.024000000000001</v>
      </c>
      <c r="C115" s="840"/>
      <c r="D115" s="393">
        <f t="shared" si="25"/>
        <v>42.332318596799702</v>
      </c>
      <c r="E115" s="385">
        <f t="shared" si="47"/>
        <v>45.824400564886389</v>
      </c>
      <c r="F115" s="385">
        <f t="shared" si="26"/>
        <v>45.840434677998964</v>
      </c>
      <c r="G115" s="110">
        <f t="shared" si="48"/>
        <v>0.8237768481919695</v>
      </c>
      <c r="H115" s="414" t="b">
        <f>Wh_hp&gt;='2021'!Maxi_hp</f>
        <v>0</v>
      </c>
      <c r="I115" s="380">
        <f>IF(H115,Wh_hp,'2021'!Maxi_hp)</f>
        <v>56.677954021859833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3.0905904523231387E-2</v>
      </c>
      <c r="M115" s="844"/>
      <c r="N115" s="844"/>
      <c r="O115" s="48">
        <f>IF(t&lt;Tnet,'2021'!Resal+('2021'!Salim-'2021'!Resal)*(1-EXP(('2021'!Tnet-t)/('2021'!Tau_j))),Resal+(Salim-Resal)*(1-EXP((Tnet-t)/(Tau_j))))*Salcycl</f>
        <v>7.6205731554348899E-2</v>
      </c>
      <c r="P115" s="339">
        <f>(INDEX(Models!$BJ115:$BT115,,T115)*(1-R115)+INDEX(Models!$BJ115:$BT115,,T115+1)*R115-ERP_i)*Q115*Ramure*Pc/MaxiM</f>
        <v>4.6737728834886995E-4</v>
      </c>
      <c r="Q115" s="305">
        <f t="shared" si="28"/>
        <v>0.7</v>
      </c>
      <c r="R115" s="177">
        <f t="shared" si="29"/>
        <v>3.0104457890215756E-2</v>
      </c>
      <c r="S115" s="810">
        <f t="shared" si="30"/>
        <v>0</v>
      </c>
      <c r="T115" s="176">
        <f t="shared" si="31"/>
        <v>6</v>
      </c>
      <c r="U115" s="251">
        <f t="shared" si="32"/>
        <v>3.0104457890215756E-2</v>
      </c>
      <c r="V115" s="383">
        <f t="shared" si="33"/>
        <v>49.79403600853157</v>
      </c>
      <c r="W115" s="402">
        <f t="shared" si="34"/>
        <v>0</v>
      </c>
      <c r="X115" s="157">
        <f t="shared" si="35"/>
        <v>44662</v>
      </c>
      <c r="Y115" s="385">
        <f t="shared" si="36"/>
        <v>38.164864042366254</v>
      </c>
      <c r="Z115" s="385">
        <f t="shared" si="37"/>
        <v>39.382000386237159</v>
      </c>
      <c r="AA115" s="386">
        <f t="shared" si="38"/>
        <v>45.824400564886389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0.14058885875717958</v>
      </c>
      <c r="AD115" s="231">
        <f>(INDEX(Models!$BJ115:$BT115,,AH115)*(1-AF115)+INDEX(Models!$BJ115:$BT115,,AH115+1)*AF115-ERP_i)*AE115*Ramure*Pc/MaxiM</f>
        <v>4.6737728834886995E-4</v>
      </c>
      <c r="AE115" s="305">
        <f t="shared" si="40"/>
        <v>0.7</v>
      </c>
      <c r="AF115" s="177">
        <f t="shared" si="41"/>
        <v>3.0104457890215756E-2</v>
      </c>
      <c r="AG115" s="810">
        <f t="shared" si="49"/>
        <v>0</v>
      </c>
      <c r="AH115" s="176">
        <f t="shared" si="42"/>
        <v>6</v>
      </c>
      <c r="AI115" s="225">
        <f t="shared" si="43"/>
        <v>3.0104457890215756E-2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42">
        <v>35.920999999999999</v>
      </c>
      <c r="C116" s="840"/>
      <c r="D116" s="393">
        <f t="shared" si="25"/>
        <v>37.067438674186199</v>
      </c>
      <c r="E116" s="385">
        <f t="shared" si="47"/>
        <v>40.131031363026409</v>
      </c>
      <c r="F116" s="385">
        <f t="shared" si="26"/>
        <v>40.141531232708964</v>
      </c>
      <c r="G116" s="110">
        <f t="shared" si="48"/>
        <v>0.7169026332529409</v>
      </c>
      <c r="H116" s="414" t="b">
        <f>Wh_hp&gt;='2021'!Maxi_hp</f>
        <v>0</v>
      </c>
      <c r="I116" s="380">
        <f>IF(H116,Wh_hp,'2021'!Maxi_hp)</f>
        <v>57.166150894542305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3.0928456758588463E-2</v>
      </c>
      <c r="M116" s="844"/>
      <c r="N116" s="844"/>
      <c r="O116" s="48">
        <f>IF(t&lt;Tnet,'2021'!Resal+('2021'!Salim-'2021'!Resal)*(1-EXP(('2021'!Tnet-t)/('2021'!Tau_j))),Resal+(Salim-Resal)*(1-EXP((Tnet-t)/(Tau_j))))*Salcycl</f>
        <v>7.6339744700973863E-2</v>
      </c>
      <c r="P116" s="339">
        <f>(INDEX(Models!$BJ116:$BT116,,T116)*(1-R116)+INDEX(Models!$BJ116:$BT116,,T116+1)*R116-ERP_i)*Q116*Ramure*Pc/MaxiM</f>
        <v>4.3905688286169711E-4</v>
      </c>
      <c r="Q116" s="305">
        <f t="shared" si="28"/>
        <v>0.7</v>
      </c>
      <c r="R116" s="177">
        <f t="shared" si="29"/>
        <v>3.1313546585118417E-2</v>
      </c>
      <c r="S116" s="810">
        <f t="shared" si="30"/>
        <v>0</v>
      </c>
      <c r="T116" s="176">
        <f t="shared" si="31"/>
        <v>6</v>
      </c>
      <c r="U116" s="251">
        <f t="shared" si="32"/>
        <v>3.1313546585118417E-2</v>
      </c>
      <c r="V116" s="383">
        <f t="shared" si="33"/>
        <v>50.096932559464896</v>
      </c>
      <c r="W116" s="402">
        <f t="shared" si="34"/>
        <v>0</v>
      </c>
      <c r="X116" s="157">
        <f t="shared" si="35"/>
        <v>44663</v>
      </c>
      <c r="Y116" s="385">
        <f t="shared" si="36"/>
        <v>33.419251557333645</v>
      </c>
      <c r="Z116" s="385">
        <f t="shared" si="37"/>
        <v>34.485845539897731</v>
      </c>
      <c r="AA116" s="386">
        <f t="shared" si="38"/>
        <v>40.131031363026409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0.14066884481642572</v>
      </c>
      <c r="AD116" s="231">
        <f>(INDEX(Models!$BJ116:$BT116,,AH116)*(1-AF116)+INDEX(Models!$BJ116:$BT116,,AH116+1)*AF116-ERP_i)*AE116*Ramure*Pc/MaxiM</f>
        <v>4.3905688286169711E-4</v>
      </c>
      <c r="AE116" s="305">
        <f t="shared" si="40"/>
        <v>0.7</v>
      </c>
      <c r="AF116" s="177">
        <f t="shared" si="41"/>
        <v>3.1313546585118417E-2</v>
      </c>
      <c r="AG116" s="810">
        <f t="shared" si="49"/>
        <v>0</v>
      </c>
      <c r="AH116" s="176">
        <f t="shared" si="42"/>
        <v>6</v>
      </c>
      <c r="AI116" s="225">
        <f t="shared" si="43"/>
        <v>3.1313546585118417E-2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42">
        <v>7.9610000000000003</v>
      </c>
      <c r="C117" s="840"/>
      <c r="D117" s="393">
        <f t="shared" si="25"/>
        <v>8.2152709198153371</v>
      </c>
      <c r="E117" s="385">
        <f t="shared" si="47"/>
        <v>8.8955555476703498</v>
      </c>
      <c r="F117" s="385">
        <f t="shared" si="26"/>
        <v>8.8955555476703498</v>
      </c>
      <c r="G117" s="110">
        <f t="shared" si="48"/>
        <v>0.1579140885226625</v>
      </c>
      <c r="H117" s="414" t="b">
        <f>Wh_hp&gt;='2021'!Maxi_hp</f>
        <v>0</v>
      </c>
      <c r="I117" s="380">
        <f>IF(H117,Wh_hp,'2021'!Maxi_hp)</f>
        <v>56.753271585996224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3.0951008469122021E-2</v>
      </c>
      <c r="M117" s="844"/>
      <c r="N117" s="844"/>
      <c r="O117" s="48">
        <f>IF(t&lt;Tnet,'2021'!Resal+('2021'!Salim-'2021'!Resal)*(1-EXP(('2021'!Tnet-t)/('2021'!Tau_j))),Resal+(Salim-Resal)*(1-EXP((Tnet-t)/(Tau_j))))*Salcycl</f>
        <v>7.6474664703001363E-2</v>
      </c>
      <c r="P117" s="339">
        <f>(INDEX(Models!$BJ117:$BT117,,T117)*(1-R117)+INDEX(Models!$BJ117:$BT117,,T117+1)*R117-ERP_i)*Q117*Ramure*Pc/MaxiM</f>
        <v>4.1228172987211036E-4</v>
      </c>
      <c r="Q117" s="305">
        <f t="shared" si="28"/>
        <v>0.7</v>
      </c>
      <c r="R117" s="177">
        <f t="shared" si="29"/>
        <v>3.2564965731455661E-2</v>
      </c>
      <c r="S117" s="810">
        <f t="shared" si="30"/>
        <v>0</v>
      </c>
      <c r="T117" s="176">
        <f t="shared" si="31"/>
        <v>6</v>
      </c>
      <c r="U117" s="251">
        <f t="shared" si="32"/>
        <v>3.2564965731455661E-2</v>
      </c>
      <c r="V117" s="383">
        <f t="shared" si="33"/>
        <v>50.392703397116229</v>
      </c>
      <c r="W117" s="402">
        <f t="shared" si="34"/>
        <v>0</v>
      </c>
      <c r="X117" s="157">
        <f t="shared" si="35"/>
        <v>44664</v>
      </c>
      <c r="Y117" s="385">
        <f t="shared" si="36"/>
        <v>7.4069267348373309</v>
      </c>
      <c r="Z117" s="385">
        <f t="shared" si="37"/>
        <v>7.643500792602925</v>
      </c>
      <c r="AA117" s="386">
        <f t="shared" si="38"/>
        <v>8.8955555476703498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0.14075059712210161</v>
      </c>
      <c r="AD117" s="231">
        <f>(INDEX(Models!$BJ117:$BT117,,AH117)*(1-AF117)+INDEX(Models!$BJ117:$BT117,,AH117+1)*AF117-ERP_i)*AE117*Ramure*Pc/MaxiM</f>
        <v>4.1228172987211036E-4</v>
      </c>
      <c r="AE117" s="305">
        <f t="shared" si="40"/>
        <v>0.7</v>
      </c>
      <c r="AF117" s="177">
        <f t="shared" si="41"/>
        <v>3.2564965731455661E-2</v>
      </c>
      <c r="AG117" s="810">
        <f t="shared" si="49"/>
        <v>0</v>
      </c>
      <c r="AH117" s="176">
        <f t="shared" si="42"/>
        <v>6</v>
      </c>
      <c r="AI117" s="225">
        <f t="shared" si="43"/>
        <v>3.2564965731455661E-2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42">
        <v>39.027000000000001</v>
      </c>
      <c r="C118" s="840"/>
      <c r="D118" s="393">
        <f t="shared" si="25"/>
        <v>40.274442858441567</v>
      </c>
      <c r="E118" s="385">
        <f t="shared" si="47"/>
        <v>43.615877593042541</v>
      </c>
      <c r="F118" s="385">
        <f t="shared" si="26"/>
        <v>43.627215395179242</v>
      </c>
      <c r="G118" s="110">
        <f t="shared" si="48"/>
        <v>0.76995013590102246</v>
      </c>
      <c r="H118" s="414" t="b">
        <f>Wh_hp&gt;='2021'!Maxi_hp</f>
        <v>0</v>
      </c>
      <c r="I118" s="380">
        <f>IF(H118,Wh_hp,'2021'!Maxi_hp)</f>
        <v>57.09243105824325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3.0973559654844496E-2</v>
      </c>
      <c r="M118" s="844"/>
      <c r="N118" s="844"/>
      <c r="O118" s="48">
        <f>IF(t&lt;Tnet,'2021'!Resal+('2021'!Salim-'2021'!Resal)*(1-EXP(('2021'!Tnet-t)/('2021'!Tau_j))),Resal+(Salim-Resal)*(1-EXP((Tnet-t)/(Tau_j))))*Salcycl</f>
        <v>7.6610512478464773E-2</v>
      </c>
      <c r="P118" s="339">
        <f>(INDEX(Models!$BJ118:$BT118,,T118)*(1-R118)+INDEX(Models!$BJ118:$BT118,,T118+1)*R118-ERP_i)*Q118*Ramure*Pc/MaxiM</f>
        <v>3.8701442575966925E-4</v>
      </c>
      <c r="Q118" s="305">
        <f t="shared" si="28"/>
        <v>0.7</v>
      </c>
      <c r="R118" s="177">
        <f t="shared" si="29"/>
        <v>3.3859864835106515E-2</v>
      </c>
      <c r="S118" s="810">
        <f t="shared" si="30"/>
        <v>0</v>
      </c>
      <c r="T118" s="176">
        <f t="shared" si="31"/>
        <v>6</v>
      </c>
      <c r="U118" s="251">
        <f t="shared" si="32"/>
        <v>3.3859864835106515E-2</v>
      </c>
      <c r="V118" s="383">
        <f t="shared" si="33"/>
        <v>50.681252175884033</v>
      </c>
      <c r="W118" s="402">
        <f t="shared" si="34"/>
        <v>0</v>
      </c>
      <c r="X118" s="157">
        <f t="shared" si="35"/>
        <v>44665</v>
      </c>
      <c r="Y118" s="385">
        <f t="shared" si="36"/>
        <v>36.312591999355611</v>
      </c>
      <c r="Z118" s="385">
        <f t="shared" si="37"/>
        <v>37.473272645090574</v>
      </c>
      <c r="AA118" s="386">
        <f t="shared" si="38"/>
        <v>43.615877593042541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0.14083414772174196</v>
      </c>
      <c r="AD118" s="231">
        <f>(INDEX(Models!$BJ118:$BT118,,AH118)*(1-AF118)+INDEX(Models!$BJ118:$BT118,,AH118+1)*AF118-ERP_i)*AE118*Ramure*Pc/MaxiM</f>
        <v>3.8701442575966925E-4</v>
      </c>
      <c r="AE118" s="305">
        <f t="shared" si="40"/>
        <v>0.7</v>
      </c>
      <c r="AF118" s="177">
        <f t="shared" si="41"/>
        <v>3.3859864835106515E-2</v>
      </c>
      <c r="AG118" s="810">
        <f t="shared" si="49"/>
        <v>0</v>
      </c>
      <c r="AH118" s="176">
        <f t="shared" si="42"/>
        <v>6</v>
      </c>
      <c r="AI118" s="225">
        <f t="shared" si="43"/>
        <v>3.3859864835106515E-2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42">
        <v>43.149000000000001</v>
      </c>
      <c r="C119" s="840"/>
      <c r="D119" s="393">
        <f t="shared" si="25"/>
        <v>44.529233018931322</v>
      </c>
      <c r="E119" s="385">
        <f t="shared" si="47"/>
        <v>48.23081849325952</v>
      </c>
      <c r="F119" s="385">
        <f t="shared" si="26"/>
        <v>48.244503787743433</v>
      </c>
      <c r="G119" s="110">
        <f t="shared" si="48"/>
        <v>0.84661429471236505</v>
      </c>
      <c r="H119" s="414" t="b">
        <f>Wh_hp&gt;='2021'!Maxi_hp</f>
        <v>0</v>
      </c>
      <c r="I119" s="380">
        <f>IF(H119,Wh_hp,'2021'!Maxi_hp)</f>
        <v>57.996745654334866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3.0996110315767766E-2</v>
      </c>
      <c r="M119" s="844"/>
      <c r="N119" s="844"/>
      <c r="O119" s="48">
        <f>IF(t&lt;Tnet,'2021'!Resal+('2021'!Salim-'2021'!Resal)*(1-EXP(('2021'!Tnet-t)/('2021'!Tau_j))),Resal+(Salim-Resal)*(1-EXP((Tnet-t)/(Tau_j))))*Salcycl</f>
        <v>7.6747307841054227E-2</v>
      </c>
      <c r="P119" s="339">
        <f>(INDEX(Models!$BJ119:$BT119,,T119)*(1-R119)+INDEX(Models!$BJ119:$BT119,,T119+1)*R119-ERP_i)*Q119*Ramure*Pc/MaxiM</f>
        <v>3.6322006328532732E-4</v>
      </c>
      <c r="Q119" s="305">
        <f t="shared" si="28"/>
        <v>0.7</v>
      </c>
      <c r="R119" s="177">
        <f t="shared" si="29"/>
        <v>3.5199398682731718E-2</v>
      </c>
      <c r="S119" s="810">
        <f t="shared" si="30"/>
        <v>0</v>
      </c>
      <c r="T119" s="176">
        <f t="shared" si="31"/>
        <v>6</v>
      </c>
      <c r="U119" s="251">
        <f t="shared" si="32"/>
        <v>3.5199398682731718E-2</v>
      </c>
      <c r="V119" s="383">
        <f t="shared" si="33"/>
        <v>50.962482667156955</v>
      </c>
      <c r="W119" s="402">
        <f t="shared" si="34"/>
        <v>0</v>
      </c>
      <c r="X119" s="157">
        <f t="shared" si="35"/>
        <v>44666</v>
      </c>
      <c r="Y119" s="385">
        <f t="shared" si="36"/>
        <v>40.149856767931539</v>
      </c>
      <c r="Z119" s="385">
        <f t="shared" si="37"/>
        <v>41.434154388188382</v>
      </c>
      <c r="AA119" s="386">
        <f t="shared" si="38"/>
        <v>48.23081849325952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0.14091952650608661</v>
      </c>
      <c r="AD119" s="231">
        <f>(INDEX(Models!$BJ119:$BT119,,AH119)*(1-AF119)+INDEX(Models!$BJ119:$BT119,,AH119+1)*AF119-ERP_i)*AE119*Ramure*Pc/MaxiM</f>
        <v>3.6322006328532732E-4</v>
      </c>
      <c r="AE119" s="305">
        <f t="shared" si="40"/>
        <v>0.7</v>
      </c>
      <c r="AF119" s="177">
        <f t="shared" si="41"/>
        <v>3.5199398682731718E-2</v>
      </c>
      <c r="AG119" s="810">
        <f t="shared" si="49"/>
        <v>0</v>
      </c>
      <c r="AH119" s="176">
        <f t="shared" si="42"/>
        <v>6</v>
      </c>
      <c r="AI119" s="225">
        <f t="shared" si="43"/>
        <v>3.5199398682731718E-2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42">
        <v>46.792000000000002</v>
      </c>
      <c r="C120" s="840"/>
      <c r="D120" s="393">
        <f t="shared" si="25"/>
        <v>48.289887627580541</v>
      </c>
      <c r="E120" s="385">
        <f t="shared" si="47"/>
        <v>52.311890999617681</v>
      </c>
      <c r="F120" s="385">
        <f t="shared" si="26"/>
        <v>52.327517429818045</v>
      </c>
      <c r="G120" s="110">
        <f t="shared" si="48"/>
        <v>0.91322019952076183</v>
      </c>
      <c r="H120" s="414" t="b">
        <f>Wh_hp&gt;='2021'!Maxi_hp</f>
        <v>1</v>
      </c>
      <c r="I120" s="380">
        <f>IF(H120,Wh_hp,'2021'!Maxi_hp)</f>
        <v>52.327517429818045</v>
      </c>
      <c r="J120" s="85">
        <f>IF(H120,An,'2021'!An_max)</f>
        <v>2022</v>
      </c>
      <c r="K120" s="197">
        <f t="shared" si="27"/>
        <v>44667</v>
      </c>
      <c r="L120" s="147">
        <f>IF(t&lt;Tvie,1-EXP((T0-t)*PertePVj)+'2021'!Pspv,1-EXP((T0-t)*PertePVj)+Pspv)</f>
        <v>3.1018660451904378E-2</v>
      </c>
      <c r="M120" s="844"/>
      <c r="N120" s="844"/>
      <c r="O120" s="48">
        <f>IF(t&lt;Tnet,'2021'!Resal+('2021'!Salim-'2021'!Resal)*(1-EXP(('2021'!Tnet-t)/('2021'!Tau_j))),Resal+(Salim-Resal)*(1-EXP((Tnet-t)/(Tau_j))))*Salcycl</f>
        <v>7.6885069439881937E-2</v>
      </c>
      <c r="P120" s="339">
        <f>(INDEX(Models!$BJ120:$BT120,,T120)*(1-R120)+INDEX(Models!$BJ120:$BT120,,T120+1)*R120-ERP_i)*Q120*Ramure*Pc/MaxiM</f>
        <v>3.4086617437492975E-4</v>
      </c>
      <c r="Q120" s="305">
        <f t="shared" si="28"/>
        <v>0.7</v>
      </c>
      <c r="R120" s="177">
        <f t="shared" si="29"/>
        <v>3.6584725061645638E-2</v>
      </c>
      <c r="S120" s="810">
        <f t="shared" si="30"/>
        <v>0</v>
      </c>
      <c r="T120" s="176">
        <f t="shared" si="31"/>
        <v>6</v>
      </c>
      <c r="U120" s="251">
        <f t="shared" si="32"/>
        <v>3.6584725061645638E-2</v>
      </c>
      <c r="V120" s="383">
        <f t="shared" si="33"/>
        <v>51.236298755963325</v>
      </c>
      <c r="W120" s="402">
        <f t="shared" si="34"/>
        <v>0</v>
      </c>
      <c r="X120" s="157">
        <f t="shared" si="35"/>
        <v>44667</v>
      </c>
      <c r="Y120" s="385">
        <f t="shared" si="36"/>
        <v>43.541719783111397</v>
      </c>
      <c r="Z120" s="385">
        <f t="shared" si="37"/>
        <v>44.935560682126216</v>
      </c>
      <c r="AA120" s="386">
        <f t="shared" si="38"/>
        <v>52.311890999617681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0.14100676111183541</v>
      </c>
      <c r="AD120" s="231">
        <f>(INDEX(Models!$BJ120:$BT120,,AH120)*(1-AF120)+INDEX(Models!$BJ120:$BT120,,AH120+1)*AF120-ERP_i)*AE120*Ramure*Pc/MaxiM</f>
        <v>3.4086617437492975E-4</v>
      </c>
      <c r="AE120" s="305">
        <f t="shared" si="40"/>
        <v>0.7</v>
      </c>
      <c r="AF120" s="177">
        <f t="shared" si="41"/>
        <v>3.6584725061645638E-2</v>
      </c>
      <c r="AG120" s="810">
        <f t="shared" si="49"/>
        <v>0</v>
      </c>
      <c r="AH120" s="176">
        <f t="shared" si="42"/>
        <v>6</v>
      </c>
      <c r="AI120" s="225">
        <f t="shared" si="43"/>
        <v>3.6584725061645638E-2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42">
        <v>51.215000000000003</v>
      </c>
      <c r="C121" s="840"/>
      <c r="D121" s="393">
        <f t="shared" si="25"/>
        <v>52.855705043290833</v>
      </c>
      <c r="E121" s="385">
        <f t="shared" si="47"/>
        <v>57.266596782172577</v>
      </c>
      <c r="F121" s="385">
        <f t="shared" si="26"/>
        <v>57.284777251716619</v>
      </c>
      <c r="G121" s="110">
        <f t="shared" si="48"/>
        <v>0.99441256146017665</v>
      </c>
      <c r="H121" s="414" t="b">
        <f>Wh_hp&gt;='2021'!Maxi_hp</f>
        <v>1</v>
      </c>
      <c r="I121" s="380">
        <f>IF(H121,Wh_hp,'2021'!Maxi_hp)</f>
        <v>57.284777251716619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3.1041210063266211E-2</v>
      </c>
      <c r="M121" s="844"/>
      <c r="N121" s="844"/>
      <c r="O121" s="48">
        <f>IF(t&lt;Tnet,'2021'!Resal+('2021'!Salim-'2021'!Resal)*(1-EXP(('2021'!Tnet-t)/('2021'!Tau_j))),Resal+(Salim-Resal)*(1-EXP((Tnet-t)/(Tau_j))))*Salcycl</f>
        <v>7.7023814697067525E-2</v>
      </c>
      <c r="P121" s="339">
        <f>(INDEX(Models!$BJ121:$BT121,,T121)*(1-R121)+INDEX(Models!$BJ121:$BT121,,T121+1)*R121-ERP_i)*Q121*Ramure*Pc/MaxiM</f>
        <v>3.1992247468237668E-4</v>
      </c>
      <c r="Q121" s="305">
        <f t="shared" si="28"/>
        <v>0.7</v>
      </c>
      <c r="R121" s="177">
        <f t="shared" si="29"/>
        <v>3.8017002289387064E-2</v>
      </c>
      <c r="S121" s="810">
        <f t="shared" si="30"/>
        <v>0</v>
      </c>
      <c r="T121" s="176">
        <f t="shared" si="31"/>
        <v>6</v>
      </c>
      <c r="U121" s="251">
        <f t="shared" si="32"/>
        <v>3.8017002289387064E-2</v>
      </c>
      <c r="V121" s="383">
        <f t="shared" si="33"/>
        <v>51.502637052487486</v>
      </c>
      <c r="W121" s="402">
        <f t="shared" si="34"/>
        <v>0</v>
      </c>
      <c r="X121" s="157">
        <f t="shared" si="35"/>
        <v>44668</v>
      </c>
      <c r="Y121" s="385">
        <f t="shared" si="36"/>
        <v>47.659707118199975</v>
      </c>
      <c r="Z121" s="385">
        <f t="shared" si="37"/>
        <v>49.186516096635877</v>
      </c>
      <c r="AA121" s="386">
        <f t="shared" si="38"/>
        <v>57.266596782172577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0.14109587682102454</v>
      </c>
      <c r="AD121" s="231">
        <f>(INDEX(Models!$BJ121:$BT121,,AH121)*(1-AF121)+INDEX(Models!$BJ121:$BT121,,AH121+1)*AF121-ERP_i)*AE121*Ramure*Pc/MaxiM</f>
        <v>3.1992247468237668E-4</v>
      </c>
      <c r="AE121" s="305">
        <f t="shared" si="40"/>
        <v>0.7</v>
      </c>
      <c r="AF121" s="177">
        <f t="shared" si="41"/>
        <v>3.8017002289387064E-2</v>
      </c>
      <c r="AG121" s="810">
        <f t="shared" si="49"/>
        <v>0</v>
      </c>
      <c r="AH121" s="176">
        <f t="shared" si="42"/>
        <v>6</v>
      </c>
      <c r="AI121" s="225">
        <f t="shared" si="43"/>
        <v>3.8017002289387064E-2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42">
        <v>40.386000000000003</v>
      </c>
      <c r="C122" s="840"/>
      <c r="D122" s="393">
        <f t="shared" si="25"/>
        <v>41.680761124762718</v>
      </c>
      <c r="E122" s="385">
        <f t="shared" si="47"/>
        <v>45.165924649824305</v>
      </c>
      <c r="F122" s="385">
        <f t="shared" si="26"/>
        <v>45.175246196580972</v>
      </c>
      <c r="G122" s="110">
        <f t="shared" si="48"/>
        <v>0.78015806691968725</v>
      </c>
      <c r="H122" s="414" t="b">
        <f>Wh_hp&gt;='2021'!Maxi_hp</f>
        <v>1</v>
      </c>
      <c r="I122" s="380">
        <f>IF(H122,Wh_hp,'2021'!Maxi_hp)</f>
        <v>45.175246196580972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3.10637591498657E-2</v>
      </c>
      <c r="M122" s="844"/>
      <c r="N122" s="844"/>
      <c r="O122" s="48">
        <f>IF(t&lt;Tnet,'2021'!Resal+('2021'!Salim-'2021'!Resal)*(1-EXP(('2021'!Tnet-t)/('2021'!Tau_j))),Resal+(Salim-Resal)*(1-EXP((Tnet-t)/(Tau_j))))*Salcycl</f>
        <v>7.7163559742934332E-2</v>
      </c>
      <c r="P122" s="339">
        <f>(INDEX(Models!$BJ122:$BT122,,T122)*(1-R122)+INDEX(Models!$BJ122:$BT122,,T122+1)*R122-ERP_i)*Q122*Ramure*Pc/MaxiM</f>
        <v>3.0077007041604843E-4</v>
      </c>
      <c r="Q122" s="305">
        <f t="shared" si="28"/>
        <v>0.7</v>
      </c>
      <c r="R122" s="177">
        <f t="shared" si="29"/>
        <v>3.9497386547565398E-2</v>
      </c>
      <c r="S122" s="810">
        <f t="shared" si="30"/>
        <v>0</v>
      </c>
      <c r="T122" s="176">
        <f t="shared" si="31"/>
        <v>6</v>
      </c>
      <c r="U122" s="251">
        <f t="shared" si="32"/>
        <v>3.9497386547565398E-2</v>
      </c>
      <c r="V122" s="383">
        <f t="shared" si="33"/>
        <v>51.761543397027012</v>
      </c>
      <c r="W122" s="402">
        <f t="shared" si="34"/>
        <v>0</v>
      </c>
      <c r="X122" s="157">
        <f t="shared" si="35"/>
        <v>44669</v>
      </c>
      <c r="Y122" s="385">
        <f t="shared" si="36"/>
        <v>37.584153038039418</v>
      </c>
      <c r="Z122" s="385">
        <f t="shared" si="37"/>
        <v>38.789087922919968</v>
      </c>
      <c r="AA122" s="386">
        <f t="shared" si="38"/>
        <v>45.165924649824305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0.14118689645666632</v>
      </c>
      <c r="AD122" s="231">
        <f>(INDEX(Models!$BJ122:$BT122,,AH122)*(1-AF122)+INDEX(Models!$BJ122:$BT122,,AH122+1)*AF122-ERP_i)*AE122*Ramure*Pc/MaxiM</f>
        <v>3.0077007041604843E-4</v>
      </c>
      <c r="AE122" s="305">
        <f t="shared" si="40"/>
        <v>0.7</v>
      </c>
      <c r="AF122" s="177">
        <f t="shared" si="41"/>
        <v>3.9497386547565398E-2</v>
      </c>
      <c r="AG122" s="810">
        <f t="shared" si="49"/>
        <v>0</v>
      </c>
      <c r="AH122" s="176">
        <f t="shared" si="42"/>
        <v>6</v>
      </c>
      <c r="AI122" s="225">
        <f t="shared" si="43"/>
        <v>3.9497386547565398E-2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42">
        <v>9.4359999999999999</v>
      </c>
      <c r="C123" s="840"/>
      <c r="D123" s="393">
        <f t="shared" si="25"/>
        <v>9.7387415154749064</v>
      </c>
      <c r="E123" s="385">
        <f t="shared" si="47"/>
        <v>10.554662517332163</v>
      </c>
      <c r="F123" s="385">
        <f t="shared" si="26"/>
        <v>10.554662517332163</v>
      </c>
      <c r="G123" s="110">
        <f t="shared" si="48"/>
        <v>0.18136436572644066</v>
      </c>
      <c r="H123" s="414" t="b">
        <f>Wh_hp&gt;='2021'!Maxi_hp</f>
        <v>0</v>
      </c>
      <c r="I123" s="380">
        <f>IF(H123,Wh_hp,'2021'!Maxi_hp)</f>
        <v>58.078197981437626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3.1086307711715055E-2</v>
      </c>
      <c r="M123" s="844"/>
      <c r="N123" s="844"/>
      <c r="O123" s="48">
        <f>IF(t&lt;Tnet,'2021'!Resal+('2021'!Salim-'2021'!Resal)*(1-EXP(('2021'!Tnet-t)/('2021'!Tau_j))),Resal+(Salim-Resal)*(1-EXP((Tnet-t)/(Tau_j))))*Salcycl</f>
        <v>7.7304319348667591E-2</v>
      </c>
      <c r="P123" s="339">
        <f>(INDEX(Models!$BJ123:$BT123,,T123)*(1-R123)+INDEX(Models!$BJ123:$BT123,,T123+1)*R123-ERP_i)*Q123*Ramure*Pc/MaxiM</f>
        <v>2.8289806307018304E-4</v>
      </c>
      <c r="Q123" s="305">
        <f t="shared" si="28"/>
        <v>0.7</v>
      </c>
      <c r="R123" s="177">
        <f t="shared" si="29"/>
        <v>4.1027029015274885E-2</v>
      </c>
      <c r="S123" s="810">
        <f t="shared" si="30"/>
        <v>0</v>
      </c>
      <c r="T123" s="176">
        <f t="shared" si="31"/>
        <v>6</v>
      </c>
      <c r="U123" s="251">
        <f t="shared" si="32"/>
        <v>4.1027029015274885E-2</v>
      </c>
      <c r="V123" s="383">
        <f t="shared" si="33"/>
        <v>52.013142361744592</v>
      </c>
      <c r="W123" s="402">
        <f t="shared" si="34"/>
        <v>0</v>
      </c>
      <c r="X123" s="157">
        <f t="shared" si="35"/>
        <v>44670</v>
      </c>
      <c r="Y123" s="385">
        <f t="shared" si="36"/>
        <v>8.7817506866953785</v>
      </c>
      <c r="Z123" s="385">
        <f t="shared" si="37"/>
        <v>9.0635014827332085</v>
      </c>
      <c r="AA123" s="386">
        <f t="shared" si="38"/>
        <v>10.554662517332163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0.14127984027440668</v>
      </c>
      <c r="AD123" s="231">
        <f>(INDEX(Models!$BJ123:$BT123,,AH123)*(1-AF123)+INDEX(Models!$BJ123:$BT123,,AH123+1)*AF123-ERP_i)*AE123*Ramure*Pc/MaxiM</f>
        <v>2.8289806307018304E-4</v>
      </c>
      <c r="AE123" s="305">
        <f t="shared" si="40"/>
        <v>0.7</v>
      </c>
      <c r="AF123" s="177">
        <f t="shared" si="41"/>
        <v>4.1027029015274885E-2</v>
      </c>
      <c r="AG123" s="810">
        <f t="shared" si="49"/>
        <v>0</v>
      </c>
      <c r="AH123" s="176">
        <f t="shared" si="42"/>
        <v>6</v>
      </c>
      <c r="AI123" s="225">
        <f t="shared" si="43"/>
        <v>4.1027029015274885E-2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42">
        <v>9.8979999999999997</v>
      </c>
      <c r="C124" s="840"/>
      <c r="D124" s="393">
        <f t="shared" si="25"/>
        <v>10.215801907911814</v>
      </c>
      <c r="E124" s="385">
        <f t="shared" si="47"/>
        <v>11.073393092625682</v>
      </c>
      <c r="F124" s="385">
        <f t="shared" si="26"/>
        <v>11.073393092625682</v>
      </c>
      <c r="G124" s="110">
        <f t="shared" si="48"/>
        <v>0.18935766075287835</v>
      </c>
      <c r="H124" s="414" t="b">
        <f>Wh_hp&gt;='2021'!Maxi_hp</f>
        <v>0</v>
      </c>
      <c r="I124" s="380">
        <f>IF(H124,Wh_hp,'2021'!Maxi_hp)</f>
        <v>49.816269691728465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3.1108855748826381E-2</v>
      </c>
      <c r="M124" s="844"/>
      <c r="N124" s="844"/>
      <c r="O124" s="48">
        <f>IF(t&lt;Tnet,'2021'!Resal+('2021'!Salim-'2021'!Resal)*(1-EXP(('2021'!Tnet-t)/('2021'!Tau_j))),Resal+(Salim-Resal)*(1-EXP((Tnet-t)/(Tau_j))))*Salcycl</f>
        <v>7.7446106856350977E-2</v>
      </c>
      <c r="P124" s="339">
        <f>(INDEX(Models!$BJ124:$BT124,,T124)*(1-R124)+INDEX(Models!$BJ124:$BT124,,T124+1)*R124-ERP_i)*Q124*Ramure*Pc/MaxiM</f>
        <v>2.6628514936330395E-4</v>
      </c>
      <c r="Q124" s="305">
        <f t="shared" si="28"/>
        <v>0.7</v>
      </c>
      <c r="R124" s="177">
        <f t="shared" si="29"/>
        <v>4.2607072798210251E-2</v>
      </c>
      <c r="S124" s="810">
        <f t="shared" si="30"/>
        <v>0</v>
      </c>
      <c r="T124" s="176">
        <f t="shared" si="31"/>
        <v>6</v>
      </c>
      <c r="U124" s="251">
        <f t="shared" si="32"/>
        <v>4.2607072798210251E-2</v>
      </c>
      <c r="V124" s="383">
        <f t="shared" si="33"/>
        <v>52.257533549200154</v>
      </c>
      <c r="W124" s="402">
        <f t="shared" si="34"/>
        <v>0</v>
      </c>
      <c r="X124" s="157">
        <f t="shared" si="35"/>
        <v>44671</v>
      </c>
      <c r="Y124" s="385">
        <f t="shared" si="36"/>
        <v>9.2121154402983425</v>
      </c>
      <c r="Z124" s="385">
        <f t="shared" si="37"/>
        <v>9.50789517992561</v>
      </c>
      <c r="AA124" s="386">
        <f t="shared" si="38"/>
        <v>11.073393092625682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0.14137472585007529</v>
      </c>
      <c r="AD124" s="231">
        <f>(INDEX(Models!$BJ124:$BT124,,AH124)*(1-AF124)+INDEX(Models!$BJ124:$BT124,,AH124+1)*AF124-ERP_i)*AE124*Ramure*Pc/MaxiM</f>
        <v>2.6628514936330395E-4</v>
      </c>
      <c r="AE124" s="305">
        <f t="shared" si="40"/>
        <v>0.7</v>
      </c>
      <c r="AF124" s="177">
        <f t="shared" si="41"/>
        <v>4.2607072798210251E-2</v>
      </c>
      <c r="AG124" s="810">
        <f t="shared" si="49"/>
        <v>0</v>
      </c>
      <c r="AH124" s="176">
        <f t="shared" si="42"/>
        <v>6</v>
      </c>
      <c r="AI124" s="225">
        <f t="shared" si="43"/>
        <v>4.2607072798210251E-2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42">
        <v>9.5790000000000006</v>
      </c>
      <c r="C125" s="840"/>
      <c r="D125" s="393">
        <f t="shared" si="25"/>
        <v>9.8867896350887179</v>
      </c>
      <c r="E125" s="385">
        <f t="shared" si="47"/>
        <v>10.718420453369548</v>
      </c>
      <c r="F125" s="385">
        <f t="shared" si="26"/>
        <v>10.718420453369548</v>
      </c>
      <c r="G125" s="110">
        <f t="shared" si="48"/>
        <v>0.18242937371561549</v>
      </c>
      <c r="H125" s="414" t="b">
        <f>Wh_hp&gt;='2021'!Maxi_hp</f>
        <v>0</v>
      </c>
      <c r="I125" s="380">
        <f>IF(H125,Wh_hp,'2021'!Maxi_hp)</f>
        <v>54.888327904191918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3.1131403261211998E-2</v>
      </c>
      <c r="M125" s="844"/>
      <c r="N125" s="844"/>
      <c r="O125" s="48">
        <f>IF(t&lt;Tnet,'2021'!Resal+('2021'!Salim-'2021'!Resal)*(1-EXP(('2021'!Tnet-t)/('2021'!Tau_j))),Resal+(Salim-Resal)*(1-EXP((Tnet-t)/(Tau_j))))*Salcycl</f>
        <v>7.7588934106367372E-2</v>
      </c>
      <c r="P125" s="339">
        <f>(INDEX(Models!$BJ125:$BT125,,T125)*(1-R125)+INDEX(Models!$BJ125:$BT125,,T125+1)*R125-ERP_i)*Q125*Ramure*Pc/MaxiM</f>
        <v>2.5091311335071501E-4</v>
      </c>
      <c r="Q125" s="305">
        <f t="shared" si="28"/>
        <v>0.7</v>
      </c>
      <c r="R125" s="177">
        <f t="shared" si="29"/>
        <v>4.4238649650588706E-2</v>
      </c>
      <c r="S125" s="810">
        <f t="shared" si="30"/>
        <v>0</v>
      </c>
      <c r="T125" s="176">
        <f t="shared" si="31"/>
        <v>6</v>
      </c>
      <c r="U125" s="251">
        <f t="shared" si="32"/>
        <v>4.4238649650588706E-2</v>
      </c>
      <c r="V125" s="383">
        <f t="shared" si="33"/>
        <v>52.494816532210031</v>
      </c>
      <c r="W125" s="402">
        <f t="shared" si="34"/>
        <v>0</v>
      </c>
      <c r="X125" s="157">
        <f t="shared" si="35"/>
        <v>44672</v>
      </c>
      <c r="Y125" s="385">
        <f t="shared" si="36"/>
        <v>8.9155953940273669</v>
      </c>
      <c r="Z125" s="385">
        <f t="shared" si="37"/>
        <v>9.2020687057432387</v>
      </c>
      <c r="AA125" s="386">
        <f t="shared" si="38"/>
        <v>10.718420453369548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0.1414715679631334</v>
      </c>
      <c r="AD125" s="231">
        <f>(INDEX(Models!$BJ125:$BT125,,AH125)*(1-AF125)+INDEX(Models!$BJ125:$BT125,,AH125+1)*AF125-ERP_i)*AE125*Ramure*Pc/MaxiM</f>
        <v>2.5091311335071501E-4</v>
      </c>
      <c r="AE125" s="305">
        <f t="shared" si="40"/>
        <v>0.7</v>
      </c>
      <c r="AF125" s="177">
        <f t="shared" si="41"/>
        <v>4.4238649650588706E-2</v>
      </c>
      <c r="AG125" s="810">
        <f t="shared" si="49"/>
        <v>0</v>
      </c>
      <c r="AH125" s="176">
        <f t="shared" si="42"/>
        <v>6</v>
      </c>
      <c r="AI125" s="225">
        <f t="shared" si="43"/>
        <v>4.4238649650588706E-2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42">
        <v>27.666</v>
      </c>
      <c r="C126" s="840"/>
      <c r="D126" s="393">
        <f t="shared" si="25"/>
        <v>28.555620376536641</v>
      </c>
      <c r="E126" s="385">
        <f t="shared" si="47"/>
        <v>30.962416020366589</v>
      </c>
      <c r="F126" s="385">
        <f t="shared" si="26"/>
        <v>30.964769627600436</v>
      </c>
      <c r="G126" s="110">
        <f t="shared" si="48"/>
        <v>0.52463735382994325</v>
      </c>
      <c r="H126" s="414" t="b">
        <f>Wh_hp&gt;='2021'!Maxi_hp</f>
        <v>0</v>
      </c>
      <c r="I126" s="380">
        <f>IF(H126,Wh_hp,'2021'!Maxi_hp)</f>
        <v>59.567608044722562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3.115395024888401E-2</v>
      </c>
      <c r="M126" s="844"/>
      <c r="N126" s="844"/>
      <c r="O126" s="48">
        <f>IF(t&lt;Tnet,'2021'!Resal+('2021'!Salim-'2021'!Resal)*(1-EXP(('2021'!Tnet-t)/('2021'!Tau_j))),Resal+(Salim-Resal)*(1-EXP((Tnet-t)/(Tau_j))))*Salcycl</f>
        <v>7.7732811362226886E-2</v>
      </c>
      <c r="P126" s="339">
        <f>(INDEX(Models!$BJ126:$BT126,,T126)*(1-R126)+INDEX(Models!$BJ126:$BT126,,T126+1)*R126-ERP_i)*Q126*Ramure*Pc/MaxiM</f>
        <v>2.3676589289308591E-4</v>
      </c>
      <c r="Q126" s="305">
        <f t="shared" si="28"/>
        <v>0.7</v>
      </c>
      <c r="R126" s="177">
        <f t="shared" si="29"/>
        <v>4.592287648809467E-2</v>
      </c>
      <c r="S126" s="810">
        <f t="shared" si="30"/>
        <v>0</v>
      </c>
      <c r="T126" s="176">
        <f t="shared" si="31"/>
        <v>6</v>
      </c>
      <c r="U126" s="251">
        <f t="shared" si="32"/>
        <v>4.592287648809467E-2</v>
      </c>
      <c r="V126" s="383">
        <f t="shared" si="33"/>
        <v>52.72509089412835</v>
      </c>
      <c r="W126" s="402">
        <f t="shared" si="34"/>
        <v>0</v>
      </c>
      <c r="X126" s="157">
        <f t="shared" si="35"/>
        <v>44673</v>
      </c>
      <c r="Y126" s="385">
        <f t="shared" si="36"/>
        <v>25.751012506643818</v>
      </c>
      <c r="Z126" s="385">
        <f t="shared" si="37"/>
        <v>26.579055065826939</v>
      </c>
      <c r="AA126" s="386">
        <f t="shared" si="38"/>
        <v>30.962416020366589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0.14157037847616108</v>
      </c>
      <c r="AD126" s="231">
        <f>(INDEX(Models!$BJ126:$BT126,,AH126)*(1-AF126)+INDEX(Models!$BJ126:$BT126,,AH126+1)*AF126-ERP_i)*AE126*Ramure*Pc/MaxiM</f>
        <v>2.3676589289308591E-4</v>
      </c>
      <c r="AE126" s="305">
        <f t="shared" si="40"/>
        <v>0.7</v>
      </c>
      <c r="AF126" s="177">
        <f t="shared" si="41"/>
        <v>4.592287648809467E-2</v>
      </c>
      <c r="AG126" s="810">
        <f t="shared" si="49"/>
        <v>0</v>
      </c>
      <c r="AH126" s="176">
        <f t="shared" si="42"/>
        <v>6</v>
      </c>
      <c r="AI126" s="225">
        <f t="shared" si="43"/>
        <v>4.592287648809467E-2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42">
        <v>9.3000000000000007</v>
      </c>
      <c r="C127" s="840"/>
      <c r="D127" s="393">
        <f t="shared" si="25"/>
        <v>9.599271661387446</v>
      </c>
      <c r="E127" s="385">
        <f t="shared" si="47"/>
        <v>10.409977237381101</v>
      </c>
      <c r="F127" s="385">
        <f t="shared" si="26"/>
        <v>10.409977237381101</v>
      </c>
      <c r="G127" s="110">
        <f t="shared" si="48"/>
        <v>0.17560320063167559</v>
      </c>
      <c r="H127" s="414" t="b">
        <f>Wh_hp&gt;='2021'!Maxi_hp</f>
        <v>0</v>
      </c>
      <c r="I127" s="380">
        <f>IF(H127,Wh_hp,'2021'!Maxi_hp)</f>
        <v>59.226386677752629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3.117649671185474E-2</v>
      </c>
      <c r="M127" s="844"/>
      <c r="N127" s="844"/>
      <c r="O127" s="48">
        <f>IF(t&lt;Tnet,'2021'!Resal+('2021'!Salim-'2021'!Resal)*(1-EXP(('2021'!Tnet-t)/('2021'!Tau_j))),Resal+(Salim-Resal)*(1-EXP((Tnet-t)/(Tau_j))))*Salcycl</f>
        <v>7.7877747232962091E-2</v>
      </c>
      <c r="P127" s="339">
        <f>(INDEX(Models!$BJ127:$BT127,,T127)*(1-R127)+INDEX(Models!$BJ127:$BT127,,T127+1)*R127-ERP_i)*Q127*Ramure*Pc/MaxiM</f>
        <v>2.2382889503727062E-4</v>
      </c>
      <c r="Q127" s="305">
        <f t="shared" si="28"/>
        <v>0.7</v>
      </c>
      <c r="R127" s="177">
        <f t="shared" si="29"/>
        <v>4.7660851691321379E-2</v>
      </c>
      <c r="S127" s="810">
        <f t="shared" si="30"/>
        <v>0</v>
      </c>
      <c r="T127" s="176">
        <f t="shared" si="31"/>
        <v>6</v>
      </c>
      <c r="U127" s="251">
        <f t="shared" si="32"/>
        <v>4.7660851691321379E-2</v>
      </c>
      <c r="V127" s="383">
        <f t="shared" si="33"/>
        <v>52.948456280010312</v>
      </c>
      <c r="W127" s="402">
        <f t="shared" si="34"/>
        <v>0</v>
      </c>
      <c r="X127" s="157">
        <f t="shared" si="35"/>
        <v>44674</v>
      </c>
      <c r="Y127" s="385">
        <f t="shared" si="36"/>
        <v>8.656615899125752</v>
      </c>
      <c r="Z127" s="385">
        <f t="shared" si="37"/>
        <v>8.9351836219348204</v>
      </c>
      <c r="AA127" s="386">
        <f t="shared" si="38"/>
        <v>10.409977237381101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0.14167116621066722</v>
      </c>
      <c r="AD127" s="231">
        <f>(INDEX(Models!$BJ127:$BT127,,AH127)*(1-AF127)+INDEX(Models!$BJ127:$BT127,,AH127+1)*AF127-ERP_i)*AE127*Ramure*Pc/MaxiM</f>
        <v>2.2382889503727062E-4</v>
      </c>
      <c r="AE127" s="305">
        <f t="shared" si="40"/>
        <v>0.7</v>
      </c>
      <c r="AF127" s="177">
        <f t="shared" si="41"/>
        <v>4.7660851691321379E-2</v>
      </c>
      <c r="AG127" s="810">
        <f t="shared" si="49"/>
        <v>0</v>
      </c>
      <c r="AH127" s="176">
        <f t="shared" si="42"/>
        <v>6</v>
      </c>
      <c r="AI127" s="225">
        <f t="shared" si="43"/>
        <v>4.7660851691321379E-2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42">
        <v>31.992000000000001</v>
      </c>
      <c r="C128" s="840"/>
      <c r="D128" s="393">
        <f t="shared" si="25"/>
        <v>33.022262991475046</v>
      </c>
      <c r="E128" s="385">
        <f t="shared" si="47"/>
        <v>35.816826020292758</v>
      </c>
      <c r="F128" s="385">
        <f t="shared" si="26"/>
        <v>35.820105786387778</v>
      </c>
      <c r="G128" s="110">
        <f t="shared" si="48"/>
        <v>0.60167659731167722</v>
      </c>
      <c r="H128" s="414" t="b">
        <f>Wh_hp&gt;='2021'!Maxi_hp</f>
        <v>0</v>
      </c>
      <c r="I128" s="380">
        <f>IF(H128,Wh_hp,'2021'!Maxi_hp)</f>
        <v>54.494579426141378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3.1199042650136288E-2</v>
      </c>
      <c r="M128" s="844"/>
      <c r="N128" s="844"/>
      <c r="O128" s="48">
        <f>IF(t&lt;Tnet,'2021'!Resal+('2021'!Salim-'2021'!Resal)*(1-EXP(('2021'!Tnet-t)/('2021'!Tau_j))),Resal+(Salim-Resal)*(1-EXP((Tnet-t)/(Tau_j))))*Salcycl</f>
        <v>7.8023748593311848E-2</v>
      </c>
      <c r="P128" s="339">
        <f>(INDEX(Models!$BJ128:$BT128,,T128)*(1-R128)+INDEX(Models!$BJ128:$BT128,,T128+1)*R128-ERP_i)*Q128*Ramure*Pc/MaxiM</f>
        <v>2.1240647175174289E-4</v>
      </c>
      <c r="Q128" s="305">
        <f t="shared" si="28"/>
        <v>0.7</v>
      </c>
      <c r="R128" s="177">
        <f t="shared" si="29"/>
        <v>4.9453651200586583E-2</v>
      </c>
      <c r="S128" s="810">
        <f t="shared" si="30"/>
        <v>0</v>
      </c>
      <c r="T128" s="176">
        <f t="shared" si="31"/>
        <v>6</v>
      </c>
      <c r="U128" s="251">
        <f t="shared" si="32"/>
        <v>4.9453651200586583E-2</v>
      </c>
      <c r="V128" s="383">
        <f t="shared" si="33"/>
        <v>53.164995510115929</v>
      </c>
      <c r="W128" s="402">
        <f t="shared" si="34"/>
        <v>0</v>
      </c>
      <c r="X128" s="157">
        <f t="shared" si="35"/>
        <v>44675</v>
      </c>
      <c r="Y128" s="385">
        <f t="shared" si="36"/>
        <v>29.779908290885722</v>
      </c>
      <c r="Z128" s="385">
        <f t="shared" si="37"/>
        <v>30.738933591011392</v>
      </c>
      <c r="AA128" s="386">
        <f t="shared" si="38"/>
        <v>35.816826020292758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0.14177393681964962</v>
      </c>
      <c r="AD128" s="231">
        <f>(INDEX(Models!$BJ128:$BT128,,AH128)*(1-AF128)+INDEX(Models!$BJ128:$BT128,,AH128+1)*AF128-ERP_i)*AE128*Ramure*Pc/MaxiM</f>
        <v>2.1240647175174289E-4</v>
      </c>
      <c r="AE128" s="305">
        <f t="shared" si="40"/>
        <v>0.7</v>
      </c>
      <c r="AF128" s="177">
        <f t="shared" si="41"/>
        <v>4.9453651200586583E-2</v>
      </c>
      <c r="AG128" s="810">
        <f t="shared" si="49"/>
        <v>0</v>
      </c>
      <c r="AH128" s="176">
        <f t="shared" si="42"/>
        <v>6</v>
      </c>
      <c r="AI128" s="225">
        <f t="shared" si="43"/>
        <v>4.9453651200586583E-2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42">
        <v>47.941000000000003</v>
      </c>
      <c r="C129" s="840"/>
      <c r="D129" s="393">
        <f t="shared" si="25"/>
        <v>49.486032522320791</v>
      </c>
      <c r="E129" s="385">
        <f t="shared" si="47"/>
        <v>53.682432301903567</v>
      </c>
      <c r="F129" s="385">
        <f t="shared" si="26"/>
        <v>53.691689029968188</v>
      </c>
      <c r="G129" s="110">
        <f t="shared" si="48"/>
        <v>0.89816824209749913</v>
      </c>
      <c r="H129" s="414" t="b">
        <f>Wh_hp&gt;='2021'!Maxi_hp</f>
        <v>0</v>
      </c>
      <c r="I129" s="380">
        <f>IF(H129,Wh_hp,'2021'!Maxi_hp)</f>
        <v>58.750852702335024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3.1221588063740979E-2</v>
      </c>
      <c r="M129" s="844"/>
      <c r="N129" s="844"/>
      <c r="O129" s="48">
        <f>IF(t&lt;Tnet,'2021'!Resal+('2021'!Salim-'2021'!Resal)*(1-EXP(('2021'!Tnet-t)/('2021'!Tau_j))),Resal+(Salim-Resal)*(1-EXP((Tnet-t)/(Tau_j))))*Salcycl</f>
        <v>7.8170820501998348E-2</v>
      </c>
      <c r="P129" s="339">
        <f>(INDEX(Models!$BJ129:$BT129,,T129)*(1-R129)+INDEX(Models!$BJ129:$BT129,,T129+1)*R129-ERP_i)*Q129*Ramure*Pc/MaxiM</f>
        <v>2.0174649140710171E-4</v>
      </c>
      <c r="Q129" s="305">
        <f t="shared" si="28"/>
        <v>0.7</v>
      </c>
      <c r="R129" s="177">
        <f t="shared" si="29"/>
        <v>5.1302324404559257E-2</v>
      </c>
      <c r="S129" s="810">
        <f t="shared" si="30"/>
        <v>0</v>
      </c>
      <c r="T129" s="176">
        <f t="shared" si="31"/>
        <v>6</v>
      </c>
      <c r="U129" s="251">
        <f t="shared" si="32"/>
        <v>5.1302324404559257E-2</v>
      </c>
      <c r="V129" s="383">
        <f t="shared" si="33"/>
        <v>53.374847674572258</v>
      </c>
      <c r="W129" s="402">
        <f t="shared" si="34"/>
        <v>0</v>
      </c>
      <c r="X129" s="157">
        <f t="shared" si="35"/>
        <v>44676</v>
      </c>
      <c r="Y129" s="385">
        <f t="shared" si="36"/>
        <v>44.62778409521696</v>
      </c>
      <c r="Z129" s="385">
        <f t="shared" si="37"/>
        <v>46.066038988235896</v>
      </c>
      <c r="AA129" s="386">
        <f t="shared" si="38"/>
        <v>53.682432301903567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0.14187869265747838</v>
      </c>
      <c r="AD129" s="231">
        <f>(INDEX(Models!$BJ129:$BT129,,AH129)*(1-AF129)+INDEX(Models!$BJ129:$BT129,,AH129+1)*AF129-ERP_i)*AE129*Ramure*Pc/MaxiM</f>
        <v>2.0174649140710171E-4</v>
      </c>
      <c r="AE129" s="305">
        <f t="shared" si="40"/>
        <v>0.7</v>
      </c>
      <c r="AF129" s="177">
        <f t="shared" si="41"/>
        <v>5.1302324404559257E-2</v>
      </c>
      <c r="AG129" s="810">
        <f t="shared" si="49"/>
        <v>0</v>
      </c>
      <c r="AH129" s="176">
        <f t="shared" si="42"/>
        <v>6</v>
      </c>
      <c r="AI129" s="225">
        <f t="shared" si="43"/>
        <v>5.1302324404559257E-2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42">
        <v>52.155999999999999</v>
      </c>
      <c r="C130" s="840"/>
      <c r="D130" s="393">
        <f t="shared" si="25"/>
        <v>53.838125552691416</v>
      </c>
      <c r="E130" s="385">
        <f t="shared" si="47"/>
        <v>58.412968883563209</v>
      </c>
      <c r="F130" s="385">
        <f t="shared" si="26"/>
        <v>58.42375193086324</v>
      </c>
      <c r="G130" s="110">
        <f t="shared" si="48"/>
        <v>0.97345012422523503</v>
      </c>
      <c r="H130" s="414" t="b">
        <f>Wh_hp&gt;='2021'!Maxi_hp</f>
        <v>1</v>
      </c>
      <c r="I130" s="380">
        <f>IF(H130,Wh_hp,'2021'!Maxi_hp)</f>
        <v>58.42375193086324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3.1244132952680914E-2</v>
      </c>
      <c r="M130" s="844"/>
      <c r="N130" s="844"/>
      <c r="O130" s="48">
        <f>IF(t&lt;Tnet,'2021'!Resal+('2021'!Salim-'2021'!Resal)*(1-EXP(('2021'!Tnet-t)/('2021'!Tau_j))),Resal+(Salim-Resal)*(1-EXP((Tnet-t)/(Tau_j))))*Salcycl</f>
        <v>7.8318966118483116E-2</v>
      </c>
      <c r="P130" s="339">
        <f>(INDEX(Models!$BJ130:$BT130,,T130)*(1-R130)+INDEX(Models!$BJ130:$BT130,,T130+1)*R130-ERP_i)*Q130*Ramure*Pc/MaxiM</f>
        <v>1.9184041355183563E-4</v>
      </c>
      <c r="Q130" s="305">
        <f t="shared" si="28"/>
        <v>0.7</v>
      </c>
      <c r="R130" s="177">
        <f t="shared" si="29"/>
        <v>5.3207889826846426E-2</v>
      </c>
      <c r="S130" s="810">
        <f t="shared" si="30"/>
        <v>0</v>
      </c>
      <c r="T130" s="176">
        <f t="shared" si="31"/>
        <v>6</v>
      </c>
      <c r="U130" s="251">
        <f t="shared" si="32"/>
        <v>5.3207889826846426E-2</v>
      </c>
      <c r="V130" s="383">
        <f t="shared" si="33"/>
        <v>53.578112772121109</v>
      </c>
      <c r="W130" s="402">
        <f t="shared" si="34"/>
        <v>0</v>
      </c>
      <c r="X130" s="157">
        <f t="shared" si="35"/>
        <v>44677</v>
      </c>
      <c r="Y130" s="385">
        <f t="shared" si="36"/>
        <v>48.553247956465015</v>
      </c>
      <c r="Z130" s="385">
        <f t="shared" si="37"/>
        <v>50.119178224386864</v>
      </c>
      <c r="AA130" s="386">
        <f t="shared" si="38"/>
        <v>58.412968883563209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0.14198543264781957</v>
      </c>
      <c r="AD130" s="231">
        <f>(INDEX(Models!$BJ130:$BT130,,AH130)*(1-AF130)+INDEX(Models!$BJ130:$BT130,,AH130+1)*AF130-ERP_i)*AE130*Ramure*Pc/MaxiM</f>
        <v>1.9184041355183563E-4</v>
      </c>
      <c r="AE130" s="305">
        <f t="shared" si="40"/>
        <v>0.7</v>
      </c>
      <c r="AF130" s="177">
        <f t="shared" si="41"/>
        <v>5.3207889826846426E-2</v>
      </c>
      <c r="AG130" s="810">
        <f t="shared" si="49"/>
        <v>0</v>
      </c>
      <c r="AH130" s="176">
        <f t="shared" si="42"/>
        <v>6</v>
      </c>
      <c r="AI130" s="225">
        <f t="shared" si="43"/>
        <v>5.3207889826846426E-2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42">
        <v>38.045999999999999</v>
      </c>
      <c r="C131" s="840"/>
      <c r="D131" s="393">
        <f t="shared" si="25"/>
        <v>39.273966435496099</v>
      </c>
      <c r="E131" s="385">
        <f t="shared" si="47"/>
        <v>42.618134138408259</v>
      </c>
      <c r="F131" s="385">
        <f t="shared" si="26"/>
        <v>42.622666963582361</v>
      </c>
      <c r="G131" s="110">
        <f t="shared" si="48"/>
        <v>0.70745091083679768</v>
      </c>
      <c r="H131" s="414" t="b">
        <f>Wh_hp&gt;='2021'!Maxi_hp</f>
        <v>1</v>
      </c>
      <c r="I131" s="380">
        <f>IF(H131,Wh_hp,'2021'!Maxi_hp)</f>
        <v>42.622666963582361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3.1266677316968305E-2</v>
      </c>
      <c r="M131" s="844"/>
      <c r="N131" s="844"/>
      <c r="O131" s="48">
        <f>IF(t&lt;Tnet,'2021'!Resal+('2021'!Salim-'2021'!Resal)*(1-EXP(('2021'!Tnet-t)/('2021'!Tau_j))),Resal+(Salim-Resal)*(1-EXP((Tnet-t)/(Tau_j))))*Salcycl</f>
        <v>7.8468186618670735E-2</v>
      </c>
      <c r="P131" s="339">
        <f>(INDEX(Models!$BJ131:$BT131,,T131)*(1-R131)+INDEX(Models!$BJ131:$BT131,,T131+1)*R131-ERP_i)*Q131*Ramure*Pc/MaxiM</f>
        <v>1.8268106254636907E-4</v>
      </c>
      <c r="Q131" s="305">
        <f t="shared" si="28"/>
        <v>0.7</v>
      </c>
      <c r="R131" s="177">
        <f t="shared" si="29"/>
        <v>5.5171330616554388E-2</v>
      </c>
      <c r="S131" s="810">
        <f t="shared" si="30"/>
        <v>0</v>
      </c>
      <c r="T131" s="176">
        <f t="shared" si="31"/>
        <v>6</v>
      </c>
      <c r="U131" s="251">
        <f t="shared" si="32"/>
        <v>5.5171330616554388E-2</v>
      </c>
      <c r="V131" s="383">
        <f t="shared" si="33"/>
        <v>53.774890853278436</v>
      </c>
      <c r="W131" s="402">
        <f t="shared" si="34"/>
        <v>0</v>
      </c>
      <c r="X131" s="157">
        <f t="shared" si="35"/>
        <v>44678</v>
      </c>
      <c r="Y131" s="385">
        <f t="shared" si="36"/>
        <v>35.419163411754404</v>
      </c>
      <c r="Z131" s="385">
        <f t="shared" si="37"/>
        <v>36.562346501776638</v>
      </c>
      <c r="AA131" s="386">
        <f t="shared" si="38"/>
        <v>42.618134138408259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0.14209415215045829</v>
      </c>
      <c r="AD131" s="231">
        <f>(INDEX(Models!$BJ131:$BT131,,AH131)*(1-AF131)+INDEX(Models!$BJ131:$BT131,,AH131+1)*AF131-ERP_i)*AE131*Ramure*Pc/MaxiM</f>
        <v>1.8268106254636907E-4</v>
      </c>
      <c r="AE131" s="305">
        <f t="shared" si="40"/>
        <v>0.7</v>
      </c>
      <c r="AF131" s="177">
        <f t="shared" si="41"/>
        <v>5.5171330616554388E-2</v>
      </c>
      <c r="AG131" s="810">
        <f t="shared" si="49"/>
        <v>0</v>
      </c>
      <c r="AH131" s="176">
        <f t="shared" si="42"/>
        <v>6</v>
      </c>
      <c r="AI131" s="225">
        <f t="shared" si="43"/>
        <v>5.5171330616554388E-2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42">
        <v>23.533999999999999</v>
      </c>
      <c r="C132" s="840"/>
      <c r="D132" s="393">
        <f t="shared" si="25"/>
        <v>24.294144871701523</v>
      </c>
      <c r="E132" s="385">
        <f t="shared" si="47"/>
        <v>26.367085049602274</v>
      </c>
      <c r="F132" s="385">
        <f t="shared" si="26"/>
        <v>26.367978408059297</v>
      </c>
      <c r="G132" s="110">
        <f t="shared" si="48"/>
        <v>0.43603396943528661</v>
      </c>
      <c r="H132" s="414" t="b">
        <f>Wh_hp&gt;='2021'!Maxi_hp</f>
        <v>0</v>
      </c>
      <c r="I132" s="380">
        <f>IF(H132,Wh_hp,'2021'!Maxi_hp)</f>
        <v>46.447787354157064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3.1289221156615477E-2</v>
      </c>
      <c r="M132" s="844"/>
      <c r="N132" s="844"/>
      <c r="O132" s="48">
        <f>IF(t&lt;Tnet,'2021'!Resal+('2021'!Salim-'2021'!Resal)*(1-EXP(('2021'!Tnet-t)/('2021'!Tau_j))),Resal+(Salim-Resal)*(1-EXP((Tnet-t)/(Tau_j))))*Salcycl</f>
        <v>7.8618481110107385E-2</v>
      </c>
      <c r="P132" s="339">
        <f>(INDEX(Models!$BJ132:$BT132,,T132)*(1-R132)+INDEX(Models!$BJ132:$BT132,,T132+1)*R132-ERP_i)*Q132*Ramure*Pc/MaxiM</f>
        <v>1.7426259527123541E-4</v>
      </c>
      <c r="Q132" s="305">
        <f t="shared" si="28"/>
        <v>0.7</v>
      </c>
      <c r="R132" s="177">
        <f t="shared" si="29"/>
        <v>5.7193589850856236E-2</v>
      </c>
      <c r="S132" s="810">
        <f t="shared" si="30"/>
        <v>0</v>
      </c>
      <c r="T132" s="176">
        <f t="shared" si="31"/>
        <v>6</v>
      </c>
      <c r="U132" s="251">
        <f t="shared" si="32"/>
        <v>5.7193589850856236E-2</v>
      </c>
      <c r="V132" s="383">
        <f t="shared" si="33"/>
        <v>53.965282027614144</v>
      </c>
      <c r="W132" s="402">
        <f t="shared" si="34"/>
        <v>0</v>
      </c>
      <c r="X132" s="157">
        <f t="shared" si="35"/>
        <v>44679</v>
      </c>
      <c r="Y132" s="385">
        <f t="shared" si="36"/>
        <v>21.909872094252343</v>
      </c>
      <c r="Z132" s="385">
        <f t="shared" si="37"/>
        <v>22.617557864290681</v>
      </c>
      <c r="AA132" s="386">
        <f t="shared" si="38"/>
        <v>26.367085049602274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0.14220484282801493</v>
      </c>
      <c r="AD132" s="231">
        <f>(INDEX(Models!$BJ132:$BT132,,AH132)*(1-AF132)+INDEX(Models!$BJ132:$BT132,,AH132+1)*AF132-ERP_i)*AE132*Ramure*Pc/MaxiM</f>
        <v>1.7426259527123541E-4</v>
      </c>
      <c r="AE132" s="305">
        <f t="shared" si="40"/>
        <v>0.7</v>
      </c>
      <c r="AF132" s="177">
        <f t="shared" si="41"/>
        <v>5.7193589850856236E-2</v>
      </c>
      <c r="AG132" s="810">
        <f t="shared" si="49"/>
        <v>0</v>
      </c>
      <c r="AH132" s="176">
        <f t="shared" si="42"/>
        <v>6</v>
      </c>
      <c r="AI132" s="225">
        <f t="shared" si="43"/>
        <v>5.7193589850856236E-2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42">
        <v>42.765000000000001</v>
      </c>
      <c r="C133" s="840"/>
      <c r="D133" s="393">
        <f t="shared" si="25"/>
        <v>44.147330824838683</v>
      </c>
      <c r="E133" s="385">
        <f t="shared" si="47"/>
        <v>47.922151331431991</v>
      </c>
      <c r="F133" s="385">
        <f t="shared" si="26"/>
        <v>47.927737267544686</v>
      </c>
      <c r="G133" s="110">
        <f t="shared" si="48"/>
        <v>0.78972012331723573</v>
      </c>
      <c r="H133" s="414" t="b">
        <f>Wh_hp&gt;='2021'!Maxi_hp</f>
        <v>0</v>
      </c>
      <c r="I133" s="380">
        <f>IF(H133,Wh_hp,'2021'!Maxi_hp)</f>
        <v>53.503420570987252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3.1311764471634529E-2</v>
      </c>
      <c r="M133" s="844"/>
      <c r="N133" s="844"/>
      <c r="O133" s="48">
        <f>IF(t&lt;Tnet,'2021'!Resal+('2021'!Salim-'2021'!Resal)*(1-EXP(('2021'!Tnet-t)/('2021'!Tau_j))),Resal+(Salim-Resal)*(1-EXP((Tnet-t)/(Tau_j))))*Salcycl</f>
        <v>7.8769846547298308E-2</v>
      </c>
      <c r="P133" s="339">
        <f>(INDEX(Models!$BJ133:$BT133,,T133)*(1-R133)+INDEX(Models!$BJ133:$BT133,,T133+1)*R133-ERP_i)*Q133*Ramure*Pc/MaxiM</f>
        <v>1.6658047067288673E-4</v>
      </c>
      <c r="Q133" s="305">
        <f t="shared" si="28"/>
        <v>0.7</v>
      </c>
      <c r="R133" s="177">
        <f t="shared" si="29"/>
        <v>5.9275565659761907E-2</v>
      </c>
      <c r="S133" s="810">
        <f t="shared" si="30"/>
        <v>0</v>
      </c>
      <c r="T133" s="176">
        <f t="shared" si="31"/>
        <v>6</v>
      </c>
      <c r="U133" s="251">
        <f t="shared" si="32"/>
        <v>5.9275565659761907E-2</v>
      </c>
      <c r="V133" s="383">
        <f t="shared" si="33"/>
        <v>54.149386469628396</v>
      </c>
      <c r="W133" s="402">
        <f t="shared" si="34"/>
        <v>0</v>
      </c>
      <c r="X133" s="157">
        <f t="shared" si="35"/>
        <v>44680</v>
      </c>
      <c r="Y133" s="385">
        <f t="shared" si="36"/>
        <v>39.81501505913937</v>
      </c>
      <c r="Z133" s="385">
        <f t="shared" si="37"/>
        <v>41.101990918081604</v>
      </c>
      <c r="AA133" s="386">
        <f t="shared" si="38"/>
        <v>47.922151331431991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0.14231749251367734</v>
      </c>
      <c r="AD133" s="231">
        <f>(INDEX(Models!$BJ133:$BT133,,AH133)*(1-AF133)+INDEX(Models!$BJ133:$BT133,,AH133+1)*AF133-ERP_i)*AE133*Ramure*Pc/MaxiM</f>
        <v>1.6658047067288673E-4</v>
      </c>
      <c r="AE133" s="305">
        <f t="shared" si="40"/>
        <v>0.7</v>
      </c>
      <c r="AF133" s="177">
        <f t="shared" si="41"/>
        <v>5.9275565659761907E-2</v>
      </c>
      <c r="AG133" s="810">
        <f t="shared" si="49"/>
        <v>0</v>
      </c>
      <c r="AH133" s="176">
        <f t="shared" si="42"/>
        <v>6</v>
      </c>
      <c r="AI133" s="225">
        <f t="shared" si="43"/>
        <v>5.9275565659761907E-2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42">
        <v>45.064</v>
      </c>
      <c r="C134" s="840"/>
      <c r="D134" s="393">
        <f t="shared" si="25"/>
        <v>46.521726058683122</v>
      </c>
      <c r="E134" s="385">
        <f t="shared" si="47"/>
        <v>50.507926670813831</v>
      </c>
      <c r="F134" s="385">
        <f t="shared" si="26"/>
        <v>50.514026121916984</v>
      </c>
      <c r="G134" s="110">
        <f t="shared" si="48"/>
        <v>0.82945855699998339</v>
      </c>
      <c r="H134" s="414" t="b">
        <f>Wh_hp&gt;='2021'!Maxi_hp</f>
        <v>0</v>
      </c>
      <c r="I134" s="380">
        <f>IF(H134,Wh_hp,'2021'!Maxi_hp)</f>
        <v>61.024126150933135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3.1334307262037675E-2</v>
      </c>
      <c r="M134" s="844"/>
      <c r="N134" s="844"/>
      <c r="O134" s="48">
        <f>IF(t&lt;Tnet,'2021'!Resal+('2021'!Salim-'2021'!Resal)*(1-EXP(('2021'!Tnet-t)/('2021'!Tau_j))),Resal+(Salim-Resal)*(1-EXP((Tnet-t)/(Tau_j))))*Salcycl</f>
        <v>7.8922277647840031E-2</v>
      </c>
      <c r="P134" s="339">
        <f>(INDEX(Models!$BJ134:$BT134,,T134)*(1-R134)+INDEX(Models!$BJ134:$BT134,,T134+1)*R134-ERP_i)*Q134*Ramure*Pc/MaxiM</f>
        <v>1.5963142079135375E-4</v>
      </c>
      <c r="Q134" s="305">
        <f t="shared" si="28"/>
        <v>0.7</v>
      </c>
      <c r="R134" s="177">
        <f t="shared" si="29"/>
        <v>6.1418106185585207E-2</v>
      </c>
      <c r="S134" s="810">
        <f t="shared" si="30"/>
        <v>0</v>
      </c>
      <c r="T134" s="176">
        <f t="shared" si="31"/>
        <v>6</v>
      </c>
      <c r="U134" s="251">
        <f t="shared" si="32"/>
        <v>6.1418106185585207E-2</v>
      </c>
      <c r="V134" s="383">
        <f t="shared" si="33"/>
        <v>54.327304421526996</v>
      </c>
      <c r="W134" s="402">
        <f t="shared" si="34"/>
        <v>0</v>
      </c>
      <c r="X134" s="157">
        <f t="shared" si="35"/>
        <v>44681</v>
      </c>
      <c r="Y134" s="385">
        <f t="shared" si="36"/>
        <v>41.956763886561156</v>
      </c>
      <c r="Z134" s="385">
        <f t="shared" si="37"/>
        <v>43.313977361961811</v>
      </c>
      <c r="AA134" s="386">
        <f t="shared" si="38"/>
        <v>50.507926670813831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0.14243208508119307</v>
      </c>
      <c r="AD134" s="231">
        <f>(INDEX(Models!$BJ134:$BT134,,AH134)*(1-AF134)+INDEX(Models!$BJ134:$BT134,,AH134+1)*AF134-ERP_i)*AE134*Ramure*Pc/MaxiM</f>
        <v>1.5963142079135375E-4</v>
      </c>
      <c r="AE134" s="305">
        <f t="shared" si="40"/>
        <v>0.7</v>
      </c>
      <c r="AF134" s="177">
        <f t="shared" si="41"/>
        <v>6.1418106185585207E-2</v>
      </c>
      <c r="AG134" s="810">
        <f t="shared" si="49"/>
        <v>0</v>
      </c>
      <c r="AH134" s="176">
        <f t="shared" si="42"/>
        <v>6</v>
      </c>
      <c r="AI134" s="225">
        <f t="shared" si="43"/>
        <v>6.1418106185585207E-2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42">
        <v>45.948</v>
      </c>
      <c r="C135" s="840"/>
      <c r="D135" s="393">
        <f t="shared" si="25"/>
        <v>47.435425499682474</v>
      </c>
      <c r="E135" s="385">
        <f t="shared" si="47"/>
        <v>51.508499603031403</v>
      </c>
      <c r="F135" s="385">
        <f t="shared" si="26"/>
        <v>51.514631375341679</v>
      </c>
      <c r="G135" s="110">
        <f t="shared" si="48"/>
        <v>0.84307724717667054</v>
      </c>
      <c r="H135" s="414" t="b">
        <f>Wh_hp&gt;='2021'!Maxi_hp</f>
        <v>0</v>
      </c>
      <c r="I135" s="380">
        <f>IF(H135,Wh_hp,'2021'!Maxi_hp)</f>
        <v>55.440910682526471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3.1356849527837127E-2</v>
      </c>
      <c r="M135" s="844"/>
      <c r="N135" s="844"/>
      <c r="O135" s="48">
        <f>IF(t&lt;Tnet,'2021'!Resal+('2021'!Salim-'2021'!Resal)*(1-EXP(('2021'!Tnet-t)/('2021'!Tau_j))),Resal+(Salim-Resal)*(1-EXP((Tnet-t)/(Tau_j))))*Salcycl</f>
        <v>7.9075766810128928E-2</v>
      </c>
      <c r="P135" s="339">
        <f>(INDEX(Models!$BJ135:$BT135,,T135)*(1-R135)+INDEX(Models!$BJ135:$BT135,,T135+1)*R135-ERP_i)*Q135*Ramure*Pc/MaxiM</f>
        <v>1.534152986263844E-4</v>
      </c>
      <c r="Q135" s="305">
        <f t="shared" si="28"/>
        <v>0.7</v>
      </c>
      <c r="R135" s="177">
        <f t="shared" si="29"/>
        <v>6.3622004392033207E-2</v>
      </c>
      <c r="S135" s="810">
        <f t="shared" si="30"/>
        <v>0</v>
      </c>
      <c r="T135" s="176">
        <f t="shared" si="31"/>
        <v>6</v>
      </c>
      <c r="U135" s="251">
        <f t="shared" si="32"/>
        <v>6.3622004392033207E-2</v>
      </c>
      <c r="V135" s="383">
        <f t="shared" si="33"/>
        <v>54.498469763430919</v>
      </c>
      <c r="W135" s="402">
        <f t="shared" si="34"/>
        <v>0</v>
      </c>
      <c r="X135" s="157">
        <f t="shared" si="35"/>
        <v>44682</v>
      </c>
      <c r="Y135" s="385">
        <f t="shared" si="36"/>
        <v>42.781127363866425</v>
      </c>
      <c r="Z135" s="385">
        <f t="shared" si="37"/>
        <v>44.16603508011476</v>
      </c>
      <c r="AA135" s="386">
        <f t="shared" si="38"/>
        <v>51.508499603031403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0.14254860031847091</v>
      </c>
      <c r="AD135" s="231">
        <f>(INDEX(Models!$BJ135:$BT135,,AH135)*(1-AF135)+INDEX(Models!$BJ135:$BT135,,AH135+1)*AF135-ERP_i)*AE135*Ramure*Pc/MaxiM</f>
        <v>1.534152986263844E-4</v>
      </c>
      <c r="AE135" s="305">
        <f t="shared" si="40"/>
        <v>0.7</v>
      </c>
      <c r="AF135" s="177">
        <f t="shared" si="41"/>
        <v>6.3622004392033207E-2</v>
      </c>
      <c r="AG135" s="810">
        <f t="shared" si="49"/>
        <v>0</v>
      </c>
      <c r="AH135" s="176">
        <f t="shared" si="42"/>
        <v>6</v>
      </c>
      <c r="AI135" s="225">
        <f t="shared" si="43"/>
        <v>6.3622004392033207E-2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42">
        <v>26.859000000000002</v>
      </c>
      <c r="C136" s="840"/>
      <c r="D136" s="393">
        <f t="shared" si="25"/>
        <v>27.72912300016981</v>
      </c>
      <c r="E136" s="385">
        <f t="shared" si="47"/>
        <v>30.11515596314511</v>
      </c>
      <c r="F136" s="385">
        <f t="shared" si="26"/>
        <v>30.116375057104516</v>
      </c>
      <c r="G136" s="110">
        <f t="shared" si="48"/>
        <v>0.49130888238052883</v>
      </c>
      <c r="H136" s="414" t="b">
        <f>Wh_hp&gt;='2021'!Maxi_hp</f>
        <v>0</v>
      </c>
      <c r="I136" s="380">
        <f>IF(H136,Wh_hp,'2021'!Maxi_hp)</f>
        <v>48.436895497277384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3.1379391269045209E-2</v>
      </c>
      <c r="M136" s="844"/>
      <c r="N136" s="844"/>
      <c r="O136" s="48">
        <f>IF(t&lt;Tnet,'2021'!Resal+('2021'!Salim-'2021'!Resal)*(1-EXP(('2021'!Tnet-t)/('2021'!Tau_j))),Resal+(Salim-Resal)*(1-EXP((Tnet-t)/(Tau_j))))*Salcycl</f>
        <v>7.9230304033468216E-2</v>
      </c>
      <c r="P136" s="339">
        <f>(INDEX(Models!$BJ136:$BT136,,T136)*(1-R136)+INDEX(Models!$BJ136:$BT136,,T136+1)*R136-ERP_i)*Q136*Ramure*Pc/MaxiM</f>
        <v>1.4807351420484638E-4</v>
      </c>
      <c r="Q136" s="305">
        <f t="shared" si="28"/>
        <v>0.7</v>
      </c>
      <c r="R136" s="177">
        <f t="shared" si="29"/>
        <v>6.5887992740381277E-2</v>
      </c>
      <c r="S136" s="810">
        <f t="shared" si="30"/>
        <v>0</v>
      </c>
      <c r="T136" s="176">
        <f t="shared" si="31"/>
        <v>6</v>
      </c>
      <c r="U136" s="251">
        <f t="shared" si="32"/>
        <v>6.5887992740381277E-2</v>
      </c>
      <c r="V136" s="383">
        <f t="shared" si="33"/>
        <v>54.662374275866739</v>
      </c>
      <c r="W136" s="402">
        <f t="shared" si="34"/>
        <v>0</v>
      </c>
      <c r="X136" s="157">
        <f t="shared" si="35"/>
        <v>44683</v>
      </c>
      <c r="Y136" s="385">
        <f t="shared" si="36"/>
        <v>25.008540981582435</v>
      </c>
      <c r="Z136" s="385">
        <f t="shared" si="37"/>
        <v>25.818716591574024</v>
      </c>
      <c r="AA136" s="386">
        <f t="shared" si="38"/>
        <v>30.11515596314511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0.14266701380623972</v>
      </c>
      <c r="AD136" s="231">
        <f>(INDEX(Models!$BJ136:$BT136,,AH136)*(1-AF136)+INDEX(Models!$BJ136:$BT136,,AH136+1)*AF136-ERP_i)*AE136*Ramure*Pc/MaxiM</f>
        <v>1.4807351420484638E-4</v>
      </c>
      <c r="AE136" s="305">
        <f t="shared" si="40"/>
        <v>0.7</v>
      </c>
      <c r="AF136" s="177">
        <f t="shared" si="41"/>
        <v>6.5887992740381277E-2</v>
      </c>
      <c r="AG136" s="810">
        <f t="shared" si="49"/>
        <v>0</v>
      </c>
      <c r="AH136" s="176">
        <f t="shared" si="42"/>
        <v>6</v>
      </c>
      <c r="AI136" s="225">
        <f t="shared" si="43"/>
        <v>6.5887992740381277E-2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42">
        <v>36.908999999999999</v>
      </c>
      <c r="C137" s="840"/>
      <c r="D137" s="393">
        <f t="shared" si="25"/>
        <v>38.105589137420097</v>
      </c>
      <c r="E137" s="385">
        <f t="shared" si="47"/>
        <v>41.391488766957963</v>
      </c>
      <c r="F137" s="385">
        <f t="shared" si="26"/>
        <v>41.394649621987341</v>
      </c>
      <c r="G137" s="110">
        <f t="shared" si="48"/>
        <v>0.6732405183558654</v>
      </c>
      <c r="H137" s="414" t="b">
        <f>Wh_hp&gt;='2021'!Maxi_hp</f>
        <v>0</v>
      </c>
      <c r="I137" s="380">
        <f>IF(H137,Wh_hp,'2021'!Maxi_hp)</f>
        <v>59.778288949958807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3.1401932485674022E-2</v>
      </c>
      <c r="M137" s="844"/>
      <c r="N137" s="844"/>
      <c r="O137" s="48">
        <f>IF(t&lt;Tnet,'2021'!Resal+('2021'!Salim-'2021'!Resal)*(1-EXP(('2021'!Tnet-t)/('2021'!Tau_j))),Resal+(Salim-Resal)*(1-EXP((Tnet-t)/(Tau_j))))*Salcycl</f>
        <v>7.9385876841447128E-2</v>
      </c>
      <c r="P137" s="339">
        <f>(INDEX(Models!$BJ137:$BT137,,T137)*(1-R137)+INDEX(Models!$BJ137:$BT137,,T137+1)*R137-ERP_i)*Q137*Ramure*Pc/MaxiM</f>
        <v>1.4319150841194032E-4</v>
      </c>
      <c r="Q137" s="305">
        <f t="shared" si="28"/>
        <v>0.7</v>
      </c>
      <c r="R137" s="177">
        <f t="shared" si="29"/>
        <v>6.8216737752832296E-2</v>
      </c>
      <c r="S137" s="810">
        <f t="shared" si="30"/>
        <v>0</v>
      </c>
      <c r="T137" s="176">
        <f t="shared" si="31"/>
        <v>6</v>
      </c>
      <c r="U137" s="251">
        <f t="shared" si="32"/>
        <v>6.8216737752832296E-2</v>
      </c>
      <c r="V137" s="383">
        <f t="shared" si="33"/>
        <v>54.819239313728943</v>
      </c>
      <c r="W137" s="402">
        <f t="shared" si="34"/>
        <v>0</v>
      </c>
      <c r="X137" s="157">
        <f t="shared" si="35"/>
        <v>44684</v>
      </c>
      <c r="Y137" s="385">
        <f t="shared" si="36"/>
        <v>34.367128274913831</v>
      </c>
      <c r="Z137" s="385">
        <f t="shared" si="37"/>
        <v>35.481309975260224</v>
      </c>
      <c r="AA137" s="386">
        <f t="shared" si="38"/>
        <v>41.391488766957963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0.14278729680329166</v>
      </c>
      <c r="AD137" s="231">
        <f>(INDEX(Models!$BJ137:$BT137,,AH137)*(1-AF137)+INDEX(Models!$BJ137:$BT137,,AH137+1)*AF137-ERP_i)*AE137*Ramure*Pc/MaxiM</f>
        <v>1.4319150841194032E-4</v>
      </c>
      <c r="AE137" s="305">
        <f t="shared" si="40"/>
        <v>0.7</v>
      </c>
      <c r="AF137" s="177">
        <f t="shared" si="41"/>
        <v>6.8216737752832296E-2</v>
      </c>
      <c r="AG137" s="810">
        <f t="shared" si="49"/>
        <v>0</v>
      </c>
      <c r="AH137" s="176">
        <f t="shared" si="42"/>
        <v>6</v>
      </c>
      <c r="AI137" s="225">
        <f t="shared" si="43"/>
        <v>6.8216737752832296E-2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42">
        <v>20.932000000000002</v>
      </c>
      <c r="C138" s="840"/>
      <c r="D138" s="393">
        <f t="shared" si="25"/>
        <v>21.611117997864788</v>
      </c>
      <c r="E138" s="385">
        <f t="shared" si="47"/>
        <v>23.478669355645124</v>
      </c>
      <c r="F138" s="385">
        <f t="shared" si="26"/>
        <v>23.479045414591027</v>
      </c>
      <c r="G138" s="110">
        <f t="shared" si="48"/>
        <v>0.38074787730319276</v>
      </c>
      <c r="H138" s="414" t="b">
        <f>Wh_hp&gt;='2021'!Maxi_hp</f>
        <v>0</v>
      </c>
      <c r="I138" s="380">
        <f>IF(H138,Wh_hp,'2021'!Maxi_hp)</f>
        <v>54.701655711301164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3.1424473177735779E-2</v>
      </c>
      <c r="M138" s="844"/>
      <c r="N138" s="844"/>
      <c r="O138" s="48">
        <f>IF(t&lt;Tnet,'2021'!Resal+('2021'!Salim-'2021'!Resal)*(1-EXP(('2021'!Tnet-t)/('2021'!Tau_j))),Resal+(Salim-Resal)*(1-EXP((Tnet-t)/(Tau_j))))*Salcycl</f>
        <v>7.95424702095099E-2</v>
      </c>
      <c r="P138" s="339">
        <f>(INDEX(Models!$BJ138:$BT138,,T138)*(1-R138)+INDEX(Models!$BJ138:$BT138,,T138+1)*R138-ERP_i)*Q138*Ramure*Pc/MaxiM</f>
        <v>1.3876855917098816E-4</v>
      </c>
      <c r="Q138" s="305">
        <f t="shared" si="28"/>
        <v>0.7</v>
      </c>
      <c r="R138" s="177">
        <f t="shared" si="29"/>
        <v>7.0608834485864622E-2</v>
      </c>
      <c r="S138" s="810">
        <f t="shared" si="30"/>
        <v>0</v>
      </c>
      <c r="T138" s="176">
        <f t="shared" si="31"/>
        <v>6</v>
      </c>
      <c r="U138" s="251">
        <f t="shared" si="32"/>
        <v>7.0608834485864622E-2</v>
      </c>
      <c r="V138" s="383">
        <f t="shared" si="33"/>
        <v>54.969263826392996</v>
      </c>
      <c r="W138" s="402">
        <f t="shared" si="34"/>
        <v>0</v>
      </c>
      <c r="X138" s="157">
        <f t="shared" si="35"/>
        <v>44685</v>
      </c>
      <c r="Y138" s="385">
        <f t="shared" si="36"/>
        <v>19.49098086626887</v>
      </c>
      <c r="Z138" s="385">
        <f t="shared" si="37"/>
        <v>20.123346426288045</v>
      </c>
      <c r="AA138" s="386">
        <f t="shared" si="38"/>
        <v>23.478669355645124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0.14290941613990307</v>
      </c>
      <c r="AD138" s="231">
        <f>(INDEX(Models!$BJ138:$BT138,,AH138)*(1-AF138)+INDEX(Models!$BJ138:$BT138,,AH138+1)*AF138-ERP_i)*AE138*Ramure*Pc/MaxiM</f>
        <v>1.3876855917098816E-4</v>
      </c>
      <c r="AE138" s="305">
        <f t="shared" si="40"/>
        <v>0.7</v>
      </c>
      <c r="AF138" s="177">
        <f t="shared" si="41"/>
        <v>7.0608834485864622E-2</v>
      </c>
      <c r="AG138" s="810">
        <f t="shared" si="49"/>
        <v>0</v>
      </c>
      <c r="AH138" s="176">
        <f t="shared" si="42"/>
        <v>6</v>
      </c>
      <c r="AI138" s="225">
        <f t="shared" si="43"/>
        <v>7.0608834485864622E-2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42">
        <v>42.78</v>
      </c>
      <c r="C139" s="840"/>
      <c r="D139" s="393">
        <f t="shared" si="25"/>
        <v>44.168982584789674</v>
      </c>
      <c r="E139" s="385">
        <f t="shared" si="47"/>
        <v>47.994116892628988</v>
      </c>
      <c r="F139" s="385">
        <f t="shared" si="26"/>
        <v>47.998518896911236</v>
      </c>
      <c r="G139" s="110">
        <f t="shared" si="48"/>
        <v>0.77619491663880946</v>
      </c>
      <c r="H139" s="414" t="b">
        <f>Wh_hp&gt;='2021'!Maxi_hp</f>
        <v>0</v>
      </c>
      <c r="I139" s="380">
        <f>IF(H139,Wh_hp,'2021'!Maxi_hp)</f>
        <v>58.762376134897934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3.1447013345242691E-2</v>
      </c>
      <c r="M139" s="844"/>
      <c r="N139" s="844"/>
      <c r="O139" s="48">
        <f>IF(t&lt;Tnet,'2021'!Resal+('2021'!Salim-'2021'!Resal)*(1-EXP(('2021'!Tnet-t)/('2021'!Tau_j))),Resal+(Salim-Resal)*(1-EXP((Tnet-t)/(Tau_j))))*Salcycl</f>
        <v>7.9700066497666602E-2</v>
      </c>
      <c r="P139" s="339">
        <f>(INDEX(Models!$BJ139:$BT139,,T139)*(1-R139)+INDEX(Models!$BJ139:$BT139,,T139+1)*R139-ERP_i)*Q139*Ramure*Pc/MaxiM</f>
        <v>1.3480481364906802E-4</v>
      </c>
      <c r="Q139" s="305">
        <f t="shared" si="28"/>
        <v>0.7</v>
      </c>
      <c r="R139" s="177">
        <f t="shared" si="29"/>
        <v>7.3064800939125735E-2</v>
      </c>
      <c r="S139" s="810">
        <f t="shared" si="30"/>
        <v>0</v>
      </c>
      <c r="T139" s="176">
        <f t="shared" si="31"/>
        <v>6</v>
      </c>
      <c r="U139" s="251">
        <f t="shared" si="32"/>
        <v>7.3064800939125735E-2</v>
      </c>
      <c r="V139" s="383">
        <f t="shared" si="33"/>
        <v>55.112646799602274</v>
      </c>
      <c r="W139" s="402">
        <f t="shared" si="34"/>
        <v>0</v>
      </c>
      <c r="X139" s="157">
        <f t="shared" si="35"/>
        <v>44686</v>
      </c>
      <c r="Y139" s="385">
        <f t="shared" si="36"/>
        <v>39.835962854828907</v>
      </c>
      <c r="Z139" s="385">
        <f t="shared" si="37"/>
        <v>41.129358335279719</v>
      </c>
      <c r="AA139" s="386">
        <f t="shared" si="38"/>
        <v>47.994116892628988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0.14303333412107364</v>
      </c>
      <c r="AD139" s="231">
        <f>(INDEX(Models!$BJ139:$BT139,,AH139)*(1-AF139)+INDEX(Models!$BJ139:$BT139,,AH139+1)*AF139-ERP_i)*AE139*Ramure*Pc/MaxiM</f>
        <v>1.3480481364906802E-4</v>
      </c>
      <c r="AE139" s="305">
        <f t="shared" si="40"/>
        <v>0.7</v>
      </c>
      <c r="AF139" s="177">
        <f t="shared" si="41"/>
        <v>7.3064800939125735E-2</v>
      </c>
      <c r="AG139" s="810">
        <f t="shared" si="49"/>
        <v>0</v>
      </c>
      <c r="AH139" s="176">
        <f t="shared" si="42"/>
        <v>6</v>
      </c>
      <c r="AI139" s="225">
        <f t="shared" si="43"/>
        <v>7.3064800939125735E-2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42">
        <v>36.130000000000003</v>
      </c>
      <c r="C140" s="840"/>
      <c r="D140" s="393">
        <f t="shared" si="25"/>
        <v>37.303938261798471</v>
      </c>
      <c r="E140" s="385">
        <f t="shared" si="47"/>
        <v>40.541529923499809</v>
      </c>
      <c r="F140" s="385">
        <f t="shared" si="26"/>
        <v>40.544221652708067</v>
      </c>
      <c r="G140" s="110">
        <f t="shared" si="48"/>
        <v>0.65389908577610345</v>
      </c>
      <c r="H140" s="414" t="b">
        <f>Wh_hp&gt;='2021'!Maxi_hp</f>
        <v>0</v>
      </c>
      <c r="I140" s="380">
        <f>IF(H140,Wh_hp,'2021'!Maxi_hp)</f>
        <v>63.468441538808548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3.1469552988206972E-2</v>
      </c>
      <c r="M140" s="844"/>
      <c r="N140" s="844"/>
      <c r="O140" s="48">
        <f>IF(t&lt;Tnet,'2021'!Resal+('2021'!Salim-'2021'!Resal)*(1-EXP(('2021'!Tnet-t)/('2021'!Tau_j))),Resal+(Salim-Resal)*(1-EXP((Tnet-t)/(Tau_j))))*Salcycl</f>
        <v>7.98586453893214E-2</v>
      </c>
      <c r="P140" s="339">
        <f>(INDEX(Models!$BJ140:$BT140,,T140)*(1-R140)+INDEX(Models!$BJ140:$BT140,,T140+1)*R140-ERP_i)*Q140*Ramure*Pc/MaxiM</f>
        <v>1.3130126414538624E-4</v>
      </c>
      <c r="Q140" s="305">
        <f t="shared" si="28"/>
        <v>0.7</v>
      </c>
      <c r="R140" s="177">
        <f t="shared" si="29"/>
        <v>7.5585072428198827E-2</v>
      </c>
      <c r="S140" s="810">
        <f t="shared" si="30"/>
        <v>0</v>
      </c>
      <c r="T140" s="176">
        <f t="shared" si="31"/>
        <v>6</v>
      </c>
      <c r="U140" s="251">
        <f t="shared" si="32"/>
        <v>7.5585072428198827E-2</v>
      </c>
      <c r="V140" s="383">
        <f t="shared" si="33"/>
        <v>55.249587260013072</v>
      </c>
      <c r="W140" s="402">
        <f t="shared" si="34"/>
        <v>0</v>
      </c>
      <c r="X140" s="157">
        <f t="shared" si="35"/>
        <v>44687</v>
      </c>
      <c r="Y140" s="385">
        <f t="shared" si="36"/>
        <v>33.644466548420738</v>
      </c>
      <c r="Z140" s="385">
        <f t="shared" si="37"/>
        <v>34.737644698960175</v>
      </c>
      <c r="AA140" s="386">
        <f t="shared" si="38"/>
        <v>40.541529923499809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0.14315900844125337</v>
      </c>
      <c r="AD140" s="231">
        <f>(INDEX(Models!$BJ140:$BT140,,AH140)*(1-AF140)+INDEX(Models!$BJ140:$BT140,,AH140+1)*AF140-ERP_i)*AE140*Ramure*Pc/MaxiM</f>
        <v>1.3130126414538624E-4</v>
      </c>
      <c r="AE140" s="305">
        <f t="shared" si="40"/>
        <v>0.7</v>
      </c>
      <c r="AF140" s="177">
        <f t="shared" si="41"/>
        <v>7.5585072428198827E-2</v>
      </c>
      <c r="AG140" s="810">
        <f t="shared" si="49"/>
        <v>0</v>
      </c>
      <c r="AH140" s="176">
        <f t="shared" si="42"/>
        <v>6</v>
      </c>
      <c r="AI140" s="225">
        <f t="shared" si="43"/>
        <v>7.5585072428198827E-2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42">
        <v>50.957000000000001</v>
      </c>
      <c r="C141" s="840"/>
      <c r="D141" s="393">
        <f t="shared" si="25"/>
        <v>52.613922493249071</v>
      </c>
      <c r="E141" s="385">
        <f t="shared" si="47"/>
        <v>57.190176554466817</v>
      </c>
      <c r="F141" s="385">
        <f t="shared" si="26"/>
        <v>57.196675531753243</v>
      </c>
      <c r="G141" s="110">
        <f t="shared" si="48"/>
        <v>0.92011543183998779</v>
      </c>
      <c r="H141" s="414" t="b">
        <f>Wh_hp&gt;='2021'!Maxi_hp</f>
        <v>0</v>
      </c>
      <c r="I141" s="380">
        <f>IF(H141,Wh_hp,'2021'!Maxi_hp)</f>
        <v>60.14956112877281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3.1492092106640945E-2</v>
      </c>
      <c r="M141" s="844"/>
      <c r="N141" s="844"/>
      <c r="O141" s="48">
        <f>IF(t&lt;Tnet,'2021'!Resal+('2021'!Salim-'2021'!Resal)*(1-EXP(('2021'!Tnet-t)/('2021'!Tau_j))),Resal+(Salim-Resal)*(1-EXP((Tnet-t)/(Tau_j))))*Salcycl</f>
        <v>8.0018183837208656E-2</v>
      </c>
      <c r="P141" s="339">
        <f>(INDEX(Models!$BJ141:$BT141,,T141)*(1-R141)+INDEX(Models!$BJ141:$BT141,,T141+1)*R141-ERP_i)*Q141*Ramure*Pc/MaxiM</f>
        <v>1.282597241661975E-4</v>
      </c>
      <c r="Q141" s="305">
        <f t="shared" si="28"/>
        <v>0.7</v>
      </c>
      <c r="R141" s="177">
        <f t="shared" si="29"/>
        <v>7.8169995952320701E-2</v>
      </c>
      <c r="S141" s="810">
        <f t="shared" si="30"/>
        <v>0</v>
      </c>
      <c r="T141" s="176">
        <f t="shared" si="31"/>
        <v>6</v>
      </c>
      <c r="U141" s="251">
        <f t="shared" si="32"/>
        <v>7.8169995952320701E-2</v>
      </c>
      <c r="V141" s="383">
        <f t="shared" si="33"/>
        <v>55.380284271722331</v>
      </c>
      <c r="W141" s="402">
        <f t="shared" si="34"/>
        <v>0</v>
      </c>
      <c r="X141" s="157">
        <f t="shared" si="35"/>
        <v>44688</v>
      </c>
      <c r="Y141" s="385">
        <f t="shared" si="36"/>
        <v>47.452628465225864</v>
      </c>
      <c r="Z141" s="385">
        <f t="shared" si="37"/>
        <v>48.995602491715331</v>
      </c>
      <c r="AA141" s="386">
        <f t="shared" si="38"/>
        <v>57.190176554466817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0.14328639211223859</v>
      </c>
      <c r="AD141" s="231">
        <f>(INDEX(Models!$BJ141:$BT141,,AH141)*(1-AF141)+INDEX(Models!$BJ141:$BT141,,AH141+1)*AF141-ERP_i)*AE141*Ramure*Pc/MaxiM</f>
        <v>1.282597241661975E-4</v>
      </c>
      <c r="AE141" s="305">
        <f t="shared" si="40"/>
        <v>0.7</v>
      </c>
      <c r="AF141" s="177">
        <f t="shared" si="41"/>
        <v>7.8169995952320701E-2</v>
      </c>
      <c r="AG141" s="810">
        <f t="shared" si="49"/>
        <v>0</v>
      </c>
      <c r="AH141" s="176">
        <f t="shared" si="42"/>
        <v>6</v>
      </c>
      <c r="AI141" s="225">
        <f t="shared" si="43"/>
        <v>7.8169995952320701E-2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42">
        <v>46.319000000000003</v>
      </c>
      <c r="C142" s="840"/>
      <c r="D142" s="393">
        <f t="shared" si="25"/>
        <v>47.826225845316571</v>
      </c>
      <c r="E142" s="385">
        <f t="shared" si="47"/>
        <v>51.995125094882276</v>
      </c>
      <c r="F142" s="385">
        <f t="shared" si="26"/>
        <v>52.000115784212596</v>
      </c>
      <c r="G142" s="110">
        <f t="shared" si="48"/>
        <v>0.83447755038656957</v>
      </c>
      <c r="H142" s="414" t="b">
        <f>Wh_hp&gt;='2021'!Maxi_hp</f>
        <v>0</v>
      </c>
      <c r="I142" s="380">
        <f>IF(H142,Wh_hp,'2021'!Maxi_hp)</f>
        <v>57.498688083785559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3.1514630700556601E-2</v>
      </c>
      <c r="M142" s="844"/>
      <c r="N142" s="844"/>
      <c r="O142" s="48">
        <f>IF(t&lt;Tnet,'2021'!Resal+('2021'!Salim-'2021'!Resal)*(1-EXP(('2021'!Tnet-t)/('2021'!Tau_j))),Resal+(Salim-Resal)*(1-EXP((Tnet-t)/(Tau_j))))*Salcycl</f>
        <v>8.0178656017427963E-2</v>
      </c>
      <c r="P142" s="339">
        <f>(INDEX(Models!$BJ142:$BT142,,T142)*(1-R142)+INDEX(Models!$BJ142:$BT142,,T142+1)*R142-ERP_i)*Q142*Ramure*Pc/MaxiM</f>
        <v>1.256911342243652E-4</v>
      </c>
      <c r="Q142" s="305">
        <f t="shared" si="28"/>
        <v>0.7</v>
      </c>
      <c r="R142" s="177">
        <f t="shared" si="29"/>
        <v>8.0819824590827052E-2</v>
      </c>
      <c r="S142" s="810">
        <f t="shared" si="30"/>
        <v>0</v>
      </c>
      <c r="T142" s="176">
        <f t="shared" si="31"/>
        <v>6</v>
      </c>
      <c r="U142" s="251">
        <f t="shared" si="32"/>
        <v>8.0819824590827052E-2</v>
      </c>
      <c r="V142" s="383">
        <f t="shared" si="33"/>
        <v>55.504936478403742</v>
      </c>
      <c r="W142" s="402">
        <f t="shared" si="34"/>
        <v>0</v>
      </c>
      <c r="X142" s="157">
        <f t="shared" si="35"/>
        <v>44689</v>
      </c>
      <c r="Y142" s="385">
        <f t="shared" si="36"/>
        <v>43.134616085646783</v>
      </c>
      <c r="Z142" s="385">
        <f t="shared" si="37"/>
        <v>44.538221694405493</v>
      </c>
      <c r="AA142" s="386">
        <f t="shared" si="38"/>
        <v>51.995125094882276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0.1434154334059049</v>
      </c>
      <c r="AD142" s="231">
        <f>(INDEX(Models!$BJ142:$BT142,,AH142)*(1-AF142)+INDEX(Models!$BJ142:$BT142,,AH142+1)*AF142-ERP_i)*AE142*Ramure*Pc/MaxiM</f>
        <v>1.256911342243652E-4</v>
      </c>
      <c r="AE142" s="305">
        <f t="shared" si="40"/>
        <v>0.7</v>
      </c>
      <c r="AF142" s="177">
        <f t="shared" si="41"/>
        <v>8.0819824590827052E-2</v>
      </c>
      <c r="AG142" s="810">
        <f t="shared" si="49"/>
        <v>0</v>
      </c>
      <c r="AH142" s="176">
        <f t="shared" si="42"/>
        <v>6</v>
      </c>
      <c r="AI142" s="225">
        <f t="shared" si="43"/>
        <v>8.0819824590827052E-2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42">
        <v>53.042999999999999</v>
      </c>
      <c r="C143" s="840"/>
      <c r="D143" s="393">
        <f t="shared" ref="D143:D206" si="50">Wh/(1-Ppv)</f>
        <v>54.770300201021328</v>
      </c>
      <c r="E143" s="385">
        <f t="shared" si="47"/>
        <v>59.554946593043091</v>
      </c>
      <c r="F143" s="385">
        <f t="shared" ref="F143:F206" si="51">Wh_sa/(1-Pvg*MEDIAN((-Sdif+Wh/Env_an)/Csdif,0,1))</f>
        <v>59.561802075724238</v>
      </c>
      <c r="G143" s="110">
        <f t="shared" si="48"/>
        <v>0.95359546449359167</v>
      </c>
      <c r="H143" s="414" t="b">
        <f>Wh_hp&gt;='2021'!Maxi_hp</f>
        <v>1</v>
      </c>
      <c r="I143" s="380">
        <f>IF(H143,Wh_hp,'2021'!Maxi_hp)</f>
        <v>59.561802075724238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3.1537168769966262E-2</v>
      </c>
      <c r="M143" s="844"/>
      <c r="N143" s="844"/>
      <c r="O143" s="48">
        <f>IF(t&lt;Tnet,'2021'!Resal+('2021'!Salim-'2021'!Resal)*(1-EXP(('2021'!Tnet-t)/('2021'!Tau_j))),Resal+(Salim-Resal)*(1-EXP((Tnet-t)/(Tau_j))))*Salcycl</f>
        <v>8.03400332925608E-2</v>
      </c>
      <c r="P143" s="339">
        <f>(INDEX(Models!$BJ143:$BT143,,T143)*(1-R143)+INDEX(Models!$BJ143:$BT143,,T143+1)*R143-ERP_i)*Q143*Ramure*Pc/MaxiM</f>
        <v>1.2326904785413454E-4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8.353471196470337E-2</v>
      </c>
      <c r="S143" s="810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8.353471196470337E-2</v>
      </c>
      <c r="V143" s="383">
        <f t="shared" ref="V143:V206" si="58">MaxiM*(1-Ppv)*(1-Pvg)*(1-Psa)</f>
        <v>55.623761377235759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49.397480748534825</v>
      </c>
      <c r="Z143" s="385">
        <f t="shared" ref="Z143:Z206" si="62">Wh_sa_s*(1-Psa_s)</f>
        <v>51.006067714334108</v>
      </c>
      <c r="AA143" s="386">
        <f t="shared" ref="AA143:AA206" si="63">Wh_hp*(1-Pvg_s*MEDIAN((-Sdif+Wh/Env_an)/Csdif,0,1))</f>
        <v>59.554946593043091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0.14354607581341733</v>
      </c>
      <c r="AD143" s="231">
        <f>(INDEX(Models!$BJ143:$BT143,,AH143)*(1-AF143)+INDEX(Models!$BJ143:$BT143,,AH143+1)*AF143-ERP_i)*AE143*Ramure*Pc/MaxiM</f>
        <v>1.2326904785413454E-4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8.353471196470337E-2</v>
      </c>
      <c r="AG143" s="810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8.353471196470337E-2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42">
        <v>49.195</v>
      </c>
      <c r="C144" s="840"/>
      <c r="D144" s="393">
        <f t="shared" si="50"/>
        <v>50.798175500115484</v>
      </c>
      <c r="E144" s="385">
        <f t="shared" ref="E144:E169" si="72">Wh_pvt/(1-Psa)</f>
        <v>55.245570082880469</v>
      </c>
      <c r="F144" s="385">
        <f t="shared" si="51"/>
        <v>55.251134206932889</v>
      </c>
      <c r="G144" s="110">
        <f t="shared" ref="G144:G169" si="73">+Wh_hp/MaxiM</f>
        <v>0.88261008830679488</v>
      </c>
      <c r="H144" s="414" t="b">
        <f>Wh_hp&gt;='2021'!Maxi_hp</f>
        <v>1</v>
      </c>
      <c r="I144" s="380">
        <f>IF(H144,Wh_hp,'2021'!Maxi_hp)</f>
        <v>55.251134206932889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3.1559706314882141E-2</v>
      </c>
      <c r="M144" s="844"/>
      <c r="N144" s="844"/>
      <c r="O144" s="48">
        <f>IF(t&lt;Tnet,'2021'!Resal+('2021'!Salim-'2021'!Resal)*(1-EXP(('2021'!Tnet-t)/('2021'!Tau_j))),Resal+(Salim-Resal)*(1-EXP((Tnet-t)/(Tau_j))))*Salcycl</f>
        <v>8.0502284184829964E-2</v>
      </c>
      <c r="P144" s="339">
        <f>(INDEX(Models!$BJ144:$BT144,,T144)*(1-R144)+INDEX(Models!$BJ144:$BT144,,T144+1)*R144-ERP_i)*Q144*Ramure*Pc/MaxiM</f>
        <v>1.2099357159758232E-4</v>
      </c>
      <c r="Q144" s="305">
        <f t="shared" si="53"/>
        <v>0.7</v>
      </c>
      <c r="R144" s="177">
        <f t="shared" si="54"/>
        <v>8.6314706802077965E-2</v>
      </c>
      <c r="S144" s="810">
        <f t="shared" si="55"/>
        <v>0</v>
      </c>
      <c r="T144" s="176">
        <f t="shared" si="56"/>
        <v>6</v>
      </c>
      <c r="U144" s="251">
        <f t="shared" si="57"/>
        <v>8.6314706802077965E-2</v>
      </c>
      <c r="V144" s="383">
        <f t="shared" si="58"/>
        <v>55.736958490624112</v>
      </c>
      <c r="W144" s="402">
        <f t="shared" si="59"/>
        <v>0</v>
      </c>
      <c r="X144" s="157">
        <f t="shared" si="60"/>
        <v>44691</v>
      </c>
      <c r="Y144" s="385">
        <f t="shared" si="61"/>
        <v>45.814956766081707</v>
      </c>
      <c r="Z144" s="385">
        <f t="shared" si="62"/>
        <v>47.307982809912026</v>
      </c>
      <c r="AA144" s="386">
        <f t="shared" si="63"/>
        <v>55.245570082880469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0.14367825802250436</v>
      </c>
      <c r="AD144" s="231">
        <f>(INDEX(Models!$BJ144:$BT144,,AH144)*(1-AF144)+INDEX(Models!$BJ144:$BT144,,AH144+1)*AF144-ERP_i)*AE144*Ramure*Pc/MaxiM</f>
        <v>1.2099357159758232E-4</v>
      </c>
      <c r="AE144" s="305">
        <f t="shared" si="65"/>
        <v>0.7</v>
      </c>
      <c r="AF144" s="177">
        <f t="shared" si="66"/>
        <v>8.6314706802077965E-2</v>
      </c>
      <c r="AG144" s="810">
        <f t="shared" ref="AG144:AG207" si="74">INDEX(Echel_vg,AH144)</f>
        <v>0</v>
      </c>
      <c r="AH144" s="176">
        <f t="shared" si="67"/>
        <v>6</v>
      </c>
      <c r="AI144" s="225">
        <f t="shared" si="68"/>
        <v>8.6314706802077965E-2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42">
        <v>53.463999999999999</v>
      </c>
      <c r="C145" s="840"/>
      <c r="D145" s="393">
        <f t="shared" si="50"/>
        <v>55.207579200256241</v>
      </c>
      <c r="E145" s="385">
        <f t="shared" si="72"/>
        <v>60.0516696103303</v>
      </c>
      <c r="F145" s="385">
        <f t="shared" si="51"/>
        <v>60.05837368883941</v>
      </c>
      <c r="G145" s="110">
        <f t="shared" si="73"/>
        <v>0.95736187486341151</v>
      </c>
      <c r="H145" s="414" t="b">
        <f>Wh_hp&gt;='2021'!Maxi_hp</f>
        <v>1</v>
      </c>
      <c r="I145" s="380">
        <f>IF(H145,Wh_hp,'2021'!Maxi_hp)</f>
        <v>60.05837368883941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3.158224333531634E-2</v>
      </c>
      <c r="M145" s="844"/>
      <c r="N145" s="844"/>
      <c r="O145" s="48">
        <f>IF(t&lt;Tnet,'2021'!Resal+('2021'!Salim-'2021'!Resal)*(1-EXP(('2021'!Tnet-t)/('2021'!Tau_j))),Resal+(Salim-Resal)*(1-EXP((Tnet-t)/(Tau_j))))*Salcycl</f>
        <v>8.0665374360228706E-2</v>
      </c>
      <c r="P145" s="339">
        <f>(INDEX(Models!$BJ145:$BT145,,T145)*(1-R145)+INDEX(Models!$BJ145:$BT145,,T145+1)*R145-ERP_i)*Q145*Ramure*Pc/MaxiM</f>
        <v>1.188651306059894E-4</v>
      </c>
      <c r="Q145" s="305">
        <f t="shared" si="53"/>
        <v>0.7</v>
      </c>
      <c r="R145" s="177">
        <f t="shared" si="54"/>
        <v>8.9159747648769369E-2</v>
      </c>
      <c r="S145" s="810">
        <f t="shared" si="55"/>
        <v>0</v>
      </c>
      <c r="T145" s="176">
        <f t="shared" si="56"/>
        <v>6</v>
      </c>
      <c r="U145" s="251">
        <f t="shared" si="57"/>
        <v>8.9159747648769369E-2</v>
      </c>
      <c r="V145" s="383">
        <f t="shared" si="58"/>
        <v>55.844727401282896</v>
      </c>
      <c r="W145" s="402">
        <f t="shared" si="59"/>
        <v>0</v>
      </c>
      <c r="X145" s="157">
        <f t="shared" si="60"/>
        <v>44692</v>
      </c>
      <c r="Y145" s="385">
        <f t="shared" si="61"/>
        <v>49.791706477529914</v>
      </c>
      <c r="Z145" s="385">
        <f t="shared" si="62"/>
        <v>51.415524069918909</v>
      </c>
      <c r="AA145" s="386">
        <f t="shared" si="63"/>
        <v>60.0516696103303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0.14381191391430972</v>
      </c>
      <c r="AD145" s="231">
        <f>(INDEX(Models!$BJ145:$BT145,,AH145)*(1-AF145)+INDEX(Models!$BJ145:$BT145,,AH145+1)*AF145-ERP_i)*AE145*Ramure*Pc/MaxiM</f>
        <v>1.188651306059894E-4</v>
      </c>
      <c r="AE145" s="305">
        <f t="shared" si="65"/>
        <v>0.7</v>
      </c>
      <c r="AF145" s="177">
        <f t="shared" si="66"/>
        <v>8.9159747648769369E-2</v>
      </c>
      <c r="AG145" s="810">
        <f t="shared" si="74"/>
        <v>0</v>
      </c>
      <c r="AH145" s="176">
        <f t="shared" si="67"/>
        <v>6</v>
      </c>
      <c r="AI145" s="225">
        <f t="shared" si="68"/>
        <v>8.9159747648769369E-2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42">
        <v>41.145000000000003</v>
      </c>
      <c r="C146" s="840"/>
      <c r="D146" s="393">
        <f t="shared" si="50"/>
        <v>42.487818137755276</v>
      </c>
      <c r="E146" s="385">
        <f t="shared" si="72"/>
        <v>46.224076327719892</v>
      </c>
      <c r="F146" s="385">
        <f t="shared" si="51"/>
        <v>46.227437351470343</v>
      </c>
      <c r="G146" s="110">
        <f t="shared" si="73"/>
        <v>0.73539216150584386</v>
      </c>
      <c r="H146" s="414" t="b">
        <f>Wh_hp&gt;='2021'!Maxi_hp</f>
        <v>0</v>
      </c>
      <c r="I146" s="380">
        <f>IF(H146,Wh_hp,'2021'!Maxi_hp)</f>
        <v>59.107632705662361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3.1604779831281182E-2</v>
      </c>
      <c r="M146" s="844"/>
      <c r="N146" s="844"/>
      <c r="O146" s="48">
        <f>IF(t&lt;Tnet,'2021'!Resal+('2021'!Salim-'2021'!Resal)*(1-EXP(('2021'!Tnet-t)/('2021'!Tau_j))),Resal+(Salim-Resal)*(1-EXP((Tnet-t)/(Tau_j))))*Salcycl</f>
        <v>8.0829266624502349E-2</v>
      </c>
      <c r="P146" s="339">
        <f>(INDEX(Models!$BJ146:$BT146,,T146)*(1-R146)+INDEX(Models!$BJ146:$BT146,,T146+1)*R146-ERP_i)*Q146*Ramure*Pc/MaxiM</f>
        <v>1.1688446347594213E-4</v>
      </c>
      <c r="Q146" s="305">
        <f t="shared" si="53"/>
        <v>0.7</v>
      </c>
      <c r="R146" s="177">
        <f t="shared" si="54"/>
        <v>9.2069657767032367E-2</v>
      </c>
      <c r="S146" s="810">
        <f t="shared" si="55"/>
        <v>0</v>
      </c>
      <c r="T146" s="176">
        <f t="shared" si="56"/>
        <v>6</v>
      </c>
      <c r="U146" s="251">
        <f t="shared" si="57"/>
        <v>9.2069657767032367E-2</v>
      </c>
      <c r="V146" s="383">
        <f t="shared" si="58"/>
        <v>55.947267742300724</v>
      </c>
      <c r="W146" s="402">
        <f t="shared" si="59"/>
        <v>0</v>
      </c>
      <c r="X146" s="157">
        <f t="shared" si="60"/>
        <v>44693</v>
      </c>
      <c r="Y146" s="385">
        <f t="shared" si="61"/>
        <v>38.319651109644056</v>
      </c>
      <c r="Z146" s="385">
        <f t="shared" si="62"/>
        <v>39.570260479980277</v>
      </c>
      <c r="AA146" s="386">
        <f t="shared" si="63"/>
        <v>46.224076327719892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0.14394697258124375</v>
      </c>
      <c r="AD146" s="231">
        <f>(INDEX(Models!$BJ146:$BT146,,AH146)*(1-AF146)+INDEX(Models!$BJ146:$BT146,,AH146+1)*AF146-ERP_i)*AE146*Ramure*Pc/MaxiM</f>
        <v>1.1688446347594213E-4</v>
      </c>
      <c r="AE146" s="305">
        <f t="shared" si="65"/>
        <v>0.7</v>
      </c>
      <c r="AF146" s="177">
        <f t="shared" si="66"/>
        <v>9.2069657767032367E-2</v>
      </c>
      <c r="AG146" s="810">
        <f t="shared" si="74"/>
        <v>0</v>
      </c>
      <c r="AH146" s="176">
        <f t="shared" si="67"/>
        <v>6</v>
      </c>
      <c r="AI146" s="225">
        <f t="shared" si="68"/>
        <v>9.2069657767032367E-2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42">
        <v>42.704000000000001</v>
      </c>
      <c r="C147" s="840"/>
      <c r="D147" s="393">
        <f t="shared" si="50"/>
        <v>44.09872427928093</v>
      </c>
      <c r="E147" s="385">
        <f t="shared" si="72"/>
        <v>47.985236750548886</v>
      </c>
      <c r="F147" s="385">
        <f t="shared" si="51"/>
        <v>47.988880474483352</v>
      </c>
      <c r="G147" s="110">
        <f t="shared" si="73"/>
        <v>0.76193232849479864</v>
      </c>
      <c r="H147" s="414" t="b">
        <f>Wh_hp&gt;='2021'!Maxi_hp</f>
        <v>0</v>
      </c>
      <c r="I147" s="380">
        <f>IF(H147,Wh_hp,'2021'!Maxi_hp)</f>
        <v>65.445503800800012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3.162731580278888E-2</v>
      </c>
      <c r="M147" s="844"/>
      <c r="N147" s="844"/>
      <c r="O147" s="48">
        <f>IF(t&lt;Tnet,'2021'!Resal+('2021'!Salim-'2021'!Resal)*(1-EXP(('2021'!Tnet-t)/('2021'!Tau_j))),Resal+(Salim-Resal)*(1-EXP((Tnet-t)/(Tau_j))))*Salcycl</f>
        <v>8.0993920931806088E-2</v>
      </c>
      <c r="P147" s="339">
        <f>(INDEX(Models!$BJ147:$BT147,,T147)*(1-R147)+INDEX(Models!$BJ147:$BT147,,T147+1)*R147-ERP_i)*Q147*Ramure*Pc/MaxiM</f>
        <v>1.1505261674728474E-4</v>
      </c>
      <c r="Q147" s="305">
        <f t="shared" si="53"/>
        <v>0.7</v>
      </c>
      <c r="R147" s="177">
        <f t="shared" si="54"/>
        <v>9.5044140267394051E-2</v>
      </c>
      <c r="S147" s="810">
        <f t="shared" si="55"/>
        <v>0</v>
      </c>
      <c r="T147" s="176">
        <f t="shared" si="56"/>
        <v>6</v>
      </c>
      <c r="U147" s="251">
        <f t="shared" si="57"/>
        <v>9.5044140267394051E-2</v>
      </c>
      <c r="V147" s="383">
        <f t="shared" si="58"/>
        <v>56.044779201596846</v>
      </c>
      <c r="W147" s="402">
        <f t="shared" si="59"/>
        <v>0</v>
      </c>
      <c r="X147" s="157">
        <f t="shared" si="60"/>
        <v>44694</v>
      </c>
      <c r="Y147" s="385">
        <f t="shared" si="61"/>
        <v>39.772385729319382</v>
      </c>
      <c r="Z147" s="385">
        <f t="shared" si="62"/>
        <v>41.071362687487429</v>
      </c>
      <c r="AA147" s="386">
        <f t="shared" si="63"/>
        <v>47.985236750548886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0.14408335836714134</v>
      </c>
      <c r="AD147" s="231">
        <f>(INDEX(Models!$BJ147:$BT147,,AH147)*(1-AF147)+INDEX(Models!$BJ147:$BT147,,AH147+1)*AF147-ERP_i)*AE147*Ramure*Pc/MaxiM</f>
        <v>1.1505261674728474E-4</v>
      </c>
      <c r="AE147" s="305">
        <f t="shared" si="65"/>
        <v>0.7</v>
      </c>
      <c r="AF147" s="177">
        <f t="shared" si="66"/>
        <v>9.5044140267394051E-2</v>
      </c>
      <c r="AG147" s="810">
        <f t="shared" si="74"/>
        <v>0</v>
      </c>
      <c r="AH147" s="176">
        <f t="shared" si="67"/>
        <v>6</v>
      </c>
      <c r="AI147" s="225">
        <f t="shared" si="68"/>
        <v>9.5044140267394051E-2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42">
        <v>47.055</v>
      </c>
      <c r="C148" s="840"/>
      <c r="D148" s="393">
        <f t="shared" si="50"/>
        <v>48.592959954345019</v>
      </c>
      <c r="E148" s="385">
        <f t="shared" si="72"/>
        <v>52.885075354789954</v>
      </c>
      <c r="F148" s="385">
        <f t="shared" si="51"/>
        <v>52.889685628567015</v>
      </c>
      <c r="G148" s="110">
        <f t="shared" si="73"/>
        <v>0.83818836180374023</v>
      </c>
      <c r="H148" s="414" t="b">
        <f>Wh_hp&gt;='2021'!Maxi_hp</f>
        <v>0</v>
      </c>
      <c r="I148" s="380">
        <f>IF(H148,Wh_hp,'2021'!Maxi_hp)</f>
        <v>63.25386320981476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3.1649851249851646E-2</v>
      </c>
      <c r="M148" s="844"/>
      <c r="N148" s="844"/>
      <c r="O148" s="48">
        <f>IF(t&lt;Tnet,'2021'!Resal+('2021'!Salim-'2021'!Resal)*(1-EXP(('2021'!Tnet-t)/('2021'!Tau_j))),Resal+(Salim-Resal)*(1-EXP((Tnet-t)/(Tau_j))))*Salcycl</f>
        <v>8.1159294406794896E-2</v>
      </c>
      <c r="P148" s="339">
        <f>(INDEX(Models!$BJ148:$BT148,,T148)*(1-R148)+INDEX(Models!$BJ148:$BT148,,T148+1)*R148-ERP_i)*Q148*Ramure*Pc/MaxiM</f>
        <v>1.1337093900146925E-4</v>
      </c>
      <c r="Q148" s="305">
        <f t="shared" si="53"/>
        <v>0.7</v>
      </c>
      <c r="R148" s="177">
        <f t="shared" si="54"/>
        <v>9.8082773519875946E-2</v>
      </c>
      <c r="S148" s="810">
        <f t="shared" si="55"/>
        <v>0</v>
      </c>
      <c r="T148" s="176">
        <f t="shared" si="56"/>
        <v>6</v>
      </c>
      <c r="U148" s="251">
        <f t="shared" si="57"/>
        <v>9.8082773519875946E-2</v>
      </c>
      <c r="V148" s="383">
        <f t="shared" si="58"/>
        <v>56.137461511877277</v>
      </c>
      <c r="W148" s="402">
        <f t="shared" si="59"/>
        <v>0</v>
      </c>
      <c r="X148" s="157">
        <f t="shared" si="60"/>
        <v>44695</v>
      </c>
      <c r="Y148" s="385">
        <f t="shared" si="61"/>
        <v>43.82553039566195</v>
      </c>
      <c r="Z148" s="385">
        <f t="shared" si="62"/>
        <v>45.257937381666807</v>
      </c>
      <c r="AA148" s="386">
        <f t="shared" si="63"/>
        <v>52.885075354789954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0.14422099093090041</v>
      </c>
      <c r="AD148" s="231">
        <f>(INDEX(Models!$BJ148:$BT148,,AH148)*(1-AF148)+INDEX(Models!$BJ148:$BT148,,AH148+1)*AF148-ERP_i)*AE148*Ramure*Pc/MaxiM</f>
        <v>1.1337093900146925E-4</v>
      </c>
      <c r="AE148" s="305">
        <f t="shared" si="65"/>
        <v>0.7</v>
      </c>
      <c r="AF148" s="177">
        <f t="shared" si="66"/>
        <v>9.8082773519875946E-2</v>
      </c>
      <c r="AG148" s="810">
        <f t="shared" si="74"/>
        <v>0</v>
      </c>
      <c r="AH148" s="176">
        <f t="shared" si="67"/>
        <v>6</v>
      </c>
      <c r="AI148" s="225">
        <f t="shared" si="68"/>
        <v>9.8082773519875946E-2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42">
        <v>50.11</v>
      </c>
      <c r="C149" s="840"/>
      <c r="D149" s="393">
        <f t="shared" si="50"/>
        <v>51.749014780162774</v>
      </c>
      <c r="E149" s="385">
        <f t="shared" si="72"/>
        <v>56.330077568422851</v>
      </c>
      <c r="F149" s="385">
        <f t="shared" si="51"/>
        <v>56.335399441990411</v>
      </c>
      <c r="G149" s="110">
        <f t="shared" si="73"/>
        <v>0.89123463824187943</v>
      </c>
      <c r="H149" s="414" t="b">
        <f>Wh_hp&gt;='2021'!Maxi_hp</f>
        <v>0</v>
      </c>
      <c r="I149" s="380">
        <f>IF(H149,Wh_hp,'2021'!Maxi_hp)</f>
        <v>64.201306106001624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3.1672386172481581E-2</v>
      </c>
      <c r="M149" s="844"/>
      <c r="N149" s="844"/>
      <c r="O149" s="48">
        <f>IF(t&lt;Tnet,'2021'!Resal+('2021'!Salim-'2021'!Resal)*(1-EXP(('2021'!Tnet-t)/('2021'!Tau_j))),Resal+(Salim-Resal)*(1-EXP((Tnet-t)/(Tau_j))))*Salcycl</f>
        <v>8.1325341380820232E-2</v>
      </c>
      <c r="P149" s="339">
        <f>(INDEX(Models!$BJ149:$BT149,,T149)*(1-R149)+INDEX(Models!$BJ149:$BT149,,T149+1)*R149-ERP_i)*Q149*Ramure*Pc/MaxiM</f>
        <v>1.1184329895994289E-4</v>
      </c>
      <c r="Q149" s="305">
        <f t="shared" si="53"/>
        <v>0.7</v>
      </c>
      <c r="R149" s="177">
        <f t="shared" si="54"/>
        <v>0.10118500689190765</v>
      </c>
      <c r="S149" s="810">
        <f t="shared" si="55"/>
        <v>0</v>
      </c>
      <c r="T149" s="176">
        <f t="shared" si="56"/>
        <v>6</v>
      </c>
      <c r="U149" s="251">
        <f t="shared" si="57"/>
        <v>0.10118500689190765</v>
      </c>
      <c r="V149" s="383">
        <f t="shared" si="58"/>
        <v>56.224395994645249</v>
      </c>
      <c r="W149" s="402">
        <f t="shared" si="59"/>
        <v>0</v>
      </c>
      <c r="X149" s="157">
        <f t="shared" si="60"/>
        <v>44696</v>
      </c>
      <c r="Y149" s="385">
        <f t="shared" si="61"/>
        <v>46.671725136434304</v>
      </c>
      <c r="Z149" s="385">
        <f t="shared" si="62"/>
        <v>48.198279662762587</v>
      </c>
      <c r="AA149" s="386">
        <f t="shared" si="63"/>
        <v>56.330077568422851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0.14435978533462432</v>
      </c>
      <c r="AD149" s="231">
        <f>(INDEX(Models!$BJ149:$BT149,,AH149)*(1-AF149)+INDEX(Models!$BJ149:$BT149,,AH149+1)*AF149-ERP_i)*AE149*Ramure*Pc/MaxiM</f>
        <v>1.1184329895994289E-4</v>
      </c>
      <c r="AE149" s="305">
        <f t="shared" si="65"/>
        <v>0.7</v>
      </c>
      <c r="AF149" s="177">
        <f t="shared" si="66"/>
        <v>0.10118500689190765</v>
      </c>
      <c r="AG149" s="810">
        <f t="shared" si="74"/>
        <v>0</v>
      </c>
      <c r="AH149" s="176">
        <f t="shared" si="67"/>
        <v>6</v>
      </c>
      <c r="AI149" s="225">
        <f t="shared" si="68"/>
        <v>0.10118500689190765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42">
        <v>48.334000000000003</v>
      </c>
      <c r="C150" s="840"/>
      <c r="D150" s="393">
        <f t="shared" si="50"/>
        <v>49.916086393439826</v>
      </c>
      <c r="E150" s="385">
        <f t="shared" si="72"/>
        <v>54.344749445825599</v>
      </c>
      <c r="F150" s="385">
        <f t="shared" si="51"/>
        <v>54.349545015132634</v>
      </c>
      <c r="G150" s="110">
        <f t="shared" si="73"/>
        <v>0.85841678441766633</v>
      </c>
      <c r="H150" s="414" t="b">
        <f>Wh_hp&gt;='2021'!Maxi_hp</f>
        <v>1</v>
      </c>
      <c r="I150" s="380">
        <f>IF(H150,Wh_hp,'2021'!Maxi_hp)</f>
        <v>54.349545015132634</v>
      </c>
      <c r="J150" s="85">
        <f>IF(H150,An,'2021'!An_max)</f>
        <v>2022</v>
      </c>
      <c r="K150" s="197">
        <f t="shared" si="52"/>
        <v>44697</v>
      </c>
      <c r="L150" s="147">
        <f>IF(t&lt;Tvie,1-EXP((T0-t)*PertePVj)+'2021'!Pspv,1-EXP((T0-t)*PertePVj)+Pspv)</f>
        <v>3.1694920570690899E-2</v>
      </c>
      <c r="M150" s="844"/>
      <c r="N150" s="844"/>
      <c r="O150" s="48">
        <f>IF(t&lt;Tnet,'2021'!Resal+('2021'!Salim-'2021'!Resal)*(1-EXP(('2021'!Tnet-t)/('2021'!Tau_j))),Resal+(Salim-Resal)*(1-EXP((Tnet-t)/(Tau_j))))*Salcycl</f>
        <v>8.1492013442817549E-2</v>
      </c>
      <c r="P150" s="339">
        <f>(INDEX(Models!$BJ150:$BT150,,T150)*(1-R150)+INDEX(Models!$BJ150:$BT150,,T150+1)*R150-ERP_i)*Q150*Ramure*Pc/MaxiM</f>
        <v>1.1060350790777229E-4</v>
      </c>
      <c r="Q150" s="305">
        <f t="shared" si="53"/>
        <v>0.7</v>
      </c>
      <c r="R150" s="177">
        <f t="shared" si="54"/>
        <v>0.10435015686080855</v>
      </c>
      <c r="S150" s="810">
        <f t="shared" si="55"/>
        <v>0</v>
      </c>
      <c r="T150" s="176">
        <f t="shared" si="56"/>
        <v>6</v>
      </c>
      <c r="U150" s="251">
        <f t="shared" si="57"/>
        <v>0.10435015686080855</v>
      </c>
      <c r="V150" s="383">
        <f t="shared" si="58"/>
        <v>56.304722432716098</v>
      </c>
      <c r="W150" s="402">
        <f t="shared" si="59"/>
        <v>0</v>
      </c>
      <c r="X150" s="157">
        <f t="shared" si="60"/>
        <v>44697</v>
      </c>
      <c r="Y150" s="385">
        <f t="shared" si="61"/>
        <v>45.018393326799291</v>
      </c>
      <c r="Z150" s="385">
        <f t="shared" si="62"/>
        <v>46.491952054337901</v>
      </c>
      <c r="AA150" s="386">
        <f t="shared" si="63"/>
        <v>54.344749445825599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0.14449965215712116</v>
      </c>
      <c r="AD150" s="231">
        <f>(INDEX(Models!$BJ150:$BT150,,AH150)*(1-AF150)+INDEX(Models!$BJ150:$BT150,,AH150+1)*AF150-ERP_i)*AE150*Ramure*Pc/MaxiM</f>
        <v>1.1060350790777229E-4</v>
      </c>
      <c r="AE150" s="305">
        <f t="shared" si="65"/>
        <v>0.7</v>
      </c>
      <c r="AF150" s="177">
        <f t="shared" si="66"/>
        <v>0.10435015686080855</v>
      </c>
      <c r="AG150" s="810">
        <f t="shared" si="74"/>
        <v>0</v>
      </c>
      <c r="AH150" s="176">
        <f t="shared" si="67"/>
        <v>6</v>
      </c>
      <c r="AI150" s="225">
        <f t="shared" si="68"/>
        <v>0.10435015686080855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42">
        <v>51.980000000000004</v>
      </c>
      <c r="C151" s="840"/>
      <c r="D151" s="393">
        <f t="shared" si="50"/>
        <v>53.682677890448645</v>
      </c>
      <c r="E151" s="385">
        <f t="shared" si="72"/>
        <v>58.456165041239835</v>
      </c>
      <c r="F151" s="385">
        <f t="shared" si="51"/>
        <v>58.461853145872553</v>
      </c>
      <c r="G151" s="110">
        <f t="shared" si="73"/>
        <v>0.92196736452436423</v>
      </c>
      <c r="H151" s="414" t="b">
        <f>Wh_hp&gt;='2021'!Maxi_hp</f>
        <v>0</v>
      </c>
      <c r="I151" s="380">
        <f>IF(H151,Wh_hp,'2021'!Maxi_hp)</f>
        <v>59.772823260261717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3.1717454444491922E-2</v>
      </c>
      <c r="M151" s="844"/>
      <c r="N151" s="844"/>
      <c r="O151" s="48">
        <f>IF(t&lt;Tnet,'2021'!Resal+('2021'!Salim-'2021'!Resal)*(1-EXP(('2021'!Tnet-t)/('2021'!Tau_j))),Resal+(Salim-Resal)*(1-EXP((Tnet-t)/(Tau_j))))*Salcycl</f>
        <v>8.1659259505367426E-2</v>
      </c>
      <c r="P151" s="339">
        <f>(INDEX(Models!$BJ151:$BT151,,T151)*(1-R151)+INDEX(Models!$BJ151:$BT151,,T151+1)*R151-ERP_i)*Q151*Ramure*Pc/MaxiM</f>
        <v>1.0950087354405636E-4</v>
      </c>
      <c r="Q151" s="305">
        <f t="shared" si="53"/>
        <v>0.7</v>
      </c>
      <c r="R151" s="177">
        <f t="shared" si="54"/>
        <v>0.10757740354878759</v>
      </c>
      <c r="S151" s="810">
        <f t="shared" si="55"/>
        <v>0</v>
      </c>
      <c r="T151" s="176">
        <f t="shared" si="56"/>
        <v>6</v>
      </c>
      <c r="U151" s="251">
        <f t="shared" si="57"/>
        <v>0.10757740354878759</v>
      </c>
      <c r="V151" s="383">
        <f t="shared" si="58"/>
        <v>56.378747805143554</v>
      </c>
      <c r="W151" s="402">
        <f t="shared" si="59"/>
        <v>0</v>
      </c>
      <c r="X151" s="157">
        <f t="shared" si="60"/>
        <v>44698</v>
      </c>
      <c r="Y151" s="385">
        <f t="shared" si="61"/>
        <v>48.415130650815634</v>
      </c>
      <c r="Z151" s="385">
        <f t="shared" si="62"/>
        <v>50.0010362399331</v>
      </c>
      <c r="AA151" s="386">
        <f t="shared" si="63"/>
        <v>58.456165041239835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0.14464049763342818</v>
      </c>
      <c r="AD151" s="231">
        <f>(INDEX(Models!$BJ151:$BT151,,AH151)*(1-AF151)+INDEX(Models!$BJ151:$BT151,,AH151+1)*AF151-ERP_i)*AE151*Ramure*Pc/MaxiM</f>
        <v>1.0950087354405636E-4</v>
      </c>
      <c r="AE151" s="305">
        <f t="shared" si="65"/>
        <v>0.7</v>
      </c>
      <c r="AF151" s="177">
        <f t="shared" si="66"/>
        <v>0.10757740354878759</v>
      </c>
      <c r="AG151" s="810">
        <f t="shared" si="74"/>
        <v>0</v>
      </c>
      <c r="AH151" s="176">
        <f t="shared" si="67"/>
        <v>6</v>
      </c>
      <c r="AI151" s="225">
        <f t="shared" si="68"/>
        <v>0.10757740354878759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42">
        <v>50.805</v>
      </c>
      <c r="C152" s="840"/>
      <c r="D152" s="393">
        <f t="shared" si="50"/>
        <v>52.470410178609832</v>
      </c>
      <c r="E152" s="385">
        <f t="shared" si="72"/>
        <v>57.14654172789065</v>
      </c>
      <c r="F152" s="385">
        <f t="shared" si="51"/>
        <v>57.151859087579304</v>
      </c>
      <c r="G152" s="110">
        <f t="shared" si="73"/>
        <v>0.90003754159871319</v>
      </c>
      <c r="H152" s="414" t="b">
        <f>Wh_hp&gt;='2021'!Maxi_hp</f>
        <v>0</v>
      </c>
      <c r="I152" s="380">
        <f>IF(H152,Wh_hp,'2021'!Maxi_hp)</f>
        <v>66.086546918529152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3.1739987793896751E-2</v>
      </c>
      <c r="M152" s="844"/>
      <c r="N152" s="844"/>
      <c r="O152" s="48">
        <f>IF(t&lt;Tnet,'2021'!Resal+('2021'!Salim-'2021'!Resal)*(1-EXP(('2021'!Tnet-t)/('2021'!Tau_j))),Resal+(Salim-Resal)*(1-EXP((Tnet-t)/(Tau_j))))*Salcycl</f>
        <v>8.1827025886303348E-2</v>
      </c>
      <c r="P152" s="339">
        <f>(INDEX(Models!$BJ152:$BT152,,T152)*(1-R152)+INDEX(Models!$BJ152:$BT152,,T152+1)*R152-ERP_i)*Q152*Ramure*Pc/MaxiM</f>
        <v>1.0853634623306731E-4</v>
      </c>
      <c r="Q152" s="305">
        <f t="shared" si="53"/>
        <v>0.7</v>
      </c>
      <c r="R152" s="177">
        <f t="shared" si="54"/>
        <v>0.11086578772795327</v>
      </c>
      <c r="S152" s="810">
        <f t="shared" si="55"/>
        <v>0</v>
      </c>
      <c r="T152" s="176">
        <f t="shared" si="56"/>
        <v>6</v>
      </c>
      <c r="U152" s="251">
        <f t="shared" si="57"/>
        <v>0.11086578772795327</v>
      </c>
      <c r="V152" s="383">
        <f t="shared" si="58"/>
        <v>56.446770543392546</v>
      </c>
      <c r="W152" s="402">
        <f t="shared" si="59"/>
        <v>0</v>
      </c>
      <c r="X152" s="157">
        <f t="shared" si="60"/>
        <v>44699</v>
      </c>
      <c r="Y152" s="385">
        <f t="shared" si="61"/>
        <v>47.321518214717521</v>
      </c>
      <c r="Z152" s="385">
        <f t="shared" si="62"/>
        <v>48.872738332856706</v>
      </c>
      <c r="AA152" s="386">
        <f t="shared" si="63"/>
        <v>57.14654172789065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0.14478222382083139</v>
      </c>
      <c r="AD152" s="231">
        <f>(INDEX(Models!$BJ152:$BT152,,AH152)*(1-AF152)+INDEX(Models!$BJ152:$BT152,,AH152+1)*AF152-ERP_i)*AE152*Ramure*Pc/MaxiM</f>
        <v>1.0853634623306731E-4</v>
      </c>
      <c r="AE152" s="305">
        <f t="shared" si="65"/>
        <v>0.7</v>
      </c>
      <c r="AF152" s="177">
        <f t="shared" si="66"/>
        <v>0.11086578772795327</v>
      </c>
      <c r="AG152" s="810">
        <f t="shared" si="74"/>
        <v>0</v>
      </c>
      <c r="AH152" s="176">
        <f t="shared" si="67"/>
        <v>6</v>
      </c>
      <c r="AI152" s="225">
        <f t="shared" si="68"/>
        <v>0.11086578772795327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42">
        <v>53.701999999999998</v>
      </c>
      <c r="C153" s="840"/>
      <c r="D153" s="393">
        <f t="shared" si="50"/>
        <v>55.463665829510582</v>
      </c>
      <c r="E153" s="385">
        <f t="shared" si="72"/>
        <v>60.417624436641674</v>
      </c>
      <c r="F153" s="385">
        <f t="shared" si="51"/>
        <v>60.423670880269441</v>
      </c>
      <c r="G153" s="110">
        <f t="shared" si="73"/>
        <v>0.95031773478757353</v>
      </c>
      <c r="H153" s="414" t="b">
        <f>Wh_hp&gt;='2021'!Maxi_hp</f>
        <v>0</v>
      </c>
      <c r="I153" s="380">
        <f>IF(H153,Wh_hp,'2021'!Maxi_hp)</f>
        <v>64.867381436850934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3.17625206189176E-2</v>
      </c>
      <c r="M153" s="844"/>
      <c r="N153" s="844"/>
      <c r="O153" s="48">
        <f>IF(t&lt;Tnet,'2021'!Resal+('2021'!Salim-'2021'!Resal)*(1-EXP(('2021'!Tnet-t)/('2021'!Tau_j))),Resal+(Salim-Resal)*(1-EXP((Tnet-t)/(Tau_j))))*Salcycl</f>
        <v>8.199525640611996E-2</v>
      </c>
      <c r="P153" s="339">
        <f>(INDEX(Models!$BJ153:$BT153,,T153)*(1-R153)+INDEX(Models!$BJ153:$BT153,,T153+1)*R153-ERP_i)*Q153*Ramure*Pc/MaxiM</f>
        <v>1.0771110785550575E-4</v>
      </c>
      <c r="Q153" s="305">
        <f t="shared" si="53"/>
        <v>0.7</v>
      </c>
      <c r="R153" s="177">
        <f t="shared" si="54"/>
        <v>0.11421420834179045</v>
      </c>
      <c r="S153" s="810">
        <f t="shared" si="55"/>
        <v>0</v>
      </c>
      <c r="T153" s="176">
        <f t="shared" si="56"/>
        <v>6</v>
      </c>
      <c r="U153" s="251">
        <f t="shared" si="57"/>
        <v>0.11421420834179045</v>
      </c>
      <c r="V153" s="383">
        <f t="shared" si="58"/>
        <v>56.509089028067208</v>
      </c>
      <c r="W153" s="402">
        <f t="shared" si="59"/>
        <v>0</v>
      </c>
      <c r="X153" s="157">
        <f t="shared" si="60"/>
        <v>44700</v>
      </c>
      <c r="Y153" s="385">
        <f t="shared" si="61"/>
        <v>50.020713438432907</v>
      </c>
      <c r="Z153" s="385">
        <f t="shared" si="62"/>
        <v>51.66161660092645</v>
      </c>
      <c r="AA153" s="386">
        <f t="shared" si="63"/>
        <v>60.417624436641674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0.14492472879163618</v>
      </c>
      <c r="AD153" s="231">
        <f>(INDEX(Models!$BJ153:$BT153,,AH153)*(1-AF153)+INDEX(Models!$BJ153:$BT153,,AH153+1)*AF153-ERP_i)*AE153*Ramure*Pc/MaxiM</f>
        <v>1.0771110785550575E-4</v>
      </c>
      <c r="AE153" s="305">
        <f t="shared" si="65"/>
        <v>0.7</v>
      </c>
      <c r="AF153" s="177">
        <f t="shared" si="66"/>
        <v>0.11421420834179045</v>
      </c>
      <c r="AG153" s="810">
        <f t="shared" si="74"/>
        <v>0</v>
      </c>
      <c r="AH153" s="176">
        <f t="shared" si="67"/>
        <v>6</v>
      </c>
      <c r="AI153" s="225">
        <f t="shared" si="68"/>
        <v>0.11421420834179045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42">
        <v>47.08</v>
      </c>
      <c r="C154" s="840"/>
      <c r="D154" s="393">
        <f t="shared" si="50"/>
        <v>48.625566194743826</v>
      </c>
      <c r="E154" s="385">
        <f t="shared" si="72"/>
        <v>52.978484717995563</v>
      </c>
      <c r="F154" s="385">
        <f t="shared" si="51"/>
        <v>52.982796795520066</v>
      </c>
      <c r="G154" s="110">
        <f t="shared" si="73"/>
        <v>0.83228072438064216</v>
      </c>
      <c r="H154" s="414" t="b">
        <f>Wh_hp&gt;='2021'!Maxi_hp</f>
        <v>0</v>
      </c>
      <c r="I154" s="380">
        <f>IF(H154,Wh_hp,'2021'!Maxi_hp)</f>
        <v>62.875000616079284</v>
      </c>
      <c r="J154" s="85">
        <f>IF(H154,An,'2021'!An_max)</f>
        <v>2020</v>
      </c>
      <c r="K154" s="197">
        <f t="shared" si="52"/>
        <v>44701</v>
      </c>
      <c r="L154" s="147">
        <f>IF(t&lt;Tvie,1-EXP((T0-t)*PertePVj)+'2021'!Pspv,1-EXP((T0-t)*PertePVj)+Pspv)</f>
        <v>3.1785052919566792E-2</v>
      </c>
      <c r="M154" s="844"/>
      <c r="N154" s="844"/>
      <c r="O154" s="48">
        <f>IF(t&lt;Tnet,'2021'!Resal+('2021'!Salim-'2021'!Resal)*(1-EXP(('2021'!Tnet-t)/('2021'!Tau_j))),Resal+(Salim-Resal)*(1-EXP((Tnet-t)/(Tau_j))))*Salcycl</f>
        <v>8.2163892501311078E-2</v>
      </c>
      <c r="P154" s="339">
        <f>(INDEX(Models!$BJ154:$BT154,,T154)*(1-R154)+INDEX(Models!$BJ154:$BT154,,T154+1)*R154-ERP_i)*Q154*Ramure*Pc/MaxiM</f>
        <v>1.0702656040811943E-4</v>
      </c>
      <c r="Q154" s="305">
        <f t="shared" si="53"/>
        <v>0.7</v>
      </c>
      <c r="R154" s="177">
        <f t="shared" si="54"/>
        <v>0.117621420587919</v>
      </c>
      <c r="S154" s="810">
        <f t="shared" si="55"/>
        <v>0</v>
      </c>
      <c r="T154" s="176">
        <f t="shared" si="56"/>
        <v>6</v>
      </c>
      <c r="U154" s="251">
        <f t="shared" si="57"/>
        <v>0.117621420587919</v>
      </c>
      <c r="V154" s="383">
        <f t="shared" si="58"/>
        <v>56.566001569525675</v>
      </c>
      <c r="W154" s="402">
        <f t="shared" si="59"/>
        <v>0</v>
      </c>
      <c r="X154" s="157">
        <f t="shared" si="60"/>
        <v>44701</v>
      </c>
      <c r="Y154" s="385">
        <f t="shared" si="61"/>
        <v>43.853366212694176</v>
      </c>
      <c r="Z154" s="385">
        <f t="shared" si="62"/>
        <v>45.293006831726913</v>
      </c>
      <c r="AA154" s="386">
        <f t="shared" si="63"/>
        <v>52.978484717995563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0.14506790685272417</v>
      </c>
      <c r="AD154" s="231">
        <f>(INDEX(Models!$BJ154:$BT154,,AH154)*(1-AF154)+INDEX(Models!$BJ154:$BT154,,AH154+1)*AF154-ERP_i)*AE154*Ramure*Pc/MaxiM</f>
        <v>1.0702656040811943E-4</v>
      </c>
      <c r="AE154" s="305">
        <f t="shared" si="65"/>
        <v>0.7</v>
      </c>
      <c r="AF154" s="177">
        <f t="shared" si="66"/>
        <v>0.117621420587919</v>
      </c>
      <c r="AG154" s="810">
        <f t="shared" si="74"/>
        <v>0</v>
      </c>
      <c r="AH154" s="176">
        <f t="shared" si="67"/>
        <v>6</v>
      </c>
      <c r="AI154" s="225">
        <f t="shared" si="68"/>
        <v>0.117621420587919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42">
        <v>46.667999999999999</v>
      </c>
      <c r="C155" s="840"/>
      <c r="D155" s="393">
        <f t="shared" si="50"/>
        <v>48.201162560584528</v>
      </c>
      <c r="E155" s="385">
        <f t="shared" si="72"/>
        <v>52.525759244244377</v>
      </c>
      <c r="F155" s="385">
        <f t="shared" si="51"/>
        <v>52.529948571847108</v>
      </c>
      <c r="G155" s="110">
        <f t="shared" si="73"/>
        <v>0.82424161728896117</v>
      </c>
      <c r="H155" s="414" t="b">
        <f>Wh_hp&gt;='2021'!Maxi_hp</f>
        <v>0</v>
      </c>
      <c r="I155" s="380">
        <f>IF(H155,Wh_hp,'2021'!Maxi_hp)</f>
        <v>62.49902622803689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3.1807584695856317E-2</v>
      </c>
      <c r="M155" s="844"/>
      <c r="N155" s="844"/>
      <c r="O155" s="48">
        <f>IF(t&lt;Tnet,'2021'!Resal+('2021'!Salim-'2021'!Resal)*(1-EXP(('2021'!Tnet-t)/('2021'!Tau_j))),Resal+(Salim-Resal)*(1-EXP((Tnet-t)/(Tau_j))))*Salcycl</f>
        <v>8.2332873353634137E-2</v>
      </c>
      <c r="P155" s="339">
        <f>(INDEX(Models!$BJ155:$BT155,,T155)*(1-R155)+INDEX(Models!$BJ155:$BT155,,T155+1)*R155-ERP_i)*Q155*Ramure*Pc/MaxiM</f>
        <v>1.0648431399672891E-4</v>
      </c>
      <c r="Q155" s="305">
        <f t="shared" si="53"/>
        <v>0.7</v>
      </c>
      <c r="R155" s="177">
        <f t="shared" si="54"/>
        <v>0.12108603460467328</v>
      </c>
      <c r="S155" s="810">
        <f t="shared" si="55"/>
        <v>0</v>
      </c>
      <c r="T155" s="176">
        <f t="shared" si="56"/>
        <v>6</v>
      </c>
      <c r="U155" s="251">
        <f t="shared" si="57"/>
        <v>0.12108603460467328</v>
      </c>
      <c r="V155" s="383">
        <f t="shared" si="58"/>
        <v>56.617806407377167</v>
      </c>
      <c r="W155" s="402">
        <f t="shared" si="59"/>
        <v>0</v>
      </c>
      <c r="X155" s="157">
        <f t="shared" si="60"/>
        <v>44702</v>
      </c>
      <c r="Y155" s="385">
        <f t="shared" si="61"/>
        <v>43.470297252526024</v>
      </c>
      <c r="Z155" s="385">
        <f t="shared" si="62"/>
        <v>44.8984071403518</v>
      </c>
      <c r="AA155" s="386">
        <f t="shared" si="63"/>
        <v>52.525759244244377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0.14521164879169948</v>
      </c>
      <c r="AD155" s="231">
        <f>(INDEX(Models!$BJ155:$BT155,,AH155)*(1-AF155)+INDEX(Models!$BJ155:$BT155,,AH155+1)*AF155-ERP_i)*AE155*Ramure*Pc/MaxiM</f>
        <v>1.0648431399672891E-4</v>
      </c>
      <c r="AE155" s="305">
        <f t="shared" si="65"/>
        <v>0.7</v>
      </c>
      <c r="AF155" s="177">
        <f t="shared" si="66"/>
        <v>0.12108603460467328</v>
      </c>
      <c r="AG155" s="810">
        <f t="shared" si="74"/>
        <v>0</v>
      </c>
      <c r="AH155" s="176">
        <f t="shared" si="67"/>
        <v>6</v>
      </c>
      <c r="AI155" s="225">
        <f t="shared" si="68"/>
        <v>0.12108603460467328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42">
        <v>34.566000000000003</v>
      </c>
      <c r="C156" s="840"/>
      <c r="D156" s="393">
        <f t="shared" si="50"/>
        <v>35.702411910734753</v>
      </c>
      <c r="E156" s="385">
        <f t="shared" si="72"/>
        <v>38.912801122448194</v>
      </c>
      <c r="F156" s="385">
        <f t="shared" si="51"/>
        <v>38.914630587254663</v>
      </c>
      <c r="G156" s="110">
        <f t="shared" si="73"/>
        <v>0.60997227425315792</v>
      </c>
      <c r="H156" s="414" t="b">
        <f>Wh_hp&gt;='2021'!Maxi_hp</f>
        <v>0</v>
      </c>
      <c r="I156" s="380">
        <f>IF(H156,Wh_hp,'2021'!Maxi_hp)</f>
        <v>62.066231268120049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3.1830115947798499E-2</v>
      </c>
      <c r="M156" s="844"/>
      <c r="N156" s="844"/>
      <c r="O156" s="48">
        <f>IF(t&lt;Tnet,'2021'!Resal+('2021'!Salim-'2021'!Resal)*(1-EXP(('2021'!Tnet-t)/('2021'!Tau_j))),Resal+(Salim-Resal)*(1-EXP((Tnet-t)/(Tau_j))))*Salcycl</f>
        <v>8.2502136035162266E-2</v>
      </c>
      <c r="P156" s="339">
        <f>(INDEX(Models!$BJ156:$BT156,,T156)*(1-R156)+INDEX(Models!$BJ156:$BT156,,T156+1)*R156-ERP_i)*Q156*Ramure*Pc/MaxiM</f>
        <v>1.0615386023899157E-4</v>
      </c>
      <c r="Q156" s="305">
        <f t="shared" si="53"/>
        <v>0.7</v>
      </c>
      <c r="R156" s="177">
        <f t="shared" si="54"/>
        <v>0.12460651480111776</v>
      </c>
      <c r="S156" s="810">
        <f t="shared" si="55"/>
        <v>0</v>
      </c>
      <c r="T156" s="176">
        <f t="shared" si="56"/>
        <v>6</v>
      </c>
      <c r="U156" s="251">
        <f t="shared" si="57"/>
        <v>0.12460651480111776</v>
      </c>
      <c r="V156" s="383">
        <f t="shared" si="58"/>
        <v>56.664797851216619</v>
      </c>
      <c r="W156" s="402">
        <f t="shared" si="59"/>
        <v>0</v>
      </c>
      <c r="X156" s="157">
        <f t="shared" si="60"/>
        <v>44703</v>
      </c>
      <c r="Y156" s="385">
        <f t="shared" si="61"/>
        <v>32.198036769928919</v>
      </c>
      <c r="Z156" s="385">
        <f t="shared" si="62"/>
        <v>33.256598144910768</v>
      </c>
      <c r="AA156" s="386">
        <f t="shared" si="63"/>
        <v>38.912801122448194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0.14535584214919056</v>
      </c>
      <c r="AD156" s="231">
        <f>(INDEX(Models!$BJ156:$BT156,,AH156)*(1-AF156)+INDEX(Models!$BJ156:$BT156,,AH156+1)*AF156-ERP_i)*AE156*Ramure*Pc/MaxiM</f>
        <v>1.0615386023899157E-4</v>
      </c>
      <c r="AE156" s="305">
        <f t="shared" si="65"/>
        <v>0.7</v>
      </c>
      <c r="AF156" s="177">
        <f t="shared" si="66"/>
        <v>0.12460651480111776</v>
      </c>
      <c r="AG156" s="810">
        <f t="shared" si="74"/>
        <v>0</v>
      </c>
      <c r="AH156" s="176">
        <f t="shared" si="67"/>
        <v>6</v>
      </c>
      <c r="AI156" s="225">
        <f t="shared" si="68"/>
        <v>0.12460651480111776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42">
        <v>19.637</v>
      </c>
      <c r="C157" s="840"/>
      <c r="D157" s="393">
        <f t="shared" si="50"/>
        <v>20.283069444508648</v>
      </c>
      <c r="E157" s="385">
        <f t="shared" si="72"/>
        <v>22.111023479664254</v>
      </c>
      <c r="F157" s="385">
        <f t="shared" si="51"/>
        <v>22.11117849729202</v>
      </c>
      <c r="G157" s="110">
        <f t="shared" si="73"/>
        <v>0.34625285334376454</v>
      </c>
      <c r="H157" s="414" t="b">
        <f>Wh_hp&gt;='2021'!Maxi_hp</f>
        <v>0</v>
      </c>
      <c r="I157" s="380">
        <f>IF(H157,Wh_hp,'2021'!Maxi_hp)</f>
        <v>58.102638040850181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3.1852646675405549E-2</v>
      </c>
      <c r="M157" s="844"/>
      <c r="N157" s="844"/>
      <c r="O157" s="48">
        <f>IF(t&lt;Tnet,'2021'!Resal+('2021'!Salim-'2021'!Resal)*(1-EXP(('2021'!Tnet-t)/('2021'!Tau_j))),Resal+(Salim-Resal)*(1-EXP((Tnet-t)/(Tau_j))))*Salcycl</f>
        <v>8.267161566884472E-2</v>
      </c>
      <c r="P157" s="339">
        <f>(INDEX(Models!$BJ157:$BT157,,T157)*(1-R157)+INDEX(Models!$BJ157:$BT157,,T157+1)*R157-ERP_i)*Q157*Ramure*Pc/MaxiM</f>
        <v>1.0602465824061162E-4</v>
      </c>
      <c r="Q157" s="305">
        <f t="shared" si="53"/>
        <v>0.7</v>
      </c>
      <c r="R157" s="177">
        <f t="shared" si="54"/>
        <v>0.12818117986653563</v>
      </c>
      <c r="S157" s="810">
        <f t="shared" si="55"/>
        <v>0</v>
      </c>
      <c r="T157" s="176">
        <f t="shared" si="56"/>
        <v>6</v>
      </c>
      <c r="U157" s="251">
        <f t="shared" si="57"/>
        <v>0.12818117986653563</v>
      </c>
      <c r="V157" s="383">
        <f t="shared" si="58"/>
        <v>56.707274646638723</v>
      </c>
      <c r="W157" s="402">
        <f t="shared" si="59"/>
        <v>0</v>
      </c>
      <c r="X157" s="157">
        <f t="shared" si="60"/>
        <v>44704</v>
      </c>
      <c r="Y157" s="385">
        <f t="shared" si="61"/>
        <v>18.292041858883977</v>
      </c>
      <c r="Z157" s="385">
        <f t="shared" si="62"/>
        <v>18.893861348760133</v>
      </c>
      <c r="AA157" s="386">
        <f t="shared" si="63"/>
        <v>22.111023479664254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0.14550037151663198</v>
      </c>
      <c r="AD157" s="231">
        <f>(INDEX(Models!$BJ157:$BT157,,AH157)*(1-AF157)+INDEX(Models!$BJ157:$BT157,,AH157+1)*AF157-ERP_i)*AE157*Ramure*Pc/MaxiM</f>
        <v>1.0602465824061162E-4</v>
      </c>
      <c r="AE157" s="305">
        <f t="shared" si="65"/>
        <v>0.7</v>
      </c>
      <c r="AF157" s="177">
        <f t="shared" si="66"/>
        <v>0.12818117986653563</v>
      </c>
      <c r="AG157" s="810">
        <f t="shared" si="74"/>
        <v>0</v>
      </c>
      <c r="AH157" s="176">
        <f t="shared" si="67"/>
        <v>6</v>
      </c>
      <c r="AI157" s="225">
        <f t="shared" si="68"/>
        <v>0.12818117986653563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42">
        <v>15.986000000000001</v>
      </c>
      <c r="C158" s="840"/>
      <c r="D158" s="393">
        <f t="shared" si="50"/>
        <v>16.512333552671322</v>
      </c>
      <c r="E158" s="385">
        <f t="shared" si="72"/>
        <v>18.003789936616144</v>
      </c>
      <c r="F158" s="385">
        <f t="shared" si="51"/>
        <v>18.003789936616144</v>
      </c>
      <c r="G158" s="110">
        <f t="shared" si="73"/>
        <v>0.28168390663082271</v>
      </c>
      <c r="H158" s="414" t="b">
        <f>Wh_hp&gt;='2021'!Maxi_hp</f>
        <v>0</v>
      </c>
      <c r="I158" s="380">
        <f>IF(H158,Wh_hp,'2021'!Maxi_hp)</f>
        <v>29.473911948934084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3.1875176878689682E-2</v>
      </c>
      <c r="M158" s="844"/>
      <c r="N158" s="844"/>
      <c r="O158" s="48">
        <f>IF(t&lt;Tnet,'2021'!Resal+('2021'!Salim-'2021'!Resal)*(1-EXP(('2021'!Tnet-t)/('2021'!Tau_j))),Resal+(Salim-Resal)*(1-EXP((Tnet-t)/(Tau_j))))*Salcycl</f>
        <v>8.2841245604154526E-2</v>
      </c>
      <c r="P158" s="339">
        <f>(INDEX(Models!$BJ158:$BT158,,T158)*(1-R158)+INDEX(Models!$BJ158:$BT158,,T158+1)*R158-ERP_i)*Q158*Ramure*Pc/MaxiM</f>
        <v>1.0609809435334596E-4</v>
      </c>
      <c r="Q158" s="305">
        <f t="shared" si="53"/>
        <v>0.7</v>
      </c>
      <c r="R158" s="177">
        <f t="shared" si="54"/>
        <v>0.13180820349119923</v>
      </c>
      <c r="S158" s="810">
        <f t="shared" si="55"/>
        <v>0</v>
      </c>
      <c r="T158" s="176">
        <f t="shared" si="56"/>
        <v>6</v>
      </c>
      <c r="U158" s="251">
        <f t="shared" si="57"/>
        <v>0.13180820349119923</v>
      </c>
      <c r="V158" s="383">
        <f t="shared" si="58"/>
        <v>56.745534762881675</v>
      </c>
      <c r="W158" s="402">
        <f t="shared" si="59"/>
        <v>0</v>
      </c>
      <c r="X158" s="157">
        <f t="shared" si="60"/>
        <v>44705</v>
      </c>
      <c r="Y158" s="385">
        <f t="shared" si="61"/>
        <v>14.891333767972299</v>
      </c>
      <c r="Z158" s="385">
        <f t="shared" si="62"/>
        <v>15.381625811392245</v>
      </c>
      <c r="AA158" s="386">
        <f t="shared" si="63"/>
        <v>18.003789936616144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0.14564511885860959</v>
      </c>
      <c r="AD158" s="231">
        <f>(INDEX(Models!$BJ158:$BT158,,AH158)*(1-AF158)+INDEX(Models!$BJ158:$BT158,,AH158+1)*AF158-ERP_i)*AE158*Ramure*Pc/MaxiM</f>
        <v>1.0609809435334596E-4</v>
      </c>
      <c r="AE158" s="305">
        <f t="shared" si="65"/>
        <v>0.7</v>
      </c>
      <c r="AF158" s="177">
        <f t="shared" si="66"/>
        <v>0.13180820349119923</v>
      </c>
      <c r="AG158" s="810">
        <f t="shared" si="74"/>
        <v>0</v>
      </c>
      <c r="AH158" s="176">
        <f t="shared" si="67"/>
        <v>6</v>
      </c>
      <c r="AI158" s="225">
        <f t="shared" si="68"/>
        <v>0.13180820349119923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42">
        <v>38.938000000000002</v>
      </c>
      <c r="C159" s="840"/>
      <c r="D159" s="393">
        <f t="shared" si="50"/>
        <v>40.220956260258326</v>
      </c>
      <c r="E159" s="385">
        <f t="shared" si="72"/>
        <v>43.861981333286209</v>
      </c>
      <c r="F159" s="385">
        <f t="shared" si="51"/>
        <v>43.864552855748265</v>
      </c>
      <c r="G159" s="110">
        <f t="shared" si="73"/>
        <v>0.68573838584161384</v>
      </c>
      <c r="H159" s="414" t="b">
        <f>Wh_hp&gt;='2021'!Maxi_hp</f>
        <v>0</v>
      </c>
      <c r="I159" s="380">
        <f>IF(H159,Wh_hp,'2021'!Maxi_hp)</f>
        <v>60.701429062818967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3.1897706557663108E-2</v>
      </c>
      <c r="M159" s="844"/>
      <c r="N159" s="844"/>
      <c r="O159" s="48">
        <f>IF(t&lt;Tnet,'2021'!Resal+('2021'!Salim-'2021'!Resal)*(1-EXP(('2021'!Tnet-t)/('2021'!Tau_j))),Resal+(Salim-Resal)*(1-EXP((Tnet-t)/(Tau_j))))*Salcycl</f>
        <v>8.3010957607260752E-2</v>
      </c>
      <c r="P159" s="339">
        <f>(INDEX(Models!$BJ159:$BT159,,T159)*(1-R159)+INDEX(Models!$BJ159:$BT159,,T159+1)*R159-ERP_i)*Q159*Ramure*Pc/MaxiM</f>
        <v>1.0637631138042421E-4</v>
      </c>
      <c r="Q159" s="305">
        <f t="shared" si="53"/>
        <v>0.7</v>
      </c>
      <c r="R159" s="177">
        <f t="shared" si="54"/>
        <v>0.13548561582537291</v>
      </c>
      <c r="S159" s="810">
        <f t="shared" si="55"/>
        <v>0</v>
      </c>
      <c r="T159" s="176">
        <f t="shared" si="56"/>
        <v>6</v>
      </c>
      <c r="U159" s="251">
        <f t="shared" si="57"/>
        <v>0.13548561582537291</v>
      </c>
      <c r="V159" s="383">
        <f t="shared" si="58"/>
        <v>56.779876001605047</v>
      </c>
      <c r="W159" s="402">
        <f t="shared" si="59"/>
        <v>0</v>
      </c>
      <c r="X159" s="157">
        <f t="shared" si="60"/>
        <v>44706</v>
      </c>
      <c r="Y159" s="385">
        <f t="shared" si="61"/>
        <v>36.27222229448185</v>
      </c>
      <c r="Z159" s="385">
        <f t="shared" si="62"/>
        <v>37.467344659939421</v>
      </c>
      <c r="AA159" s="386">
        <f t="shared" si="63"/>
        <v>43.861981333286209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0.14578996385860923</v>
      </c>
      <c r="AD159" s="231">
        <f>(INDEX(Models!$BJ159:$BT159,,AH159)*(1-AF159)+INDEX(Models!$BJ159:$BT159,,AH159+1)*AF159-ERP_i)*AE159*Ramure*Pc/MaxiM</f>
        <v>1.0637631138042421E-4</v>
      </c>
      <c r="AE159" s="305">
        <f t="shared" si="65"/>
        <v>0.7</v>
      </c>
      <c r="AF159" s="177">
        <f t="shared" si="66"/>
        <v>0.13548561582537291</v>
      </c>
      <c r="AG159" s="810">
        <f t="shared" si="74"/>
        <v>0</v>
      </c>
      <c r="AH159" s="176">
        <f t="shared" si="67"/>
        <v>6</v>
      </c>
      <c r="AI159" s="225">
        <f t="shared" si="68"/>
        <v>0.13548561582537291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42">
        <v>22.919</v>
      </c>
      <c r="C160" s="840"/>
      <c r="D160" s="393">
        <f t="shared" si="50"/>
        <v>23.674702070510055</v>
      </c>
      <c r="E160" s="385">
        <f t="shared" si="72"/>
        <v>25.822647502491886</v>
      </c>
      <c r="F160" s="385">
        <f t="shared" si="51"/>
        <v>25.823055230247892</v>
      </c>
      <c r="G160" s="110">
        <f t="shared" si="73"/>
        <v>0.40339152001277057</v>
      </c>
      <c r="H160" s="414" t="b">
        <f>Wh_hp&gt;='2021'!Maxi_hp</f>
        <v>0</v>
      </c>
      <c r="I160" s="380">
        <f>IF(H160,Wh_hp,'2021'!Maxi_hp)</f>
        <v>63.484208413127426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3.192023571233793E-2</v>
      </c>
      <c r="M160" s="844"/>
      <c r="N160" s="844"/>
      <c r="O160" s="48">
        <f>IF(t&lt;Tnet,'2021'!Resal+('2021'!Salim-'2021'!Resal)*(1-EXP(('2021'!Tnet-t)/('2021'!Tau_j))),Resal+(Salim-Resal)*(1-EXP((Tnet-t)/(Tau_j))))*Salcycl</f>
        <v>8.3180682065018968E-2</v>
      </c>
      <c r="P160" s="339">
        <f>(INDEX(Models!$BJ160:$BT160,,T160)*(1-R160)+INDEX(Models!$BJ160:$BT160,,T160+1)*R160-ERP_i)*Q160*Ramure*Pc/MaxiM</f>
        <v>1.0686154949976919E-4</v>
      </c>
      <c r="Q160" s="305">
        <f t="shared" si="53"/>
        <v>0.7</v>
      </c>
      <c r="R160" s="177">
        <f t="shared" si="54"/>
        <v>0.13921130569803877</v>
      </c>
      <c r="S160" s="810">
        <f t="shared" si="55"/>
        <v>0</v>
      </c>
      <c r="T160" s="176">
        <f t="shared" si="56"/>
        <v>6</v>
      </c>
      <c r="U160" s="251">
        <f t="shared" si="57"/>
        <v>0.13921130569803877</v>
      </c>
      <c r="V160" s="383">
        <f t="shared" si="58"/>
        <v>56.810596021563875</v>
      </c>
      <c r="W160" s="402">
        <f t="shared" si="59"/>
        <v>0</v>
      </c>
      <c r="X160" s="157">
        <f t="shared" si="60"/>
        <v>44707</v>
      </c>
      <c r="Y160" s="385">
        <f t="shared" si="61"/>
        <v>21.35024894874611</v>
      </c>
      <c r="Z160" s="385">
        <f t="shared" si="62"/>
        <v>22.054225009502364</v>
      </c>
      <c r="AA160" s="386">
        <f t="shared" si="63"/>
        <v>25.822647502491886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0.1459347842867727</v>
      </c>
      <c r="AD160" s="231">
        <f>(INDEX(Models!$BJ160:$BT160,,AH160)*(1-AF160)+INDEX(Models!$BJ160:$BT160,,AH160+1)*AF160-ERP_i)*AE160*Ramure*Pc/MaxiM</f>
        <v>1.0686154949976919E-4</v>
      </c>
      <c r="AE160" s="305">
        <f t="shared" si="65"/>
        <v>0.7</v>
      </c>
      <c r="AF160" s="177">
        <f t="shared" si="66"/>
        <v>0.13921130569803877</v>
      </c>
      <c r="AG160" s="810">
        <f t="shared" si="74"/>
        <v>0</v>
      </c>
      <c r="AH160" s="176">
        <f t="shared" si="67"/>
        <v>6</v>
      </c>
      <c r="AI160" s="225">
        <f t="shared" si="68"/>
        <v>0.13921130569803877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42">
        <v>45.160000000000004</v>
      </c>
      <c r="C161" s="840"/>
      <c r="D161" s="393">
        <f t="shared" si="50"/>
        <v>46.650134244736158</v>
      </c>
      <c r="E161" s="385">
        <f t="shared" si="72"/>
        <v>50.892000180471463</v>
      </c>
      <c r="F161" s="385">
        <f t="shared" si="51"/>
        <v>50.895867589996548</v>
      </c>
      <c r="G161" s="110">
        <f t="shared" si="73"/>
        <v>0.79451388705792092</v>
      </c>
      <c r="H161" s="414" t="b">
        <f>Wh_hp&gt;='2021'!Maxi_hp</f>
        <v>0</v>
      </c>
      <c r="I161" s="380">
        <f>IF(H161,Wh_hp,'2021'!Maxi_hp)</f>
        <v>63.520031293079448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3.194276434272636E-2</v>
      </c>
      <c r="M161" s="844"/>
      <c r="N161" s="844"/>
      <c r="O161" s="48">
        <f>IF(t&lt;Tnet,'2021'!Resal+('2021'!Salim-'2021'!Resal)*(1-EXP(('2021'!Tnet-t)/('2021'!Tau_j))),Resal+(Salim-Resal)*(1-EXP((Tnet-t)/(Tau_j))))*Salcycl</f>
        <v>8.3350348201936333E-2</v>
      </c>
      <c r="P161" s="339">
        <f>(INDEX(Models!$BJ161:$BT161,,T161)*(1-R161)+INDEX(Models!$BJ161:$BT161,,T161+1)*R161-ERP_i)*Q161*Ramure*Pc/MaxiM</f>
        <v>1.0755612787488567E-4</v>
      </c>
      <c r="Q161" s="305">
        <f t="shared" si="53"/>
        <v>0.7</v>
      </c>
      <c r="R161" s="177">
        <f t="shared" si="54"/>
        <v>0.14298302361081947</v>
      </c>
      <c r="S161" s="810">
        <f t="shared" si="55"/>
        <v>0</v>
      </c>
      <c r="T161" s="176">
        <f t="shared" si="56"/>
        <v>6</v>
      </c>
      <c r="U161" s="251">
        <f t="shared" si="57"/>
        <v>0.14298302361081947</v>
      </c>
      <c r="V161" s="383">
        <f t="shared" si="58"/>
        <v>56.837992327566525</v>
      </c>
      <c r="W161" s="402">
        <f t="shared" si="59"/>
        <v>0</v>
      </c>
      <c r="X161" s="157">
        <f t="shared" si="60"/>
        <v>44708</v>
      </c>
      <c r="Y161" s="385">
        <f t="shared" si="61"/>
        <v>42.069564608324143</v>
      </c>
      <c r="Z161" s="385">
        <f t="shared" si="62"/>
        <v>43.457724459608556</v>
      </c>
      <c r="AA161" s="386">
        <f t="shared" si="63"/>
        <v>50.892000180471463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0.14607945638803219</v>
      </c>
      <c r="AD161" s="231">
        <f>(INDEX(Models!$BJ161:$BT161,,AH161)*(1-AF161)+INDEX(Models!$BJ161:$BT161,,AH161+1)*AF161-ERP_i)*AE161*Ramure*Pc/MaxiM</f>
        <v>1.0755612787488567E-4</v>
      </c>
      <c r="AE161" s="305">
        <f t="shared" si="65"/>
        <v>0.7</v>
      </c>
      <c r="AF161" s="177">
        <f t="shared" si="66"/>
        <v>0.14298302361081947</v>
      </c>
      <c r="AG161" s="810">
        <f t="shared" si="74"/>
        <v>0</v>
      </c>
      <c r="AH161" s="176">
        <f t="shared" si="67"/>
        <v>6</v>
      </c>
      <c r="AI161" s="225">
        <f t="shared" si="68"/>
        <v>0.14298302361081947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42">
        <v>53.823</v>
      </c>
      <c r="C162" s="840"/>
      <c r="D162" s="393">
        <f t="shared" si="50"/>
        <v>55.600279184365434</v>
      </c>
      <c r="E162" s="385">
        <f t="shared" si="72"/>
        <v>60.667196409877732</v>
      </c>
      <c r="F162" s="385">
        <f t="shared" si="51"/>
        <v>60.673274680191049</v>
      </c>
      <c r="G162" s="110">
        <f t="shared" si="73"/>
        <v>0.94654094665984823</v>
      </c>
      <c r="H162" s="414" t="b">
        <f>Wh_hp&gt;='2021'!Maxi_hp</f>
        <v>0</v>
      </c>
      <c r="I162" s="380">
        <f>IF(H162,Wh_hp,'2021'!Maxi_hp)</f>
        <v>62.361941334367771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3.1965292448840721E-2</v>
      </c>
      <c r="M162" s="844"/>
      <c r="N162" s="844"/>
      <c r="O162" s="48">
        <f>IF(t&lt;Tnet,'2021'!Resal+('2021'!Salim-'2021'!Resal)*(1-EXP(('2021'!Tnet-t)/('2021'!Tau_j))),Resal+(Salim-Resal)*(1-EXP((Tnet-t)/(Tau_j))))*Salcycl</f>
        <v>8.3519884309130654E-2</v>
      </c>
      <c r="P162" s="339">
        <f>(INDEX(Models!$BJ162:$BT162,,T162)*(1-R162)+INDEX(Models!$BJ162:$BT162,,T162+1)*R162-ERP_i)*Q162*Ramure*Pc/MaxiM</f>
        <v>1.0846242584733357E-4</v>
      </c>
      <c r="Q162" s="305">
        <f t="shared" si="53"/>
        <v>0.7</v>
      </c>
      <c r="R162" s="177">
        <f t="shared" si="54"/>
        <v>0.14679838551605337</v>
      </c>
      <c r="S162" s="810">
        <f t="shared" si="55"/>
        <v>0</v>
      </c>
      <c r="T162" s="176">
        <f t="shared" si="56"/>
        <v>6</v>
      </c>
      <c r="U162" s="251">
        <f t="shared" si="57"/>
        <v>0.14679838551605337</v>
      </c>
      <c r="V162" s="383">
        <f t="shared" si="58"/>
        <v>56.862362245893223</v>
      </c>
      <c r="W162" s="402">
        <f t="shared" si="59"/>
        <v>0</v>
      </c>
      <c r="X162" s="157">
        <f t="shared" si="60"/>
        <v>44709</v>
      </c>
      <c r="Y162" s="385">
        <f t="shared" si="61"/>
        <v>50.140524218740779</v>
      </c>
      <c r="Z162" s="385">
        <f t="shared" si="62"/>
        <v>51.79620506126421</v>
      </c>
      <c r="AA162" s="386">
        <f t="shared" si="63"/>
        <v>60.667196409877732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0.14622385528877294</v>
      </c>
      <c r="AD162" s="231">
        <f>(INDEX(Models!$BJ162:$BT162,,AH162)*(1-AF162)+INDEX(Models!$BJ162:$BT162,,AH162+1)*AF162-ERP_i)*AE162*Ramure*Pc/MaxiM</f>
        <v>1.0846242584733357E-4</v>
      </c>
      <c r="AE162" s="305">
        <f t="shared" si="65"/>
        <v>0.7</v>
      </c>
      <c r="AF162" s="177">
        <f t="shared" si="66"/>
        <v>0.14679838551605337</v>
      </c>
      <c r="AG162" s="810">
        <f t="shared" si="74"/>
        <v>0</v>
      </c>
      <c r="AH162" s="176">
        <f t="shared" si="67"/>
        <v>6</v>
      </c>
      <c r="AI162" s="225">
        <f t="shared" si="68"/>
        <v>0.14679838551605337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42">
        <v>57.998000000000005</v>
      </c>
      <c r="C163" s="840"/>
      <c r="D163" s="393">
        <f t="shared" si="50"/>
        <v>59.914535374791427</v>
      </c>
      <c r="E163" s="385">
        <f t="shared" si="72"/>
        <v>65.386696905369973</v>
      </c>
      <c r="F163" s="385">
        <f t="shared" si="51"/>
        <v>65.39386312317626</v>
      </c>
      <c r="G163" s="110">
        <f t="shared" si="73"/>
        <v>1.0196079969873804</v>
      </c>
      <c r="H163" s="414" t="b">
        <f>Wh_hp&gt;='2021'!Maxi_hp</f>
        <v>1</v>
      </c>
      <c r="I163" s="380">
        <f>IF(H163,Wh_hp,'2021'!Maxi_hp)</f>
        <v>65.39386312317626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3.1987820030693115E-2</v>
      </c>
      <c r="M163" s="844"/>
      <c r="N163" s="844"/>
      <c r="O163" s="48">
        <f>IF(t&lt;Tnet,'2021'!Resal+('2021'!Salim-'2021'!Resal)*(1-EXP(('2021'!Tnet-t)/('2021'!Tau_j))),Resal+(Salim-Resal)*(1-EXP((Tnet-t)/(Tau_j))))*Salcycl</f>
        <v>8.3689217984172892E-2</v>
      </c>
      <c r="P163" s="339">
        <f>(INDEX(Models!$BJ163:$BT163,,T163)*(1-R163)+INDEX(Models!$BJ163:$BT163,,T163+1)*R163-ERP_i)*Q163*Ramure*Pc/MaxiM</f>
        <v>1.0958547888186212E-4</v>
      </c>
      <c r="Q163" s="305">
        <f t="shared" si="53"/>
        <v>0.7</v>
      </c>
      <c r="R163" s="177">
        <f t="shared" si="54"/>
        <v>0.15065487738103095</v>
      </c>
      <c r="S163" s="810">
        <f t="shared" si="55"/>
        <v>0</v>
      </c>
      <c r="T163" s="176">
        <f t="shared" si="56"/>
        <v>6</v>
      </c>
      <c r="U163" s="251">
        <f t="shared" si="57"/>
        <v>0.15065487738103095</v>
      </c>
      <c r="V163" s="383">
        <f t="shared" si="58"/>
        <v>56.882645263047927</v>
      </c>
      <c r="W163" s="402">
        <f t="shared" si="59"/>
        <v>0</v>
      </c>
      <c r="X163" s="157">
        <f t="shared" si="60"/>
        <v>44710</v>
      </c>
      <c r="Y163" s="385">
        <f t="shared" si="61"/>
        <v>54.030748183969308</v>
      </c>
      <c r="Z163" s="385">
        <f t="shared" si="62"/>
        <v>55.816186306336022</v>
      </c>
      <c r="AA163" s="386">
        <f t="shared" si="63"/>
        <v>65.386696905369973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0.14636785541996025</v>
      </c>
      <c r="AD163" s="231">
        <f>(INDEX(Models!$BJ163:$BT163,,AH163)*(1-AF163)+INDEX(Models!$BJ163:$BT163,,AH163+1)*AF163-ERP_i)*AE163*Ramure*Pc/MaxiM</f>
        <v>1.0958547888186212E-4</v>
      </c>
      <c r="AE163" s="305">
        <f t="shared" si="65"/>
        <v>0.7</v>
      </c>
      <c r="AF163" s="177">
        <f t="shared" si="66"/>
        <v>0.15065487738103095</v>
      </c>
      <c r="AG163" s="810">
        <f t="shared" si="74"/>
        <v>0</v>
      </c>
      <c r="AH163" s="176">
        <f t="shared" si="67"/>
        <v>6</v>
      </c>
      <c r="AI163" s="225">
        <f t="shared" si="68"/>
        <v>0.15065487738103095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42">
        <v>50.239000000000004</v>
      </c>
      <c r="C164" s="840"/>
      <c r="D164" s="393">
        <f t="shared" si="50"/>
        <v>51.900348158558863</v>
      </c>
      <c r="E164" s="385">
        <f t="shared" si="72"/>
        <v>56.651003682612583</v>
      </c>
      <c r="F164" s="385">
        <f t="shared" si="51"/>
        <v>56.656237108805179</v>
      </c>
      <c r="G164" s="110">
        <f t="shared" si="73"/>
        <v>0.8829530072974322</v>
      </c>
      <c r="H164" s="414" t="b">
        <f>Wh_hp&gt;='2021'!Maxi_hp</f>
        <v>0</v>
      </c>
      <c r="I164" s="380">
        <f>IF(H164,Wh_hp,'2021'!Maxi_hp)</f>
        <v>59.86002152871599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3.2010347088295754E-2</v>
      </c>
      <c r="M164" s="844"/>
      <c r="N164" s="844"/>
      <c r="O164" s="48">
        <f>IF(t&lt;Tnet,'2021'!Resal+('2021'!Salim-'2021'!Resal)*(1-EXP(('2021'!Tnet-t)/('2021'!Tau_j))),Resal+(Salim-Resal)*(1-EXP((Tnet-t)/(Tau_j))))*Salcycl</f>
        <v>8.3858276380578911E-2</v>
      </c>
      <c r="P164" s="339">
        <f>(INDEX(Models!$BJ164:$BT164,,T164)*(1-R164)+INDEX(Models!$BJ164:$BT164,,T164+1)*R164-ERP_i)*Q164*Ramure*Pc/MaxiM</f>
        <v>1.1091509887993307E-4</v>
      </c>
      <c r="Q164" s="305">
        <f t="shared" si="53"/>
        <v>0.7</v>
      </c>
      <c r="R164" s="177">
        <f t="shared" si="54"/>
        <v>0.15454986053310099</v>
      </c>
      <c r="S164" s="810">
        <f t="shared" si="55"/>
        <v>0</v>
      </c>
      <c r="T164" s="176">
        <f t="shared" si="56"/>
        <v>6</v>
      </c>
      <c r="U164" s="251">
        <f t="shared" si="57"/>
        <v>0.15454986053310099</v>
      </c>
      <c r="V164" s="383">
        <f t="shared" si="58"/>
        <v>56.897782657664827</v>
      </c>
      <c r="W164" s="402">
        <f t="shared" si="59"/>
        <v>0</v>
      </c>
      <c r="X164" s="157">
        <f t="shared" si="60"/>
        <v>44711</v>
      </c>
      <c r="Y164" s="385">
        <f t="shared" si="61"/>
        <v>46.803257769745109</v>
      </c>
      <c r="Z164" s="385">
        <f t="shared" si="62"/>
        <v>48.350989733166386</v>
      </c>
      <c r="AA164" s="386">
        <f t="shared" si="63"/>
        <v>56.651003682612583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0.14651133095447083</v>
      </c>
      <c r="AD164" s="231">
        <f>(INDEX(Models!$BJ164:$BT164,,AH164)*(1-AF164)+INDEX(Models!$BJ164:$BT164,,AH164+1)*AF164-ERP_i)*AE164*Ramure*Pc/MaxiM</f>
        <v>1.1091509887993307E-4</v>
      </c>
      <c r="AE164" s="305">
        <f t="shared" si="65"/>
        <v>0.7</v>
      </c>
      <c r="AF164" s="177">
        <f t="shared" si="66"/>
        <v>0.15454986053310099</v>
      </c>
      <c r="AG164" s="810">
        <f t="shared" si="74"/>
        <v>0</v>
      </c>
      <c r="AH164" s="176">
        <f t="shared" si="67"/>
        <v>6</v>
      </c>
      <c r="AI164" s="225">
        <f t="shared" si="68"/>
        <v>0.15454986053310099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42">
        <v>53.349000000000004</v>
      </c>
      <c r="C165" s="840"/>
      <c r="D165" s="393">
        <f t="shared" si="50"/>
        <v>55.114475012809521</v>
      </c>
      <c r="E165" s="385">
        <f t="shared" si="72"/>
        <v>60.170413536686269</v>
      </c>
      <c r="F165" s="385">
        <f t="shared" si="51"/>
        <v>60.176568146751379</v>
      </c>
      <c r="G165" s="110">
        <f t="shared" si="73"/>
        <v>0.93744972030686025</v>
      </c>
      <c r="H165" s="414" t="b">
        <f>Wh_hp&gt;='2021'!Maxi_hp</f>
        <v>0</v>
      </c>
      <c r="I165" s="380">
        <f>IF(H165,Wh_hp,'2021'!Maxi_hp)</f>
        <v>63.940669699990565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3.2032873621660962E-2</v>
      </c>
      <c r="M165" s="844"/>
      <c r="N165" s="844"/>
      <c r="O165" s="48">
        <f>IF(t&lt;Tnet,'2021'!Resal+('2021'!Salim-'2021'!Resal)*(1-EXP(('2021'!Tnet-t)/('2021'!Tau_j))),Resal+(Salim-Resal)*(1-EXP((Tnet-t)/(Tau_j))))*Salcycl</f>
        <v>8.4026986465600875E-2</v>
      </c>
      <c r="P165" s="339">
        <f>(INDEX(Models!$BJ165:$BT165,,T165)*(1-R165)+INDEX(Models!$BJ165:$BT165,,T165+1)*R165-ERP_i)*Q165*Ramure*Pc/MaxiM</f>
        <v>1.1231010209645972E-4</v>
      </c>
      <c r="Q165" s="305">
        <f t="shared" si="53"/>
        <v>0.7</v>
      </c>
      <c r="R165" s="177">
        <f t="shared" si="54"/>
        <v>0.15848057777280233</v>
      </c>
      <c r="S165" s="810">
        <f t="shared" si="55"/>
        <v>0</v>
      </c>
      <c r="T165" s="176">
        <f t="shared" si="56"/>
        <v>6</v>
      </c>
      <c r="U165" s="251">
        <f t="shared" si="57"/>
        <v>0.15848057777280233</v>
      </c>
      <c r="V165" s="383">
        <f t="shared" si="58"/>
        <v>56.908081012417426</v>
      </c>
      <c r="W165" s="402">
        <f t="shared" si="59"/>
        <v>0</v>
      </c>
      <c r="X165" s="157">
        <f t="shared" si="60"/>
        <v>44712</v>
      </c>
      <c r="Y165" s="385">
        <f t="shared" si="61"/>
        <v>49.701406859383525</v>
      </c>
      <c r="Z165" s="385">
        <f t="shared" si="62"/>
        <v>51.346172307877801</v>
      </c>
      <c r="AA165" s="386">
        <f t="shared" si="63"/>
        <v>60.170413536686269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0.14665415625618511</v>
      </c>
      <c r="AD165" s="231">
        <f>(INDEX(Models!$BJ165:$BT165,,AH165)*(1-AF165)+INDEX(Models!$BJ165:$BT165,,AH165+1)*AF165-ERP_i)*AE165*Ramure*Pc/MaxiM</f>
        <v>1.1231010209645972E-4</v>
      </c>
      <c r="AE165" s="305">
        <f t="shared" si="65"/>
        <v>0.7</v>
      </c>
      <c r="AF165" s="177">
        <f t="shared" si="66"/>
        <v>0.15848057777280233</v>
      </c>
      <c r="AG165" s="810">
        <f t="shared" si="74"/>
        <v>0</v>
      </c>
      <c r="AH165" s="176">
        <f t="shared" si="67"/>
        <v>6</v>
      </c>
      <c r="AI165" s="225">
        <f t="shared" si="68"/>
        <v>0.15848057777280233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42">
        <v>54.139000000000003</v>
      </c>
      <c r="C166" s="840"/>
      <c r="D166" s="393">
        <f t="shared" si="50"/>
        <v>55.931920049298256</v>
      </c>
      <c r="E166" s="385">
        <f t="shared" si="72"/>
        <v>61.074068018917401</v>
      </c>
      <c r="F166" s="385">
        <f t="shared" si="51"/>
        <v>61.080533150803426</v>
      </c>
      <c r="G166" s="110">
        <f t="shared" si="73"/>
        <v>0.95123738323369356</v>
      </c>
      <c r="H166" s="414" t="b">
        <f>Wh_hp&gt;='2021'!Maxi_hp</f>
        <v>0</v>
      </c>
      <c r="I166" s="380">
        <f>IF(H166,Wh_hp,'2021'!Maxi_hp)</f>
        <v>65.184195459638048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3.2055399630800729E-2</v>
      </c>
      <c r="M166" s="844"/>
      <c r="N166" s="844"/>
      <c r="O166" s="48">
        <f>IF(t&lt;Tnet,'2021'!Resal+('2021'!Salim-'2021'!Resal)*(1-EXP(('2021'!Tnet-t)/('2021'!Tau_j))),Resal+(Salim-Resal)*(1-EXP((Tnet-t)/(Tau_j))))*Salcycl</f>
        <v>8.4195275284862175E-2</v>
      </c>
      <c r="P166" s="339">
        <f>(INDEX(Models!$BJ166:$BT166,,T166)*(1-R166)+INDEX(Models!$BJ166:$BT166,,T166+1)*R166-ERP_i)*Q166*Ramure*Pc/MaxiM</f>
        <v>1.1377013140942084E-4</v>
      </c>
      <c r="Q166" s="305">
        <f t="shared" si="53"/>
        <v>0.7</v>
      </c>
      <c r="R166" s="177">
        <f t="shared" si="54"/>
        <v>0.1624441602344682</v>
      </c>
      <c r="S166" s="810">
        <f t="shared" si="55"/>
        <v>0</v>
      </c>
      <c r="T166" s="176">
        <f t="shared" si="56"/>
        <v>6</v>
      </c>
      <c r="U166" s="251">
        <f t="shared" si="57"/>
        <v>0.1624441602344682</v>
      </c>
      <c r="V166" s="383">
        <f t="shared" si="58"/>
        <v>56.913838654623902</v>
      </c>
      <c r="W166" s="402">
        <f t="shared" si="59"/>
        <v>0</v>
      </c>
      <c r="X166" s="157">
        <f t="shared" si="60"/>
        <v>44713</v>
      </c>
      <c r="Y166" s="385">
        <f t="shared" si="61"/>
        <v>50.438263680526831</v>
      </c>
      <c r="Z166" s="385">
        <f t="shared" si="62"/>
        <v>52.108626528097126</v>
      </c>
      <c r="AA166" s="386">
        <f t="shared" si="63"/>
        <v>61.074068018917401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0.14679620633823298</v>
      </c>
      <c r="AD166" s="231">
        <f>(INDEX(Models!$BJ166:$BT166,,AH166)*(1-AF166)+INDEX(Models!$BJ166:$BT166,,AH166+1)*AF166-ERP_i)*AE166*Ramure*Pc/MaxiM</f>
        <v>1.1377013140942084E-4</v>
      </c>
      <c r="AE166" s="305">
        <f t="shared" si="65"/>
        <v>0.7</v>
      </c>
      <c r="AF166" s="177">
        <f t="shared" si="66"/>
        <v>0.1624441602344682</v>
      </c>
      <c r="AG166" s="810">
        <f t="shared" si="74"/>
        <v>0</v>
      </c>
      <c r="AH166" s="176">
        <f t="shared" si="67"/>
        <v>6</v>
      </c>
      <c r="AI166" s="225">
        <f t="shared" si="68"/>
        <v>0.1624441602344682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42">
        <v>44.869</v>
      </c>
      <c r="C167" s="840"/>
      <c r="D167" s="393">
        <f t="shared" si="50"/>
        <v>46.356004439060506</v>
      </c>
      <c r="E167" s="385">
        <f t="shared" si="72"/>
        <v>50.627058533801616</v>
      </c>
      <c r="F167" s="385">
        <f t="shared" si="51"/>
        <v>50.631130996336879</v>
      </c>
      <c r="G167" s="110">
        <f t="shared" si="73"/>
        <v>0.78831866683316709</v>
      </c>
      <c r="H167" s="414" t="b">
        <f>Wh_hp&gt;='2021'!Maxi_hp</f>
        <v>0</v>
      </c>
      <c r="I167" s="380">
        <f>IF(H167,Wh_hp,'2021'!Maxi_hp)</f>
        <v>63.527913970143331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3.2077925115727379E-2</v>
      </c>
      <c r="M167" s="844"/>
      <c r="N167" s="844"/>
      <c r="O167" s="48">
        <f>IF(t&lt;Tnet,'2021'!Resal+('2021'!Salim-'2021'!Resal)*(1-EXP(('2021'!Tnet-t)/('2021'!Tau_j))),Resal+(Salim-Resal)*(1-EXP((Tnet-t)/(Tau_j))))*Salcycl</f>
        <v>8.4363070232285023E-2</v>
      </c>
      <c r="P167" s="339">
        <f>(INDEX(Models!$BJ167:$BT167,,T167)*(1-R167)+INDEX(Models!$BJ167:$BT167,,T167+1)*R167-ERP_i)*Q167*Ramure*Pc/MaxiM</f>
        <v>1.1529480509264449E-4</v>
      </c>
      <c r="Q167" s="305">
        <f t="shared" si="53"/>
        <v>0.7</v>
      </c>
      <c r="R167" s="177">
        <f t="shared" si="54"/>
        <v>0.16643763496599825</v>
      </c>
      <c r="S167" s="810">
        <f t="shared" si="55"/>
        <v>0</v>
      </c>
      <c r="T167" s="176">
        <f t="shared" si="56"/>
        <v>6</v>
      </c>
      <c r="U167" s="251">
        <f t="shared" si="57"/>
        <v>0.16643763496599825</v>
      </c>
      <c r="V167" s="383">
        <f t="shared" si="58"/>
        <v>56.915353639044163</v>
      </c>
      <c r="W167" s="402">
        <f t="shared" si="59"/>
        <v>0</v>
      </c>
      <c r="X167" s="157">
        <f t="shared" si="60"/>
        <v>44714</v>
      </c>
      <c r="Y167" s="385">
        <f t="shared" si="61"/>
        <v>41.802669234601716</v>
      </c>
      <c r="Z167" s="385">
        <f t="shared" si="62"/>
        <v>43.188052343572963</v>
      </c>
      <c r="AA167" s="386">
        <f t="shared" si="63"/>
        <v>50.627058533801616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0.14693735732764204</v>
      </c>
      <c r="AD167" s="231">
        <f>(INDEX(Models!$BJ167:$BT167,,AH167)*(1-AF167)+INDEX(Models!$BJ167:$BT167,,AH167+1)*AF167-ERP_i)*AE167*Ramure*Pc/MaxiM</f>
        <v>1.1529480509264449E-4</v>
      </c>
      <c r="AE167" s="305">
        <f t="shared" si="65"/>
        <v>0.7</v>
      </c>
      <c r="AF167" s="177">
        <f t="shared" si="66"/>
        <v>0.16643763496599825</v>
      </c>
      <c r="AG167" s="810">
        <f t="shared" si="74"/>
        <v>0</v>
      </c>
      <c r="AH167" s="176">
        <f t="shared" si="67"/>
        <v>6</v>
      </c>
      <c r="AI167" s="225">
        <f t="shared" si="68"/>
        <v>0.16643763496599825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42">
        <v>52.294000000000004</v>
      </c>
      <c r="C168" s="840"/>
      <c r="D168" s="393">
        <f t="shared" si="50"/>
        <v>54.028333832917511</v>
      </c>
      <c r="E168" s="385">
        <f t="shared" si="72"/>
        <v>59.017063910474391</v>
      </c>
      <c r="F168" s="385">
        <f t="shared" si="51"/>
        <v>59.023162907368395</v>
      </c>
      <c r="G168" s="110">
        <f t="shared" si="73"/>
        <v>0.91882981643328965</v>
      </c>
      <c r="H168" s="414" t="b">
        <f>Wh_hp&gt;='2021'!Maxi_hp</f>
        <v>1</v>
      </c>
      <c r="I168" s="380">
        <f>IF(H168,Wh_hp,'2021'!Maxi_hp)</f>
        <v>59.023162907368395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3.2100450076453013E-2</v>
      </c>
      <c r="M168" s="844"/>
      <c r="N168" s="844"/>
      <c r="O168" s="48">
        <f>IF(t&lt;Tnet,'2021'!Resal+('2021'!Salim-'2021'!Resal)*(1-EXP(('2021'!Tnet-t)/('2021'!Tau_j))),Resal+(Salim-Resal)*(1-EXP((Tnet-t)/(Tau_j))))*Salcycl</f>
        <v>8.453029932367534E-2</v>
      </c>
      <c r="P168" s="339">
        <f>(INDEX(Models!$BJ168:$BT168,,T168)*(1-R168)+INDEX(Models!$BJ168:$BT168,,T168+1)*R168-ERP_i)*Q168*Ramure*Pc/MaxiM</f>
        <v>1.1688371417187015E-4</v>
      </c>
      <c r="Q168" s="305">
        <f t="shared" si="53"/>
        <v>0.7</v>
      </c>
      <c r="R168" s="177">
        <f t="shared" si="54"/>
        <v>0.17045793319181579</v>
      </c>
      <c r="S168" s="810">
        <f t="shared" si="55"/>
        <v>0</v>
      </c>
      <c r="T168" s="176">
        <f t="shared" si="56"/>
        <v>6</v>
      </c>
      <c r="U168" s="251">
        <f t="shared" si="57"/>
        <v>0.17045793319181579</v>
      </c>
      <c r="V168" s="383">
        <f t="shared" si="58"/>
        <v>56.912923733887929</v>
      </c>
      <c r="W168" s="402">
        <f t="shared" si="59"/>
        <v>0</v>
      </c>
      <c r="X168" s="157">
        <f t="shared" si="60"/>
        <v>44715</v>
      </c>
      <c r="Y168" s="385">
        <f t="shared" si="61"/>
        <v>48.721142671731826</v>
      </c>
      <c r="Z168" s="385">
        <f t="shared" si="62"/>
        <v>50.336982464327257</v>
      </c>
      <c r="AA168" s="386">
        <f t="shared" si="63"/>
        <v>59.017063910474391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0.14707748693351363</v>
      </c>
      <c r="AD168" s="231">
        <f>(INDEX(Models!$BJ168:$BT168,,AH168)*(1-AF168)+INDEX(Models!$BJ168:$BT168,,AH168+1)*AF168-ERP_i)*AE168*Ramure*Pc/MaxiM</f>
        <v>1.1688371417187015E-4</v>
      </c>
      <c r="AE168" s="305">
        <f t="shared" si="65"/>
        <v>0.7</v>
      </c>
      <c r="AF168" s="177">
        <f t="shared" si="66"/>
        <v>0.17045793319181579</v>
      </c>
      <c r="AG168" s="810">
        <f t="shared" si="74"/>
        <v>0</v>
      </c>
      <c r="AH168" s="176">
        <f t="shared" si="67"/>
        <v>6</v>
      </c>
      <c r="AI168" s="225">
        <f t="shared" si="68"/>
        <v>0.17045793319181579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42">
        <v>25.901</v>
      </c>
      <c r="C169" s="840"/>
      <c r="D169" s="393">
        <f t="shared" si="50"/>
        <v>26.760631069806937</v>
      </c>
      <c r="E169" s="385">
        <f t="shared" si="72"/>
        <v>29.236906135773182</v>
      </c>
      <c r="F169" s="385">
        <f t="shared" si="51"/>
        <v>29.237674276754131</v>
      </c>
      <c r="G169" s="110">
        <f t="shared" si="73"/>
        <v>0.45510534918842177</v>
      </c>
      <c r="H169" s="414" t="b">
        <f>Wh_hp&gt;='2021'!Maxi_hp</f>
        <v>0</v>
      </c>
      <c r="I169" s="380">
        <f>IF(H169,Wh_hp,'2021'!Maxi_hp)</f>
        <v>55.953130597510338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3.2122974512990066E-2</v>
      </c>
      <c r="M169" s="844"/>
      <c r="N169" s="844"/>
      <c r="O169" s="48">
        <f>IF(t&lt;Tnet,'2021'!Resal+('2021'!Salim-'2021'!Resal)*(1-EXP(('2021'!Tnet-t)/('2021'!Tau_j))),Resal+(Salim-Resal)*(1-EXP((Tnet-t)/(Tau_j))))*Salcycl</f>
        <v>8.4696891472260311E-2</v>
      </c>
      <c r="P169" s="339">
        <f>(INDEX(Models!$BJ169:$BT169,,T169)*(1-R169)+INDEX(Models!$BJ169:$BT169,,T169+1)*R169-ERP_i)*Q169*Ramure*Pc/MaxiM</f>
        <v>1.1853642003799343E-4</v>
      </c>
      <c r="Q169" s="305">
        <f t="shared" si="53"/>
        <v>0.7</v>
      </c>
      <c r="R169" s="177">
        <f t="shared" si="54"/>
        <v>0.17450189921554363</v>
      </c>
      <c r="S169" s="810">
        <f t="shared" si="55"/>
        <v>0</v>
      </c>
      <c r="T169" s="176">
        <f t="shared" si="56"/>
        <v>6</v>
      </c>
      <c r="U169" s="251">
        <f t="shared" si="57"/>
        <v>0.17450189921554363</v>
      </c>
      <c r="V169" s="383">
        <f t="shared" si="58"/>
        <v>56.906846404801271</v>
      </c>
      <c r="W169" s="402">
        <f t="shared" si="59"/>
        <v>0</v>
      </c>
      <c r="X169" s="157">
        <f t="shared" si="60"/>
        <v>44716</v>
      </c>
      <c r="Y169" s="385">
        <f t="shared" si="61"/>
        <v>24.131837723937583</v>
      </c>
      <c r="Z169" s="385">
        <f t="shared" si="62"/>
        <v>24.932751877021861</v>
      </c>
      <c r="AA169" s="386">
        <f t="shared" si="63"/>
        <v>29.236906135773182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0.14721647491575449</v>
      </c>
      <c r="AD169" s="231">
        <f>(INDEX(Models!$BJ169:$BT169,,AH169)*(1-AF169)+INDEX(Models!$BJ169:$BT169,,AH169+1)*AF169-ERP_i)*AE169*Ramure*Pc/MaxiM</f>
        <v>1.1853642003799343E-4</v>
      </c>
      <c r="AE169" s="305">
        <f t="shared" si="65"/>
        <v>0.7</v>
      </c>
      <c r="AF169" s="177">
        <f t="shared" si="66"/>
        <v>0.17450189921554363</v>
      </c>
      <c r="AG169" s="810">
        <f t="shared" si="74"/>
        <v>0</v>
      </c>
      <c r="AH169" s="176">
        <f t="shared" si="67"/>
        <v>6</v>
      </c>
      <c r="AI169" s="225">
        <f t="shared" si="68"/>
        <v>0.17450189921554363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42">
        <v>36.044000000000004</v>
      </c>
      <c r="C170" s="840"/>
      <c r="D170" s="393">
        <f t="shared" si="50"/>
        <v>37.24113484140257</v>
      </c>
      <c r="E170" s="385">
        <f t="shared" ref="E170:E232" si="75">Wh_pvt/(1-Psa)</f>
        <v>40.694590817464274</v>
      </c>
      <c r="F170" s="385">
        <f t="shared" si="51"/>
        <v>40.696922801040238</v>
      </c>
      <c r="G170" s="110">
        <f t="shared" ref="G170:G232" si="76">+Wh_hp/MaxiM</f>
        <v>0.63345107076596818</v>
      </c>
      <c r="H170" s="414" t="b">
        <f>Wh_hp&gt;='2021'!Maxi_hp</f>
        <v>0</v>
      </c>
      <c r="I170" s="380">
        <f>IF(H170,Wh_hp,'2021'!Maxi_hp)</f>
        <v>47.290496424932876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3.2145498425350416E-2</v>
      </c>
      <c r="M170" s="844"/>
      <c r="N170" s="844"/>
      <c r="O170" s="48">
        <f>IF(t&lt;Tnet,'2021'!Resal+('2021'!Salim-'2021'!Resal)*(1-EXP(('2021'!Tnet-t)/('2021'!Tau_j))),Resal+(Salim-Resal)*(1-EXP((Tnet-t)/(Tau_j))))*Salcycl</f>
        <v>8.4862776764415421E-2</v>
      </c>
      <c r="P170" s="339">
        <f>(INDEX(Models!$BJ170:$BT170,,T170)*(1-R170)+INDEX(Models!$BJ170:$BT170,,T170+1)*R170-ERP_i)*Q170*Ramure*Pc/MaxiM</f>
        <v>1.202756964314232E-4</v>
      </c>
      <c r="Q170" s="305">
        <f t="shared" si="53"/>
        <v>0.7</v>
      </c>
      <c r="R170" s="177">
        <f t="shared" si="54"/>
        <v>0.17856629991176118</v>
      </c>
      <c r="S170" s="810">
        <f t="shared" si="55"/>
        <v>0</v>
      </c>
      <c r="T170" s="176">
        <f t="shared" si="56"/>
        <v>6</v>
      </c>
      <c r="U170" s="251">
        <f t="shared" si="57"/>
        <v>0.17856629991176118</v>
      </c>
      <c r="V170" s="383">
        <f t="shared" si="58"/>
        <v>56.897417466731689</v>
      </c>
      <c r="W170" s="402">
        <f t="shared" si="59"/>
        <v>0</v>
      </c>
      <c r="X170" s="157">
        <f t="shared" si="60"/>
        <v>44717</v>
      </c>
      <c r="Y170" s="385">
        <f t="shared" si="61"/>
        <v>33.582684986341995</v>
      </c>
      <c r="Z170" s="385">
        <f t="shared" si="62"/>
        <v>34.698071798710124</v>
      </c>
      <c r="AA170" s="386">
        <f t="shared" si="63"/>
        <v>40.694590817464274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0.14735420355131612</v>
      </c>
      <c r="AD170" s="231">
        <f>(INDEX(Models!$BJ170:$BT170,,AH170)*(1-AF170)+INDEX(Models!$BJ170:$BT170,,AH170+1)*AF170-ERP_i)*AE170*Ramure*Pc/MaxiM</f>
        <v>1.202756964314232E-4</v>
      </c>
      <c r="AE170" s="305">
        <f t="shared" si="65"/>
        <v>0.7</v>
      </c>
      <c r="AF170" s="177">
        <f t="shared" si="66"/>
        <v>0.17856629991176118</v>
      </c>
      <c r="AG170" s="810">
        <f t="shared" si="74"/>
        <v>0</v>
      </c>
      <c r="AH170" s="176">
        <f t="shared" si="67"/>
        <v>6</v>
      </c>
      <c r="AI170" s="225">
        <f t="shared" si="68"/>
        <v>0.17856629991176118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42">
        <v>43.451000000000001</v>
      </c>
      <c r="C171" s="840"/>
      <c r="D171" s="393">
        <f t="shared" si="50"/>
        <v>44.895189433004184</v>
      </c>
      <c r="E171" s="385">
        <f t="shared" si="75"/>
        <v>49.067276239424992</v>
      </c>
      <c r="F171" s="385">
        <f t="shared" si="51"/>
        <v>49.071244179306262</v>
      </c>
      <c r="G171" s="110">
        <f t="shared" si="76"/>
        <v>0.76380871145732487</v>
      </c>
      <c r="H171" s="414" t="b">
        <f>Wh_hp&gt;='2021'!Maxi_hp</f>
        <v>0</v>
      </c>
      <c r="I171" s="380">
        <f>IF(H171,Wh_hp,'2021'!Maxi_hp)</f>
        <v>63.423622728283476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3.2168021813546499E-2</v>
      </c>
      <c r="M171" s="844"/>
      <c r="N171" s="844"/>
      <c r="O171" s="48">
        <f>IF(t&lt;Tnet,'2021'!Resal+('2021'!Salim-'2021'!Resal)*(1-EXP(('2021'!Tnet-t)/('2021'!Tau_j))),Resal+(Salim-Resal)*(1-EXP((Tnet-t)/(Tau_j))))*Salcycl</f>
        <v>8.5027886733777647E-2</v>
      </c>
      <c r="P171" s="339">
        <f>(INDEX(Models!$BJ171:$BT171,,T171)*(1-R171)+INDEX(Models!$BJ171:$BT171,,T171+1)*R171-ERP_i)*Q171*Ramure*Pc/MaxiM</f>
        <v>1.2203030741951563E-4</v>
      </c>
      <c r="Q171" s="305">
        <f t="shared" si="53"/>
        <v>0.7</v>
      </c>
      <c r="R171" s="177">
        <f t="shared" si="54"/>
        <v>0.18264783474947313</v>
      </c>
      <c r="S171" s="810">
        <f t="shared" si="55"/>
        <v>0</v>
      </c>
      <c r="T171" s="176">
        <f t="shared" si="56"/>
        <v>6</v>
      </c>
      <c r="U171" s="251">
        <f t="shared" si="57"/>
        <v>0.18264783474947313</v>
      </c>
      <c r="V171" s="383">
        <f t="shared" si="58"/>
        <v>56.884937743134394</v>
      </c>
      <c r="W171" s="402">
        <f t="shared" si="59"/>
        <v>0</v>
      </c>
      <c r="X171" s="157">
        <f t="shared" si="60"/>
        <v>44718</v>
      </c>
      <c r="Y171" s="385">
        <f t="shared" si="61"/>
        <v>40.484717756029418</v>
      </c>
      <c r="Z171" s="385">
        <f t="shared" si="62"/>
        <v>41.830316282678162</v>
      </c>
      <c r="AA171" s="386">
        <f t="shared" si="63"/>
        <v>49.067276239424992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0.14749055809484724</v>
      </c>
      <c r="AD171" s="231">
        <f>(INDEX(Models!$BJ171:$BT171,,AH171)*(1-AF171)+INDEX(Models!$BJ171:$BT171,,AH171+1)*AF171-ERP_i)*AE171*Ramure*Pc/MaxiM</f>
        <v>1.2203030741951563E-4</v>
      </c>
      <c r="AE171" s="305">
        <f t="shared" si="65"/>
        <v>0.7</v>
      </c>
      <c r="AF171" s="177">
        <f t="shared" si="66"/>
        <v>0.18264783474947313</v>
      </c>
      <c r="AG171" s="810">
        <f t="shared" si="74"/>
        <v>0</v>
      </c>
      <c r="AH171" s="176">
        <f t="shared" si="67"/>
        <v>6</v>
      </c>
      <c r="AI171" s="225">
        <f t="shared" si="68"/>
        <v>0.18264783474947313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42">
        <v>29.650000000000002</v>
      </c>
      <c r="C172" s="840"/>
      <c r="D172" s="393">
        <f t="shared" si="50"/>
        <v>30.636195830637551</v>
      </c>
      <c r="E172" s="385">
        <f t="shared" si="75"/>
        <v>33.489214140168002</v>
      </c>
      <c r="F172" s="385">
        <f t="shared" si="51"/>
        <v>33.490525304583038</v>
      </c>
      <c r="G172" s="110">
        <f t="shared" si="76"/>
        <v>0.52132309707782376</v>
      </c>
      <c r="H172" s="414" t="b">
        <f>Wh_hp&gt;='2021'!Maxi_hp</f>
        <v>0</v>
      </c>
      <c r="I172" s="380">
        <f>IF(H172,Wh_hp,'2021'!Maxi_hp)</f>
        <v>52.756129092485281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3.2190544677590416E-2</v>
      </c>
      <c r="M172" s="844"/>
      <c r="N172" s="844"/>
      <c r="O172" s="48">
        <f>IF(t&lt;Tnet,'2021'!Resal+('2021'!Salim-'2021'!Resal)*(1-EXP(('2021'!Tnet-t)/('2021'!Tau_j))),Resal+(Salim-Resal)*(1-EXP((Tnet-t)/(Tau_j))))*Salcycl</f>
        <v>8.5192154631913278E-2</v>
      </c>
      <c r="P172" s="339">
        <f>(INDEX(Models!$BJ172:$BT172,,T172)*(1-R172)+INDEX(Models!$BJ172:$BT172,,T172+1)*R172-ERP_i)*Q172*Ramure*Pc/MaxiM</f>
        <v>1.2379978750894709E-4</v>
      </c>
      <c r="Q172" s="305">
        <f t="shared" si="53"/>
        <v>0.7</v>
      </c>
      <c r="R172" s="177">
        <f t="shared" si="54"/>
        <v>0.18674314628373392</v>
      </c>
      <c r="S172" s="810">
        <f t="shared" si="55"/>
        <v>0</v>
      </c>
      <c r="T172" s="176">
        <f t="shared" si="56"/>
        <v>6</v>
      </c>
      <c r="U172" s="251">
        <f t="shared" si="57"/>
        <v>0.18674314628373392</v>
      </c>
      <c r="V172" s="383">
        <f t="shared" si="58"/>
        <v>56.869703665309828</v>
      </c>
      <c r="W172" s="402">
        <f t="shared" si="59"/>
        <v>0</v>
      </c>
      <c r="X172" s="157">
        <f t="shared" si="60"/>
        <v>44719</v>
      </c>
      <c r="Y172" s="385">
        <f t="shared" si="61"/>
        <v>27.626464082675795</v>
      </c>
      <c r="Z172" s="385">
        <f t="shared" si="62"/>
        <v>28.545354595107256</v>
      </c>
      <c r="AA172" s="386">
        <f t="shared" si="63"/>
        <v>33.489214140168002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0.1476254272306417</v>
      </c>
      <c r="AD172" s="231">
        <f>(INDEX(Models!$BJ172:$BT172,,AH172)*(1-AF172)+INDEX(Models!$BJ172:$BT172,,AH172+1)*AF172-ERP_i)*AE172*Ramure*Pc/MaxiM</f>
        <v>1.2379978750894709E-4</v>
      </c>
      <c r="AE172" s="305">
        <f t="shared" si="65"/>
        <v>0.7</v>
      </c>
      <c r="AF172" s="177">
        <f t="shared" si="66"/>
        <v>0.18674314628373392</v>
      </c>
      <c r="AG172" s="810">
        <f t="shared" si="74"/>
        <v>0</v>
      </c>
      <c r="AH172" s="176">
        <f t="shared" si="67"/>
        <v>6</v>
      </c>
      <c r="AI172" s="225">
        <f t="shared" si="68"/>
        <v>0.18674314628373392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42">
        <v>20.803000000000001</v>
      </c>
      <c r="C173" s="840"/>
      <c r="D173" s="393">
        <f t="shared" si="50"/>
        <v>21.495433851219449</v>
      </c>
      <c r="E173" s="385">
        <f t="shared" si="75"/>
        <v>23.501408711300915</v>
      </c>
      <c r="F173" s="385">
        <f t="shared" si="51"/>
        <v>23.501686630107674</v>
      </c>
      <c r="G173" s="110">
        <f t="shared" si="76"/>
        <v>0.36587330842803456</v>
      </c>
      <c r="H173" s="414" t="b">
        <f>Wh_hp&gt;='2021'!Maxi_hp</f>
        <v>0</v>
      </c>
      <c r="I173" s="380">
        <f>IF(H173,Wh_hp,'2021'!Maxi_hp)</f>
        <v>64.288784503922017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3.2213067017494379E-2</v>
      </c>
      <c r="M173" s="844"/>
      <c r="N173" s="844"/>
      <c r="O173" s="48">
        <f>IF(t&lt;Tnet,'2021'!Resal+('2021'!Salim-'2021'!Resal)*(1-EXP(('2021'!Tnet-t)/('2021'!Tau_j))),Resal+(Salim-Resal)*(1-EXP((Tnet-t)/(Tau_j))))*Salcycl</f>
        <v>8.5355515693698383E-2</v>
      </c>
      <c r="P173" s="339">
        <f>(INDEX(Models!$BJ173:$BT173,,T173)*(1-R173)+INDEX(Models!$BJ173:$BT173,,T173+1)*R173-ERP_i)*Q173*Ramure*Pc/MaxiM</f>
        <v>1.2558365508989836E-4</v>
      </c>
      <c r="Q173" s="305">
        <f t="shared" si="53"/>
        <v>0.7</v>
      </c>
      <c r="R173" s="177">
        <f t="shared" si="54"/>
        <v>0.19084883104634712</v>
      </c>
      <c r="S173" s="810">
        <f t="shared" si="55"/>
        <v>0</v>
      </c>
      <c r="T173" s="176">
        <f t="shared" si="56"/>
        <v>6</v>
      </c>
      <c r="U173" s="251">
        <f t="shared" si="57"/>
        <v>0.19084883104634712</v>
      </c>
      <c r="V173" s="383">
        <f t="shared" si="58"/>
        <v>56.852011288114227</v>
      </c>
      <c r="W173" s="402">
        <f t="shared" si="59"/>
        <v>0</v>
      </c>
      <c r="X173" s="157">
        <f t="shared" si="60"/>
        <v>44720</v>
      </c>
      <c r="Y173" s="385">
        <f t="shared" si="61"/>
        <v>19.383679664640663</v>
      </c>
      <c r="Z173" s="385">
        <f t="shared" si="62"/>
        <v>20.028871029395326</v>
      </c>
      <c r="AA173" s="386">
        <f t="shared" si="63"/>
        <v>23.501408711300915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0.14775870351277196</v>
      </c>
      <c r="AD173" s="231">
        <f>(INDEX(Models!$BJ173:$BT173,,AH173)*(1-AF173)+INDEX(Models!$BJ173:$BT173,,AH173+1)*AF173-ERP_i)*AE173*Ramure*Pc/MaxiM</f>
        <v>1.2558365508989836E-4</v>
      </c>
      <c r="AE173" s="305">
        <f t="shared" si="65"/>
        <v>0.7</v>
      </c>
      <c r="AF173" s="177">
        <f t="shared" si="66"/>
        <v>0.19084883104634712</v>
      </c>
      <c r="AG173" s="810">
        <f t="shared" si="74"/>
        <v>0</v>
      </c>
      <c r="AH173" s="176">
        <f t="shared" si="67"/>
        <v>6</v>
      </c>
      <c r="AI173" s="225">
        <f t="shared" si="68"/>
        <v>0.19084883104634712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42">
        <v>42.831000000000003</v>
      </c>
      <c r="C174" s="840"/>
      <c r="D174" s="393">
        <f t="shared" si="50"/>
        <v>44.257672121217269</v>
      </c>
      <c r="E174" s="385">
        <f t="shared" si="75"/>
        <v>48.396433871299138</v>
      </c>
      <c r="F174" s="385">
        <f t="shared" si="51"/>
        <v>48.400429349911633</v>
      </c>
      <c r="G174" s="110">
        <f t="shared" si="76"/>
        <v>0.75360645266662885</v>
      </c>
      <c r="H174" s="414" t="b">
        <f>Wh_hp&gt;='2021'!Maxi_hp</f>
        <v>0</v>
      </c>
      <c r="I174" s="380">
        <f>IF(H174,Wh_hp,'2021'!Maxi_hp)</f>
        <v>60.786891370501721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3.2235588833270601E-2</v>
      </c>
      <c r="M174" s="844"/>
      <c r="N174" s="844"/>
      <c r="O174" s="48">
        <f>IF(t&lt;Tnet,'2021'!Resal+('2021'!Salim-'2021'!Resal)*(1-EXP(('2021'!Tnet-t)/('2021'!Tau_j))),Resal+(Salim-Resal)*(1-EXP((Tnet-t)/(Tau_j))))*Salcycl</f>
        <v>8.5517907395575909E-2</v>
      </c>
      <c r="P174" s="339">
        <f>(INDEX(Models!$BJ174:$BT174,,T174)*(1-R174)+INDEX(Models!$BJ174:$BT174,,T174+1)*R174-ERP_i)*Q174*Ramure*Pc/MaxiM</f>
        <v>1.2738141320863591E-4</v>
      </c>
      <c r="Q174" s="305">
        <f t="shared" si="53"/>
        <v>0.7</v>
      </c>
      <c r="R174" s="177">
        <f t="shared" si="54"/>
        <v>0.19496145076179183</v>
      </c>
      <c r="S174" s="810">
        <f t="shared" si="55"/>
        <v>0</v>
      </c>
      <c r="T174" s="176">
        <f t="shared" si="56"/>
        <v>6</v>
      </c>
      <c r="U174" s="251">
        <f t="shared" si="57"/>
        <v>0.19496145076179183</v>
      </c>
      <c r="V174" s="383">
        <f t="shared" si="58"/>
        <v>56.832156274898431</v>
      </c>
      <c r="W174" s="402">
        <f t="shared" si="59"/>
        <v>0</v>
      </c>
      <c r="X174" s="157">
        <f t="shared" si="60"/>
        <v>44721</v>
      </c>
      <c r="Y174" s="385">
        <f t="shared" si="61"/>
        <v>39.909705777873199</v>
      </c>
      <c r="Z174" s="385">
        <f t="shared" si="62"/>
        <v>41.239071531632746</v>
      </c>
      <c r="AA174" s="386">
        <f t="shared" si="63"/>
        <v>48.396433871299138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0.14789028379033045</v>
      </c>
      <c r="AD174" s="231">
        <f>(INDEX(Models!$BJ174:$BT174,,AH174)*(1-AF174)+INDEX(Models!$BJ174:$BT174,,AH174+1)*AF174-ERP_i)*AE174*Ramure*Pc/MaxiM</f>
        <v>1.2738141320863591E-4</v>
      </c>
      <c r="AE174" s="305">
        <f t="shared" si="65"/>
        <v>0.7</v>
      </c>
      <c r="AF174" s="177">
        <f t="shared" si="66"/>
        <v>0.19496145076179183</v>
      </c>
      <c r="AG174" s="810">
        <f t="shared" si="74"/>
        <v>0</v>
      </c>
      <c r="AH174" s="176">
        <f t="shared" si="67"/>
        <v>6</v>
      </c>
      <c r="AI174" s="225">
        <f t="shared" si="68"/>
        <v>0.19496145076179183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42">
        <v>55.594000000000001</v>
      </c>
      <c r="C175" s="840"/>
      <c r="D175" s="393">
        <f t="shared" si="50"/>
        <v>57.447136040764903</v>
      </c>
      <c r="E175" s="385">
        <f t="shared" si="75"/>
        <v>62.830398718206929</v>
      </c>
      <c r="F175" s="385">
        <f t="shared" si="51"/>
        <v>62.838268627331253</v>
      </c>
      <c r="G175" s="110">
        <f t="shared" si="76"/>
        <v>0.97858397611620307</v>
      </c>
      <c r="H175" s="414" t="b">
        <f>Wh_hp&gt;='2021'!Maxi_hp</f>
        <v>1</v>
      </c>
      <c r="I175" s="380">
        <f>IF(H175,Wh_hp,'2021'!Maxi_hp)</f>
        <v>62.838268627331253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3.2258110124931294E-2</v>
      </c>
      <c r="M175" s="844"/>
      <c r="N175" s="844"/>
      <c r="O175" s="48">
        <f>IF(t&lt;Tnet,'2021'!Resal+('2021'!Salim-'2021'!Resal)*(1-EXP(('2021'!Tnet-t)/('2021'!Tau_j))),Resal+(Salim-Resal)*(1-EXP((Tnet-t)/(Tau_j))))*Salcycl</f>
        <v>8.5679269704874064E-2</v>
      </c>
      <c r="P175" s="339">
        <f>(INDEX(Models!$BJ175:$BT175,,T175)*(1-R175)+INDEX(Models!$BJ175:$BT175,,T175+1)*R175-ERP_i)*Q175*Ramure*Pc/MaxiM</f>
        <v>1.2919255033947905E-4</v>
      </c>
      <c r="Q175" s="305">
        <f t="shared" si="53"/>
        <v>0.7</v>
      </c>
      <c r="R175" s="177">
        <f t="shared" si="54"/>
        <v>0.19907754381060105</v>
      </c>
      <c r="S175" s="810">
        <f t="shared" si="55"/>
        <v>0</v>
      </c>
      <c r="T175" s="176">
        <f t="shared" si="56"/>
        <v>6</v>
      </c>
      <c r="U175" s="251">
        <f t="shared" si="57"/>
        <v>0.19907754381060105</v>
      </c>
      <c r="V175" s="383">
        <f t="shared" si="58"/>
        <v>56.810433882521956</v>
      </c>
      <c r="W175" s="402">
        <f t="shared" si="59"/>
        <v>0</v>
      </c>
      <c r="X175" s="157">
        <f t="shared" si="60"/>
        <v>44722</v>
      </c>
      <c r="Y175" s="385">
        <f t="shared" si="61"/>
        <v>51.803454390176881</v>
      </c>
      <c r="Z175" s="385">
        <f t="shared" si="62"/>
        <v>53.530238726014517</v>
      </c>
      <c r="AA175" s="386">
        <f t="shared" si="63"/>
        <v>62.830398718206929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0.14802006961476469</v>
      </c>
      <c r="AD175" s="231">
        <f>(INDEX(Models!$BJ175:$BT175,,AH175)*(1-AF175)+INDEX(Models!$BJ175:$BT175,,AH175+1)*AF175-ERP_i)*AE175*Ramure*Pc/MaxiM</f>
        <v>1.2919255033947905E-4</v>
      </c>
      <c r="AE175" s="305">
        <f t="shared" si="65"/>
        <v>0.7</v>
      </c>
      <c r="AF175" s="177">
        <f t="shared" si="66"/>
        <v>0.19907754381060105</v>
      </c>
      <c r="AG175" s="810">
        <f t="shared" si="74"/>
        <v>0</v>
      </c>
      <c r="AH175" s="176">
        <f t="shared" si="67"/>
        <v>6</v>
      </c>
      <c r="AI175" s="225">
        <f t="shared" si="68"/>
        <v>0.19907754381060105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42">
        <v>53.483000000000004</v>
      </c>
      <c r="C176" s="840"/>
      <c r="D176" s="393">
        <f t="shared" si="50"/>
        <v>55.267055416411907</v>
      </c>
      <c r="E176" s="385">
        <f t="shared" si="75"/>
        <v>60.456624582018186</v>
      </c>
      <c r="F176" s="385">
        <f t="shared" si="51"/>
        <v>60.46388788681103</v>
      </c>
      <c r="G176" s="110">
        <f t="shared" si="76"/>
        <v>0.94180510727666489</v>
      </c>
      <c r="H176" s="414" t="b">
        <f>Wh_hp&gt;='2021'!Maxi_hp</f>
        <v>1</v>
      </c>
      <c r="I176" s="380">
        <f>IF(H176,Wh_hp,'2021'!Maxi_hp)</f>
        <v>60.46388788681103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3.228063089248856E-2</v>
      </c>
      <c r="M176" s="844"/>
      <c r="N176" s="844"/>
      <c r="O176" s="48">
        <f>IF(t&lt;Tnet,'2021'!Resal+('2021'!Salim-'2021'!Resal)*(1-EXP(('2021'!Tnet-t)/('2021'!Tau_j))),Resal+(Salim-Resal)*(1-EXP((Tnet-t)/(Tau_j))))*Salcycl</f>
        <v>8.5839545318410523E-2</v>
      </c>
      <c r="P176" s="339">
        <f>(INDEX(Models!$BJ176:$BT176,,T176)*(1-R176)+INDEX(Models!$BJ176:$BT176,,T176+1)*R176-ERP_i)*Q176*Ramure*Pc/MaxiM</f>
        <v>1.3101654114725024E-4</v>
      </c>
      <c r="Q176" s="305">
        <f t="shared" si="53"/>
        <v>0.7</v>
      </c>
      <c r="R176" s="177">
        <f t="shared" si="54"/>
        <v>0.20319363685941028</v>
      </c>
      <c r="S176" s="810">
        <f t="shared" si="55"/>
        <v>0</v>
      </c>
      <c r="T176" s="176">
        <f t="shared" si="56"/>
        <v>6</v>
      </c>
      <c r="U176" s="251">
        <f t="shared" si="57"/>
        <v>0.20319363685941028</v>
      </c>
      <c r="V176" s="383">
        <f t="shared" si="58"/>
        <v>56.787138947859631</v>
      </c>
      <c r="W176" s="402">
        <f t="shared" si="59"/>
        <v>0</v>
      </c>
      <c r="X176" s="157">
        <f t="shared" si="60"/>
        <v>44723</v>
      </c>
      <c r="Y176" s="385">
        <f t="shared" si="61"/>
        <v>49.837642849369509</v>
      </c>
      <c r="Z176" s="385">
        <f t="shared" si="62"/>
        <v>51.500098520641124</v>
      </c>
      <c r="AA176" s="386">
        <f t="shared" si="63"/>
        <v>60.456624582018186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0.14814796762638044</v>
      </c>
      <c r="AD176" s="231">
        <f>(INDEX(Models!$BJ176:$BT176,,AH176)*(1-AF176)+INDEX(Models!$BJ176:$BT176,,AH176+1)*AF176-ERP_i)*AE176*Ramure*Pc/MaxiM</f>
        <v>1.3101654114725024E-4</v>
      </c>
      <c r="AE176" s="305">
        <f t="shared" si="65"/>
        <v>0.7</v>
      </c>
      <c r="AF176" s="177">
        <f t="shared" si="66"/>
        <v>0.20319363685941028</v>
      </c>
      <c r="AG176" s="810">
        <f t="shared" si="74"/>
        <v>0</v>
      </c>
      <c r="AH176" s="176">
        <f t="shared" si="67"/>
        <v>6</v>
      </c>
      <c r="AI176" s="225">
        <f t="shared" si="68"/>
        <v>0.20319363685941028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42">
        <v>41.600999999999999</v>
      </c>
      <c r="C177" s="840"/>
      <c r="D177" s="393">
        <f t="shared" si="50"/>
        <v>42.989702869069333</v>
      </c>
      <c r="E177" s="385">
        <f t="shared" si="75"/>
        <v>47.0346179191869</v>
      </c>
      <c r="F177" s="385">
        <f t="shared" si="51"/>
        <v>47.038482727399824</v>
      </c>
      <c r="G177" s="110">
        <f t="shared" si="76"/>
        <v>0.73286990093121152</v>
      </c>
      <c r="H177" s="414" t="b">
        <f>Wh_hp&gt;='2021'!Maxi_hp</f>
        <v>0</v>
      </c>
      <c r="I177" s="380">
        <f>IF(H177,Wh_hp,'2021'!Maxi_hp)</f>
        <v>55.539743241792053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3.2303151135954722E-2</v>
      </c>
      <c r="M177" s="844"/>
      <c r="N177" s="844"/>
      <c r="O177" s="48">
        <f>IF(t&lt;Tnet,'2021'!Resal+('2021'!Salim-'2021'!Resal)*(1-EXP(('2021'!Tnet-t)/('2021'!Tau_j))),Resal+(Salim-Resal)*(1-EXP((Tnet-t)/(Tau_j))))*Salcycl</f>
        <v>8.5998679888659557E-2</v>
      </c>
      <c r="P177" s="339">
        <f>(INDEX(Models!$BJ177:$BT177,,T177)*(1-R177)+INDEX(Models!$BJ177:$BT177,,T177+1)*R177-ERP_i)*Q177*Ramure*Pc/MaxiM</f>
        <v>1.3285503478569757E-4</v>
      </c>
      <c r="Q177" s="305">
        <f t="shared" si="53"/>
        <v>0.7</v>
      </c>
      <c r="R177" s="177">
        <f t="shared" si="54"/>
        <v>0.20730625657485499</v>
      </c>
      <c r="S177" s="810">
        <f t="shared" si="55"/>
        <v>0</v>
      </c>
      <c r="T177" s="176">
        <f t="shared" si="56"/>
        <v>6</v>
      </c>
      <c r="U177" s="251">
        <f t="shared" si="57"/>
        <v>0.20730625657485499</v>
      </c>
      <c r="V177" s="383">
        <f t="shared" si="58"/>
        <v>56.761631118388003</v>
      </c>
      <c r="W177" s="402">
        <f t="shared" si="59"/>
        <v>0</v>
      </c>
      <c r="X177" s="157">
        <f t="shared" si="60"/>
        <v>44724</v>
      </c>
      <c r="Y177" s="385">
        <f t="shared" si="61"/>
        <v>38.766528150351149</v>
      </c>
      <c r="Z177" s="385">
        <f t="shared" si="62"/>
        <v>40.060612159539623</v>
      </c>
      <c r="AA177" s="386">
        <f t="shared" si="63"/>
        <v>47.0346179191869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0.14827388991720414</v>
      </c>
      <c r="AD177" s="231">
        <f>(INDEX(Models!$BJ177:$BT177,,AH177)*(1-AF177)+INDEX(Models!$BJ177:$BT177,,AH177+1)*AF177-ERP_i)*AE177*Ramure*Pc/MaxiM</f>
        <v>1.3285503478569757E-4</v>
      </c>
      <c r="AE177" s="305">
        <f t="shared" si="65"/>
        <v>0.7</v>
      </c>
      <c r="AF177" s="177">
        <f t="shared" si="66"/>
        <v>0.20730625657485499</v>
      </c>
      <c r="AG177" s="810">
        <f t="shared" si="74"/>
        <v>0</v>
      </c>
      <c r="AH177" s="176">
        <f t="shared" si="67"/>
        <v>6</v>
      </c>
      <c r="AI177" s="225">
        <f t="shared" si="68"/>
        <v>0.20730625657485499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42">
        <v>52.704999999999998</v>
      </c>
      <c r="C178" s="840"/>
      <c r="D178" s="393">
        <f t="shared" si="50"/>
        <v>54.465638296498717</v>
      </c>
      <c r="E178" s="385">
        <f t="shared" si="75"/>
        <v>59.600627002140925</v>
      </c>
      <c r="F178" s="385">
        <f t="shared" si="51"/>
        <v>59.607838159899956</v>
      </c>
      <c r="G178" s="110">
        <f t="shared" si="76"/>
        <v>0.92898568223966727</v>
      </c>
      <c r="H178" s="414" t="b">
        <f>Wh_hp&gt;='2021'!Maxi_hp</f>
        <v>0</v>
      </c>
      <c r="I178" s="380">
        <f>IF(H178,Wh_hp,'2021'!Maxi_hp)</f>
        <v>65.896682461422955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3.2325670855341881E-2</v>
      </c>
      <c r="M178" s="844"/>
      <c r="N178" s="844"/>
      <c r="O178" s="48">
        <f>IF(t&lt;Tnet,'2021'!Resal+('2021'!Salim-'2021'!Resal)*(1-EXP(('2021'!Tnet-t)/('2021'!Tau_j))),Resal+(Salim-Resal)*(1-EXP((Tnet-t)/(Tau_j))))*Salcycl</f>
        <v>8.6156622235832439E-2</v>
      </c>
      <c r="P178" s="339">
        <f>(INDEX(Models!$BJ178:$BT178,,T178)*(1-R178)+INDEX(Models!$BJ178:$BT178,,T178+1)*R178-ERP_i)*Q178*Ramure*Pc/MaxiM</f>
        <v>1.3463257289660148E-4</v>
      </c>
      <c r="Q178" s="305">
        <f t="shared" si="53"/>
        <v>0.7</v>
      </c>
      <c r="R178" s="177">
        <f t="shared" si="54"/>
        <v>0.21141194133746821</v>
      </c>
      <c r="S178" s="810">
        <f t="shared" si="55"/>
        <v>0</v>
      </c>
      <c r="T178" s="176">
        <f t="shared" si="56"/>
        <v>6</v>
      </c>
      <c r="U178" s="251">
        <f t="shared" si="57"/>
        <v>0.21141194133746821</v>
      </c>
      <c r="V178" s="383">
        <f t="shared" si="58"/>
        <v>56.733145823610833</v>
      </c>
      <c r="W178" s="402">
        <f t="shared" si="59"/>
        <v>0</v>
      </c>
      <c r="X178" s="157">
        <f t="shared" si="60"/>
        <v>44725</v>
      </c>
      <c r="Y178" s="385">
        <f t="shared" si="61"/>
        <v>49.115305147663712</v>
      </c>
      <c r="Z178" s="385">
        <f t="shared" si="62"/>
        <v>50.756027796125863</v>
      </c>
      <c r="AA178" s="386">
        <f t="shared" si="63"/>
        <v>59.600627002140925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0.14839775436753963</v>
      </c>
      <c r="AD178" s="231">
        <f>(INDEX(Models!$BJ178:$BT178,,AH178)*(1-AF178)+INDEX(Models!$BJ178:$BT178,,AH178+1)*AF178-ERP_i)*AE178*Ramure*Pc/MaxiM</f>
        <v>1.3463257289660148E-4</v>
      </c>
      <c r="AE178" s="305">
        <f t="shared" si="65"/>
        <v>0.7</v>
      </c>
      <c r="AF178" s="177">
        <f t="shared" si="66"/>
        <v>0.21141194133746821</v>
      </c>
      <c r="AG178" s="810">
        <f t="shared" si="74"/>
        <v>0</v>
      </c>
      <c r="AH178" s="176">
        <f t="shared" si="67"/>
        <v>6</v>
      </c>
      <c r="AI178" s="225">
        <f t="shared" si="68"/>
        <v>0.21141194133746821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42">
        <v>45.558999999999997</v>
      </c>
      <c r="C179" s="840"/>
      <c r="D179" s="393">
        <f t="shared" si="50"/>
        <v>47.082018068446828</v>
      </c>
      <c r="E179" s="385">
        <f t="shared" si="75"/>
        <v>51.52971946861873</v>
      </c>
      <c r="F179" s="385">
        <f t="shared" si="51"/>
        <v>51.534774042679004</v>
      </c>
      <c r="G179" s="110">
        <f t="shared" si="76"/>
        <v>0.80345366253244366</v>
      </c>
      <c r="H179" s="414" t="b">
        <f>Wh_hp&gt;='2021'!Maxi_hp</f>
        <v>0</v>
      </c>
      <c r="I179" s="380">
        <f>IF(H179,Wh_hp,'2021'!Maxi_hp)</f>
        <v>55.28412997128946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3.2348190050662251E-2</v>
      </c>
      <c r="M179" s="844"/>
      <c r="N179" s="844"/>
      <c r="O179" s="48">
        <f>IF(t&lt;Tnet,'2021'!Resal+('2021'!Salim-'2021'!Resal)*(1-EXP(('2021'!Tnet-t)/('2021'!Tau_j))),Resal+(Salim-Resal)*(1-EXP((Tnet-t)/(Tau_j))))*Salcycl</f>
        <v>8.6313324544305389E-2</v>
      </c>
      <c r="P179" s="339">
        <f>(INDEX(Models!$BJ179:$BT179,,T179)*(1-R179)+INDEX(Models!$BJ179:$BT179,,T179+1)*R179-ERP_i)*Q179*Ramure*Pc/MaxiM</f>
        <v>1.3636288722098175E-4</v>
      </c>
      <c r="Q179" s="305">
        <f t="shared" si="53"/>
        <v>0.7</v>
      </c>
      <c r="R179" s="177">
        <f t="shared" si="54"/>
        <v>0.21550725287172898</v>
      </c>
      <c r="S179" s="810">
        <f t="shared" si="55"/>
        <v>0</v>
      </c>
      <c r="T179" s="176">
        <f t="shared" si="56"/>
        <v>6</v>
      </c>
      <c r="U179" s="251">
        <f t="shared" si="57"/>
        <v>0.21550725287172898</v>
      </c>
      <c r="V179" s="383">
        <f t="shared" si="58"/>
        <v>56.701783639463869</v>
      </c>
      <c r="W179" s="402">
        <f t="shared" si="59"/>
        <v>0</v>
      </c>
      <c r="X179" s="157">
        <f t="shared" si="60"/>
        <v>44726</v>
      </c>
      <c r="Y179" s="385">
        <f t="shared" si="61"/>
        <v>42.457225028093845</v>
      </c>
      <c r="Z179" s="385">
        <f t="shared" si="62"/>
        <v>43.876552073329691</v>
      </c>
      <c r="AA179" s="386">
        <f t="shared" si="63"/>
        <v>51.52971946861873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0.14851948495372219</v>
      </c>
      <c r="AD179" s="231">
        <f>(INDEX(Models!$BJ179:$BT179,,AH179)*(1-AF179)+INDEX(Models!$BJ179:$BT179,,AH179+1)*AF179-ERP_i)*AE179*Ramure*Pc/MaxiM</f>
        <v>1.3636288722098175E-4</v>
      </c>
      <c r="AE179" s="305">
        <f t="shared" si="65"/>
        <v>0.7</v>
      </c>
      <c r="AF179" s="177">
        <f t="shared" si="66"/>
        <v>0.21550725287172898</v>
      </c>
      <c r="AG179" s="810">
        <f t="shared" si="74"/>
        <v>0</v>
      </c>
      <c r="AH179" s="176">
        <f t="shared" si="67"/>
        <v>6</v>
      </c>
      <c r="AI179" s="225">
        <f t="shared" si="68"/>
        <v>0.21550725287172898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42">
        <v>52.823</v>
      </c>
      <c r="C180" s="840"/>
      <c r="D180" s="393">
        <f t="shared" si="50"/>
        <v>54.590120902840695</v>
      </c>
      <c r="E180" s="385">
        <f t="shared" si="75"/>
        <v>59.75725565728272</v>
      </c>
      <c r="F180" s="385">
        <f t="shared" si="51"/>
        <v>59.764706232208013</v>
      </c>
      <c r="G180" s="110">
        <f t="shared" si="76"/>
        <v>0.93214201048541767</v>
      </c>
      <c r="H180" s="414" t="b">
        <f>Wh_hp&gt;='2021'!Maxi_hp</f>
        <v>1</v>
      </c>
      <c r="I180" s="380">
        <f>IF(H180,Wh_hp,'2021'!Maxi_hp)</f>
        <v>59.764706232208013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3.2370708721928154E-2</v>
      </c>
      <c r="M180" s="844"/>
      <c r="N180" s="844"/>
      <c r="O180" s="48">
        <f>IF(t&lt;Tnet,'2021'!Resal+('2021'!Salim-'2021'!Resal)*(1-EXP(('2021'!Tnet-t)/('2021'!Tau_j))),Resal+(Salim-Resal)*(1-EXP((Tnet-t)/(Tau_j))))*Salcycl</f>
        <v>8.6468742541932611E-2</v>
      </c>
      <c r="P180" s="339">
        <f>(INDEX(Models!$BJ180:$BT180,,T180)*(1-R180)+INDEX(Models!$BJ180:$BT180,,T180+1)*R180-ERP_i)*Q180*Ramure*Pc/MaxiM</f>
        <v>1.3804472458882187E-4</v>
      </c>
      <c r="Q180" s="305">
        <f t="shared" si="53"/>
        <v>0.7</v>
      </c>
      <c r="R180" s="177">
        <f t="shared" si="54"/>
        <v>0.21958878770944099</v>
      </c>
      <c r="S180" s="810">
        <f t="shared" si="55"/>
        <v>0</v>
      </c>
      <c r="T180" s="176">
        <f t="shared" si="56"/>
        <v>6</v>
      </c>
      <c r="U180" s="251">
        <f t="shared" si="57"/>
        <v>0.21958878770944099</v>
      </c>
      <c r="V180" s="383">
        <f t="shared" si="58"/>
        <v>56.667645667098185</v>
      </c>
      <c r="W180" s="402">
        <f t="shared" si="59"/>
        <v>0</v>
      </c>
      <c r="X180" s="157">
        <f t="shared" si="60"/>
        <v>44727</v>
      </c>
      <c r="Y180" s="385">
        <f t="shared" si="61"/>
        <v>49.228136531365514</v>
      </c>
      <c r="Z180" s="385">
        <f t="shared" si="62"/>
        <v>50.874996215072834</v>
      </c>
      <c r="AA180" s="386">
        <f t="shared" si="63"/>
        <v>59.75725565728272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0.1486390120247664</v>
      </c>
      <c r="AD180" s="231">
        <f>(INDEX(Models!$BJ180:$BT180,,AH180)*(1-AF180)+INDEX(Models!$BJ180:$BT180,,AH180+1)*AF180-ERP_i)*AE180*Ramure*Pc/MaxiM</f>
        <v>1.3804472458882187E-4</v>
      </c>
      <c r="AE180" s="305">
        <f t="shared" si="65"/>
        <v>0.7</v>
      </c>
      <c r="AF180" s="177">
        <f t="shared" si="66"/>
        <v>0.21958878770944099</v>
      </c>
      <c r="AG180" s="810">
        <f t="shared" si="74"/>
        <v>0</v>
      </c>
      <c r="AH180" s="176">
        <f t="shared" si="67"/>
        <v>6</v>
      </c>
      <c r="AI180" s="225">
        <f t="shared" si="68"/>
        <v>0.21958878770944099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42">
        <v>50.319000000000003</v>
      </c>
      <c r="C181" s="840"/>
      <c r="D181" s="393">
        <f t="shared" si="50"/>
        <v>52.003563221436252</v>
      </c>
      <c r="E181" s="385">
        <f t="shared" si="75"/>
        <v>56.935475564538208</v>
      </c>
      <c r="F181" s="385">
        <f t="shared" si="51"/>
        <v>56.942162690652943</v>
      </c>
      <c r="G181" s="110">
        <f t="shared" si="76"/>
        <v>0.88852447362467901</v>
      </c>
      <c r="H181" s="414" t="b">
        <f>Wh_hp&gt;='2021'!Maxi_hp</f>
        <v>0</v>
      </c>
      <c r="I181" s="380">
        <f>IF(H181,Wh_hp,'2021'!Maxi_hp)</f>
        <v>65.565674070131692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3.2393226869151581E-2</v>
      </c>
      <c r="M181" s="844"/>
      <c r="N181" s="844"/>
      <c r="O181" s="48">
        <f>IF(t&lt;Tnet,'2021'!Resal+('2021'!Salim-'2021'!Resal)*(1-EXP(('2021'!Tnet-t)/('2021'!Tau_j))),Resal+(Salim-Resal)*(1-EXP((Tnet-t)/(Tau_j))))*Salcycl</f>
        <v>8.6622835660896055E-2</v>
      </c>
      <c r="P181" s="339">
        <f>(INDEX(Models!$BJ181:$BT181,,T181)*(1-R181)+INDEX(Models!$BJ181:$BT181,,T181+1)*R181-ERP_i)*Q181*Ramure*Pc/MaxiM</f>
        <v>1.3967686682808564E-4</v>
      </c>
      <c r="Q181" s="305">
        <f t="shared" si="53"/>
        <v>0.7</v>
      </c>
      <c r="R181" s="177">
        <f t="shared" si="54"/>
        <v>0.22365318840565851</v>
      </c>
      <c r="S181" s="810">
        <f t="shared" si="55"/>
        <v>0</v>
      </c>
      <c r="T181" s="176">
        <f t="shared" si="56"/>
        <v>6</v>
      </c>
      <c r="U181" s="251">
        <f t="shared" si="57"/>
        <v>0.22365318840565851</v>
      </c>
      <c r="V181" s="383">
        <f t="shared" si="58"/>
        <v>56.630832669923265</v>
      </c>
      <c r="W181" s="402">
        <f t="shared" si="59"/>
        <v>0</v>
      </c>
      <c r="X181" s="157">
        <f t="shared" si="60"/>
        <v>44728</v>
      </c>
      <c r="Y181" s="385">
        <f t="shared" si="61"/>
        <v>46.89599739748293</v>
      </c>
      <c r="Z181" s="385">
        <f t="shared" si="62"/>
        <v>48.465966443933972</v>
      </c>
      <c r="AA181" s="386">
        <f t="shared" si="63"/>
        <v>56.935475564538208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0.14875627254581844</v>
      </c>
      <c r="AD181" s="231">
        <f>(INDEX(Models!$BJ181:$BT181,,AH181)*(1-AF181)+INDEX(Models!$BJ181:$BT181,,AH181+1)*AF181-ERP_i)*AE181*Ramure*Pc/MaxiM</f>
        <v>1.3967686682808564E-4</v>
      </c>
      <c r="AE181" s="305">
        <f t="shared" si="65"/>
        <v>0.7</v>
      </c>
      <c r="AF181" s="177">
        <f t="shared" si="66"/>
        <v>0.22365318840565851</v>
      </c>
      <c r="AG181" s="810">
        <f t="shared" si="74"/>
        <v>0</v>
      </c>
      <c r="AH181" s="176">
        <f t="shared" si="67"/>
        <v>6</v>
      </c>
      <c r="AI181" s="225">
        <f t="shared" si="68"/>
        <v>0.22365318840565851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42">
        <v>50.878</v>
      </c>
      <c r="C182" s="840"/>
      <c r="D182" s="393">
        <f t="shared" si="50"/>
        <v>52.582500914410005</v>
      </c>
      <c r="E182" s="385">
        <f t="shared" si="75"/>
        <v>57.578946669191168</v>
      </c>
      <c r="F182" s="385">
        <f t="shared" si="51"/>
        <v>57.585907928631926</v>
      </c>
      <c r="G182" s="110">
        <f t="shared" si="76"/>
        <v>0.89902216242049382</v>
      </c>
      <c r="H182" s="414" t="b">
        <f>Wh_hp&gt;='2021'!Maxi_hp</f>
        <v>0</v>
      </c>
      <c r="I182" s="380">
        <f>IF(H182,Wh_hp,'2021'!Maxi_hp)</f>
        <v>63.498775239752014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3.2415744492344856E-2</v>
      </c>
      <c r="M182" s="844"/>
      <c r="N182" s="844"/>
      <c r="O182" s="48">
        <f>IF(t&lt;Tnet,'2021'!Resal+('2021'!Salim-'2021'!Resal)*(1-EXP(('2021'!Tnet-t)/('2021'!Tau_j))),Resal+(Salim-Resal)*(1-EXP((Tnet-t)/(Tau_j))))*Salcycl</f>
        <v>8.6775567178873345E-2</v>
      </c>
      <c r="P182" s="339">
        <f>(INDEX(Models!$BJ182:$BT182,,T182)*(1-R182)+INDEX(Models!$BJ182:$BT182,,T182+1)*R182-ERP_i)*Q182*Ramure*Pc/MaxiM</f>
        <v>1.4125813557989866E-4</v>
      </c>
      <c r="Q182" s="305">
        <f t="shared" si="53"/>
        <v>0.7</v>
      </c>
      <c r="R182" s="177">
        <f t="shared" si="54"/>
        <v>0.22769715442938634</v>
      </c>
      <c r="S182" s="810">
        <f t="shared" si="55"/>
        <v>0</v>
      </c>
      <c r="T182" s="176">
        <f t="shared" si="56"/>
        <v>6</v>
      </c>
      <c r="U182" s="251">
        <f t="shared" si="57"/>
        <v>0.22769715442938634</v>
      </c>
      <c r="V182" s="383">
        <f t="shared" si="58"/>
        <v>56.591445067148761</v>
      </c>
      <c r="W182" s="402">
        <f t="shared" si="59"/>
        <v>0</v>
      </c>
      <c r="X182" s="157">
        <f t="shared" si="60"/>
        <v>44729</v>
      </c>
      <c r="Y182" s="385">
        <f t="shared" si="61"/>
        <v>47.418497584705669</v>
      </c>
      <c r="Z182" s="385">
        <f t="shared" si="62"/>
        <v>49.007099190371761</v>
      </c>
      <c r="AA182" s="386">
        <f t="shared" si="63"/>
        <v>57.578946669191168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0.14887121030656078</v>
      </c>
      <c r="AD182" s="231">
        <f>(INDEX(Models!$BJ182:$BT182,,AH182)*(1-AF182)+INDEX(Models!$BJ182:$BT182,,AH182+1)*AF182-ERP_i)*AE182*Ramure*Pc/MaxiM</f>
        <v>1.4125813557989866E-4</v>
      </c>
      <c r="AE182" s="305">
        <f t="shared" si="65"/>
        <v>0.7</v>
      </c>
      <c r="AF182" s="177">
        <f t="shared" si="66"/>
        <v>0.22769715442938634</v>
      </c>
      <c r="AG182" s="810">
        <f t="shared" si="74"/>
        <v>0</v>
      </c>
      <c r="AH182" s="176">
        <f t="shared" si="67"/>
        <v>6</v>
      </c>
      <c r="AI182" s="225">
        <f t="shared" si="68"/>
        <v>0.22769715442938634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42">
        <v>53.139000000000003</v>
      </c>
      <c r="C183" s="840"/>
      <c r="D183" s="393">
        <f t="shared" si="50"/>
        <v>54.920526402177835</v>
      </c>
      <c r="E183" s="385">
        <f t="shared" si="75"/>
        <v>60.149101603356378</v>
      </c>
      <c r="F183" s="385">
        <f t="shared" si="51"/>
        <v>60.15695118089338</v>
      </c>
      <c r="G183" s="110">
        <f t="shared" si="76"/>
        <v>0.93967706618870894</v>
      </c>
      <c r="H183" s="414" t="b">
        <f>Wh_hp&gt;='2021'!Maxi_hp</f>
        <v>0</v>
      </c>
      <c r="I183" s="380">
        <f>IF(H183,Wh_hp,'2021'!Maxi_hp)</f>
        <v>60.833252001548445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3.2438261591520079E-2</v>
      </c>
      <c r="M183" s="844"/>
      <c r="N183" s="844"/>
      <c r="O183" s="48">
        <f>IF(t&lt;Tnet,'2021'!Resal+('2021'!Salim-'2021'!Resal)*(1-EXP(('2021'!Tnet-t)/('2021'!Tau_j))),Resal+(Salim-Resal)*(1-EXP((Tnet-t)/(Tau_j))))*Salcycl</f>
        <v>8.6926904339445374E-2</v>
      </c>
      <c r="P183" s="339">
        <f>(INDEX(Models!$BJ183:$BT183,,T183)*(1-R183)+INDEX(Models!$BJ183:$BT183,,T183+1)*R183-ERP_i)*Q183*Ramure*Pc/MaxiM</f>
        <v>1.4278739677372839E-4</v>
      </c>
      <c r="Q183" s="305">
        <f t="shared" si="53"/>
        <v>0.7</v>
      </c>
      <c r="R183" s="177">
        <f t="shared" si="54"/>
        <v>0.23171745265520391</v>
      </c>
      <c r="S183" s="810">
        <f t="shared" si="55"/>
        <v>0</v>
      </c>
      <c r="T183" s="176">
        <f t="shared" si="56"/>
        <v>6</v>
      </c>
      <c r="U183" s="251">
        <f t="shared" si="57"/>
        <v>0.23171745265520391</v>
      </c>
      <c r="V183" s="383">
        <f t="shared" si="58"/>
        <v>56.549582923390645</v>
      </c>
      <c r="W183" s="402">
        <f t="shared" si="59"/>
        <v>0</v>
      </c>
      <c r="X183" s="157">
        <f t="shared" si="60"/>
        <v>44730</v>
      </c>
      <c r="Y183" s="385">
        <f t="shared" si="61"/>
        <v>49.527416082148484</v>
      </c>
      <c r="Z183" s="385">
        <f t="shared" si="62"/>
        <v>51.187861317888604</v>
      </c>
      <c r="AA183" s="386">
        <f t="shared" si="63"/>
        <v>60.149101603356378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0.14898377609297045</v>
      </c>
      <c r="AD183" s="231">
        <f>(INDEX(Models!$BJ183:$BT183,,AH183)*(1-AF183)+INDEX(Models!$BJ183:$BT183,,AH183+1)*AF183-ERP_i)*AE183*Ramure*Pc/MaxiM</f>
        <v>1.4278739677372839E-4</v>
      </c>
      <c r="AE183" s="305">
        <f t="shared" si="65"/>
        <v>0.7</v>
      </c>
      <c r="AF183" s="177">
        <f t="shared" si="66"/>
        <v>0.23171745265520391</v>
      </c>
      <c r="AG183" s="810">
        <f t="shared" si="74"/>
        <v>0</v>
      </c>
      <c r="AH183" s="176">
        <f t="shared" si="67"/>
        <v>6</v>
      </c>
      <c r="AI183" s="225">
        <f t="shared" si="68"/>
        <v>0.23171745265520391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42">
        <v>54.456000000000003</v>
      </c>
      <c r="C184" s="840"/>
      <c r="D184" s="393">
        <f t="shared" si="50"/>
        <v>56.282989641304475</v>
      </c>
      <c r="E184" s="385">
        <f t="shared" si="75"/>
        <v>61.651397158953984</v>
      </c>
      <c r="F184" s="385">
        <f t="shared" si="51"/>
        <v>61.659826867162181</v>
      </c>
      <c r="G184" s="110">
        <f t="shared" si="76"/>
        <v>0.96372454434320842</v>
      </c>
      <c r="H184" s="414" t="b">
        <f>Wh_hp&gt;='2021'!Maxi_hp</f>
        <v>1</v>
      </c>
      <c r="I184" s="380">
        <f>IF(H184,Wh_hp,'2021'!Maxi_hp)</f>
        <v>61.659826867162181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3.2460778166689574E-2</v>
      </c>
      <c r="M184" s="844"/>
      <c r="N184" s="844"/>
      <c r="O184" s="48">
        <f>IF(t&lt;Tnet,'2021'!Resal+('2021'!Salim-'2021'!Resal)*(1-EXP(('2021'!Tnet-t)/('2021'!Tau_j))),Resal+(Salim-Resal)*(1-EXP((Tnet-t)/(Tau_j))))*Salcycl</f>
        <v>8.7076818450817967E-2</v>
      </c>
      <c r="P184" s="339">
        <f>(INDEX(Models!$BJ184:$BT184,,T184)*(1-R184)+INDEX(Models!$BJ184:$BT184,,T184+1)*R184-ERP_i)*Q184*Ramure*Pc/MaxiM</f>
        <v>1.4418354244894583E-4</v>
      </c>
      <c r="Q184" s="305">
        <f t="shared" si="53"/>
        <v>0.7</v>
      </c>
      <c r="R184" s="177">
        <f t="shared" si="54"/>
        <v>0.23571092738673391</v>
      </c>
      <c r="S184" s="810">
        <f t="shared" si="55"/>
        <v>0</v>
      </c>
      <c r="T184" s="176">
        <f t="shared" si="56"/>
        <v>6</v>
      </c>
      <c r="U184" s="251">
        <f t="shared" si="57"/>
        <v>0.23571092738673391</v>
      </c>
      <c r="V184" s="383">
        <f t="shared" si="58"/>
        <v>56.505350471235786</v>
      </c>
      <c r="W184" s="402">
        <f t="shared" si="59"/>
        <v>0</v>
      </c>
      <c r="X184" s="157">
        <f t="shared" si="60"/>
        <v>44731</v>
      </c>
      <c r="Y184" s="385">
        <f t="shared" si="61"/>
        <v>50.756670443993542</v>
      </c>
      <c r="Z184" s="385">
        <f t="shared" si="62"/>
        <v>52.459548200866635</v>
      </c>
      <c r="AA184" s="386">
        <f t="shared" si="63"/>
        <v>61.651397158953984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0.14909392782110475</v>
      </c>
      <c r="AD184" s="231">
        <f>(INDEX(Models!$BJ184:$BT184,,AH184)*(1-AF184)+INDEX(Models!$BJ184:$BT184,,AH184+1)*AF184-ERP_i)*AE184*Ramure*Pc/MaxiM</f>
        <v>1.4418354244894583E-4</v>
      </c>
      <c r="AE184" s="305">
        <f t="shared" si="65"/>
        <v>0.7</v>
      </c>
      <c r="AF184" s="177">
        <f t="shared" si="66"/>
        <v>0.23571092738673391</v>
      </c>
      <c r="AG184" s="810">
        <f t="shared" si="74"/>
        <v>0</v>
      </c>
      <c r="AH184" s="176">
        <f t="shared" si="67"/>
        <v>6</v>
      </c>
      <c r="AI184" s="225">
        <f t="shared" si="68"/>
        <v>0.23571092738673391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42">
        <v>32.15</v>
      </c>
      <c r="C185" s="840"/>
      <c r="D185" s="393">
        <f t="shared" si="50"/>
        <v>33.229400389536572</v>
      </c>
      <c r="E185" s="385">
        <f t="shared" si="75"/>
        <v>36.404821301559117</v>
      </c>
      <c r="F185" s="385">
        <f t="shared" si="51"/>
        <v>36.406859112425209</v>
      </c>
      <c r="G185" s="110">
        <f t="shared" si="76"/>
        <v>0.56939036106926832</v>
      </c>
      <c r="H185" s="414" t="b">
        <f>Wh_hp&gt;='2021'!Maxi_hp</f>
        <v>0</v>
      </c>
      <c r="I185" s="380">
        <f>IF(H185,Wh_hp,'2021'!Maxi_hp)</f>
        <v>56.819376844927362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3.2483294217865555E-2</v>
      </c>
      <c r="M185" s="844"/>
      <c r="N185" s="844"/>
      <c r="O185" s="48">
        <f>IF(t&lt;Tnet,'2021'!Resal+('2021'!Salim-'2021'!Resal)*(1-EXP(('2021'!Tnet-t)/('2021'!Tau_j))),Resal+(Salim-Resal)*(1-EXP((Tnet-t)/(Tau_j))))*Salcycl</f>
        <v>8.7225284962092378E-2</v>
      </c>
      <c r="P185" s="339">
        <f>(INDEX(Models!$BJ185:$BT185,,T185)*(1-R185)+INDEX(Models!$BJ185:$BT185,,T185+1)*R185-ERP_i)*Q185*Ramure*Pc/MaxiM</f>
        <v>1.4541678563644272E-4</v>
      </c>
      <c r="Q185" s="305">
        <f t="shared" si="53"/>
        <v>0.7</v>
      </c>
      <c r="R185" s="177">
        <f t="shared" si="54"/>
        <v>0.23967450984839977</v>
      </c>
      <c r="S185" s="810">
        <f t="shared" si="55"/>
        <v>0</v>
      </c>
      <c r="T185" s="176">
        <f t="shared" si="56"/>
        <v>6</v>
      </c>
      <c r="U185" s="251">
        <f t="shared" si="57"/>
        <v>0.23967450984839977</v>
      </c>
      <c r="V185" s="383">
        <f t="shared" si="58"/>
        <v>56.458848670282926</v>
      </c>
      <c r="W185" s="402">
        <f t="shared" si="59"/>
        <v>0</v>
      </c>
      <c r="X185" s="157">
        <f t="shared" si="60"/>
        <v>44732</v>
      </c>
      <c r="Y185" s="385">
        <f t="shared" si="61"/>
        <v>29.967052246894657</v>
      </c>
      <c r="Z185" s="385">
        <f t="shared" si="62"/>
        <v>30.97316260050464</v>
      </c>
      <c r="AA185" s="386">
        <f t="shared" si="63"/>
        <v>36.404821301559117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0.14920163063187056</v>
      </c>
      <c r="AD185" s="231">
        <f>(INDEX(Models!$BJ185:$BT185,,AH185)*(1-AF185)+INDEX(Models!$BJ185:$BT185,,AH185+1)*AF185-ERP_i)*AE185*Ramure*Pc/MaxiM</f>
        <v>1.4541678563644272E-4</v>
      </c>
      <c r="AE185" s="305">
        <f t="shared" si="65"/>
        <v>0.7</v>
      </c>
      <c r="AF185" s="177">
        <f t="shared" si="66"/>
        <v>0.23967450984839977</v>
      </c>
      <c r="AG185" s="810">
        <f t="shared" si="74"/>
        <v>0</v>
      </c>
      <c r="AH185" s="176">
        <f t="shared" si="67"/>
        <v>6</v>
      </c>
      <c r="AI185" s="225">
        <f t="shared" si="68"/>
        <v>0.23967450984839977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42">
        <v>22.472999999999999</v>
      </c>
      <c r="C186" s="840"/>
      <c r="D186" s="393">
        <f t="shared" si="50"/>
        <v>23.228046458943844</v>
      </c>
      <c r="E186" s="385">
        <f t="shared" si="75"/>
        <v>25.451831058172278</v>
      </c>
      <c r="F186" s="385">
        <f t="shared" si="51"/>
        <v>25.452355083009575</v>
      </c>
      <c r="G186" s="110">
        <f t="shared" si="76"/>
        <v>0.39833540756428071</v>
      </c>
      <c r="H186" s="414" t="b">
        <f>Wh_hp&gt;='2021'!Maxi_hp</f>
        <v>0</v>
      </c>
      <c r="I186" s="380">
        <f>IF(H186,Wh_hp,'2021'!Maxi_hp)</f>
        <v>51.722405668054598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3.250580974506001E-2</v>
      </c>
      <c r="M186" s="844"/>
      <c r="N186" s="844"/>
      <c r="O186" s="48">
        <f>IF(t&lt;Tnet,'2021'!Resal+('2021'!Salim-'2021'!Resal)*(1-EXP(('2021'!Tnet-t)/('2021'!Tau_j))),Resal+(Salim-Resal)*(1-EXP((Tnet-t)/(Tau_j))))*Salcycl</f>
        <v>8.7372283516490026E-2</v>
      </c>
      <c r="P186" s="339">
        <f>(INDEX(Models!$BJ186:$BT186,,T186)*(1-R186)+INDEX(Models!$BJ186:$BT186,,T186+1)*R186-ERP_i)*Q186*Ramure*Pc/MaxiM</f>
        <v>1.4648412477467863E-4</v>
      </c>
      <c r="Q186" s="305">
        <f t="shared" si="53"/>
        <v>0.7</v>
      </c>
      <c r="R186" s="177">
        <f t="shared" si="54"/>
        <v>0.24360522708810112</v>
      </c>
      <c r="S186" s="810">
        <f t="shared" si="55"/>
        <v>0</v>
      </c>
      <c r="T186" s="176">
        <f t="shared" si="56"/>
        <v>6</v>
      </c>
      <c r="U186" s="251">
        <f t="shared" si="57"/>
        <v>0.24360522708810112</v>
      </c>
      <c r="V186" s="383">
        <f t="shared" si="58"/>
        <v>56.410176604463707</v>
      </c>
      <c r="W186" s="402">
        <f t="shared" si="59"/>
        <v>0</v>
      </c>
      <c r="X186" s="157">
        <f t="shared" si="60"/>
        <v>44733</v>
      </c>
      <c r="Y186" s="385">
        <f t="shared" si="61"/>
        <v>20.947892178329674</v>
      </c>
      <c r="Z186" s="385">
        <f t="shared" si="62"/>
        <v>21.651698159355139</v>
      </c>
      <c r="AA186" s="386">
        <f t="shared" si="63"/>
        <v>25.451831058172278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0.14930685694603346</v>
      </c>
      <c r="AD186" s="231">
        <f>(INDEX(Models!$BJ186:$BT186,,AH186)*(1-AF186)+INDEX(Models!$BJ186:$BT186,,AH186+1)*AF186-ERP_i)*AE186*Ramure*Pc/MaxiM</f>
        <v>1.4648412477467863E-4</v>
      </c>
      <c r="AE186" s="305">
        <f t="shared" si="65"/>
        <v>0.7</v>
      </c>
      <c r="AF186" s="177">
        <f t="shared" si="66"/>
        <v>0.24360522708810112</v>
      </c>
      <c r="AG186" s="810">
        <f t="shared" si="74"/>
        <v>0</v>
      </c>
      <c r="AH186" s="176">
        <f t="shared" si="67"/>
        <v>6</v>
      </c>
      <c r="AI186" s="225">
        <f t="shared" si="68"/>
        <v>0.24360522708810112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42">
        <v>42.271999999999998</v>
      </c>
      <c r="C187" s="840"/>
      <c r="D187" s="393">
        <f t="shared" si="50"/>
        <v>43.69326883807917</v>
      </c>
      <c r="E187" s="385">
        <f t="shared" si="75"/>
        <v>47.883968302512457</v>
      </c>
      <c r="F187" s="385">
        <f t="shared" si="51"/>
        <v>47.88850598049445</v>
      </c>
      <c r="G187" s="110">
        <f t="shared" si="76"/>
        <v>0.75000355527535223</v>
      </c>
      <c r="H187" s="414" t="b">
        <f>Wh_hp&gt;='2021'!Maxi_hp</f>
        <v>0</v>
      </c>
      <c r="I187" s="380">
        <f>IF(H187,Wh_hp,'2021'!Maxi_hp)</f>
        <v>65.775267938024328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3.2528324748285264E-2</v>
      </c>
      <c r="M187" s="844"/>
      <c r="N187" s="844"/>
      <c r="O187" s="48">
        <f>IF(t&lt;Tnet,'2021'!Resal+('2021'!Salim-'2021'!Resal)*(1-EXP(('2021'!Tnet-t)/('2021'!Tau_j))),Resal+(Salim-Resal)*(1-EXP((Tnet-t)/(Tau_j))))*Salcycl</f>
        <v>8.7517797981112699E-2</v>
      </c>
      <c r="P187" s="339">
        <f>(INDEX(Models!$BJ187:$BT187,,T187)*(1-R187)+INDEX(Models!$BJ187:$BT187,,T187+1)*R187-ERP_i)*Q187*Ramure*Pc/MaxiM</f>
        <v>1.4738265734424915E-4</v>
      </c>
      <c r="Q187" s="305">
        <f t="shared" si="53"/>
        <v>0.7</v>
      </c>
      <c r="R187" s="177">
        <f t="shared" si="54"/>
        <v>0.24750021024017121</v>
      </c>
      <c r="S187" s="810">
        <f t="shared" si="55"/>
        <v>0</v>
      </c>
      <c r="T187" s="176">
        <f t="shared" si="56"/>
        <v>6</v>
      </c>
      <c r="U187" s="251">
        <f t="shared" si="57"/>
        <v>0.24750021024017121</v>
      </c>
      <c r="V187" s="383">
        <f t="shared" si="58"/>
        <v>56.35943298911976</v>
      </c>
      <c r="W187" s="402">
        <f t="shared" si="59"/>
        <v>0</v>
      </c>
      <c r="X187" s="157">
        <f t="shared" si="60"/>
        <v>44734</v>
      </c>
      <c r="Y187" s="385">
        <f t="shared" si="61"/>
        <v>39.404777299551576</v>
      </c>
      <c r="Z187" s="385">
        <f t="shared" si="62"/>
        <v>40.729644399459367</v>
      </c>
      <c r="AA187" s="386">
        <f t="shared" si="63"/>
        <v>47.883968302512457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0.14940958647902422</v>
      </c>
      <c r="AD187" s="231">
        <f>(INDEX(Models!$BJ187:$BT187,,AH187)*(1-AF187)+INDEX(Models!$BJ187:$BT187,,AH187+1)*AF187-ERP_i)*AE187*Ramure*Pc/MaxiM</f>
        <v>1.4738265734424915E-4</v>
      </c>
      <c r="AE187" s="305">
        <f t="shared" si="65"/>
        <v>0.7</v>
      </c>
      <c r="AF187" s="177">
        <f t="shared" si="66"/>
        <v>0.24750021024017121</v>
      </c>
      <c r="AG187" s="810">
        <f t="shared" si="74"/>
        <v>0</v>
      </c>
      <c r="AH187" s="176">
        <f t="shared" si="67"/>
        <v>6</v>
      </c>
      <c r="AI187" s="225">
        <f t="shared" si="68"/>
        <v>0.24750021024017121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42">
        <v>40.213000000000001</v>
      </c>
      <c r="C188" s="840"/>
      <c r="D188" s="393">
        <f t="shared" si="50"/>
        <v>41.566008458669273</v>
      </c>
      <c r="E188" s="385">
        <f t="shared" si="75"/>
        <v>45.559869364524957</v>
      </c>
      <c r="F188" s="385">
        <f t="shared" si="51"/>
        <v>45.563862259688264</v>
      </c>
      <c r="G188" s="110">
        <f t="shared" si="76"/>
        <v>0.71413448644421818</v>
      </c>
      <c r="H188" s="414" t="b">
        <f>Wh_hp&gt;='2021'!Maxi_hp</f>
        <v>0</v>
      </c>
      <c r="I188" s="380">
        <f>IF(H188,Wh_hp,'2021'!Maxi_hp)</f>
        <v>56.866605968442144</v>
      </c>
      <c r="J188" s="85">
        <f>IF(H188,An,'2021'!An_max)</f>
        <v>2019</v>
      </c>
      <c r="K188" s="197">
        <f t="shared" si="52"/>
        <v>44735</v>
      </c>
      <c r="L188" s="147">
        <f>IF(t&lt;Tvie,1-EXP((T0-t)*PertePVj)+'2021'!Pspv,1-EXP((T0-t)*PertePVj)+Pspv)</f>
        <v>3.255083922755353E-2</v>
      </c>
      <c r="M188" s="844"/>
      <c r="N188" s="844"/>
      <c r="O188" s="48">
        <f>IF(t&lt;Tnet,'2021'!Resal+('2021'!Salim-'2021'!Resal)*(1-EXP(('2021'!Tnet-t)/('2021'!Tau_j))),Resal+(Salim-Resal)*(1-EXP((Tnet-t)/(Tau_j))))*Salcycl</f>
        <v>8.7661816453000835E-2</v>
      </c>
      <c r="P188" s="339">
        <f>(INDEX(Models!$BJ188:$BT188,,T188)*(1-R188)+INDEX(Models!$BJ188:$BT188,,T188+1)*R188-ERP_i)*Q188*Ramure*Pc/MaxiM</f>
        <v>1.4810807112416909E-4</v>
      </c>
      <c r="Q188" s="305">
        <f t="shared" si="53"/>
        <v>0.7</v>
      </c>
      <c r="R188" s="177">
        <f t="shared" si="54"/>
        <v>0.25135670210514877</v>
      </c>
      <c r="S188" s="810">
        <f t="shared" si="55"/>
        <v>0</v>
      </c>
      <c r="T188" s="176">
        <f t="shared" si="56"/>
        <v>6</v>
      </c>
      <c r="U188" s="251">
        <f t="shared" si="57"/>
        <v>0.25135670210514877</v>
      </c>
      <c r="V188" s="383">
        <f t="shared" si="58"/>
        <v>56.30671626096003</v>
      </c>
      <c r="W188" s="402">
        <f t="shared" si="59"/>
        <v>0</v>
      </c>
      <c r="X188" s="157">
        <f t="shared" si="60"/>
        <v>44735</v>
      </c>
      <c r="Y188" s="385">
        <f t="shared" si="61"/>
        <v>37.486934975902734</v>
      </c>
      <c r="Z188" s="385">
        <f t="shared" si="62"/>
        <v>38.748222124635269</v>
      </c>
      <c r="AA188" s="386">
        <f t="shared" si="63"/>
        <v>45.559869364524957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0.1495098062154136</v>
      </c>
      <c r="AD188" s="231">
        <f>(INDEX(Models!$BJ188:$BT188,,AH188)*(1-AF188)+INDEX(Models!$BJ188:$BT188,,AH188+1)*AF188-ERP_i)*AE188*Ramure*Pc/MaxiM</f>
        <v>1.4810807112416909E-4</v>
      </c>
      <c r="AE188" s="305">
        <f t="shared" si="65"/>
        <v>0.7</v>
      </c>
      <c r="AF188" s="177">
        <f t="shared" si="66"/>
        <v>0.25135670210514877</v>
      </c>
      <c r="AG188" s="810">
        <f t="shared" si="74"/>
        <v>0</v>
      </c>
      <c r="AH188" s="176">
        <f t="shared" si="67"/>
        <v>6</v>
      </c>
      <c r="AI188" s="225">
        <f t="shared" si="68"/>
        <v>0.25135670210514877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42">
        <v>38.76</v>
      </c>
      <c r="C189" s="840"/>
      <c r="D189" s="393">
        <f t="shared" si="50"/>
        <v>40.065053125755973</v>
      </c>
      <c r="E189" s="385">
        <f t="shared" si="75"/>
        <v>43.921555975245788</v>
      </c>
      <c r="F189" s="385">
        <f t="shared" si="51"/>
        <v>43.925185026922428</v>
      </c>
      <c r="G189" s="110">
        <f t="shared" si="76"/>
        <v>0.68899513632708609</v>
      </c>
      <c r="H189" s="414" t="b">
        <f>Wh_hp&gt;='2021'!Maxi_hp</f>
        <v>0</v>
      </c>
      <c r="I189" s="380">
        <f>IF(H189,Wh_hp,'2021'!Maxi_hp)</f>
        <v>64.123502417734827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3.2573353182876907E-2</v>
      </c>
      <c r="M189" s="844"/>
      <c r="N189" s="844"/>
      <c r="O189" s="48">
        <f>IF(t&lt;Tnet,'2021'!Resal+('2021'!Salim-'2021'!Resal)*(1-EXP(('2021'!Tnet-t)/('2021'!Tau_j))),Resal+(Salim-Resal)*(1-EXP((Tnet-t)/(Tau_j))))*Salcycl</f>
        <v>8.7804331241437369E-2</v>
      </c>
      <c r="P189" s="339">
        <f>(INDEX(Models!$BJ189:$BT189,,T189)*(1-R189)+INDEX(Models!$BJ189:$BT189,,T189+1)*R189-ERP_i)*Q189*Ramure*Pc/MaxiM</f>
        <v>1.4865606043509196E-4</v>
      </c>
      <c r="Q189" s="305">
        <f t="shared" si="53"/>
        <v>0.7</v>
      </c>
      <c r="R189" s="177">
        <f t="shared" si="54"/>
        <v>0.25517206401038267</v>
      </c>
      <c r="S189" s="810">
        <f t="shared" si="55"/>
        <v>0</v>
      </c>
      <c r="T189" s="176">
        <f t="shared" si="56"/>
        <v>6</v>
      </c>
      <c r="U189" s="251">
        <f t="shared" si="57"/>
        <v>0.25517206401038267</v>
      </c>
      <c r="V189" s="383">
        <f t="shared" si="58"/>
        <v>56.25212450097596</v>
      </c>
      <c r="W189" s="402">
        <f t="shared" si="59"/>
        <v>0</v>
      </c>
      <c r="X189" s="157">
        <f t="shared" si="60"/>
        <v>44736</v>
      </c>
      <c r="Y189" s="385">
        <f t="shared" si="61"/>
        <v>36.133928309431752</v>
      </c>
      <c r="Z189" s="385">
        <f t="shared" si="62"/>
        <v>37.350561335388051</v>
      </c>
      <c r="AA189" s="386">
        <f t="shared" si="63"/>
        <v>43.921555975245788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0.14960751034323902</v>
      </c>
      <c r="AD189" s="231">
        <f>(INDEX(Models!$BJ189:$BT189,,AH189)*(1-AF189)+INDEX(Models!$BJ189:$BT189,,AH189+1)*AF189-ERP_i)*AE189*Ramure*Pc/MaxiM</f>
        <v>1.4865606043509196E-4</v>
      </c>
      <c r="AE189" s="305">
        <f t="shared" si="65"/>
        <v>0.7</v>
      </c>
      <c r="AF189" s="177">
        <f t="shared" si="66"/>
        <v>0.25517206401038267</v>
      </c>
      <c r="AG189" s="810">
        <f t="shared" si="74"/>
        <v>0</v>
      </c>
      <c r="AH189" s="176">
        <f t="shared" si="67"/>
        <v>6</v>
      </c>
      <c r="AI189" s="225">
        <f t="shared" si="68"/>
        <v>0.25517206401038267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42">
        <v>31.922000000000001</v>
      </c>
      <c r="C190" s="840"/>
      <c r="D190" s="393">
        <f t="shared" si="50"/>
        <v>32.997584875184494</v>
      </c>
      <c r="E190" s="385">
        <f t="shared" si="75"/>
        <v>36.179393933180151</v>
      </c>
      <c r="F190" s="385">
        <f t="shared" si="51"/>
        <v>36.181458646857216</v>
      </c>
      <c r="G190" s="110">
        <f t="shared" si="76"/>
        <v>0.56799778095869402</v>
      </c>
      <c r="H190" s="414" t="b">
        <f>Wh_hp&gt;='2021'!Maxi_hp</f>
        <v>0</v>
      </c>
      <c r="I190" s="380">
        <f>IF(H190,Wh_hp,'2021'!Maxi_hp)</f>
        <v>60.228576007833119</v>
      </c>
      <c r="J190" s="85">
        <f>IF(H190,An,'2021'!An_max)</f>
        <v>2019</v>
      </c>
      <c r="K190" s="197">
        <f t="shared" si="52"/>
        <v>44737</v>
      </c>
      <c r="L190" s="147">
        <f>IF(t&lt;Tvie,1-EXP((T0-t)*PertePVj)+'2021'!Pspv,1-EXP((T0-t)*PertePVj)+Pspv)</f>
        <v>3.2595866614267721E-2</v>
      </c>
      <c r="M190" s="844"/>
      <c r="N190" s="844"/>
      <c r="O190" s="48">
        <f>IF(t&lt;Tnet,'2021'!Resal+('2021'!Salim-'2021'!Resal)*(1-EXP(('2021'!Tnet-t)/('2021'!Tau_j))),Resal+(Salim-Resal)*(1-EXP((Tnet-t)/(Tau_j))))*Salcycl</f>
        <v>8.7945338826630207E-2</v>
      </c>
      <c r="P190" s="339">
        <f>(INDEX(Models!$BJ190:$BT190,,T190)*(1-R190)+INDEX(Models!$BJ190:$BT190,,T190+1)*R190-ERP_i)*Q190*Ramure*Pc/MaxiM</f>
        <v>1.4902391133646251E-4</v>
      </c>
      <c r="Q190" s="305">
        <f t="shared" si="53"/>
        <v>0.7</v>
      </c>
      <c r="R190" s="177">
        <f t="shared" si="54"/>
        <v>0.25894378192316336</v>
      </c>
      <c r="S190" s="810">
        <f t="shared" si="55"/>
        <v>0</v>
      </c>
      <c r="T190" s="176">
        <f t="shared" si="56"/>
        <v>6</v>
      </c>
      <c r="U190" s="251">
        <f t="shared" si="57"/>
        <v>0.25894378192316336</v>
      </c>
      <c r="V190" s="383">
        <f t="shared" si="58"/>
        <v>56.195755347434499</v>
      </c>
      <c r="W190" s="402">
        <f t="shared" si="59"/>
        <v>0</v>
      </c>
      <c r="X190" s="157">
        <f t="shared" si="60"/>
        <v>44737</v>
      </c>
      <c r="Y190" s="385">
        <f t="shared" si="61"/>
        <v>29.760486472306127</v>
      </c>
      <c r="Z190" s="385">
        <f t="shared" si="62"/>
        <v>30.76324097164029</v>
      </c>
      <c r="AA190" s="386">
        <f t="shared" si="63"/>
        <v>36.179393933180151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0.14970270014868062</v>
      </c>
      <c r="AD190" s="231">
        <f>(INDEX(Models!$BJ190:$BT190,,AH190)*(1-AF190)+INDEX(Models!$BJ190:$BT190,,AH190+1)*AF190-ERP_i)*AE190*Ramure*Pc/MaxiM</f>
        <v>1.4902391133646251E-4</v>
      </c>
      <c r="AE190" s="305">
        <f t="shared" si="65"/>
        <v>0.7</v>
      </c>
      <c r="AF190" s="177">
        <f t="shared" si="66"/>
        <v>0.25894378192316336</v>
      </c>
      <c r="AG190" s="810">
        <f t="shared" si="74"/>
        <v>0</v>
      </c>
      <c r="AH190" s="176">
        <f t="shared" si="67"/>
        <v>6</v>
      </c>
      <c r="AI190" s="225">
        <f t="shared" si="68"/>
        <v>0.25894378192316336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42">
        <v>12.06</v>
      </c>
      <c r="C191" s="840"/>
      <c r="D191" s="393">
        <f t="shared" si="50"/>
        <v>12.466641648657417</v>
      </c>
      <c r="E191" s="385">
        <f t="shared" si="75"/>
        <v>13.67083495558531</v>
      </c>
      <c r="F191" s="385">
        <f t="shared" si="51"/>
        <v>13.67083495558531</v>
      </c>
      <c r="G191" s="110">
        <f t="shared" si="76"/>
        <v>0.21479613978345086</v>
      </c>
      <c r="H191" s="414" t="b">
        <f>Wh_hp&gt;='2021'!Maxi_hp</f>
        <v>0</v>
      </c>
      <c r="I191" s="380">
        <f>IF(H191,Wh_hp,'2021'!Maxi_hp)</f>
        <v>61.391181124623479</v>
      </c>
      <c r="J191" s="85">
        <f>IF(H191,An,'2021'!An_max)</f>
        <v>2019</v>
      </c>
      <c r="K191" s="197">
        <f t="shared" si="52"/>
        <v>44738</v>
      </c>
      <c r="L191" s="147">
        <f>IF(t&lt;Tvie,1-EXP((T0-t)*PertePVj)+'2021'!Pspv,1-EXP((T0-t)*PertePVj)+Pspv)</f>
        <v>3.2618379521738183E-2</v>
      </c>
      <c r="M191" s="844"/>
      <c r="N191" s="844"/>
      <c r="O191" s="48">
        <f>IF(t&lt;Tnet,'2021'!Resal+('2021'!Salim-'2021'!Resal)*(1-EXP(('2021'!Tnet-t)/('2021'!Tau_j))),Resal+(Salim-Resal)*(1-EXP((Tnet-t)/(Tau_j))))*Salcycl</f>
        <v>8.808483979509335E-2</v>
      </c>
      <c r="P191" s="339">
        <f>(INDEX(Models!$BJ191:$BT191,,T191)*(1-R191)+INDEX(Models!$BJ191:$BT191,,T191+1)*R191-ERP_i)*Q191*Ramure*Pc/MaxiM</f>
        <v>1.4920857790797938E-4</v>
      </c>
      <c r="Q191" s="305">
        <f t="shared" si="53"/>
        <v>0.7</v>
      </c>
      <c r="R191" s="177">
        <f t="shared" si="54"/>
        <v>0.26266947179582917</v>
      </c>
      <c r="S191" s="810">
        <f t="shared" si="55"/>
        <v>0</v>
      </c>
      <c r="T191" s="176">
        <f t="shared" si="56"/>
        <v>6</v>
      </c>
      <c r="U191" s="251">
        <f t="shared" si="57"/>
        <v>0.26266947179582917</v>
      </c>
      <c r="V191" s="383">
        <f t="shared" si="58"/>
        <v>56.137882909381148</v>
      </c>
      <c r="W191" s="402">
        <f t="shared" si="59"/>
        <v>0</v>
      </c>
      <c r="X191" s="157">
        <f t="shared" si="60"/>
        <v>44738</v>
      </c>
      <c r="Y191" s="385">
        <f t="shared" si="61"/>
        <v>11.243883332525144</v>
      </c>
      <c r="Z191" s="385">
        <f t="shared" si="62"/>
        <v>11.623006985564087</v>
      </c>
      <c r="AA191" s="386">
        <f t="shared" si="63"/>
        <v>13.67083495558531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0.149795383871895</v>
      </c>
      <c r="AD191" s="231">
        <f>(INDEX(Models!$BJ191:$BT191,,AH191)*(1-AF191)+INDEX(Models!$BJ191:$BT191,,AH191+1)*AF191-ERP_i)*AE191*Ramure*Pc/MaxiM</f>
        <v>1.4920857790797938E-4</v>
      </c>
      <c r="AE191" s="305">
        <f t="shared" si="65"/>
        <v>0.7</v>
      </c>
      <c r="AF191" s="177">
        <f t="shared" si="66"/>
        <v>0.26266947179582917</v>
      </c>
      <c r="AG191" s="810">
        <f t="shared" si="74"/>
        <v>0</v>
      </c>
      <c r="AH191" s="176">
        <f t="shared" si="67"/>
        <v>6</v>
      </c>
      <c r="AI191" s="225">
        <f t="shared" si="68"/>
        <v>0.26266947179582917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42">
        <v>14.038</v>
      </c>
      <c r="C192" s="840"/>
      <c r="D192" s="393">
        <f t="shared" si="50"/>
        <v>14.511673981805057</v>
      </c>
      <c r="E192" s="385">
        <f t="shared" si="75"/>
        <v>15.915812106925094</v>
      </c>
      <c r="F192" s="385">
        <f t="shared" si="51"/>
        <v>15.915812106925094</v>
      </c>
      <c r="G192" s="110">
        <f t="shared" si="76"/>
        <v>0.25028992227189906</v>
      </c>
      <c r="H192" s="414" t="b">
        <f>Wh_hp&gt;='2021'!Maxi_hp</f>
        <v>0</v>
      </c>
      <c r="I192" s="380">
        <f>IF(H192,Wh_hp,'2021'!Maxi_hp)</f>
        <v>61.300290769717577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3.2640891905300284E-2</v>
      </c>
      <c r="M192" s="844"/>
      <c r="N192" s="844"/>
      <c r="O192" s="48">
        <f>IF(t&lt;Tnet,'2021'!Resal+('2021'!Salim-'2021'!Resal)*(1-EXP(('2021'!Tnet-t)/('2021'!Tau_j))),Resal+(Salim-Resal)*(1-EXP((Tnet-t)/(Tau_j))))*Salcycl</f>
        <v>8.822283875222961E-2</v>
      </c>
      <c r="P192" s="339">
        <f>(INDEX(Models!$BJ192:$BT192,,T192)*(1-R192)+INDEX(Models!$BJ192:$BT192,,T192+1)*R192-ERP_i)*Q192*Ramure*Pc/MaxiM</f>
        <v>1.4923711378053844E-4</v>
      </c>
      <c r="Q192" s="305">
        <f t="shared" si="53"/>
        <v>0.7</v>
      </c>
      <c r="R192" s="177">
        <f t="shared" si="54"/>
        <v>0.2663468841300029</v>
      </c>
      <c r="S192" s="810">
        <f t="shared" si="55"/>
        <v>0</v>
      </c>
      <c r="T192" s="176">
        <f t="shared" si="56"/>
        <v>6</v>
      </c>
      <c r="U192" s="251">
        <f t="shared" si="57"/>
        <v>0.2663468841300029</v>
      </c>
      <c r="V192" s="383">
        <f t="shared" si="58"/>
        <v>56.078586312991987</v>
      </c>
      <c r="W192" s="402">
        <f t="shared" si="59"/>
        <v>0</v>
      </c>
      <c r="X192" s="157">
        <f t="shared" si="60"/>
        <v>44739</v>
      </c>
      <c r="Y192" s="385">
        <f t="shared" si="61"/>
        <v>13.088621632514656</v>
      </c>
      <c r="Z192" s="385">
        <f t="shared" si="62"/>
        <v>13.530261433413147</v>
      </c>
      <c r="AA192" s="386">
        <f t="shared" si="63"/>
        <v>15.915812106925094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0.14988557652511969</v>
      </c>
      <c r="AD192" s="231">
        <f>(INDEX(Models!$BJ192:$BT192,,AH192)*(1-AF192)+INDEX(Models!$BJ192:$BT192,,AH192+1)*AF192-ERP_i)*AE192*Ramure*Pc/MaxiM</f>
        <v>1.4923711378053844E-4</v>
      </c>
      <c r="AE192" s="305">
        <f t="shared" si="65"/>
        <v>0.7</v>
      </c>
      <c r="AF192" s="177">
        <f t="shared" si="66"/>
        <v>0.2663468841300029</v>
      </c>
      <c r="AG192" s="810">
        <f t="shared" si="74"/>
        <v>0</v>
      </c>
      <c r="AH192" s="176">
        <f t="shared" si="67"/>
        <v>6</v>
      </c>
      <c r="AI192" s="225">
        <f t="shared" si="68"/>
        <v>0.2663468841300029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42">
        <v>57.191000000000003</v>
      </c>
      <c r="C193" s="840"/>
      <c r="D193" s="393">
        <f t="shared" si="50"/>
        <v>59.122130003757569</v>
      </c>
      <c r="E193" s="385">
        <f t="shared" si="75"/>
        <v>64.852449952120324</v>
      </c>
      <c r="F193" s="385">
        <f t="shared" si="51"/>
        <v>64.862126876574465</v>
      </c>
      <c r="G193" s="110">
        <f t="shared" si="76"/>
        <v>1.0209457463470908</v>
      </c>
      <c r="H193" s="414" t="b">
        <f>Wh_hp&gt;='2021'!Maxi_hp</f>
        <v>1</v>
      </c>
      <c r="I193" s="380">
        <f>IF(H193,Wh_hp,'2021'!Maxi_hp)</f>
        <v>64.862126876574465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3.2663403764966348E-2</v>
      </c>
      <c r="M193" s="844"/>
      <c r="N193" s="844"/>
      <c r="O193" s="48">
        <f>IF(t&lt;Tnet,'2021'!Resal+('2021'!Salim-'2021'!Resal)*(1-EXP(('2021'!Tnet-t)/('2021'!Tau_j))),Resal+(Salim-Resal)*(1-EXP((Tnet-t)/(Tau_j))))*Salcycl</f>
        <v>8.8359344212799396E-2</v>
      </c>
      <c r="P193" s="339">
        <f>(INDEX(Models!$BJ193:$BT193,,T193)*(1-R193)+INDEX(Models!$BJ193:$BT193,,T193+1)*R193-ERP_i)*Q193*Ramure*Pc/MaxiM</f>
        <v>1.4919221616877538E-4</v>
      </c>
      <c r="Q193" s="305">
        <f t="shared" si="53"/>
        <v>0.7</v>
      </c>
      <c r="R193" s="177">
        <f t="shared" si="54"/>
        <v>0.26997390775466651</v>
      </c>
      <c r="S193" s="810">
        <f t="shared" si="55"/>
        <v>0</v>
      </c>
      <c r="T193" s="176">
        <f t="shared" si="56"/>
        <v>6</v>
      </c>
      <c r="U193" s="251">
        <f t="shared" si="57"/>
        <v>0.26997390775466651</v>
      </c>
      <c r="V193" s="383">
        <f t="shared" si="58"/>
        <v>56.017668132344419</v>
      </c>
      <c r="W193" s="402">
        <f t="shared" si="59"/>
        <v>0</v>
      </c>
      <c r="X193" s="157">
        <f t="shared" si="60"/>
        <v>44740</v>
      </c>
      <c r="Y193" s="385">
        <f t="shared" si="61"/>
        <v>53.325700987238385</v>
      </c>
      <c r="Z193" s="385">
        <f t="shared" si="62"/>
        <v>55.126314040828291</v>
      </c>
      <c r="AA193" s="386">
        <f t="shared" si="63"/>
        <v>64.852449952120324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0.1499732996744565</v>
      </c>
      <c r="AD193" s="231">
        <f>(INDEX(Models!$BJ193:$BT193,,AH193)*(1-AF193)+INDEX(Models!$BJ193:$BT193,,AH193+1)*AF193-ERP_i)*AE193*Ramure*Pc/MaxiM</f>
        <v>1.4919221616877538E-4</v>
      </c>
      <c r="AE193" s="305">
        <f t="shared" si="65"/>
        <v>0.7</v>
      </c>
      <c r="AF193" s="177">
        <f t="shared" si="66"/>
        <v>0.26997390775466651</v>
      </c>
      <c r="AG193" s="810">
        <f t="shared" si="74"/>
        <v>0</v>
      </c>
      <c r="AH193" s="176">
        <f t="shared" si="67"/>
        <v>6</v>
      </c>
      <c r="AI193" s="225">
        <f t="shared" si="68"/>
        <v>0.26997390775466651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42">
        <v>54.844999999999999</v>
      </c>
      <c r="C194" s="840"/>
      <c r="D194" s="393">
        <f t="shared" si="50"/>
        <v>56.698233651495173</v>
      </c>
      <c r="E194" s="385">
        <f t="shared" si="75"/>
        <v>62.202834179239403</v>
      </c>
      <c r="F194" s="385">
        <f t="shared" si="51"/>
        <v>62.211845559281812</v>
      </c>
      <c r="G194" s="110">
        <f t="shared" si="76"/>
        <v>0.98015962016604607</v>
      </c>
      <c r="H194" s="414" t="b">
        <f>Wh_hp&gt;='2021'!Maxi_hp</f>
        <v>1</v>
      </c>
      <c r="I194" s="380">
        <f>IF(H194,Wh_hp,'2021'!Maxi_hp)</f>
        <v>62.211845559281812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3.2685915100748475E-2</v>
      </c>
      <c r="M194" s="844"/>
      <c r="N194" s="844"/>
      <c r="O194" s="48">
        <f>IF(t&lt;Tnet,'2021'!Resal+('2021'!Salim-'2021'!Resal)*(1-EXP(('2021'!Tnet-t)/('2021'!Tau_j))),Resal+(Salim-Resal)*(1-EXP((Tnet-t)/(Tau_j))))*Salcycl</f>
        <v>8.8494368470133589E-2</v>
      </c>
      <c r="P194" s="339">
        <f>(INDEX(Models!$BJ194:$BT194,,T194)*(1-R194)+INDEX(Models!$BJ194:$BT194,,T194+1)*R194-ERP_i)*Q194*Ramure*Pc/MaxiM</f>
        <v>1.4907429746666419E-4</v>
      </c>
      <c r="Q194" s="305">
        <f t="shared" si="53"/>
        <v>0.7</v>
      </c>
      <c r="R194" s="177">
        <f t="shared" si="54"/>
        <v>0.27354857282008438</v>
      </c>
      <c r="S194" s="810">
        <f t="shared" si="55"/>
        <v>0</v>
      </c>
      <c r="T194" s="176">
        <f t="shared" si="56"/>
        <v>6</v>
      </c>
      <c r="U194" s="251">
        <f t="shared" si="57"/>
        <v>0.27354857282008438</v>
      </c>
      <c r="V194" s="383">
        <f t="shared" si="58"/>
        <v>55.954935452705222</v>
      </c>
      <c r="W194" s="402">
        <f t="shared" si="59"/>
        <v>0</v>
      </c>
      <c r="X194" s="157">
        <f t="shared" si="60"/>
        <v>44741</v>
      </c>
      <c r="Y194" s="385">
        <f t="shared" si="61"/>
        <v>51.14070116775806</v>
      </c>
      <c r="Z194" s="385">
        <f t="shared" si="62"/>
        <v>52.868765136490808</v>
      </c>
      <c r="AA194" s="386">
        <f t="shared" si="63"/>
        <v>62.202834179239403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0.15005858118702728</v>
      </c>
      <c r="AD194" s="231">
        <f>(INDEX(Models!$BJ194:$BT194,,AH194)*(1-AF194)+INDEX(Models!$BJ194:$BT194,,AH194+1)*AF194-ERP_i)*AE194*Ramure*Pc/MaxiM</f>
        <v>1.4907429746666419E-4</v>
      </c>
      <c r="AE194" s="305">
        <f t="shared" si="65"/>
        <v>0.7</v>
      </c>
      <c r="AF194" s="177">
        <f t="shared" si="66"/>
        <v>0.27354857282008438</v>
      </c>
      <c r="AG194" s="810">
        <f t="shared" si="74"/>
        <v>0</v>
      </c>
      <c r="AH194" s="176">
        <f t="shared" si="67"/>
        <v>6</v>
      </c>
      <c r="AI194" s="225">
        <f t="shared" si="68"/>
        <v>0.27354857282008438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42">
        <v>13.868</v>
      </c>
      <c r="C195" s="840"/>
      <c r="D195" s="393">
        <f t="shared" si="50"/>
        <v>14.336938697191421</v>
      </c>
      <c r="E195" s="385">
        <f t="shared" si="75"/>
        <v>15.731158688020972</v>
      </c>
      <c r="F195" s="385">
        <f t="shared" si="51"/>
        <v>15.731158688020972</v>
      </c>
      <c r="G195" s="110">
        <f t="shared" si="76"/>
        <v>0.24809244658229135</v>
      </c>
      <c r="H195" s="414" t="b">
        <f>Wh_hp&gt;='2021'!Maxi_hp</f>
        <v>0</v>
      </c>
      <c r="I195" s="380">
        <f>IF(H195,Wh_hp,'2021'!Maxi_hp)</f>
        <v>56.806125451843101</v>
      </c>
      <c r="J195" s="85">
        <f>IF(H195,An,'2021'!An_max)</f>
        <v>2019</v>
      </c>
      <c r="K195" s="197">
        <f t="shared" si="52"/>
        <v>44742</v>
      </c>
      <c r="L195" s="147">
        <f>IF(t&lt;Tvie,1-EXP((T0-t)*PertePVj)+'2021'!Pspv,1-EXP((T0-t)*PertePVj)+Pspv)</f>
        <v>3.27084259126591E-2</v>
      </c>
      <c r="M195" s="844"/>
      <c r="N195" s="844"/>
      <c r="O195" s="48">
        <f>IF(t&lt;Tnet,'2021'!Resal+('2021'!Salim-'2021'!Resal)*(1-EXP(('2021'!Tnet-t)/('2021'!Tau_j))),Resal+(Salim-Resal)*(1-EXP((Tnet-t)/(Tau_j))))*Salcycl</f>
        <v>8.8627927445117369E-2</v>
      </c>
      <c r="P195" s="339">
        <f>(INDEX(Models!$BJ195:$BT195,,T195)*(1-R195)+INDEX(Models!$BJ195:$BT195,,T195+1)*R195-ERP_i)*Q195*Ramure*Pc/MaxiM</f>
        <v>1.4888384203575245E-4</v>
      </c>
      <c r="Q195" s="305">
        <f t="shared" si="53"/>
        <v>0.7</v>
      </c>
      <c r="R195" s="177">
        <f t="shared" si="54"/>
        <v>0.27706905301652884</v>
      </c>
      <c r="S195" s="810">
        <f t="shared" si="55"/>
        <v>0</v>
      </c>
      <c r="T195" s="176">
        <f t="shared" si="56"/>
        <v>6</v>
      </c>
      <c r="U195" s="251">
        <f t="shared" si="57"/>
        <v>0.27706905301652884</v>
      </c>
      <c r="V195" s="383">
        <f t="shared" si="58"/>
        <v>55.890195247356594</v>
      </c>
      <c r="W195" s="402">
        <f t="shared" si="59"/>
        <v>0</v>
      </c>
      <c r="X195" s="157">
        <f t="shared" si="60"/>
        <v>44742</v>
      </c>
      <c r="Y195" s="385">
        <f t="shared" si="61"/>
        <v>12.931972196357346</v>
      </c>
      <c r="Z195" s="385">
        <f t="shared" si="62"/>
        <v>13.369259634623534</v>
      </c>
      <c r="AA195" s="386">
        <f t="shared" si="63"/>
        <v>15.731158688020972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0.1501414549454636</v>
      </c>
      <c r="AD195" s="231">
        <f>(INDEX(Models!$BJ195:$BT195,,AH195)*(1-AF195)+INDEX(Models!$BJ195:$BT195,,AH195+1)*AF195-ERP_i)*AE195*Ramure*Pc/MaxiM</f>
        <v>1.4888384203575245E-4</v>
      </c>
      <c r="AE195" s="305">
        <f t="shared" si="65"/>
        <v>0.7</v>
      </c>
      <c r="AF195" s="177">
        <f t="shared" si="66"/>
        <v>0.27706905301652884</v>
      </c>
      <c r="AG195" s="810">
        <f t="shared" si="74"/>
        <v>0</v>
      </c>
      <c r="AH195" s="176">
        <f t="shared" si="67"/>
        <v>6</v>
      </c>
      <c r="AI195" s="225">
        <f t="shared" si="68"/>
        <v>0.27706905301652884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42">
        <v>51.645000000000003</v>
      </c>
      <c r="C196" s="840"/>
      <c r="D196" s="393">
        <f t="shared" si="50"/>
        <v>53.392589438502334</v>
      </c>
      <c r="E196" s="385">
        <f t="shared" si="75"/>
        <v>58.593336346601944</v>
      </c>
      <c r="F196" s="385">
        <f t="shared" si="51"/>
        <v>58.601114470642194</v>
      </c>
      <c r="G196" s="110">
        <f t="shared" si="76"/>
        <v>0.92513737766693405</v>
      </c>
      <c r="H196" s="414" t="b">
        <f>Wh_hp&gt;='2021'!Maxi_hp</f>
        <v>0</v>
      </c>
      <c r="I196" s="380">
        <f>IF(H196,Wh_hp,'2021'!Maxi_hp)</f>
        <v>61.555241119105759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3.2730936200710103E-2</v>
      </c>
      <c r="M196" s="844"/>
      <c r="N196" s="844"/>
      <c r="O196" s="48">
        <f>IF(t&lt;Tnet,'2021'!Resal+('2021'!Salim-'2021'!Resal)*(1-EXP(('2021'!Tnet-t)/('2021'!Tau_j))),Resal+(Salim-Resal)*(1-EXP((Tnet-t)/(Tau_j))))*Salcycl</f>
        <v>8.8760040516129846E-2</v>
      </c>
      <c r="P196" s="339">
        <f>(INDEX(Models!$BJ196:$BT196,,T196)*(1-R196)+INDEX(Models!$BJ196:$BT196,,T196+1)*R196-ERP_i)*Q196*Ramure*Pc/MaxiM</f>
        <v>1.4862139987238142E-4</v>
      </c>
      <c r="Q196" s="305">
        <f t="shared" si="53"/>
        <v>0.7</v>
      </c>
      <c r="R196" s="177">
        <f t="shared" si="54"/>
        <v>0.28053366703328314</v>
      </c>
      <c r="S196" s="810">
        <f t="shared" si="55"/>
        <v>0</v>
      </c>
      <c r="T196" s="176">
        <f t="shared" si="56"/>
        <v>6</v>
      </c>
      <c r="U196" s="251">
        <f t="shared" si="57"/>
        <v>0.28053366703328314</v>
      </c>
      <c r="V196" s="383">
        <f t="shared" si="58"/>
        <v>55.823254388754016</v>
      </c>
      <c r="W196" s="402">
        <f t="shared" si="59"/>
        <v>0</v>
      </c>
      <c r="X196" s="157">
        <f t="shared" si="60"/>
        <v>44743</v>
      </c>
      <c r="Y196" s="385">
        <f t="shared" si="61"/>
        <v>48.161613625005337</v>
      </c>
      <c r="Z196" s="385">
        <f t="shared" si="62"/>
        <v>49.79133048650769</v>
      </c>
      <c r="AA196" s="386">
        <f t="shared" si="63"/>
        <v>58.593336346601944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0.15022196053194564</v>
      </c>
      <c r="AD196" s="231">
        <f>(INDEX(Models!$BJ196:$BT196,,AH196)*(1-AF196)+INDEX(Models!$BJ196:$BT196,,AH196+1)*AF196-ERP_i)*AE196*Ramure*Pc/MaxiM</f>
        <v>1.4862139987238142E-4</v>
      </c>
      <c r="AE196" s="305">
        <f t="shared" si="65"/>
        <v>0.7</v>
      </c>
      <c r="AF196" s="177">
        <f t="shared" si="66"/>
        <v>0.28053366703328314</v>
      </c>
      <c r="AG196" s="810">
        <f t="shared" si="74"/>
        <v>0</v>
      </c>
      <c r="AH196" s="176">
        <f t="shared" si="67"/>
        <v>6</v>
      </c>
      <c r="AI196" s="225">
        <f t="shared" si="68"/>
        <v>0.28053366703328314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42">
        <v>54.225000000000001</v>
      </c>
      <c r="C197" s="840"/>
      <c r="D197" s="393">
        <f t="shared" si="50"/>
        <v>56.061197399761461</v>
      </c>
      <c r="E197" s="385">
        <f t="shared" si="75"/>
        <v>61.530706871355768</v>
      </c>
      <c r="F197" s="385">
        <f t="shared" si="51"/>
        <v>61.53947491631434</v>
      </c>
      <c r="G197" s="110">
        <f t="shared" si="76"/>
        <v>0.97257170946654281</v>
      </c>
      <c r="H197" s="414" t="b">
        <f>Wh_hp&gt;='2021'!Maxi_hp</f>
        <v>1</v>
      </c>
      <c r="I197" s="380">
        <f>IF(H197,Wh_hp,'2021'!Maxi_hp)</f>
        <v>61.53947491631434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3.2753445964913919E-2</v>
      </c>
      <c r="M197" s="844"/>
      <c r="N197" s="844"/>
      <c r="O197" s="48">
        <f>IF(t&lt;Tnet,'2021'!Resal+('2021'!Salim-'2021'!Resal)*(1-EXP(('2021'!Tnet-t)/('2021'!Tau_j))),Resal+(Salim-Resal)*(1-EXP((Tnet-t)/(Tau_j))))*Salcycl</f>
        <v>8.889073033127326E-2</v>
      </c>
      <c r="P197" s="339">
        <f>(INDEX(Models!$BJ197:$BT197,,T197)*(1-R197)+INDEX(Models!$BJ197:$BT197,,T197+1)*R197-ERP_i)*Q197*Ramure*Pc/MaxiM</f>
        <v>1.4828757989483946E-4</v>
      </c>
      <c r="Q197" s="305">
        <f t="shared" si="53"/>
        <v>0.7</v>
      </c>
      <c r="R197" s="177">
        <f t="shared" si="54"/>
        <v>0.28394087927941164</v>
      </c>
      <c r="S197" s="810">
        <f t="shared" si="55"/>
        <v>0</v>
      </c>
      <c r="T197" s="176">
        <f t="shared" si="56"/>
        <v>6</v>
      </c>
      <c r="U197" s="251">
        <f t="shared" si="57"/>
        <v>0.28394087927941164</v>
      </c>
      <c r="V197" s="383">
        <f t="shared" si="58"/>
        <v>55.753919658248343</v>
      </c>
      <c r="W197" s="402">
        <f t="shared" si="59"/>
        <v>0</v>
      </c>
      <c r="X197" s="157">
        <f t="shared" si="60"/>
        <v>44744</v>
      </c>
      <c r="Y197" s="385">
        <f t="shared" si="61"/>
        <v>50.570196447298585</v>
      </c>
      <c r="Z197" s="385">
        <f t="shared" si="62"/>
        <v>52.282632836822899</v>
      </c>
      <c r="AA197" s="386">
        <f t="shared" si="63"/>
        <v>61.530706871355768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0.15030014288423688</v>
      </c>
      <c r="AD197" s="231">
        <f>(INDEX(Models!$BJ197:$BT197,,AH197)*(1-AF197)+INDEX(Models!$BJ197:$BT197,,AH197+1)*AF197-ERP_i)*AE197*Ramure*Pc/MaxiM</f>
        <v>1.4828757989483946E-4</v>
      </c>
      <c r="AE197" s="305">
        <f t="shared" si="65"/>
        <v>0.7</v>
      </c>
      <c r="AF197" s="177">
        <f t="shared" si="66"/>
        <v>0.28394087927941164</v>
      </c>
      <c r="AG197" s="810">
        <f t="shared" si="74"/>
        <v>0</v>
      </c>
      <c r="AH197" s="176">
        <f t="shared" si="67"/>
        <v>6</v>
      </c>
      <c r="AI197" s="225">
        <f t="shared" si="68"/>
        <v>0.28394087927941164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42">
        <v>42.268999999999998</v>
      </c>
      <c r="C198" s="840"/>
      <c r="D198" s="393">
        <f t="shared" si="50"/>
        <v>43.701353608275035</v>
      </c>
      <c r="E198" s="385">
        <f t="shared" si="75"/>
        <v>47.971804751637876</v>
      </c>
      <c r="F198" s="385">
        <f t="shared" si="51"/>
        <v>47.976457698740489</v>
      </c>
      <c r="G198" s="110">
        <f t="shared" si="76"/>
        <v>0.75907564455021759</v>
      </c>
      <c r="H198" s="414" t="b">
        <f>Wh_hp&gt;='2021'!Maxi_hp</f>
        <v>0</v>
      </c>
      <c r="I198" s="380">
        <f>IF(H198,Wh_hp,'2021'!Maxi_hp)</f>
        <v>50.673839895815256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3.2775955205282536E-2</v>
      </c>
      <c r="M198" s="844"/>
      <c r="N198" s="844"/>
      <c r="O198" s="48">
        <f>IF(t&lt;Tnet,'2021'!Resal+('2021'!Salim-'2021'!Resal)*(1-EXP(('2021'!Tnet-t)/('2021'!Tau_j))),Resal+(Salim-Resal)*(1-EXP((Tnet-t)/(Tau_j))))*Salcycl</f>
        <v>8.9020022604361926E-2</v>
      </c>
      <c r="P198" s="339">
        <f>(INDEX(Models!$BJ198:$BT198,,T198)*(1-R198)+INDEX(Models!$BJ198:$BT198,,T198+1)*R198-ERP_i)*Q198*Ramure*Pc/MaxiM</f>
        <v>1.4786901473243539E-4</v>
      </c>
      <c r="Q198" s="305">
        <f t="shared" si="53"/>
        <v>0.7</v>
      </c>
      <c r="R198" s="177">
        <f t="shared" si="54"/>
        <v>0.28728929989324886</v>
      </c>
      <c r="S198" s="810">
        <f t="shared" si="55"/>
        <v>0</v>
      </c>
      <c r="T198" s="176">
        <f t="shared" si="56"/>
        <v>6</v>
      </c>
      <c r="U198" s="251">
        <f t="shared" si="57"/>
        <v>0.28728929989324886</v>
      </c>
      <c r="V198" s="383">
        <f t="shared" si="58"/>
        <v>55.681998539507632</v>
      </c>
      <c r="W198" s="402">
        <f t="shared" si="59"/>
        <v>0</v>
      </c>
      <c r="X198" s="157">
        <f t="shared" si="60"/>
        <v>44745</v>
      </c>
      <c r="Y198" s="385">
        <f t="shared" si="61"/>
        <v>39.422111958808976</v>
      </c>
      <c r="Z198" s="385">
        <f t="shared" si="62"/>
        <v>40.75799414930372</v>
      </c>
      <c r="AA198" s="386">
        <f t="shared" si="63"/>
        <v>47.971804751637876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0.15037605192637366</v>
      </c>
      <c r="AD198" s="231">
        <f>(INDEX(Models!$BJ198:$BT198,,AH198)*(1-AF198)+INDEX(Models!$BJ198:$BT198,,AH198+1)*AF198-ERP_i)*AE198*Ramure*Pc/MaxiM</f>
        <v>1.4786901473243539E-4</v>
      </c>
      <c r="AE198" s="305">
        <f t="shared" si="65"/>
        <v>0.7</v>
      </c>
      <c r="AF198" s="177">
        <f t="shared" si="66"/>
        <v>0.28728929989324886</v>
      </c>
      <c r="AG198" s="810">
        <f t="shared" si="74"/>
        <v>0</v>
      </c>
      <c r="AH198" s="176">
        <f t="shared" si="67"/>
        <v>6</v>
      </c>
      <c r="AI198" s="225">
        <f t="shared" si="68"/>
        <v>0.28728929989324886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42">
        <v>41.984999999999999</v>
      </c>
      <c r="C199" s="840"/>
      <c r="D199" s="393">
        <f t="shared" si="50"/>
        <v>43.408739992537257</v>
      </c>
      <c r="E199" s="385">
        <f t="shared" si="75"/>
        <v>47.657289454378848</v>
      </c>
      <c r="F199" s="385">
        <f t="shared" si="51"/>
        <v>47.661857816982696</v>
      </c>
      <c r="G199" s="110">
        <f t="shared" si="76"/>
        <v>0.75498789938666033</v>
      </c>
      <c r="H199" s="414" t="b">
        <f>Wh_hp&gt;='2021'!Maxi_hp</f>
        <v>0</v>
      </c>
      <c r="I199" s="380">
        <f>IF(H199,Wh_hp,'2021'!Maxi_hp)</f>
        <v>59.251249385209874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3.279846392182828E-2</v>
      </c>
      <c r="M199" s="844"/>
      <c r="N199" s="844"/>
      <c r="O199" s="48">
        <f>IF(t&lt;Tnet,'2021'!Resal+('2021'!Salim-'2021'!Resal)*(1-EXP(('2021'!Tnet-t)/('2021'!Tau_j))),Resal+(Salim-Resal)*(1-EXP((Tnet-t)/(Tau_j))))*Salcycl</f>
        <v>8.9147945896264749E-2</v>
      </c>
      <c r="P199" s="339">
        <f>(INDEX(Models!$BJ199:$BT199,,T199)*(1-R199)+INDEX(Models!$BJ199:$BT199,,T199+1)*R199-ERP_i)*Q199*Ramure*Pc/MaxiM</f>
        <v>1.4745197815215652E-4</v>
      </c>
      <c r="Q199" s="305">
        <f t="shared" si="53"/>
        <v>0.7</v>
      </c>
      <c r="R199" s="177">
        <f t="shared" si="54"/>
        <v>0.29057768407241452</v>
      </c>
      <c r="S199" s="810">
        <f t="shared" si="55"/>
        <v>0</v>
      </c>
      <c r="T199" s="176">
        <f t="shared" si="56"/>
        <v>6</v>
      </c>
      <c r="U199" s="251">
        <f t="shared" si="57"/>
        <v>0.29057768407241452</v>
      </c>
      <c r="V199" s="383">
        <f t="shared" si="58"/>
        <v>55.607292903710388</v>
      </c>
      <c r="W199" s="402">
        <f t="shared" si="59"/>
        <v>0</v>
      </c>
      <c r="X199" s="157">
        <f t="shared" si="60"/>
        <v>44746</v>
      </c>
      <c r="Y199" s="385">
        <f t="shared" si="61"/>
        <v>39.159342523305703</v>
      </c>
      <c r="Z199" s="385">
        <f t="shared" si="62"/>
        <v>40.487262543119805</v>
      </c>
      <c r="AA199" s="386">
        <f t="shared" si="63"/>
        <v>47.657289454378848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0.15044974217685486</v>
      </c>
      <c r="AD199" s="231">
        <f>(INDEX(Models!$BJ199:$BT199,,AH199)*(1-AF199)+INDEX(Models!$BJ199:$BT199,,AH199+1)*AF199-ERP_i)*AE199*Ramure*Pc/MaxiM</f>
        <v>1.4745197815215652E-4</v>
      </c>
      <c r="AE199" s="305">
        <f t="shared" si="65"/>
        <v>0.7</v>
      </c>
      <c r="AF199" s="177">
        <f t="shared" si="66"/>
        <v>0.29057768407241452</v>
      </c>
      <c r="AG199" s="810">
        <f t="shared" si="74"/>
        <v>0</v>
      </c>
      <c r="AH199" s="176">
        <f t="shared" si="67"/>
        <v>6</v>
      </c>
      <c r="AI199" s="225">
        <f t="shared" si="68"/>
        <v>0.29057768407241452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42">
        <v>54.035000000000004</v>
      </c>
      <c r="C200" s="840"/>
      <c r="D200" s="393">
        <f t="shared" si="50"/>
        <v>55.868663858580383</v>
      </c>
      <c r="E200" s="385">
        <f t="shared" si="75"/>
        <v>61.345230570349024</v>
      </c>
      <c r="F200" s="385">
        <f t="shared" si="51"/>
        <v>61.353905064783056</v>
      </c>
      <c r="G200" s="110">
        <f t="shared" si="76"/>
        <v>0.97307896003741623</v>
      </c>
      <c r="H200" s="414" t="b">
        <f>Wh_hp&gt;='2021'!Maxi_hp</f>
        <v>0</v>
      </c>
      <c r="I200" s="380">
        <f>IF(H200,Wh_hp,'2021'!Maxi_hp)</f>
        <v>63.499188646110007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3.2820972114563363E-2</v>
      </c>
      <c r="M200" s="844"/>
      <c r="N200" s="844"/>
      <c r="O200" s="48">
        <f>IF(t&lt;Tnet,'2021'!Resal+('2021'!Salim-'2021'!Resal)*(1-EXP(('2021'!Tnet-t)/('2021'!Tau_j))),Resal+(Salim-Resal)*(1-EXP((Tnet-t)/(Tau_j))))*Salcycl</f>
        <v>8.9274531383303962E-2</v>
      </c>
      <c r="P200" s="339">
        <f>(INDEX(Models!$BJ200:$BT200,,T200)*(1-R200)+INDEX(Models!$BJ200:$BT200,,T200+1)*R200-ERP_i)*Q200*Ramure*Pc/MaxiM</f>
        <v>1.4703828796638823E-4</v>
      </c>
      <c r="Q200" s="305">
        <f t="shared" si="53"/>
        <v>0.7</v>
      </c>
      <c r="R200" s="177">
        <f t="shared" si="54"/>
        <v>0.2938049307603936</v>
      </c>
      <c r="S200" s="810">
        <f t="shared" si="55"/>
        <v>0</v>
      </c>
      <c r="T200" s="176">
        <f t="shared" si="56"/>
        <v>6</v>
      </c>
      <c r="U200" s="251">
        <f t="shared" si="57"/>
        <v>0.2938049307603936</v>
      </c>
      <c r="V200" s="383">
        <f t="shared" si="58"/>
        <v>55.529609287972889</v>
      </c>
      <c r="W200" s="402">
        <f t="shared" si="59"/>
        <v>0</v>
      </c>
      <c r="X200" s="157">
        <f t="shared" si="60"/>
        <v>44747</v>
      </c>
      <c r="Y200" s="385">
        <f t="shared" si="61"/>
        <v>50.401119361438305</v>
      </c>
      <c r="Z200" s="385">
        <f t="shared" si="62"/>
        <v>52.111468413072714</v>
      </c>
      <c r="AA200" s="386">
        <f t="shared" si="63"/>
        <v>61.345230570349024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0.1505212723373382</v>
      </c>
      <c r="AD200" s="231">
        <f>(INDEX(Models!$BJ200:$BT200,,AH200)*(1-AF200)+INDEX(Models!$BJ200:$BT200,,AH200+1)*AF200-ERP_i)*AE200*Ramure*Pc/MaxiM</f>
        <v>1.4703828796638823E-4</v>
      </c>
      <c r="AE200" s="305">
        <f t="shared" si="65"/>
        <v>0.7</v>
      </c>
      <c r="AF200" s="177">
        <f t="shared" si="66"/>
        <v>0.2938049307603936</v>
      </c>
      <c r="AG200" s="810">
        <f t="shared" si="74"/>
        <v>0</v>
      </c>
      <c r="AH200" s="176">
        <f t="shared" si="67"/>
        <v>6</v>
      </c>
      <c r="AI200" s="225">
        <f t="shared" si="68"/>
        <v>0.2938049307603936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42">
        <v>47.444000000000003</v>
      </c>
      <c r="C201" s="840"/>
      <c r="D201" s="393">
        <f t="shared" si="50"/>
        <v>49.055141549766482</v>
      </c>
      <c r="E201" s="385">
        <f t="shared" si="75"/>
        <v>53.871218378082176</v>
      </c>
      <c r="F201" s="385">
        <f t="shared" si="51"/>
        <v>53.87748917187038</v>
      </c>
      <c r="G201" s="110">
        <f t="shared" si="76"/>
        <v>0.85561101998993894</v>
      </c>
      <c r="H201" s="414" t="b">
        <f>Wh_hp&gt;='2021'!Maxi_hp</f>
        <v>0</v>
      </c>
      <c r="I201" s="380">
        <f>IF(H201,Wh_hp,'2021'!Maxi_hp)</f>
        <v>62.806622289088963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3.2843479783499885E-2</v>
      </c>
      <c r="M201" s="844"/>
      <c r="N201" s="844"/>
      <c r="O201" s="48">
        <f>IF(t&lt;Tnet,'2021'!Resal+('2021'!Salim-'2021'!Resal)*(1-EXP(('2021'!Tnet-t)/('2021'!Tau_j))),Resal+(Salim-Resal)*(1-EXP((Tnet-t)/(Tau_j))))*Salcycl</f>
        <v>8.9399812614506247E-2</v>
      </c>
      <c r="P201" s="339">
        <f>(INDEX(Models!$BJ201:$BT201,,T201)*(1-R201)+INDEX(Models!$BJ201:$BT201,,T201+1)*R201-ERP_i)*Q201*Ramure*Pc/MaxiM</f>
        <v>1.4662976333085017E-4</v>
      </c>
      <c r="Q201" s="305">
        <f t="shared" si="53"/>
        <v>0.7</v>
      </c>
      <c r="R201" s="177">
        <f t="shared" si="54"/>
        <v>0.29697008072929448</v>
      </c>
      <c r="S201" s="810">
        <f t="shared" si="55"/>
        <v>0</v>
      </c>
      <c r="T201" s="176">
        <f t="shared" si="56"/>
        <v>6</v>
      </c>
      <c r="U201" s="251">
        <f t="shared" si="57"/>
        <v>0.29697008072929448</v>
      </c>
      <c r="V201" s="383">
        <f t="shared" si="58"/>
        <v>55.4487541919489</v>
      </c>
      <c r="W201" s="402">
        <f t="shared" si="59"/>
        <v>0</v>
      </c>
      <c r="X201" s="157">
        <f t="shared" si="60"/>
        <v>44748</v>
      </c>
      <c r="Y201" s="385">
        <f t="shared" si="61"/>
        <v>44.255838244546013</v>
      </c>
      <c r="Z201" s="385">
        <f t="shared" si="62"/>
        <v>45.758713630591302</v>
      </c>
      <c r="AA201" s="386">
        <f t="shared" si="63"/>
        <v>53.871218378082176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0.15059070486498397</v>
      </c>
      <c r="AD201" s="231">
        <f>(INDEX(Models!$BJ201:$BT201,,AH201)*(1-AF201)+INDEX(Models!$BJ201:$BT201,,AH201+1)*AF201-ERP_i)*AE201*Ramure*Pc/MaxiM</f>
        <v>1.4662976333085017E-4</v>
      </c>
      <c r="AE201" s="305">
        <f t="shared" si="65"/>
        <v>0.7</v>
      </c>
      <c r="AF201" s="177">
        <f t="shared" si="66"/>
        <v>0.29697008072929448</v>
      </c>
      <c r="AG201" s="810">
        <f t="shared" si="74"/>
        <v>0</v>
      </c>
      <c r="AH201" s="176">
        <f t="shared" si="67"/>
        <v>6</v>
      </c>
      <c r="AI201" s="225">
        <f t="shared" si="68"/>
        <v>0.29697008072929448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42">
        <v>54.125</v>
      </c>
      <c r="C202" s="840"/>
      <c r="D202" s="393">
        <f t="shared" si="50"/>
        <v>55.96432269827217</v>
      </c>
      <c r="E202" s="385">
        <f t="shared" si="75"/>
        <v>61.46709189202867</v>
      </c>
      <c r="F202" s="385">
        <f t="shared" si="51"/>
        <v>61.475793870617331</v>
      </c>
      <c r="G202" s="110">
        <f t="shared" si="76"/>
        <v>0.97760683278466298</v>
      </c>
      <c r="H202" s="414" t="b">
        <f>Wh_hp&gt;='2021'!Maxi_hp</f>
        <v>1</v>
      </c>
      <c r="I202" s="380">
        <f>IF(H202,Wh_hp,'2021'!Maxi_hp)</f>
        <v>61.475793870617331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3.2865986928650059E-2</v>
      </c>
      <c r="M202" s="844"/>
      <c r="N202" s="844"/>
      <c r="O202" s="48">
        <f>IF(t&lt;Tnet,'2021'!Resal+('2021'!Salim-'2021'!Resal)*(1-EXP(('2021'!Tnet-t)/('2021'!Tau_j))),Resal+(Salim-Resal)*(1-EXP((Tnet-t)/(Tau_j))))*Salcycl</f>
        <v>8.9523825259579706E-2</v>
      </c>
      <c r="P202" s="339">
        <f>(INDEX(Models!$BJ202:$BT202,,T202)*(1-R202)+INDEX(Models!$BJ202:$BT202,,T202+1)*R202-ERP_i)*Q202*Ramure*Pc/MaxiM</f>
        <v>1.4622822124671426E-4</v>
      </c>
      <c r="Q202" s="305">
        <f t="shared" si="53"/>
        <v>0.7</v>
      </c>
      <c r="R202" s="177">
        <f t="shared" si="54"/>
        <v>0.30007231410132618</v>
      </c>
      <c r="S202" s="810">
        <f t="shared" si="55"/>
        <v>0</v>
      </c>
      <c r="T202" s="176">
        <f t="shared" si="56"/>
        <v>6</v>
      </c>
      <c r="U202" s="251">
        <f t="shared" si="57"/>
        <v>0.30007231410132618</v>
      </c>
      <c r="V202" s="383">
        <f t="shared" si="58"/>
        <v>55.364534095645439</v>
      </c>
      <c r="W202" s="402">
        <f t="shared" si="59"/>
        <v>0</v>
      </c>
      <c r="X202" s="157">
        <f t="shared" si="60"/>
        <v>44749</v>
      </c>
      <c r="Y202" s="385">
        <f t="shared" si="61"/>
        <v>50.490755621588349</v>
      </c>
      <c r="Z202" s="385">
        <f t="shared" si="62"/>
        <v>52.206576275033164</v>
      </c>
      <c r="AA202" s="386">
        <f t="shared" si="63"/>
        <v>61.46709189202867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0.15065810553169265</v>
      </c>
      <c r="AD202" s="231">
        <f>(INDEX(Models!$BJ202:$BT202,,AH202)*(1-AF202)+INDEX(Models!$BJ202:$BT202,,AH202+1)*AF202-ERP_i)*AE202*Ramure*Pc/MaxiM</f>
        <v>1.4622822124671426E-4</v>
      </c>
      <c r="AE202" s="305">
        <f t="shared" si="65"/>
        <v>0.7</v>
      </c>
      <c r="AF202" s="177">
        <f t="shared" si="66"/>
        <v>0.30007231410132618</v>
      </c>
      <c r="AG202" s="810">
        <f t="shared" si="74"/>
        <v>0</v>
      </c>
      <c r="AH202" s="176">
        <f t="shared" si="67"/>
        <v>6</v>
      </c>
      <c r="AI202" s="225">
        <f t="shared" si="68"/>
        <v>0.30007231410132618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42">
        <v>56.493000000000002</v>
      </c>
      <c r="C203" s="840"/>
      <c r="D203" s="393">
        <f t="shared" si="50"/>
        <v>58.414153510975972</v>
      </c>
      <c r="E203" s="385">
        <f t="shared" si="75"/>
        <v>64.166458817517835</v>
      </c>
      <c r="F203" s="385">
        <f t="shared" si="51"/>
        <v>64.175817928306728</v>
      </c>
      <c r="G203" s="110">
        <f t="shared" si="76"/>
        <v>1.0220028205169975</v>
      </c>
      <c r="H203" s="414" t="b">
        <f>Wh_hp&gt;='2021'!Maxi_hp</f>
        <v>0</v>
      </c>
      <c r="I203" s="380">
        <f>IF(H203,Wh_hp,'2021'!Maxi_hp)</f>
        <v>64.296413487200894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3.2888493550026099E-2</v>
      </c>
      <c r="M203" s="844"/>
      <c r="N203" s="844"/>
      <c r="O203" s="48">
        <f>IF(t&lt;Tnet,'2021'!Resal+('2021'!Salim-'2021'!Resal)*(1-EXP(('2021'!Tnet-t)/('2021'!Tau_j))),Resal+(Salim-Resal)*(1-EXP((Tnet-t)/(Tau_j))))*Salcycl</f>
        <v>8.9646606849550017E-2</v>
      </c>
      <c r="P203" s="339">
        <f>(INDEX(Models!$BJ203:$BT203,,T203)*(1-R203)+INDEX(Models!$BJ203:$BT203,,T203+1)*R203-ERP_i)*Q203*Ramure*Pc/MaxiM</f>
        <v>1.4583547340761815E-4</v>
      </c>
      <c r="Q203" s="305">
        <f t="shared" si="53"/>
        <v>0.7</v>
      </c>
      <c r="R203" s="177">
        <f t="shared" si="54"/>
        <v>0.30311094735380811</v>
      </c>
      <c r="S203" s="810">
        <f t="shared" si="55"/>
        <v>0</v>
      </c>
      <c r="T203" s="176">
        <f t="shared" si="56"/>
        <v>6</v>
      </c>
      <c r="U203" s="251">
        <f t="shared" si="57"/>
        <v>0.30311094735380811</v>
      </c>
      <c r="V203" s="383">
        <f t="shared" si="58"/>
        <v>55.276755470618035</v>
      </c>
      <c r="W203" s="402">
        <f t="shared" si="59"/>
        <v>0</v>
      </c>
      <c r="X203" s="157">
        <f t="shared" si="60"/>
        <v>44750</v>
      </c>
      <c r="Y203" s="385">
        <f t="shared" si="61"/>
        <v>52.702802282921432</v>
      </c>
      <c r="Z203" s="385">
        <f t="shared" si="62"/>
        <v>54.495062804474664</v>
      </c>
      <c r="AA203" s="386">
        <f t="shared" si="63"/>
        <v>64.166458817517835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0.15072354297355775</v>
      </c>
      <c r="AD203" s="231">
        <f>(INDEX(Models!$BJ203:$BT203,,AH203)*(1-AF203)+INDEX(Models!$BJ203:$BT203,,AH203+1)*AF203-ERP_i)*AE203*Ramure*Pc/MaxiM</f>
        <v>1.4583547340761815E-4</v>
      </c>
      <c r="AE203" s="305">
        <f t="shared" si="65"/>
        <v>0.7</v>
      </c>
      <c r="AF203" s="177">
        <f t="shared" si="66"/>
        <v>0.30311094735380811</v>
      </c>
      <c r="AG203" s="810">
        <f t="shared" si="74"/>
        <v>0</v>
      </c>
      <c r="AH203" s="176">
        <f t="shared" si="67"/>
        <v>6</v>
      </c>
      <c r="AI203" s="225">
        <f t="shared" si="68"/>
        <v>0.30311094735380811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42">
        <v>55.529000000000003</v>
      </c>
      <c r="C204" s="840"/>
      <c r="D204" s="393">
        <f t="shared" si="50"/>
        <v>57.4187070474051</v>
      </c>
      <c r="E204" s="385">
        <f t="shared" si="75"/>
        <v>63.081411600186989</v>
      </c>
      <c r="F204" s="385">
        <f t="shared" si="51"/>
        <v>63.090588335933631</v>
      </c>
      <c r="G204" s="110">
        <f t="shared" si="76"/>
        <v>1.0062294790360253</v>
      </c>
      <c r="H204" s="414" t="b">
        <f>Wh_hp&gt;='2021'!Maxi_hp</f>
        <v>1</v>
      </c>
      <c r="I204" s="380">
        <f>IF(H204,Wh_hp,'2021'!Maxi_hp)</f>
        <v>63.090588335933631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3.2910999647640105E-2</v>
      </c>
      <c r="M204" s="844"/>
      <c r="N204" s="844"/>
      <c r="O204" s="48">
        <f>IF(t&lt;Tnet,'2021'!Resal+('2021'!Salim-'2021'!Resal)*(1-EXP(('2021'!Tnet-t)/('2021'!Tau_j))),Resal+(Salim-Resal)*(1-EXP((Tnet-t)/(Tau_j))))*Salcycl</f>
        <v>8.9768196512030829E-2</v>
      </c>
      <c r="P204" s="339">
        <f>(INDEX(Models!$BJ204:$BT204,,T204)*(1-R204)+INDEX(Models!$BJ204:$BT204,,T204+1)*R204-ERP_i)*Q204*Ramure*Pc/MaxiM</f>
        <v>1.454533233670379E-4</v>
      </c>
      <c r="Q204" s="305">
        <f t="shared" si="53"/>
        <v>0.7</v>
      </c>
      <c r="R204" s="177">
        <f t="shared" si="54"/>
        <v>0.30608542985416975</v>
      </c>
      <c r="S204" s="810">
        <f t="shared" si="55"/>
        <v>0</v>
      </c>
      <c r="T204" s="176">
        <f t="shared" si="56"/>
        <v>6</v>
      </c>
      <c r="U204" s="251">
        <f t="shared" si="57"/>
        <v>0.30608542985416975</v>
      </c>
      <c r="V204" s="383">
        <f t="shared" si="58"/>
        <v>55.18522479901619</v>
      </c>
      <c r="W204" s="402">
        <f t="shared" si="59"/>
        <v>0</v>
      </c>
      <c r="X204" s="157">
        <f t="shared" si="60"/>
        <v>44751</v>
      </c>
      <c r="Y204" s="385">
        <f t="shared" si="61"/>
        <v>51.806521807697905</v>
      </c>
      <c r="Z204" s="385">
        <f t="shared" si="62"/>
        <v>53.569549223310517</v>
      </c>
      <c r="AA204" s="386">
        <f t="shared" si="63"/>
        <v>63.081411600186989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0.15078708823390188</v>
      </c>
      <c r="AD204" s="231">
        <f>(INDEX(Models!$BJ204:$BT204,,AH204)*(1-AF204)+INDEX(Models!$BJ204:$BT204,,AH204+1)*AF204-ERP_i)*AE204*Ramure*Pc/MaxiM</f>
        <v>1.454533233670379E-4</v>
      </c>
      <c r="AE204" s="305">
        <f t="shared" si="65"/>
        <v>0.7</v>
      </c>
      <c r="AF204" s="177">
        <f t="shared" si="66"/>
        <v>0.30608542985416975</v>
      </c>
      <c r="AG204" s="810">
        <f t="shared" si="74"/>
        <v>0</v>
      </c>
      <c r="AH204" s="176">
        <f t="shared" si="67"/>
        <v>6</v>
      </c>
      <c r="AI204" s="225">
        <f t="shared" si="68"/>
        <v>0.30608542985416975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42">
        <v>54.884</v>
      </c>
      <c r="C205" s="840"/>
      <c r="D205" s="393">
        <f t="shared" si="50"/>
        <v>56.753077783519998</v>
      </c>
      <c r="E205" s="385">
        <f t="shared" si="75"/>
        <v>62.358388157264166</v>
      </c>
      <c r="F205" s="385">
        <f t="shared" si="51"/>
        <v>62.367388088967672</v>
      </c>
      <c r="G205" s="110">
        <f t="shared" si="76"/>
        <v>0.99625196605561972</v>
      </c>
      <c r="H205" s="414" t="b">
        <f>Wh_hp&gt;='2021'!Maxi_hp</f>
        <v>0</v>
      </c>
      <c r="I205" s="380">
        <f>IF(H205,Wh_hp,'2021'!Maxi_hp)</f>
        <v>63.53664171225423</v>
      </c>
      <c r="J205" s="85">
        <f>IF(H205,An,'2021'!An_max)</f>
        <v>2019</v>
      </c>
      <c r="K205" s="197">
        <f t="shared" si="52"/>
        <v>44752</v>
      </c>
      <c r="L205" s="147">
        <f>IF(t&lt;Tvie,1-EXP((T0-t)*PertePVj)+'2021'!Pspv,1-EXP((T0-t)*PertePVj)+Pspv)</f>
        <v>3.29335052215044E-2</v>
      </c>
      <c r="M205" s="844"/>
      <c r="N205" s="844"/>
      <c r="O205" s="48">
        <f>IF(t&lt;Tnet,'2021'!Resal+('2021'!Salim-'2021'!Resal)*(1-EXP(('2021'!Tnet-t)/('2021'!Tau_j))),Resal+(Salim-Resal)*(1-EXP((Tnet-t)/(Tau_j))))*Salcycl</f>
        <v>8.9888634703127857E-2</v>
      </c>
      <c r="P205" s="339">
        <f>(INDEX(Models!$BJ205:$BT205,,T205)*(1-R205)+INDEX(Models!$BJ205:$BT205,,T205+1)*R205-ERP_i)*Q205*Ramure*Pc/MaxiM</f>
        <v>1.4508174821923446E-4</v>
      </c>
      <c r="Q205" s="305">
        <f t="shared" si="53"/>
        <v>0.7</v>
      </c>
      <c r="R205" s="177">
        <f t="shared" si="54"/>
        <v>0.30899533997243273</v>
      </c>
      <c r="S205" s="810">
        <f t="shared" si="55"/>
        <v>0</v>
      </c>
      <c r="T205" s="176">
        <f t="shared" si="56"/>
        <v>6</v>
      </c>
      <c r="U205" s="251">
        <f t="shared" si="57"/>
        <v>0.30899533997243273</v>
      </c>
      <c r="V205" s="383">
        <f t="shared" si="58"/>
        <v>55.090438200257601</v>
      </c>
      <c r="W205" s="402">
        <f t="shared" si="59"/>
        <v>0</v>
      </c>
      <c r="X205" s="157">
        <f t="shared" si="60"/>
        <v>44752</v>
      </c>
      <c r="Y205" s="385">
        <f t="shared" si="61"/>
        <v>51.20781417840746</v>
      </c>
      <c r="Z205" s="385">
        <f t="shared" si="62"/>
        <v>52.951699241877357</v>
      </c>
      <c r="AA205" s="386">
        <f t="shared" si="63"/>
        <v>62.358388157264166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0.15084881430327701</v>
      </c>
      <c r="AD205" s="231">
        <f>(INDEX(Models!$BJ205:$BT205,,AH205)*(1-AF205)+INDEX(Models!$BJ205:$BT205,,AH205+1)*AF205-ERP_i)*AE205*Ramure*Pc/MaxiM</f>
        <v>1.4508174821923446E-4</v>
      </c>
      <c r="AE205" s="305">
        <f t="shared" si="65"/>
        <v>0.7</v>
      </c>
      <c r="AF205" s="177">
        <f t="shared" si="66"/>
        <v>0.30899533997243273</v>
      </c>
      <c r="AG205" s="810">
        <f t="shared" si="74"/>
        <v>0</v>
      </c>
      <c r="AH205" s="176">
        <f t="shared" si="67"/>
        <v>6</v>
      </c>
      <c r="AI205" s="225">
        <f t="shared" si="68"/>
        <v>0.30899533997243273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42">
        <v>53.146000000000001</v>
      </c>
      <c r="C206" s="840"/>
      <c r="D206" s="393">
        <f t="shared" si="50"/>
        <v>54.957169026952002</v>
      </c>
      <c r="E206" s="385">
        <f t="shared" si="75"/>
        <v>60.393021904219694</v>
      </c>
      <c r="F206" s="385">
        <f t="shared" si="51"/>
        <v>60.401348344435618</v>
      </c>
      <c r="G206" s="110">
        <f t="shared" si="76"/>
        <v>0.9664080494364673</v>
      </c>
      <c r="H206" s="414" t="b">
        <f>Wh_hp&gt;='2021'!Maxi_hp</f>
        <v>0</v>
      </c>
      <c r="I206" s="380">
        <f>IF(H206,Wh_hp,'2021'!Maxi_hp)</f>
        <v>62.742397262991474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3.2956010271631198E-2</v>
      </c>
      <c r="M206" s="844"/>
      <c r="N206" s="844"/>
      <c r="O206" s="48">
        <f>IF(t&lt;Tnet,'2021'!Resal+('2021'!Salim-'2021'!Resal)*(1-EXP(('2021'!Tnet-t)/('2021'!Tau_j))),Resal+(Salim-Resal)*(1-EXP((Tnet-t)/(Tau_j))))*Salcycl</f>
        <v>9.0007962937981162E-2</v>
      </c>
      <c r="P206" s="339">
        <f>(INDEX(Models!$BJ206:$BT206,,T206)*(1-R206)+INDEX(Models!$BJ206:$BT206,,T206+1)*R206-ERP_i)*Q206*Ramure*Pc/MaxiM</f>
        <v>1.447992006525059E-4</v>
      </c>
      <c r="Q206" s="305">
        <f t="shared" si="53"/>
        <v>0.7</v>
      </c>
      <c r="R206" s="177">
        <f t="shared" si="54"/>
        <v>0.31184038081912419</v>
      </c>
      <c r="S206" s="810">
        <f t="shared" si="55"/>
        <v>0</v>
      </c>
      <c r="T206" s="176">
        <f t="shared" si="56"/>
        <v>6</v>
      </c>
      <c r="U206" s="251">
        <f t="shared" si="57"/>
        <v>0.31184038081912419</v>
      </c>
      <c r="V206" s="383">
        <f t="shared" si="58"/>
        <v>54.992951226429639</v>
      </c>
      <c r="W206" s="402">
        <f t="shared" si="59"/>
        <v>0</v>
      </c>
      <c r="X206" s="157">
        <f t="shared" si="60"/>
        <v>44753</v>
      </c>
      <c r="Y206" s="385">
        <f t="shared" si="61"/>
        <v>49.589226397581122</v>
      </c>
      <c r="Z206" s="385">
        <f t="shared" si="62"/>
        <v>51.279183702398221</v>
      </c>
      <c r="AA206" s="386">
        <f t="shared" si="63"/>
        <v>60.393021904219694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0.15090879565979598</v>
      </c>
      <c r="AD206" s="231">
        <f>(INDEX(Models!$BJ206:$BT206,,AH206)*(1-AF206)+INDEX(Models!$BJ206:$BT206,,AH206+1)*AF206-ERP_i)*AE206*Ramure*Pc/MaxiM</f>
        <v>1.447992006525059E-4</v>
      </c>
      <c r="AE206" s="305">
        <f t="shared" si="65"/>
        <v>0.7</v>
      </c>
      <c r="AF206" s="177">
        <f t="shared" si="66"/>
        <v>0.31184038081912419</v>
      </c>
      <c r="AG206" s="810">
        <f t="shared" si="74"/>
        <v>0</v>
      </c>
      <c r="AH206" s="176">
        <f t="shared" si="67"/>
        <v>6</v>
      </c>
      <c r="AI206" s="225">
        <f t="shared" si="68"/>
        <v>0.31184038081912419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42">
        <v>52.780999999999999</v>
      </c>
      <c r="C207" s="840"/>
      <c r="D207" s="393">
        <f t="shared" ref="D207:D270" si="77">Wh/(1-Ppv)</f>
        <v>54.581000326974547</v>
      </c>
      <c r="E207" s="385">
        <f t="shared" si="75"/>
        <v>59.987441926556613</v>
      </c>
      <c r="F207" s="385">
        <f t="shared" ref="F207:F270" si="78">Wh_sa/(1-Pvg*MEDIAN((-Sdif+Wh/Env_an)/Csdif,0,1))</f>
        <v>59.995639100130568</v>
      </c>
      <c r="G207" s="110">
        <f t="shared" si="76"/>
        <v>0.96152332678809471</v>
      </c>
      <c r="H207" s="414" t="b">
        <f>Wh_hp&gt;='2021'!Maxi_hp</f>
        <v>0</v>
      </c>
      <c r="I207" s="380">
        <f>IF(H207,Wh_hp,'2021'!Maxi_hp)</f>
        <v>63.292549815565977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3.2978514798032488E-2</v>
      </c>
      <c r="M207" s="844"/>
      <c r="N207" s="844"/>
      <c r="O207" s="48">
        <f>IF(t&lt;Tnet,'2021'!Resal+('2021'!Salim-'2021'!Resal)*(1-EXP(('2021'!Tnet-t)/('2021'!Tau_j))),Resal+(Salim-Resal)*(1-EXP((Tnet-t)/(Tau_j))))*Salcycl</f>
        <v>9.0126223521937179E-2</v>
      </c>
      <c r="P207" s="339">
        <f>(INDEX(Models!$BJ207:$BT207,,T207)*(1-R207)+INDEX(Models!$BJ207:$BT207,,T207+1)*R207-ERP_i)*Q207*Ramure*Pc/MaxiM</f>
        <v>1.4457470281874007E-4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0.31462037565649875</v>
      </c>
      <c r="S207" s="810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0.31462037565649875</v>
      </c>
      <c r="V207" s="383">
        <f t="shared" ref="V207:V270" si="85">MaxiM*(1-Ppv)*(1-Pvg)*(1-Psa)</f>
        <v>54.892667828173551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49.251672309952042</v>
      </c>
      <c r="Z207" s="385">
        <f t="shared" ref="Z207:Z270" si="89">Wh_sa_s*(1-Psa_s)</f>
        <v>50.931311313797309</v>
      </c>
      <c r="AA207" s="386">
        <f t="shared" ref="AA207:AA270" si="90">Wh_hp*(1-Pvg_s*MEDIAN((-Sdif+Wh/Env_an)/Csdif,0,1))</f>
        <v>59.987441926556613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0.15096710781311265</v>
      </c>
      <c r="AD207" s="231">
        <f>(INDEX(Models!$BJ207:$BT207,,AH207)*(1-AF207)+INDEX(Models!$BJ207:$BT207,,AH207+1)*AF207-ERP_i)*AE207*Ramure*Pc/MaxiM</f>
        <v>1.4457470281874007E-4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0.31462037565649875</v>
      </c>
      <c r="AG207" s="810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0.31462037565649875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42">
        <v>52.306000000000004</v>
      </c>
      <c r="C208" s="840"/>
      <c r="D208" s="393">
        <f t="shared" si="77"/>
        <v>54.091060091014484</v>
      </c>
      <c r="E208" s="385">
        <f t="shared" si="75"/>
        <v>59.456632263904361</v>
      </c>
      <c r="F208" s="385">
        <f t="shared" si="78"/>
        <v>59.464663470930297</v>
      </c>
      <c r="G208" s="110">
        <f t="shared" si="76"/>
        <v>0.95466321416013233</v>
      </c>
      <c r="H208" s="414" t="b">
        <f>Wh_hp&gt;='2021'!Maxi_hp</f>
        <v>1</v>
      </c>
      <c r="I208" s="380">
        <f>IF(H208,Wh_hp,'2021'!Maxi_hp)</f>
        <v>59.464663470930297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3.3001018800720594E-2</v>
      </c>
      <c r="M208" s="844"/>
      <c r="N208" s="844"/>
      <c r="O208" s="48">
        <f>IF(t&lt;Tnet,'2021'!Resal+('2021'!Salim-'2021'!Resal)*(1-EXP(('2021'!Tnet-t)/('2021'!Tau_j))),Resal+(Salim-Resal)*(1-EXP((Tnet-t)/(Tau_j))))*Salcycl</f>
        <v>9.0243459284310573E-2</v>
      </c>
      <c r="P208" s="339">
        <f>(INDEX(Models!$BJ208:$BT208,,T208)*(1-R208)+INDEX(Models!$BJ208:$BT208,,T208+1)*R208-ERP_i)*Q208*Ramure*Pc/MaxiM</f>
        <v>1.4440958980977477E-4</v>
      </c>
      <c r="Q208" s="305">
        <f t="shared" si="80"/>
        <v>0.7</v>
      </c>
      <c r="R208" s="177">
        <f t="shared" si="81"/>
        <v>0.31733526303037507</v>
      </c>
      <c r="S208" s="810">
        <f t="shared" si="82"/>
        <v>0</v>
      </c>
      <c r="T208" s="176">
        <f t="shared" si="83"/>
        <v>6</v>
      </c>
      <c r="U208" s="251">
        <f t="shared" si="84"/>
        <v>0.31733526303037507</v>
      </c>
      <c r="V208" s="383">
        <f t="shared" si="85"/>
        <v>54.789490198138409</v>
      </c>
      <c r="W208" s="402">
        <f t="shared" si="86"/>
        <v>0</v>
      </c>
      <c r="X208" s="157">
        <f t="shared" si="87"/>
        <v>44755</v>
      </c>
      <c r="Y208" s="385">
        <f t="shared" si="88"/>
        <v>48.811462985001661</v>
      </c>
      <c r="Z208" s="385">
        <f t="shared" si="89"/>
        <v>50.477264127481618</v>
      </c>
      <c r="AA208" s="386">
        <f t="shared" si="90"/>
        <v>59.456632263904361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0.15102382685529339</v>
      </c>
      <c r="AD208" s="231">
        <f>(INDEX(Models!$BJ208:$BT208,,AH208)*(1-AF208)+INDEX(Models!$BJ208:$BT208,,AH208+1)*AF208-ERP_i)*AE208*Ramure*Pc/MaxiM</f>
        <v>1.4440958980977477E-4</v>
      </c>
      <c r="AE208" s="305">
        <f t="shared" si="92"/>
        <v>0.7</v>
      </c>
      <c r="AF208" s="177">
        <f t="shared" si="93"/>
        <v>0.31733526303037507</v>
      </c>
      <c r="AG208" s="810">
        <f t="shared" ref="AG208:AG271" si="99">INDEX(Echel_vg,AH208)</f>
        <v>0</v>
      </c>
      <c r="AH208" s="176">
        <f t="shared" si="94"/>
        <v>6</v>
      </c>
      <c r="AI208" s="225">
        <f t="shared" si="95"/>
        <v>0.31733526303037507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42">
        <v>51.427</v>
      </c>
      <c r="C209" s="840"/>
      <c r="D209" s="393">
        <f t="shared" si="77"/>
        <v>53.18329988878569</v>
      </c>
      <c r="E209" s="385">
        <f t="shared" si="75"/>
        <v>58.466297796349515</v>
      </c>
      <c r="F209" s="385">
        <f t="shared" si="78"/>
        <v>58.474018075186478</v>
      </c>
      <c r="G209" s="110">
        <f t="shared" si="76"/>
        <v>0.94043975498107624</v>
      </c>
      <c r="H209" s="414" t="b">
        <f>Wh_hp&gt;='2021'!Maxi_hp</f>
        <v>0</v>
      </c>
      <c r="I209" s="380">
        <f>IF(H209,Wh_hp,'2021'!Maxi_hp)</f>
        <v>63.373727610861152</v>
      </c>
      <c r="J209" s="85">
        <f>IF(H209,An,'2021'!An_max)</f>
        <v>2020</v>
      </c>
      <c r="K209" s="197">
        <f t="shared" si="79"/>
        <v>44756</v>
      </c>
      <c r="L209" s="147">
        <f>IF(t&lt;Tvie,1-EXP((T0-t)*PertePVj)+'2021'!Pspv,1-EXP((T0-t)*PertePVj)+Pspv)</f>
        <v>3.3023522279707729E-2</v>
      </c>
      <c r="M209" s="844"/>
      <c r="N209" s="844"/>
      <c r="O209" s="48">
        <f>IF(t&lt;Tnet,'2021'!Resal+('2021'!Salim-'2021'!Resal)*(1-EXP(('2021'!Tnet-t)/('2021'!Tau_j))),Resal+(Salim-Resal)*(1-EXP((Tnet-t)/(Tau_j))))*Salcycl</f>
        <v>9.0359713316646495E-2</v>
      </c>
      <c r="P209" s="339">
        <f>(INDEX(Models!$BJ209:$BT209,,T209)*(1-R209)+INDEX(Models!$BJ209:$BT209,,T209+1)*R209-ERP_i)*Q209*Ramure*Pc/MaxiM</f>
        <v>1.4430519834304149E-4</v>
      </c>
      <c r="Q209" s="305">
        <f t="shared" si="80"/>
        <v>0.7</v>
      </c>
      <c r="R209" s="177">
        <f t="shared" si="81"/>
        <v>0.31998509166888145</v>
      </c>
      <c r="S209" s="810">
        <f t="shared" si="82"/>
        <v>0</v>
      </c>
      <c r="T209" s="176">
        <f t="shared" si="83"/>
        <v>6</v>
      </c>
      <c r="U209" s="251">
        <f t="shared" si="84"/>
        <v>0.31998509166888145</v>
      </c>
      <c r="V209" s="383">
        <f t="shared" si="85"/>
        <v>54.68332057144135</v>
      </c>
      <c r="W209" s="402">
        <f t="shared" si="86"/>
        <v>0</v>
      </c>
      <c r="X209" s="157">
        <f t="shared" si="87"/>
        <v>44756</v>
      </c>
      <c r="Y209" s="385">
        <f t="shared" si="88"/>
        <v>47.994201019482183</v>
      </c>
      <c r="Z209" s="385">
        <f t="shared" si="89"/>
        <v>49.633266294782601</v>
      </c>
      <c r="AA209" s="386">
        <f t="shared" si="90"/>
        <v>58.466297796349515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0.15107902902171486</v>
      </c>
      <c r="AD209" s="231">
        <f>(INDEX(Models!$BJ209:$BT209,,AH209)*(1-AF209)+INDEX(Models!$BJ209:$BT209,,AH209+1)*AF209-ERP_i)*AE209*Ramure*Pc/MaxiM</f>
        <v>1.4430519834304149E-4</v>
      </c>
      <c r="AE209" s="305">
        <f t="shared" si="92"/>
        <v>0.7</v>
      </c>
      <c r="AF209" s="177">
        <f t="shared" si="93"/>
        <v>0.31998509166888145</v>
      </c>
      <c r="AG209" s="810">
        <f t="shared" si="99"/>
        <v>0</v>
      </c>
      <c r="AH209" s="176">
        <f t="shared" si="94"/>
        <v>6</v>
      </c>
      <c r="AI209" s="225">
        <f t="shared" si="95"/>
        <v>0.31998509166888145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42">
        <v>50.466000000000001</v>
      </c>
      <c r="C210" s="840"/>
      <c r="D210" s="393">
        <f t="shared" si="77"/>
        <v>52.190695024822794</v>
      </c>
      <c r="E210" s="385">
        <f t="shared" si="75"/>
        <v>57.382366260070867</v>
      </c>
      <c r="F210" s="385">
        <f t="shared" si="78"/>
        <v>57.389755160175426</v>
      </c>
      <c r="G210" s="110">
        <f t="shared" si="76"/>
        <v>0.92471067485096148</v>
      </c>
      <c r="H210" s="414" t="b">
        <f>Wh_hp&gt;='2021'!Maxi_hp</f>
        <v>0</v>
      </c>
      <c r="I210" s="380">
        <f>IF(H210,Wh_hp,'2021'!Maxi_hp)</f>
        <v>64.452290266215414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3.3046025235005994E-2</v>
      </c>
      <c r="M210" s="844"/>
      <c r="N210" s="844"/>
      <c r="O210" s="48">
        <f>IF(t&lt;Tnet,'2021'!Resal+('2021'!Salim-'2021'!Resal)*(1-EXP(('2021'!Tnet-t)/('2021'!Tau_j))),Resal+(Salim-Resal)*(1-EXP((Tnet-t)/(Tau_j))))*Salcycl</f>
        <v>9.0475028717326669E-2</v>
      </c>
      <c r="P210" s="339">
        <f>(INDEX(Models!$BJ210:$BT210,,T210)*(1-R210)+INDEX(Models!$BJ210:$BT210,,T210+1)*R210-ERP_i)*Q210*Ramure*Pc/MaxiM</f>
        <v>1.4426286801289025E-4</v>
      </c>
      <c r="Q210" s="305">
        <f t="shared" si="80"/>
        <v>0.7</v>
      </c>
      <c r="R210" s="177">
        <f t="shared" si="81"/>
        <v>0.32257001519300332</v>
      </c>
      <c r="S210" s="810">
        <f t="shared" si="82"/>
        <v>0</v>
      </c>
      <c r="T210" s="176">
        <f t="shared" si="83"/>
        <v>6</v>
      </c>
      <c r="U210" s="251">
        <f t="shared" si="84"/>
        <v>0.32257001519300332</v>
      </c>
      <c r="V210" s="383">
        <f t="shared" si="85"/>
        <v>54.574061241131318</v>
      </c>
      <c r="W210" s="402">
        <f t="shared" si="86"/>
        <v>0</v>
      </c>
      <c r="X210" s="157">
        <f t="shared" si="87"/>
        <v>44757</v>
      </c>
      <c r="Y210" s="385">
        <f t="shared" si="88"/>
        <v>47.100336944100334</v>
      </c>
      <c r="Z210" s="385">
        <f t="shared" si="89"/>
        <v>48.710009135178829</v>
      </c>
      <c r="AA210" s="386">
        <f t="shared" si="90"/>
        <v>57.382366260070867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0.15113279026498833</v>
      </c>
      <c r="AD210" s="231">
        <f>(INDEX(Models!$BJ210:$BT210,,AH210)*(1-AF210)+INDEX(Models!$BJ210:$BT210,,AH210+1)*AF210-ERP_i)*AE210*Ramure*Pc/MaxiM</f>
        <v>1.4426286801289025E-4</v>
      </c>
      <c r="AE210" s="305">
        <f t="shared" si="92"/>
        <v>0.7</v>
      </c>
      <c r="AF210" s="177">
        <f t="shared" si="93"/>
        <v>0.32257001519300332</v>
      </c>
      <c r="AG210" s="810">
        <f t="shared" si="99"/>
        <v>0</v>
      </c>
      <c r="AH210" s="176">
        <f t="shared" si="94"/>
        <v>6</v>
      </c>
      <c r="AI210" s="225">
        <f t="shared" si="95"/>
        <v>0.32257001519300332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42">
        <v>51.988</v>
      </c>
      <c r="C211" s="840"/>
      <c r="D211" s="393">
        <f t="shared" si="77"/>
        <v>53.765961174625943</v>
      </c>
      <c r="E211" s="385">
        <f t="shared" si="75"/>
        <v>59.121769674584023</v>
      </c>
      <c r="F211" s="385">
        <f t="shared" si="78"/>
        <v>59.129747584125113</v>
      </c>
      <c r="G211" s="110">
        <f t="shared" si="76"/>
        <v>0.95457164903091141</v>
      </c>
      <c r="H211" s="414" t="b">
        <f>Wh_hp&gt;='2021'!Maxi_hp</f>
        <v>0</v>
      </c>
      <c r="I211" s="380">
        <f>IF(H211,Wh_hp,'2021'!Maxi_hp)</f>
        <v>62.090421221534129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3.3068527666627601E-2</v>
      </c>
      <c r="M211" s="844"/>
      <c r="N211" s="844"/>
      <c r="O211" s="48">
        <f>IF(t&lt;Tnet,'2021'!Resal+('2021'!Salim-'2021'!Resal)*(1-EXP(('2021'!Tnet-t)/('2021'!Tau_j))),Resal+(Salim-Resal)*(1-EXP((Tnet-t)/(Tau_j))))*Salcycl</f>
        <v>9.0589448344278872E-2</v>
      </c>
      <c r="P211" s="339">
        <f>(INDEX(Models!$BJ211:$BT211,,T211)*(1-R211)+INDEX(Models!$BJ211:$BT211,,T211+1)*R211-ERP_i)*Q211*Ramure*Pc/MaxiM</f>
        <v>1.4428394275237312E-4</v>
      </c>
      <c r="Q211" s="305">
        <f t="shared" si="80"/>
        <v>0.7</v>
      </c>
      <c r="R211" s="177">
        <f t="shared" si="81"/>
        <v>0.32509028668207646</v>
      </c>
      <c r="S211" s="810">
        <f t="shared" si="82"/>
        <v>0</v>
      </c>
      <c r="T211" s="176">
        <f t="shared" si="83"/>
        <v>6</v>
      </c>
      <c r="U211" s="251">
        <f t="shared" si="84"/>
        <v>0.32509028668207646</v>
      </c>
      <c r="V211" s="383">
        <f t="shared" si="85"/>
        <v>54.461614571799764</v>
      </c>
      <c r="W211" s="402">
        <f t="shared" si="86"/>
        <v>0</v>
      </c>
      <c r="X211" s="157">
        <f t="shared" si="87"/>
        <v>44758</v>
      </c>
      <c r="Y211" s="385">
        <f t="shared" si="88"/>
        <v>48.523941665247889</v>
      </c>
      <c r="Z211" s="385">
        <f t="shared" si="89"/>
        <v>50.183433938861512</v>
      </c>
      <c r="AA211" s="386">
        <f t="shared" si="90"/>
        <v>59.121769674584023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0.15118518584475032</v>
      </c>
      <c r="AD211" s="231">
        <f>(INDEX(Models!$BJ211:$BT211,,AH211)*(1-AF211)+INDEX(Models!$BJ211:$BT211,,AH211+1)*AF211-ERP_i)*AE211*Ramure*Pc/MaxiM</f>
        <v>1.4428394275237312E-4</v>
      </c>
      <c r="AE211" s="305">
        <f t="shared" si="92"/>
        <v>0.7</v>
      </c>
      <c r="AF211" s="177">
        <f t="shared" si="93"/>
        <v>0.32509028668207646</v>
      </c>
      <c r="AG211" s="810">
        <f t="shared" si="99"/>
        <v>0</v>
      </c>
      <c r="AH211" s="176">
        <f t="shared" si="94"/>
        <v>6</v>
      </c>
      <c r="AI211" s="225">
        <f t="shared" si="95"/>
        <v>0.32509028668207646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42">
        <v>51.085999999999999</v>
      </c>
      <c r="C212" s="840"/>
      <c r="D212" s="393">
        <f t="shared" si="77"/>
        <v>52.834342800153635</v>
      </c>
      <c r="E212" s="385">
        <f t="shared" si="75"/>
        <v>58.104605697776002</v>
      </c>
      <c r="F212" s="385">
        <f t="shared" si="78"/>
        <v>58.112286429325721</v>
      </c>
      <c r="G212" s="110">
        <f t="shared" si="76"/>
        <v>0.94000453886499824</v>
      </c>
      <c r="H212" s="414" t="b">
        <f>Wh_hp&gt;='2021'!Maxi_hp</f>
        <v>0</v>
      </c>
      <c r="I212" s="380">
        <f>IF(H212,Wh_hp,'2021'!Maxi_hp)</f>
        <v>61.577914063437071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3.3091029574584763E-2</v>
      </c>
      <c r="M212" s="844"/>
      <c r="N212" s="844"/>
      <c r="O212" s="48">
        <f>IF(t&lt;Tnet,'2021'!Resal+('2021'!Salim-'2021'!Resal)*(1-EXP(('2021'!Tnet-t)/('2021'!Tau_j))),Resal+(Salim-Resal)*(1-EXP((Tnet-t)/(Tau_j))))*Salcycl</f>
        <v>9.0703014577450156E-2</v>
      </c>
      <c r="P212" s="339">
        <f>(INDEX(Models!$BJ212:$BT212,,T212)*(1-R212)+INDEX(Models!$BJ212:$BT212,,T212+1)*R212-ERP_i)*Q212*Ramure*Pc/MaxiM</f>
        <v>1.4455785875373622E-4</v>
      </c>
      <c r="Q212" s="305">
        <f t="shared" si="80"/>
        <v>0.7</v>
      </c>
      <c r="R212" s="177">
        <f t="shared" si="81"/>
        <v>0.32754625313533753</v>
      </c>
      <c r="S212" s="810">
        <f t="shared" si="82"/>
        <v>0</v>
      </c>
      <c r="T212" s="176">
        <f t="shared" si="83"/>
        <v>6</v>
      </c>
      <c r="U212" s="251">
        <f t="shared" si="84"/>
        <v>0.32754625313533753</v>
      </c>
      <c r="V212" s="383">
        <f t="shared" si="85"/>
        <v>54.345872796343599</v>
      </c>
      <c r="W212" s="402">
        <f t="shared" si="86"/>
        <v>0</v>
      </c>
      <c r="X212" s="157">
        <f t="shared" si="87"/>
        <v>44759</v>
      </c>
      <c r="Y212" s="385">
        <f t="shared" si="88"/>
        <v>47.68512772774848</v>
      </c>
      <c r="Z212" s="385">
        <f t="shared" si="89"/>
        <v>49.317080703851822</v>
      </c>
      <c r="AA212" s="386">
        <f t="shared" si="90"/>
        <v>58.104605697776002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0.15123628993597191</v>
      </c>
      <c r="AD212" s="231">
        <f>(INDEX(Models!$BJ212:$BT212,,AH212)*(1-AF212)+INDEX(Models!$BJ212:$BT212,,AH212+1)*AF212-ERP_i)*AE212*Ramure*Pc/MaxiM</f>
        <v>1.4455785875373622E-4</v>
      </c>
      <c r="AE212" s="305">
        <f t="shared" si="92"/>
        <v>0.7</v>
      </c>
      <c r="AF212" s="177">
        <f t="shared" si="93"/>
        <v>0.32754625313533753</v>
      </c>
      <c r="AG212" s="810">
        <f t="shared" si="99"/>
        <v>0</v>
      </c>
      <c r="AH212" s="176">
        <f t="shared" si="94"/>
        <v>6</v>
      </c>
      <c r="AI212" s="225">
        <f t="shared" si="95"/>
        <v>0.32754625313533753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42">
        <v>51.805</v>
      </c>
      <c r="C213" s="840"/>
      <c r="D213" s="393">
        <f t="shared" si="77"/>
        <v>53.579196378015851</v>
      </c>
      <c r="E213" s="385">
        <f t="shared" si="75"/>
        <v>58.931066506225143</v>
      </c>
      <c r="F213" s="385">
        <f t="shared" si="78"/>
        <v>58.939073040406903</v>
      </c>
      <c r="G213" s="110">
        <f t="shared" si="76"/>
        <v>0.95533167892315984</v>
      </c>
      <c r="H213" s="414" t="b">
        <f>Wh_hp&gt;='2021'!Maxi_hp</f>
        <v>1</v>
      </c>
      <c r="I213" s="380">
        <f>IF(H213,Wh_hp,'2021'!Maxi_hp)</f>
        <v>58.939073040406903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3.3113530958889581E-2</v>
      </c>
      <c r="M213" s="844"/>
      <c r="N213" s="844"/>
      <c r="O213" s="48">
        <f>IF(t&lt;Tnet,'2021'!Resal+('2021'!Salim-'2021'!Resal)*(1-EXP(('2021'!Tnet-t)/('2021'!Tau_j))),Resal+(Salim-Resal)*(1-EXP((Tnet-t)/(Tau_j))))*Salcycl</f>
        <v>9.0815769092588081E-2</v>
      </c>
      <c r="P213" s="339">
        <f>(INDEX(Models!$BJ213:$BT213,,T213)*(1-R213)+INDEX(Models!$BJ213:$BT213,,T213+1)*R213-ERP_i)*Q213*Ramure*Pc/MaxiM</f>
        <v>1.4510162520548021E-4</v>
      </c>
      <c r="Q213" s="305">
        <f t="shared" si="80"/>
        <v>0.7</v>
      </c>
      <c r="R213" s="177">
        <f t="shared" si="81"/>
        <v>0.32993834986836984</v>
      </c>
      <c r="S213" s="810">
        <f t="shared" si="82"/>
        <v>0</v>
      </c>
      <c r="T213" s="176">
        <f t="shared" si="83"/>
        <v>6</v>
      </c>
      <c r="U213" s="251">
        <f t="shared" si="84"/>
        <v>0.32993834986836984</v>
      </c>
      <c r="V213" s="383">
        <f t="shared" si="85"/>
        <v>54.226737686456723</v>
      </c>
      <c r="W213" s="402">
        <f t="shared" si="86"/>
        <v>0</v>
      </c>
      <c r="X213" s="157">
        <f t="shared" si="87"/>
        <v>44760</v>
      </c>
      <c r="Y213" s="385">
        <f t="shared" si="88"/>
        <v>48.359417372280575</v>
      </c>
      <c r="Z213" s="385">
        <f t="shared" si="89"/>
        <v>50.015610850610024</v>
      </c>
      <c r="AA213" s="386">
        <f t="shared" si="90"/>
        <v>58.931066506225143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0.15128617525822882</v>
      </c>
      <c r="AD213" s="231">
        <f>(INDEX(Models!$BJ213:$BT213,,AH213)*(1-AF213)+INDEX(Models!$BJ213:$BT213,,AH213+1)*AF213-ERP_i)*AE213*Ramure*Pc/MaxiM</f>
        <v>1.4510162520548021E-4</v>
      </c>
      <c r="AE213" s="305">
        <f t="shared" si="92"/>
        <v>0.7</v>
      </c>
      <c r="AF213" s="177">
        <f t="shared" si="93"/>
        <v>0.32993834986836984</v>
      </c>
      <c r="AG213" s="810">
        <f t="shared" si="99"/>
        <v>0</v>
      </c>
      <c r="AH213" s="176">
        <f t="shared" si="94"/>
        <v>6</v>
      </c>
      <c r="AI213" s="225">
        <f t="shared" si="95"/>
        <v>0.32993834986836984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42">
        <v>43.742000000000004</v>
      </c>
      <c r="C214" s="840"/>
      <c r="D214" s="393">
        <f t="shared" si="77"/>
        <v>45.241110890003135</v>
      </c>
      <c r="E214" s="385">
        <f t="shared" si="75"/>
        <v>49.766243576098113</v>
      </c>
      <c r="F214" s="385">
        <f t="shared" si="78"/>
        <v>49.771519108889592</v>
      </c>
      <c r="G214" s="110">
        <f t="shared" si="76"/>
        <v>0.80844601188240428</v>
      </c>
      <c r="H214" s="414" t="b">
        <f>Wh_hp&gt;='2021'!Maxi_hp</f>
        <v>0</v>
      </c>
      <c r="I214" s="380">
        <f>IF(H214,Wh_hp,'2021'!Maxi_hp)</f>
        <v>61.968501061499985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3.3136031819554379E-2</v>
      </c>
      <c r="M214" s="844"/>
      <c r="N214" s="844"/>
      <c r="O214" s="48">
        <f>IF(t&lt;Tnet,'2021'!Resal+('2021'!Salim-'2021'!Resal)*(1-EXP(('2021'!Tnet-t)/('2021'!Tau_j))),Resal+(Salim-Resal)*(1-EXP((Tnet-t)/(Tau_j))))*Salcycl</f>
        <v>9.0927752647746968E-2</v>
      </c>
      <c r="P214" s="339">
        <f>(INDEX(Models!$BJ214:$BT214,,T214)*(1-R214)+INDEX(Models!$BJ214:$BT214,,T214+1)*R214-ERP_i)*Q214*Ramure*Pc/MaxiM</f>
        <v>1.459187340444981E-4</v>
      </c>
      <c r="Q214" s="305">
        <f t="shared" si="80"/>
        <v>0.7</v>
      </c>
      <c r="R214" s="177">
        <f t="shared" si="81"/>
        <v>0.33226709488082085</v>
      </c>
      <c r="S214" s="810">
        <f t="shared" si="82"/>
        <v>0</v>
      </c>
      <c r="T214" s="176">
        <f t="shared" si="83"/>
        <v>6</v>
      </c>
      <c r="U214" s="251">
        <f t="shared" si="84"/>
        <v>0.33226709488082085</v>
      </c>
      <c r="V214" s="383">
        <f t="shared" si="85"/>
        <v>54.104111874588014</v>
      </c>
      <c r="W214" s="402">
        <f t="shared" si="86"/>
        <v>0</v>
      </c>
      <c r="X214" s="157">
        <f t="shared" si="87"/>
        <v>44761</v>
      </c>
      <c r="Y214" s="385">
        <f t="shared" si="88"/>
        <v>40.835377337243791</v>
      </c>
      <c r="Z214" s="385">
        <f t="shared" si="89"/>
        <v>42.234873447701688</v>
      </c>
      <c r="AA214" s="386">
        <f t="shared" si="90"/>
        <v>49.766243576098113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0.15133491272814509</v>
      </c>
      <c r="AD214" s="231">
        <f>(INDEX(Models!$BJ214:$BT214,,AH214)*(1-AF214)+INDEX(Models!$BJ214:$BT214,,AH214+1)*AF214-ERP_i)*AE214*Ramure*Pc/MaxiM</f>
        <v>1.459187340444981E-4</v>
      </c>
      <c r="AE214" s="305">
        <f t="shared" si="92"/>
        <v>0.7</v>
      </c>
      <c r="AF214" s="177">
        <f t="shared" si="93"/>
        <v>0.33226709488082085</v>
      </c>
      <c r="AG214" s="810">
        <f t="shared" si="99"/>
        <v>0</v>
      </c>
      <c r="AH214" s="176">
        <f t="shared" si="94"/>
        <v>6</v>
      </c>
      <c r="AI214" s="225">
        <f t="shared" si="95"/>
        <v>0.33226709488082085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42">
        <v>42.575000000000003</v>
      </c>
      <c r="C215" s="840"/>
      <c r="D215" s="393">
        <f t="shared" si="77"/>
        <v>44.035140626483269</v>
      </c>
      <c r="E215" s="385">
        <f t="shared" si="75"/>
        <v>48.445577822460514</v>
      </c>
      <c r="F215" s="385">
        <f t="shared" si="78"/>
        <v>48.450551083363877</v>
      </c>
      <c r="G215" s="110">
        <f t="shared" si="76"/>
        <v>0.78871375836069113</v>
      </c>
      <c r="H215" s="414" t="b">
        <f>Wh_hp&gt;='2021'!Maxi_hp</f>
        <v>0</v>
      </c>
      <c r="I215" s="380">
        <f>IF(H215,Wh_hp,'2021'!Maxi_hp)</f>
        <v>60.24378453040314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3.3158532156591369E-2</v>
      </c>
      <c r="M215" s="844"/>
      <c r="N215" s="844"/>
      <c r="O215" s="48">
        <f>IF(t&lt;Tnet,'2021'!Resal+('2021'!Salim-'2021'!Resal)*(1-EXP(('2021'!Tnet-t)/('2021'!Tau_j))),Resal+(Salim-Resal)*(1-EXP((Tnet-t)/(Tau_j))))*Salcycl</f>
        <v>9.1039004883794766E-2</v>
      </c>
      <c r="P215" s="339">
        <f>(INDEX(Models!$BJ215:$BT215,,T215)*(1-R215)+INDEX(Models!$BJ215:$BT215,,T215+1)*R215-ERP_i)*Q215*Ramure*Pc/MaxiM</f>
        <v>1.4701271471272945E-4</v>
      </c>
      <c r="Q215" s="305">
        <f t="shared" si="80"/>
        <v>0.7</v>
      </c>
      <c r="R215" s="177">
        <f t="shared" si="81"/>
        <v>0.33453308322916897</v>
      </c>
      <c r="S215" s="810">
        <f t="shared" si="82"/>
        <v>0</v>
      </c>
      <c r="T215" s="176">
        <f t="shared" si="83"/>
        <v>6</v>
      </c>
      <c r="U215" s="251">
        <f t="shared" si="84"/>
        <v>0.33453308322916897</v>
      </c>
      <c r="V215" s="383">
        <f t="shared" si="85"/>
        <v>53.97789812447531</v>
      </c>
      <c r="W215" s="402">
        <f t="shared" si="86"/>
        <v>0</v>
      </c>
      <c r="X215" s="157">
        <f t="shared" si="87"/>
        <v>44762</v>
      </c>
      <c r="Y215" s="385">
        <f t="shared" si="88"/>
        <v>39.748556019419105</v>
      </c>
      <c r="Z215" s="385">
        <f t="shared" si="89"/>
        <v>41.111761691480169</v>
      </c>
      <c r="AA215" s="386">
        <f t="shared" si="90"/>
        <v>48.445577822460514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0.15138257113697204</v>
      </c>
      <c r="AD215" s="231">
        <f>(INDEX(Models!$BJ215:$BT215,,AH215)*(1-AF215)+INDEX(Models!$BJ215:$BT215,,AH215+1)*AF215-ERP_i)*AE215*Ramure*Pc/MaxiM</f>
        <v>1.4701271471272945E-4</v>
      </c>
      <c r="AE215" s="305">
        <f t="shared" si="92"/>
        <v>0.7</v>
      </c>
      <c r="AF215" s="177">
        <f t="shared" si="93"/>
        <v>0.33453308322916897</v>
      </c>
      <c r="AG215" s="810">
        <f t="shared" si="99"/>
        <v>0</v>
      </c>
      <c r="AH215" s="176">
        <f t="shared" si="94"/>
        <v>6</v>
      </c>
      <c r="AI215" s="225">
        <f t="shared" si="95"/>
        <v>0.33453308322916897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42">
        <v>49.448</v>
      </c>
      <c r="C216" s="840"/>
      <c r="D216" s="393">
        <f t="shared" si="77"/>
        <v>51.145045386062691</v>
      </c>
      <c r="E216" s="385">
        <f t="shared" si="75"/>
        <v>56.274435669571034</v>
      </c>
      <c r="F216" s="385">
        <f t="shared" si="78"/>
        <v>56.281812291305535</v>
      </c>
      <c r="G216" s="110">
        <f t="shared" si="76"/>
        <v>0.91827261906528923</v>
      </c>
      <c r="H216" s="414" t="b">
        <f>Wh_hp&gt;='2021'!Maxi_hp</f>
        <v>1</v>
      </c>
      <c r="I216" s="380">
        <f>IF(H216,Wh_hp,'2021'!Maxi_hp)</f>
        <v>56.281812291305535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3.3181031970012542E-2</v>
      </c>
      <c r="M216" s="844"/>
      <c r="N216" s="844"/>
      <c r="O216" s="48">
        <f>IF(t&lt;Tnet,'2021'!Resal+('2021'!Salim-'2021'!Resal)*(1-EXP(('2021'!Tnet-t)/('2021'!Tau_j))),Resal+(Salim-Resal)*(1-EXP((Tnet-t)/(Tau_j))))*Salcycl</f>
        <v>9.1149564140043965E-2</v>
      </c>
      <c r="P216" s="339">
        <f>(INDEX(Models!$BJ216:$BT216,,T216)*(1-R216)+INDEX(Models!$BJ216:$BT216,,T216+1)*R216-ERP_i)*Q216*Ramure*Pc/MaxiM</f>
        <v>1.483871496499156E-4</v>
      </c>
      <c r="Q216" s="305">
        <f t="shared" si="80"/>
        <v>0.7</v>
      </c>
      <c r="R216" s="177">
        <f t="shared" si="81"/>
        <v>0.33673698143561692</v>
      </c>
      <c r="S216" s="810">
        <f t="shared" si="82"/>
        <v>0</v>
      </c>
      <c r="T216" s="176">
        <f t="shared" si="83"/>
        <v>6</v>
      </c>
      <c r="U216" s="251">
        <f t="shared" si="84"/>
        <v>0.33673698143561692</v>
      </c>
      <c r="V216" s="383">
        <f t="shared" si="85"/>
        <v>53.847999336867424</v>
      </c>
      <c r="W216" s="402">
        <f t="shared" si="86"/>
        <v>0</v>
      </c>
      <c r="X216" s="157">
        <f t="shared" si="87"/>
        <v>44763</v>
      </c>
      <c r="Y216" s="385">
        <f t="shared" si="88"/>
        <v>46.168353371862786</v>
      </c>
      <c r="Z216" s="385">
        <f t="shared" si="89"/>
        <v>47.752841947170815</v>
      </c>
      <c r="AA216" s="386">
        <f t="shared" si="90"/>
        <v>56.274435669571034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0.15142921685500002</v>
      </c>
      <c r="AD216" s="231">
        <f>(INDEX(Models!$BJ216:$BT216,,AH216)*(1-AF216)+INDEX(Models!$BJ216:$BT216,,AH216+1)*AF216-ERP_i)*AE216*Ramure*Pc/MaxiM</f>
        <v>1.483871496499156E-4</v>
      </c>
      <c r="AE216" s="305">
        <f t="shared" si="92"/>
        <v>0.7</v>
      </c>
      <c r="AF216" s="177">
        <f t="shared" si="93"/>
        <v>0.33673698143561692</v>
      </c>
      <c r="AG216" s="810">
        <f t="shared" si="99"/>
        <v>0</v>
      </c>
      <c r="AH216" s="176">
        <f t="shared" si="94"/>
        <v>6</v>
      </c>
      <c r="AI216" s="225">
        <f t="shared" si="95"/>
        <v>0.33673698143561692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42">
        <v>37.78</v>
      </c>
      <c r="C217" s="840"/>
      <c r="D217" s="393">
        <f t="shared" si="77"/>
        <v>39.077511370341504</v>
      </c>
      <c r="E217" s="385">
        <f t="shared" si="75"/>
        <v>43.001836017628932</v>
      </c>
      <c r="F217" s="385">
        <f t="shared" si="78"/>
        <v>43.005554217893533</v>
      </c>
      <c r="G217" s="110">
        <f t="shared" si="76"/>
        <v>0.70330590573767038</v>
      </c>
      <c r="H217" s="414" t="b">
        <f>Wh_hp&gt;='2021'!Maxi_hp</f>
        <v>0</v>
      </c>
      <c r="I217" s="380">
        <f>IF(H217,Wh_hp,'2021'!Maxi_hp)</f>
        <v>55.15109317310074</v>
      </c>
      <c r="J217" s="85">
        <f>IF(H217,An,'2021'!An_max)</f>
        <v>2020</v>
      </c>
      <c r="K217" s="197">
        <f t="shared" si="79"/>
        <v>44764</v>
      </c>
      <c r="L217" s="147">
        <f>IF(t&lt;Tvie,1-EXP((T0-t)*PertePVj)+'2021'!Pspv,1-EXP((T0-t)*PertePVj)+Pspv)</f>
        <v>3.3203531259830221E-2</v>
      </c>
      <c r="M217" s="844"/>
      <c r="N217" s="844"/>
      <c r="O217" s="48">
        <f>IF(t&lt;Tnet,'2021'!Resal+('2021'!Salim-'2021'!Resal)*(1-EXP(('2021'!Tnet-t)/('2021'!Tau_j))),Resal+(Salim-Resal)*(1-EXP((Tnet-t)/(Tau_j))))*Salcycl</f>
        <v>9.1259467285969328E-2</v>
      </c>
      <c r="P217" s="339">
        <f>(INDEX(Models!$BJ217:$BT217,,T217)*(1-R217)+INDEX(Models!$BJ217:$BT217,,T217+1)*R217-ERP_i)*Q217*Ramure*Pc/MaxiM</f>
        <v>1.5004569003031182E-4</v>
      </c>
      <c r="Q217" s="305">
        <f t="shared" si="80"/>
        <v>0.7</v>
      </c>
      <c r="R217" s="177">
        <f t="shared" si="81"/>
        <v>0.33887952196144022</v>
      </c>
      <c r="S217" s="810">
        <f t="shared" si="82"/>
        <v>0</v>
      </c>
      <c r="T217" s="176">
        <f t="shared" si="83"/>
        <v>6</v>
      </c>
      <c r="U217" s="251">
        <f t="shared" si="84"/>
        <v>0.33887952196144022</v>
      </c>
      <c r="V217" s="383">
        <f t="shared" si="85"/>
        <v>53.714318568987061</v>
      </c>
      <c r="W217" s="402">
        <f t="shared" si="86"/>
        <v>0</v>
      </c>
      <c r="X217" s="157">
        <f t="shared" si="87"/>
        <v>44764</v>
      </c>
      <c r="Y217" s="385">
        <f t="shared" si="88"/>
        <v>35.276601638755984</v>
      </c>
      <c r="Z217" s="385">
        <f t="shared" si="89"/>
        <v>36.488136623755814</v>
      </c>
      <c r="AA217" s="386">
        <f t="shared" si="90"/>
        <v>43.001836017628932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0.15147491356422044</v>
      </c>
      <c r="AD217" s="231">
        <f>(INDEX(Models!$BJ217:$BT217,,AH217)*(1-AF217)+INDEX(Models!$BJ217:$BT217,,AH217+1)*AF217-ERP_i)*AE217*Ramure*Pc/MaxiM</f>
        <v>1.5004569003031182E-4</v>
      </c>
      <c r="AE217" s="305">
        <f t="shared" si="92"/>
        <v>0.7</v>
      </c>
      <c r="AF217" s="177">
        <f t="shared" si="93"/>
        <v>0.33887952196144022</v>
      </c>
      <c r="AG217" s="810">
        <f t="shared" si="99"/>
        <v>0</v>
      </c>
      <c r="AH217" s="176">
        <f t="shared" si="94"/>
        <v>6</v>
      </c>
      <c r="AI217" s="225">
        <f t="shared" si="95"/>
        <v>0.33887952196144022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42">
        <v>49.219000000000001</v>
      </c>
      <c r="C218" s="840"/>
      <c r="D218" s="393">
        <f t="shared" si="77"/>
        <v>50.910555650693155</v>
      </c>
      <c r="E218" s="385">
        <f t="shared" si="75"/>
        <v>56.029941328332484</v>
      </c>
      <c r="F218" s="385">
        <f t="shared" si="78"/>
        <v>56.037468914405146</v>
      </c>
      <c r="G218" s="110">
        <f t="shared" si="76"/>
        <v>0.91864703138369097</v>
      </c>
      <c r="H218" s="414" t="b">
        <f>Wh_hp&gt;='2021'!Maxi_hp</f>
        <v>0</v>
      </c>
      <c r="I218" s="380">
        <f>IF(H218,Wh_hp,'2021'!Maxi_hp)</f>
        <v>57.142071976400118</v>
      </c>
      <c r="J218" s="85">
        <f>IF(H218,An,'2021'!An_max)</f>
        <v>2019</v>
      </c>
      <c r="K218" s="197">
        <f t="shared" si="79"/>
        <v>44765</v>
      </c>
      <c r="L218" s="147">
        <f>IF(t&lt;Tvie,1-EXP((T0-t)*PertePVj)+'2021'!Pspv,1-EXP((T0-t)*PertePVj)+Pspv)</f>
        <v>3.3226030026056508E-2</v>
      </c>
      <c r="M218" s="844"/>
      <c r="N218" s="844"/>
      <c r="O218" s="48">
        <f>IF(t&lt;Tnet,'2021'!Resal+('2021'!Salim-'2021'!Resal)*(1-EXP(('2021'!Tnet-t)/('2021'!Tau_j))),Resal+(Salim-Resal)*(1-EXP((Tnet-t)/(Tau_j))))*Salcycl</f>
        <v>9.136874956980591E-2</v>
      </c>
      <c r="P218" s="339">
        <f>(INDEX(Models!$BJ218:$BT218,,T218)*(1-R218)+INDEX(Models!$BJ218:$BT218,,T218+1)*R218-ERP_i)*Q218*Ramure*Pc/MaxiM</f>
        <v>1.519920717980214E-4</v>
      </c>
      <c r="Q218" s="305">
        <f t="shared" si="80"/>
        <v>0.7</v>
      </c>
      <c r="R218" s="177">
        <f t="shared" si="81"/>
        <v>0.3409614977703459</v>
      </c>
      <c r="S218" s="810">
        <f t="shared" si="82"/>
        <v>0</v>
      </c>
      <c r="T218" s="176">
        <f t="shared" si="83"/>
        <v>6</v>
      </c>
      <c r="U218" s="251">
        <f t="shared" si="84"/>
        <v>0.3409614977703459</v>
      </c>
      <c r="V218" s="383">
        <f t="shared" si="85"/>
        <v>53.576759033965757</v>
      </c>
      <c r="W218" s="402">
        <f t="shared" si="86"/>
        <v>0</v>
      </c>
      <c r="X218" s="157">
        <f t="shared" si="87"/>
        <v>44765</v>
      </c>
      <c r="Y218" s="385">
        <f t="shared" si="88"/>
        <v>45.960724751770847</v>
      </c>
      <c r="Z218" s="385">
        <f t="shared" si="89"/>
        <v>47.540300193446022</v>
      </c>
      <c r="AA218" s="386">
        <f t="shared" si="90"/>
        <v>56.029941328332484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0.15151972202036793</v>
      </c>
      <c r="AD218" s="231">
        <f>(INDEX(Models!$BJ218:$BT218,,AH218)*(1-AF218)+INDEX(Models!$BJ218:$BT218,,AH218+1)*AF218-ERP_i)*AE218*Ramure*Pc/MaxiM</f>
        <v>1.519920717980214E-4</v>
      </c>
      <c r="AE218" s="305">
        <f t="shared" si="92"/>
        <v>0.7</v>
      </c>
      <c r="AF218" s="177">
        <f t="shared" si="93"/>
        <v>0.3409614977703459</v>
      </c>
      <c r="AG218" s="810">
        <f t="shared" si="99"/>
        <v>0</v>
      </c>
      <c r="AH218" s="176">
        <f t="shared" si="94"/>
        <v>6</v>
      </c>
      <c r="AI218" s="225">
        <f t="shared" si="95"/>
        <v>0.3409614977703459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42">
        <v>49.553000000000004</v>
      </c>
      <c r="C219" s="840"/>
      <c r="D219" s="393">
        <f t="shared" si="77"/>
        <v>51.257227373296423</v>
      </c>
      <c r="E219" s="385">
        <f t="shared" si="75"/>
        <v>56.418222158745472</v>
      </c>
      <c r="F219" s="385">
        <f t="shared" si="78"/>
        <v>56.42602148642213</v>
      </c>
      <c r="G219" s="110">
        <f t="shared" si="76"/>
        <v>0.92733169543550076</v>
      </c>
      <c r="H219" s="414" t="b">
        <f>Wh_hp&gt;='2021'!Maxi_hp</f>
        <v>0</v>
      </c>
      <c r="I219" s="380">
        <f>IF(H219,Wh_hp,'2021'!Maxi_hp)</f>
        <v>57.379495039905848</v>
      </c>
      <c r="J219" s="85">
        <f>IF(H219,An,'2021'!An_max)</f>
        <v>2019</v>
      </c>
      <c r="K219" s="197">
        <f t="shared" si="79"/>
        <v>44766</v>
      </c>
      <c r="L219" s="147">
        <f>IF(t&lt;Tvie,1-EXP((T0-t)*PertePVj)+'2021'!Pspv,1-EXP((T0-t)*PertePVj)+Pspv)</f>
        <v>3.3248528268703725E-2</v>
      </c>
      <c r="M219" s="844"/>
      <c r="N219" s="844"/>
      <c r="O219" s="48">
        <f>IF(t&lt;Tnet,'2021'!Resal+('2021'!Salim-'2021'!Resal)*(1-EXP(('2021'!Tnet-t)/('2021'!Tau_j))),Resal+(Salim-Resal)*(1-EXP((Tnet-t)/(Tau_j))))*Salcycl</f>
        <v>9.1477444484645787E-2</v>
      </c>
      <c r="P219" s="339">
        <f>(INDEX(Models!$BJ219:$BT219,,T219)*(1-R219)+INDEX(Models!$BJ219:$BT219,,T219+1)*R219-ERP_i)*Q219*Ramure*Pc/MaxiM</f>
        <v>1.5422979045310965E-4</v>
      </c>
      <c r="Q219" s="305">
        <f t="shared" si="80"/>
        <v>0.7</v>
      </c>
      <c r="R219" s="177">
        <f t="shared" si="81"/>
        <v>0.34298375700464773</v>
      </c>
      <c r="S219" s="810">
        <f t="shared" si="82"/>
        <v>0</v>
      </c>
      <c r="T219" s="176">
        <f t="shared" si="83"/>
        <v>6</v>
      </c>
      <c r="U219" s="251">
        <f t="shared" si="84"/>
        <v>0.34298375700464773</v>
      </c>
      <c r="V219" s="383">
        <f t="shared" si="85"/>
        <v>53.435256132308091</v>
      </c>
      <c r="W219" s="402">
        <f t="shared" si="86"/>
        <v>0</v>
      </c>
      <c r="X219" s="157">
        <f t="shared" si="87"/>
        <v>44766</v>
      </c>
      <c r="Y219" s="385">
        <f t="shared" si="88"/>
        <v>46.275751467418111</v>
      </c>
      <c r="Z219" s="385">
        <f t="shared" si="89"/>
        <v>47.867267669679045</v>
      </c>
      <c r="AA219" s="386">
        <f t="shared" si="90"/>
        <v>56.418222158745472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0.15156369984517376</v>
      </c>
      <c r="AD219" s="231">
        <f>(INDEX(Models!$BJ219:$BT219,,AH219)*(1-AF219)+INDEX(Models!$BJ219:$BT219,,AH219+1)*AF219-ERP_i)*AE219*Ramure*Pc/MaxiM</f>
        <v>1.5422979045310965E-4</v>
      </c>
      <c r="AE219" s="305">
        <f t="shared" si="92"/>
        <v>0.7</v>
      </c>
      <c r="AF219" s="177">
        <f t="shared" si="93"/>
        <v>0.34298375700464773</v>
      </c>
      <c r="AG219" s="810">
        <f t="shared" si="99"/>
        <v>0</v>
      </c>
      <c r="AH219" s="176">
        <f t="shared" si="94"/>
        <v>6</v>
      </c>
      <c r="AI219" s="225">
        <f t="shared" si="95"/>
        <v>0.34298375700464773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42">
        <v>26.645</v>
      </c>
      <c r="C220" s="840"/>
      <c r="D220" s="393">
        <f t="shared" si="77"/>
        <v>27.562016569561614</v>
      </c>
      <c r="E220" s="385">
        <f t="shared" si="75"/>
        <v>30.340796087737765</v>
      </c>
      <c r="F220" s="385">
        <f t="shared" si="78"/>
        <v>30.342155414393957</v>
      </c>
      <c r="G220" s="110">
        <f t="shared" si="76"/>
        <v>0.49994520378630197</v>
      </c>
      <c r="H220" s="414" t="b">
        <f>Wh_hp&gt;='2021'!Maxi_hp</f>
        <v>0</v>
      </c>
      <c r="I220" s="380">
        <f>IF(H220,Wh_hp,'2021'!Maxi_hp)</f>
        <v>60.574640900410465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3.3271025987783864E-2</v>
      </c>
      <c r="M220" s="844"/>
      <c r="N220" s="844"/>
      <c r="O220" s="48">
        <f>IF(t&lt;Tnet,'2021'!Resal+('2021'!Salim-'2021'!Resal)*(1-EXP(('2021'!Tnet-t)/('2021'!Tau_j))),Resal+(Salim-Resal)*(1-EXP((Tnet-t)/(Tau_j))))*Salcycl</f>
        <v>9.1585583652473587E-2</v>
      </c>
      <c r="P220" s="339">
        <f>(INDEX(Models!$BJ220:$BT220,,T220)*(1-R220)+INDEX(Models!$BJ220:$BT220,,T220+1)*R220-ERP_i)*Q220*Ramure*Pc/MaxiM</f>
        <v>1.5679883469608326E-4</v>
      </c>
      <c r="Q220" s="305">
        <f t="shared" si="80"/>
        <v>0.7</v>
      </c>
      <c r="R220" s="177">
        <f t="shared" si="81"/>
        <v>0.34494719779435573</v>
      </c>
      <c r="S220" s="810">
        <f t="shared" si="82"/>
        <v>0</v>
      </c>
      <c r="T220" s="176">
        <f t="shared" si="83"/>
        <v>6</v>
      </c>
      <c r="U220" s="251">
        <f t="shared" si="84"/>
        <v>0.34494719779435573</v>
      </c>
      <c r="V220" s="383">
        <f t="shared" si="85"/>
        <v>53.289871477724873</v>
      </c>
      <c r="W220" s="402">
        <f t="shared" si="86"/>
        <v>0</v>
      </c>
      <c r="X220" s="157">
        <f t="shared" si="87"/>
        <v>44767</v>
      </c>
      <c r="Y220" s="385">
        <f t="shared" si="88"/>
        <v>24.884495123311865</v>
      </c>
      <c r="Z220" s="385">
        <f t="shared" si="89"/>
        <v>25.740922008402958</v>
      </c>
      <c r="AA220" s="386">
        <f t="shared" si="90"/>
        <v>30.340796087737765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0.1516069013493633</v>
      </c>
      <c r="AD220" s="231">
        <f>(INDEX(Models!$BJ220:$BT220,,AH220)*(1-AF220)+INDEX(Models!$BJ220:$BT220,,AH220+1)*AF220-ERP_i)*AE220*Ramure*Pc/MaxiM</f>
        <v>1.5679883469608326E-4</v>
      </c>
      <c r="AE220" s="305">
        <f t="shared" si="92"/>
        <v>0.7</v>
      </c>
      <c r="AF220" s="177">
        <f t="shared" si="93"/>
        <v>0.34494719779435573</v>
      </c>
      <c r="AG220" s="810">
        <f t="shared" si="99"/>
        <v>0</v>
      </c>
      <c r="AH220" s="176">
        <f t="shared" si="94"/>
        <v>6</v>
      </c>
      <c r="AI220" s="225">
        <f t="shared" si="95"/>
        <v>0.34494719779435573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42">
        <v>55.637</v>
      </c>
      <c r="C221" s="840"/>
      <c r="D221" s="393">
        <f t="shared" si="77"/>
        <v>57.553147035085011</v>
      </c>
      <c r="E221" s="385">
        <f t="shared" si="75"/>
        <v>63.363113463049586</v>
      </c>
      <c r="F221" s="385">
        <f t="shared" si="78"/>
        <v>63.373229232524743</v>
      </c>
      <c r="G221" s="110">
        <f t="shared" si="76"/>
        <v>1.0469751951243977</v>
      </c>
      <c r="H221" s="414" t="b">
        <f>Wh_hp&gt;='2021'!Maxi_hp</f>
        <v>1</v>
      </c>
      <c r="I221" s="380">
        <f>IF(H221,Wh_hp,'2021'!Maxi_hp)</f>
        <v>63.373229232524743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3.3293523183309248E-2</v>
      </c>
      <c r="M221" s="844"/>
      <c r="N221" s="844"/>
      <c r="O221" s="48">
        <f>IF(t&lt;Tnet,'2021'!Resal+('2021'!Salim-'2021'!Resal)*(1-EXP(('2021'!Tnet-t)/('2021'!Tau_j))),Resal+(Salim-Resal)*(1-EXP((Tnet-t)/(Tau_j))))*Salcycl</f>
        <v>9.1693196726399376E-2</v>
      </c>
      <c r="P221" s="339">
        <f>(INDEX(Models!$BJ221:$BT221,,T221)*(1-R221)+INDEX(Models!$BJ221:$BT221,,T221+1)*R221-ERP_i)*Q221*Ramure*Pc/MaxiM</f>
        <v>1.5962212432066081E-4</v>
      </c>
      <c r="Q221" s="305">
        <f t="shared" si="80"/>
        <v>0.7</v>
      </c>
      <c r="R221" s="177">
        <f t="shared" si="81"/>
        <v>0.34685276321664282</v>
      </c>
      <c r="S221" s="810">
        <f t="shared" si="82"/>
        <v>0</v>
      </c>
      <c r="T221" s="176">
        <f t="shared" si="83"/>
        <v>6</v>
      </c>
      <c r="U221" s="251">
        <f t="shared" si="84"/>
        <v>0.34685276321664282</v>
      </c>
      <c r="V221" s="383">
        <f t="shared" si="85"/>
        <v>53.140705012967786</v>
      </c>
      <c r="W221" s="402">
        <f t="shared" si="86"/>
        <v>0</v>
      </c>
      <c r="X221" s="157">
        <f t="shared" si="87"/>
        <v>44768</v>
      </c>
      <c r="Y221" s="385">
        <f t="shared" si="88"/>
        <v>51.964472158778733</v>
      </c>
      <c r="Z221" s="385">
        <f t="shared" si="89"/>
        <v>53.754136757100021</v>
      </c>
      <c r="AA221" s="386">
        <f t="shared" si="90"/>
        <v>63.363113463049586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0.15164937738662529</v>
      </c>
      <c r="AD221" s="231">
        <f>(INDEX(Models!$BJ221:$BT221,,AH221)*(1-AF221)+INDEX(Models!$BJ221:$BT221,,AH221+1)*AF221-ERP_i)*AE221*Ramure*Pc/MaxiM</f>
        <v>1.5962212432066081E-4</v>
      </c>
      <c r="AE221" s="305">
        <f t="shared" si="92"/>
        <v>0.7</v>
      </c>
      <c r="AF221" s="177">
        <f t="shared" si="93"/>
        <v>0.34685276321664282</v>
      </c>
      <c r="AG221" s="810">
        <f t="shared" si="99"/>
        <v>0</v>
      </c>
      <c r="AH221" s="176">
        <f t="shared" si="94"/>
        <v>6</v>
      </c>
      <c r="AI221" s="225">
        <f t="shared" si="95"/>
        <v>0.34685276321664282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42">
        <v>54</v>
      </c>
      <c r="C222" s="840"/>
      <c r="D222" s="393">
        <f t="shared" si="77"/>
        <v>55.861068466156297</v>
      </c>
      <c r="E222" s="385">
        <f t="shared" si="75"/>
        <v>61.507473699757341</v>
      </c>
      <c r="F222" s="385">
        <f t="shared" si="78"/>
        <v>61.517482793724284</v>
      </c>
      <c r="G222" s="110">
        <f t="shared" si="76"/>
        <v>1.0191015019691732</v>
      </c>
      <c r="H222" s="414" t="b">
        <f>Wh_hp&gt;='2021'!Maxi_hp</f>
        <v>1</v>
      </c>
      <c r="I222" s="380">
        <f>IF(H222,Wh_hp,'2021'!Maxi_hp)</f>
        <v>61.517482793724284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3.3316019855292089E-2</v>
      </c>
      <c r="M222" s="844"/>
      <c r="N222" s="844"/>
      <c r="O222" s="48">
        <f>IF(t&lt;Tnet,'2021'!Resal+('2021'!Salim-'2021'!Resal)*(1-EXP(('2021'!Tnet-t)/('2021'!Tau_j))),Resal+(Salim-Resal)*(1-EXP((Tnet-t)/(Tau_j))))*Salcycl</f>
        <v>9.1800311311165408E-2</v>
      </c>
      <c r="P222" s="339">
        <f>(INDEX(Models!$BJ222:$BT222,,T222)*(1-R222)+INDEX(Models!$BJ222:$BT222,,T222+1)*R222-ERP_i)*Q222*Ramure*Pc/MaxiM</f>
        <v>1.6270324324719972E-4</v>
      </c>
      <c r="Q222" s="305">
        <f t="shared" si="80"/>
        <v>0.7</v>
      </c>
      <c r="R222" s="177">
        <f t="shared" si="81"/>
        <v>0.34870143642061552</v>
      </c>
      <c r="S222" s="810">
        <f t="shared" si="82"/>
        <v>0</v>
      </c>
      <c r="T222" s="176">
        <f t="shared" si="83"/>
        <v>6</v>
      </c>
      <c r="U222" s="251">
        <f t="shared" si="84"/>
        <v>0.34870143642061552</v>
      </c>
      <c r="V222" s="383">
        <f t="shared" si="85"/>
        <v>52.987852432419885</v>
      </c>
      <c r="W222" s="402">
        <f t="shared" si="86"/>
        <v>0</v>
      </c>
      <c r="X222" s="157">
        <f t="shared" si="87"/>
        <v>44769</v>
      </c>
      <c r="Y222" s="385">
        <f t="shared" si="88"/>
        <v>50.438991675119119</v>
      </c>
      <c r="Z222" s="385">
        <f t="shared" si="89"/>
        <v>52.177332728291049</v>
      </c>
      <c r="AA222" s="386">
        <f t="shared" si="90"/>
        <v>61.507473699757341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0.15169117523848324</v>
      </c>
      <c r="AD222" s="231">
        <f>(INDEX(Models!$BJ222:$BT222,,AH222)*(1-AF222)+INDEX(Models!$BJ222:$BT222,,AH222+1)*AF222-ERP_i)*AE222*Ramure*Pc/MaxiM</f>
        <v>1.6270324324719972E-4</v>
      </c>
      <c r="AE222" s="305">
        <f t="shared" si="92"/>
        <v>0.7</v>
      </c>
      <c r="AF222" s="177">
        <f t="shared" si="93"/>
        <v>0.34870143642061552</v>
      </c>
      <c r="AG222" s="810">
        <f t="shared" si="99"/>
        <v>0</v>
      </c>
      <c r="AH222" s="176">
        <f t="shared" si="94"/>
        <v>6</v>
      </c>
      <c r="AI222" s="225">
        <f t="shared" si="95"/>
        <v>0.34870143642061552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42">
        <v>43.237000000000002</v>
      </c>
      <c r="C223" s="840"/>
      <c r="D223" s="393">
        <f t="shared" si="77"/>
        <v>44.728170839345744</v>
      </c>
      <c r="E223" s="385">
        <f t="shared" si="75"/>
        <v>49.255052642760838</v>
      </c>
      <c r="F223" s="385">
        <f t="shared" si="78"/>
        <v>49.261110171396879</v>
      </c>
      <c r="G223" s="110">
        <f t="shared" si="76"/>
        <v>0.81836047162225845</v>
      </c>
      <c r="H223" s="414" t="b">
        <f>Wh_hp&gt;='2021'!Maxi_hp</f>
        <v>0</v>
      </c>
      <c r="I223" s="380">
        <f>IF(H223,Wh_hp,'2021'!Maxi_hp)</f>
        <v>57.712856761591276</v>
      </c>
      <c r="J223" s="85">
        <f>IF(H223,An,'2021'!An_max)</f>
        <v>2019</v>
      </c>
      <c r="K223" s="197">
        <f t="shared" si="79"/>
        <v>44770</v>
      </c>
      <c r="L223" s="147">
        <f>IF(t&lt;Tvie,1-EXP((T0-t)*PertePVj)+'2021'!Pspv,1-EXP((T0-t)*PertePVj)+Pspv)</f>
        <v>3.3338516003744378E-2</v>
      </c>
      <c r="M223" s="844"/>
      <c r="N223" s="844"/>
      <c r="O223" s="48">
        <f>IF(t&lt;Tnet,'2021'!Resal+('2021'!Salim-'2021'!Resal)*(1-EXP(('2021'!Tnet-t)/('2021'!Tau_j))),Resal+(Salim-Resal)*(1-EXP((Tnet-t)/(Tau_j))))*Salcycl</f>
        <v>9.1906952901824254E-2</v>
      </c>
      <c r="P223" s="339">
        <f>(INDEX(Models!$BJ223:$BT223,,T223)*(1-R223)+INDEX(Models!$BJ223:$BT223,,T223+1)*R223-ERP_i)*Q223*Ramure*Pc/MaxiM</f>
        <v>1.6604580365618964E-4</v>
      </c>
      <c r="Q223" s="305">
        <f t="shared" si="80"/>
        <v>0.7</v>
      </c>
      <c r="R223" s="177">
        <f t="shared" si="81"/>
        <v>0.35049423592988077</v>
      </c>
      <c r="S223" s="810">
        <f t="shared" si="82"/>
        <v>0</v>
      </c>
      <c r="T223" s="176">
        <f t="shared" si="83"/>
        <v>6</v>
      </c>
      <c r="U223" s="251">
        <f t="shared" si="84"/>
        <v>0.35049423592988077</v>
      </c>
      <c r="V223" s="383">
        <f t="shared" si="85"/>
        <v>52.831409513325546</v>
      </c>
      <c r="W223" s="402">
        <f t="shared" si="86"/>
        <v>0</v>
      </c>
      <c r="X223" s="157">
        <f t="shared" si="87"/>
        <v>44770</v>
      </c>
      <c r="Y223" s="385">
        <f t="shared" si="88"/>
        <v>40.388536170595899</v>
      </c>
      <c r="Z223" s="385">
        <f t="shared" si="89"/>
        <v>41.781468320871205</v>
      </c>
      <c r="AA223" s="386">
        <f t="shared" si="90"/>
        <v>49.255052642760838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0.15173233852970103</v>
      </c>
      <c r="AD223" s="231">
        <f>(INDEX(Models!$BJ223:$BT223,,AH223)*(1-AF223)+INDEX(Models!$BJ223:$BT223,,AH223+1)*AF223-ERP_i)*AE223*Ramure*Pc/MaxiM</f>
        <v>1.6604580365618964E-4</v>
      </c>
      <c r="AE223" s="305">
        <f t="shared" si="92"/>
        <v>0.7</v>
      </c>
      <c r="AF223" s="177">
        <f t="shared" si="93"/>
        <v>0.35049423592988077</v>
      </c>
      <c r="AG223" s="810">
        <f t="shared" si="99"/>
        <v>0</v>
      </c>
      <c r="AH223" s="176">
        <f t="shared" si="94"/>
        <v>6</v>
      </c>
      <c r="AI223" s="225">
        <f t="shared" si="95"/>
        <v>0.35049423592988077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42">
        <v>31.762</v>
      </c>
      <c r="C224" s="840"/>
      <c r="D224" s="393">
        <f t="shared" si="77"/>
        <v>32.858182198418682</v>
      </c>
      <c r="E224" s="385">
        <f t="shared" si="75"/>
        <v>36.187949210608103</v>
      </c>
      <c r="F224" s="385">
        <f t="shared" si="78"/>
        <v>36.190607076979049</v>
      </c>
      <c r="G224" s="110">
        <f t="shared" si="76"/>
        <v>0.60296290564038901</v>
      </c>
      <c r="H224" s="414" t="b">
        <f>Wh_hp&gt;='2021'!Maxi_hp</f>
        <v>0</v>
      </c>
      <c r="I224" s="380">
        <f>IF(H224,Wh_hp,'2021'!Maxi_hp)</f>
        <v>59.638650832887429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3.336101162867855E-2</v>
      </c>
      <c r="M224" s="844"/>
      <c r="N224" s="844"/>
      <c r="O224" s="48">
        <f>IF(t&lt;Tnet,'2021'!Resal+('2021'!Salim-'2021'!Resal)*(1-EXP(('2021'!Tnet-t)/('2021'!Tau_j))),Resal+(Salim-Resal)*(1-EXP((Tnet-t)/(Tau_j))))*Salcycl</f>
        <v>9.2013144840308897E-2</v>
      </c>
      <c r="P224" s="339">
        <f>(INDEX(Models!$BJ224:$BT224,,T224)*(1-R224)+INDEX(Models!$BJ224:$BT224,,T224+1)*R224-ERP_i)*Q224*Ramure*Pc/MaxiM</f>
        <v>1.6965344773765188E-4</v>
      </c>
      <c r="Q224" s="305">
        <f t="shared" si="80"/>
        <v>0.7</v>
      </c>
      <c r="R224" s="177">
        <f t="shared" si="81"/>
        <v>0.35223221113310749</v>
      </c>
      <c r="S224" s="810">
        <f t="shared" si="82"/>
        <v>0</v>
      </c>
      <c r="T224" s="176">
        <f t="shared" si="83"/>
        <v>6</v>
      </c>
      <c r="U224" s="251">
        <f t="shared" si="84"/>
        <v>0.35223221113310749</v>
      </c>
      <c r="V224" s="383">
        <f t="shared" si="85"/>
        <v>52.671472111598696</v>
      </c>
      <c r="W224" s="402">
        <f t="shared" si="86"/>
        <v>0</v>
      </c>
      <c r="X224" s="157">
        <f t="shared" si="87"/>
        <v>44771</v>
      </c>
      <c r="Y224" s="385">
        <f t="shared" si="88"/>
        <v>29.671562720602129</v>
      </c>
      <c r="Z224" s="385">
        <f t="shared" si="89"/>
        <v>30.695598954264604</v>
      </c>
      <c r="AA224" s="386">
        <f t="shared" si="90"/>
        <v>36.187949210608103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0.15177290717357028</v>
      </c>
      <c r="AD224" s="231">
        <f>(INDEX(Models!$BJ224:$BT224,,AH224)*(1-AF224)+INDEX(Models!$BJ224:$BT224,,AH224+1)*AF224-ERP_i)*AE224*Ramure*Pc/MaxiM</f>
        <v>1.6965344773765188E-4</v>
      </c>
      <c r="AE224" s="305">
        <f t="shared" si="92"/>
        <v>0.7</v>
      </c>
      <c r="AF224" s="177">
        <f t="shared" si="93"/>
        <v>0.35223221113310749</v>
      </c>
      <c r="AG224" s="810">
        <f t="shared" si="99"/>
        <v>0</v>
      </c>
      <c r="AH224" s="176">
        <f t="shared" si="94"/>
        <v>6</v>
      </c>
      <c r="AI224" s="225">
        <f t="shared" si="95"/>
        <v>0.35223221113310749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42">
        <v>48.716999999999999</v>
      </c>
      <c r="C225" s="840"/>
      <c r="D225" s="393">
        <f t="shared" si="77"/>
        <v>50.399512463520011</v>
      </c>
      <c r="E225" s="385">
        <f t="shared" si="75"/>
        <v>55.513340814887222</v>
      </c>
      <c r="F225" s="385">
        <f t="shared" si="78"/>
        <v>55.521981770565908</v>
      </c>
      <c r="G225" s="110">
        <f t="shared" si="76"/>
        <v>0.92778246300684541</v>
      </c>
      <c r="H225" s="414" t="b">
        <f>Wh_hp&gt;='2021'!Maxi_hp</f>
        <v>1</v>
      </c>
      <c r="I225" s="380">
        <f>IF(H225,Wh_hp,'2021'!Maxi_hp)</f>
        <v>55.521981770565908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3.3383506730106594E-2</v>
      </c>
      <c r="M225" s="844"/>
      <c r="N225" s="844"/>
      <c r="O225" s="48">
        <f>IF(t&lt;Tnet,'2021'!Resal+('2021'!Salim-'2021'!Resal)*(1-EXP(('2021'!Tnet-t)/('2021'!Tau_j))),Resal+(Salim-Resal)*(1-EXP((Tnet-t)/(Tau_j))))*Salcycl</f>
        <v>9.2118908289443399E-2</v>
      </c>
      <c r="P225" s="339">
        <f>(INDEX(Models!$BJ225:$BT225,,T225)*(1-R225)+INDEX(Models!$BJ225:$BT225,,T225+1)*R225-ERP_i)*Q225*Ramure*Pc/MaxiM</f>
        <v>1.7352984907219427E-4</v>
      </c>
      <c r="Q225" s="305">
        <f t="shared" si="80"/>
        <v>0.7</v>
      </c>
      <c r="R225" s="177">
        <f t="shared" si="81"/>
        <v>0.3539164379706134</v>
      </c>
      <c r="S225" s="810">
        <f t="shared" si="82"/>
        <v>0</v>
      </c>
      <c r="T225" s="176">
        <f t="shared" si="83"/>
        <v>6</v>
      </c>
      <c r="U225" s="251">
        <f t="shared" si="84"/>
        <v>0.3539164379706134</v>
      </c>
      <c r="V225" s="383">
        <f t="shared" si="85"/>
        <v>52.508136164334367</v>
      </c>
      <c r="W225" s="402">
        <f t="shared" si="86"/>
        <v>0</v>
      </c>
      <c r="X225" s="157">
        <f t="shared" si="87"/>
        <v>44772</v>
      </c>
      <c r="Y225" s="385">
        <f t="shared" si="88"/>
        <v>45.513812858238644</v>
      </c>
      <c r="Z225" s="385">
        <f t="shared" si="89"/>
        <v>47.085698594148162</v>
      </c>
      <c r="AA225" s="386">
        <f t="shared" si="90"/>
        <v>55.513340814887222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0.1518129173461488</v>
      </c>
      <c r="AD225" s="231">
        <f>(INDEX(Models!$BJ225:$BT225,,AH225)*(1-AF225)+INDEX(Models!$BJ225:$BT225,,AH225+1)*AF225-ERP_i)*AE225*Ramure*Pc/MaxiM</f>
        <v>1.7352984907219427E-4</v>
      </c>
      <c r="AE225" s="305">
        <f t="shared" si="92"/>
        <v>0.7</v>
      </c>
      <c r="AF225" s="177">
        <f t="shared" si="93"/>
        <v>0.3539164379706134</v>
      </c>
      <c r="AG225" s="810">
        <f t="shared" si="99"/>
        <v>0</v>
      </c>
      <c r="AH225" s="176">
        <f t="shared" si="94"/>
        <v>6</v>
      </c>
      <c r="AI225" s="225">
        <f t="shared" si="95"/>
        <v>0.3539164379706134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42">
        <v>51.910000000000004</v>
      </c>
      <c r="C226" s="840"/>
      <c r="D226" s="393">
        <f t="shared" si="77"/>
        <v>53.704037134771248</v>
      </c>
      <c r="E226" s="385">
        <f t="shared" si="75"/>
        <v>59.1600269757486</v>
      </c>
      <c r="F226" s="385">
        <f t="shared" si="78"/>
        <v>59.170431840667312</v>
      </c>
      <c r="G226" s="110">
        <f t="shared" si="76"/>
        <v>0.99175428902197837</v>
      </c>
      <c r="H226" s="414" t="b">
        <f>Wh_hp&gt;='2021'!Maxi_hp</f>
        <v>1</v>
      </c>
      <c r="I226" s="380">
        <f>IF(H226,Wh_hp,'2021'!Maxi_hp)</f>
        <v>59.170431840667312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3.3406001308040834E-2</v>
      </c>
      <c r="M226" s="844"/>
      <c r="N226" s="844"/>
      <c r="O226" s="48">
        <f>IF(t&lt;Tnet,'2021'!Resal+('2021'!Salim-'2021'!Resal)*(1-EXP(('2021'!Tnet-t)/('2021'!Tau_j))),Resal+(Salim-Resal)*(1-EXP((Tnet-t)/(Tau_j))))*Salcycl</f>
        <v>9.2224262223780232E-2</v>
      </c>
      <c r="P226" s="339">
        <f>(INDEX(Models!$BJ226:$BT226,,T226)*(1-R226)+INDEX(Models!$BJ226:$BT226,,T226+1)*R226-ERP_i)*Q226*Ramure*Pc/MaxiM</f>
        <v>1.779412274150282E-4</v>
      </c>
      <c r="Q226" s="305">
        <f t="shared" si="80"/>
        <v>0.7</v>
      </c>
      <c r="R226" s="177">
        <f t="shared" si="81"/>
        <v>0.35554801482299186</v>
      </c>
      <c r="S226" s="810">
        <f t="shared" si="82"/>
        <v>0</v>
      </c>
      <c r="T226" s="176">
        <f t="shared" si="83"/>
        <v>6</v>
      </c>
      <c r="U226" s="251">
        <f t="shared" si="84"/>
        <v>0.35554801482299186</v>
      </c>
      <c r="V226" s="383">
        <f t="shared" si="85"/>
        <v>52.34148394989753</v>
      </c>
      <c r="W226" s="402">
        <f t="shared" si="86"/>
        <v>0</v>
      </c>
      <c r="X226" s="157">
        <f t="shared" si="87"/>
        <v>44773</v>
      </c>
      <c r="Y226" s="385">
        <f t="shared" si="88"/>
        <v>48.500240760563223</v>
      </c>
      <c r="Z226" s="385">
        <f t="shared" si="89"/>
        <v>50.176434807371088</v>
      </c>
      <c r="AA226" s="386">
        <f t="shared" si="90"/>
        <v>59.1600269757486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0.1518524014882574</v>
      </c>
      <c r="AD226" s="231">
        <f>(INDEX(Models!$BJ226:$BT226,,AH226)*(1-AF226)+INDEX(Models!$BJ226:$BT226,,AH226+1)*AF226-ERP_i)*AE226*Ramure*Pc/MaxiM</f>
        <v>1.779412274150282E-4</v>
      </c>
      <c r="AE226" s="305">
        <f t="shared" si="92"/>
        <v>0.7</v>
      </c>
      <c r="AF226" s="177">
        <f t="shared" si="93"/>
        <v>0.35554801482299186</v>
      </c>
      <c r="AG226" s="810">
        <f t="shared" si="99"/>
        <v>0</v>
      </c>
      <c r="AH226" s="176">
        <f t="shared" si="94"/>
        <v>6</v>
      </c>
      <c r="AI226" s="225">
        <f t="shared" si="95"/>
        <v>0.35554801482299186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42">
        <v>51.600999999999999</v>
      </c>
      <c r="C227" s="840"/>
      <c r="D227" s="393">
        <f t="shared" si="77"/>
        <v>53.385600291777614</v>
      </c>
      <c r="E227" s="385">
        <f t="shared" si="75"/>
        <v>58.816039548941447</v>
      </c>
      <c r="F227" s="385">
        <f t="shared" si="78"/>
        <v>58.826618975995636</v>
      </c>
      <c r="G227" s="110">
        <f t="shared" si="76"/>
        <v>0.98905977557819891</v>
      </c>
      <c r="H227" s="414" t="b">
        <f>Wh_hp&gt;='2021'!Maxi_hp</f>
        <v>1</v>
      </c>
      <c r="I227" s="380">
        <f>IF(H227,Wh_hp,'2021'!Maxi_hp)</f>
        <v>58.826618975995636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3.3428495362493371E-2</v>
      </c>
      <c r="M227" s="844"/>
      <c r="N227" s="844"/>
      <c r="O227" s="48">
        <f>IF(t&lt;Tnet,'2021'!Resal+('2021'!Salim-'2021'!Resal)*(1-EXP(('2021'!Tnet-t)/('2021'!Tau_j))),Resal+(Salim-Resal)*(1-EXP((Tnet-t)/(Tau_j))))*Salcycl</f>
        <v>9.2329223436493246E-2</v>
      </c>
      <c r="P227" s="339">
        <f>(INDEX(Models!$BJ227:$BT227,,T227)*(1-R227)+INDEX(Models!$BJ227:$BT227,,T227+1)*R227-ERP_i)*Q227*Ramure*Pc/MaxiM</f>
        <v>1.8269540394528382E-4</v>
      </c>
      <c r="Q227" s="305">
        <f t="shared" si="80"/>
        <v>0.7</v>
      </c>
      <c r="R227" s="177">
        <f t="shared" si="81"/>
        <v>0.35712805860592728</v>
      </c>
      <c r="S227" s="810">
        <f t="shared" si="82"/>
        <v>0</v>
      </c>
      <c r="T227" s="176">
        <f t="shared" si="83"/>
        <v>6</v>
      </c>
      <c r="U227" s="251">
        <f t="shared" si="84"/>
        <v>0.35712805860592728</v>
      </c>
      <c r="V227" s="383">
        <f t="shared" si="85"/>
        <v>52.171621926141434</v>
      </c>
      <c r="W227" s="402">
        <f t="shared" si="86"/>
        <v>0</v>
      </c>
      <c r="X227" s="157">
        <f t="shared" si="87"/>
        <v>44774</v>
      </c>
      <c r="Y227" s="385">
        <f t="shared" si="88"/>
        <v>48.214896414620597</v>
      </c>
      <c r="Z227" s="385">
        <f t="shared" si="89"/>
        <v>49.88238964555719</v>
      </c>
      <c r="AA227" s="386">
        <f t="shared" si="90"/>
        <v>58.816039548941447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0.15189138833379748</v>
      </c>
      <c r="AD227" s="231">
        <f>(INDEX(Models!$BJ227:$BT227,,AH227)*(1-AF227)+INDEX(Models!$BJ227:$BT227,,AH227+1)*AF227-ERP_i)*AE227*Ramure*Pc/MaxiM</f>
        <v>1.8269540394528382E-4</v>
      </c>
      <c r="AE227" s="305">
        <f t="shared" si="92"/>
        <v>0.7</v>
      </c>
      <c r="AF227" s="177">
        <f t="shared" si="93"/>
        <v>0.35712805860592728</v>
      </c>
      <c r="AG227" s="810">
        <f t="shared" si="99"/>
        <v>0</v>
      </c>
      <c r="AH227" s="176">
        <f t="shared" si="94"/>
        <v>6</v>
      </c>
      <c r="AI227" s="225">
        <f t="shared" si="95"/>
        <v>0.35712805860592728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42">
        <v>51.369</v>
      </c>
      <c r="C228" s="840"/>
      <c r="D228" s="393">
        <f t="shared" si="77"/>
        <v>53.146813467008563</v>
      </c>
      <c r="E228" s="385">
        <f t="shared" si="75"/>
        <v>58.559710411475145</v>
      </c>
      <c r="F228" s="385">
        <f t="shared" si="78"/>
        <v>58.57051952904542</v>
      </c>
      <c r="G228" s="110">
        <f t="shared" si="76"/>
        <v>0.98788789331199134</v>
      </c>
      <c r="H228" s="414" t="b">
        <f>Wh_hp&gt;='2021'!Maxi_hp</f>
        <v>1</v>
      </c>
      <c r="I228" s="380">
        <f>IF(H228,Wh_hp,'2021'!Maxi_hp)</f>
        <v>58.57051952904542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3.3450988893476308E-2</v>
      </c>
      <c r="M228" s="844"/>
      <c r="N228" s="844"/>
      <c r="O228" s="48">
        <f>IF(t&lt;Tnet,'2021'!Resal+('2021'!Salim-'2021'!Resal)*(1-EXP(('2021'!Tnet-t)/('2021'!Tau_j))),Resal+(Salim-Resal)*(1-EXP((Tnet-t)/(Tau_j))))*Salcycl</f>
        <v>9.2433806561411744E-2</v>
      </c>
      <c r="P228" s="339">
        <f>(INDEX(Models!$BJ228:$BT228,,T228)*(1-R228)+INDEX(Models!$BJ228:$BT228,,T228+1)*R228-ERP_i)*Q228*Ramure*Pc/MaxiM</f>
        <v>1.8779737256264313E-4</v>
      </c>
      <c r="Q228" s="305">
        <f t="shared" si="80"/>
        <v>0.7</v>
      </c>
      <c r="R228" s="177">
        <f t="shared" si="81"/>
        <v>0.3586577010736367</v>
      </c>
      <c r="S228" s="810">
        <f t="shared" si="82"/>
        <v>0</v>
      </c>
      <c r="T228" s="176">
        <f t="shared" si="83"/>
        <v>6</v>
      </c>
      <c r="U228" s="251">
        <f t="shared" si="84"/>
        <v>0.3586577010736367</v>
      </c>
      <c r="V228" s="383">
        <f t="shared" si="85"/>
        <v>51.998646242862137</v>
      </c>
      <c r="W228" s="402">
        <f t="shared" si="86"/>
        <v>0</v>
      </c>
      <c r="X228" s="157">
        <f t="shared" si="87"/>
        <v>44775</v>
      </c>
      <c r="Y228" s="385">
        <f t="shared" si="88"/>
        <v>48.001471550687228</v>
      </c>
      <c r="Z228" s="385">
        <f t="shared" si="89"/>
        <v>49.662739291134578</v>
      </c>
      <c r="AA228" s="386">
        <f t="shared" si="90"/>
        <v>58.559710411475145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0.1519299029627228</v>
      </c>
      <c r="AD228" s="231">
        <f>(INDEX(Models!$BJ228:$BT228,,AH228)*(1-AF228)+INDEX(Models!$BJ228:$BT228,,AH228+1)*AF228-ERP_i)*AE228*Ramure*Pc/MaxiM</f>
        <v>1.8779737256264313E-4</v>
      </c>
      <c r="AE228" s="305">
        <f t="shared" si="92"/>
        <v>0.7</v>
      </c>
      <c r="AF228" s="177">
        <f t="shared" si="93"/>
        <v>0.3586577010736367</v>
      </c>
      <c r="AG228" s="810">
        <f t="shared" si="99"/>
        <v>0</v>
      </c>
      <c r="AH228" s="176">
        <f t="shared" si="94"/>
        <v>6</v>
      </c>
      <c r="AI228" s="225">
        <f t="shared" si="95"/>
        <v>0.3586577010736367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42">
        <v>47.197000000000003</v>
      </c>
      <c r="C229" s="840"/>
      <c r="D229" s="393">
        <f t="shared" si="77"/>
        <v>48.831562420893434</v>
      </c>
      <c r="E229" s="385">
        <f t="shared" si="75"/>
        <v>53.81113888871834</v>
      </c>
      <c r="F229" s="385">
        <f t="shared" si="78"/>
        <v>53.820213511817471</v>
      </c>
      <c r="G229" s="110">
        <f t="shared" si="76"/>
        <v>0.91071826535095202</v>
      </c>
      <c r="H229" s="414" t="b">
        <f>Wh_hp&gt;='2021'!Maxi_hp</f>
        <v>0</v>
      </c>
      <c r="I229" s="380">
        <f>IF(H229,Wh_hp,'2021'!Maxi_hp)</f>
        <v>56.763758259198227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3.3473481901002078E-2</v>
      </c>
      <c r="M229" s="844"/>
      <c r="N229" s="844"/>
      <c r="O229" s="48">
        <f>IF(t&lt;Tnet,'2021'!Resal+('2021'!Salim-'2021'!Resal)*(1-EXP(('2021'!Tnet-t)/('2021'!Tau_j))),Resal+(Salim-Resal)*(1-EXP((Tnet-t)/(Tau_j))))*Salcycl</f>
        <v>9.2538024109147521E-2</v>
      </c>
      <c r="P229" s="339">
        <f>(INDEX(Models!$BJ229:$BT229,,T229)*(1-R229)+INDEX(Models!$BJ229:$BT229,,T229+1)*R229-ERP_i)*Q229*Ramure*Pc/MaxiM</f>
        <v>1.9325215657848936E-4</v>
      </c>
      <c r="Q229" s="305">
        <f t="shared" si="80"/>
        <v>0.7</v>
      </c>
      <c r="R229" s="177">
        <f t="shared" si="81"/>
        <v>0.36013808533181507</v>
      </c>
      <c r="S229" s="810">
        <f t="shared" si="82"/>
        <v>0</v>
      </c>
      <c r="T229" s="176">
        <f t="shared" si="83"/>
        <v>6</v>
      </c>
      <c r="U229" s="251">
        <f t="shared" si="84"/>
        <v>0.36013808533181507</v>
      </c>
      <c r="V229" s="383">
        <f t="shared" si="85"/>
        <v>51.822653130928806</v>
      </c>
      <c r="W229" s="402">
        <f t="shared" si="86"/>
        <v>0</v>
      </c>
      <c r="X229" s="157">
        <f t="shared" si="87"/>
        <v>44776</v>
      </c>
      <c r="Y229" s="385">
        <f t="shared" si="88"/>
        <v>44.106055053187092</v>
      </c>
      <c r="Z229" s="385">
        <f t="shared" si="89"/>
        <v>45.633569516474935</v>
      </c>
      <c r="AA229" s="386">
        <f t="shared" si="90"/>
        <v>53.81113888871834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0.15196796687679581</v>
      </c>
      <c r="AD229" s="231">
        <f>(INDEX(Models!$BJ229:$BT229,,AH229)*(1-AF229)+INDEX(Models!$BJ229:$BT229,,AH229+1)*AF229-ERP_i)*AE229*Ramure*Pc/MaxiM</f>
        <v>1.9325215657848936E-4</v>
      </c>
      <c r="AE229" s="305">
        <f t="shared" si="92"/>
        <v>0.7</v>
      </c>
      <c r="AF229" s="177">
        <f t="shared" si="93"/>
        <v>0.36013808533181507</v>
      </c>
      <c r="AG229" s="810">
        <f t="shared" si="99"/>
        <v>0</v>
      </c>
      <c r="AH229" s="176">
        <f t="shared" si="94"/>
        <v>6</v>
      </c>
      <c r="AI229" s="225">
        <f t="shared" si="95"/>
        <v>0.36013808533181507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42">
        <v>46.966000000000001</v>
      </c>
      <c r="C230" s="840"/>
      <c r="D230" s="393">
        <f t="shared" si="77"/>
        <v>48.59369309933178</v>
      </c>
      <c r="E230" s="385">
        <f t="shared" si="75"/>
        <v>53.555142536559842</v>
      </c>
      <c r="F230" s="385">
        <f t="shared" si="78"/>
        <v>53.564425607951186</v>
      </c>
      <c r="G230" s="110">
        <f t="shared" si="76"/>
        <v>0.90939949430734779</v>
      </c>
      <c r="H230" s="414" t="b">
        <f>Wh_hp&gt;='2021'!Maxi_hp</f>
        <v>1</v>
      </c>
      <c r="I230" s="380">
        <f>IF(H230,Wh_hp,'2021'!Maxi_hp)</f>
        <v>53.564425607951186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3.3495974385082561E-2</v>
      </c>
      <c r="M230" s="844"/>
      <c r="N230" s="844"/>
      <c r="O230" s="48">
        <f>IF(t&lt;Tnet,'2021'!Resal+('2021'!Salim-'2021'!Resal)*(1-EXP(('2021'!Tnet-t)/('2021'!Tau_j))),Resal+(Salim-Resal)*(1-EXP((Tnet-t)/(Tau_j))))*Salcycl</f>
        <v>9.2641886516147173E-2</v>
      </c>
      <c r="P230" s="339">
        <f>(INDEX(Models!$BJ230:$BT230,,T230)*(1-R230)+INDEX(Models!$BJ230:$BT230,,T230+1)*R230-ERP_i)*Q230*Ramure*Pc/MaxiM</f>
        <v>1.9906480925391772E-4</v>
      </c>
      <c r="Q230" s="305">
        <f t="shared" si="80"/>
        <v>0.7</v>
      </c>
      <c r="R230" s="177">
        <f t="shared" si="81"/>
        <v>0.36157036255955649</v>
      </c>
      <c r="S230" s="810">
        <f t="shared" si="82"/>
        <v>0</v>
      </c>
      <c r="T230" s="176">
        <f t="shared" si="83"/>
        <v>6</v>
      </c>
      <c r="U230" s="251">
        <f t="shared" si="84"/>
        <v>0.36157036255955649</v>
      </c>
      <c r="V230" s="383">
        <f t="shared" si="85"/>
        <v>51.643738892300547</v>
      </c>
      <c r="W230" s="402">
        <f t="shared" si="86"/>
        <v>0</v>
      </c>
      <c r="X230" s="157">
        <f t="shared" si="87"/>
        <v>44777</v>
      </c>
      <c r="Y230" s="385">
        <f t="shared" si="88"/>
        <v>43.893259439651821</v>
      </c>
      <c r="Z230" s="385">
        <f t="shared" si="89"/>
        <v>45.414461064169572</v>
      </c>
      <c r="AA230" s="386">
        <f t="shared" si="90"/>
        <v>53.555142536559842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0.152005598096074</v>
      </c>
      <c r="AD230" s="231">
        <f>(INDEX(Models!$BJ230:$BT230,,AH230)*(1-AF230)+INDEX(Models!$BJ230:$BT230,,AH230+1)*AF230-ERP_i)*AE230*Ramure*Pc/MaxiM</f>
        <v>1.9906480925391772E-4</v>
      </c>
      <c r="AE230" s="305">
        <f t="shared" si="92"/>
        <v>0.7</v>
      </c>
      <c r="AF230" s="177">
        <f t="shared" si="93"/>
        <v>0.36157036255955649</v>
      </c>
      <c r="AG230" s="810">
        <f t="shared" si="99"/>
        <v>0</v>
      </c>
      <c r="AH230" s="176">
        <f t="shared" si="94"/>
        <v>6</v>
      </c>
      <c r="AI230" s="225">
        <f t="shared" si="95"/>
        <v>0.36157036255955649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42">
        <v>44.941000000000003</v>
      </c>
      <c r="C231" s="840"/>
      <c r="D231" s="393">
        <f t="shared" si="77"/>
        <v>46.499595113915866</v>
      </c>
      <c r="E231" s="385">
        <f t="shared" si="75"/>
        <v>51.25308290192109</v>
      </c>
      <c r="F231" s="385">
        <f t="shared" si="78"/>
        <v>51.261699355021804</v>
      </c>
      <c r="G231" s="110">
        <f t="shared" si="76"/>
        <v>0.87325269366531988</v>
      </c>
      <c r="H231" s="414" t="b">
        <f>Wh_hp&gt;='2021'!Maxi_hp</f>
        <v>0</v>
      </c>
      <c r="I231" s="380">
        <f>IF(H231,Wh_hp,'2021'!Maxi_hp)</f>
        <v>59.003544823424903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3.351846634573008E-2</v>
      </c>
      <c r="M231" s="844"/>
      <c r="N231" s="844"/>
      <c r="O231" s="48">
        <f>IF(t&lt;Tnet,'2021'!Resal+('2021'!Salim-'2021'!Resal)*(1-EXP(('2021'!Tnet-t)/('2021'!Tau_j))),Resal+(Salim-Resal)*(1-EXP((Tnet-t)/(Tau_j))))*Salcycl</f>
        <v>9.2745402205396912E-2</v>
      </c>
      <c r="P231" s="339">
        <f>(INDEX(Models!$BJ231:$BT231,,T231)*(1-R231)+INDEX(Models!$BJ231:$BT231,,T231+1)*R231-ERP_i)*Q231*Ramure*Pc/MaxiM</f>
        <v>2.052404137455631E-4</v>
      </c>
      <c r="Q231" s="305">
        <f t="shared" si="80"/>
        <v>0.7</v>
      </c>
      <c r="R231" s="177">
        <f t="shared" si="81"/>
        <v>0.36295568893847036</v>
      </c>
      <c r="S231" s="810">
        <f t="shared" si="82"/>
        <v>0</v>
      </c>
      <c r="T231" s="176">
        <f t="shared" si="83"/>
        <v>6</v>
      </c>
      <c r="U231" s="251">
        <f t="shared" si="84"/>
        <v>0.36295568893847036</v>
      </c>
      <c r="V231" s="383">
        <f t="shared" si="85"/>
        <v>51.461999897779542</v>
      </c>
      <c r="W231" s="402">
        <f t="shared" si="86"/>
        <v>0</v>
      </c>
      <c r="X231" s="157">
        <f t="shared" si="87"/>
        <v>44778</v>
      </c>
      <c r="Y231" s="385">
        <f t="shared" si="88"/>
        <v>42.003693462864454</v>
      </c>
      <c r="Z231" s="385">
        <f t="shared" si="89"/>
        <v>43.46042009105787</v>
      </c>
      <c r="AA231" s="386">
        <f t="shared" si="90"/>
        <v>51.25308290192109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0.15204281127391711</v>
      </c>
      <c r="AD231" s="231">
        <f>(INDEX(Models!$BJ231:$BT231,,AH231)*(1-AF231)+INDEX(Models!$BJ231:$BT231,,AH231+1)*AF231-ERP_i)*AE231*Ramure*Pc/MaxiM</f>
        <v>2.052404137455631E-4</v>
      </c>
      <c r="AE231" s="305">
        <f t="shared" si="92"/>
        <v>0.7</v>
      </c>
      <c r="AF231" s="177">
        <f t="shared" si="93"/>
        <v>0.36295568893847036</v>
      </c>
      <c r="AG231" s="810">
        <f t="shared" si="99"/>
        <v>0</v>
      </c>
      <c r="AH231" s="176">
        <f t="shared" si="94"/>
        <v>6</v>
      </c>
      <c r="AI231" s="225">
        <f t="shared" si="95"/>
        <v>0.36295568893847036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42">
        <v>47.08</v>
      </c>
      <c r="C232" s="840"/>
      <c r="D232" s="393">
        <f t="shared" si="77"/>
        <v>48.713911240355472</v>
      </c>
      <c r="E232" s="385">
        <f t="shared" si="75"/>
        <v>53.699867564071241</v>
      </c>
      <c r="F232" s="385">
        <f t="shared" si="78"/>
        <v>53.709912269384326</v>
      </c>
      <c r="G232" s="110">
        <f t="shared" si="76"/>
        <v>0.91811815844516753</v>
      </c>
      <c r="H232" s="414" t="b">
        <f>Wh_hp&gt;='2021'!Maxi_hp</f>
        <v>0</v>
      </c>
      <c r="I232" s="380">
        <f>IF(H232,Wh_hp,'2021'!Maxi_hp)</f>
        <v>58.033046610049119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3.3540957782956959E-2</v>
      </c>
      <c r="M232" s="844"/>
      <c r="N232" s="844"/>
      <c r="O232" s="48">
        <f>IF(t&lt;Tnet,'2021'!Resal+('2021'!Salim-'2021'!Resal)*(1-EXP(('2021'!Tnet-t)/('2021'!Tau_j))),Resal+(Salim-Resal)*(1-EXP((Tnet-t)/(Tau_j))))*Salcycl</f>
        <v>9.2848577657418691E-2</v>
      </c>
      <c r="P232" s="339">
        <f>(INDEX(Models!$BJ232:$BT232,,T232)*(1-R232)+INDEX(Models!$BJ232:$BT232,,T232+1)*R232-ERP_i)*Q232*Ramure*Pc/MaxiM</f>
        <v>2.1178408250479351E-4</v>
      </c>
      <c r="Q232" s="305">
        <f t="shared" si="80"/>
        <v>0.7</v>
      </c>
      <c r="R232" s="177">
        <f t="shared" si="81"/>
        <v>0.36429522278609561</v>
      </c>
      <c r="S232" s="810">
        <f t="shared" si="82"/>
        <v>0</v>
      </c>
      <c r="T232" s="176">
        <f t="shared" si="83"/>
        <v>6</v>
      </c>
      <c r="U232" s="251">
        <f t="shared" si="84"/>
        <v>0.36429522278609561</v>
      </c>
      <c r="V232" s="383">
        <f t="shared" si="85"/>
        <v>51.277532579531346</v>
      </c>
      <c r="W232" s="402">
        <f t="shared" si="86"/>
        <v>0</v>
      </c>
      <c r="X232" s="157">
        <f t="shared" si="87"/>
        <v>44779</v>
      </c>
      <c r="Y232" s="385">
        <f t="shared" si="88"/>
        <v>44.00598467845856</v>
      </c>
      <c r="Z232" s="385">
        <f t="shared" si="89"/>
        <v>45.533212227503682</v>
      </c>
      <c r="AA232" s="386">
        <f t="shared" si="90"/>
        <v>53.699867564071241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0.15207961782817495</v>
      </c>
      <c r="AD232" s="231">
        <f>(INDEX(Models!$BJ232:$BT232,,AH232)*(1-AF232)+INDEX(Models!$BJ232:$BT232,,AH232+1)*AF232-ERP_i)*AE232*Ramure*Pc/MaxiM</f>
        <v>2.1178408250479351E-4</v>
      </c>
      <c r="AE232" s="305">
        <f t="shared" si="92"/>
        <v>0.7</v>
      </c>
      <c r="AF232" s="177">
        <f t="shared" si="93"/>
        <v>0.36429522278609561</v>
      </c>
      <c r="AG232" s="810">
        <f t="shared" si="99"/>
        <v>0</v>
      </c>
      <c r="AH232" s="176">
        <f t="shared" si="94"/>
        <v>6</v>
      </c>
      <c r="AI232" s="225">
        <f t="shared" si="95"/>
        <v>0.36429522278609561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42">
        <v>49.893000000000001</v>
      </c>
      <c r="C233" s="840"/>
      <c r="D233" s="393">
        <f t="shared" si="77"/>
        <v>51.625737802155818</v>
      </c>
      <c r="E233" s="385">
        <f t="shared" ref="E233:E296" si="100">Wh_pvt/(1-Psa)</f>
        <v>56.916177145994936</v>
      </c>
      <c r="F233" s="385">
        <f t="shared" si="78"/>
        <v>56.928210437267175</v>
      </c>
      <c r="G233" s="110">
        <f t="shared" ref="G233:G296" si="101">+Wh_hp/MaxiM</f>
        <v>0.97655196077374606</v>
      </c>
      <c r="H233" s="414" t="b">
        <f>Wh_hp&gt;='2021'!Maxi_hp</f>
        <v>1</v>
      </c>
      <c r="I233" s="380">
        <f>IF(H233,Wh_hp,'2021'!Maxi_hp)</f>
        <v>56.928210437267175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3.3563448696775078E-2</v>
      </c>
      <c r="M233" s="844"/>
      <c r="N233" s="844"/>
      <c r="O233" s="48">
        <f>IF(t&lt;Tnet,'2021'!Resal+('2021'!Salim-'2021'!Resal)*(1-EXP(('2021'!Tnet-t)/('2021'!Tau_j))),Resal+(Salim-Resal)*(1-EXP((Tnet-t)/(Tau_j))))*Salcycl</f>
        <v>9.2951417490122021E-2</v>
      </c>
      <c r="P233" s="339">
        <f>(INDEX(Models!$BJ233:$BT233,,T233)*(1-R233)+INDEX(Models!$BJ233:$BT233,,T233+1)*R233-ERP_i)*Q233*Ramure*Pc/MaxiM</f>
        <v>2.1870020412608938E-4</v>
      </c>
      <c r="Q233" s="305">
        <f t="shared" si="80"/>
        <v>0.7</v>
      </c>
      <c r="R233" s="177">
        <f t="shared" si="81"/>
        <v>0.36559012188974649</v>
      </c>
      <c r="S233" s="810">
        <f t="shared" si="82"/>
        <v>0</v>
      </c>
      <c r="T233" s="176">
        <f t="shared" si="83"/>
        <v>6</v>
      </c>
      <c r="U233" s="251">
        <f t="shared" si="84"/>
        <v>0.36559012188974649</v>
      </c>
      <c r="V233" s="383">
        <f t="shared" si="85"/>
        <v>51.090609132951592</v>
      </c>
      <c r="W233" s="402">
        <f t="shared" si="86"/>
        <v>0</v>
      </c>
      <c r="X233" s="157">
        <f t="shared" si="87"/>
        <v>44780</v>
      </c>
      <c r="Y233" s="385">
        <f t="shared" si="88"/>
        <v>46.638598997011144</v>
      </c>
      <c r="Z233" s="385">
        <f t="shared" si="89"/>
        <v>48.258314458532951</v>
      </c>
      <c r="AA233" s="386">
        <f t="shared" si="90"/>
        <v>56.916177145994936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0.15211602608611283</v>
      </c>
      <c r="AD233" s="231">
        <f>(INDEX(Models!$BJ233:$BT233,,AH233)*(1-AF233)+INDEX(Models!$BJ233:$BT233,,AH233+1)*AF233-ERP_i)*AE233*Ramure*Pc/MaxiM</f>
        <v>2.1870020412608938E-4</v>
      </c>
      <c r="AE233" s="305">
        <f t="shared" si="92"/>
        <v>0.7</v>
      </c>
      <c r="AF233" s="177">
        <f t="shared" si="93"/>
        <v>0.36559012188974649</v>
      </c>
      <c r="AG233" s="810">
        <f t="shared" si="99"/>
        <v>0</v>
      </c>
      <c r="AH233" s="176">
        <f t="shared" si="94"/>
        <v>6</v>
      </c>
      <c r="AI233" s="225">
        <f t="shared" si="95"/>
        <v>0.36559012188974649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42">
        <v>50.185000000000002</v>
      </c>
      <c r="C234" s="840"/>
      <c r="D234" s="393">
        <f t="shared" si="77"/>
        <v>51.929087158147276</v>
      </c>
      <c r="E234" s="385">
        <f t="shared" si="100"/>
        <v>57.257083484432997</v>
      </c>
      <c r="F234" s="385">
        <f t="shared" si="78"/>
        <v>57.269796399460986</v>
      </c>
      <c r="G234" s="110">
        <f t="shared" si="101"/>
        <v>0.98592351761560171</v>
      </c>
      <c r="H234" s="414" t="b">
        <f>Wh_hp&gt;='2021'!Maxi_hp</f>
        <v>1</v>
      </c>
      <c r="I234" s="380">
        <f>IF(H234,Wh_hp,'2021'!Maxi_hp)</f>
        <v>57.269796399460986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3.358593908719687E-2</v>
      </c>
      <c r="M234" s="844"/>
      <c r="N234" s="844"/>
      <c r="O234" s="48">
        <f>IF(t&lt;Tnet,'2021'!Resal+('2021'!Salim-'2021'!Resal)*(1-EXP(('2021'!Tnet-t)/('2021'!Tau_j))),Resal+(Salim-Resal)*(1-EXP((Tnet-t)/(Tau_j))))*Salcycl</f>
        <v>9.3053924546022154E-2</v>
      </c>
      <c r="P234" s="339">
        <f>(INDEX(Models!$BJ234:$BT234,,T234)*(1-R234)+INDEX(Models!$BJ234:$BT234,,T234+1)*R234-ERP_i)*Q234*Ramure*Pc/MaxiM</f>
        <v>2.26536928726228E-4</v>
      </c>
      <c r="Q234" s="305">
        <f t="shared" si="80"/>
        <v>0.7</v>
      </c>
      <c r="R234" s="177">
        <f t="shared" si="81"/>
        <v>0.36684154103608368</v>
      </c>
      <c r="S234" s="810">
        <f t="shared" si="82"/>
        <v>0</v>
      </c>
      <c r="T234" s="176">
        <f t="shared" si="83"/>
        <v>6</v>
      </c>
      <c r="U234" s="251">
        <f t="shared" si="84"/>
        <v>0.36684154103608368</v>
      </c>
      <c r="V234" s="383">
        <f t="shared" si="85"/>
        <v>50.90128241011103</v>
      </c>
      <c r="W234" s="402">
        <f t="shared" si="86"/>
        <v>0</v>
      </c>
      <c r="X234" s="157">
        <f t="shared" si="87"/>
        <v>44781</v>
      </c>
      <c r="Y234" s="385">
        <f t="shared" si="88"/>
        <v>46.914861811389571</v>
      </c>
      <c r="Z234" s="385">
        <f t="shared" si="89"/>
        <v>48.545301345343908</v>
      </c>
      <c r="AA234" s="386">
        <f t="shared" si="90"/>
        <v>57.257083484432997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0.15215204144056063</v>
      </c>
      <c r="AD234" s="231">
        <f>(INDEX(Models!$BJ234:$BT234,,AH234)*(1-AF234)+INDEX(Models!$BJ234:$BT234,,AH234+1)*AF234-ERP_i)*AE234*Ramure*Pc/MaxiM</f>
        <v>2.26536928726228E-4</v>
      </c>
      <c r="AE234" s="305">
        <f t="shared" si="92"/>
        <v>0.7</v>
      </c>
      <c r="AF234" s="177">
        <f t="shared" si="93"/>
        <v>0.36684154103608368</v>
      </c>
      <c r="AG234" s="810">
        <f t="shared" si="99"/>
        <v>0</v>
      </c>
      <c r="AH234" s="176">
        <f t="shared" si="94"/>
        <v>6</v>
      </c>
      <c r="AI234" s="225">
        <f t="shared" si="95"/>
        <v>0.36684154103608368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42">
        <v>47.963999999999999</v>
      </c>
      <c r="C235" s="840"/>
      <c r="D235" s="393">
        <f t="shared" si="77"/>
        <v>49.632055408033516</v>
      </c>
      <c r="E235" s="385">
        <f t="shared" si="100"/>
        <v>54.730538968425336</v>
      </c>
      <c r="F235" s="385">
        <f t="shared" si="78"/>
        <v>54.742421949273385</v>
      </c>
      <c r="G235" s="110">
        <f t="shared" si="101"/>
        <v>0.94584360212850815</v>
      </c>
      <c r="H235" s="414" t="b">
        <f>Wh_hp&gt;='2021'!Maxi_hp</f>
        <v>1</v>
      </c>
      <c r="I235" s="380">
        <f>IF(H235,Wh_hp,'2021'!Maxi_hp)</f>
        <v>54.742421949273385</v>
      </c>
      <c r="J235" s="85">
        <f>IF(H235,An,'2021'!An_max)</f>
        <v>2022</v>
      </c>
      <c r="K235" s="197">
        <f t="shared" si="79"/>
        <v>44782</v>
      </c>
      <c r="L235" s="147">
        <f>IF(t&lt;Tvie,1-EXP((T0-t)*PertePVj)+'2021'!Pspv,1-EXP((T0-t)*PertePVj)+Pspv)</f>
        <v>3.3608428954234326E-2</v>
      </c>
      <c r="M235" s="844"/>
      <c r="N235" s="844"/>
      <c r="O235" s="48">
        <f>IF(t&lt;Tnet,'2021'!Resal+('2021'!Salim-'2021'!Resal)*(1-EXP(('2021'!Tnet-t)/('2021'!Tau_j))),Resal+(Salim-Resal)*(1-EXP((Tnet-t)/(Tau_j))))*Salcycl</f>
        <v>9.3156099985296906E-2</v>
      </c>
      <c r="P235" s="339">
        <f>(INDEX(Models!$BJ235:$BT235,,T235)*(1-R235)+INDEX(Models!$BJ235:$BT235,,T235+1)*R235-ERP_i)*Q235*Ramure*Pc/MaxiM</f>
        <v>2.3526671685068778E-4</v>
      </c>
      <c r="Q235" s="305">
        <f t="shared" si="80"/>
        <v>0.7</v>
      </c>
      <c r="R235" s="177">
        <f t="shared" si="81"/>
        <v>0.36805062973098635</v>
      </c>
      <c r="S235" s="810">
        <f t="shared" si="82"/>
        <v>0</v>
      </c>
      <c r="T235" s="176">
        <f t="shared" si="83"/>
        <v>6</v>
      </c>
      <c r="U235" s="251">
        <f t="shared" si="84"/>
        <v>0.36805062973098635</v>
      </c>
      <c r="V235" s="383">
        <f t="shared" si="85"/>
        <v>50.709363528177569</v>
      </c>
      <c r="W235" s="402">
        <f t="shared" si="86"/>
        <v>0</v>
      </c>
      <c r="X235" s="157">
        <f t="shared" si="87"/>
        <v>44782</v>
      </c>
      <c r="Y235" s="385">
        <f t="shared" si="88"/>
        <v>44.841753649805014</v>
      </c>
      <c r="Z235" s="385">
        <f t="shared" si="89"/>
        <v>46.401225955727455</v>
      </c>
      <c r="AA235" s="386">
        <f t="shared" si="90"/>
        <v>54.730538968425336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0.15218766651472515</v>
      </c>
      <c r="AD235" s="231">
        <f>(INDEX(Models!$BJ235:$BT235,,AH235)*(1-AF235)+INDEX(Models!$BJ235:$BT235,,AH235+1)*AF235-ERP_i)*AE235*Ramure*Pc/MaxiM</f>
        <v>2.3526671685068778E-4</v>
      </c>
      <c r="AE235" s="305">
        <f t="shared" si="92"/>
        <v>0.7</v>
      </c>
      <c r="AF235" s="177">
        <f t="shared" si="93"/>
        <v>0.36805062973098635</v>
      </c>
      <c r="AG235" s="810">
        <f t="shared" si="99"/>
        <v>0</v>
      </c>
      <c r="AH235" s="176">
        <f t="shared" si="94"/>
        <v>6</v>
      </c>
      <c r="AI235" s="225">
        <f t="shared" si="95"/>
        <v>0.36805062973098635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42">
        <v>44.895000000000003</v>
      </c>
      <c r="C236" s="840"/>
      <c r="D236" s="393">
        <f t="shared" si="77"/>
        <v>46.457405198565382</v>
      </c>
      <c r="E236" s="385">
        <f t="shared" si="100"/>
        <v>51.235524876724149</v>
      </c>
      <c r="F236" s="385">
        <f t="shared" si="78"/>
        <v>51.246080606802998</v>
      </c>
      <c r="G236" s="110">
        <f t="shared" si="101"/>
        <v>0.88871726975084264</v>
      </c>
      <c r="H236" s="414" t="b">
        <f>Wh_hp&gt;='2021'!Maxi_hp</f>
        <v>1</v>
      </c>
      <c r="I236" s="380">
        <f>IF(H236,Wh_hp,'2021'!Maxi_hp)</f>
        <v>51.246080606802998</v>
      </c>
      <c r="J236" s="85">
        <f>IF(H236,An,'2021'!An_max)</f>
        <v>2022</v>
      </c>
      <c r="K236" s="197">
        <f t="shared" si="79"/>
        <v>44783</v>
      </c>
      <c r="L236" s="147">
        <f>IF(t&lt;Tvie,1-EXP((T0-t)*PertePVj)+'2021'!Pspv,1-EXP((T0-t)*PertePVj)+Pspv)</f>
        <v>3.363091829789977E-2</v>
      </c>
      <c r="M236" s="844"/>
      <c r="N236" s="844"/>
      <c r="O236" s="48">
        <f>IF(t&lt;Tnet,'2021'!Resal+('2021'!Salim-'2021'!Resal)*(1-EXP(('2021'!Tnet-t)/('2021'!Tau_j))),Resal+(Salim-Resal)*(1-EXP((Tnet-t)/(Tau_j))))*Salcycl</f>
        <v>9.325794338313545E-2</v>
      </c>
      <c r="P236" s="339">
        <f>(INDEX(Models!$BJ236:$BT236,,T236)*(1-R236)+INDEX(Models!$BJ236:$BT236,,T236+1)*R236-ERP_i)*Q236*Ramure*Pc/MaxiM</f>
        <v>2.4490258130173442E-4</v>
      </c>
      <c r="Q236" s="305">
        <f t="shared" si="80"/>
        <v>0.7</v>
      </c>
      <c r="R236" s="177">
        <f t="shared" si="81"/>
        <v>0.36921853010370403</v>
      </c>
      <c r="S236" s="810">
        <f t="shared" si="82"/>
        <v>0</v>
      </c>
      <c r="T236" s="176">
        <f t="shared" si="83"/>
        <v>6</v>
      </c>
      <c r="U236" s="251">
        <f t="shared" si="84"/>
        <v>0.36921853010370403</v>
      </c>
      <c r="V236" s="383">
        <f t="shared" si="85"/>
        <v>50.514661741591517</v>
      </c>
      <c r="W236" s="402">
        <f t="shared" si="86"/>
        <v>0</v>
      </c>
      <c r="X236" s="157">
        <f t="shared" si="87"/>
        <v>44783</v>
      </c>
      <c r="Y236" s="385">
        <f t="shared" si="88"/>
        <v>41.975501816535868</v>
      </c>
      <c r="Z236" s="385">
        <f t="shared" si="89"/>
        <v>43.436304628665191</v>
      </c>
      <c r="AA236" s="386">
        <f t="shared" si="90"/>
        <v>51.235524876724149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0.15222290133309577</v>
      </c>
      <c r="AD236" s="231">
        <f>(INDEX(Models!$BJ236:$BT236,,AH236)*(1-AF236)+INDEX(Models!$BJ236:$BT236,,AH236+1)*AF236-ERP_i)*AE236*Ramure*Pc/MaxiM</f>
        <v>2.4490258130173442E-4</v>
      </c>
      <c r="AE236" s="305">
        <f t="shared" si="92"/>
        <v>0.7</v>
      </c>
      <c r="AF236" s="177">
        <f t="shared" si="93"/>
        <v>0.36921853010370403</v>
      </c>
      <c r="AG236" s="810">
        <f t="shared" si="99"/>
        <v>0</v>
      </c>
      <c r="AH236" s="176">
        <f t="shared" si="94"/>
        <v>6</v>
      </c>
      <c r="AI236" s="225">
        <f t="shared" si="95"/>
        <v>0.36921853010370403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42">
        <v>43.502000000000002</v>
      </c>
      <c r="C237" s="840"/>
      <c r="D237" s="393">
        <f t="shared" si="77"/>
        <v>45.016974572518883</v>
      </c>
      <c r="E237" s="385">
        <f t="shared" si="100"/>
        <v>49.652505298849817</v>
      </c>
      <c r="F237" s="385">
        <f t="shared" si="78"/>
        <v>49.662737318224281</v>
      </c>
      <c r="G237" s="110">
        <f t="shared" si="101"/>
        <v>0.86451618780852801</v>
      </c>
      <c r="H237" s="414" t="b">
        <f>Wh_hp&gt;='2021'!Maxi_hp</f>
        <v>1</v>
      </c>
      <c r="I237" s="380">
        <f>IF(H237,Wh_hp,'2021'!Maxi_hp)</f>
        <v>49.662737318224281</v>
      </c>
      <c r="J237" s="85">
        <f>IF(H237,An,'2021'!An_max)</f>
        <v>2022</v>
      </c>
      <c r="K237" s="197">
        <f t="shared" si="79"/>
        <v>44784</v>
      </c>
      <c r="L237" s="147">
        <f>IF(t&lt;Tvie,1-EXP((T0-t)*PertePVj)+'2021'!Pspv,1-EXP((T0-t)*PertePVj)+Pspv)</f>
        <v>3.3653407118205414E-2</v>
      </c>
      <c r="M237" s="844"/>
      <c r="N237" s="844"/>
      <c r="O237" s="48">
        <f>IF(t&lt;Tnet,'2021'!Resal+('2021'!Salim-'2021'!Resal)*(1-EXP(('2021'!Tnet-t)/('2021'!Tau_j))),Resal+(Salim-Resal)*(1-EXP((Tnet-t)/(Tau_j))))*Salcycl</f>
        <v>9.3359452829831643E-2</v>
      </c>
      <c r="P237" s="339">
        <f>(INDEX(Models!$BJ237:$BT237,,T237)*(1-R237)+INDEX(Models!$BJ237:$BT237,,T237+1)*R237-ERP_i)*Q237*Ramure*Pc/MaxiM</f>
        <v>2.5545797145139269E-4</v>
      </c>
      <c r="Q237" s="305">
        <f t="shared" si="80"/>
        <v>0.7</v>
      </c>
      <c r="R237" s="177">
        <f t="shared" si="81"/>
        <v>0.37034637498877804</v>
      </c>
      <c r="S237" s="810">
        <f t="shared" si="82"/>
        <v>0</v>
      </c>
      <c r="T237" s="176">
        <f t="shared" si="83"/>
        <v>6</v>
      </c>
      <c r="U237" s="251">
        <f t="shared" si="84"/>
        <v>0.37034637498877804</v>
      </c>
      <c r="V237" s="383">
        <f t="shared" si="85"/>
        <v>50.316986494451015</v>
      </c>
      <c r="W237" s="402">
        <f t="shared" si="86"/>
        <v>0</v>
      </c>
      <c r="X237" s="157">
        <f t="shared" si="87"/>
        <v>44784</v>
      </c>
      <c r="Y237" s="385">
        <f t="shared" si="88"/>
        <v>40.675969939297445</v>
      </c>
      <c r="Z237" s="385">
        <f t="shared" si="89"/>
        <v>42.092526883129402</v>
      </c>
      <c r="AA237" s="386">
        <f t="shared" si="90"/>
        <v>49.652505298849817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0.15225774349588642</v>
      </c>
      <c r="AD237" s="231">
        <f>(INDEX(Models!$BJ237:$BT237,,AH237)*(1-AF237)+INDEX(Models!$BJ237:$BT237,,AH237+1)*AF237-ERP_i)*AE237*Ramure*Pc/MaxiM</f>
        <v>2.5545797145139269E-4</v>
      </c>
      <c r="AE237" s="305">
        <f t="shared" si="92"/>
        <v>0.7</v>
      </c>
      <c r="AF237" s="177">
        <f t="shared" si="93"/>
        <v>0.37034637498877804</v>
      </c>
      <c r="AG237" s="810">
        <f t="shared" si="99"/>
        <v>0</v>
      </c>
      <c r="AH237" s="176">
        <f t="shared" si="94"/>
        <v>6</v>
      </c>
      <c r="AI237" s="225">
        <f t="shared" si="95"/>
        <v>0.37034637498877804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42">
        <v>44.63</v>
      </c>
      <c r="C238" s="840"/>
      <c r="D238" s="393">
        <f t="shared" si="77"/>
        <v>46.185332424439991</v>
      </c>
      <c r="E238" s="385">
        <f t="shared" si="100"/>
        <v>50.946857577008146</v>
      </c>
      <c r="F238" s="385">
        <f t="shared" si="78"/>
        <v>50.958333427693667</v>
      </c>
      <c r="G238" s="110">
        <f t="shared" si="101"/>
        <v>0.89049415713362845</v>
      </c>
      <c r="H238" s="414" t="b">
        <f>Wh_hp&gt;='2021'!Maxi_hp</f>
        <v>1</v>
      </c>
      <c r="I238" s="380">
        <f>IF(H238,Wh_hp,'2021'!Maxi_hp)</f>
        <v>50.958333427693667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3.3675895415163248E-2</v>
      </c>
      <c r="M238" s="844"/>
      <c r="N238" s="844"/>
      <c r="O238" s="48">
        <f>IF(t&lt;Tnet,'2021'!Resal+('2021'!Salim-'2021'!Resal)*(1-EXP(('2021'!Tnet-t)/('2021'!Tau_j))),Resal+(Salim-Resal)*(1-EXP((Tnet-t)/(Tau_j))))*Salcycl</f>
        <v>9.3460625032092015E-2</v>
      </c>
      <c r="P238" s="339">
        <f>(INDEX(Models!$BJ238:$BT238,,T238)*(1-R238)+INDEX(Models!$BJ238:$BT238,,T238+1)*R238-ERP_i)*Q238*Ramure*Pc/MaxiM</f>
        <v>2.6694682545185948E-4</v>
      </c>
      <c r="Q238" s="305">
        <f t="shared" si="80"/>
        <v>0.7</v>
      </c>
      <c r="R238" s="177">
        <f t="shared" si="81"/>
        <v>0.37143528617883093</v>
      </c>
      <c r="S238" s="810">
        <f t="shared" si="82"/>
        <v>0</v>
      </c>
      <c r="T238" s="176">
        <f t="shared" si="83"/>
        <v>6</v>
      </c>
      <c r="U238" s="251">
        <f t="shared" si="84"/>
        <v>0.37143528617883093</v>
      </c>
      <c r="V238" s="383">
        <f t="shared" si="85"/>
        <v>50.116147412953602</v>
      </c>
      <c r="W238" s="402">
        <f t="shared" si="86"/>
        <v>0</v>
      </c>
      <c r="X238" s="157">
        <f t="shared" si="87"/>
        <v>44785</v>
      </c>
      <c r="Y238" s="385">
        <f t="shared" si="88"/>
        <v>41.733652920566954</v>
      </c>
      <c r="Z238" s="385">
        <f t="shared" si="89"/>
        <v>43.188049146820198</v>
      </c>
      <c r="AA238" s="386">
        <f t="shared" si="90"/>
        <v>50.946857577008146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0.15229218835450661</v>
      </c>
      <c r="AD238" s="231">
        <f>(INDEX(Models!$BJ238:$BT238,,AH238)*(1-AF238)+INDEX(Models!$BJ238:$BT238,,AH238+1)*AF238-ERP_i)*AE238*Ramure*Pc/MaxiM</f>
        <v>2.6694682545185948E-4</v>
      </c>
      <c r="AE238" s="305">
        <f t="shared" si="92"/>
        <v>0.7</v>
      </c>
      <c r="AF238" s="177">
        <f t="shared" si="93"/>
        <v>0.37143528617883093</v>
      </c>
      <c r="AG238" s="810">
        <f t="shared" si="99"/>
        <v>0</v>
      </c>
      <c r="AH238" s="176">
        <f t="shared" si="94"/>
        <v>6</v>
      </c>
      <c r="AI238" s="225">
        <f t="shared" si="95"/>
        <v>0.37143528617883093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42">
        <v>32.609000000000002</v>
      </c>
      <c r="C239" s="840"/>
      <c r="D239" s="393">
        <f t="shared" si="77"/>
        <v>33.746192112985767</v>
      </c>
      <c r="E239" s="385">
        <f t="shared" si="100"/>
        <v>37.229431950514801</v>
      </c>
      <c r="F239" s="385">
        <f t="shared" si="78"/>
        <v>37.234682825067097</v>
      </c>
      <c r="G239" s="110">
        <f t="shared" si="101"/>
        <v>0.65324004956685</v>
      </c>
      <c r="H239" s="414" t="b">
        <f>Wh_hp&gt;='2021'!Maxi_hp</f>
        <v>0</v>
      </c>
      <c r="I239" s="380">
        <f>IF(H239,Wh_hp,'2021'!Maxi_hp)</f>
        <v>49.519418885775274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3.3698383188785597E-2</v>
      </c>
      <c r="M239" s="844"/>
      <c r="N239" s="844"/>
      <c r="O239" s="48">
        <f>IF(t&lt;Tnet,'2021'!Resal+('2021'!Salim-'2021'!Resal)*(1-EXP(('2021'!Tnet-t)/('2021'!Tau_j))),Resal+(Salim-Resal)*(1-EXP((Tnet-t)/(Tau_j))))*Salcycl</f>
        <v>9.3561455414064354E-2</v>
      </c>
      <c r="P239" s="339">
        <f>(INDEX(Models!$BJ239:$BT239,,T239)*(1-R239)+INDEX(Models!$BJ239:$BT239,,T239+1)*R239-ERP_i)*Q239*Ramure*Pc/MaxiM</f>
        <v>2.7938362414156289E-4</v>
      </c>
      <c r="Q239" s="305">
        <f t="shared" si="80"/>
        <v>0.7</v>
      </c>
      <c r="R239" s="177">
        <f t="shared" si="81"/>
        <v>0.37248637284102581</v>
      </c>
      <c r="S239" s="810">
        <f t="shared" si="82"/>
        <v>0</v>
      </c>
      <c r="T239" s="176">
        <f t="shared" si="83"/>
        <v>6</v>
      </c>
      <c r="U239" s="251">
        <f t="shared" si="84"/>
        <v>0.37248637284102581</v>
      </c>
      <c r="V239" s="383">
        <f t="shared" si="85"/>
        <v>49.911954296900888</v>
      </c>
      <c r="W239" s="402">
        <f t="shared" si="86"/>
        <v>0</v>
      </c>
      <c r="X239" s="157">
        <f t="shared" si="87"/>
        <v>44786</v>
      </c>
      <c r="Y239" s="385">
        <f t="shared" si="88"/>
        <v>30.494945473785833</v>
      </c>
      <c r="Z239" s="385">
        <f t="shared" si="89"/>
        <v>31.558412966769989</v>
      </c>
      <c r="AA239" s="386">
        <f t="shared" si="90"/>
        <v>37.229431950514801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0.15232622918562677</v>
      </c>
      <c r="AD239" s="231">
        <f>(INDEX(Models!$BJ239:$BT239,,AH239)*(1-AF239)+INDEX(Models!$BJ239:$BT239,,AH239+1)*AF239-ERP_i)*AE239*Ramure*Pc/MaxiM</f>
        <v>2.7938362414156289E-4</v>
      </c>
      <c r="AE239" s="305">
        <f t="shared" si="92"/>
        <v>0.7</v>
      </c>
      <c r="AF239" s="177">
        <f t="shared" si="93"/>
        <v>0.37248637284102581</v>
      </c>
      <c r="AG239" s="810">
        <f t="shared" si="99"/>
        <v>0</v>
      </c>
      <c r="AH239" s="176">
        <f t="shared" si="94"/>
        <v>6</v>
      </c>
      <c r="AI239" s="225">
        <f t="shared" si="95"/>
        <v>0.37248637284102581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42">
        <v>31.965</v>
      </c>
      <c r="C240" s="840"/>
      <c r="D240" s="393">
        <f t="shared" si="77"/>
        <v>33.080503368136633</v>
      </c>
      <c r="E240" s="385">
        <f t="shared" si="100"/>
        <v>36.499077731598142</v>
      </c>
      <c r="F240" s="385">
        <f t="shared" si="78"/>
        <v>36.504329025988113</v>
      </c>
      <c r="G240" s="110">
        <f t="shared" si="101"/>
        <v>0.64300859446978242</v>
      </c>
      <c r="H240" s="414" t="b">
        <f>Wh_hp&gt;='2021'!Maxi_hp</f>
        <v>0</v>
      </c>
      <c r="I240" s="380">
        <f>IF(H240,Wh_hp,'2021'!Maxi_hp)</f>
        <v>56.438545472421865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3.372087043908456E-2</v>
      </c>
      <c r="M240" s="844"/>
      <c r="N240" s="844"/>
      <c r="O240" s="48">
        <f>IF(t&lt;Tnet,'2021'!Resal+('2021'!Salim-'2021'!Resal)*(1-EXP(('2021'!Tnet-t)/('2021'!Tau_j))),Resal+(Salim-Resal)*(1-EXP((Tnet-t)/(Tau_j))))*Salcycl</f>
        <v>9.3661938216646104E-2</v>
      </c>
      <c r="P240" s="339">
        <f>(INDEX(Models!$BJ240:$BT240,,T240)*(1-R240)+INDEX(Models!$BJ240:$BT240,,T240+1)*R240-ERP_i)*Q240*Ramure*Pc/MaxiM</f>
        <v>2.934899208903719E-4</v>
      </c>
      <c r="Q240" s="305">
        <f t="shared" si="80"/>
        <v>0.7</v>
      </c>
      <c r="R240" s="177">
        <f t="shared" si="81"/>
        <v>0.37350073008978496</v>
      </c>
      <c r="S240" s="810">
        <f t="shared" si="82"/>
        <v>0</v>
      </c>
      <c r="T240" s="176">
        <f t="shared" si="83"/>
        <v>6</v>
      </c>
      <c r="U240" s="251">
        <f t="shared" si="84"/>
        <v>0.37350073008978496</v>
      </c>
      <c r="V240" s="383">
        <f t="shared" si="85"/>
        <v>49.704181989256838</v>
      </c>
      <c r="W240" s="402">
        <f t="shared" si="86"/>
        <v>0</v>
      </c>
      <c r="X240" s="157">
        <f t="shared" si="87"/>
        <v>44787</v>
      </c>
      <c r="Y240" s="385">
        <f t="shared" si="88"/>
        <v>29.894824350779547</v>
      </c>
      <c r="Z240" s="385">
        <f t="shared" si="89"/>
        <v>30.9380834545852</v>
      </c>
      <c r="AA240" s="386">
        <f t="shared" si="90"/>
        <v>36.499077731598142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0.15235985736150945</v>
      </c>
      <c r="AD240" s="231">
        <f>(INDEX(Models!$BJ240:$BT240,,AH240)*(1-AF240)+INDEX(Models!$BJ240:$BT240,,AH240+1)*AF240-ERP_i)*AE240*Ramure*Pc/MaxiM</f>
        <v>2.934899208903719E-4</v>
      </c>
      <c r="AE240" s="305">
        <f t="shared" si="92"/>
        <v>0.7</v>
      </c>
      <c r="AF240" s="177">
        <f t="shared" si="93"/>
        <v>0.37350073008978496</v>
      </c>
      <c r="AG240" s="810">
        <f t="shared" si="99"/>
        <v>0</v>
      </c>
      <c r="AH240" s="176">
        <f t="shared" si="94"/>
        <v>6</v>
      </c>
      <c r="AI240" s="225">
        <f t="shared" si="95"/>
        <v>0.37350073008978496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42">
        <v>38.652000000000001</v>
      </c>
      <c r="C241" s="840"/>
      <c r="D241" s="393">
        <f t="shared" si="77"/>
        <v>40.001794850939199</v>
      </c>
      <c r="E241" s="385">
        <f t="shared" si="100"/>
        <v>44.140499284314359</v>
      </c>
      <c r="F241" s="385">
        <f t="shared" si="78"/>
        <v>44.149873090138733</v>
      </c>
      <c r="G241" s="110">
        <f t="shared" si="101"/>
        <v>0.7808888460811475</v>
      </c>
      <c r="H241" s="414" t="b">
        <f>Wh_hp&gt;='2021'!Maxi_hp</f>
        <v>0</v>
      </c>
      <c r="I241" s="380">
        <f>IF(H241,Wh_hp,'2021'!Maxi_hp)</f>
        <v>49.907980603306648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3.3743357166072463E-2</v>
      </c>
      <c r="M241" s="844"/>
      <c r="N241" s="844"/>
      <c r="O241" s="48">
        <f>IF(t&lt;Tnet,'2021'!Resal+('2021'!Salim-'2021'!Resal)*(1-EXP(('2021'!Tnet-t)/('2021'!Tau_j))),Resal+(Salim-Resal)*(1-EXP((Tnet-t)/(Tau_j))))*Salcycl</f>
        <v>9.376206659370255E-2</v>
      </c>
      <c r="P241" s="339">
        <f>(INDEX(Models!$BJ241:$BT241,,T241)*(1-R241)+INDEX(Models!$BJ241:$BT241,,T241+1)*R241-ERP_i)*Q241*Ramure*Pc/MaxiM</f>
        <v>3.090093527157441E-4</v>
      </c>
      <c r="Q241" s="305">
        <f t="shared" si="80"/>
        <v>0.7</v>
      </c>
      <c r="R241" s="177">
        <f t="shared" si="81"/>
        <v>0.37447943770821712</v>
      </c>
      <c r="S241" s="810">
        <f t="shared" si="82"/>
        <v>0</v>
      </c>
      <c r="T241" s="176">
        <f t="shared" si="83"/>
        <v>6</v>
      </c>
      <c r="U241" s="251">
        <f t="shared" si="84"/>
        <v>0.37447943770821712</v>
      </c>
      <c r="V241" s="383">
        <f t="shared" si="85"/>
        <v>49.492654530863902</v>
      </c>
      <c r="W241" s="402">
        <f t="shared" si="86"/>
        <v>0</v>
      </c>
      <c r="X241" s="157">
        <f t="shared" si="87"/>
        <v>44788</v>
      </c>
      <c r="Y241" s="385">
        <f t="shared" si="88"/>
        <v>36.151326423239674</v>
      </c>
      <c r="Z241" s="385">
        <f t="shared" si="89"/>
        <v>37.41379341746277</v>
      </c>
      <c r="AA241" s="386">
        <f t="shared" si="90"/>
        <v>44.140499284314359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0.15239306251440551</v>
      </c>
      <c r="AD241" s="231">
        <f>(INDEX(Models!$BJ241:$BT241,,AH241)*(1-AF241)+INDEX(Models!$BJ241:$BT241,,AH241+1)*AF241-ERP_i)*AE241*Ramure*Pc/MaxiM</f>
        <v>3.090093527157441E-4</v>
      </c>
      <c r="AE241" s="305">
        <f t="shared" si="92"/>
        <v>0.7</v>
      </c>
      <c r="AF241" s="177">
        <f t="shared" si="93"/>
        <v>0.37447943770821712</v>
      </c>
      <c r="AG241" s="810">
        <f t="shared" si="99"/>
        <v>0</v>
      </c>
      <c r="AH241" s="176">
        <f t="shared" si="94"/>
        <v>6</v>
      </c>
      <c r="AI241" s="225">
        <f t="shared" si="95"/>
        <v>0.37447943770821712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42">
        <v>33.234000000000002</v>
      </c>
      <c r="C242" s="840"/>
      <c r="D242" s="393">
        <f t="shared" si="77"/>
        <v>34.39538932871536</v>
      </c>
      <c r="E242" s="385">
        <f t="shared" si="100"/>
        <v>37.958217157269765</v>
      </c>
      <c r="F242" s="385">
        <f t="shared" si="78"/>
        <v>37.96483663501845</v>
      </c>
      <c r="G242" s="110">
        <f t="shared" si="101"/>
        <v>0.674327531758803</v>
      </c>
      <c r="H242" s="414" t="b">
        <f>Wh_hp&gt;='2021'!Maxi_hp</f>
        <v>0</v>
      </c>
      <c r="I242" s="380">
        <f>IF(H242,Wh_hp,'2021'!Maxi_hp)</f>
        <v>54.750781223498663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3.3765843369761295E-2</v>
      </c>
      <c r="M242" s="844"/>
      <c r="N242" s="844"/>
      <c r="O242" s="48">
        <f>IF(t&lt;Tnet,'2021'!Resal+('2021'!Salim-'2021'!Resal)*(1-EXP(('2021'!Tnet-t)/('2021'!Tau_j))),Resal+(Salim-Resal)*(1-EXP((Tnet-t)/(Tau_j))))*Salcycl</f>
        <v>9.3861832703911699E-2</v>
      </c>
      <c r="P242" s="339">
        <f>(INDEX(Models!$BJ242:$BT242,,T242)*(1-R242)+INDEX(Models!$BJ242:$BT242,,T242+1)*R242-ERP_i)*Q242*Ramure*Pc/MaxiM</f>
        <v>3.2596414261328141E-4</v>
      </c>
      <c r="Q242" s="305">
        <f t="shared" si="80"/>
        <v>0.7</v>
      </c>
      <c r="R242" s="177">
        <f t="shared" si="81"/>
        <v>0.37542355901063212</v>
      </c>
      <c r="S242" s="810">
        <f t="shared" si="82"/>
        <v>0</v>
      </c>
      <c r="T242" s="176">
        <f t="shared" si="83"/>
        <v>6</v>
      </c>
      <c r="U242" s="251">
        <f t="shared" si="84"/>
        <v>0.37542355901063212</v>
      </c>
      <c r="V242" s="383">
        <f t="shared" si="85"/>
        <v>49.277182202993522</v>
      </c>
      <c r="W242" s="402">
        <f t="shared" si="86"/>
        <v>0</v>
      </c>
      <c r="X242" s="157">
        <f t="shared" si="87"/>
        <v>44789</v>
      </c>
      <c r="Y242" s="385">
        <f t="shared" si="88"/>
        <v>31.086075935125571</v>
      </c>
      <c r="Z242" s="385">
        <f t="shared" si="89"/>
        <v>32.172404299532211</v>
      </c>
      <c r="AA242" s="386">
        <f t="shared" si="90"/>
        <v>37.958217157269765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0.1524258326929735</v>
      </c>
      <c r="AD242" s="231">
        <f>(INDEX(Models!$BJ242:$BT242,,AH242)*(1-AF242)+INDEX(Models!$BJ242:$BT242,,AH242+1)*AF242-ERP_i)*AE242*Ramure*Pc/MaxiM</f>
        <v>3.2596414261328141E-4</v>
      </c>
      <c r="AE242" s="305">
        <f t="shared" si="92"/>
        <v>0.7</v>
      </c>
      <c r="AF242" s="177">
        <f t="shared" si="93"/>
        <v>0.37542355901063212</v>
      </c>
      <c r="AG242" s="810">
        <f t="shared" si="99"/>
        <v>0</v>
      </c>
      <c r="AH242" s="176">
        <f t="shared" si="94"/>
        <v>6</v>
      </c>
      <c r="AI242" s="225">
        <f t="shared" si="95"/>
        <v>0.37542355901063212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42">
        <v>27.673000000000002</v>
      </c>
      <c r="C243" s="840"/>
      <c r="D243" s="393">
        <f t="shared" si="77"/>
        <v>28.640722144037024</v>
      </c>
      <c r="E243" s="385">
        <f t="shared" si="100"/>
        <v>31.610923310047596</v>
      </c>
      <c r="F243" s="385">
        <f t="shared" si="78"/>
        <v>31.615030891048495</v>
      </c>
      <c r="G243" s="110">
        <f t="shared" si="101"/>
        <v>0.56397130181182209</v>
      </c>
      <c r="H243" s="414" t="b">
        <f>Wh_hp&gt;='2021'!Maxi_hp</f>
        <v>0</v>
      </c>
      <c r="I243" s="380">
        <f>IF(H243,Wh_hp,'2021'!Maxi_hp)</f>
        <v>54.337378968983657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3.3788329050163379E-2</v>
      </c>
      <c r="M243" s="844"/>
      <c r="N243" s="844"/>
      <c r="O243" s="48">
        <f>IF(t&lt;Tnet,'2021'!Resal+('2021'!Salim-'2021'!Resal)*(1-EXP(('2021'!Tnet-t)/('2021'!Tau_j))),Resal+(Salim-Resal)*(1-EXP((Tnet-t)/(Tau_j))))*Salcycl</f>
        <v>9.3961227797053543E-2</v>
      </c>
      <c r="P243" s="339">
        <f>(INDEX(Models!$BJ243:$BT243,,T243)*(1-R243)+INDEX(Models!$BJ243:$BT243,,T243+1)*R243-ERP_i)*Q243*Ramure*Pc/MaxiM</f>
        <v>3.4437756091787588E-4</v>
      </c>
      <c r="Q243" s="305">
        <f t="shared" si="80"/>
        <v>0.7</v>
      </c>
      <c r="R243" s="177">
        <f t="shared" si="81"/>
        <v>0.37633413983851421</v>
      </c>
      <c r="S243" s="810">
        <f t="shared" si="82"/>
        <v>0</v>
      </c>
      <c r="T243" s="176">
        <f t="shared" si="83"/>
        <v>6</v>
      </c>
      <c r="U243" s="251">
        <f t="shared" si="84"/>
        <v>0.37633413983851421</v>
      </c>
      <c r="V243" s="383">
        <f t="shared" si="85"/>
        <v>49.057575434423633</v>
      </c>
      <c r="W243" s="402">
        <f t="shared" si="86"/>
        <v>0</v>
      </c>
      <c r="X243" s="157">
        <f t="shared" si="87"/>
        <v>44790</v>
      </c>
      <c r="Y243" s="385">
        <f t="shared" si="88"/>
        <v>25.886337549606449</v>
      </c>
      <c r="Z243" s="385">
        <f t="shared" si="89"/>
        <v>26.791580279876793</v>
      </c>
      <c r="AA243" s="386">
        <f t="shared" si="90"/>
        <v>31.610923310047596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0.15245815450885508</v>
      </c>
      <c r="AD243" s="231">
        <f>(INDEX(Models!$BJ243:$BT243,,AH243)*(1-AF243)+INDEX(Models!$BJ243:$BT243,,AH243+1)*AF243-ERP_i)*AE243*Ramure*Pc/MaxiM</f>
        <v>3.4437756091787588E-4</v>
      </c>
      <c r="AE243" s="305">
        <f t="shared" si="92"/>
        <v>0.7</v>
      </c>
      <c r="AF243" s="177">
        <f t="shared" si="93"/>
        <v>0.37633413983851421</v>
      </c>
      <c r="AG243" s="810">
        <f t="shared" si="99"/>
        <v>0</v>
      </c>
      <c r="AH243" s="176">
        <f t="shared" si="94"/>
        <v>6</v>
      </c>
      <c r="AI243" s="225">
        <f t="shared" si="95"/>
        <v>0.37633413983851421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42">
        <v>34.451000000000001</v>
      </c>
      <c r="C244" s="840"/>
      <c r="D244" s="393">
        <f t="shared" si="77"/>
        <v>35.656577931717067</v>
      </c>
      <c r="E244" s="385">
        <f t="shared" si="100"/>
        <v>39.358663342023135</v>
      </c>
      <c r="F244" s="385">
        <f t="shared" si="78"/>
        <v>39.366970033493331</v>
      </c>
      <c r="G244" s="110">
        <f t="shared" si="101"/>
        <v>0.70536857971321687</v>
      </c>
      <c r="H244" s="414" t="b">
        <f>Wh_hp&gt;='2021'!Maxi_hp</f>
        <v>0</v>
      </c>
      <c r="I244" s="380">
        <f>IF(H244,Wh_hp,'2021'!Maxi_hp)</f>
        <v>54.641783425949193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3.3810814207290707E-2</v>
      </c>
      <c r="M244" s="844"/>
      <c r="N244" s="844"/>
      <c r="O244" s="48">
        <f>IF(t&lt;Tnet,'2021'!Resal+('2021'!Salim-'2021'!Resal)*(1-EXP(('2021'!Tnet-t)/('2021'!Tau_j))),Resal+(Salim-Resal)*(1-EXP((Tnet-t)/(Tau_j))))*Salcycl</f>
        <v>9.4060242293679722E-2</v>
      </c>
      <c r="P244" s="339">
        <f>(INDEX(Models!$BJ244:$BT244,,T244)*(1-R244)+INDEX(Models!$BJ244:$BT244,,T244+1)*R244-ERP_i)*Q244*Ramure*Pc/MaxiM</f>
        <v>3.6427401787330629E-4</v>
      </c>
      <c r="Q244" s="305">
        <f t="shared" si="80"/>
        <v>0.7</v>
      </c>
      <c r="R244" s="177">
        <f t="shared" si="81"/>
        <v>0.37721220768236513</v>
      </c>
      <c r="S244" s="810">
        <f t="shared" si="82"/>
        <v>0</v>
      </c>
      <c r="T244" s="176">
        <f t="shared" si="83"/>
        <v>6</v>
      </c>
      <c r="U244" s="251">
        <f t="shared" si="84"/>
        <v>0.37721220768236513</v>
      </c>
      <c r="V244" s="383">
        <f t="shared" si="85"/>
        <v>48.833644794110171</v>
      </c>
      <c r="W244" s="402">
        <f t="shared" si="86"/>
        <v>0</v>
      </c>
      <c r="X244" s="157">
        <f t="shared" si="87"/>
        <v>44791</v>
      </c>
      <c r="Y244" s="385">
        <f t="shared" si="88"/>
        <v>32.229037642302195</v>
      </c>
      <c r="Z244" s="385">
        <f t="shared" si="89"/>
        <v>33.356860246639897</v>
      </c>
      <c r="AA244" s="386">
        <f t="shared" si="90"/>
        <v>39.358663342023135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0.15249001327174455</v>
      </c>
      <c r="AD244" s="231">
        <f>(INDEX(Models!$BJ244:$BT244,,AH244)*(1-AF244)+INDEX(Models!$BJ244:$BT244,,AH244+1)*AF244-ERP_i)*AE244*Ramure*Pc/MaxiM</f>
        <v>3.6427401787330629E-4</v>
      </c>
      <c r="AE244" s="305">
        <f t="shared" si="92"/>
        <v>0.7</v>
      </c>
      <c r="AF244" s="177">
        <f t="shared" si="93"/>
        <v>0.37721220768236513</v>
      </c>
      <c r="AG244" s="810">
        <f t="shared" si="99"/>
        <v>0</v>
      </c>
      <c r="AH244" s="176">
        <f t="shared" si="94"/>
        <v>6</v>
      </c>
      <c r="AI244" s="225">
        <f t="shared" si="95"/>
        <v>0.37721220768236513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42">
        <v>41.14</v>
      </c>
      <c r="C245" s="840"/>
      <c r="D245" s="393">
        <f t="shared" si="77"/>
        <v>42.58064364116013</v>
      </c>
      <c r="E245" s="385">
        <f t="shared" si="100"/>
        <v>47.006745483528434</v>
      </c>
      <c r="F245" s="385">
        <f t="shared" si="78"/>
        <v>47.020901429543109</v>
      </c>
      <c r="G245" s="110">
        <f t="shared" si="101"/>
        <v>0.84633983064485285</v>
      </c>
      <c r="H245" s="414" t="b">
        <f>Wh_hp&gt;='2021'!Maxi_hp</f>
        <v>1</v>
      </c>
      <c r="I245" s="380">
        <f>IF(H245,Wh_hp,'2021'!Maxi_hp)</f>
        <v>47.020901429543109</v>
      </c>
      <c r="J245" s="85">
        <f>IF(H245,An,'2021'!An_max)</f>
        <v>2022</v>
      </c>
      <c r="K245" s="197">
        <f t="shared" si="79"/>
        <v>44792</v>
      </c>
      <c r="L245" s="147">
        <f>IF(t&lt;Tvie,1-EXP((T0-t)*PertePVj)+'2021'!Pspv,1-EXP((T0-t)*PertePVj)+Pspv)</f>
        <v>3.3833298841155712E-2</v>
      </c>
      <c r="M245" s="844"/>
      <c r="N245" s="844"/>
      <c r="O245" s="48">
        <f>IF(t&lt;Tnet,'2021'!Resal+('2021'!Salim-'2021'!Resal)*(1-EXP(('2021'!Tnet-t)/('2021'!Tau_j))),Resal+(Salim-Resal)*(1-EXP((Tnet-t)/(Tau_j))))*Salcycl</f>
        <v>9.4158865857225715E-2</v>
      </c>
      <c r="P245" s="339">
        <f>(INDEX(Models!$BJ245:$BT245,,T245)*(1-R245)+INDEX(Models!$BJ245:$BT245,,T245+1)*R245-ERP_i)*Q245*Ramure*Pc/MaxiM</f>
        <v>3.8567916089476322E-4</v>
      </c>
      <c r="Q245" s="305">
        <f t="shared" si="80"/>
        <v>0.7</v>
      </c>
      <c r="R245" s="177">
        <f t="shared" si="81"/>
        <v>0.37805877092191659</v>
      </c>
      <c r="S245" s="810">
        <f t="shared" si="82"/>
        <v>0</v>
      </c>
      <c r="T245" s="176">
        <f t="shared" si="83"/>
        <v>6</v>
      </c>
      <c r="U245" s="251">
        <f t="shared" si="84"/>
        <v>0.37805877092191659</v>
      </c>
      <c r="V245" s="383">
        <f t="shared" si="85"/>
        <v>48.605200989103622</v>
      </c>
      <c r="W245" s="402">
        <f t="shared" si="86"/>
        <v>0</v>
      </c>
      <c r="X245" s="157">
        <f t="shared" si="87"/>
        <v>44792</v>
      </c>
      <c r="Y245" s="385">
        <f t="shared" si="88"/>
        <v>38.489386906001741</v>
      </c>
      <c r="Z245" s="385">
        <f t="shared" si="89"/>
        <v>39.837211176742706</v>
      </c>
      <c r="AA245" s="386">
        <f t="shared" si="90"/>
        <v>47.006745483528434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0.15252139311150556</v>
      </c>
      <c r="AD245" s="231">
        <f>(INDEX(Models!$BJ245:$BT245,,AH245)*(1-AF245)+INDEX(Models!$BJ245:$BT245,,AH245+1)*AF245-ERP_i)*AE245*Ramure*Pc/MaxiM</f>
        <v>3.8567916089476322E-4</v>
      </c>
      <c r="AE245" s="305">
        <f t="shared" si="92"/>
        <v>0.7</v>
      </c>
      <c r="AF245" s="177">
        <f t="shared" si="93"/>
        <v>0.37805877092191659</v>
      </c>
      <c r="AG245" s="810">
        <f t="shared" si="99"/>
        <v>0</v>
      </c>
      <c r="AH245" s="176">
        <f t="shared" si="94"/>
        <v>6</v>
      </c>
      <c r="AI245" s="225">
        <f t="shared" si="95"/>
        <v>0.37805877092191659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42">
        <v>46.181000000000004</v>
      </c>
      <c r="C246" s="840"/>
      <c r="D246" s="393">
        <f t="shared" si="77"/>
        <v>47.799282120729877</v>
      </c>
      <c r="E246" s="385">
        <f t="shared" si="100"/>
        <v>52.77356461621909</v>
      </c>
      <c r="F246" s="385">
        <f t="shared" si="78"/>
        <v>52.793741266565121</v>
      </c>
      <c r="G246" s="110">
        <f t="shared" si="101"/>
        <v>0.9546788655798395</v>
      </c>
      <c r="H246" s="414" t="b">
        <f>Wh_hp&gt;='2021'!Maxi_hp</f>
        <v>1</v>
      </c>
      <c r="I246" s="380">
        <f>IF(H246,Wh_hp,'2021'!Maxi_hp)</f>
        <v>52.793741266565121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3.3855782951770386E-2</v>
      </c>
      <c r="M246" s="844"/>
      <c r="N246" s="844"/>
      <c r="O246" s="48">
        <f>IF(t&lt;Tnet,'2021'!Resal+('2021'!Salim-'2021'!Resal)*(1-EXP(('2021'!Tnet-t)/('2021'!Tau_j))),Resal+(Salim-Resal)*(1-EXP((Tnet-t)/(Tau_j))))*Salcycl</f>
        <v>9.4257087457769548E-2</v>
      </c>
      <c r="P246" s="339">
        <f>(INDEX(Models!$BJ246:$BT246,,T246)*(1-R246)+INDEX(Models!$BJ246:$BT246,,T246+1)*R246-ERP_i)*Q246*Ramure*Pc/MaxiM</f>
        <v>4.0861997715461795E-4</v>
      </c>
      <c r="Q246" s="305">
        <f t="shared" si="80"/>
        <v>0.7</v>
      </c>
      <c r="R246" s="177">
        <f t="shared" si="81"/>
        <v>0.37887481817734481</v>
      </c>
      <c r="S246" s="810">
        <f t="shared" si="82"/>
        <v>0</v>
      </c>
      <c r="T246" s="176">
        <f t="shared" si="83"/>
        <v>6</v>
      </c>
      <c r="U246" s="251">
        <f t="shared" si="84"/>
        <v>0.37887481817734481</v>
      </c>
      <c r="V246" s="383">
        <f t="shared" si="85"/>
        <v>48.372054854858646</v>
      </c>
      <c r="W246" s="402">
        <f t="shared" si="86"/>
        <v>0</v>
      </c>
      <c r="X246" s="157">
        <f t="shared" si="87"/>
        <v>44793</v>
      </c>
      <c r="Y246" s="385">
        <f t="shared" si="88"/>
        <v>43.208710496049115</v>
      </c>
      <c r="Z246" s="385">
        <f t="shared" si="89"/>
        <v>44.722837164063002</v>
      </c>
      <c r="AA246" s="386">
        <f t="shared" si="90"/>
        <v>52.77356461621909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0.15255227708612706</v>
      </c>
      <c r="AD246" s="231">
        <f>(INDEX(Models!$BJ246:$BT246,,AH246)*(1-AF246)+INDEX(Models!$BJ246:$BT246,,AH246+1)*AF246-ERP_i)*AE246*Ramure*Pc/MaxiM</f>
        <v>4.0861997715461795E-4</v>
      </c>
      <c r="AE246" s="305">
        <f t="shared" si="92"/>
        <v>0.7</v>
      </c>
      <c r="AF246" s="177">
        <f t="shared" si="93"/>
        <v>0.37887481817734481</v>
      </c>
      <c r="AG246" s="810">
        <f t="shared" si="99"/>
        <v>0</v>
      </c>
      <c r="AH246" s="176">
        <f t="shared" si="94"/>
        <v>6</v>
      </c>
      <c r="AI246" s="225">
        <f t="shared" si="95"/>
        <v>0.37887481817734481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42">
        <v>29.654</v>
      </c>
      <c r="C247" s="840"/>
      <c r="D247" s="393">
        <f t="shared" si="77"/>
        <v>30.693854586805617</v>
      </c>
      <c r="E247" s="385">
        <f t="shared" si="100"/>
        <v>33.89170264578447</v>
      </c>
      <c r="F247" s="385">
        <f t="shared" si="78"/>
        <v>33.898331754321724</v>
      </c>
      <c r="G247" s="110">
        <f t="shared" si="101"/>
        <v>0.61591377152806637</v>
      </c>
      <c r="H247" s="414" t="b">
        <f>Wh_hp&gt;='2021'!Maxi_hp</f>
        <v>0</v>
      </c>
      <c r="I247" s="380">
        <f>IF(H247,Wh_hp,'2021'!Maxi_hp)</f>
        <v>52.989538136778435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3.387826653914694E-2</v>
      </c>
      <c r="M247" s="844"/>
      <c r="N247" s="844"/>
      <c r="O247" s="48">
        <f>IF(t&lt;Tnet,'2021'!Resal+('2021'!Salim-'2021'!Resal)*(1-EXP(('2021'!Tnet-t)/('2021'!Tau_j))),Resal+(Salim-Resal)*(1-EXP((Tnet-t)/(Tau_j))))*Salcycl</f>
        <v>9.4354895426789848E-2</v>
      </c>
      <c r="P247" s="339">
        <f>(INDEX(Models!$BJ247:$BT247,,T247)*(1-R247)+INDEX(Models!$BJ247:$BT247,,T247+1)*R247-ERP_i)*Q247*Ramure*Pc/MaxiM</f>
        <v>4.3311687169248804E-4</v>
      </c>
      <c r="Q247" s="305">
        <f t="shared" si="80"/>
        <v>0.7</v>
      </c>
      <c r="R247" s="177">
        <f t="shared" si="81"/>
        <v>0.3796613177642762</v>
      </c>
      <c r="S247" s="810">
        <f t="shared" si="82"/>
        <v>0</v>
      </c>
      <c r="T247" s="176">
        <f t="shared" si="83"/>
        <v>6</v>
      </c>
      <c r="U247" s="251">
        <f t="shared" si="84"/>
        <v>0.3796613177642762</v>
      </c>
      <c r="V247" s="383">
        <f t="shared" si="85"/>
        <v>48.134910174233248</v>
      </c>
      <c r="W247" s="402">
        <f t="shared" si="86"/>
        <v>0</v>
      </c>
      <c r="X247" s="157">
        <f t="shared" si="87"/>
        <v>44794</v>
      </c>
      <c r="Y247" s="385">
        <f t="shared" si="88"/>
        <v>27.747418995393975</v>
      </c>
      <c r="Z247" s="385">
        <f t="shared" si="89"/>
        <v>28.720416935448529</v>
      </c>
      <c r="AA247" s="386">
        <f t="shared" si="90"/>
        <v>33.89170264578447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0.15258264727455814</v>
      </c>
      <c r="AD247" s="231">
        <f>(INDEX(Models!$BJ247:$BT247,,AH247)*(1-AF247)+INDEX(Models!$BJ247:$BT247,,AH247+1)*AF247-ERP_i)*AE247*Ramure*Pc/MaxiM</f>
        <v>4.3311687169248804E-4</v>
      </c>
      <c r="AE247" s="305">
        <f t="shared" si="92"/>
        <v>0.7</v>
      </c>
      <c r="AF247" s="177">
        <f t="shared" si="93"/>
        <v>0.3796613177642762</v>
      </c>
      <c r="AG247" s="810">
        <f t="shared" si="99"/>
        <v>0</v>
      </c>
      <c r="AH247" s="176">
        <f t="shared" si="94"/>
        <v>6</v>
      </c>
      <c r="AI247" s="225">
        <f t="shared" si="95"/>
        <v>0.3796613177642762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42">
        <v>25.401</v>
      </c>
      <c r="C248" s="840"/>
      <c r="D248" s="393">
        <f t="shared" si="77"/>
        <v>26.292329685143393</v>
      </c>
      <c r="E248" s="385">
        <f t="shared" si="100"/>
        <v>29.03472564938625</v>
      </c>
      <c r="F248" s="385">
        <f t="shared" si="78"/>
        <v>29.039125977565497</v>
      </c>
      <c r="G248" s="110">
        <f t="shared" si="101"/>
        <v>0.53019030742163065</v>
      </c>
      <c r="H248" s="414" t="b">
        <f>Wh_hp&gt;='2021'!Maxi_hp</f>
        <v>0</v>
      </c>
      <c r="I248" s="380">
        <f>IF(H248,Wh_hp,'2021'!Maxi_hp)</f>
        <v>55.477484592844142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3.3900749603297586E-2</v>
      </c>
      <c r="M248" s="844"/>
      <c r="N248" s="844"/>
      <c r="O248" s="48">
        <f>IF(t&lt;Tnet,'2021'!Resal+('2021'!Salim-'2021'!Resal)*(1-EXP(('2021'!Tnet-t)/('2021'!Tau_j))),Resal+(Salim-Resal)*(1-EXP((Tnet-t)/(Tau_j))))*Salcycl</f>
        <v>9.4452277502433554E-2</v>
      </c>
      <c r="P248" s="339">
        <f>(INDEX(Models!$BJ248:$BT248,,T248)*(1-R248)+INDEX(Models!$BJ248:$BT248,,T248+1)*R248-ERP_i)*Q248*Ramure*Pc/MaxiM</f>
        <v>4.6047225595104347E-4</v>
      </c>
      <c r="Q248" s="305">
        <f t="shared" si="80"/>
        <v>0.7</v>
      </c>
      <c r="R248" s="177">
        <f t="shared" si="81"/>
        <v>0.38041921724557087</v>
      </c>
      <c r="S248" s="810">
        <f t="shared" si="82"/>
        <v>0</v>
      </c>
      <c r="T248" s="176">
        <f t="shared" si="83"/>
        <v>6</v>
      </c>
      <c r="U248" s="251">
        <f t="shared" si="84"/>
        <v>0.38041921724557087</v>
      </c>
      <c r="V248" s="383">
        <f t="shared" si="85"/>
        <v>47.894408929640591</v>
      </c>
      <c r="W248" s="402">
        <f t="shared" si="86"/>
        <v>0</v>
      </c>
      <c r="X248" s="157">
        <f t="shared" si="87"/>
        <v>44795</v>
      </c>
      <c r="Y248" s="385">
        <f t="shared" si="88"/>
        <v>23.769581367688161</v>
      </c>
      <c r="Z248" s="385">
        <f t="shared" si="89"/>
        <v>24.603664020987313</v>
      </c>
      <c r="AA248" s="386">
        <f t="shared" si="90"/>
        <v>29.03472564938625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0.15261248485372211</v>
      </c>
      <c r="AD248" s="231">
        <f>(INDEX(Models!$BJ248:$BT248,,AH248)*(1-AF248)+INDEX(Models!$BJ248:$BT248,,AH248+1)*AF248-ERP_i)*AE248*Ramure*Pc/MaxiM</f>
        <v>4.6047225595104347E-4</v>
      </c>
      <c r="AE248" s="305">
        <f t="shared" si="92"/>
        <v>0.7</v>
      </c>
      <c r="AF248" s="177">
        <f t="shared" si="93"/>
        <v>0.38041921724557087</v>
      </c>
      <c r="AG248" s="810">
        <f t="shared" si="99"/>
        <v>0</v>
      </c>
      <c r="AH248" s="176">
        <f t="shared" si="94"/>
        <v>6</v>
      </c>
      <c r="AI248" s="225">
        <f t="shared" si="95"/>
        <v>0.38041921724557087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42">
        <v>46.417999999999999</v>
      </c>
      <c r="C249" s="840"/>
      <c r="D249" s="393">
        <f t="shared" si="77"/>
        <v>48.047941472628573</v>
      </c>
      <c r="E249" s="385">
        <f t="shared" si="100"/>
        <v>53.065216331834428</v>
      </c>
      <c r="F249" s="385">
        <f t="shared" si="78"/>
        <v>53.090277151118499</v>
      </c>
      <c r="G249" s="110">
        <f t="shared" si="101"/>
        <v>0.97411919543396308</v>
      </c>
      <c r="H249" s="414" t="b">
        <f>Wh_hp&gt;='2021'!Maxi_hp</f>
        <v>1</v>
      </c>
      <c r="I249" s="380">
        <f>IF(H249,Wh_hp,'2021'!Maxi_hp)</f>
        <v>53.090277151118499</v>
      </c>
      <c r="J249" s="85">
        <f>IF(H249,An,'2021'!An_max)</f>
        <v>2022</v>
      </c>
      <c r="K249" s="197">
        <f t="shared" si="79"/>
        <v>44796</v>
      </c>
      <c r="L249" s="147">
        <f>IF(t&lt;Tvie,1-EXP((T0-t)*PertePVj)+'2021'!Pspv,1-EXP((T0-t)*PertePVj)+Pspv)</f>
        <v>3.3923232144234539E-2</v>
      </c>
      <c r="M249" s="844"/>
      <c r="N249" s="844"/>
      <c r="O249" s="48">
        <f>IF(t&lt;Tnet,'2021'!Resal+('2021'!Salim-'2021'!Resal)*(1-EXP(('2021'!Tnet-t)/('2021'!Tau_j))),Resal+(Salim-Resal)*(1-EXP((Tnet-t)/(Tau_j))))*Salcycl</f>
        <v>9.454922086496681E-2</v>
      </c>
      <c r="P249" s="339">
        <f>(INDEX(Models!$BJ249:$BT249,,T249)*(1-R249)+INDEX(Models!$BJ249:$BT249,,T249+1)*R249-ERP_i)*Q249*Ramure*Pc/MaxiM</f>
        <v>4.9015140058409116E-4</v>
      </c>
      <c r="Q249" s="305">
        <f t="shared" si="80"/>
        <v>0.7</v>
      </c>
      <c r="R249" s="177">
        <f t="shared" si="81"/>
        <v>0.38114944307307991</v>
      </c>
      <c r="S249" s="810">
        <f t="shared" si="82"/>
        <v>0</v>
      </c>
      <c r="T249" s="176">
        <f t="shared" si="83"/>
        <v>6</v>
      </c>
      <c r="U249" s="251">
        <f t="shared" si="84"/>
        <v>0.38114944307307991</v>
      </c>
      <c r="V249" s="383">
        <f t="shared" si="85"/>
        <v>47.650389397702732</v>
      </c>
      <c r="W249" s="402">
        <f t="shared" si="86"/>
        <v>0</v>
      </c>
      <c r="X249" s="157">
        <f t="shared" si="87"/>
        <v>44796</v>
      </c>
      <c r="Y249" s="385">
        <f t="shared" si="88"/>
        <v>43.439881238293999</v>
      </c>
      <c r="Z249" s="385">
        <f t="shared" si="89"/>
        <v>44.965247777058167</v>
      </c>
      <c r="AA249" s="386">
        <f t="shared" si="90"/>
        <v>53.065216331834428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0.15264177015927849</v>
      </c>
      <c r="AD249" s="231">
        <f>(INDEX(Models!$BJ249:$BT249,,AH249)*(1-AF249)+INDEX(Models!$BJ249:$BT249,,AH249+1)*AF249-ERP_i)*AE249*Ramure*Pc/MaxiM</f>
        <v>4.9015140058409116E-4</v>
      </c>
      <c r="AE249" s="305">
        <f t="shared" si="92"/>
        <v>0.7</v>
      </c>
      <c r="AF249" s="177">
        <f t="shared" si="93"/>
        <v>0.38114944307307991</v>
      </c>
      <c r="AG249" s="810">
        <f t="shared" si="99"/>
        <v>0</v>
      </c>
      <c r="AH249" s="176">
        <f t="shared" si="94"/>
        <v>6</v>
      </c>
      <c r="AI249" s="225">
        <f t="shared" si="95"/>
        <v>0.38114944307307991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42">
        <v>41.353999999999999</v>
      </c>
      <c r="C250" s="840"/>
      <c r="D250" s="393">
        <f t="shared" si="77"/>
        <v>42.807118198462668</v>
      </c>
      <c r="E250" s="385">
        <f t="shared" si="100"/>
        <v>47.282173148700259</v>
      </c>
      <c r="F250" s="385">
        <f t="shared" si="78"/>
        <v>47.302371509264887</v>
      </c>
      <c r="G250" s="110">
        <f t="shared" si="101"/>
        <v>0.87231518030494548</v>
      </c>
      <c r="H250" s="414" t="b">
        <f>Wh_hp&gt;='2021'!Maxi_hp</f>
        <v>0</v>
      </c>
      <c r="I250" s="380">
        <f>IF(H250,Wh_hp,'2021'!Maxi_hp)</f>
        <v>52.284492274475099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3.3945714161969787E-2</v>
      </c>
      <c r="M250" s="844"/>
      <c r="N250" s="844"/>
      <c r="O250" s="48">
        <f>IF(t&lt;Tnet,'2021'!Resal+('2021'!Salim-'2021'!Resal)*(1-EXP(('2021'!Tnet-t)/('2021'!Tau_j))),Resal+(Salim-Resal)*(1-EXP((Tnet-t)/(Tau_j))))*Salcycl</f>
        <v>9.4645712162250803E-2</v>
      </c>
      <c r="P250" s="339">
        <f>(INDEX(Models!$BJ250:$BT250,,T250)*(1-R250)+INDEX(Models!$BJ250:$BT250,,T250+1)*R250-ERP_i)*Q250*Ramure*Pc/MaxiM</f>
        <v>5.221952793573525E-4</v>
      </c>
      <c r="Q250" s="305">
        <f t="shared" si="80"/>
        <v>0.7</v>
      </c>
      <c r="R250" s="177">
        <f t="shared" si="81"/>
        <v>0.38185290031281133</v>
      </c>
      <c r="S250" s="810">
        <f t="shared" si="82"/>
        <v>0</v>
      </c>
      <c r="T250" s="176">
        <f t="shared" si="83"/>
        <v>6</v>
      </c>
      <c r="U250" s="251">
        <f t="shared" si="84"/>
        <v>0.38185290031281133</v>
      </c>
      <c r="V250" s="383">
        <f t="shared" si="85"/>
        <v>47.402662206446116</v>
      </c>
      <c r="W250" s="402">
        <f t="shared" si="86"/>
        <v>0</v>
      </c>
      <c r="X250" s="157">
        <f t="shared" si="87"/>
        <v>44797</v>
      </c>
      <c r="Y250" s="385">
        <f t="shared" si="88"/>
        <v>38.703594082347074</v>
      </c>
      <c r="Z250" s="385">
        <f t="shared" si="89"/>
        <v>40.063580949565981</v>
      </c>
      <c r="AA250" s="386">
        <f t="shared" si="90"/>
        <v>47.282173148700259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0.1526704827299738</v>
      </c>
      <c r="AD250" s="231">
        <f>(INDEX(Models!$BJ250:$BT250,,AH250)*(1-AF250)+INDEX(Models!$BJ250:$BT250,,AH250+1)*AF250-ERP_i)*AE250*Ramure*Pc/MaxiM</f>
        <v>5.221952793573525E-4</v>
      </c>
      <c r="AE250" s="305">
        <f t="shared" si="92"/>
        <v>0.7</v>
      </c>
      <c r="AF250" s="177">
        <f t="shared" si="93"/>
        <v>0.38185290031281133</v>
      </c>
      <c r="AG250" s="810">
        <f t="shared" si="99"/>
        <v>0</v>
      </c>
      <c r="AH250" s="176">
        <f t="shared" si="94"/>
        <v>6</v>
      </c>
      <c r="AI250" s="225">
        <f t="shared" si="95"/>
        <v>0.38185290031281133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42">
        <v>32.94</v>
      </c>
      <c r="C251" s="840"/>
      <c r="D251" s="393">
        <f t="shared" si="77"/>
        <v>34.098256239488968</v>
      </c>
      <c r="E251" s="385">
        <f t="shared" si="100"/>
        <v>37.666882096467134</v>
      </c>
      <c r="F251" s="385">
        <f t="shared" si="78"/>
        <v>37.678825363317969</v>
      </c>
      <c r="G251" s="110">
        <f t="shared" si="101"/>
        <v>0.69843855076734673</v>
      </c>
      <c r="H251" s="414" t="b">
        <f>Wh_hp&gt;='2021'!Maxi_hp</f>
        <v>0</v>
      </c>
      <c r="I251" s="380">
        <f>IF(H251,Wh_hp,'2021'!Maxi_hp)</f>
        <v>49.886993974579291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3.3968195656515765E-2</v>
      </c>
      <c r="M251" s="844"/>
      <c r="N251" s="844"/>
      <c r="O251" s="48">
        <f>IF(t&lt;Tnet,'2021'!Resal+('2021'!Salim-'2021'!Resal)*(1-EXP(('2021'!Tnet-t)/('2021'!Tau_j))),Resal+(Salim-Resal)*(1-EXP((Tnet-t)/(Tau_j))))*Salcycl</f>
        <v>9.4741737525253625E-2</v>
      </c>
      <c r="P251" s="339">
        <f>(INDEX(Models!$BJ251:$BT251,,T251)*(1-R251)+INDEX(Models!$BJ251:$BT251,,T251+1)*R251-ERP_i)*Q251*Ramure*Pc/MaxiM</f>
        <v>5.566470934527751E-4</v>
      </c>
      <c r="Q251" s="305">
        <f t="shared" si="80"/>
        <v>0.7</v>
      </c>
      <c r="R251" s="177">
        <f t="shared" si="81"/>
        <v>0.38253047244718302</v>
      </c>
      <c r="S251" s="810">
        <f t="shared" si="82"/>
        <v>0</v>
      </c>
      <c r="T251" s="176">
        <f t="shared" si="83"/>
        <v>6</v>
      </c>
      <c r="U251" s="251">
        <f t="shared" si="84"/>
        <v>0.38253047244718302</v>
      </c>
      <c r="V251" s="383">
        <f t="shared" si="85"/>
        <v>47.151038098243497</v>
      </c>
      <c r="W251" s="402">
        <f t="shared" si="86"/>
        <v>0</v>
      </c>
      <c r="X251" s="157">
        <f t="shared" si="87"/>
        <v>44798</v>
      </c>
      <c r="Y251" s="385">
        <f t="shared" si="88"/>
        <v>30.831100061658656</v>
      </c>
      <c r="Z251" s="385">
        <f t="shared" si="89"/>
        <v>31.915201883660021</v>
      </c>
      <c r="AA251" s="386">
        <f t="shared" si="90"/>
        <v>37.666882096467134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0.1526986013356964</v>
      </c>
      <c r="AD251" s="231">
        <f>(INDEX(Models!$BJ251:$BT251,,AH251)*(1-AF251)+INDEX(Models!$BJ251:$BT251,,AH251+1)*AF251-ERP_i)*AE251*Ramure*Pc/MaxiM</f>
        <v>5.566470934527751E-4</v>
      </c>
      <c r="AE251" s="305">
        <f t="shared" si="92"/>
        <v>0.7</v>
      </c>
      <c r="AF251" s="177">
        <f t="shared" si="93"/>
        <v>0.38253047244718302</v>
      </c>
      <c r="AG251" s="810">
        <f t="shared" si="99"/>
        <v>0</v>
      </c>
      <c r="AH251" s="176">
        <f t="shared" si="94"/>
        <v>6</v>
      </c>
      <c r="AI251" s="225">
        <f t="shared" si="95"/>
        <v>0.38253047244718302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42">
        <v>41.317999999999998</v>
      </c>
      <c r="C252" s="840"/>
      <c r="D252" s="393">
        <f t="shared" si="77"/>
        <v>42.771843915303421</v>
      </c>
      <c r="E252" s="385">
        <f t="shared" si="100"/>
        <v>47.253209938786192</v>
      </c>
      <c r="F252" s="385">
        <f t="shared" si="78"/>
        <v>47.276503367881354</v>
      </c>
      <c r="G252" s="110">
        <f t="shared" si="101"/>
        <v>0.88097968420235662</v>
      </c>
      <c r="H252" s="414" t="b">
        <f>Wh_hp&gt;='2021'!Maxi_hp</f>
        <v>0</v>
      </c>
      <c r="I252" s="380">
        <f>IF(H252,Wh_hp,'2021'!Maxi_hp)</f>
        <v>51.84257425367344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3.3990676627884464E-2</v>
      </c>
      <c r="M252" s="844"/>
      <c r="N252" s="844"/>
      <c r="O252" s="48">
        <f>IF(t&lt;Tnet,'2021'!Resal+('2021'!Salim-'2021'!Resal)*(1-EXP(('2021'!Tnet-t)/('2021'!Tau_j))),Resal+(Salim-Resal)*(1-EXP((Tnet-t)/(Tau_j))))*Salcycl</f>
        <v>9.4837282573779033E-2</v>
      </c>
      <c r="P252" s="339">
        <f>(INDEX(Models!$BJ252:$BT252,,T252)*(1-R252)+INDEX(Models!$BJ252:$BT252,,T252+1)*R252-ERP_i)*Q252*Ramure*Pc/MaxiM</f>
        <v>5.9355193677749834E-4</v>
      </c>
      <c r="Q252" s="305">
        <f t="shared" si="80"/>
        <v>0.7</v>
      </c>
      <c r="R252" s="177">
        <f t="shared" si="81"/>
        <v>0.38318302124830594</v>
      </c>
      <c r="S252" s="810">
        <f t="shared" si="82"/>
        <v>0</v>
      </c>
      <c r="T252" s="176">
        <f t="shared" si="83"/>
        <v>6</v>
      </c>
      <c r="U252" s="251">
        <f t="shared" si="84"/>
        <v>0.38318302124830594</v>
      </c>
      <c r="V252" s="383">
        <f t="shared" si="85"/>
        <v>46.895327945824327</v>
      </c>
      <c r="W252" s="402">
        <f t="shared" si="86"/>
        <v>0</v>
      </c>
      <c r="X252" s="157">
        <f t="shared" si="87"/>
        <v>44799</v>
      </c>
      <c r="Y252" s="385">
        <f t="shared" si="88"/>
        <v>38.675546574541954</v>
      </c>
      <c r="Z252" s="385">
        <f t="shared" si="89"/>
        <v>40.036411283831661</v>
      </c>
      <c r="AA252" s="386">
        <f t="shared" si="90"/>
        <v>47.253209938786192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0.15272610398962264</v>
      </c>
      <c r="AD252" s="231">
        <f>(INDEX(Models!$BJ252:$BT252,,AH252)*(1-AF252)+INDEX(Models!$BJ252:$BT252,,AH252+1)*AF252-ERP_i)*AE252*Ramure*Pc/MaxiM</f>
        <v>5.9355193677749834E-4</v>
      </c>
      <c r="AE252" s="305">
        <f t="shared" si="92"/>
        <v>0.7</v>
      </c>
      <c r="AF252" s="177">
        <f t="shared" si="93"/>
        <v>0.38318302124830594</v>
      </c>
      <c r="AG252" s="810">
        <f t="shared" si="99"/>
        <v>0</v>
      </c>
      <c r="AH252" s="176">
        <f t="shared" si="94"/>
        <v>6</v>
      </c>
      <c r="AI252" s="225">
        <f t="shared" si="95"/>
        <v>0.38318302124830594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42">
        <v>45.777999999999999</v>
      </c>
      <c r="C253" s="840"/>
      <c r="D253" s="393">
        <f t="shared" si="77"/>
        <v>47.389879412266282</v>
      </c>
      <c r="E253" s="385">
        <f t="shared" si="100"/>
        <v>52.36059259370068</v>
      </c>
      <c r="F253" s="385">
        <f t="shared" si="78"/>
        <v>52.392884111456645</v>
      </c>
      <c r="G253" s="110">
        <f t="shared" si="101"/>
        <v>0.98159970232922378</v>
      </c>
      <c r="H253" s="414" t="b">
        <f>Wh_hp&gt;='2021'!Maxi_hp</f>
        <v>1</v>
      </c>
      <c r="I253" s="380">
        <f>IF(H253,Wh_hp,'2021'!Maxi_hp)</f>
        <v>52.392884111456645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3.4013157076088096E-2</v>
      </c>
      <c r="M253" s="844"/>
      <c r="N253" s="844"/>
      <c r="O253" s="48">
        <f>IF(t&lt;Tnet,'2021'!Resal+('2021'!Salim-'2021'!Resal)*(1-EXP(('2021'!Tnet-t)/('2021'!Tau_j))),Resal+(Salim-Resal)*(1-EXP((Tnet-t)/(Tau_j))))*Salcycl</f>
        <v>9.4932332412762027E-2</v>
      </c>
      <c r="P253" s="339">
        <f>(INDEX(Models!$BJ253:$BT253,,T253)*(1-R253)+INDEX(Models!$BJ253:$BT253,,T253+1)*R253-ERP_i)*Q253*Ramure*Pc/MaxiM</f>
        <v>6.3295727600934306E-4</v>
      </c>
      <c r="Q253" s="305">
        <f t="shared" si="80"/>
        <v>0.7</v>
      </c>
      <c r="R253" s="177">
        <f t="shared" si="81"/>
        <v>0.38381138671650372</v>
      </c>
      <c r="S253" s="810">
        <f t="shared" si="82"/>
        <v>0</v>
      </c>
      <c r="T253" s="176">
        <f t="shared" si="83"/>
        <v>6</v>
      </c>
      <c r="U253" s="251">
        <f t="shared" si="84"/>
        <v>0.38381138671650372</v>
      </c>
      <c r="V253" s="383">
        <f t="shared" si="85"/>
        <v>46.635342740445012</v>
      </c>
      <c r="W253" s="402">
        <f t="shared" si="86"/>
        <v>0</v>
      </c>
      <c r="X253" s="157">
        <f t="shared" si="87"/>
        <v>44800</v>
      </c>
      <c r="Y253" s="385">
        <f t="shared" si="88"/>
        <v>42.853452865909986</v>
      </c>
      <c r="Z253" s="385">
        <f t="shared" si="89"/>
        <v>44.3623566716482</v>
      </c>
      <c r="AA253" s="386">
        <f t="shared" si="90"/>
        <v>52.36059259370068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0.15275296794510923</v>
      </c>
      <c r="AD253" s="231">
        <f>(INDEX(Models!$BJ253:$BT253,,AH253)*(1-AF253)+INDEX(Models!$BJ253:$BT253,,AH253+1)*AF253-ERP_i)*AE253*Ramure*Pc/MaxiM</f>
        <v>6.3295727600934306E-4</v>
      </c>
      <c r="AE253" s="305">
        <f t="shared" si="92"/>
        <v>0.7</v>
      </c>
      <c r="AF253" s="177">
        <f t="shared" si="93"/>
        <v>0.38381138671650372</v>
      </c>
      <c r="AG253" s="810">
        <f t="shared" si="99"/>
        <v>0</v>
      </c>
      <c r="AH253" s="176">
        <f t="shared" si="94"/>
        <v>6</v>
      </c>
      <c r="AI253" s="225">
        <f t="shared" si="95"/>
        <v>0.38381138671650372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42">
        <v>43.527999999999999</v>
      </c>
      <c r="C254" s="840"/>
      <c r="D254" s="393">
        <f t="shared" si="77"/>
        <v>45.061703792949679</v>
      </c>
      <c r="E254" s="385">
        <f t="shared" si="100"/>
        <v>49.793416378668937</v>
      </c>
      <c r="F254" s="385">
        <f t="shared" si="78"/>
        <v>49.824129622017409</v>
      </c>
      <c r="G254" s="110">
        <f t="shared" si="101"/>
        <v>0.93863735509442903</v>
      </c>
      <c r="H254" s="414" t="b">
        <f>Wh_hp&gt;='2021'!Maxi_hp</f>
        <v>0</v>
      </c>
      <c r="I254" s="380">
        <f>IF(H254,Wh_hp,'2021'!Maxi_hp)</f>
        <v>52.208096554658312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3.4035637001138874E-2</v>
      </c>
      <c r="M254" s="844"/>
      <c r="N254" s="844"/>
      <c r="O254" s="48">
        <f>IF(t&lt;Tnet,'2021'!Resal+('2021'!Salim-'2021'!Resal)*(1-EXP(('2021'!Tnet-t)/('2021'!Tau_j))),Resal+(Salim-Resal)*(1-EXP((Tnet-t)/(Tau_j))))*Salcycl</f>
        <v>9.5026871619644154E-2</v>
      </c>
      <c r="P254" s="339">
        <f>(INDEX(Models!$BJ254:$BT254,,T254)*(1-R254)+INDEX(Models!$BJ254:$BT254,,T254+1)*R254-ERP_i)*Q254*Ramure*Pc/MaxiM</f>
        <v>6.756034984663152E-4</v>
      </c>
      <c r="Q254" s="305">
        <f t="shared" si="80"/>
        <v>0.7</v>
      </c>
      <c r="R254" s="177">
        <f t="shared" si="81"/>
        <v>0.38441638707855158</v>
      </c>
      <c r="S254" s="810">
        <f t="shared" si="82"/>
        <v>0</v>
      </c>
      <c r="T254" s="176">
        <f t="shared" si="83"/>
        <v>6</v>
      </c>
      <c r="U254" s="251">
        <f t="shared" si="84"/>
        <v>0.38441638707855158</v>
      </c>
      <c r="V254" s="383">
        <f t="shared" si="85"/>
        <v>46.370861554362271</v>
      </c>
      <c r="W254" s="402">
        <f t="shared" si="86"/>
        <v>0</v>
      </c>
      <c r="X254" s="157">
        <f t="shared" si="87"/>
        <v>44801</v>
      </c>
      <c r="Y254" s="385">
        <f t="shared" si="88"/>
        <v>40.750191520322936</v>
      </c>
      <c r="Z254" s="385">
        <f t="shared" si="89"/>
        <v>42.186019568892711</v>
      </c>
      <c r="AA254" s="386">
        <f t="shared" si="90"/>
        <v>49.793416378668937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0.15277916967824623</v>
      </c>
      <c r="AD254" s="231">
        <f>(INDEX(Models!$BJ254:$BT254,,AH254)*(1-AF254)+INDEX(Models!$BJ254:$BT254,,AH254+1)*AF254-ERP_i)*AE254*Ramure*Pc/MaxiM</f>
        <v>6.756034984663152E-4</v>
      </c>
      <c r="AE254" s="305">
        <f t="shared" si="92"/>
        <v>0.7</v>
      </c>
      <c r="AF254" s="177">
        <f t="shared" si="93"/>
        <v>0.38441638707855158</v>
      </c>
      <c r="AG254" s="810">
        <f t="shared" si="99"/>
        <v>0</v>
      </c>
      <c r="AH254" s="176">
        <f t="shared" si="94"/>
        <v>6</v>
      </c>
      <c r="AI254" s="225">
        <f t="shared" si="95"/>
        <v>0.38441638707855158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42">
        <v>30.619</v>
      </c>
      <c r="C255" s="840"/>
      <c r="D255" s="393">
        <f t="shared" si="77"/>
        <v>31.698594418518958</v>
      </c>
      <c r="E255" s="385">
        <f t="shared" si="100"/>
        <v>35.030750368592194</v>
      </c>
      <c r="F255" s="385">
        <f t="shared" si="78"/>
        <v>35.043891075270757</v>
      </c>
      <c r="G255" s="110">
        <f t="shared" si="101"/>
        <v>0.66393185278939282</v>
      </c>
      <c r="H255" s="414" t="b">
        <f>Wh_hp&gt;='2021'!Maxi_hp</f>
        <v>0</v>
      </c>
      <c r="I255" s="380">
        <f>IF(H255,Wh_hp,'2021'!Maxi_hp)</f>
        <v>51.532555468070449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3.405811640304901E-2</v>
      </c>
      <c r="M255" s="844"/>
      <c r="N255" s="844"/>
      <c r="O255" s="48">
        <f>IF(t&lt;Tnet,'2021'!Resal+('2021'!Salim-'2021'!Resal)*(1-EXP(('2021'!Tnet-t)/('2021'!Tau_j))),Resal+(Salim-Resal)*(1-EXP((Tnet-t)/(Tau_j))))*Salcycl</f>
        <v>9.5120884223501359E-2</v>
      </c>
      <c r="P255" s="339">
        <f>(INDEX(Models!$BJ255:$BT255,,T255)*(1-R255)+INDEX(Models!$BJ255:$BT255,,T255+1)*R255-ERP_i)*Q255*Ramure*Pc/MaxiM</f>
        <v>7.2079252262741665E-4</v>
      </c>
      <c r="Q255" s="305">
        <f t="shared" si="80"/>
        <v>0.7</v>
      </c>
      <c r="R255" s="177">
        <f t="shared" si="81"/>
        <v>0.38499881884038728</v>
      </c>
      <c r="S255" s="810">
        <f t="shared" si="82"/>
        <v>0</v>
      </c>
      <c r="T255" s="176">
        <f t="shared" si="83"/>
        <v>6</v>
      </c>
      <c r="U255" s="251">
        <f t="shared" si="84"/>
        <v>0.38499881884038728</v>
      </c>
      <c r="V255" s="383">
        <f t="shared" si="85"/>
        <v>46.101730803772142</v>
      </c>
      <c r="W255" s="402">
        <f t="shared" si="86"/>
        <v>0</v>
      </c>
      <c r="X255" s="157">
        <f t="shared" si="87"/>
        <v>44802</v>
      </c>
      <c r="Y255" s="385">
        <f t="shared" si="88"/>
        <v>28.667114647790736</v>
      </c>
      <c r="Z255" s="385">
        <f t="shared" si="89"/>
        <v>29.677887598207079</v>
      </c>
      <c r="AA255" s="386">
        <f t="shared" si="90"/>
        <v>35.030750368592194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0.15280468485723264</v>
      </c>
      <c r="AD255" s="231">
        <f>(INDEX(Models!$BJ255:$BT255,,AH255)*(1-AF255)+INDEX(Models!$BJ255:$BT255,,AH255+1)*AF255-ERP_i)*AE255*Ramure*Pc/MaxiM</f>
        <v>7.2079252262741665E-4</v>
      </c>
      <c r="AE255" s="305">
        <f t="shared" si="92"/>
        <v>0.7</v>
      </c>
      <c r="AF255" s="177">
        <f t="shared" si="93"/>
        <v>0.38499881884038728</v>
      </c>
      <c r="AG255" s="810">
        <f t="shared" si="99"/>
        <v>0</v>
      </c>
      <c r="AH255" s="176">
        <f t="shared" si="94"/>
        <v>6</v>
      </c>
      <c r="AI255" s="225">
        <f t="shared" si="95"/>
        <v>0.38499881884038728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42">
        <v>43.383000000000003</v>
      </c>
      <c r="C256" s="840"/>
      <c r="D256" s="393">
        <f t="shared" si="77"/>
        <v>44.913685125373426</v>
      </c>
      <c r="E256" s="385">
        <f t="shared" si="100"/>
        <v>49.640138863705076</v>
      </c>
      <c r="F256" s="385">
        <f t="shared" si="78"/>
        <v>49.675408673842291</v>
      </c>
      <c r="G256" s="110">
        <f t="shared" si="101"/>
        <v>0.94659776861299061</v>
      </c>
      <c r="H256" s="414" t="b">
        <f>Wh_hp&gt;='2021'!Maxi_hp</f>
        <v>0</v>
      </c>
      <c r="I256" s="380">
        <f>IF(H256,Wh_hp,'2021'!Maxi_hp)</f>
        <v>50.059646058487751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3.4080595281830606E-2</v>
      </c>
      <c r="M256" s="844"/>
      <c r="N256" s="844"/>
      <c r="O256" s="48">
        <f>IF(t&lt;Tnet,'2021'!Resal+('2021'!Salim-'2021'!Resal)*(1-EXP(('2021'!Tnet-t)/('2021'!Tau_j))),Resal+(Salim-Resal)*(1-EXP((Tnet-t)/(Tau_j))))*Salcycl</f>
        <v>9.5214353676747049E-2</v>
      </c>
      <c r="P256" s="339">
        <f>(INDEX(Models!$BJ256:$BT256,,T256)*(1-R256)+INDEX(Models!$BJ256:$BT256,,T256+1)*R256-ERP_i)*Q256*Ramure*Pc/MaxiM</f>
        <v>7.6857852252496678E-4</v>
      </c>
      <c r="Q256" s="305">
        <f t="shared" si="80"/>
        <v>0.7</v>
      </c>
      <c r="R256" s="177">
        <f t="shared" si="81"/>
        <v>0.38555945688932702</v>
      </c>
      <c r="S256" s="810">
        <f t="shared" si="82"/>
        <v>0</v>
      </c>
      <c r="T256" s="176">
        <f t="shared" si="83"/>
        <v>6</v>
      </c>
      <c r="U256" s="251">
        <f t="shared" si="84"/>
        <v>0.38555945688932702</v>
      </c>
      <c r="V256" s="383">
        <f t="shared" si="85"/>
        <v>45.827761861134988</v>
      </c>
      <c r="W256" s="402">
        <f t="shared" si="86"/>
        <v>0</v>
      </c>
      <c r="X256" s="157">
        <f t="shared" si="87"/>
        <v>44803</v>
      </c>
      <c r="Y256" s="385">
        <f t="shared" si="88"/>
        <v>40.620448012668497</v>
      </c>
      <c r="Z256" s="385">
        <f t="shared" si="89"/>
        <v>42.053661842025534</v>
      </c>
      <c r="AA256" s="386">
        <f t="shared" si="90"/>
        <v>49.640138863705076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0.15282948829997089</v>
      </c>
      <c r="AD256" s="231">
        <f>(INDEX(Models!$BJ256:$BT256,,AH256)*(1-AF256)+INDEX(Models!$BJ256:$BT256,,AH256+1)*AF256-ERP_i)*AE256*Ramure*Pc/MaxiM</f>
        <v>7.6857852252496678E-4</v>
      </c>
      <c r="AE256" s="305">
        <f t="shared" si="92"/>
        <v>0.7</v>
      </c>
      <c r="AF256" s="177">
        <f t="shared" si="93"/>
        <v>0.38555945688932702</v>
      </c>
      <c r="AG256" s="810">
        <f t="shared" si="99"/>
        <v>0</v>
      </c>
      <c r="AH256" s="176">
        <f t="shared" si="94"/>
        <v>6</v>
      </c>
      <c r="AI256" s="225">
        <f t="shared" si="95"/>
        <v>0.38555945688932702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42">
        <v>23.019000000000002</v>
      </c>
      <c r="C257" s="840"/>
      <c r="D257" s="393">
        <f t="shared" si="77"/>
        <v>23.831735428217833</v>
      </c>
      <c r="E257" s="385">
        <f t="shared" si="100"/>
        <v>26.342352987726137</v>
      </c>
      <c r="F257" s="385">
        <f t="shared" si="78"/>
        <v>26.348684285671592</v>
      </c>
      <c r="G257" s="110">
        <f t="shared" si="101"/>
        <v>0.50507789626698851</v>
      </c>
      <c r="H257" s="414" t="b">
        <f>Wh_hp&gt;='2021'!Maxi_hp</f>
        <v>0</v>
      </c>
      <c r="I257" s="380">
        <f>IF(H257,Wh_hp,'2021'!Maxi_hp)</f>
        <v>49.645877215409939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3.4103073637495762E-2</v>
      </c>
      <c r="M257" s="844"/>
      <c r="N257" s="844"/>
      <c r="O257" s="48">
        <f>IF(t&lt;Tnet,'2021'!Resal+('2021'!Salim-'2021'!Resal)*(1-EXP(('2021'!Tnet-t)/('2021'!Tau_j))),Resal+(Salim-Resal)*(1-EXP((Tnet-t)/(Tau_j))))*Salcycl</f>
        <v>9.5307262820374952E-2</v>
      </c>
      <c r="P257" s="339">
        <f>(INDEX(Models!$BJ257:$BT257,,T257)*(1-R257)+INDEX(Models!$BJ257:$BT257,,T257+1)*R257-ERP_i)*Q257*Ramure*Pc/MaxiM</f>
        <v>8.1901890254051435E-4</v>
      </c>
      <c r="Q257" s="305">
        <f t="shared" si="80"/>
        <v>0.7</v>
      </c>
      <c r="R257" s="177">
        <f t="shared" si="81"/>
        <v>0.38609905464108718</v>
      </c>
      <c r="S257" s="810">
        <f t="shared" si="82"/>
        <v>0</v>
      </c>
      <c r="T257" s="176">
        <f t="shared" si="83"/>
        <v>6</v>
      </c>
      <c r="U257" s="251">
        <f t="shared" si="84"/>
        <v>0.38609905464108718</v>
      </c>
      <c r="V257" s="383">
        <f t="shared" si="85"/>
        <v>45.548766207431669</v>
      </c>
      <c r="W257" s="402">
        <f t="shared" si="86"/>
        <v>0</v>
      </c>
      <c r="X257" s="157">
        <f t="shared" si="87"/>
        <v>44804</v>
      </c>
      <c r="Y257" s="385">
        <f t="shared" si="88"/>
        <v>21.554792296745674</v>
      </c>
      <c r="Z257" s="385">
        <f t="shared" si="89"/>
        <v>22.315830714897722</v>
      </c>
      <c r="AA257" s="386">
        <f t="shared" si="90"/>
        <v>26.342352987726137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0.15285355392149369</v>
      </c>
      <c r="AD257" s="231">
        <f>(INDEX(Models!$BJ257:$BT257,,AH257)*(1-AF257)+INDEX(Models!$BJ257:$BT257,,AH257+1)*AF257-ERP_i)*AE257*Ramure*Pc/MaxiM</f>
        <v>8.1901890254051435E-4</v>
      </c>
      <c r="AE257" s="305">
        <f t="shared" si="92"/>
        <v>0.7</v>
      </c>
      <c r="AF257" s="177">
        <f t="shared" si="93"/>
        <v>0.38609905464108718</v>
      </c>
      <c r="AG257" s="810">
        <f t="shared" si="99"/>
        <v>0</v>
      </c>
      <c r="AH257" s="176">
        <f t="shared" si="94"/>
        <v>6</v>
      </c>
      <c r="AI257" s="225">
        <f t="shared" si="95"/>
        <v>0.38609905464108718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42">
        <v>37.866</v>
      </c>
      <c r="C258" s="840"/>
      <c r="D258" s="393">
        <f t="shared" si="77"/>
        <v>39.203853107028444</v>
      </c>
      <c r="E258" s="385">
        <f t="shared" si="100"/>
        <v>43.338310308320338</v>
      </c>
      <c r="F258" s="385">
        <f t="shared" si="78"/>
        <v>43.367302218351071</v>
      </c>
      <c r="G258" s="110">
        <f t="shared" si="101"/>
        <v>0.83637810858738015</v>
      </c>
      <c r="H258" s="414" t="b">
        <f>Wh_hp&gt;='2021'!Maxi_hp</f>
        <v>0</v>
      </c>
      <c r="I258" s="380">
        <f>IF(H258,Wh_hp,'2021'!Maxi_hp)</f>
        <v>49.265411804235086</v>
      </c>
      <c r="J258" s="85">
        <f>IF(H258,An,'2021'!An_max)</f>
        <v>2020</v>
      </c>
      <c r="K258" s="197">
        <f t="shared" si="79"/>
        <v>44805</v>
      </c>
      <c r="L258" s="147">
        <f>IF(t&lt;Tvie,1-EXP((T0-t)*PertePVj)+'2021'!Pspv,1-EXP((T0-t)*PertePVj)+Pspv)</f>
        <v>3.4125551470056803E-2</v>
      </c>
      <c r="M258" s="844"/>
      <c r="N258" s="844"/>
      <c r="O258" s="48">
        <f>IF(t&lt;Tnet,'2021'!Resal+('2021'!Salim-'2021'!Resal)*(1-EXP(('2021'!Tnet-t)/('2021'!Tau_j))),Resal+(Salim-Resal)*(1-EXP((Tnet-t)/(Tau_j))))*Salcycl</f>
        <v>9.5399593843836131E-2</v>
      </c>
      <c r="P258" s="339">
        <f>(INDEX(Models!$BJ258:$BT258,,T258)*(1-R258)+INDEX(Models!$BJ258:$BT258,,T258+1)*R258-ERP_i)*Q258*Ramure*Pc/MaxiM</f>
        <v>8.7217453887608327E-4</v>
      </c>
      <c r="Q258" s="305">
        <f t="shared" si="80"/>
        <v>0.7</v>
      </c>
      <c r="R258" s="177">
        <f t="shared" si="81"/>
        <v>0.38661834422718439</v>
      </c>
      <c r="S258" s="810">
        <f t="shared" si="82"/>
        <v>0</v>
      </c>
      <c r="T258" s="176">
        <f t="shared" si="83"/>
        <v>6</v>
      </c>
      <c r="U258" s="251">
        <f t="shared" si="84"/>
        <v>0.38661834422718439</v>
      </c>
      <c r="V258" s="383">
        <f t="shared" si="85"/>
        <v>45.264555433406244</v>
      </c>
      <c r="W258" s="402">
        <f t="shared" si="86"/>
        <v>0</v>
      </c>
      <c r="X258" s="157">
        <f t="shared" si="87"/>
        <v>44805</v>
      </c>
      <c r="Y258" s="385">
        <f t="shared" si="88"/>
        <v>35.460038269553152</v>
      </c>
      <c r="Z258" s="385">
        <f t="shared" si="89"/>
        <v>36.712885741540404</v>
      </c>
      <c r="AA258" s="386">
        <f t="shared" si="90"/>
        <v>43.338310308320338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0.15287685467303389</v>
      </c>
      <c r="AD258" s="231">
        <f>(INDEX(Models!$BJ258:$BT258,,AH258)*(1-AF258)+INDEX(Models!$BJ258:$BT258,,AH258+1)*AF258-ERP_i)*AE258*Ramure*Pc/MaxiM</f>
        <v>8.7217453887608327E-4</v>
      </c>
      <c r="AE258" s="305">
        <f t="shared" si="92"/>
        <v>0.7</v>
      </c>
      <c r="AF258" s="177">
        <f t="shared" si="93"/>
        <v>0.38661834422718439</v>
      </c>
      <c r="AG258" s="810">
        <f t="shared" si="99"/>
        <v>0</v>
      </c>
      <c r="AH258" s="176">
        <f t="shared" si="94"/>
        <v>6</v>
      </c>
      <c r="AI258" s="225">
        <f t="shared" si="95"/>
        <v>0.38661834422718439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42">
        <v>37.058</v>
      </c>
      <c r="C259" s="840"/>
      <c r="D259" s="393">
        <f t="shared" si="77"/>
        <v>38.368198341172928</v>
      </c>
      <c r="E259" s="385">
        <f t="shared" si="100"/>
        <v>42.418828629412786</v>
      </c>
      <c r="F259" s="385">
        <f t="shared" si="78"/>
        <v>42.448318189691079</v>
      </c>
      <c r="G259" s="110">
        <f t="shared" si="101"/>
        <v>0.82377750526258864</v>
      </c>
      <c r="H259" s="414" t="b">
        <f>Wh_hp&gt;='2021'!Maxi_hp</f>
        <v>0</v>
      </c>
      <c r="I259" s="380">
        <f>IF(H259,Wh_hp,'2021'!Maxi_hp)</f>
        <v>50.515118630968004</v>
      </c>
      <c r="J259" s="85">
        <f>IF(H259,An,'2021'!An_max)</f>
        <v>2019</v>
      </c>
      <c r="K259" s="197">
        <f t="shared" si="79"/>
        <v>44806</v>
      </c>
      <c r="L259" s="147">
        <f>IF(t&lt;Tvie,1-EXP((T0-t)*PertePVj)+'2021'!Pspv,1-EXP((T0-t)*PertePVj)+Pspv)</f>
        <v>3.414802877952583E-2</v>
      </c>
      <c r="M259" s="844"/>
      <c r="N259" s="844"/>
      <c r="O259" s="48">
        <f>IF(t&lt;Tnet,'2021'!Resal+('2021'!Salim-'2021'!Resal)*(1-EXP(('2021'!Tnet-t)/('2021'!Tau_j))),Resal+(Salim-Resal)*(1-EXP((Tnet-t)/(Tau_j))))*Salcycl</f>
        <v>9.5491328240761217E-2</v>
      </c>
      <c r="P259" s="339">
        <f>(INDEX(Models!$BJ259:$BT259,,T259)*(1-R259)+INDEX(Models!$BJ259:$BT259,,T259+1)*R259-ERP_i)*Q259*Ramure*Pc/MaxiM</f>
        <v>9.2811003787783867E-4</v>
      </c>
      <c r="Q259" s="305">
        <f t="shared" si="80"/>
        <v>0.7</v>
      </c>
      <c r="R259" s="177">
        <f t="shared" si="81"/>
        <v>0.38711803671854966</v>
      </c>
      <c r="S259" s="810">
        <f t="shared" si="82"/>
        <v>0</v>
      </c>
      <c r="T259" s="176">
        <f t="shared" si="83"/>
        <v>6</v>
      </c>
      <c r="U259" s="251">
        <f t="shared" si="84"/>
        <v>0.38711803671854966</v>
      </c>
      <c r="V259" s="383">
        <f t="shared" si="85"/>
        <v>44.974941248456012</v>
      </c>
      <c r="W259" s="402">
        <f t="shared" si="86"/>
        <v>0</v>
      </c>
      <c r="X259" s="157">
        <f t="shared" si="87"/>
        <v>44806</v>
      </c>
      <c r="Y259" s="385">
        <f t="shared" si="88"/>
        <v>34.705975084081416</v>
      </c>
      <c r="Z259" s="385">
        <f t="shared" si="89"/>
        <v>35.933016775051044</v>
      </c>
      <c r="AA259" s="386">
        <f t="shared" si="90"/>
        <v>42.418828629412786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0.15289936247472288</v>
      </c>
      <c r="AD259" s="231">
        <f>(INDEX(Models!$BJ259:$BT259,,AH259)*(1-AF259)+INDEX(Models!$BJ259:$BT259,,AH259+1)*AF259-ERP_i)*AE259*Ramure*Pc/MaxiM</f>
        <v>9.2811003787783867E-4</v>
      </c>
      <c r="AE259" s="305">
        <f t="shared" si="92"/>
        <v>0.7</v>
      </c>
      <c r="AF259" s="177">
        <f t="shared" si="93"/>
        <v>0.38711803671854966</v>
      </c>
      <c r="AG259" s="810">
        <f t="shared" si="99"/>
        <v>0</v>
      </c>
      <c r="AH259" s="176">
        <f t="shared" si="94"/>
        <v>6</v>
      </c>
      <c r="AI259" s="225">
        <f t="shared" si="95"/>
        <v>0.38711803671854966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42">
        <v>34.938000000000002</v>
      </c>
      <c r="C260" s="840"/>
      <c r="D260" s="393">
        <f t="shared" si="77"/>
        <v>36.174086835556274</v>
      </c>
      <c r="E260" s="385">
        <f t="shared" si="100"/>
        <v>39.997108311353912</v>
      </c>
      <c r="F260" s="385">
        <f t="shared" si="78"/>
        <v>40.02430474687565</v>
      </c>
      <c r="G260" s="110">
        <f t="shared" si="101"/>
        <v>0.78172470208741496</v>
      </c>
      <c r="H260" s="414" t="b">
        <f>Wh_hp&gt;='2021'!Maxi_hp</f>
        <v>0</v>
      </c>
      <c r="I260" s="380">
        <f>IF(H260,Wh_hp,'2021'!Maxi_hp)</f>
        <v>52.304535343399913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3.4170505565915055E-2</v>
      </c>
      <c r="M260" s="844"/>
      <c r="N260" s="844"/>
      <c r="O260" s="48">
        <f>IF(t&lt;Tnet,'2021'!Resal+('2021'!Salim-'2021'!Resal)*(1-EXP(('2021'!Tnet-t)/('2021'!Tau_j))),Resal+(Salim-Resal)*(1-EXP((Tnet-t)/(Tau_j))))*Salcycl</f>
        <v>9.5582446761842674E-2</v>
      </c>
      <c r="P260" s="339">
        <f>(INDEX(Models!$BJ260:$BT260,,T260)*(1-R260)+INDEX(Models!$BJ260:$BT260,,T260+1)*R260-ERP_i)*Q260*Ramure*Pc/MaxiM</f>
        <v>9.8689401359376466E-4</v>
      </c>
      <c r="Q260" s="305">
        <f t="shared" si="80"/>
        <v>0.7</v>
      </c>
      <c r="R260" s="177">
        <f t="shared" si="81"/>
        <v>0.38759882238145005</v>
      </c>
      <c r="S260" s="810">
        <f t="shared" si="82"/>
        <v>0</v>
      </c>
      <c r="T260" s="176">
        <f t="shared" si="83"/>
        <v>6</v>
      </c>
      <c r="U260" s="251">
        <f t="shared" si="84"/>
        <v>0.38759882238145005</v>
      </c>
      <c r="V260" s="383">
        <f t="shared" si="85"/>
        <v>44.679735465193801</v>
      </c>
      <c r="W260" s="402">
        <f t="shared" si="86"/>
        <v>0</v>
      </c>
      <c r="X260" s="157">
        <f t="shared" si="87"/>
        <v>44807</v>
      </c>
      <c r="Y260" s="385">
        <f t="shared" si="88"/>
        <v>32.722987644347256</v>
      </c>
      <c r="Z260" s="385">
        <f t="shared" si="89"/>
        <v>33.880708585650368</v>
      </c>
      <c r="AA260" s="386">
        <f t="shared" si="90"/>
        <v>39.997108311353912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0.15292104814405533</v>
      </c>
      <c r="AD260" s="231">
        <f>(INDEX(Models!$BJ260:$BT260,,AH260)*(1-AF260)+INDEX(Models!$BJ260:$BT260,,AH260+1)*AF260-ERP_i)*AE260*Ramure*Pc/MaxiM</f>
        <v>9.8689401359376466E-4</v>
      </c>
      <c r="AE260" s="305">
        <f t="shared" si="92"/>
        <v>0.7</v>
      </c>
      <c r="AF260" s="177">
        <f t="shared" si="93"/>
        <v>0.38759882238145005</v>
      </c>
      <c r="AG260" s="810">
        <f t="shared" si="99"/>
        <v>0</v>
      </c>
      <c r="AH260" s="176">
        <f t="shared" si="94"/>
        <v>6</v>
      </c>
      <c r="AI260" s="225">
        <f t="shared" si="95"/>
        <v>0.38759882238145005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42">
        <v>41.042999999999999</v>
      </c>
      <c r="C261" s="840"/>
      <c r="D261" s="393">
        <f t="shared" si="77"/>
        <v>42.496067255480668</v>
      </c>
      <c r="E261" s="385">
        <f t="shared" si="100"/>
        <v>46.991922099269708</v>
      </c>
      <c r="F261" s="385">
        <f t="shared" si="78"/>
        <v>47.035948681879518</v>
      </c>
      <c r="G261" s="110">
        <f t="shared" si="101"/>
        <v>0.92473759385739862</v>
      </c>
      <c r="H261" s="414" t="b">
        <f>Wh_hp&gt;='2021'!Maxi_hp</f>
        <v>0</v>
      </c>
      <c r="I261" s="380">
        <f>IF(H261,Wh_hp,'2021'!Maxi_hp)</f>
        <v>50.854678643962053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3.419298182923669E-2</v>
      </c>
      <c r="M261" s="844"/>
      <c r="N261" s="844"/>
      <c r="O261" s="48">
        <f>IF(t&lt;Tnet,'2021'!Resal+('2021'!Salim-'2021'!Resal)*(1-EXP(('2021'!Tnet-t)/('2021'!Tau_j))),Resal+(Salim-Resal)*(1-EXP((Tnet-t)/(Tau_j))))*Salcycl</f>
        <v>9.5672929366277346E-2</v>
      </c>
      <c r="P261" s="339">
        <f>(INDEX(Models!$BJ261:$BT261,,T261)*(1-R261)+INDEX(Models!$BJ261:$BT261,,T261+1)*R261-ERP_i)*Q261*Ramure*Pc/MaxiM</f>
        <v>1.0486076498800439E-3</v>
      </c>
      <c r="Q261" s="305">
        <f t="shared" si="80"/>
        <v>0.7</v>
      </c>
      <c r="R261" s="177">
        <f t="shared" si="81"/>
        <v>0.38806137096206145</v>
      </c>
      <c r="S261" s="810">
        <f t="shared" si="82"/>
        <v>0</v>
      </c>
      <c r="T261" s="176">
        <f t="shared" si="83"/>
        <v>6</v>
      </c>
      <c r="U261" s="251">
        <f t="shared" si="84"/>
        <v>0.38806137096206145</v>
      </c>
      <c r="V261" s="383">
        <f t="shared" si="85"/>
        <v>44.37839988666974</v>
      </c>
      <c r="W261" s="402">
        <f t="shared" si="86"/>
        <v>0</v>
      </c>
      <c r="X261" s="157">
        <f t="shared" si="87"/>
        <v>44808</v>
      </c>
      <c r="Y261" s="385">
        <f t="shared" si="88"/>
        <v>38.443841275837045</v>
      </c>
      <c r="Z261" s="385">
        <f t="shared" si="89"/>
        <v>39.804889126452622</v>
      </c>
      <c r="AA261" s="386">
        <f t="shared" si="90"/>
        <v>46.991922099269708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0.15294188132238115</v>
      </c>
      <c r="AD261" s="231">
        <f>(INDEX(Models!$BJ261:$BT261,,AH261)*(1-AF261)+INDEX(Models!$BJ261:$BT261,,AH261+1)*AF261-ERP_i)*AE261*Ramure*Pc/MaxiM</f>
        <v>1.0486076498800439E-3</v>
      </c>
      <c r="AE261" s="305">
        <f t="shared" si="92"/>
        <v>0.7</v>
      </c>
      <c r="AF261" s="177">
        <f t="shared" si="93"/>
        <v>0.38806137096206145</v>
      </c>
      <c r="AG261" s="810">
        <f t="shared" si="99"/>
        <v>0</v>
      </c>
      <c r="AH261" s="176">
        <f t="shared" si="94"/>
        <v>6</v>
      </c>
      <c r="AI261" s="225">
        <f t="shared" si="95"/>
        <v>0.38806137096206145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42">
        <v>35.777999999999999</v>
      </c>
      <c r="C262" s="840"/>
      <c r="D262" s="393">
        <f t="shared" si="77"/>
        <v>37.045529751346962</v>
      </c>
      <c r="E262" s="385">
        <f t="shared" si="100"/>
        <v>40.968816495105131</v>
      </c>
      <c r="F262" s="385">
        <f t="shared" si="78"/>
        <v>41.002156216156109</v>
      </c>
      <c r="G262" s="110">
        <f t="shared" si="101"/>
        <v>0.81158653459857399</v>
      </c>
      <c r="H262" s="414" t="b">
        <f>Wh_hp&gt;='2021'!Maxi_hp</f>
        <v>0</v>
      </c>
      <c r="I262" s="380">
        <f>IF(H262,Wh_hp,'2021'!Maxi_hp)</f>
        <v>50.429886494595955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3.4215457569502727E-2</v>
      </c>
      <c r="M262" s="844"/>
      <c r="N262" s="844"/>
      <c r="O262" s="48">
        <f>IF(t&lt;Tnet,'2021'!Resal+('2021'!Salim-'2021'!Resal)*(1-EXP(('2021'!Tnet-t)/('2021'!Tau_j))),Resal+(Salim-Resal)*(1-EXP((Tnet-t)/(Tau_j))))*Salcycl</f>
        <v>9.5762755173240496E-2</v>
      </c>
      <c r="P262" s="339">
        <f>(INDEX(Models!$BJ262:$BT262,,T262)*(1-R262)+INDEX(Models!$BJ262:$BT262,,T262+1)*R262-ERP_i)*Q262*Ramure*Pc/MaxiM</f>
        <v>1.1120595937121577E-3</v>
      </c>
      <c r="Q262" s="305">
        <f t="shared" si="80"/>
        <v>0.7</v>
      </c>
      <c r="R262" s="177">
        <f t="shared" si="81"/>
        <v>0.38850633199627893</v>
      </c>
      <c r="S262" s="810">
        <f t="shared" si="82"/>
        <v>0</v>
      </c>
      <c r="T262" s="176">
        <f t="shared" si="83"/>
        <v>6</v>
      </c>
      <c r="U262" s="251">
        <f t="shared" si="84"/>
        <v>0.38850633199627893</v>
      </c>
      <c r="V262" s="383">
        <f t="shared" si="85"/>
        <v>44.070834535048306</v>
      </c>
      <c r="W262" s="402">
        <f t="shared" si="86"/>
        <v>0</v>
      </c>
      <c r="X262" s="157">
        <f t="shared" si="87"/>
        <v>44809</v>
      </c>
      <c r="Y262" s="385">
        <f t="shared" si="88"/>
        <v>33.514801348058917</v>
      </c>
      <c r="Z262" s="385">
        <f t="shared" si="89"/>
        <v>34.702151334619039</v>
      </c>
      <c r="AA262" s="386">
        <f t="shared" si="90"/>
        <v>40.968816495105131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0.15296183040178427</v>
      </c>
      <c r="AD262" s="231">
        <f>(INDEX(Models!$BJ262:$BT262,,AH262)*(1-AF262)+INDEX(Models!$BJ262:$BT262,,AH262+1)*AF262-ERP_i)*AE262*Ramure*Pc/MaxiM</f>
        <v>1.1120595937121577E-3</v>
      </c>
      <c r="AE262" s="305">
        <f t="shared" si="92"/>
        <v>0.7</v>
      </c>
      <c r="AF262" s="177">
        <f t="shared" si="93"/>
        <v>0.38850633199627893</v>
      </c>
      <c r="AG262" s="810">
        <f t="shared" si="99"/>
        <v>0</v>
      </c>
      <c r="AH262" s="176">
        <f t="shared" si="94"/>
        <v>6</v>
      </c>
      <c r="AI262" s="225">
        <f t="shared" si="95"/>
        <v>0.38850633199627893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42">
        <v>41.448999999999998</v>
      </c>
      <c r="C263" s="840"/>
      <c r="D263" s="393">
        <f t="shared" si="77"/>
        <v>42.918438616668702</v>
      </c>
      <c r="E263" s="385">
        <f t="shared" si="100"/>
        <v>47.468372417417825</v>
      </c>
      <c r="F263" s="385">
        <f t="shared" si="78"/>
        <v>47.520039735672746</v>
      </c>
      <c r="G263" s="110">
        <f t="shared" si="101"/>
        <v>0.94715960351728912</v>
      </c>
      <c r="H263" s="414" t="b">
        <f>Wh_hp&gt;='2021'!Maxi_hp</f>
        <v>0</v>
      </c>
      <c r="I263" s="380">
        <f>IF(H263,Wh_hp,'2021'!Maxi_hp)</f>
        <v>52.380979169463878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3.4237932786725489E-2</v>
      </c>
      <c r="M263" s="844"/>
      <c r="N263" s="844"/>
      <c r="O263" s="48">
        <f>IF(t&lt;Tnet,'2021'!Resal+('2021'!Salim-'2021'!Resal)*(1-EXP(('2021'!Tnet-t)/('2021'!Tau_j))),Resal+(Salim-Resal)*(1-EXP((Tnet-t)/(Tau_j))))*Salcycl</f>
        <v>9.5851902414913967E-2</v>
      </c>
      <c r="P263" s="339">
        <f>(INDEX(Models!$BJ263:$BT263,,T263)*(1-R263)+INDEX(Models!$BJ263:$BT263,,T263+1)*R263-ERP_i)*Q263*Ramure*Pc/MaxiM</f>
        <v>1.1758972429899081E-3</v>
      </c>
      <c r="Q263" s="305">
        <f t="shared" si="80"/>
        <v>0.7</v>
      </c>
      <c r="R263" s="177">
        <f t="shared" si="81"/>
        <v>0.38893433514158426</v>
      </c>
      <c r="S263" s="810">
        <f t="shared" si="82"/>
        <v>0</v>
      </c>
      <c r="T263" s="176">
        <f t="shared" si="83"/>
        <v>6</v>
      </c>
      <c r="U263" s="251">
        <f t="shared" si="84"/>
        <v>0.38893433514158426</v>
      </c>
      <c r="V263" s="383">
        <f t="shared" si="85"/>
        <v>43.757485555482432</v>
      </c>
      <c r="W263" s="402">
        <f t="shared" si="86"/>
        <v>0</v>
      </c>
      <c r="X263" s="157">
        <f t="shared" si="87"/>
        <v>44810</v>
      </c>
      <c r="Y263" s="385">
        <f t="shared" si="88"/>
        <v>38.830028317134406</v>
      </c>
      <c r="Z263" s="385">
        <f t="shared" si="89"/>
        <v>40.206619865676871</v>
      </c>
      <c r="AA263" s="386">
        <f t="shared" si="90"/>
        <v>47.468372417417825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0.15298086245477338</v>
      </c>
      <c r="AD263" s="231">
        <f>(INDEX(Models!$BJ263:$BT263,,AH263)*(1-AF263)+INDEX(Models!$BJ263:$BT263,,AH263+1)*AF263-ERP_i)*AE263*Ramure*Pc/MaxiM</f>
        <v>1.1758972429899081E-3</v>
      </c>
      <c r="AE263" s="305">
        <f t="shared" si="92"/>
        <v>0.7</v>
      </c>
      <c r="AF263" s="177">
        <f t="shared" si="93"/>
        <v>0.38893433514158426</v>
      </c>
      <c r="AG263" s="810">
        <f t="shared" si="99"/>
        <v>0</v>
      </c>
      <c r="AH263" s="176">
        <f t="shared" si="94"/>
        <v>6</v>
      </c>
      <c r="AI263" s="225">
        <f t="shared" si="95"/>
        <v>0.38893433514158426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42">
        <v>33.878999999999998</v>
      </c>
      <c r="C264" s="840"/>
      <c r="D264" s="393">
        <f t="shared" si="77"/>
        <v>35.0808854296098</v>
      </c>
      <c r="E264" s="385">
        <f t="shared" si="100"/>
        <v>38.803728677900423</v>
      </c>
      <c r="F264" s="385">
        <f t="shared" si="78"/>
        <v>38.836749551687362</v>
      </c>
      <c r="G264" s="110">
        <f t="shared" si="101"/>
        <v>0.77962163675348972</v>
      </c>
      <c r="H264" s="414" t="b">
        <f>Wh_hp&gt;='2021'!Maxi_hp</f>
        <v>0</v>
      </c>
      <c r="I264" s="380">
        <f>IF(H264,Wh_hp,'2021'!Maxi_hp)</f>
        <v>46.142327737727975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3.4260407480917188E-2</v>
      </c>
      <c r="M264" s="844"/>
      <c r="N264" s="844"/>
      <c r="O264" s="48">
        <f>IF(t&lt;Tnet,'2021'!Resal+('2021'!Salim-'2021'!Resal)*(1-EXP(('2021'!Tnet-t)/('2021'!Tau_j))),Resal+(Salim-Resal)*(1-EXP((Tnet-t)/(Tau_j))))*Salcycl</f>
        <v>9.5940348392624067E-2</v>
      </c>
      <c r="P264" s="339">
        <f>(INDEX(Models!$BJ264:$BT264,,T264)*(1-R264)+INDEX(Models!$BJ264:$BT264,,T264+1)*R264-ERP_i)*Q264*Ramure*Pc/MaxiM</f>
        <v>1.2401364341107579E-3</v>
      </c>
      <c r="Q264" s="305">
        <f t="shared" si="80"/>
        <v>0.7</v>
      </c>
      <c r="R264" s="177">
        <f t="shared" si="81"/>
        <v>0.38934599052801433</v>
      </c>
      <c r="S264" s="810">
        <f t="shared" si="82"/>
        <v>0</v>
      </c>
      <c r="T264" s="176">
        <f t="shared" si="83"/>
        <v>6</v>
      </c>
      <c r="U264" s="251">
        <f t="shared" si="84"/>
        <v>0.38934599052801433</v>
      </c>
      <c r="V264" s="383">
        <f t="shared" si="85"/>
        <v>43.438737635290003</v>
      </c>
      <c r="W264" s="402">
        <f t="shared" si="86"/>
        <v>0</v>
      </c>
      <c r="X264" s="157">
        <f t="shared" si="87"/>
        <v>44811</v>
      </c>
      <c r="Y264" s="385">
        <f t="shared" si="88"/>
        <v>31.74076926599885</v>
      </c>
      <c r="Z264" s="385">
        <f t="shared" si="89"/>
        <v>32.866799199155395</v>
      </c>
      <c r="AA264" s="386">
        <f t="shared" si="90"/>
        <v>38.803728677900423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0.15299894316924861</v>
      </c>
      <c r="AD264" s="231">
        <f>(INDEX(Models!$BJ264:$BT264,,AH264)*(1-AF264)+INDEX(Models!$BJ264:$BT264,,AH264+1)*AF264-ERP_i)*AE264*Ramure*Pc/MaxiM</f>
        <v>1.2401364341107579E-3</v>
      </c>
      <c r="AE264" s="305">
        <f t="shared" si="92"/>
        <v>0.7</v>
      </c>
      <c r="AF264" s="177">
        <f t="shared" si="93"/>
        <v>0.38934599052801433</v>
      </c>
      <c r="AG264" s="810">
        <f t="shared" si="99"/>
        <v>0</v>
      </c>
      <c r="AH264" s="176">
        <f t="shared" si="94"/>
        <v>6</v>
      </c>
      <c r="AI264" s="225">
        <f t="shared" si="95"/>
        <v>0.38934599052801433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42">
        <v>31.804000000000002</v>
      </c>
      <c r="C265" s="840"/>
      <c r="D265" s="393">
        <f t="shared" si="77"/>
        <v>32.933039495466687</v>
      </c>
      <c r="E265" s="385">
        <f t="shared" si="100"/>
        <v>36.431484631364341</v>
      </c>
      <c r="F265" s="385">
        <f t="shared" si="78"/>
        <v>36.461229137546319</v>
      </c>
      <c r="G265" s="110">
        <f t="shared" si="101"/>
        <v>0.73729451844929272</v>
      </c>
      <c r="H265" s="414" t="b">
        <f>Wh_hp&gt;='2021'!Maxi_hp</f>
        <v>0</v>
      </c>
      <c r="I265" s="380">
        <f>IF(H265,Wh_hp,'2021'!Maxi_hp)</f>
        <v>44.813483820108679</v>
      </c>
      <c r="J265" s="85">
        <f>IF(H265,An,'2021'!An_max)</f>
        <v>2019</v>
      </c>
      <c r="K265" s="197">
        <f t="shared" si="79"/>
        <v>44812</v>
      </c>
      <c r="L265" s="147">
        <f>IF(t&lt;Tvie,1-EXP((T0-t)*PertePVj)+'2021'!Pspv,1-EXP((T0-t)*PertePVj)+Pspv)</f>
        <v>3.4282881652089814E-2</v>
      </c>
      <c r="M265" s="844"/>
      <c r="N265" s="844"/>
      <c r="O265" s="48">
        <f>IF(t&lt;Tnet,'2021'!Resal+('2021'!Salim-'2021'!Resal)*(1-EXP(('2021'!Tnet-t)/('2021'!Tau_j))),Resal+(Salim-Resal)*(1-EXP((Tnet-t)/(Tau_j))))*Salcycl</f>
        <v>9.6028069437658778E-2</v>
      </c>
      <c r="P265" s="339">
        <f>(INDEX(Models!$BJ265:$BT265,,T265)*(1-R265)+INDEX(Models!$BJ265:$BT265,,T265+1)*R265-ERP_i)*Q265*Ramure*Pc/MaxiM</f>
        <v>1.3047913720687896E-3</v>
      </c>
      <c r="Q265" s="305">
        <f t="shared" si="80"/>
        <v>0.7</v>
      </c>
      <c r="R265" s="177">
        <f t="shared" si="81"/>
        <v>0.38974188912549101</v>
      </c>
      <c r="S265" s="810">
        <f t="shared" si="82"/>
        <v>0</v>
      </c>
      <c r="T265" s="176">
        <f t="shared" si="83"/>
        <v>6</v>
      </c>
      <c r="U265" s="251">
        <f t="shared" si="84"/>
        <v>0.38974188912549101</v>
      </c>
      <c r="V265" s="383">
        <f t="shared" si="85"/>
        <v>43.114975268063539</v>
      </c>
      <c r="W265" s="402">
        <f t="shared" si="86"/>
        <v>0</v>
      </c>
      <c r="X265" s="157">
        <f t="shared" si="87"/>
        <v>44812</v>
      </c>
      <c r="Y265" s="385">
        <f t="shared" si="88"/>
        <v>29.799020362429875</v>
      </c>
      <c r="Z265" s="385">
        <f t="shared" si="89"/>
        <v>30.856883238652969</v>
      </c>
      <c r="AA265" s="386">
        <f t="shared" si="90"/>
        <v>36.431484631364341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0.15301603679121351</v>
      </c>
      <c r="AD265" s="231">
        <f>(INDEX(Models!$BJ265:$BT265,,AH265)*(1-AF265)+INDEX(Models!$BJ265:$BT265,,AH265+1)*AF265-ERP_i)*AE265*Ramure*Pc/MaxiM</f>
        <v>1.3047913720687896E-3</v>
      </c>
      <c r="AE265" s="305">
        <f t="shared" si="92"/>
        <v>0.7</v>
      </c>
      <c r="AF265" s="177">
        <f t="shared" si="93"/>
        <v>0.38974188912549101</v>
      </c>
      <c r="AG265" s="810">
        <f t="shared" si="99"/>
        <v>0</v>
      </c>
      <c r="AH265" s="176">
        <f t="shared" si="94"/>
        <v>6</v>
      </c>
      <c r="AI265" s="225">
        <f t="shared" si="95"/>
        <v>0.38974188912549101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42">
        <v>23.585000000000001</v>
      </c>
      <c r="C266" s="840"/>
      <c r="D266" s="393">
        <f t="shared" si="77"/>
        <v>24.422833997731338</v>
      </c>
      <c r="E266" s="385">
        <f t="shared" si="100"/>
        <v>27.01984777074243</v>
      </c>
      <c r="F266" s="385">
        <f t="shared" si="78"/>
        <v>27.03313825161819</v>
      </c>
      <c r="G266" s="110">
        <f t="shared" si="101"/>
        <v>0.55073985937702852</v>
      </c>
      <c r="H266" s="414" t="b">
        <f>Wh_hp&gt;='2021'!Maxi_hp</f>
        <v>0</v>
      </c>
      <c r="I266" s="380">
        <f>IF(H266,Wh_hp,'2021'!Maxi_hp)</f>
        <v>47.032768626922746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3.4305355300255691E-2</v>
      </c>
      <c r="M266" s="844"/>
      <c r="N266" s="844"/>
      <c r="O266" s="48">
        <f>IF(t&lt;Tnet,'2021'!Resal+('2021'!Salim-'2021'!Resal)*(1-EXP(('2021'!Tnet-t)/('2021'!Tau_j))),Resal+(Salim-Resal)*(1-EXP((Tnet-t)/(Tau_j))))*Salcycl</f>
        <v>9.6115040878327326E-2</v>
      </c>
      <c r="P266" s="339">
        <f>(INDEX(Models!$BJ266:$BT266,,T266)*(1-R266)+INDEX(Models!$BJ266:$BT266,,T266+1)*R266-ERP_i)*Q266*Ramure*Pc/MaxiM</f>
        <v>1.3698745316169198E-3</v>
      </c>
      <c r="Q266" s="305">
        <f t="shared" si="80"/>
        <v>0.7</v>
      </c>
      <c r="R266" s="177">
        <f t="shared" si="81"/>
        <v>0.39012260312497515</v>
      </c>
      <c r="S266" s="810">
        <f t="shared" si="82"/>
        <v>0</v>
      </c>
      <c r="T266" s="176">
        <f t="shared" si="83"/>
        <v>6</v>
      </c>
      <c r="U266" s="251">
        <f t="shared" si="84"/>
        <v>0.39012260312497515</v>
      </c>
      <c r="V266" s="383">
        <f t="shared" si="85"/>
        <v>42.786582756603181</v>
      </c>
      <c r="W266" s="402">
        <f t="shared" si="86"/>
        <v>0</v>
      </c>
      <c r="X266" s="157">
        <f t="shared" si="87"/>
        <v>44813</v>
      </c>
      <c r="Y266" s="385">
        <f t="shared" si="88"/>
        <v>22.099867440618706</v>
      </c>
      <c r="Z266" s="385">
        <f t="shared" si="89"/>
        <v>22.884943560487528</v>
      </c>
      <c r="AA266" s="386">
        <f t="shared" si="90"/>
        <v>27.01984777074243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0.15303210607767564</v>
      </c>
      <c r="AD266" s="231">
        <f>(INDEX(Models!$BJ266:$BT266,,AH266)*(1-AF266)+INDEX(Models!$BJ266:$BT266,,AH266+1)*AF266-ERP_i)*AE266*Ramure*Pc/MaxiM</f>
        <v>1.3698745316169198E-3</v>
      </c>
      <c r="AE266" s="305">
        <f t="shared" si="92"/>
        <v>0.7</v>
      </c>
      <c r="AF266" s="177">
        <f t="shared" si="93"/>
        <v>0.39012260312497515</v>
      </c>
      <c r="AG266" s="810">
        <f t="shared" si="99"/>
        <v>0</v>
      </c>
      <c r="AH266" s="176">
        <f t="shared" si="94"/>
        <v>6</v>
      </c>
      <c r="AI266" s="225">
        <f t="shared" si="95"/>
        <v>0.39012260312497515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42">
        <v>41.258000000000003</v>
      </c>
      <c r="C267" s="840"/>
      <c r="D267" s="393">
        <f t="shared" si="77"/>
        <v>42.724644257612731</v>
      </c>
      <c r="E267" s="385">
        <f t="shared" si="100"/>
        <v>47.272297780642475</v>
      </c>
      <c r="F267" s="385">
        <f t="shared" si="78"/>
        <v>47.337511417487256</v>
      </c>
      <c r="G267" s="110">
        <f t="shared" si="101"/>
        <v>0.97177339324387568</v>
      </c>
      <c r="H267" s="414" t="b">
        <f>Wh_hp&gt;='2021'!Maxi_hp</f>
        <v>1</v>
      </c>
      <c r="I267" s="380">
        <f>IF(H267,Wh_hp,'2021'!Maxi_hp)</f>
        <v>47.337511417487256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3.4327828425426921E-2</v>
      </c>
      <c r="M267" s="844"/>
      <c r="N267" s="844"/>
      <c r="O267" s="48">
        <f>IF(t&lt;Tnet,'2021'!Resal+('2021'!Salim-'2021'!Resal)*(1-EXP(('2021'!Tnet-t)/('2021'!Tau_j))),Resal+(Salim-Resal)*(1-EXP((Tnet-t)/(Tau_j))))*Salcycl</f>
        <v>9.620123701479899E-2</v>
      </c>
      <c r="P267" s="339">
        <f>(INDEX(Models!$BJ267:$BT267,,T267)*(1-R267)+INDEX(Models!$BJ267:$BT267,,T267+1)*R267-ERP_i)*Q267*Ramure*Pc/MaxiM</f>
        <v>1.4353965491223405E-3</v>
      </c>
      <c r="Q267" s="305">
        <f t="shared" si="80"/>
        <v>0.7</v>
      </c>
      <c r="R267" s="177">
        <f t="shared" si="81"/>
        <v>0.39048868633110706</v>
      </c>
      <c r="S267" s="810">
        <f t="shared" si="82"/>
        <v>0</v>
      </c>
      <c r="T267" s="176">
        <f t="shared" si="83"/>
        <v>6</v>
      </c>
      <c r="U267" s="251">
        <f t="shared" si="84"/>
        <v>0.39048868633110706</v>
      </c>
      <c r="V267" s="383">
        <f t="shared" si="85"/>
        <v>42.453944221861683</v>
      </c>
      <c r="W267" s="402">
        <f t="shared" si="86"/>
        <v>0</v>
      </c>
      <c r="X267" s="157">
        <f t="shared" si="87"/>
        <v>44814</v>
      </c>
      <c r="Y267" s="385">
        <f t="shared" si="88"/>
        <v>38.663011804610655</v>
      </c>
      <c r="Z267" s="385">
        <f t="shared" si="89"/>
        <v>40.037409115319981</v>
      </c>
      <c r="AA267" s="386">
        <f t="shared" si="90"/>
        <v>47.272297780642475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0.15304711226212284</v>
      </c>
      <c r="AD267" s="231">
        <f>(INDEX(Models!$BJ267:$BT267,,AH267)*(1-AF267)+INDEX(Models!$BJ267:$BT267,,AH267+1)*AF267-ERP_i)*AE267*Ramure*Pc/MaxiM</f>
        <v>1.4353965491223405E-3</v>
      </c>
      <c r="AE267" s="305">
        <f t="shared" si="92"/>
        <v>0.7</v>
      </c>
      <c r="AF267" s="177">
        <f t="shared" si="93"/>
        <v>0.39048868633110706</v>
      </c>
      <c r="AG267" s="810">
        <f t="shared" si="99"/>
        <v>0</v>
      </c>
      <c r="AH267" s="176">
        <f t="shared" si="94"/>
        <v>6</v>
      </c>
      <c r="AI267" s="225">
        <f t="shared" si="95"/>
        <v>0.39048868633110706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42">
        <v>40.038000000000004</v>
      </c>
      <c r="C268" s="840"/>
      <c r="D268" s="393">
        <f t="shared" si="77"/>
        <v>41.462240440407378</v>
      </c>
      <c r="E268" s="385">
        <f t="shared" si="100"/>
        <v>45.879857339083713</v>
      </c>
      <c r="F268" s="385">
        <f t="shared" si="78"/>
        <v>45.943857200999055</v>
      </c>
      <c r="G268" s="110">
        <f t="shared" si="101"/>
        <v>0.95052433922304103</v>
      </c>
      <c r="H268" s="414" t="b">
        <f>Wh_hp&gt;='2021'!Maxi_hp</f>
        <v>0</v>
      </c>
      <c r="I268" s="380">
        <f>IF(H268,Wh_hp,'2021'!Maxi_hp)</f>
        <v>47.199084138700862</v>
      </c>
      <c r="J268" s="85">
        <f>IF(H268,An,'2021'!An_max)</f>
        <v>2019</v>
      </c>
      <c r="K268" s="197">
        <f t="shared" si="79"/>
        <v>44815</v>
      </c>
      <c r="L268" s="147">
        <f>IF(t&lt;Tvie,1-EXP((T0-t)*PertePVj)+'2021'!Pspv,1-EXP((T0-t)*PertePVj)+Pspv)</f>
        <v>3.4350301027615715E-2</v>
      </c>
      <c r="M268" s="844"/>
      <c r="N268" s="844"/>
      <c r="O268" s="48">
        <f>IF(t&lt;Tnet,'2021'!Resal+('2021'!Salim-'2021'!Resal)*(1-EXP(('2021'!Tnet-t)/('2021'!Tau_j))),Resal+(Salim-Resal)*(1-EXP((Tnet-t)/(Tau_j))))*Salcycl</f>
        <v>9.6286631103211812E-2</v>
      </c>
      <c r="P268" s="339">
        <f>(INDEX(Models!$BJ268:$BT268,,T268)*(1-R268)+INDEX(Models!$BJ268:$BT268,,T268+1)*R268-ERP_i)*Q268*Ramure*Pc/MaxiM</f>
        <v>1.498714450807585E-3</v>
      </c>
      <c r="Q268" s="305">
        <f t="shared" si="80"/>
        <v>0.7</v>
      </c>
      <c r="R268" s="177">
        <f t="shared" si="81"/>
        <v>0.39084067456417643</v>
      </c>
      <c r="S268" s="810">
        <f t="shared" si="82"/>
        <v>0</v>
      </c>
      <c r="T268" s="176">
        <f t="shared" si="83"/>
        <v>6</v>
      </c>
      <c r="U268" s="251">
        <f t="shared" si="84"/>
        <v>0.39084067456417643</v>
      </c>
      <c r="V268" s="383">
        <f t="shared" si="85"/>
        <v>42.117555446687298</v>
      </c>
      <c r="W268" s="402">
        <f t="shared" si="86"/>
        <v>0</v>
      </c>
      <c r="X268" s="157">
        <f t="shared" si="87"/>
        <v>44815</v>
      </c>
      <c r="Y268" s="385">
        <f t="shared" si="88"/>
        <v>37.522675050640437</v>
      </c>
      <c r="Z268" s="385">
        <f t="shared" si="89"/>
        <v>38.85743980510837</v>
      </c>
      <c r="AA268" s="386">
        <f t="shared" si="90"/>
        <v>45.879857339083713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0.15306101503487349</v>
      </c>
      <c r="AD268" s="231">
        <f>(INDEX(Models!$BJ268:$BT268,,AH268)*(1-AF268)+INDEX(Models!$BJ268:$BT268,,AH268+1)*AF268-ERP_i)*AE268*Ramure*Pc/MaxiM</f>
        <v>1.498714450807585E-3</v>
      </c>
      <c r="AE268" s="305">
        <f t="shared" si="92"/>
        <v>0.7</v>
      </c>
      <c r="AF268" s="177">
        <f t="shared" si="93"/>
        <v>0.39084067456417643</v>
      </c>
      <c r="AG268" s="810">
        <f t="shared" si="99"/>
        <v>0</v>
      </c>
      <c r="AH268" s="176">
        <f t="shared" si="94"/>
        <v>6</v>
      </c>
      <c r="AI268" s="225">
        <f t="shared" si="95"/>
        <v>0.39084067456417643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42">
        <v>28.435000000000002</v>
      </c>
      <c r="C269" s="840"/>
      <c r="D269" s="393">
        <f t="shared" si="77"/>
        <v>29.44718128080078</v>
      </c>
      <c r="E269" s="385">
        <f t="shared" si="100"/>
        <v>32.587696551154075</v>
      </c>
      <c r="F269" s="385">
        <f t="shared" si="78"/>
        <v>32.615345072202793</v>
      </c>
      <c r="G269" s="110">
        <f t="shared" si="101"/>
        <v>0.68013958133123009</v>
      </c>
      <c r="H269" s="414" t="b">
        <f>Wh_hp&gt;='2021'!Maxi_hp</f>
        <v>0</v>
      </c>
      <c r="I269" s="380">
        <f>IF(H269,Wh_hp,'2021'!Maxi_hp)</f>
        <v>47.524500971153024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3.4372773106834176E-2</v>
      </c>
      <c r="M269" s="844"/>
      <c r="N269" s="844"/>
      <c r="O269" s="48">
        <f>IF(t&lt;Tnet,'2021'!Resal+('2021'!Salim-'2021'!Resal)*(1-EXP(('2021'!Tnet-t)/('2021'!Tau_j))),Resal+(Salim-Resal)*(1-EXP((Tnet-t)/(Tau_j))))*Salcycl</f>
        <v>9.6371195350475711E-2</v>
      </c>
      <c r="P269" s="339">
        <f>(INDEX(Models!$BJ269:$BT269,,T269)*(1-R269)+INDEX(Models!$BJ269:$BT269,,T269+1)*R269-ERP_i)*Q269*Ramure*Pc/MaxiM</f>
        <v>1.5590198972805119E-3</v>
      </c>
      <c r="Q269" s="305">
        <f t="shared" si="80"/>
        <v>0.7</v>
      </c>
      <c r="R269" s="177">
        <f t="shared" si="81"/>
        <v>0.39117908606944601</v>
      </c>
      <c r="S269" s="810">
        <f t="shared" si="82"/>
        <v>0</v>
      </c>
      <c r="T269" s="176">
        <f t="shared" si="83"/>
        <v>6</v>
      </c>
      <c r="U269" s="251">
        <f t="shared" si="84"/>
        <v>0.39117908606944601</v>
      </c>
      <c r="V269" s="383">
        <f t="shared" si="85"/>
        <v>41.777831592379464</v>
      </c>
      <c r="W269" s="402">
        <f t="shared" si="86"/>
        <v>0</v>
      </c>
      <c r="X269" s="157">
        <f t="shared" si="87"/>
        <v>44816</v>
      </c>
      <c r="Y269" s="385">
        <f t="shared" si="88"/>
        <v>26.650707850279165</v>
      </c>
      <c r="Z269" s="385">
        <f t="shared" si="89"/>
        <v>27.599374901664532</v>
      </c>
      <c r="AA269" s="386">
        <f t="shared" si="90"/>
        <v>32.587696551154075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0.15307377254047994</v>
      </c>
      <c r="AD269" s="231">
        <f>(INDEX(Models!$BJ269:$BT269,,AH269)*(1-AF269)+INDEX(Models!$BJ269:$BT269,,AH269+1)*AF269-ERP_i)*AE269*Ramure*Pc/MaxiM</f>
        <v>1.5590198972805119E-3</v>
      </c>
      <c r="AE269" s="305">
        <f t="shared" si="92"/>
        <v>0.7</v>
      </c>
      <c r="AF269" s="177">
        <f t="shared" si="93"/>
        <v>0.39117908606944601</v>
      </c>
      <c r="AG269" s="810">
        <f t="shared" si="99"/>
        <v>0</v>
      </c>
      <c r="AH269" s="176">
        <f t="shared" si="94"/>
        <v>6</v>
      </c>
      <c r="AI269" s="225">
        <f t="shared" si="95"/>
        <v>0.39117908606944601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42">
        <v>13.36</v>
      </c>
      <c r="C270" s="840"/>
      <c r="D270" s="393">
        <f t="shared" si="77"/>
        <v>13.835888779709473</v>
      </c>
      <c r="E270" s="385">
        <f t="shared" si="100"/>
        <v>15.312892288181652</v>
      </c>
      <c r="F270" s="385">
        <f t="shared" si="78"/>
        <v>15.313685421553243</v>
      </c>
      <c r="G270" s="110">
        <f t="shared" si="101"/>
        <v>0.32192705975161162</v>
      </c>
      <c r="H270" s="414" t="b">
        <f>Wh_hp&gt;='2021'!Maxi_hp</f>
        <v>0</v>
      </c>
      <c r="I270" s="380">
        <f>IF(H270,Wh_hp,'2021'!Maxi_hp)</f>
        <v>45.574582062693615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3.4395244663094626E-2</v>
      </c>
      <c r="M270" s="844"/>
      <c r="N270" s="844"/>
      <c r="O270" s="48">
        <f>IF(t&lt;Tnet,'2021'!Resal+('2021'!Salim-'2021'!Resal)*(1-EXP(('2021'!Tnet-t)/('2021'!Tau_j))),Resal+(Salim-Resal)*(1-EXP((Tnet-t)/(Tau_j))))*Salcycl</f>
        <v>9.6454900921109366E-2</v>
      </c>
      <c r="P270" s="339">
        <f>(INDEX(Models!$BJ270:$BT270,,T270)*(1-R270)+INDEX(Models!$BJ270:$BT270,,T270+1)*R270-ERP_i)*Q270*Ramure*Pc/MaxiM</f>
        <v>1.6162404447707557E-3</v>
      </c>
      <c r="Q270" s="305">
        <f t="shared" si="80"/>
        <v>0.7</v>
      </c>
      <c r="R270" s="177">
        <f t="shared" si="81"/>
        <v>0.39150442193201407</v>
      </c>
      <c r="S270" s="810">
        <f t="shared" si="82"/>
        <v>0</v>
      </c>
      <c r="T270" s="176">
        <f t="shared" si="83"/>
        <v>6</v>
      </c>
      <c r="U270" s="251">
        <f t="shared" si="84"/>
        <v>0.39150442193201407</v>
      </c>
      <c r="V270" s="383">
        <f t="shared" si="85"/>
        <v>41.435155847366836</v>
      </c>
      <c r="W270" s="402">
        <f t="shared" si="86"/>
        <v>0</v>
      </c>
      <c r="X270" s="157">
        <f t="shared" si="87"/>
        <v>44817</v>
      </c>
      <c r="Y270" s="385">
        <f t="shared" si="88"/>
        <v>12.522650889820563</v>
      </c>
      <c r="Z270" s="385">
        <f t="shared" si="89"/>
        <v>12.968712944512513</v>
      </c>
      <c r="AA270" s="386">
        <f t="shared" si="90"/>
        <v>15.312892288181652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0.15308534139421559</v>
      </c>
      <c r="AD270" s="231">
        <f>(INDEX(Models!$BJ270:$BT270,,AH270)*(1-AF270)+INDEX(Models!$BJ270:$BT270,,AH270+1)*AF270-ERP_i)*AE270*Ramure*Pc/MaxiM</f>
        <v>1.6162404447707557E-3</v>
      </c>
      <c r="AE270" s="305">
        <f t="shared" si="92"/>
        <v>0.7</v>
      </c>
      <c r="AF270" s="177">
        <f t="shared" si="93"/>
        <v>0.39150442193201407</v>
      </c>
      <c r="AG270" s="810">
        <f t="shared" si="99"/>
        <v>0</v>
      </c>
      <c r="AH270" s="176">
        <f t="shared" si="94"/>
        <v>6</v>
      </c>
      <c r="AI270" s="225">
        <f t="shared" si="95"/>
        <v>0.39150442193201407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42">
        <v>31.805</v>
      </c>
      <c r="C271" s="840"/>
      <c r="D271" s="393">
        <f t="shared" ref="D271:D334" si="102">Wh/(1-Ppv)</f>
        <v>32.938673914195505</v>
      </c>
      <c r="E271" s="385">
        <f t="shared" si="100"/>
        <v>36.458272325131119</v>
      </c>
      <c r="F271" s="385">
        <f t="shared" ref="F271:F334" si="103">Wh_sa/(1-Pvg*MEDIAN((-Sdif+Wh/Env_an)/Csdif,0,1))</f>
        <v>36.499557428950595</v>
      </c>
      <c r="G271" s="110">
        <f t="shared" si="101"/>
        <v>0.77361646357628222</v>
      </c>
      <c r="H271" s="414" t="b">
        <f>Wh_hp&gt;='2021'!Maxi_hp</f>
        <v>0</v>
      </c>
      <c r="I271" s="380">
        <f>IF(H271,Wh_hp,'2021'!Maxi_hp)</f>
        <v>44.733439415558536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3.4417715696409057E-2</v>
      </c>
      <c r="M271" s="844"/>
      <c r="N271" s="844"/>
      <c r="O271" s="48">
        <f>IF(t&lt;Tnet,'2021'!Resal+('2021'!Salim-'2021'!Resal)*(1-EXP(('2021'!Tnet-t)/('2021'!Tau_j))),Resal+(Salim-Resal)*(1-EXP((Tnet-t)/(Tau_j))))*Salcycl</f>
        <v>9.6537717957345795E-2</v>
      </c>
      <c r="P271" s="339">
        <f>(INDEX(Models!$BJ271:$BT271,,T271)*(1-R271)+INDEX(Models!$BJ271:$BT271,,T271+1)*R271-ERP_i)*Q271*Ramure*Pc/MaxiM</f>
        <v>1.6702984163098858E-3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0.39181716649556253</v>
      </c>
      <c r="S271" s="810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0.39181716649556253</v>
      </c>
      <c r="V271" s="383">
        <f t="shared" ref="V271:V334" si="110">MaxiM*(1-Ppv)*(1-Pvg)*(1-Psa)</f>
        <v>41.089911174056589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29.813964055075676</v>
      </c>
      <c r="Z271" s="385">
        <f t="shared" ref="Z271:Z334" si="114">Wh_sa_s*(1-Psa_s)</f>
        <v>30.87666845149139</v>
      </c>
      <c r="AA271" s="386">
        <f t="shared" ref="AA271:AA334" si="115">Wh_hp*(1-Pvg_s*MEDIAN((-Sdif+Wh/Env_an)/Csdif,0,1))</f>
        <v>36.458272325131119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0.15309567671949897</v>
      </c>
      <c r="AD271" s="231">
        <f>(INDEX(Models!$BJ271:$BT271,,AH271)*(1-AF271)+INDEX(Models!$BJ271:$BT271,,AH271+1)*AF271-ERP_i)*AE271*Ramure*Pc/MaxiM</f>
        <v>1.6702984163098858E-3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0.39181716649556253</v>
      </c>
      <c r="AG271" s="810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0.39181716649556253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42">
        <v>36.255000000000003</v>
      </c>
      <c r="C272" s="840"/>
      <c r="D272" s="393">
        <f t="shared" si="102"/>
        <v>37.548165822655683</v>
      </c>
      <c r="E272" s="385">
        <f t="shared" si="100"/>
        <v>41.564070320344904</v>
      </c>
      <c r="F272" s="385">
        <f t="shared" si="103"/>
        <v>41.624438251479909</v>
      </c>
      <c r="G272" s="110">
        <f t="shared" si="101"/>
        <v>0.88961612593820283</v>
      </c>
      <c r="H272" s="414" t="b">
        <f>Wh_hp&gt;='2021'!Maxi_hp</f>
        <v>0</v>
      </c>
      <c r="I272" s="380">
        <f>IF(H272,Wh_hp,'2021'!Maxi_hp)</f>
        <v>45.524121434792207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3.444018620678968E-2</v>
      </c>
      <c r="M272" s="844"/>
      <c r="N272" s="844"/>
      <c r="O272" s="48">
        <f>IF(t&lt;Tnet,'2021'!Resal+('2021'!Salim-'2021'!Resal)*(1-EXP(('2021'!Tnet-t)/('2021'!Tau_j))),Resal+(Salim-Resal)*(1-EXP((Tnet-t)/(Tau_j))))*Salcycl</f>
        <v>9.6619615613620577E-2</v>
      </c>
      <c r="P272" s="339">
        <f>(INDEX(Models!$BJ272:$BT272,,T272)*(1-R272)+INDEX(Models!$BJ272:$BT272,,T272+1)*R272-ERP_i)*Q272*Ramure*Pc/MaxiM</f>
        <v>1.7211109648258395E-3</v>
      </c>
      <c r="Q272" s="305">
        <f t="shared" si="105"/>
        <v>0.7</v>
      </c>
      <c r="R272" s="177">
        <f t="shared" si="106"/>
        <v>0.392117787783481</v>
      </c>
      <c r="S272" s="810">
        <f t="shared" si="107"/>
        <v>0</v>
      </c>
      <c r="T272" s="176">
        <f t="shared" si="108"/>
        <v>6</v>
      </c>
      <c r="U272" s="251">
        <f t="shared" si="109"/>
        <v>0.392117787783481</v>
      </c>
      <c r="V272" s="383">
        <f t="shared" si="110"/>
        <v>40.742480311297975</v>
      </c>
      <c r="W272" s="402">
        <f t="shared" si="111"/>
        <v>0</v>
      </c>
      <c r="X272" s="157">
        <f t="shared" si="112"/>
        <v>44819</v>
      </c>
      <c r="Y272" s="385">
        <f t="shared" si="113"/>
        <v>33.988105635765194</v>
      </c>
      <c r="Z272" s="385">
        <f t="shared" si="114"/>
        <v>35.200414464477987</v>
      </c>
      <c r="AA272" s="386">
        <f t="shared" si="115"/>
        <v>41.564070320344904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0.15310473220790449</v>
      </c>
      <c r="AD272" s="231">
        <f>(INDEX(Models!$BJ272:$BT272,,AH272)*(1-AF272)+INDEX(Models!$BJ272:$BT272,,AH272+1)*AF272-ERP_i)*AE272*Ramure*Pc/MaxiM</f>
        <v>1.7211109648258395E-3</v>
      </c>
      <c r="AE272" s="305">
        <f t="shared" si="117"/>
        <v>0.7</v>
      </c>
      <c r="AF272" s="177">
        <f t="shared" si="118"/>
        <v>0.392117787783481</v>
      </c>
      <c r="AG272" s="810">
        <f t="shared" ref="AG272:AG335" si="124">INDEX(Echel_vg,AH272)</f>
        <v>0</v>
      </c>
      <c r="AH272" s="176">
        <f t="shared" si="119"/>
        <v>6</v>
      </c>
      <c r="AI272" s="225">
        <f t="shared" si="120"/>
        <v>0.392117787783481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42">
        <v>31.105</v>
      </c>
      <c r="C273" s="840"/>
      <c r="D273" s="393">
        <f t="shared" si="102"/>
        <v>32.21522212429079</v>
      </c>
      <c r="E273" s="385">
        <f t="shared" si="100"/>
        <v>35.663945722598861</v>
      </c>
      <c r="F273" s="385">
        <f t="shared" si="103"/>
        <v>35.70635128585154</v>
      </c>
      <c r="G273" s="110">
        <f t="shared" si="101"/>
        <v>0.7696065723963087</v>
      </c>
      <c r="H273" s="414" t="b">
        <f>Wh_hp&gt;='2021'!Maxi_hp</f>
        <v>0</v>
      </c>
      <c r="I273" s="380">
        <f>IF(H273,Wh_hp,'2021'!Maxi_hp)</f>
        <v>41.220294819613947</v>
      </c>
      <c r="J273" s="85">
        <f>IF(H273,An,'2021'!An_max)</f>
        <v>2020</v>
      </c>
      <c r="K273" s="197">
        <f t="shared" si="104"/>
        <v>44820</v>
      </c>
      <c r="L273" s="147">
        <f>IF(t&lt;Tvie,1-EXP((T0-t)*PertePVj)+'2021'!Pspv,1-EXP((T0-t)*PertePVj)+Pspv)</f>
        <v>3.446265619424882E-2</v>
      </c>
      <c r="M273" s="844"/>
      <c r="N273" s="844"/>
      <c r="O273" s="48">
        <f>IF(t&lt;Tnet,'2021'!Resal+('2021'!Salim-'2021'!Resal)*(1-EXP(('2021'!Tnet-t)/('2021'!Tau_j))),Resal+(Salim-Resal)*(1-EXP((Tnet-t)/(Tau_j))))*Salcycl</f>
        <v>9.6700562106417379E-2</v>
      </c>
      <c r="P273" s="339">
        <f>(INDEX(Models!$BJ273:$BT273,,T273)*(1-R273)+INDEX(Models!$BJ273:$BT273,,T273+1)*R273-ERP_i)*Q273*Ramure*Pc/MaxiM</f>
        <v>1.7685901564396061E-3</v>
      </c>
      <c r="Q273" s="305">
        <f t="shared" si="105"/>
        <v>0.7</v>
      </c>
      <c r="R273" s="177">
        <f t="shared" si="106"/>
        <v>0.39240673792099751</v>
      </c>
      <c r="S273" s="810">
        <f t="shared" si="107"/>
        <v>0</v>
      </c>
      <c r="T273" s="176">
        <f t="shared" si="108"/>
        <v>6</v>
      </c>
      <c r="U273" s="251">
        <f t="shared" si="109"/>
        <v>0.39240673792099751</v>
      </c>
      <c r="V273" s="383">
        <f t="shared" si="110"/>
        <v>40.393245769056371</v>
      </c>
      <c r="W273" s="402">
        <f t="shared" si="111"/>
        <v>0</v>
      </c>
      <c r="X273" s="157">
        <f t="shared" si="112"/>
        <v>44820</v>
      </c>
      <c r="Y273" s="385">
        <f t="shared" si="113"/>
        <v>29.16246354233142</v>
      </c>
      <c r="Z273" s="385">
        <f t="shared" si="114"/>
        <v>30.203351252459051</v>
      </c>
      <c r="AA273" s="386">
        <f t="shared" si="115"/>
        <v>35.663945722598861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0.15311246020318059</v>
      </c>
      <c r="AD273" s="231">
        <f>(INDEX(Models!$BJ273:$BT273,,AH273)*(1-AF273)+INDEX(Models!$BJ273:$BT273,,AH273+1)*AF273-ERP_i)*AE273*Ramure*Pc/MaxiM</f>
        <v>1.7685901564396061E-3</v>
      </c>
      <c r="AE273" s="305">
        <f t="shared" si="117"/>
        <v>0.7</v>
      </c>
      <c r="AF273" s="177">
        <f t="shared" si="118"/>
        <v>0.39240673792099751</v>
      </c>
      <c r="AG273" s="810">
        <f t="shared" si="124"/>
        <v>0</v>
      </c>
      <c r="AH273" s="176">
        <f t="shared" si="119"/>
        <v>6</v>
      </c>
      <c r="AI273" s="225">
        <f t="shared" si="120"/>
        <v>0.39240673792099751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43">
        <f>42.78*0.95</f>
        <v>40.640999999999998</v>
      </c>
      <c r="C274" s="840"/>
      <c r="D274" s="393">
        <f t="shared" si="102"/>
        <v>42.092567478808149</v>
      </c>
      <c r="E274" s="385">
        <f t="shared" si="100"/>
        <v>46.602812089020972</v>
      </c>
      <c r="F274" s="385">
        <f t="shared" si="103"/>
        <v>46.687439753460573</v>
      </c>
      <c r="G274" s="110">
        <f t="shared" si="101"/>
        <v>1.0149443424747537</v>
      </c>
      <c r="H274" s="414" t="b">
        <f>Wh_hp&gt;='2021'!Maxi_hp</f>
        <v>1</v>
      </c>
      <c r="I274" s="380">
        <f>IF(H274,Wh_hp,'2021'!Maxi_hp)</f>
        <v>46.687439753460573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3.4485125658798355E-2</v>
      </c>
      <c r="M274" s="844"/>
      <c r="N274" s="844"/>
      <c r="O274" s="48">
        <f>IF(t&lt;Tnet,'2021'!Resal+('2021'!Salim-'2021'!Resal)*(1-EXP(('2021'!Tnet-t)/('2021'!Tau_j))),Resal+(Salim-Resal)*(1-EXP((Tnet-t)/(Tau_j))))*Salcycl</f>
        <v>9.6780524780292781E-2</v>
      </c>
      <c r="P274" s="339">
        <f>(INDEX(Models!$BJ274:$BT274,,T274)*(1-R274)+INDEX(Models!$BJ274:$BT274,,T274+1)*R274-ERP_i)*Q274*Ramure*Pc/MaxiM</f>
        <v>1.8126430767351782E-3</v>
      </c>
      <c r="Q274" s="305">
        <f t="shared" si="105"/>
        <v>0.7</v>
      </c>
      <c r="R274" s="177">
        <f t="shared" si="106"/>
        <v>0.39268445355707615</v>
      </c>
      <c r="S274" s="810">
        <f t="shared" si="107"/>
        <v>0</v>
      </c>
      <c r="T274" s="176">
        <f t="shared" si="108"/>
        <v>6</v>
      </c>
      <c r="U274" s="251">
        <f t="shared" si="109"/>
        <v>0.39268445355707615</v>
      </c>
      <c r="V274" s="383">
        <f t="shared" si="110"/>
        <v>40.042589824092673</v>
      </c>
      <c r="W274" s="402">
        <f t="shared" si="111"/>
        <v>0</v>
      </c>
      <c r="X274" s="157">
        <f t="shared" si="112"/>
        <v>44821</v>
      </c>
      <c r="Y274" s="385">
        <f t="shared" si="113"/>
        <v>38.106018873031445</v>
      </c>
      <c r="Z274" s="385">
        <f t="shared" si="114"/>
        <v>39.467044874924653</v>
      </c>
      <c r="AA274" s="386">
        <f t="shared" si="115"/>
        <v>46.602812089020972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0.15311881181044462</v>
      </c>
      <c r="AD274" s="231">
        <f>(INDEX(Models!$BJ274:$BT274,,AH274)*(1-AF274)+INDEX(Models!$BJ274:$BT274,,AH274+1)*AF274-ERP_i)*AE274*Ramure*Pc/MaxiM</f>
        <v>1.8126430767351782E-3</v>
      </c>
      <c r="AE274" s="305">
        <f t="shared" si="117"/>
        <v>0.7</v>
      </c>
      <c r="AF274" s="177">
        <f t="shared" si="118"/>
        <v>0.39268445355707615</v>
      </c>
      <c r="AG274" s="810">
        <f t="shared" si="124"/>
        <v>0</v>
      </c>
      <c r="AH274" s="176">
        <f t="shared" si="119"/>
        <v>6</v>
      </c>
      <c r="AI274" s="225">
        <f t="shared" si="120"/>
        <v>0.39268445355707615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42">
        <v>40.173000000000002</v>
      </c>
      <c r="C275" s="840"/>
      <c r="D275" s="393">
        <f t="shared" si="102"/>
        <v>41.608820302812454</v>
      </c>
      <c r="E275" s="385">
        <f t="shared" si="100"/>
        <v>46.07125793767645</v>
      </c>
      <c r="F275" s="385">
        <f t="shared" si="103"/>
        <v>46.156800921335282</v>
      </c>
      <c r="G275" s="110">
        <f t="shared" si="101"/>
        <v>1.0122234899029146</v>
      </c>
      <c r="H275" s="414" t="b">
        <f>Wh_hp&gt;='2021'!Maxi_hp</f>
        <v>1</v>
      </c>
      <c r="I275" s="380">
        <f>IF(H275,Wh_hp,'2021'!Maxi_hp)</f>
        <v>46.156800921335282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3.4507594600450719E-2</v>
      </c>
      <c r="M275" s="844"/>
      <c r="N275" s="844"/>
      <c r="O275" s="48">
        <f>IF(t&lt;Tnet,'2021'!Resal+('2021'!Salim-'2021'!Resal)*(1-EXP(('2021'!Tnet-t)/('2021'!Tau_j))),Resal+(Salim-Resal)*(1-EXP((Tnet-t)/(Tau_j))))*Salcycl</f>
        <v>9.6859470190734154E-2</v>
      </c>
      <c r="P275" s="339">
        <f>(INDEX(Models!$BJ275:$BT275,,T275)*(1-R275)+INDEX(Models!$BJ275:$BT275,,T275+1)*R275-ERP_i)*Q275*Ramure*Pc/MaxiM</f>
        <v>1.8533126636012536E-3</v>
      </c>
      <c r="Q275" s="305">
        <f t="shared" si="105"/>
        <v>0.7</v>
      </c>
      <c r="R275" s="177">
        <f t="shared" si="106"/>
        <v>0.39295135628496247</v>
      </c>
      <c r="S275" s="810">
        <f t="shared" si="107"/>
        <v>0</v>
      </c>
      <c r="T275" s="176">
        <f t="shared" si="108"/>
        <v>6</v>
      </c>
      <c r="U275" s="251">
        <f t="shared" si="109"/>
        <v>0.39295135628496247</v>
      </c>
      <c r="V275" s="383">
        <f t="shared" si="110"/>
        <v>39.687875652691197</v>
      </c>
      <c r="W275" s="402">
        <f t="shared" si="111"/>
        <v>0</v>
      </c>
      <c r="X275" s="157">
        <f t="shared" si="112"/>
        <v>44822</v>
      </c>
      <c r="Y275" s="385">
        <f t="shared" si="113"/>
        <v>37.670283847653756</v>
      </c>
      <c r="Z275" s="385">
        <f t="shared" si="114"/>
        <v>39.016654752519443</v>
      </c>
      <c r="AA275" s="386">
        <f t="shared" si="115"/>
        <v>46.07125793767645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0.15312373703145299</v>
      </c>
      <c r="AD275" s="231">
        <f>(INDEX(Models!$BJ275:$BT275,,AH275)*(1-AF275)+INDEX(Models!$BJ275:$BT275,,AH275+1)*AF275-ERP_i)*AE275*Ramure*Pc/MaxiM</f>
        <v>1.8533126636012536E-3</v>
      </c>
      <c r="AE275" s="305">
        <f t="shared" si="117"/>
        <v>0.7</v>
      </c>
      <c r="AF275" s="177">
        <f t="shared" si="118"/>
        <v>0.39295135628496247</v>
      </c>
      <c r="AG275" s="810">
        <f t="shared" si="124"/>
        <v>0</v>
      </c>
      <c r="AH275" s="176">
        <f t="shared" si="119"/>
        <v>6</v>
      </c>
      <c r="AI275" s="225">
        <f t="shared" si="120"/>
        <v>0.39295135628496247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42">
        <v>38.615000000000002</v>
      </c>
      <c r="C276" s="840"/>
      <c r="D276" s="393">
        <f t="shared" si="102"/>
        <v>39.996066703803173</v>
      </c>
      <c r="E276" s="385">
        <f t="shared" si="100"/>
        <v>44.289360580800931</v>
      </c>
      <c r="F276" s="385">
        <f t="shared" si="103"/>
        <v>44.370974570384895</v>
      </c>
      <c r="G276" s="110">
        <f t="shared" si="101"/>
        <v>0.98184872055138606</v>
      </c>
      <c r="H276" s="414" t="b">
        <f>Wh_hp&gt;='2021'!Maxi_hp</f>
        <v>1</v>
      </c>
      <c r="I276" s="380">
        <f>IF(H276,Wh_hp,'2021'!Maxi_hp)</f>
        <v>44.370974570384895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3.4530063019218016E-2</v>
      </c>
      <c r="M276" s="844"/>
      <c r="N276" s="844"/>
      <c r="O276" s="48">
        <f>IF(t&lt;Tnet,'2021'!Resal+('2021'!Salim-'2021'!Resal)*(1-EXP(('2021'!Tnet-t)/('2021'!Tau_j))),Resal+(Salim-Resal)*(1-EXP((Tnet-t)/(Tau_j))))*Salcycl</f>
        <v>9.6937364204324611E-2</v>
      </c>
      <c r="P276" s="339">
        <f>(INDEX(Models!$BJ276:$BT276,,T276)*(1-R276)+INDEX(Models!$BJ276:$BT276,,T276+1)*R276-ERP_i)*Q276*Ramure*Pc/MaxiM</f>
        <v>1.8881872280027091E-3</v>
      </c>
      <c r="Q276" s="305">
        <f t="shared" si="105"/>
        <v>0.7</v>
      </c>
      <c r="R276" s="177">
        <f t="shared" si="106"/>
        <v>0.39320785306037176</v>
      </c>
      <c r="S276" s="810">
        <f t="shared" si="107"/>
        <v>0</v>
      </c>
      <c r="T276" s="176">
        <f t="shared" si="108"/>
        <v>6</v>
      </c>
      <c r="U276" s="251">
        <f t="shared" si="109"/>
        <v>0.39320785306037176</v>
      </c>
      <c r="V276" s="383">
        <f t="shared" si="110"/>
        <v>39.326945255573811</v>
      </c>
      <c r="W276" s="402">
        <f t="shared" si="111"/>
        <v>0</v>
      </c>
      <c r="X276" s="157">
        <f t="shared" si="112"/>
        <v>44823</v>
      </c>
      <c r="Y276" s="385">
        <f t="shared" si="113"/>
        <v>36.212320671697142</v>
      </c>
      <c r="Z276" s="385">
        <f t="shared" si="114"/>
        <v>37.507455472865708</v>
      </c>
      <c r="AA276" s="386">
        <f t="shared" si="115"/>
        <v>44.289360580800931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0.15312718492655597</v>
      </c>
      <c r="AD276" s="231">
        <f>(INDEX(Models!$BJ276:$BT276,,AH276)*(1-AF276)+INDEX(Models!$BJ276:$BT276,,AH276+1)*AF276-ERP_i)*AE276*Ramure*Pc/MaxiM</f>
        <v>1.8881872280027091E-3</v>
      </c>
      <c r="AE276" s="305">
        <f t="shared" si="117"/>
        <v>0.7</v>
      </c>
      <c r="AF276" s="177">
        <f t="shared" si="118"/>
        <v>0.39320785306037176</v>
      </c>
      <c r="AG276" s="810">
        <f t="shared" si="124"/>
        <v>0</v>
      </c>
      <c r="AH276" s="176">
        <f t="shared" si="119"/>
        <v>6</v>
      </c>
      <c r="AI276" s="225">
        <f t="shared" si="120"/>
        <v>0.39320785306037176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42">
        <v>40.237000000000002</v>
      </c>
      <c r="C277" s="840"/>
      <c r="D277" s="393">
        <f t="shared" si="102"/>
        <v>41.677047471199216</v>
      </c>
      <c r="E277" s="385">
        <f t="shared" si="100"/>
        <v>46.15470828471986</v>
      </c>
      <c r="F277" s="385">
        <f t="shared" si="103"/>
        <v>46.243426743251511</v>
      </c>
      <c r="G277" s="110">
        <f t="shared" si="101"/>
        <v>1.0327586983116739</v>
      </c>
      <c r="H277" s="414" t="b">
        <f>Wh_hp&gt;='2021'!Maxi_hp</f>
        <v>1</v>
      </c>
      <c r="I277" s="380">
        <f>IF(H277,Wh_hp,'2021'!Maxi_hp)</f>
        <v>46.243426743251511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3.4552530915112345E-2</v>
      </c>
      <c r="M277" s="844"/>
      <c r="N277" s="844"/>
      <c r="O277" s="48">
        <f>IF(t&lt;Tnet,'2021'!Resal+('2021'!Salim-'2021'!Resal)*(1-EXP(('2021'!Tnet-t)/('2021'!Tau_j))),Resal+(Salim-Resal)*(1-EXP((Tnet-t)/(Tau_j))))*Salcycl</f>
        <v>9.7014172116499625E-2</v>
      </c>
      <c r="P277" s="339">
        <f>(INDEX(Models!$BJ277:$BT277,,T277)*(1-R277)+INDEX(Models!$BJ277:$BT277,,T277+1)*R277-ERP_i)*Q277*Ramure*Pc/MaxiM</f>
        <v>1.9185096083865713E-3</v>
      </c>
      <c r="Q277" s="305">
        <f t="shared" si="105"/>
        <v>0.7</v>
      </c>
      <c r="R277" s="177">
        <f t="shared" si="106"/>
        <v>0.39345433661641871</v>
      </c>
      <c r="S277" s="810">
        <f t="shared" si="107"/>
        <v>0</v>
      </c>
      <c r="T277" s="176">
        <f t="shared" si="108"/>
        <v>6</v>
      </c>
      <c r="U277" s="251">
        <f t="shared" si="109"/>
        <v>0.39345433661641871</v>
      </c>
      <c r="V277" s="383">
        <f t="shared" si="110"/>
        <v>38.960698240332775</v>
      </c>
      <c r="W277" s="402">
        <f t="shared" si="111"/>
        <v>0</v>
      </c>
      <c r="X277" s="157">
        <f t="shared" si="112"/>
        <v>44824</v>
      </c>
      <c r="Y277" s="385">
        <f t="shared" si="113"/>
        <v>37.736521657402008</v>
      </c>
      <c r="Z277" s="385">
        <f t="shared" si="114"/>
        <v>39.087079168762102</v>
      </c>
      <c r="AA277" s="386">
        <f t="shared" si="115"/>
        <v>46.15470828471986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0.15312910380364364</v>
      </c>
      <c r="AD277" s="231">
        <f>(INDEX(Models!$BJ277:$BT277,,AH277)*(1-AF277)+INDEX(Models!$BJ277:$BT277,,AH277+1)*AF277-ERP_i)*AE277*Ramure*Pc/MaxiM</f>
        <v>1.9185096083865713E-3</v>
      </c>
      <c r="AE277" s="305">
        <f t="shared" si="117"/>
        <v>0.7</v>
      </c>
      <c r="AF277" s="177">
        <f t="shared" si="118"/>
        <v>0.39345433661641871</v>
      </c>
      <c r="AG277" s="810">
        <f t="shared" si="124"/>
        <v>0</v>
      </c>
      <c r="AH277" s="176">
        <f t="shared" si="119"/>
        <v>6</v>
      </c>
      <c r="AI277" s="225">
        <f t="shared" si="120"/>
        <v>0.39345433661641871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42">
        <v>38.902999999999999</v>
      </c>
      <c r="C278" s="840"/>
      <c r="D278" s="393">
        <f t="shared" si="102"/>
        <v>40.296242516009748</v>
      </c>
      <c r="E278" s="385">
        <f t="shared" si="100"/>
        <v>44.629294407828347</v>
      </c>
      <c r="F278" s="385">
        <f t="shared" si="103"/>
        <v>44.716228492902502</v>
      </c>
      <c r="G278" s="110">
        <f t="shared" si="101"/>
        <v>1.0081085802943177</v>
      </c>
      <c r="H278" s="414" t="b">
        <f>Wh_hp&gt;='2021'!Maxi_hp</f>
        <v>1</v>
      </c>
      <c r="I278" s="380">
        <f>IF(H278,Wh_hp,'2021'!Maxi_hp)</f>
        <v>44.716228492902502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3.4574998288145919E-2</v>
      </c>
      <c r="M278" s="844"/>
      <c r="N278" s="844"/>
      <c r="O278" s="48">
        <f>IF(t&lt;Tnet,'2021'!Resal+('2021'!Salim-'2021'!Resal)*(1-EXP(('2021'!Tnet-t)/('2021'!Tau_j))),Resal+(Salim-Resal)*(1-EXP((Tnet-t)/(Tau_j))))*Salcycl</f>
        <v>9.7089858786979746E-2</v>
      </c>
      <c r="P278" s="339">
        <f>(INDEX(Models!$BJ278:$BT278,,T278)*(1-R278)+INDEX(Models!$BJ278:$BT278,,T278+1)*R278-ERP_i)*Q278*Ramure*Pc/MaxiM</f>
        <v>1.9441282953448801E-3</v>
      </c>
      <c r="Q278" s="305">
        <f t="shared" si="105"/>
        <v>0.7</v>
      </c>
      <c r="R278" s="177">
        <f t="shared" si="106"/>
        <v>0.39369118587448887</v>
      </c>
      <c r="S278" s="810">
        <f t="shared" si="107"/>
        <v>0</v>
      </c>
      <c r="T278" s="176">
        <f t="shared" si="108"/>
        <v>6</v>
      </c>
      <c r="U278" s="251">
        <f t="shared" si="109"/>
        <v>0.39369118587448887</v>
      </c>
      <c r="V278" s="383">
        <f t="shared" si="110"/>
        <v>38.59008916345325</v>
      </c>
      <c r="W278" s="402">
        <f t="shared" si="111"/>
        <v>0</v>
      </c>
      <c r="X278" s="157">
        <f t="shared" si="112"/>
        <v>44825</v>
      </c>
      <c r="Y278" s="385">
        <f t="shared" si="113"/>
        <v>36.488465281416559</v>
      </c>
      <c r="Z278" s="385">
        <f t="shared" si="114"/>
        <v>37.795235483560745</v>
      </c>
      <c r="AA278" s="386">
        <f t="shared" si="115"/>
        <v>44.629294407828347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0.15312944143407412</v>
      </c>
      <c r="AD278" s="231">
        <f>(INDEX(Models!$BJ278:$BT278,,AH278)*(1-AF278)+INDEX(Models!$BJ278:$BT278,,AH278+1)*AF278-ERP_i)*AE278*Ramure*Pc/MaxiM</f>
        <v>1.9441282953448801E-3</v>
      </c>
      <c r="AE278" s="305">
        <f t="shared" si="117"/>
        <v>0.7</v>
      </c>
      <c r="AF278" s="177">
        <f t="shared" si="118"/>
        <v>0.39369118587448887</v>
      </c>
      <c r="AG278" s="810">
        <f t="shared" si="124"/>
        <v>0</v>
      </c>
      <c r="AH278" s="176">
        <f t="shared" si="119"/>
        <v>6</v>
      </c>
      <c r="AI278" s="225">
        <f t="shared" si="120"/>
        <v>0.39369118587448887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42">
        <v>37.192</v>
      </c>
      <c r="C279" s="840"/>
      <c r="D279" s="393">
        <f t="shared" si="102"/>
        <v>38.524862590431439</v>
      </c>
      <c r="E279" s="385">
        <f t="shared" si="100"/>
        <v>42.670960374411202</v>
      </c>
      <c r="F279" s="385">
        <f t="shared" si="103"/>
        <v>42.751746792119995</v>
      </c>
      <c r="G279" s="110">
        <f t="shared" si="101"/>
        <v>0.97312976522714156</v>
      </c>
      <c r="H279" s="414" t="b">
        <f>Wh_hp&gt;='2021'!Maxi_hp</f>
        <v>1</v>
      </c>
      <c r="I279" s="380">
        <f>IF(H279,Wh_hp,'2021'!Maxi_hp)</f>
        <v>42.751746792119995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3.4597465138330952E-2</v>
      </c>
      <c r="M279" s="844"/>
      <c r="N279" s="844"/>
      <c r="O279" s="48">
        <f>IF(t&lt;Tnet,'2021'!Resal+('2021'!Salim-'2021'!Resal)*(1-EXP(('2021'!Tnet-t)/('2021'!Tau_j))),Resal+(Salim-Resal)*(1-EXP((Tnet-t)/(Tau_j))))*Salcycl</f>
        <v>9.716438879276032E-2</v>
      </c>
      <c r="P279" s="339">
        <f>(INDEX(Models!$BJ279:$BT279,,T279)*(1-R279)+INDEX(Models!$BJ279:$BT279,,T279+1)*R279-ERP_i)*Q279*Ramure*Pc/MaxiM</f>
        <v>1.9648817333746535E-3</v>
      </c>
      <c r="Q279" s="305">
        <f t="shared" si="105"/>
        <v>0.7</v>
      </c>
      <c r="R279" s="177">
        <f t="shared" si="106"/>
        <v>0.39391876635033696</v>
      </c>
      <c r="S279" s="810">
        <f t="shared" si="107"/>
        <v>0</v>
      </c>
      <c r="T279" s="176">
        <f t="shared" si="108"/>
        <v>6</v>
      </c>
      <c r="U279" s="251">
        <f t="shared" si="109"/>
        <v>0.39391876635033696</v>
      </c>
      <c r="V279" s="383">
        <f t="shared" si="110"/>
        <v>38.216072016210539</v>
      </c>
      <c r="W279" s="402">
        <f t="shared" si="111"/>
        <v>0</v>
      </c>
      <c r="X279" s="157">
        <f t="shared" si="112"/>
        <v>44826</v>
      </c>
      <c r="Y279" s="385">
        <f t="shared" si="113"/>
        <v>34.886592452929932</v>
      </c>
      <c r="Z279" s="385">
        <f t="shared" si="114"/>
        <v>36.136835354310286</v>
      </c>
      <c r="AA279" s="386">
        <f t="shared" si="115"/>
        <v>42.670960374411202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0.1531281452952552</v>
      </c>
      <c r="AD279" s="231">
        <f>(INDEX(Models!$BJ279:$BT279,,AH279)*(1-AF279)+INDEX(Models!$BJ279:$BT279,,AH279+1)*AF279-ERP_i)*AE279*Ramure*Pc/MaxiM</f>
        <v>1.9648817333746535E-3</v>
      </c>
      <c r="AE279" s="305">
        <f t="shared" si="117"/>
        <v>0.7</v>
      </c>
      <c r="AF279" s="177">
        <f t="shared" si="118"/>
        <v>0.39391876635033696</v>
      </c>
      <c r="AG279" s="810">
        <f t="shared" si="124"/>
        <v>0</v>
      </c>
      <c r="AH279" s="176">
        <f t="shared" si="119"/>
        <v>6</v>
      </c>
      <c r="AI279" s="225">
        <f t="shared" si="120"/>
        <v>0.39391876635033696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42">
        <v>23.346</v>
      </c>
      <c r="C280" s="840"/>
      <c r="D280" s="393">
        <f t="shared" si="102"/>
        <v>24.183221469907551</v>
      </c>
      <c r="E280" s="385">
        <f t="shared" si="100"/>
        <v>26.788028457130221</v>
      </c>
      <c r="F280" s="385">
        <f t="shared" si="103"/>
        <v>26.812075025049744</v>
      </c>
      <c r="G280" s="110">
        <f t="shared" si="101"/>
        <v>0.61630345150722865</v>
      </c>
      <c r="H280" s="414" t="b">
        <f>Wh_hp&gt;='2021'!Maxi_hp</f>
        <v>0</v>
      </c>
      <c r="I280" s="380">
        <f>IF(H280,Wh_hp,'2021'!Maxi_hp)</f>
        <v>39.201858465251448</v>
      </c>
      <c r="J280" s="85">
        <f>IF(H280,An,'2021'!An_max)</f>
        <v>2019</v>
      </c>
      <c r="K280" s="197">
        <f t="shared" si="104"/>
        <v>44827</v>
      </c>
      <c r="L280" s="147">
        <f>IF(t&lt;Tvie,1-EXP((T0-t)*PertePVj)+'2021'!Pspv,1-EXP((T0-t)*PertePVj)+Pspv)</f>
        <v>3.4619931465679543E-2</v>
      </c>
      <c r="M280" s="844"/>
      <c r="N280" s="844"/>
      <c r="O280" s="48">
        <f>IF(t&lt;Tnet,'2021'!Resal+('2021'!Salim-'2021'!Resal)*(1-EXP(('2021'!Tnet-t)/('2021'!Tau_j))),Resal+(Salim-Resal)*(1-EXP((Tnet-t)/(Tau_j))))*Salcycl</f>
        <v>9.7237726598328439E-2</v>
      </c>
      <c r="P280" s="339">
        <f>(INDEX(Models!$BJ280:$BT280,,T280)*(1-R280)+INDEX(Models!$BJ280:$BT280,,T280+1)*R280-ERP_i)*Q280*Ramure*Pc/MaxiM</f>
        <v>1.9806094975428163E-3</v>
      </c>
      <c r="Q280" s="305">
        <f t="shared" si="105"/>
        <v>0.7</v>
      </c>
      <c r="R280" s="177">
        <f t="shared" si="106"/>
        <v>0.39413743055478917</v>
      </c>
      <c r="S280" s="810">
        <f t="shared" si="107"/>
        <v>0</v>
      </c>
      <c r="T280" s="176">
        <f t="shared" si="108"/>
        <v>6</v>
      </c>
      <c r="U280" s="251">
        <f t="shared" si="109"/>
        <v>0.39413743055478917</v>
      </c>
      <c r="V280" s="383">
        <f t="shared" si="110"/>
        <v>37.839599826497306</v>
      </c>
      <c r="W280" s="402">
        <f t="shared" si="111"/>
        <v>0</v>
      </c>
      <c r="X280" s="157">
        <f t="shared" si="112"/>
        <v>44827</v>
      </c>
      <c r="Y280" s="385">
        <f t="shared" si="113"/>
        <v>21.900715759705506</v>
      </c>
      <c r="Z280" s="385">
        <f t="shared" si="114"/>
        <v>22.686107237490482</v>
      </c>
      <c r="AA280" s="386">
        <f t="shared" si="115"/>
        <v>26.788028457130221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0.15312516283922048</v>
      </c>
      <c r="AD280" s="231">
        <f>(INDEX(Models!$BJ280:$BT280,,AH280)*(1-AF280)+INDEX(Models!$BJ280:$BT280,,AH280+1)*AF280-ERP_i)*AE280*Ramure*Pc/MaxiM</f>
        <v>1.9806094975428163E-3</v>
      </c>
      <c r="AE280" s="305">
        <f t="shared" si="117"/>
        <v>0.7</v>
      </c>
      <c r="AF280" s="177">
        <f t="shared" si="118"/>
        <v>0.39413743055478917</v>
      </c>
      <c r="AG280" s="810">
        <f t="shared" si="124"/>
        <v>0</v>
      </c>
      <c r="AH280" s="176">
        <f t="shared" si="119"/>
        <v>6</v>
      </c>
      <c r="AI280" s="225">
        <f t="shared" si="120"/>
        <v>0.39413743055478917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42">
        <v>15.196</v>
      </c>
      <c r="C281" s="840"/>
      <c r="D281" s="393">
        <f t="shared" si="102"/>
        <v>15.741316955529653</v>
      </c>
      <c r="E281" s="385">
        <f t="shared" si="100"/>
        <v>17.438228083405473</v>
      </c>
      <c r="F281" s="385">
        <f t="shared" si="103"/>
        <v>17.443469778389684</v>
      </c>
      <c r="G281" s="110">
        <f t="shared" si="101"/>
        <v>0.40495576966924729</v>
      </c>
      <c r="H281" s="414" t="b">
        <f>Wh_hp&gt;='2021'!Maxi_hp</f>
        <v>0</v>
      </c>
      <c r="I281" s="380">
        <f>IF(H281,Wh_hp,'2021'!Maxi_hp)</f>
        <v>36.19529357264706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3.4642397270203795E-2</v>
      </c>
      <c r="M281" s="844"/>
      <c r="N281" s="844"/>
      <c r="O281" s="48">
        <f>IF(t&lt;Tnet,'2021'!Resal+('2021'!Salim-'2021'!Resal)*(1-EXP(('2021'!Tnet-t)/('2021'!Tau_j))),Resal+(Salim-Resal)*(1-EXP((Tnet-t)/(Tau_j))))*Salcycl</f>
        <v>9.7309836742566172E-2</v>
      </c>
      <c r="P281" s="339">
        <f>(INDEX(Models!$BJ281:$BT281,,T281)*(1-R281)+INDEX(Models!$BJ281:$BT281,,T281+1)*R281-ERP_i)*Q281*Ramure*Pc/MaxiM</f>
        <v>1.9911374333451532E-3</v>
      </c>
      <c r="Q281" s="305">
        <f t="shared" si="105"/>
        <v>0.7</v>
      </c>
      <c r="R281" s="177">
        <f t="shared" si="106"/>
        <v>0.39434751838849802</v>
      </c>
      <c r="S281" s="810">
        <f t="shared" si="107"/>
        <v>0</v>
      </c>
      <c r="T281" s="176">
        <f t="shared" si="108"/>
        <v>6</v>
      </c>
      <c r="U281" s="251">
        <f t="shared" si="109"/>
        <v>0.39434751838849802</v>
      </c>
      <c r="V281" s="383">
        <f t="shared" si="110"/>
        <v>37.461625264971275</v>
      </c>
      <c r="W281" s="402">
        <f t="shared" si="111"/>
        <v>0</v>
      </c>
      <c r="X281" s="157">
        <f t="shared" si="112"/>
        <v>44828</v>
      </c>
      <c r="Y281" s="385">
        <f t="shared" si="113"/>
        <v>14.256477239296746</v>
      </c>
      <c r="Z281" s="385">
        <f t="shared" si="114"/>
        <v>14.768078895305637</v>
      </c>
      <c r="AA281" s="386">
        <f t="shared" si="115"/>
        <v>17.438228083405473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0.15312044178621551</v>
      </c>
      <c r="AD281" s="231">
        <f>(INDEX(Models!$BJ281:$BT281,,AH281)*(1-AF281)+INDEX(Models!$BJ281:$BT281,,AH281+1)*AF281-ERP_i)*AE281*Ramure*Pc/MaxiM</f>
        <v>1.9911374333451532E-3</v>
      </c>
      <c r="AE281" s="305">
        <f t="shared" si="117"/>
        <v>0.7</v>
      </c>
      <c r="AF281" s="177">
        <f t="shared" si="118"/>
        <v>0.39434751838849802</v>
      </c>
      <c r="AG281" s="810">
        <f t="shared" si="124"/>
        <v>0</v>
      </c>
      <c r="AH281" s="176">
        <f t="shared" si="119"/>
        <v>6</v>
      </c>
      <c r="AI281" s="225">
        <f t="shared" si="120"/>
        <v>0.39434751838849802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42">
        <v>31.010999999999999</v>
      </c>
      <c r="C282" s="840"/>
      <c r="D282" s="393">
        <f t="shared" si="102"/>
        <v>32.124594658368352</v>
      </c>
      <c r="E282" s="385">
        <f t="shared" si="100"/>
        <v>35.590413467119362</v>
      </c>
      <c r="F282" s="385">
        <f t="shared" si="103"/>
        <v>35.644929578113675</v>
      </c>
      <c r="G282" s="110">
        <f t="shared" si="101"/>
        <v>0.83586592228713519</v>
      </c>
      <c r="H282" s="414" t="b">
        <f>Wh_hp&gt;='2021'!Maxi_hp</f>
        <v>1</v>
      </c>
      <c r="I282" s="380">
        <f>IF(H282,Wh_hp,'2021'!Maxi_hp)</f>
        <v>35.644929578113675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3.4664862551916031E-2</v>
      </c>
      <c r="M282" s="844"/>
      <c r="N282" s="844"/>
      <c r="O282" s="48">
        <f>IF(t&lt;Tnet,'2021'!Resal+('2021'!Salim-'2021'!Resal)*(1-EXP(('2021'!Tnet-t)/('2021'!Tau_j))),Resal+(Salim-Resal)*(1-EXP((Tnet-t)/(Tau_j))))*Salcycl</f>
        <v>9.7380684041587479E-2</v>
      </c>
      <c r="P282" s="339">
        <f>(INDEX(Models!$BJ282:$BT282,,T282)*(1-R282)+INDEX(Models!$BJ282:$BT282,,T282+1)*R282-ERP_i)*Q282*Ramure*Pc/MaxiM</f>
        <v>1.9964209995377369E-3</v>
      </c>
      <c r="Q282" s="305">
        <f t="shared" si="105"/>
        <v>0.7</v>
      </c>
      <c r="R282" s="177">
        <f t="shared" si="106"/>
        <v>0.39454935753027265</v>
      </c>
      <c r="S282" s="810">
        <f t="shared" si="107"/>
        <v>0</v>
      </c>
      <c r="T282" s="176">
        <f t="shared" si="108"/>
        <v>6</v>
      </c>
      <c r="U282" s="251">
        <f t="shared" si="109"/>
        <v>0.39454935753027265</v>
      </c>
      <c r="V282" s="383">
        <f t="shared" si="110"/>
        <v>37.083095338088405</v>
      </c>
      <c r="W282" s="402">
        <f t="shared" si="111"/>
        <v>0</v>
      </c>
      <c r="X282" s="157">
        <f t="shared" si="112"/>
        <v>44829</v>
      </c>
      <c r="Y282" s="385">
        <f t="shared" si="113"/>
        <v>29.096190873311333</v>
      </c>
      <c r="Z282" s="385">
        <f t="shared" si="114"/>
        <v>30.141025375113454</v>
      </c>
      <c r="AA282" s="386">
        <f t="shared" si="115"/>
        <v>35.590413467119362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0.15311393044198243</v>
      </c>
      <c r="AD282" s="231">
        <f>(INDEX(Models!$BJ282:$BT282,,AH282)*(1-AF282)+INDEX(Models!$BJ282:$BT282,,AH282+1)*AF282-ERP_i)*AE282*Ramure*Pc/MaxiM</f>
        <v>1.9964209995377369E-3</v>
      </c>
      <c r="AE282" s="305">
        <f t="shared" si="117"/>
        <v>0.7</v>
      </c>
      <c r="AF282" s="177">
        <f t="shared" si="118"/>
        <v>0.39454935753027265</v>
      </c>
      <c r="AG282" s="810">
        <f t="shared" si="124"/>
        <v>0</v>
      </c>
      <c r="AH282" s="176">
        <f t="shared" si="119"/>
        <v>6</v>
      </c>
      <c r="AI282" s="225">
        <f t="shared" si="120"/>
        <v>0.39454935753027265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42">
        <v>27.594000000000001</v>
      </c>
      <c r="C283" s="840"/>
      <c r="D283" s="393">
        <f t="shared" si="102"/>
        <v>28.585556556642455</v>
      </c>
      <c r="E283" s="385">
        <f t="shared" si="100"/>
        <v>31.672000400823794</v>
      </c>
      <c r="F283" s="385">
        <f t="shared" si="103"/>
        <v>31.712920301889024</v>
      </c>
      <c r="G283" s="110">
        <f t="shared" si="101"/>
        <v>0.7512470674444004</v>
      </c>
      <c r="H283" s="414" t="b">
        <f>Wh_hp&gt;='2021'!Maxi_hp</f>
        <v>0</v>
      </c>
      <c r="I283" s="380">
        <f>IF(H283,Wh_hp,'2021'!Maxi_hp)</f>
        <v>36.254189031669213</v>
      </c>
      <c r="J283" s="85">
        <f>IF(H283,An,'2021'!An_max)</f>
        <v>2021</v>
      </c>
      <c r="K283" s="197">
        <f t="shared" si="104"/>
        <v>44830</v>
      </c>
      <c r="L283" s="147">
        <f>IF(t&lt;Tvie,1-EXP((T0-t)*PertePVj)+'2021'!Pspv,1-EXP((T0-t)*PertePVj)+Pspv)</f>
        <v>3.4687327310828353E-2</v>
      </c>
      <c r="M283" s="844"/>
      <c r="N283" s="844"/>
      <c r="O283" s="48">
        <f>IF(t&lt;Tnet,'2021'!Resal+('2021'!Salim-'2021'!Resal)*(1-EXP(('2021'!Tnet-t)/('2021'!Tau_j))),Resal+(Salim-Resal)*(1-EXP((Tnet-t)/(Tau_j))))*Salcycl</f>
        <v>9.7450233806547271E-2</v>
      </c>
      <c r="P283" s="339">
        <f>(INDEX(Models!$BJ283:$BT283,,T283)*(1-R283)+INDEX(Models!$BJ283:$BT283,,T283+1)*R283-ERP_i)*Q283*Ramure*Pc/MaxiM</f>
        <v>1.9992572808794937E-3</v>
      </c>
      <c r="Q283" s="305">
        <f t="shared" si="105"/>
        <v>0.7</v>
      </c>
      <c r="R283" s="177">
        <f t="shared" si="106"/>
        <v>0.394743263818575</v>
      </c>
      <c r="S283" s="810">
        <f t="shared" si="107"/>
        <v>0</v>
      </c>
      <c r="T283" s="176">
        <f t="shared" si="108"/>
        <v>6</v>
      </c>
      <c r="U283" s="251">
        <f t="shared" si="109"/>
        <v>0.394743263818575</v>
      </c>
      <c r="V283" s="383">
        <f t="shared" si="110"/>
        <v>36.704851945359309</v>
      </c>
      <c r="W283" s="402">
        <f t="shared" si="111"/>
        <v>0</v>
      </c>
      <c r="X283" s="157">
        <f t="shared" si="112"/>
        <v>44830</v>
      </c>
      <c r="Y283" s="385">
        <f t="shared" si="113"/>
        <v>25.892427825010333</v>
      </c>
      <c r="Z283" s="385">
        <f t="shared" si="114"/>
        <v>26.822840471864016</v>
      </c>
      <c r="AA283" s="386">
        <f t="shared" si="115"/>
        <v>31.672000400823794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0.15310557803711225</v>
      </c>
      <c r="AD283" s="231">
        <f>(INDEX(Models!$BJ283:$BT283,,AH283)*(1-AF283)+INDEX(Models!$BJ283:$BT283,,AH283+1)*AF283-ERP_i)*AE283*Ramure*Pc/MaxiM</f>
        <v>1.9992572808794937E-3</v>
      </c>
      <c r="AE283" s="305">
        <f t="shared" si="117"/>
        <v>0.7</v>
      </c>
      <c r="AF283" s="177">
        <f t="shared" si="118"/>
        <v>0.394743263818575</v>
      </c>
      <c r="AG283" s="810">
        <f t="shared" si="124"/>
        <v>0</v>
      </c>
      <c r="AH283" s="176">
        <f t="shared" si="119"/>
        <v>6</v>
      </c>
      <c r="AI283" s="225">
        <f t="shared" si="120"/>
        <v>0.394743263818575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42">
        <v>16.556999999999999</v>
      </c>
      <c r="C284" s="840"/>
      <c r="D284" s="393">
        <f t="shared" si="102"/>
        <v>17.152354654600593</v>
      </c>
      <c r="E284" s="385">
        <f t="shared" si="100"/>
        <v>19.005767701336872</v>
      </c>
      <c r="F284" s="385">
        <f t="shared" si="103"/>
        <v>19.014227900330958</v>
      </c>
      <c r="G284" s="110">
        <f t="shared" si="101"/>
        <v>0.45505722647864377</v>
      </c>
      <c r="H284" s="414" t="b">
        <f>Wh_hp&gt;='2021'!Maxi_hp</f>
        <v>0</v>
      </c>
      <c r="I284" s="380">
        <f>IF(H284,Wh_hp,'2021'!Maxi_hp)</f>
        <v>33.919915372274694</v>
      </c>
      <c r="J284" s="85">
        <f>IF(H284,An,'2021'!An_max)</f>
        <v>2019</v>
      </c>
      <c r="K284" s="197">
        <f t="shared" si="104"/>
        <v>44831</v>
      </c>
      <c r="L284" s="147">
        <f>IF(t&lt;Tvie,1-EXP((T0-t)*PertePVj)+'2021'!Pspv,1-EXP((T0-t)*PertePVj)+Pspv)</f>
        <v>3.4709791546952862E-2</v>
      </c>
      <c r="M284" s="844"/>
      <c r="N284" s="844"/>
      <c r="O284" s="48">
        <f>IF(t&lt;Tnet,'2021'!Resal+('2021'!Salim-'2021'!Resal)*(1-EXP(('2021'!Tnet-t)/('2021'!Tau_j))),Resal+(Salim-Resal)*(1-EXP((Tnet-t)/(Tau_j))))*Salcycl</f>
        <v>9.7518452075256584E-2</v>
      </c>
      <c r="P284" s="339">
        <f>(INDEX(Models!$BJ284:$BT284,,T284)*(1-R284)+INDEX(Models!$BJ284:$BT284,,T284+1)*R284-ERP_i)*Q284*Ramure*Pc/MaxiM</f>
        <v>1.9995260325606722E-3</v>
      </c>
      <c r="Q284" s="305">
        <f t="shared" si="105"/>
        <v>0.7</v>
      </c>
      <c r="R284" s="177">
        <f t="shared" si="106"/>
        <v>0.39492954162583038</v>
      </c>
      <c r="S284" s="810">
        <f t="shared" si="107"/>
        <v>0</v>
      </c>
      <c r="T284" s="176">
        <f t="shared" si="108"/>
        <v>6</v>
      </c>
      <c r="U284" s="251">
        <f t="shared" si="109"/>
        <v>0.39492954162583038</v>
      </c>
      <c r="V284" s="383">
        <f t="shared" si="110"/>
        <v>36.327846932094396</v>
      </c>
      <c r="W284" s="402">
        <f t="shared" si="111"/>
        <v>0</v>
      </c>
      <c r="X284" s="157">
        <f t="shared" si="112"/>
        <v>44831</v>
      </c>
      <c r="Y284" s="385">
        <f t="shared" si="113"/>
        <v>15.537381976635938</v>
      </c>
      <c r="Z284" s="385">
        <f t="shared" si="114"/>
        <v>16.096073326524056</v>
      </c>
      <c r="AA284" s="386">
        <f t="shared" si="115"/>
        <v>19.005767701336872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0.15309533508652459</v>
      </c>
      <c r="AD284" s="231">
        <f>(INDEX(Models!$BJ284:$BT284,,AH284)*(1-AF284)+INDEX(Models!$BJ284:$BT284,,AH284+1)*AF284-ERP_i)*AE284*Ramure*Pc/MaxiM</f>
        <v>1.9995260325606722E-3</v>
      </c>
      <c r="AE284" s="305">
        <f t="shared" si="117"/>
        <v>0.7</v>
      </c>
      <c r="AF284" s="177">
        <f t="shared" si="118"/>
        <v>0.39492954162583038</v>
      </c>
      <c r="AG284" s="810">
        <f t="shared" si="124"/>
        <v>0</v>
      </c>
      <c r="AH284" s="176">
        <f t="shared" si="119"/>
        <v>6</v>
      </c>
      <c r="AI284" s="225">
        <f t="shared" si="120"/>
        <v>0.39492954162583038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42">
        <v>18.687999999999999</v>
      </c>
      <c r="C285" s="840"/>
      <c r="D285" s="393">
        <f t="shared" si="102"/>
        <v>19.360431446965581</v>
      </c>
      <c r="E285" s="385">
        <f t="shared" si="100"/>
        <v>21.454029475146548</v>
      </c>
      <c r="F285" s="385">
        <f t="shared" si="103"/>
        <v>21.467490878193356</v>
      </c>
      <c r="G285" s="110">
        <f t="shared" si="101"/>
        <v>0.51907668733365675</v>
      </c>
      <c r="H285" s="414" t="b">
        <f>Wh_hp&gt;='2021'!Maxi_hp</f>
        <v>0</v>
      </c>
      <c r="I285" s="380">
        <f>IF(H285,Wh_hp,'2021'!Maxi_hp)</f>
        <v>35.820962356484351</v>
      </c>
      <c r="J285" s="85">
        <f>IF(H285,An,'2021'!An_max)</f>
        <v>2019</v>
      </c>
      <c r="K285" s="197">
        <f t="shared" si="104"/>
        <v>44832</v>
      </c>
      <c r="L285" s="147">
        <f>IF(t&lt;Tvie,1-EXP((T0-t)*PertePVj)+'2021'!Pspv,1-EXP((T0-t)*PertePVj)+Pspv)</f>
        <v>3.473225526030177E-2</v>
      </c>
      <c r="M285" s="844"/>
      <c r="N285" s="844"/>
      <c r="O285" s="48">
        <f>IF(t&lt;Tnet,'2021'!Resal+('2021'!Salim-'2021'!Resal)*(1-EXP(('2021'!Tnet-t)/('2021'!Tau_j))),Resal+(Salim-Resal)*(1-EXP((Tnet-t)/(Tau_j))))*Salcycl</f>
        <v>9.7585305856240173E-2</v>
      </c>
      <c r="P285" s="339">
        <f>(INDEX(Models!$BJ285:$BT285,,T285)*(1-R285)+INDEX(Models!$BJ285:$BT285,,T285+1)*R285-ERP_i)*Q285*Ramure*Pc/MaxiM</f>
        <v>1.997103614276019E-3</v>
      </c>
      <c r="Q285" s="305">
        <f t="shared" si="105"/>
        <v>0.7</v>
      </c>
      <c r="R285" s="177">
        <f t="shared" si="106"/>
        <v>0.39510848422525968</v>
      </c>
      <c r="S285" s="810">
        <f t="shared" si="107"/>
        <v>0</v>
      </c>
      <c r="T285" s="176">
        <f t="shared" si="108"/>
        <v>6</v>
      </c>
      <c r="U285" s="251">
        <f t="shared" si="109"/>
        <v>0.39510848422525968</v>
      </c>
      <c r="V285" s="383">
        <f t="shared" si="110"/>
        <v>35.953031630686908</v>
      </c>
      <c r="W285" s="402">
        <f t="shared" si="111"/>
        <v>0</v>
      </c>
      <c r="X285" s="157">
        <f t="shared" si="112"/>
        <v>44832</v>
      </c>
      <c r="Y285" s="385">
        <f t="shared" si="113"/>
        <v>17.538701580455438</v>
      </c>
      <c r="Z285" s="385">
        <f t="shared" si="114"/>
        <v>18.169778982084463</v>
      </c>
      <c r="AA285" s="386">
        <f t="shared" si="115"/>
        <v>21.454029475146548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0.15308315376683565</v>
      </c>
      <c r="AD285" s="231">
        <f>(INDEX(Models!$BJ285:$BT285,,AH285)*(1-AF285)+INDEX(Models!$BJ285:$BT285,,AH285+1)*AF285-ERP_i)*AE285*Ramure*Pc/MaxiM</f>
        <v>1.997103614276019E-3</v>
      </c>
      <c r="AE285" s="305">
        <f t="shared" si="117"/>
        <v>0.7</v>
      </c>
      <c r="AF285" s="177">
        <f t="shared" si="118"/>
        <v>0.39510848422525968</v>
      </c>
      <c r="AG285" s="810">
        <f t="shared" si="124"/>
        <v>0</v>
      </c>
      <c r="AH285" s="176">
        <f t="shared" si="119"/>
        <v>6</v>
      </c>
      <c r="AI285" s="225">
        <f t="shared" si="120"/>
        <v>0.39510848422525968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42">
        <v>22.041</v>
      </c>
      <c r="C286" s="840"/>
      <c r="D286" s="393">
        <f t="shared" si="102"/>
        <v>22.834610457381999</v>
      </c>
      <c r="E286" s="385">
        <f t="shared" si="100"/>
        <v>25.305734776269816</v>
      </c>
      <c r="F286" s="385">
        <f t="shared" si="103"/>
        <v>25.328758909190029</v>
      </c>
      <c r="G286" s="110">
        <f t="shared" si="101"/>
        <v>0.61878222419723017</v>
      </c>
      <c r="H286" s="414" t="b">
        <f>Wh_hp&gt;='2021'!Maxi_hp</f>
        <v>0</v>
      </c>
      <c r="I286" s="380">
        <f>IF(H286,Wh_hp,'2021'!Maxi_hp)</f>
        <v>39.441971628235159</v>
      </c>
      <c r="J286" s="85">
        <f>IF(H286,An,'2021'!An_max)</f>
        <v>2019</v>
      </c>
      <c r="K286" s="197">
        <f t="shared" si="104"/>
        <v>44833</v>
      </c>
      <c r="L286" s="147">
        <f>IF(t&lt;Tvie,1-EXP((T0-t)*PertePVj)+'2021'!Pspv,1-EXP((T0-t)*PertePVj)+Pspv)</f>
        <v>3.475471845088729E-2</v>
      </c>
      <c r="M286" s="844"/>
      <c r="N286" s="844"/>
      <c r="O286" s="48">
        <f>IF(t&lt;Tnet,'2021'!Resal+('2021'!Salim-'2021'!Resal)*(1-EXP(('2021'!Tnet-t)/('2021'!Tau_j))),Resal+(Salim-Resal)*(1-EXP((Tnet-t)/(Tau_j))))*Salcycl</f>
        <v>9.765076338368521E-2</v>
      </c>
      <c r="P286" s="339">
        <f>(INDEX(Models!$BJ286:$BT286,,T286)*(1-R286)+INDEX(Models!$BJ286:$BT286,,T286+1)*R286-ERP_i)*Q286*Ramure*Pc/MaxiM</f>
        <v>1.9918636757668934E-3</v>
      </c>
      <c r="Q286" s="305">
        <f t="shared" si="105"/>
        <v>0.7</v>
      </c>
      <c r="R286" s="177">
        <f t="shared" si="106"/>
        <v>0.3952803741499879</v>
      </c>
      <c r="S286" s="810">
        <f t="shared" si="107"/>
        <v>0</v>
      </c>
      <c r="T286" s="176">
        <f t="shared" si="108"/>
        <v>6</v>
      </c>
      <c r="U286" s="251">
        <f t="shared" si="109"/>
        <v>0.3952803741499879</v>
      </c>
      <c r="V286" s="383">
        <f t="shared" si="110"/>
        <v>35.581356863195673</v>
      </c>
      <c r="W286" s="402">
        <f t="shared" si="111"/>
        <v>0</v>
      </c>
      <c r="X286" s="157">
        <f t="shared" si="112"/>
        <v>44833</v>
      </c>
      <c r="Y286" s="385">
        <f t="shared" si="113"/>
        <v>20.687341077251464</v>
      </c>
      <c r="Z286" s="385">
        <f t="shared" si="114"/>
        <v>21.432211555647857</v>
      </c>
      <c r="AA286" s="386">
        <f t="shared" si="115"/>
        <v>25.305734776269816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0.15306898830909718</v>
      </c>
      <c r="AD286" s="231">
        <f>(INDEX(Models!$BJ286:$BT286,,AH286)*(1-AF286)+INDEX(Models!$BJ286:$BT286,,AH286+1)*AF286-ERP_i)*AE286*Ramure*Pc/MaxiM</f>
        <v>1.9918636757668934E-3</v>
      </c>
      <c r="AE286" s="305">
        <f t="shared" si="117"/>
        <v>0.7</v>
      </c>
      <c r="AF286" s="177">
        <f t="shared" si="118"/>
        <v>0.3952803741499879</v>
      </c>
      <c r="AG286" s="810">
        <f t="shared" si="124"/>
        <v>0</v>
      </c>
      <c r="AH286" s="176">
        <f t="shared" si="119"/>
        <v>6</v>
      </c>
      <c r="AI286" s="225">
        <f t="shared" si="120"/>
        <v>0.3952803741499879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42">
        <v>25.209</v>
      </c>
      <c r="C287" s="840"/>
      <c r="D287" s="393">
        <f t="shared" si="102"/>
        <v>26.11728557061878</v>
      </c>
      <c r="E287" s="385">
        <f t="shared" si="100"/>
        <v>28.945709635920888</v>
      </c>
      <c r="F287" s="385">
        <f t="shared" si="103"/>
        <v>28.979863698513434</v>
      </c>
      <c r="G287" s="110">
        <f t="shared" si="101"/>
        <v>0.71530760087527112</v>
      </c>
      <c r="H287" s="414" t="b">
        <f>Wh_hp&gt;='2021'!Maxi_hp</f>
        <v>0</v>
      </c>
      <c r="I287" s="380">
        <f>IF(H287,Wh_hp,'2021'!Maxi_hp)</f>
        <v>33.387052918801814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3.4777181118721523E-2</v>
      </c>
      <c r="M287" s="844"/>
      <c r="N287" s="844"/>
      <c r="O287" s="48">
        <f>IF(t&lt;Tnet,'2021'!Resal+('2021'!Salim-'2021'!Resal)*(1-EXP(('2021'!Tnet-t)/('2021'!Tau_j))),Resal+(Salim-Resal)*(1-EXP((Tnet-t)/(Tau_j))))*Salcycl</f>
        <v>9.7714794381551728E-2</v>
      </c>
      <c r="P287" s="339">
        <f>(INDEX(Models!$BJ287:$BT287,,T287)*(1-R287)+INDEX(Models!$BJ287:$BT287,,T287+1)*R287-ERP_i)*Q287*Ramure*Pc/MaxiM</f>
        <v>1.9836779513730182E-3</v>
      </c>
      <c r="Q287" s="305">
        <f t="shared" si="105"/>
        <v>0.7</v>
      </c>
      <c r="R287" s="177">
        <f t="shared" si="106"/>
        <v>0.39544548354423509</v>
      </c>
      <c r="S287" s="810">
        <f t="shared" si="107"/>
        <v>0</v>
      </c>
      <c r="T287" s="176">
        <f t="shared" si="108"/>
        <v>6</v>
      </c>
      <c r="U287" s="251">
        <f t="shared" si="109"/>
        <v>0.39544548354423509</v>
      </c>
      <c r="V287" s="383">
        <f t="shared" si="110"/>
        <v>35.213772948129026</v>
      </c>
      <c r="W287" s="402">
        <f t="shared" si="111"/>
        <v>0</v>
      </c>
      <c r="X287" s="157">
        <f t="shared" si="112"/>
        <v>44834</v>
      </c>
      <c r="Y287" s="385">
        <f t="shared" si="113"/>
        <v>23.662908299624771</v>
      </c>
      <c r="Z287" s="385">
        <f t="shared" si="114"/>
        <v>24.515487861187093</v>
      </c>
      <c r="AA287" s="386">
        <f t="shared" si="115"/>
        <v>28.945709635920888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0.15305279540412456</v>
      </c>
      <c r="AD287" s="231">
        <f>(INDEX(Models!$BJ287:$BT287,,AH287)*(1-AF287)+INDEX(Models!$BJ287:$BT287,,AH287+1)*AF287-ERP_i)*AE287*Ramure*Pc/MaxiM</f>
        <v>1.9836779513730182E-3</v>
      </c>
      <c r="AE287" s="305">
        <f t="shared" si="117"/>
        <v>0.7</v>
      </c>
      <c r="AF287" s="177">
        <f t="shared" si="118"/>
        <v>0.39544548354423509</v>
      </c>
      <c r="AG287" s="810">
        <f t="shared" si="124"/>
        <v>0</v>
      </c>
      <c r="AH287" s="176">
        <f t="shared" si="119"/>
        <v>6</v>
      </c>
      <c r="AI287" s="225">
        <f t="shared" si="120"/>
        <v>0.39544548354423509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42">
        <v>31.675000000000001</v>
      </c>
      <c r="C288" s="840"/>
      <c r="D288" s="393">
        <f t="shared" si="102"/>
        <v>32.817020610216865</v>
      </c>
      <c r="E288" s="385">
        <f t="shared" si="100"/>
        <v>36.373528585068073</v>
      </c>
      <c r="F288" s="385">
        <f t="shared" si="103"/>
        <v>36.436038889582356</v>
      </c>
      <c r="G288" s="110">
        <f t="shared" si="101"/>
        <v>0.90862939875114335</v>
      </c>
      <c r="H288" s="414" t="b">
        <f>Wh_hp&gt;='2021'!Maxi_hp</f>
        <v>0</v>
      </c>
      <c r="I288" s="380">
        <f>IF(H288,Wh_hp,'2021'!Maxi_hp)</f>
        <v>39.381811318036526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3.4799643263816682E-2</v>
      </c>
      <c r="M288" s="844"/>
      <c r="N288" s="844"/>
      <c r="O288" s="48">
        <f>IF(t&lt;Tnet,'2021'!Resal+('2021'!Salim-'2021'!Resal)*(1-EXP(('2021'!Tnet-t)/('2021'!Tau_j))),Resal+(Salim-Resal)*(1-EXP((Tnet-t)/(Tau_j))))*Salcycl</f>
        <v>9.777737033495322E-2</v>
      </c>
      <c r="P288" s="339">
        <f>(INDEX(Models!$BJ288:$BT288,,T288)*(1-R288)+INDEX(Models!$BJ288:$BT288,,T288+1)*R288-ERP_i)*Q288*Ramure*Pc/MaxiM</f>
        <v>1.9724171718338034E-3</v>
      </c>
      <c r="Q288" s="305">
        <f t="shared" si="105"/>
        <v>0.7</v>
      </c>
      <c r="R288" s="177">
        <f t="shared" si="106"/>
        <v>0.3956040745064337</v>
      </c>
      <c r="S288" s="810">
        <f t="shared" si="107"/>
        <v>0</v>
      </c>
      <c r="T288" s="176">
        <f t="shared" si="108"/>
        <v>6</v>
      </c>
      <c r="U288" s="251">
        <f t="shared" si="109"/>
        <v>0.3956040745064337</v>
      </c>
      <c r="V288" s="383">
        <f t="shared" si="110"/>
        <v>34.851229702265243</v>
      </c>
      <c r="W288" s="402">
        <f t="shared" si="111"/>
        <v>0</v>
      </c>
      <c r="X288" s="157">
        <f t="shared" si="112"/>
        <v>44835</v>
      </c>
      <c r="Y288" s="385">
        <f t="shared" si="113"/>
        <v>29.735045690389974</v>
      </c>
      <c r="Z288" s="385">
        <f t="shared" si="114"/>
        <v>30.807122565659604</v>
      </c>
      <c r="AA288" s="386">
        <f t="shared" si="115"/>
        <v>36.373528585068073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0.15303453461739674</v>
      </c>
      <c r="AD288" s="231">
        <f>(INDEX(Models!$BJ288:$BT288,,AH288)*(1-AF288)+INDEX(Models!$BJ288:$BT288,,AH288+1)*AF288-ERP_i)*AE288*Ramure*Pc/MaxiM</f>
        <v>1.9724171718338034E-3</v>
      </c>
      <c r="AE288" s="305">
        <f t="shared" si="117"/>
        <v>0.7</v>
      </c>
      <c r="AF288" s="177">
        <f t="shared" si="118"/>
        <v>0.3956040745064337</v>
      </c>
      <c r="AG288" s="810">
        <f t="shared" si="124"/>
        <v>0</v>
      </c>
      <c r="AH288" s="176">
        <f t="shared" si="119"/>
        <v>6</v>
      </c>
      <c r="AI288" s="225">
        <f t="shared" si="120"/>
        <v>0.3956040745064337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42">
        <v>33.372999999999998</v>
      </c>
      <c r="C289" s="840"/>
      <c r="D289" s="393">
        <f t="shared" si="102"/>
        <v>34.577045505237777</v>
      </c>
      <c r="E289" s="385">
        <f t="shared" si="100"/>
        <v>38.326889536804138</v>
      </c>
      <c r="F289" s="385">
        <f t="shared" si="103"/>
        <v>38.398593862798243</v>
      </c>
      <c r="G289" s="110">
        <f t="shared" si="101"/>
        <v>0.96747298698110074</v>
      </c>
      <c r="H289" s="414" t="b">
        <f>Wh_hp&gt;='2021'!Maxi_hp</f>
        <v>1</v>
      </c>
      <c r="I289" s="380">
        <f>IF(H289,Wh_hp,'2021'!Maxi_hp)</f>
        <v>38.398593862798243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3.4822104886184868E-2</v>
      </c>
      <c r="M289" s="844"/>
      <c r="N289" s="844"/>
      <c r="O289" s="48">
        <f>IF(t&lt;Tnet,'2021'!Resal+('2021'!Salim-'2021'!Resal)*(1-EXP(('2021'!Tnet-t)/('2021'!Tau_j))),Resal+(Salim-Resal)*(1-EXP((Tnet-t)/(Tau_j))))*Salcycl</f>
        <v>9.7838464766766442E-2</v>
      </c>
      <c r="P289" s="339">
        <f>(INDEX(Models!$BJ289:$BT289,,T289)*(1-R289)+INDEX(Models!$BJ289:$BT289,,T289+1)*R289-ERP_i)*Q289*Ramure*Pc/MaxiM</f>
        <v>1.9581103060224781E-3</v>
      </c>
      <c r="Q289" s="305">
        <f t="shared" si="105"/>
        <v>0.7</v>
      </c>
      <c r="R289" s="177">
        <f t="shared" si="106"/>
        <v>0.3957563994241588</v>
      </c>
      <c r="S289" s="810">
        <f t="shared" si="107"/>
        <v>0</v>
      </c>
      <c r="T289" s="176">
        <f t="shared" si="108"/>
        <v>6</v>
      </c>
      <c r="U289" s="251">
        <f t="shared" si="109"/>
        <v>0.3957563994241588</v>
      </c>
      <c r="V289" s="383">
        <f t="shared" si="110"/>
        <v>34.491883968199936</v>
      </c>
      <c r="W289" s="402">
        <f t="shared" si="111"/>
        <v>0</v>
      </c>
      <c r="X289" s="157">
        <f t="shared" si="112"/>
        <v>44836</v>
      </c>
      <c r="Y289" s="385">
        <f t="shared" si="113"/>
        <v>31.331925647867877</v>
      </c>
      <c r="Z289" s="385">
        <f t="shared" si="114"/>
        <v>32.462332391246044</v>
      </c>
      <c r="AA289" s="386">
        <f t="shared" si="115"/>
        <v>38.326889536804138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0.15301416881029536</v>
      </c>
      <c r="AD289" s="231">
        <f>(INDEX(Models!$BJ289:$BT289,,AH289)*(1-AF289)+INDEX(Models!$BJ289:$BT289,,AH289+1)*AF289-ERP_i)*AE289*Ramure*Pc/MaxiM</f>
        <v>1.9581103060224781E-3</v>
      </c>
      <c r="AE289" s="305">
        <f t="shared" si="117"/>
        <v>0.7</v>
      </c>
      <c r="AF289" s="177">
        <f t="shared" si="118"/>
        <v>0.3957563994241588</v>
      </c>
      <c r="AG289" s="810">
        <f t="shared" si="124"/>
        <v>0</v>
      </c>
      <c r="AH289" s="176">
        <f t="shared" si="119"/>
        <v>6</v>
      </c>
      <c r="AI289" s="225">
        <f t="shared" si="120"/>
        <v>0.3957563994241588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42">
        <v>32.749000000000002</v>
      </c>
      <c r="C290" s="840"/>
      <c r="D290" s="393">
        <f t="shared" si="102"/>
        <v>33.931322195218023</v>
      </c>
      <c r="E290" s="385">
        <f t="shared" si="100"/>
        <v>37.613622637126973</v>
      </c>
      <c r="F290" s="385">
        <f t="shared" si="103"/>
        <v>37.682771188791072</v>
      </c>
      <c r="G290" s="110">
        <f t="shared" si="101"/>
        <v>0.95934020024167743</v>
      </c>
      <c r="H290" s="414" t="b">
        <f>Wh_hp&gt;='2021'!Maxi_hp</f>
        <v>1</v>
      </c>
      <c r="I290" s="380">
        <f>IF(H290,Wh_hp,'2021'!Maxi_hp)</f>
        <v>37.682771188791072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3.4844565985838405E-2</v>
      </c>
      <c r="M290" s="844"/>
      <c r="N290" s="844"/>
      <c r="O290" s="48">
        <f>IF(t&lt;Tnet,'2021'!Resal+('2021'!Salim-'2021'!Resal)*(1-EXP(('2021'!Tnet-t)/('2021'!Tau_j))),Resal+(Salim-Resal)*(1-EXP((Tnet-t)/(Tau_j))))*Salcycl</f>
        <v>9.789805351729905E-2</v>
      </c>
      <c r="P290" s="339">
        <f>(INDEX(Models!$BJ290:$BT290,,T290)*(1-R290)+INDEX(Models!$BJ290:$BT290,,T290+1)*R290-ERP_i)*Q290*Ramure*Pc/MaxiM</f>
        <v>1.9478580397701388E-3</v>
      </c>
      <c r="Q290" s="305">
        <f t="shared" si="105"/>
        <v>0.7</v>
      </c>
      <c r="R290" s="177">
        <f t="shared" si="106"/>
        <v>0.39590270130078925</v>
      </c>
      <c r="S290" s="810">
        <f t="shared" si="107"/>
        <v>0</v>
      </c>
      <c r="T290" s="176">
        <f t="shared" si="108"/>
        <v>6</v>
      </c>
      <c r="U290" s="251">
        <f t="shared" si="109"/>
        <v>0.39590270130078925</v>
      </c>
      <c r="V290" s="383">
        <f t="shared" si="110"/>
        <v>34.133144623214825</v>
      </c>
      <c r="W290" s="402">
        <f t="shared" si="111"/>
        <v>0</v>
      </c>
      <c r="X290" s="157">
        <f t="shared" si="112"/>
        <v>44837</v>
      </c>
      <c r="Y290" s="385">
        <f t="shared" si="113"/>
        <v>30.748937063419561</v>
      </c>
      <c r="Z290" s="385">
        <f t="shared" si="114"/>
        <v>31.859051899580752</v>
      </c>
      <c r="AA290" s="386">
        <f t="shared" si="115"/>
        <v>37.613622637126973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0.15299166456426624</v>
      </c>
      <c r="AD290" s="231">
        <f>(INDEX(Models!$BJ290:$BT290,,AH290)*(1-AF290)+INDEX(Models!$BJ290:$BT290,,AH290+1)*AF290-ERP_i)*AE290*Ramure*Pc/MaxiM</f>
        <v>1.9478580397701388E-3</v>
      </c>
      <c r="AE290" s="305">
        <f t="shared" si="117"/>
        <v>0.7</v>
      </c>
      <c r="AF290" s="177">
        <f t="shared" si="118"/>
        <v>0.39590270130078925</v>
      </c>
      <c r="AG290" s="810">
        <f t="shared" si="124"/>
        <v>0</v>
      </c>
      <c r="AH290" s="176">
        <f t="shared" si="119"/>
        <v>6</v>
      </c>
      <c r="AI290" s="225">
        <f t="shared" si="120"/>
        <v>0.39590270130078925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42">
        <v>33.795000000000002</v>
      </c>
      <c r="C291" s="840"/>
      <c r="D291" s="393">
        <f t="shared" si="102"/>
        <v>35.015900326815043</v>
      </c>
      <c r="E291" s="385">
        <f t="shared" si="100"/>
        <v>38.818399980367978</v>
      </c>
      <c r="F291" s="385">
        <f t="shared" si="103"/>
        <v>38.894030832928983</v>
      </c>
      <c r="G291" s="110">
        <f t="shared" si="101"/>
        <v>1.0005889667390386</v>
      </c>
      <c r="H291" s="414" t="b">
        <f>Wh_hp&gt;='2021'!Maxi_hp</f>
        <v>1</v>
      </c>
      <c r="I291" s="380">
        <f>IF(H291,Wh_hp,'2021'!Maxi_hp)</f>
        <v>38.894030832928983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3.4867026562789172E-2</v>
      </c>
      <c r="M291" s="844"/>
      <c r="N291" s="844"/>
      <c r="O291" s="48">
        <f>IF(t&lt;Tnet,'2021'!Resal+('2021'!Salim-'2021'!Resal)*(1-EXP(('2021'!Tnet-t)/('2021'!Tau_j))),Resal+(Salim-Resal)*(1-EXP((Tnet-t)/(Tau_j))))*Salcycl</f>
        <v>9.7956115024730922E-2</v>
      </c>
      <c r="P291" s="339">
        <f>(INDEX(Models!$BJ291:$BT291,,T291)*(1-R291)+INDEX(Models!$BJ291:$BT291,,T291+1)*R291-ERP_i)*Q291*Ramure*Pc/MaxiM</f>
        <v>1.9445362422291514E-3</v>
      </c>
      <c r="Q291" s="305">
        <f t="shared" si="105"/>
        <v>0.7</v>
      </c>
      <c r="R291" s="177">
        <f t="shared" si="106"/>
        <v>0.39604321407385362</v>
      </c>
      <c r="S291" s="810">
        <f t="shared" si="107"/>
        <v>0</v>
      </c>
      <c r="T291" s="176">
        <f t="shared" si="108"/>
        <v>6</v>
      </c>
      <c r="U291" s="251">
        <f t="shared" si="109"/>
        <v>0.39604321407385362</v>
      </c>
      <c r="V291" s="383">
        <f t="shared" si="110"/>
        <v>33.775107585024969</v>
      </c>
      <c r="W291" s="402">
        <f t="shared" si="111"/>
        <v>0</v>
      </c>
      <c r="X291" s="157">
        <f t="shared" si="112"/>
        <v>44838</v>
      </c>
      <c r="Y291" s="385">
        <f t="shared" si="113"/>
        <v>31.734021993532423</v>
      </c>
      <c r="Z291" s="385">
        <f t="shared" si="114"/>
        <v>32.880466077659051</v>
      </c>
      <c r="AA291" s="386">
        <f t="shared" si="115"/>
        <v>38.818399980367978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0.15296699260433133</v>
      </c>
      <c r="AD291" s="231">
        <f>(INDEX(Models!$BJ291:$BT291,,AH291)*(1-AF291)+INDEX(Models!$BJ291:$BT291,,AH291+1)*AF291-ERP_i)*AE291*Ramure*Pc/MaxiM</f>
        <v>1.9445362422291514E-3</v>
      </c>
      <c r="AE291" s="305">
        <f t="shared" si="117"/>
        <v>0.7</v>
      </c>
      <c r="AF291" s="177">
        <f t="shared" si="118"/>
        <v>0.39604321407385362</v>
      </c>
      <c r="AG291" s="810">
        <f t="shared" si="124"/>
        <v>0</v>
      </c>
      <c r="AH291" s="176">
        <f t="shared" si="119"/>
        <v>6</v>
      </c>
      <c r="AI291" s="225">
        <f t="shared" si="120"/>
        <v>0.39604321407385362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42">
        <v>34.786000000000001</v>
      </c>
      <c r="C292" s="840"/>
      <c r="D292" s="393">
        <f t="shared" si="102"/>
        <v>36.043540628385131</v>
      </c>
      <c r="E292" s="385">
        <f t="shared" si="100"/>
        <v>39.960138967931677</v>
      </c>
      <c r="F292" s="385">
        <f t="shared" si="103"/>
        <v>40.03814569684679</v>
      </c>
      <c r="G292" s="110">
        <f t="shared" si="101"/>
        <v>1.0409371616866427</v>
      </c>
      <c r="H292" s="414" t="b">
        <f>Wh_hp&gt;='2021'!Maxi_hp</f>
        <v>1</v>
      </c>
      <c r="I292" s="380">
        <f>IF(H292,Wh_hp,'2021'!Maxi_hp)</f>
        <v>40.03814569684679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3.4889486617049603E-2</v>
      </c>
      <c r="M292" s="844"/>
      <c r="N292" s="844"/>
      <c r="O292" s="48">
        <f>IF(t&lt;Tnet,'2021'!Resal+('2021'!Salim-'2021'!Resal)*(1-EXP(('2021'!Tnet-t)/('2021'!Tau_j))),Resal+(Salim-Resal)*(1-EXP((Tnet-t)/(Tau_j))))*Salcycl</f>
        <v>9.8012630603953682E-2</v>
      </c>
      <c r="P292" s="339">
        <f>(INDEX(Models!$BJ292:$BT292,,T292)*(1-R292)+INDEX(Models!$BJ292:$BT292,,T292+1)*R292-ERP_i)*Q292*Ramure*Pc/MaxiM</f>
        <v>1.9483102315913422E-3</v>
      </c>
      <c r="Q292" s="305">
        <f t="shared" si="105"/>
        <v>0.7</v>
      </c>
      <c r="R292" s="177">
        <f t="shared" si="106"/>
        <v>0.39617816292503893</v>
      </c>
      <c r="S292" s="810">
        <f t="shared" si="107"/>
        <v>0</v>
      </c>
      <c r="T292" s="176">
        <f t="shared" si="108"/>
        <v>6</v>
      </c>
      <c r="U292" s="251">
        <f t="shared" si="109"/>
        <v>0.39617816292503893</v>
      </c>
      <c r="V292" s="383">
        <f t="shared" si="110"/>
        <v>33.417963427913215</v>
      </c>
      <c r="W292" s="402">
        <f t="shared" si="111"/>
        <v>0</v>
      </c>
      <c r="X292" s="157">
        <f t="shared" si="112"/>
        <v>44839</v>
      </c>
      <c r="Y292" s="385">
        <f t="shared" si="113"/>
        <v>32.667668860517885</v>
      </c>
      <c r="Z292" s="385">
        <f t="shared" si="114"/>
        <v>33.848630190556776</v>
      </c>
      <c r="AA292" s="386">
        <f t="shared" si="115"/>
        <v>39.960138967931677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0.1529401282182585</v>
      </c>
      <c r="AD292" s="231">
        <f>(INDEX(Models!$BJ292:$BT292,,AH292)*(1-AF292)+INDEX(Models!$BJ292:$BT292,,AH292+1)*AF292-ERP_i)*AE292*Ramure*Pc/MaxiM</f>
        <v>1.9483102315913422E-3</v>
      </c>
      <c r="AE292" s="305">
        <f t="shared" si="117"/>
        <v>0.7</v>
      </c>
      <c r="AF292" s="177">
        <f t="shared" si="118"/>
        <v>0.39617816292503893</v>
      </c>
      <c r="AG292" s="810">
        <f t="shared" si="124"/>
        <v>0</v>
      </c>
      <c r="AH292" s="176">
        <f t="shared" si="119"/>
        <v>6</v>
      </c>
      <c r="AI292" s="225">
        <f t="shared" si="120"/>
        <v>0.39617816292503893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42">
        <v>10.898</v>
      </c>
      <c r="C293" s="840"/>
      <c r="D293" s="393">
        <f t="shared" si="102"/>
        <v>11.2922338604332</v>
      </c>
      <c r="E293" s="385">
        <f t="shared" si="100"/>
        <v>12.520044372664698</v>
      </c>
      <c r="F293" s="385">
        <f t="shared" si="103"/>
        <v>12.521082619307187</v>
      </c>
      <c r="G293" s="110">
        <f t="shared" si="101"/>
        <v>0.32900553586941123</v>
      </c>
      <c r="H293" s="414" t="b">
        <f>Wh_hp&gt;='2021'!Maxi_hp</f>
        <v>0</v>
      </c>
      <c r="I293" s="380">
        <f>IF(H293,Wh_hp,'2021'!Maxi_hp)</f>
        <v>33.540700247739295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3.4911946148631801E-2</v>
      </c>
      <c r="M293" s="844"/>
      <c r="N293" s="844"/>
      <c r="O293" s="48">
        <f>IF(t&lt;Tnet,'2021'!Resal+('2021'!Salim-'2021'!Resal)*(1-EXP(('2021'!Tnet-t)/('2021'!Tau_j))),Resal+(Salim-Resal)*(1-EXP((Tnet-t)/(Tau_j))))*Salcycl</f>
        <v>9.8067584721361192E-2</v>
      </c>
      <c r="P293" s="339">
        <f>(INDEX(Models!$BJ293:$BT293,,T293)*(1-R293)+INDEX(Models!$BJ293:$BT293,,T293+1)*R293-ERP_i)*Q293*Ramure*Pc/MaxiM</f>
        <v>1.9593475838558042E-3</v>
      </c>
      <c r="Q293" s="305">
        <f t="shared" si="105"/>
        <v>0.7</v>
      </c>
      <c r="R293" s="177">
        <f t="shared" si="106"/>
        <v>0.39630776458187028</v>
      </c>
      <c r="S293" s="810">
        <f t="shared" si="107"/>
        <v>0</v>
      </c>
      <c r="T293" s="176">
        <f t="shared" si="108"/>
        <v>6</v>
      </c>
      <c r="U293" s="251">
        <f t="shared" si="109"/>
        <v>0.39630776458187028</v>
      </c>
      <c r="V293" s="383">
        <f t="shared" si="110"/>
        <v>33.061902640396987</v>
      </c>
      <c r="W293" s="402">
        <f t="shared" si="111"/>
        <v>0</v>
      </c>
      <c r="X293" s="157">
        <f t="shared" si="112"/>
        <v>44840</v>
      </c>
      <c r="Y293" s="385">
        <f t="shared" si="113"/>
        <v>10.235329391143431</v>
      </c>
      <c r="Z293" s="385">
        <f t="shared" si="114"/>
        <v>10.60559122071545</v>
      </c>
      <c r="AA293" s="386">
        <f t="shared" si="115"/>
        <v>12.520044372664698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0.15291105166760582</v>
      </c>
      <c r="AD293" s="231">
        <f>(INDEX(Models!$BJ293:$BT293,,AH293)*(1-AF293)+INDEX(Models!$BJ293:$BT293,,AH293+1)*AF293-ERP_i)*AE293*Ramure*Pc/MaxiM</f>
        <v>1.9593475838558042E-3</v>
      </c>
      <c r="AE293" s="305">
        <f t="shared" si="117"/>
        <v>0.7</v>
      </c>
      <c r="AF293" s="177">
        <f t="shared" si="118"/>
        <v>0.39630776458187028</v>
      </c>
      <c r="AG293" s="810">
        <f t="shared" si="124"/>
        <v>0</v>
      </c>
      <c r="AH293" s="176">
        <f t="shared" si="119"/>
        <v>6</v>
      </c>
      <c r="AI293" s="225">
        <f t="shared" si="120"/>
        <v>0.39630776458187028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42">
        <v>24.291</v>
      </c>
      <c r="C294" s="840"/>
      <c r="D294" s="393">
        <f t="shared" si="102"/>
        <v>25.170309800512083</v>
      </c>
      <c r="E294" s="385">
        <f t="shared" si="100"/>
        <v>27.908742559754494</v>
      </c>
      <c r="F294" s="385">
        <f t="shared" si="103"/>
        <v>27.943693938212544</v>
      </c>
      <c r="G294" s="110">
        <f t="shared" si="101"/>
        <v>0.74214179132663938</v>
      </c>
      <c r="H294" s="414" t="b">
        <f>Wh_hp&gt;='2021'!Maxi_hp</f>
        <v>0</v>
      </c>
      <c r="I294" s="380">
        <f>IF(H294,Wh_hp,'2021'!Maxi_hp)</f>
        <v>37.78874890553454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3.4934405157547754E-2</v>
      </c>
      <c r="M294" s="844"/>
      <c r="N294" s="844"/>
      <c r="O294" s="48">
        <f>IF(t&lt;Tnet,'2021'!Resal+('2021'!Salim-'2021'!Resal)*(1-EXP(('2021'!Tnet-t)/('2021'!Tau_j))),Resal+(Salim-Resal)*(1-EXP((Tnet-t)/(Tau_j))))*Salcycl</f>
        <v>9.812096526309784E-2</v>
      </c>
      <c r="P294" s="339">
        <f>(INDEX(Models!$BJ294:$BT294,,T294)*(1-R294)+INDEX(Models!$BJ294:$BT294,,T294+1)*R294-ERP_i)*Q294*Ramure*Pc/MaxiM</f>
        <v>1.9778176623632634E-3</v>
      </c>
      <c r="Q294" s="305">
        <f t="shared" si="105"/>
        <v>0.7</v>
      </c>
      <c r="R294" s="177">
        <f t="shared" si="106"/>
        <v>0.39643222761108854</v>
      </c>
      <c r="S294" s="810">
        <f t="shared" si="107"/>
        <v>0</v>
      </c>
      <c r="T294" s="176">
        <f t="shared" si="108"/>
        <v>6</v>
      </c>
      <c r="U294" s="251">
        <f t="shared" si="109"/>
        <v>0.39643222761108854</v>
      </c>
      <c r="V294" s="383">
        <f t="shared" si="110"/>
        <v>32.707115627114334</v>
      </c>
      <c r="W294" s="402">
        <f t="shared" si="111"/>
        <v>0</v>
      </c>
      <c r="X294" s="157">
        <f t="shared" si="112"/>
        <v>44841</v>
      </c>
      <c r="Y294" s="385">
        <f t="shared" si="113"/>
        <v>22.816139675628115</v>
      </c>
      <c r="Z294" s="385">
        <f t="shared" si="114"/>
        <v>23.64206101384525</v>
      </c>
      <c r="AA294" s="386">
        <f t="shared" si="115"/>
        <v>27.908742559754494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0.15287974858680894</v>
      </c>
      <c r="AD294" s="231">
        <f>(INDEX(Models!$BJ294:$BT294,,AH294)*(1-AF294)+INDEX(Models!$BJ294:$BT294,,AH294+1)*AF294-ERP_i)*AE294*Ramure*Pc/MaxiM</f>
        <v>1.9778176623632634E-3</v>
      </c>
      <c r="AE294" s="305">
        <f t="shared" si="117"/>
        <v>0.7</v>
      </c>
      <c r="AF294" s="177">
        <f t="shared" si="118"/>
        <v>0.39643222761108854</v>
      </c>
      <c r="AG294" s="810">
        <f t="shared" si="124"/>
        <v>0</v>
      </c>
      <c r="AH294" s="176">
        <f t="shared" si="119"/>
        <v>6</v>
      </c>
      <c r="AI294" s="225">
        <f t="shared" si="120"/>
        <v>0.39643222761108854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42">
        <v>16.085000000000001</v>
      </c>
      <c r="C295" s="840"/>
      <c r="D295" s="393">
        <f t="shared" si="102"/>
        <v>16.667648723697205</v>
      </c>
      <c r="E295" s="385">
        <f t="shared" si="100"/>
        <v>18.482086207356925</v>
      </c>
      <c r="F295" s="385">
        <f t="shared" si="103"/>
        <v>18.492523558196922</v>
      </c>
      <c r="G295" s="110">
        <f t="shared" si="101"/>
        <v>0.4964435854561921</v>
      </c>
      <c r="H295" s="414" t="b">
        <f>Wh_hp&gt;='2021'!Maxi_hp</f>
        <v>0</v>
      </c>
      <c r="I295" s="380">
        <f>IF(H295,Wh_hp,'2021'!Maxi_hp)</f>
        <v>35.15889638578107</v>
      </c>
      <c r="J295" s="85">
        <f>IF(H295,An,'2021'!An_max)</f>
        <v>2019</v>
      </c>
      <c r="K295" s="197">
        <f t="shared" si="104"/>
        <v>44842</v>
      </c>
      <c r="L295" s="147">
        <f>IF(t&lt;Tvie,1-EXP((T0-t)*PertePVj)+'2021'!Pspv,1-EXP((T0-t)*PertePVj)+Pspv)</f>
        <v>3.4956863643809899E-2</v>
      </c>
      <c r="M295" s="844"/>
      <c r="N295" s="844"/>
      <c r="O295" s="48">
        <f>IF(t&lt;Tnet,'2021'!Resal+('2021'!Salim-'2021'!Resal)*(1-EXP(('2021'!Tnet-t)/('2021'!Tau_j))),Resal+(Salim-Resal)*(1-EXP((Tnet-t)/(Tau_j))))*Salcycl</f>
        <v>9.8172763794244639E-2</v>
      </c>
      <c r="P295" s="339">
        <f>(INDEX(Models!$BJ295:$BT295,,T295)*(1-R295)+INDEX(Models!$BJ295:$BT295,,T295+1)*R295-ERP_i)*Q295*Ramure*Pc/MaxiM</f>
        <v>2.0038911198491387E-3</v>
      </c>
      <c r="Q295" s="305">
        <f t="shared" si="105"/>
        <v>0.7</v>
      </c>
      <c r="R295" s="177">
        <f t="shared" si="106"/>
        <v>0.39655175270377752</v>
      </c>
      <c r="S295" s="810">
        <f t="shared" si="107"/>
        <v>0</v>
      </c>
      <c r="T295" s="176">
        <f t="shared" si="108"/>
        <v>6</v>
      </c>
      <c r="U295" s="251">
        <f t="shared" si="109"/>
        <v>0.39655175270377752</v>
      </c>
      <c r="V295" s="383">
        <f t="shared" si="110"/>
        <v>32.353792713768009</v>
      </c>
      <c r="W295" s="402">
        <f t="shared" si="111"/>
        <v>0</v>
      </c>
      <c r="X295" s="157">
        <f t="shared" si="112"/>
        <v>44842</v>
      </c>
      <c r="Y295" s="385">
        <f t="shared" si="113"/>
        <v>15.109843836149736</v>
      </c>
      <c r="Z295" s="385">
        <f t="shared" si="114"/>
        <v>15.65716937089619</v>
      </c>
      <c r="AA295" s="386">
        <f t="shared" si="115"/>
        <v>18.482086207356925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0.15284621036646046</v>
      </c>
      <c r="AD295" s="231">
        <f>(INDEX(Models!$BJ295:$BT295,,AH295)*(1-AF295)+INDEX(Models!$BJ295:$BT295,,AH295+1)*AF295-ERP_i)*AE295*Ramure*Pc/MaxiM</f>
        <v>2.0038911198491387E-3</v>
      </c>
      <c r="AE295" s="305">
        <f t="shared" si="117"/>
        <v>0.7</v>
      </c>
      <c r="AF295" s="177">
        <f t="shared" si="118"/>
        <v>0.39655175270377752</v>
      </c>
      <c r="AG295" s="810">
        <f t="shared" si="124"/>
        <v>0</v>
      </c>
      <c r="AH295" s="176">
        <f t="shared" si="119"/>
        <v>6</v>
      </c>
      <c r="AI295" s="225">
        <f t="shared" si="120"/>
        <v>0.39655175270377752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42">
        <v>31.531000000000002</v>
      </c>
      <c r="C296" s="840"/>
      <c r="D296" s="393">
        <f t="shared" si="102"/>
        <v>32.673911249778641</v>
      </c>
      <c r="E296" s="385">
        <f t="shared" si="100"/>
        <v>36.232805198156065</v>
      </c>
      <c r="F296" s="385">
        <f t="shared" si="103"/>
        <v>36.30535687657288</v>
      </c>
      <c r="G296" s="110">
        <f t="shared" si="101"/>
        <v>0.98523948388897342</v>
      </c>
      <c r="H296" s="414" t="b">
        <f>Wh_hp&gt;='2021'!Maxi_hp</f>
        <v>1</v>
      </c>
      <c r="I296" s="380">
        <f>IF(H296,Wh_hp,'2021'!Maxi_hp)</f>
        <v>36.30535687657288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3.4979321607430114E-2</v>
      </c>
      <c r="M296" s="844"/>
      <c r="N296" s="844"/>
      <c r="O296" s="48">
        <f>IF(t&lt;Tnet,'2021'!Resal+('2021'!Salim-'2021'!Resal)*(1-EXP(('2021'!Tnet-t)/('2021'!Tau_j))),Resal+(Salim-Resal)*(1-EXP((Tnet-t)/(Tau_j))))*Salcycl</f>
        <v>9.8222975806425861E-2</v>
      </c>
      <c r="P296" s="339">
        <f>(INDEX(Models!$BJ296:$BT296,,T296)*(1-R296)+INDEX(Models!$BJ296:$BT296,,T296+1)*R296-ERP_i)*Q296*Ramure*Pc/MaxiM</f>
        <v>2.0412940038271438E-3</v>
      </c>
      <c r="Q296" s="305">
        <f t="shared" si="105"/>
        <v>0.7</v>
      </c>
      <c r="R296" s="177">
        <f t="shared" si="106"/>
        <v>0.39666653295230758</v>
      </c>
      <c r="S296" s="810">
        <f t="shared" si="107"/>
        <v>0</v>
      </c>
      <c r="T296" s="176">
        <f t="shared" si="108"/>
        <v>6</v>
      </c>
      <c r="U296" s="251">
        <f t="shared" si="109"/>
        <v>0.39666653295230758</v>
      </c>
      <c r="V296" s="383">
        <f t="shared" si="110"/>
        <v>32.002010163670136</v>
      </c>
      <c r="W296" s="402">
        <f t="shared" si="111"/>
        <v>0</v>
      </c>
      <c r="X296" s="157">
        <f t="shared" si="112"/>
        <v>44843</v>
      </c>
      <c r="Y296" s="385">
        <f t="shared" si="113"/>
        <v>29.622327329900706</v>
      </c>
      <c r="Z296" s="385">
        <f t="shared" si="114"/>
        <v>30.696054492057588</v>
      </c>
      <c r="AA296" s="386">
        <f t="shared" si="115"/>
        <v>36.232805198156065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0.15281043451695669</v>
      </c>
      <c r="AD296" s="231">
        <f>(INDEX(Models!$BJ296:$BT296,,AH296)*(1-AF296)+INDEX(Models!$BJ296:$BT296,,AH296+1)*AF296-ERP_i)*AE296*Ramure*Pc/MaxiM</f>
        <v>2.0412940038271438E-3</v>
      </c>
      <c r="AE296" s="305">
        <f t="shared" si="117"/>
        <v>0.7</v>
      </c>
      <c r="AF296" s="177">
        <f t="shared" si="118"/>
        <v>0.39666653295230758</v>
      </c>
      <c r="AG296" s="810">
        <f t="shared" si="124"/>
        <v>0</v>
      </c>
      <c r="AH296" s="176">
        <f t="shared" si="119"/>
        <v>6</v>
      </c>
      <c r="AI296" s="225">
        <f t="shared" si="120"/>
        <v>0.39666653295230758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42">
        <v>25.314</v>
      </c>
      <c r="C297" s="840"/>
      <c r="D297" s="393">
        <f t="shared" si="102"/>
        <v>26.232172713269886</v>
      </c>
      <c r="E297" s="385">
        <f t="shared" ref="E297:E360" si="125">Wh_pvt/(1-Psa)</f>
        <v>29.090990969060432</v>
      </c>
      <c r="F297" s="385">
        <f t="shared" si="103"/>
        <v>29.134466203827284</v>
      </c>
      <c r="G297" s="110">
        <f t="shared" ref="G297:G360" si="126">+Wh_hp/MaxiM</f>
        <v>0.79928190343730665</v>
      </c>
      <c r="H297" s="414" t="b">
        <f>Wh_hp&gt;='2021'!Maxi_hp</f>
        <v>0</v>
      </c>
      <c r="I297" s="380">
        <f>IF(H297,Wh_hp,'2021'!Maxi_hp)</f>
        <v>30.260941693493162</v>
      </c>
      <c r="J297" s="85">
        <f>IF(H297,An,'2021'!An_max)</f>
        <v>2021</v>
      </c>
      <c r="K297" s="197">
        <f t="shared" si="104"/>
        <v>44844</v>
      </c>
      <c r="L297" s="147">
        <f>IF(t&lt;Tvie,1-EXP((T0-t)*PertePVj)+'2021'!Pspv,1-EXP((T0-t)*PertePVj)+Pspv)</f>
        <v>3.5001779048420834E-2</v>
      </c>
      <c r="M297" s="844"/>
      <c r="N297" s="844"/>
      <c r="O297" s="48">
        <f>IF(t&lt;Tnet,'2021'!Resal+('2021'!Salim-'2021'!Resal)*(1-EXP(('2021'!Tnet-t)/('2021'!Tau_j))),Resal+(Salim-Resal)*(1-EXP((Tnet-t)/(Tau_j))))*Salcycl</f>
        <v>9.8271600951340174E-2</v>
      </c>
      <c r="P297" s="339">
        <f>(INDEX(Models!$BJ297:$BT297,,T297)*(1-R297)+INDEX(Models!$BJ297:$BT297,,T297+1)*R297-ERP_i)*Q297*Ramure*Pc/MaxiM</f>
        <v>2.0901176519911814E-3</v>
      </c>
      <c r="Q297" s="305">
        <f t="shared" si="105"/>
        <v>0.7</v>
      </c>
      <c r="R297" s="177">
        <f t="shared" si="106"/>
        <v>0.39677675411918045</v>
      </c>
      <c r="S297" s="810">
        <f t="shared" si="107"/>
        <v>0</v>
      </c>
      <c r="T297" s="176">
        <f t="shared" si="108"/>
        <v>6</v>
      </c>
      <c r="U297" s="251">
        <f t="shared" si="109"/>
        <v>0.39677675411918045</v>
      </c>
      <c r="V297" s="383">
        <f t="shared" si="110"/>
        <v>31.651964427813713</v>
      </c>
      <c r="W297" s="402">
        <f t="shared" si="111"/>
        <v>0</v>
      </c>
      <c r="X297" s="157">
        <f t="shared" si="112"/>
        <v>44844</v>
      </c>
      <c r="Y297" s="385">
        <f t="shared" si="113"/>
        <v>23.784011744506838</v>
      </c>
      <c r="Z297" s="385">
        <f t="shared" si="114"/>
        <v>24.646689732809623</v>
      </c>
      <c r="AA297" s="386">
        <f t="shared" si="115"/>
        <v>29.090990969060432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0.15277242500874313</v>
      </c>
      <c r="AD297" s="231">
        <f>(INDEX(Models!$BJ297:$BT297,,AH297)*(1-AF297)+INDEX(Models!$BJ297:$BT297,,AH297+1)*AF297-ERP_i)*AE297*Ramure*Pc/MaxiM</f>
        <v>2.0901176519911814E-3</v>
      </c>
      <c r="AE297" s="305">
        <f t="shared" si="117"/>
        <v>0.7</v>
      </c>
      <c r="AF297" s="177">
        <f t="shared" si="118"/>
        <v>0.39677675411918045</v>
      </c>
      <c r="AG297" s="810">
        <f t="shared" si="124"/>
        <v>0</v>
      </c>
      <c r="AH297" s="176">
        <f t="shared" si="119"/>
        <v>6</v>
      </c>
      <c r="AI297" s="225">
        <f t="shared" si="120"/>
        <v>0.39677675411918045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42">
        <v>19.676000000000002</v>
      </c>
      <c r="C298" s="840"/>
      <c r="D298" s="393">
        <f t="shared" si="102"/>
        <v>20.39014940412838</v>
      </c>
      <c r="E298" s="385">
        <f t="shared" si="125"/>
        <v>22.613475649311336</v>
      </c>
      <c r="F298" s="385">
        <f t="shared" si="103"/>
        <v>22.63632484356858</v>
      </c>
      <c r="G298" s="110">
        <f t="shared" si="126"/>
        <v>0.62783091999103979</v>
      </c>
      <c r="H298" s="414" t="b">
        <f>Wh_hp&gt;='2021'!Maxi_hp</f>
        <v>0</v>
      </c>
      <c r="I298" s="380">
        <f>IF(H298,Wh_hp,'2021'!Maxi_hp)</f>
        <v>36.235632696328913</v>
      </c>
      <c r="J298" s="85">
        <f>IF(H298,An,'2021'!An_max)</f>
        <v>2019</v>
      </c>
      <c r="K298" s="197">
        <f t="shared" si="104"/>
        <v>44845</v>
      </c>
      <c r="L298" s="147">
        <f>IF(t&lt;Tvie,1-EXP((T0-t)*PertePVj)+'2021'!Pspv,1-EXP((T0-t)*PertePVj)+Pspv)</f>
        <v>3.5024235966794048E-2</v>
      </c>
      <c r="M298" s="844"/>
      <c r="N298" s="844"/>
      <c r="O298" s="48">
        <f>IF(t&lt;Tnet,'2021'!Resal+('2021'!Salim-'2021'!Resal)*(1-EXP(('2021'!Tnet-t)/('2021'!Tau_j))),Resal+(Salim-Resal)*(1-EXP((Tnet-t)/(Tau_j))))*Salcycl</f>
        <v>9.8318643257772106E-2</v>
      </c>
      <c r="P298" s="339">
        <f>(INDEX(Models!$BJ298:$BT298,,T298)*(1-R298)+INDEX(Models!$BJ298:$BT298,,T298+1)*R298-ERP_i)*Q298*Ramure*Pc/MaxiM</f>
        <v>2.1506162610612349E-3</v>
      </c>
      <c r="Q298" s="305">
        <f t="shared" si="105"/>
        <v>0.7</v>
      </c>
      <c r="R298" s="177">
        <f t="shared" si="106"/>
        <v>0.39688259489787348</v>
      </c>
      <c r="S298" s="810">
        <f t="shared" si="107"/>
        <v>0</v>
      </c>
      <c r="T298" s="176">
        <f t="shared" si="108"/>
        <v>6</v>
      </c>
      <c r="U298" s="251">
        <f t="shared" si="109"/>
        <v>0.39688259489787348</v>
      </c>
      <c r="V298" s="383">
        <f t="shared" si="110"/>
        <v>31.30384661053116</v>
      </c>
      <c r="W298" s="402">
        <f t="shared" si="111"/>
        <v>0</v>
      </c>
      <c r="X298" s="157">
        <f t="shared" si="112"/>
        <v>44845</v>
      </c>
      <c r="Y298" s="385">
        <f t="shared" si="113"/>
        <v>18.488617130689686</v>
      </c>
      <c r="Z298" s="385">
        <f t="shared" si="114"/>
        <v>19.159669931413397</v>
      </c>
      <c r="AA298" s="386">
        <f t="shared" si="115"/>
        <v>22.613475649311336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0.15273219258549145</v>
      </c>
      <c r="AD298" s="231">
        <f>(INDEX(Models!$BJ298:$BT298,,AH298)*(1-AF298)+INDEX(Models!$BJ298:$BT298,,AH298+1)*AF298-ERP_i)*AE298*Ramure*Pc/MaxiM</f>
        <v>2.1506162610612349E-3</v>
      </c>
      <c r="AE298" s="305">
        <f t="shared" si="117"/>
        <v>0.7</v>
      </c>
      <c r="AF298" s="177">
        <f t="shared" si="118"/>
        <v>0.39688259489787348</v>
      </c>
      <c r="AG298" s="810">
        <f t="shared" si="124"/>
        <v>0</v>
      </c>
      <c r="AH298" s="176">
        <f t="shared" si="119"/>
        <v>6</v>
      </c>
      <c r="AI298" s="225">
        <f t="shared" si="120"/>
        <v>0.39688259489787348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42">
        <v>23.731000000000002</v>
      </c>
      <c r="C299" s="840"/>
      <c r="D299" s="393">
        <f t="shared" si="102"/>
        <v>24.592899793361248</v>
      </c>
      <c r="E299" s="385">
        <f t="shared" si="125"/>
        <v>27.275866125549058</v>
      </c>
      <c r="F299" s="385">
        <f t="shared" si="103"/>
        <v>27.316340337593637</v>
      </c>
      <c r="G299" s="110">
        <f t="shared" si="126"/>
        <v>0.76598931774718093</v>
      </c>
      <c r="H299" s="414" t="b">
        <f>Wh_hp&gt;='2021'!Maxi_hp</f>
        <v>0</v>
      </c>
      <c r="I299" s="380">
        <f>IF(H299,Wh_hp,'2021'!Maxi_hp)</f>
        <v>34.453612542643434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3.5046692362561971E-2</v>
      </c>
      <c r="M299" s="844"/>
      <c r="N299" s="844"/>
      <c r="O299" s="48">
        <f>IF(t&lt;Tnet,'2021'!Resal+('2021'!Salim-'2021'!Resal)*(1-EXP(('2021'!Tnet-t)/('2021'!Tau_j))),Resal+(Salim-Resal)*(1-EXP((Tnet-t)/(Tau_j))))*Salcycl</f>
        <v>9.836411132971136E-2</v>
      </c>
      <c r="P299" s="339">
        <f>(INDEX(Models!$BJ299:$BT299,,T299)*(1-R299)+INDEX(Models!$BJ299:$BT299,,T299+1)*R299-ERP_i)*Q299*Ramure*Pc/MaxiM</f>
        <v>2.2230429998199935E-3</v>
      </c>
      <c r="Q299" s="305">
        <f t="shared" si="105"/>
        <v>0.7</v>
      </c>
      <c r="R299" s="177">
        <f t="shared" si="106"/>
        <v>0.39698422716579462</v>
      </c>
      <c r="S299" s="810">
        <f t="shared" si="107"/>
        <v>0</v>
      </c>
      <c r="T299" s="176">
        <f t="shared" si="108"/>
        <v>6</v>
      </c>
      <c r="U299" s="251">
        <f t="shared" si="109"/>
        <v>0.39698422716579462</v>
      </c>
      <c r="V299" s="383">
        <f t="shared" si="110"/>
        <v>30.957847815824788</v>
      </c>
      <c r="W299" s="402">
        <f t="shared" si="111"/>
        <v>0</v>
      </c>
      <c r="X299" s="157">
        <f t="shared" si="112"/>
        <v>44846</v>
      </c>
      <c r="Y299" s="385">
        <f t="shared" si="113"/>
        <v>22.301152467035774</v>
      </c>
      <c r="Z299" s="385">
        <f t="shared" si="114"/>
        <v>23.111120808153121</v>
      </c>
      <c r="AA299" s="386">
        <f t="shared" si="115"/>
        <v>27.275866125549058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0.15268975504667326</v>
      </c>
      <c r="AD299" s="231">
        <f>(INDEX(Models!$BJ299:$BT299,,AH299)*(1-AF299)+INDEX(Models!$BJ299:$BT299,,AH299+1)*AF299-ERP_i)*AE299*Ramure*Pc/MaxiM</f>
        <v>2.2230429998199935E-3</v>
      </c>
      <c r="AE299" s="305">
        <f t="shared" si="117"/>
        <v>0.7</v>
      </c>
      <c r="AF299" s="177">
        <f t="shared" si="118"/>
        <v>0.39698422716579462</v>
      </c>
      <c r="AG299" s="810">
        <f t="shared" si="124"/>
        <v>0</v>
      </c>
      <c r="AH299" s="176">
        <f t="shared" si="119"/>
        <v>6</v>
      </c>
      <c r="AI299" s="225">
        <f t="shared" si="120"/>
        <v>0.39698422716579462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42">
        <v>20.411999999999999</v>
      </c>
      <c r="C300" s="840"/>
      <c r="D300" s="393">
        <f t="shared" si="102"/>
        <v>21.153847410598431</v>
      </c>
      <c r="E300" s="385">
        <f t="shared" si="125"/>
        <v>23.462772346257008</v>
      </c>
      <c r="F300" s="385">
        <f t="shared" si="103"/>
        <v>23.491174216741239</v>
      </c>
      <c r="G300" s="110">
        <f t="shared" si="126"/>
        <v>0.66601692480310271</v>
      </c>
      <c r="H300" s="414" t="b">
        <f>Wh_hp&gt;='2021'!Maxi_hp</f>
        <v>0</v>
      </c>
      <c r="I300" s="380">
        <f>IF(H300,Wh_hp,'2021'!Maxi_hp)</f>
        <v>34.605373713118908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3.5069148235736702E-2</v>
      </c>
      <c r="M300" s="844"/>
      <c r="N300" s="844"/>
      <c r="O300" s="48">
        <f>IF(t&lt;Tnet,'2021'!Resal+('2021'!Salim-'2021'!Resal)*(1-EXP(('2021'!Tnet-t)/('2021'!Tau_j))),Resal+(Salim-Resal)*(1-EXP((Tnet-t)/(Tau_j))))*Salcycl</f>
        <v>9.8408018523306273E-2</v>
      </c>
      <c r="P300" s="339">
        <f>(INDEX(Models!$BJ300:$BT300,,T300)*(1-R300)+INDEX(Models!$BJ300:$BT300,,T300+1)*R300-ERP_i)*Q300*Ramure*Pc/MaxiM</f>
        <v>2.3076491026641824E-3</v>
      </c>
      <c r="Q300" s="305">
        <f t="shared" si="105"/>
        <v>0.7</v>
      </c>
      <c r="R300" s="177">
        <f t="shared" si="106"/>
        <v>0.39708181622946997</v>
      </c>
      <c r="S300" s="810">
        <f t="shared" si="107"/>
        <v>0</v>
      </c>
      <c r="T300" s="176">
        <f t="shared" si="108"/>
        <v>6</v>
      </c>
      <c r="U300" s="251">
        <f t="shared" si="109"/>
        <v>0.39708181622946997</v>
      </c>
      <c r="V300" s="383">
        <f t="shared" si="110"/>
        <v>30.614159151685151</v>
      </c>
      <c r="W300" s="402">
        <f t="shared" si="111"/>
        <v>0</v>
      </c>
      <c r="X300" s="157">
        <f t="shared" si="112"/>
        <v>44847</v>
      </c>
      <c r="Y300" s="385">
        <f t="shared" si="113"/>
        <v>19.184074180760998</v>
      </c>
      <c r="Z300" s="385">
        <f t="shared" si="114"/>
        <v>19.881294235421283</v>
      </c>
      <c r="AA300" s="386">
        <f t="shared" si="115"/>
        <v>23.462772346257008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0.15264513749616951</v>
      </c>
      <c r="AD300" s="231">
        <f>(INDEX(Models!$BJ300:$BT300,,AH300)*(1-AF300)+INDEX(Models!$BJ300:$BT300,,AH300+1)*AF300-ERP_i)*AE300*Ramure*Pc/MaxiM</f>
        <v>2.3076491026641824E-3</v>
      </c>
      <c r="AE300" s="305">
        <f t="shared" si="117"/>
        <v>0.7</v>
      </c>
      <c r="AF300" s="177">
        <f t="shared" si="118"/>
        <v>0.39708181622946997</v>
      </c>
      <c r="AG300" s="810">
        <f t="shared" si="124"/>
        <v>0</v>
      </c>
      <c r="AH300" s="176">
        <f t="shared" si="119"/>
        <v>6</v>
      </c>
      <c r="AI300" s="225">
        <f t="shared" si="120"/>
        <v>0.39708181622946997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42">
        <v>17.086000000000002</v>
      </c>
      <c r="C301" s="840"/>
      <c r="D301" s="393">
        <f t="shared" si="102"/>
        <v>17.707380372587203</v>
      </c>
      <c r="E301" s="385">
        <f t="shared" si="125"/>
        <v>19.641049189820809</v>
      </c>
      <c r="F301" s="385">
        <f t="shared" si="103"/>
        <v>19.658904895258459</v>
      </c>
      <c r="G301" s="110">
        <f t="shared" si="126"/>
        <v>0.56355250793464118</v>
      </c>
      <c r="H301" s="414" t="b">
        <f>Wh_hp&gt;='2021'!Maxi_hp</f>
        <v>0</v>
      </c>
      <c r="I301" s="380">
        <f>IF(H301,Wh_hp,'2021'!Maxi_hp)</f>
        <v>35.94304448551074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3.5091603586330566E-2</v>
      </c>
      <c r="M301" s="844"/>
      <c r="N301" s="844"/>
      <c r="O301" s="48">
        <f>IF(t&lt;Tnet,'2021'!Resal+('2021'!Salim-'2021'!Resal)*(1-EXP(('2021'!Tnet-t)/('2021'!Tau_j))),Resal+(Salim-Resal)*(1-EXP((Tnet-t)/(Tau_j))))*Salcycl</f>
        <v>9.845038310049907E-2</v>
      </c>
      <c r="P301" s="339">
        <f>(INDEX(Models!$BJ301:$BT301,,T301)*(1-R301)+INDEX(Models!$BJ301:$BT301,,T301+1)*R301-ERP_i)*Q301*Ramure*Pc/MaxiM</f>
        <v>2.4046829301272083E-3</v>
      </c>
      <c r="Q301" s="305">
        <f t="shared" si="105"/>
        <v>0.7</v>
      </c>
      <c r="R301" s="177">
        <f t="shared" si="106"/>
        <v>0.39717552106209464</v>
      </c>
      <c r="S301" s="810">
        <f t="shared" si="107"/>
        <v>0</v>
      </c>
      <c r="T301" s="176">
        <f t="shared" si="108"/>
        <v>6</v>
      </c>
      <c r="U301" s="251">
        <f t="shared" si="109"/>
        <v>0.39717552106209464</v>
      </c>
      <c r="V301" s="383">
        <f t="shared" si="110"/>
        <v>30.272971732290326</v>
      </c>
      <c r="W301" s="402">
        <f t="shared" si="111"/>
        <v>0</v>
      </c>
      <c r="X301" s="157">
        <f t="shared" si="112"/>
        <v>44848</v>
      </c>
      <c r="Y301" s="385">
        <f t="shared" si="113"/>
        <v>16.05979741452261</v>
      </c>
      <c r="Z301" s="385">
        <f t="shared" si="114"/>
        <v>16.643857048205803</v>
      </c>
      <c r="AA301" s="386">
        <f t="shared" si="115"/>
        <v>19.641049189820809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0.1525983725537603</v>
      </c>
      <c r="AD301" s="231">
        <f>(INDEX(Models!$BJ301:$BT301,,AH301)*(1-AF301)+INDEX(Models!$BJ301:$BT301,,AH301+1)*AF301-ERP_i)*AE301*Ramure*Pc/MaxiM</f>
        <v>2.4046829301272083E-3</v>
      </c>
      <c r="AE301" s="305">
        <f t="shared" si="117"/>
        <v>0.7</v>
      </c>
      <c r="AF301" s="177">
        <f t="shared" si="118"/>
        <v>0.39717552106209464</v>
      </c>
      <c r="AG301" s="810">
        <f t="shared" si="124"/>
        <v>0</v>
      </c>
      <c r="AH301" s="176">
        <f t="shared" si="119"/>
        <v>6</v>
      </c>
      <c r="AI301" s="225">
        <f t="shared" si="120"/>
        <v>0.39717552106209464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42">
        <v>30.080000000000002</v>
      </c>
      <c r="C302" s="840"/>
      <c r="D302" s="393">
        <f t="shared" si="102"/>
        <v>31.17466915371164</v>
      </c>
      <c r="E302" s="385">
        <f t="shared" si="125"/>
        <v>34.580550000536753</v>
      </c>
      <c r="F302" s="385">
        <f t="shared" si="103"/>
        <v>34.66771812955794</v>
      </c>
      <c r="G302" s="110">
        <f t="shared" si="126"/>
        <v>1.004861395070501</v>
      </c>
      <c r="H302" s="414" t="b">
        <f>Wh_hp&gt;='2021'!Maxi_hp</f>
        <v>1</v>
      </c>
      <c r="I302" s="380">
        <f>IF(H302,Wh_hp,'2021'!Maxi_hp)</f>
        <v>34.66771812955794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3.5114058414355553E-2</v>
      </c>
      <c r="M302" s="844"/>
      <c r="N302" s="844"/>
      <c r="O302" s="48">
        <f>IF(t&lt;Tnet,'2021'!Resal+('2021'!Salim-'2021'!Resal)*(1-EXP(('2021'!Tnet-t)/('2021'!Tau_j))),Resal+(Salim-Resal)*(1-EXP((Tnet-t)/(Tau_j))))*Salcycl</f>
        <v>9.84912283573353E-2</v>
      </c>
      <c r="P302" s="339">
        <f>(INDEX(Models!$BJ302:$BT302,,T302)*(1-R302)+INDEX(Models!$BJ302:$BT302,,T302+1)*R302-ERP_i)*Q302*Ramure*Pc/MaxiM</f>
        <v>2.5143889971479881E-3</v>
      </c>
      <c r="Q302" s="305">
        <f t="shared" si="105"/>
        <v>0.7</v>
      </c>
      <c r="R302" s="177">
        <f t="shared" si="106"/>
        <v>0.39726549453358739</v>
      </c>
      <c r="S302" s="810">
        <f t="shared" si="107"/>
        <v>0</v>
      </c>
      <c r="T302" s="176">
        <f t="shared" si="108"/>
        <v>6</v>
      </c>
      <c r="U302" s="251">
        <f t="shared" si="109"/>
        <v>0.39726549453358739</v>
      </c>
      <c r="V302" s="383">
        <f t="shared" si="110"/>
        <v>29.934476682617102</v>
      </c>
      <c r="W302" s="402">
        <f t="shared" si="111"/>
        <v>0</v>
      </c>
      <c r="X302" s="157">
        <f t="shared" si="112"/>
        <v>44849</v>
      </c>
      <c r="Y302" s="385">
        <f t="shared" si="113"/>
        <v>28.276276200520996</v>
      </c>
      <c r="Z302" s="385">
        <f t="shared" si="114"/>
        <v>29.305304370020359</v>
      </c>
      <c r="AA302" s="386">
        <f t="shared" si="115"/>
        <v>34.580550000536753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0.15254950052658259</v>
      </c>
      <c r="AD302" s="231">
        <f>(INDEX(Models!$BJ302:$BT302,,AH302)*(1-AF302)+INDEX(Models!$BJ302:$BT302,,AH302+1)*AF302-ERP_i)*AE302*Ramure*Pc/MaxiM</f>
        <v>2.5143889971479881E-3</v>
      </c>
      <c r="AE302" s="305">
        <f t="shared" si="117"/>
        <v>0.7</v>
      </c>
      <c r="AF302" s="177">
        <f t="shared" si="118"/>
        <v>0.39726549453358739</v>
      </c>
      <c r="AG302" s="810">
        <f t="shared" si="124"/>
        <v>0</v>
      </c>
      <c r="AH302" s="176">
        <f t="shared" si="119"/>
        <v>6</v>
      </c>
      <c r="AI302" s="225">
        <f t="shared" si="120"/>
        <v>0.39726549453358739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42">
        <v>27.489000000000001</v>
      </c>
      <c r="C303" s="840"/>
      <c r="D303" s="393">
        <f t="shared" si="102"/>
        <v>28.490040676622446</v>
      </c>
      <c r="E303" s="385">
        <f t="shared" si="125"/>
        <v>31.604001345654826</v>
      </c>
      <c r="F303" s="385">
        <f t="shared" si="103"/>
        <v>31.679035392812757</v>
      </c>
      <c r="G303" s="110">
        <f t="shared" si="126"/>
        <v>0.92848302197943744</v>
      </c>
      <c r="H303" s="414" t="b">
        <f>Wh_hp&gt;='2021'!Maxi_hp</f>
        <v>0</v>
      </c>
      <c r="I303" s="380">
        <f>IF(H303,Wh_hp,'2021'!Maxi_hp)</f>
        <v>32.78605431375631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3.5136512719823876E-2</v>
      </c>
      <c r="M303" s="844"/>
      <c r="N303" s="844"/>
      <c r="O303" s="48">
        <f>IF(t&lt;Tnet,'2021'!Resal+('2021'!Salim-'2021'!Resal)*(1-EXP(('2021'!Tnet-t)/('2021'!Tau_j))),Resal+(Salim-Resal)*(1-EXP((Tnet-t)/(Tau_j))))*Salcycl</f>
        <v>9.8530582725105231E-2</v>
      </c>
      <c r="P303" s="339">
        <f>(INDEX(Models!$BJ303:$BT303,,T303)*(1-R303)+INDEX(Models!$BJ303:$BT303,,T303+1)*R303-ERP_i)*Q303*Ramure*Pc/MaxiM</f>
        <v>2.6370492202352712E-3</v>
      </c>
      <c r="Q303" s="305">
        <f t="shared" si="105"/>
        <v>0.7</v>
      </c>
      <c r="R303" s="177">
        <f t="shared" si="106"/>
        <v>0.39735188363329382</v>
      </c>
      <c r="S303" s="810">
        <f t="shared" si="107"/>
        <v>0</v>
      </c>
      <c r="T303" s="176">
        <f t="shared" si="108"/>
        <v>6</v>
      </c>
      <c r="U303" s="251">
        <f t="shared" si="109"/>
        <v>0.39735188363329382</v>
      </c>
      <c r="V303" s="383">
        <f t="shared" si="110"/>
        <v>29.598389665616228</v>
      </c>
      <c r="W303" s="402">
        <f t="shared" si="111"/>
        <v>0</v>
      </c>
      <c r="X303" s="157">
        <f t="shared" si="112"/>
        <v>44850</v>
      </c>
      <c r="Y303" s="385">
        <f t="shared" si="113"/>
        <v>25.843324660306347</v>
      </c>
      <c r="Z303" s="385">
        <f t="shared" si="114"/>
        <v>26.784436348768153</v>
      </c>
      <c r="AA303" s="386">
        <f t="shared" si="115"/>
        <v>31.604001345654826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0.1524985695379141</v>
      </c>
      <c r="AD303" s="231">
        <f>(INDEX(Models!$BJ303:$BT303,,AH303)*(1-AF303)+INDEX(Models!$BJ303:$BT303,,AH303+1)*AF303-ERP_i)*AE303*Ramure*Pc/MaxiM</f>
        <v>2.6370492202352712E-3</v>
      </c>
      <c r="AE303" s="305">
        <f t="shared" si="117"/>
        <v>0.7</v>
      </c>
      <c r="AF303" s="177">
        <f t="shared" si="118"/>
        <v>0.39735188363329382</v>
      </c>
      <c r="AG303" s="810">
        <f t="shared" si="124"/>
        <v>0</v>
      </c>
      <c r="AH303" s="176">
        <f t="shared" si="119"/>
        <v>6</v>
      </c>
      <c r="AI303" s="225">
        <f t="shared" si="120"/>
        <v>0.39735188363329382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42">
        <v>17.766000000000002</v>
      </c>
      <c r="C304" s="840"/>
      <c r="D304" s="393">
        <f t="shared" si="102"/>
        <v>18.413395972187988</v>
      </c>
      <c r="E304" s="385">
        <f t="shared" si="125"/>
        <v>20.426838379219411</v>
      </c>
      <c r="F304" s="385">
        <f t="shared" si="103"/>
        <v>20.451625638624275</v>
      </c>
      <c r="G304" s="110">
        <f t="shared" si="126"/>
        <v>0.60613902878997172</v>
      </c>
      <c r="H304" s="414" t="b">
        <f>Wh_hp&gt;='2021'!Maxi_hp</f>
        <v>0</v>
      </c>
      <c r="I304" s="380">
        <f>IF(H304,Wh_hp,'2021'!Maxi_hp)</f>
        <v>30.316240270106746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3.5158966502747746E-2</v>
      </c>
      <c r="M304" s="844"/>
      <c r="N304" s="844"/>
      <c r="O304" s="48">
        <f>IF(t&lt;Tnet,'2021'!Resal+('2021'!Salim-'2021'!Resal)*(1-EXP(('2021'!Tnet-t)/('2021'!Tau_j))),Resal+(Salim-Resal)*(1-EXP((Tnet-t)/(Tau_j))))*Salcycl</f>
        <v>9.8568479842662884E-2</v>
      </c>
      <c r="P304" s="339">
        <f>(INDEX(Models!$BJ304:$BT304,,T304)*(1-R304)+INDEX(Models!$BJ304:$BT304,,T304+1)*R304-ERP_i)*Q304*Ramure*Pc/MaxiM</f>
        <v>2.7627710436722904E-3</v>
      </c>
      <c r="Q304" s="305">
        <f t="shared" si="105"/>
        <v>0.7</v>
      </c>
      <c r="R304" s="177">
        <f t="shared" si="106"/>
        <v>0.39743482968548971</v>
      </c>
      <c r="S304" s="810">
        <f t="shared" si="107"/>
        <v>0</v>
      </c>
      <c r="T304" s="176">
        <f t="shared" si="108"/>
        <v>6</v>
      </c>
      <c r="U304" s="251">
        <f t="shared" si="109"/>
        <v>0.39743482968548971</v>
      </c>
      <c r="V304" s="383">
        <f t="shared" si="110"/>
        <v>29.26459876448099</v>
      </c>
      <c r="W304" s="402">
        <f t="shared" si="111"/>
        <v>0</v>
      </c>
      <c r="X304" s="157">
        <f t="shared" si="112"/>
        <v>44851</v>
      </c>
      <c r="Y304" s="385">
        <f t="shared" si="113"/>
        <v>16.704153894139107</v>
      </c>
      <c r="Z304" s="385">
        <f t="shared" si="114"/>
        <v>17.312856018977222</v>
      </c>
      <c r="AA304" s="386">
        <f t="shared" si="115"/>
        <v>20.426838379219411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0.15244563561094701</v>
      </c>
      <c r="AD304" s="231">
        <f>(INDEX(Models!$BJ304:$BT304,,AH304)*(1-AF304)+INDEX(Models!$BJ304:$BT304,,AH304+1)*AF304-ERP_i)*AE304*Ramure*Pc/MaxiM</f>
        <v>2.7627710436722904E-3</v>
      </c>
      <c r="AE304" s="305">
        <f t="shared" si="117"/>
        <v>0.7</v>
      </c>
      <c r="AF304" s="177">
        <f t="shared" si="118"/>
        <v>0.39743482968548971</v>
      </c>
      <c r="AG304" s="810">
        <f t="shared" si="124"/>
        <v>0</v>
      </c>
      <c r="AH304" s="176">
        <f t="shared" si="119"/>
        <v>6</v>
      </c>
      <c r="AI304" s="225">
        <f t="shared" si="120"/>
        <v>0.39743482968548971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42">
        <v>28.042999999999999</v>
      </c>
      <c r="C305" s="840"/>
      <c r="D305" s="393">
        <f t="shared" si="102"/>
        <v>29.065567946582775</v>
      </c>
      <c r="E305" s="385">
        <f t="shared" si="125"/>
        <v>32.245094116992689</v>
      </c>
      <c r="F305" s="385">
        <f t="shared" si="103"/>
        <v>32.334235693640402</v>
      </c>
      <c r="G305" s="110">
        <f t="shared" si="126"/>
        <v>0.96910493779111062</v>
      </c>
      <c r="H305" s="414" t="b">
        <f>Wh_hp&gt;='2021'!Maxi_hp</f>
        <v>0</v>
      </c>
      <c r="I305" s="380">
        <f>IF(H305,Wh_hp,'2021'!Maxi_hp)</f>
        <v>34.363592336640075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3.5181419763139266E-2</v>
      </c>
      <c r="M305" s="844"/>
      <c r="N305" s="844"/>
      <c r="O305" s="48">
        <f>IF(t&lt;Tnet,'2021'!Resal+('2021'!Salim-'2021'!Resal)*(1-EXP(('2021'!Tnet-t)/('2021'!Tau_j))),Resal+(Salim-Resal)*(1-EXP((Tnet-t)/(Tau_j))))*Salcycl</f>
        <v>9.8604958598472514E-2</v>
      </c>
      <c r="P305" s="339">
        <f>(INDEX(Models!$BJ305:$BT305,,T305)*(1-R305)+INDEX(Models!$BJ305:$BT305,,T305+1)*R305-ERP_i)*Q305*Ramure*Pc/MaxiM</f>
        <v>2.8836434234941971E-3</v>
      </c>
      <c r="Q305" s="305">
        <f t="shared" si="105"/>
        <v>0.7</v>
      </c>
      <c r="R305" s="177">
        <f t="shared" si="106"/>
        <v>0.39751446855784206</v>
      </c>
      <c r="S305" s="810">
        <f t="shared" si="107"/>
        <v>0</v>
      </c>
      <c r="T305" s="176">
        <f t="shared" si="108"/>
        <v>6</v>
      </c>
      <c r="U305" s="251">
        <f t="shared" si="109"/>
        <v>0.39751446855784206</v>
      </c>
      <c r="V305" s="383">
        <f t="shared" si="110"/>
        <v>28.933332424144623</v>
      </c>
      <c r="W305" s="402">
        <f t="shared" si="111"/>
        <v>0</v>
      </c>
      <c r="X305" s="157">
        <f t="shared" si="112"/>
        <v>44852</v>
      </c>
      <c r="Y305" s="385">
        <f t="shared" si="113"/>
        <v>26.369687816887275</v>
      </c>
      <c r="Z305" s="385">
        <f t="shared" si="114"/>
        <v>27.331239630992158</v>
      </c>
      <c r="AA305" s="386">
        <f t="shared" si="115"/>
        <v>32.245094116992689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0.15239076270554294</v>
      </c>
      <c r="AD305" s="231">
        <f>(INDEX(Models!$BJ305:$BT305,,AH305)*(1-AF305)+INDEX(Models!$BJ305:$BT305,,AH305+1)*AF305-ERP_i)*AE305*Ramure*Pc/MaxiM</f>
        <v>2.8836434234941971E-3</v>
      </c>
      <c r="AE305" s="305">
        <f t="shared" si="117"/>
        <v>0.7</v>
      </c>
      <c r="AF305" s="177">
        <f t="shared" si="118"/>
        <v>0.39751446855784206</v>
      </c>
      <c r="AG305" s="810">
        <f t="shared" si="124"/>
        <v>0</v>
      </c>
      <c r="AH305" s="176">
        <f t="shared" si="119"/>
        <v>6</v>
      </c>
      <c r="AI305" s="225">
        <f t="shared" si="120"/>
        <v>0.39751446855784206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42">
        <v>14.093999999999999</v>
      </c>
      <c r="C306" s="840"/>
      <c r="D306" s="393">
        <f t="shared" si="102"/>
        <v>14.608267589688021</v>
      </c>
      <c r="E306" s="385">
        <f t="shared" si="125"/>
        <v>16.206919114462199</v>
      </c>
      <c r="F306" s="385">
        <f t="shared" si="103"/>
        <v>16.220313899653281</v>
      </c>
      <c r="G306" s="110">
        <f t="shared" si="126"/>
        <v>0.49164628298915219</v>
      </c>
      <c r="H306" s="414" t="b">
        <f>Wh_hp&gt;='2021'!Maxi_hp</f>
        <v>0</v>
      </c>
      <c r="I306" s="380">
        <f>IF(H306,Wh_hp,'2021'!Maxi_hp)</f>
        <v>32.663950512475992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3.5203872501010536E-2</v>
      </c>
      <c r="M306" s="844"/>
      <c r="N306" s="844"/>
      <c r="O306" s="48">
        <f>IF(t&lt;Tnet,'2021'!Resal+('2021'!Salim-'2021'!Resal)*(1-EXP(('2021'!Tnet-t)/('2021'!Tau_j))),Resal+(Salim-Resal)*(1-EXP((Tnet-t)/(Tau_j))))*Salcycl</f>
        <v>9.8640063141157114E-2</v>
      </c>
      <c r="P306" s="339">
        <f>(INDEX(Models!$BJ306:$BT306,,T306)*(1-R306)+INDEX(Models!$BJ306:$BT306,,T306+1)*R306-ERP_i)*Q306*Ramure*Pc/MaxiM</f>
        <v>2.9995203458112506E-3</v>
      </c>
      <c r="Q306" s="305">
        <f t="shared" si="105"/>
        <v>0.7</v>
      </c>
      <c r="R306" s="177">
        <f t="shared" si="106"/>
        <v>0.39759093086298614</v>
      </c>
      <c r="S306" s="810">
        <f t="shared" si="107"/>
        <v>0</v>
      </c>
      <c r="T306" s="176">
        <f t="shared" si="108"/>
        <v>6</v>
      </c>
      <c r="U306" s="251">
        <f t="shared" si="109"/>
        <v>0.39759093086298614</v>
      </c>
      <c r="V306" s="383">
        <f t="shared" si="110"/>
        <v>28.604585847461482</v>
      </c>
      <c r="W306" s="402">
        <f t="shared" si="111"/>
        <v>0</v>
      </c>
      <c r="X306" s="157">
        <f t="shared" si="112"/>
        <v>44853</v>
      </c>
      <c r="Y306" s="385">
        <f t="shared" si="113"/>
        <v>13.254421231113716</v>
      </c>
      <c r="Z306" s="385">
        <f t="shared" si="114"/>
        <v>13.738053930080268</v>
      </c>
      <c r="AA306" s="386">
        <f t="shared" si="115"/>
        <v>16.206919114462199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0.1523340227063173</v>
      </c>
      <c r="AD306" s="231">
        <f>(INDEX(Models!$BJ306:$BT306,,AH306)*(1-AF306)+INDEX(Models!$BJ306:$BT306,,AH306+1)*AF306-ERP_i)*AE306*Ramure*Pc/MaxiM</f>
        <v>2.9995203458112506E-3</v>
      </c>
      <c r="AE306" s="305">
        <f t="shared" si="117"/>
        <v>0.7</v>
      </c>
      <c r="AF306" s="177">
        <f t="shared" si="118"/>
        <v>0.39759093086298614</v>
      </c>
      <c r="AG306" s="810">
        <f t="shared" si="124"/>
        <v>0</v>
      </c>
      <c r="AH306" s="176">
        <f t="shared" si="119"/>
        <v>6</v>
      </c>
      <c r="AI306" s="225">
        <f t="shared" si="120"/>
        <v>0.39759093086298614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42">
        <v>6.2119999999999997</v>
      </c>
      <c r="C307" s="840"/>
      <c r="D307" s="393">
        <f t="shared" si="102"/>
        <v>6.4388158167497505</v>
      </c>
      <c r="E307" s="385">
        <f t="shared" si="125"/>
        <v>7.1437134778861129</v>
      </c>
      <c r="F307" s="385">
        <f t="shared" si="103"/>
        <v>7.1437134778861129</v>
      </c>
      <c r="G307" s="110">
        <f t="shared" si="126"/>
        <v>0.21899008276339424</v>
      </c>
      <c r="H307" s="414" t="b">
        <f>Wh_hp&gt;='2021'!Maxi_hp</f>
        <v>0</v>
      </c>
      <c r="I307" s="380">
        <f>IF(H307,Wh_hp,'2021'!Maxi_hp)</f>
        <v>26.876972034227109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3.522632471637388E-2</v>
      </c>
      <c r="M307" s="844"/>
      <c r="N307" s="844"/>
      <c r="O307" s="48">
        <f>IF(t&lt;Tnet,'2021'!Resal+('2021'!Salim-'2021'!Resal)*(1-EXP(('2021'!Tnet-t)/('2021'!Tau_j))),Resal+(Salim-Resal)*(1-EXP((Tnet-t)/(Tau_j))))*Salcycl</f>
        <v>9.8673842857559368E-2</v>
      </c>
      <c r="P307" s="339">
        <f>(INDEX(Models!$BJ307:$BT307,,T307)*(1-R307)+INDEX(Models!$BJ307:$BT307,,T307+1)*R307-ERP_i)*Q307*Ramure*Pc/MaxiM</f>
        <v>3.1102573069236986E-3</v>
      </c>
      <c r="Q307" s="305">
        <f t="shared" si="105"/>
        <v>0.7</v>
      </c>
      <c r="R307" s="177">
        <f t="shared" si="106"/>
        <v>0.39766434215338087</v>
      </c>
      <c r="S307" s="810">
        <f t="shared" si="107"/>
        <v>0</v>
      </c>
      <c r="T307" s="176">
        <f t="shared" si="108"/>
        <v>6</v>
      </c>
      <c r="U307" s="251">
        <f t="shared" si="109"/>
        <v>0.39766434215338087</v>
      </c>
      <c r="V307" s="383">
        <f t="shared" si="110"/>
        <v>28.278353994231836</v>
      </c>
      <c r="W307" s="402">
        <f t="shared" si="111"/>
        <v>0</v>
      </c>
      <c r="X307" s="157">
        <f t="shared" si="112"/>
        <v>44854</v>
      </c>
      <c r="Y307" s="385">
        <f t="shared" si="113"/>
        <v>5.8425738353298993</v>
      </c>
      <c r="Z307" s="385">
        <f t="shared" si="114"/>
        <v>6.055900969325565</v>
      </c>
      <c r="AA307" s="386">
        <f t="shared" si="115"/>
        <v>7.1437134778861129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0.15227549536077431</v>
      </c>
      <c r="AD307" s="231">
        <f>(INDEX(Models!$BJ307:$BT307,,AH307)*(1-AF307)+INDEX(Models!$BJ307:$BT307,,AH307+1)*AF307-ERP_i)*AE307*Ramure*Pc/MaxiM</f>
        <v>3.1102573069236986E-3</v>
      </c>
      <c r="AE307" s="305">
        <f t="shared" si="117"/>
        <v>0.7</v>
      </c>
      <c r="AF307" s="177">
        <f t="shared" si="118"/>
        <v>0.39766434215338087</v>
      </c>
      <c r="AG307" s="810">
        <f t="shared" si="124"/>
        <v>0</v>
      </c>
      <c r="AH307" s="176">
        <f t="shared" si="119"/>
        <v>6</v>
      </c>
      <c r="AI307" s="225">
        <f t="shared" si="120"/>
        <v>0.39766434215338087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42">
        <v>14.262</v>
      </c>
      <c r="C308" s="840"/>
      <c r="D308" s="393">
        <f t="shared" si="102"/>
        <v>14.783085681837758</v>
      </c>
      <c r="E308" s="385">
        <f t="shared" si="125"/>
        <v>16.402074639992051</v>
      </c>
      <c r="F308" s="385">
        <f t="shared" si="103"/>
        <v>16.417927097190095</v>
      </c>
      <c r="G308" s="110">
        <f t="shared" si="126"/>
        <v>0.50903469234043919</v>
      </c>
      <c r="H308" s="414" t="b">
        <f>Wh_hp&gt;='2021'!Maxi_hp</f>
        <v>0</v>
      </c>
      <c r="I308" s="380">
        <f>IF(H308,Wh_hp,'2021'!Maxi_hp)</f>
        <v>23.519569000870998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3.52487764092414E-2</v>
      </c>
      <c r="M308" s="844"/>
      <c r="N308" s="844"/>
      <c r="O308" s="48">
        <f>IF(t&lt;Tnet,'2021'!Resal+('2021'!Salim-'2021'!Resal)*(1-EXP(('2021'!Tnet-t)/('2021'!Tau_j))),Resal+(Salim-Resal)*(1-EXP((Tnet-t)/(Tau_j))))*Salcycl</f>
        <v>9.8706352317579599E-2</v>
      </c>
      <c r="P308" s="339">
        <f>(INDEX(Models!$BJ308:$BT308,,T308)*(1-R308)+INDEX(Models!$BJ308:$BT308,,T308+1)*R308-ERP_i)*Q308*Ramure*Pc/MaxiM</f>
        <v>3.2157115060443974E-3</v>
      </c>
      <c r="Q308" s="305">
        <f t="shared" si="105"/>
        <v>0.7</v>
      </c>
      <c r="R308" s="177">
        <f t="shared" si="106"/>
        <v>0.39773482310960911</v>
      </c>
      <c r="S308" s="810">
        <f t="shared" si="107"/>
        <v>0</v>
      </c>
      <c r="T308" s="176">
        <f t="shared" si="108"/>
        <v>6</v>
      </c>
      <c r="U308" s="251">
        <f t="shared" si="109"/>
        <v>0.39773482310960911</v>
      </c>
      <c r="V308" s="383">
        <f t="shared" si="110"/>
        <v>27.954631590560417</v>
      </c>
      <c r="W308" s="402">
        <f t="shared" si="111"/>
        <v>0</v>
      </c>
      <c r="X308" s="157">
        <f t="shared" si="112"/>
        <v>44855</v>
      </c>
      <c r="Y308" s="385">
        <f t="shared" si="113"/>
        <v>13.415279111861915</v>
      </c>
      <c r="Z308" s="385">
        <f t="shared" si="114"/>
        <v>13.905428450176904</v>
      </c>
      <c r="AA308" s="386">
        <f t="shared" si="115"/>
        <v>16.402074639992051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0.15221526816661018</v>
      </c>
      <c r="AD308" s="231">
        <f>(INDEX(Models!$BJ308:$BT308,,AH308)*(1-AF308)+INDEX(Models!$BJ308:$BT308,,AH308+1)*AF308-ERP_i)*AE308*Ramure*Pc/MaxiM</f>
        <v>3.2157115060443974E-3</v>
      </c>
      <c r="AE308" s="305">
        <f t="shared" si="117"/>
        <v>0.7</v>
      </c>
      <c r="AF308" s="177">
        <f t="shared" si="118"/>
        <v>0.39773482310960911</v>
      </c>
      <c r="AG308" s="810">
        <f t="shared" si="124"/>
        <v>0</v>
      </c>
      <c r="AH308" s="176">
        <f t="shared" si="119"/>
        <v>6</v>
      </c>
      <c r="AI308" s="225">
        <f t="shared" si="120"/>
        <v>0.39773482310960911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42">
        <v>27.02</v>
      </c>
      <c r="C309" s="840"/>
      <c r="D309" s="393">
        <f t="shared" si="102"/>
        <v>28.007872028332329</v>
      </c>
      <c r="E309" s="385">
        <f t="shared" si="125"/>
        <v>31.076269928692259</v>
      </c>
      <c r="F309" s="385">
        <f t="shared" si="103"/>
        <v>31.176364576102721</v>
      </c>
      <c r="G309" s="110">
        <f t="shared" si="126"/>
        <v>0.97769861470121</v>
      </c>
      <c r="H309" s="414" t="b">
        <f>Wh_hp&gt;='2021'!Maxi_hp</f>
        <v>1</v>
      </c>
      <c r="I309" s="380">
        <f>IF(H309,Wh_hp,'2021'!Maxi_hp)</f>
        <v>31.176364576102721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3.5271227579625197E-2</v>
      </c>
      <c r="M309" s="844"/>
      <c r="N309" s="844"/>
      <c r="O309" s="48">
        <f>IF(t&lt;Tnet,'2021'!Resal+('2021'!Salim-'2021'!Resal)*(1-EXP(('2021'!Tnet-t)/('2021'!Tau_j))),Resal+(Salim-Resal)*(1-EXP((Tnet-t)/(Tau_j))))*Salcycl</f>
        <v>9.8737651185315647E-2</v>
      </c>
      <c r="P309" s="339">
        <f>(INDEX(Models!$BJ309:$BT309,,T309)*(1-R309)+INDEX(Models!$BJ309:$BT309,,T309+1)*R309-ERP_i)*Q309*Ramure*Pc/MaxiM</f>
        <v>3.3157420007605938E-3</v>
      </c>
      <c r="Q309" s="305">
        <f t="shared" si="105"/>
        <v>0.7</v>
      </c>
      <c r="R309" s="177">
        <f t="shared" si="106"/>
        <v>0.39780248972228582</v>
      </c>
      <c r="S309" s="810">
        <f t="shared" si="107"/>
        <v>0</v>
      </c>
      <c r="T309" s="176">
        <f t="shared" si="108"/>
        <v>6</v>
      </c>
      <c r="U309" s="251">
        <f t="shared" si="109"/>
        <v>0.39780248972228582</v>
      </c>
      <c r="V309" s="383">
        <f t="shared" si="110"/>
        <v>27.633413142203658</v>
      </c>
      <c r="W309" s="402">
        <f t="shared" si="111"/>
        <v>0</v>
      </c>
      <c r="X309" s="157">
        <f t="shared" si="112"/>
        <v>44856</v>
      </c>
      <c r="Y309" s="385">
        <f t="shared" si="113"/>
        <v>25.418585591417163</v>
      </c>
      <c r="Z309" s="385">
        <f t="shared" si="114"/>
        <v>26.34790867452346</v>
      </c>
      <c r="AA309" s="386">
        <f t="shared" si="115"/>
        <v>31.076269928692259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0.1521534362077083</v>
      </c>
      <c r="AD309" s="231">
        <f>(INDEX(Models!$BJ309:$BT309,,AH309)*(1-AF309)+INDEX(Models!$BJ309:$BT309,,AH309+1)*AF309-ERP_i)*AE309*Ramure*Pc/MaxiM</f>
        <v>3.3157420007605938E-3</v>
      </c>
      <c r="AE309" s="305">
        <f t="shared" si="117"/>
        <v>0.7</v>
      </c>
      <c r="AF309" s="177">
        <f t="shared" si="118"/>
        <v>0.39780248972228582</v>
      </c>
      <c r="AG309" s="810">
        <f t="shared" si="124"/>
        <v>0</v>
      </c>
      <c r="AH309" s="176">
        <f t="shared" si="119"/>
        <v>6</v>
      </c>
      <c r="AI309" s="225">
        <f t="shared" si="120"/>
        <v>0.39780248972228582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42">
        <v>15.513</v>
      </c>
      <c r="C310" s="840"/>
      <c r="D310" s="393">
        <f t="shared" si="102"/>
        <v>16.08054145586798</v>
      </c>
      <c r="E310" s="385">
        <f t="shared" si="125"/>
        <v>17.842839535646466</v>
      </c>
      <c r="F310" s="385">
        <f t="shared" si="103"/>
        <v>17.866105086106966</v>
      </c>
      <c r="G310" s="110">
        <f t="shared" si="126"/>
        <v>0.56673732713427094</v>
      </c>
      <c r="H310" s="414" t="b">
        <f>Wh_hp&gt;='2021'!Maxi_hp</f>
        <v>0</v>
      </c>
      <c r="I310" s="380">
        <f>IF(H310,Wh_hp,'2021'!Maxi_hp)</f>
        <v>32.867779364445255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3.5293678227537373E-2</v>
      </c>
      <c r="M310" s="844"/>
      <c r="N310" s="844"/>
      <c r="O310" s="48">
        <f>IF(t&lt;Tnet,'2021'!Resal+('2021'!Salim-'2021'!Resal)*(1-EXP(('2021'!Tnet-t)/('2021'!Tau_j))),Resal+(Salim-Resal)*(1-EXP((Tnet-t)/(Tau_j))))*Salcycl</f>
        <v>9.8767804096302161E-2</v>
      </c>
      <c r="P310" s="339">
        <f>(INDEX(Models!$BJ310:$BT310,,T310)*(1-R310)+INDEX(Models!$BJ310:$BT310,,T310+1)*R310-ERP_i)*Q310*Ramure*Pc/MaxiM</f>
        <v>3.4021830923332665E-3</v>
      </c>
      <c r="Q310" s="305">
        <f t="shared" si="105"/>
        <v>0.7</v>
      </c>
      <c r="R310" s="177">
        <f t="shared" si="106"/>
        <v>0.39786745346774327</v>
      </c>
      <c r="S310" s="810">
        <f t="shared" si="107"/>
        <v>0</v>
      </c>
      <c r="T310" s="176">
        <f t="shared" si="108"/>
        <v>6</v>
      </c>
      <c r="U310" s="251">
        <f t="shared" si="109"/>
        <v>0.39786745346774327</v>
      </c>
      <c r="V310" s="383">
        <f t="shared" si="110"/>
        <v>27.314912943912301</v>
      </c>
      <c r="W310" s="402">
        <f t="shared" si="111"/>
        <v>0</v>
      </c>
      <c r="X310" s="157">
        <f t="shared" si="112"/>
        <v>44857</v>
      </c>
      <c r="Y310" s="385">
        <f t="shared" si="113"/>
        <v>14.595157949760384</v>
      </c>
      <c r="Z310" s="385">
        <f t="shared" si="114"/>
        <v>15.129120251792882</v>
      </c>
      <c r="AA310" s="386">
        <f t="shared" si="115"/>
        <v>17.842839535646466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0.15209010193876984</v>
      </c>
      <c r="AD310" s="231">
        <f>(INDEX(Models!$BJ310:$BT310,,AH310)*(1-AF310)+INDEX(Models!$BJ310:$BT310,,AH310+1)*AF310-ERP_i)*AE310*Ramure*Pc/MaxiM</f>
        <v>3.4021830923332665E-3</v>
      </c>
      <c r="AE310" s="305">
        <f t="shared" si="117"/>
        <v>0.7</v>
      </c>
      <c r="AF310" s="177">
        <f t="shared" si="118"/>
        <v>0.39786745346774327</v>
      </c>
      <c r="AG310" s="810">
        <f t="shared" si="124"/>
        <v>0</v>
      </c>
      <c r="AH310" s="176">
        <f t="shared" si="119"/>
        <v>6</v>
      </c>
      <c r="AI310" s="225">
        <f t="shared" si="120"/>
        <v>0.39786745346774327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42">
        <v>19.238</v>
      </c>
      <c r="C311" s="840"/>
      <c r="D311" s="393">
        <f t="shared" si="102"/>
        <v>19.942284270965224</v>
      </c>
      <c r="E311" s="385">
        <f t="shared" si="125"/>
        <v>22.128512251544269</v>
      </c>
      <c r="F311" s="385">
        <f t="shared" si="103"/>
        <v>22.173868255051357</v>
      </c>
      <c r="G311" s="110">
        <f t="shared" si="126"/>
        <v>0.71152119348784648</v>
      </c>
      <c r="H311" s="414" t="b">
        <f>Wh_hp&gt;='2021'!Maxi_hp</f>
        <v>0</v>
      </c>
      <c r="I311" s="380">
        <f>IF(H311,Wh_hp,'2021'!Maxi_hp)</f>
        <v>32.024891553571138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3.531612835299025E-2</v>
      </c>
      <c r="M311" s="844"/>
      <c r="N311" s="844"/>
      <c r="O311" s="48">
        <f>IF(t&lt;Tnet,'2021'!Resal+('2021'!Salim-'2021'!Resal)*(1-EXP(('2021'!Tnet-t)/('2021'!Tau_j))),Resal+(Salim-Resal)*(1-EXP((Tnet-t)/(Tau_j))))*Salcycl</f>
        <v>9.8796880500923584E-2</v>
      </c>
      <c r="P311" s="339">
        <f>(INDEX(Models!$BJ311:$BT311,,T311)*(1-R311)+INDEX(Models!$BJ311:$BT311,,T311+1)*R311-ERP_i)*Q311*Ramure*Pc/MaxiM</f>
        <v>3.4707752626866994E-3</v>
      </c>
      <c r="Q311" s="305">
        <f t="shared" si="105"/>
        <v>0.7</v>
      </c>
      <c r="R311" s="177">
        <f t="shared" si="106"/>
        <v>0.39792982147765743</v>
      </c>
      <c r="S311" s="810">
        <f t="shared" si="107"/>
        <v>0</v>
      </c>
      <c r="T311" s="176">
        <f t="shared" si="108"/>
        <v>6</v>
      </c>
      <c r="U311" s="251">
        <f t="shared" si="109"/>
        <v>0.39792982147765743</v>
      </c>
      <c r="V311" s="383">
        <f t="shared" si="110"/>
        <v>26.999229214530306</v>
      </c>
      <c r="W311" s="402">
        <f t="shared" si="111"/>
        <v>0</v>
      </c>
      <c r="X311" s="157">
        <f t="shared" si="112"/>
        <v>44858</v>
      </c>
      <c r="Y311" s="385">
        <f t="shared" si="113"/>
        <v>18.101730325097897</v>
      </c>
      <c r="Z311" s="385">
        <f t="shared" si="114"/>
        <v>18.76441688010469</v>
      </c>
      <c r="AA311" s="386">
        <f t="shared" si="115"/>
        <v>22.128512251544269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0.15202537491894916</v>
      </c>
      <c r="AD311" s="231">
        <f>(INDEX(Models!$BJ311:$BT311,,AH311)*(1-AF311)+INDEX(Models!$BJ311:$BT311,,AH311+1)*AF311-ERP_i)*AE311*Ramure*Pc/MaxiM</f>
        <v>3.4707752626866994E-3</v>
      </c>
      <c r="AE311" s="305">
        <f t="shared" si="117"/>
        <v>0.7</v>
      </c>
      <c r="AF311" s="177">
        <f t="shared" si="118"/>
        <v>0.39792982147765743</v>
      </c>
      <c r="AG311" s="810">
        <f t="shared" si="124"/>
        <v>0</v>
      </c>
      <c r="AH311" s="176">
        <f t="shared" si="119"/>
        <v>6</v>
      </c>
      <c r="AI311" s="225">
        <f t="shared" si="120"/>
        <v>0.39792982147765743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42">
        <v>19.094999999999999</v>
      </c>
      <c r="C312" s="840"/>
      <c r="D312" s="393">
        <f t="shared" si="102"/>
        <v>19.794509828681591</v>
      </c>
      <c r="E312" s="385">
        <f t="shared" si="125"/>
        <v>21.965221881100494</v>
      </c>
      <c r="F312" s="385">
        <f t="shared" si="103"/>
        <v>22.011230364091251</v>
      </c>
      <c r="G312" s="110">
        <f t="shared" si="126"/>
        <v>0.71450830596068771</v>
      </c>
      <c r="H312" s="414" t="b">
        <f>Wh_hp&gt;='2021'!Maxi_hp</f>
        <v>0</v>
      </c>
      <c r="I312" s="380">
        <f>IF(H312,Wh_hp,'2021'!Maxi_hp)</f>
        <v>30.314275892312452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3.5338577955995931E-2</v>
      </c>
      <c r="M312" s="844"/>
      <c r="N312" s="844"/>
      <c r="O312" s="48">
        <f>IF(t&lt;Tnet,'2021'!Resal+('2021'!Salim-'2021'!Resal)*(1-EXP(('2021'!Tnet-t)/('2021'!Tau_j))),Resal+(Salim-Resal)*(1-EXP((Tnet-t)/(Tau_j))))*Salcycl</f>
        <v>9.8824954474356852E-2</v>
      </c>
      <c r="P312" s="339">
        <f>(INDEX(Models!$BJ312:$BT312,,T312)*(1-R312)+INDEX(Models!$BJ312:$BT312,,T312+1)*R312-ERP_i)*Q312*Ramure*Pc/MaxiM</f>
        <v>3.5211516488286689E-3</v>
      </c>
      <c r="Q312" s="305">
        <f t="shared" si="105"/>
        <v>0.7</v>
      </c>
      <c r="R312" s="177">
        <f t="shared" si="106"/>
        <v>0.397989696702784</v>
      </c>
      <c r="S312" s="810">
        <f t="shared" si="107"/>
        <v>0</v>
      </c>
      <c r="T312" s="176">
        <f t="shared" si="108"/>
        <v>6</v>
      </c>
      <c r="U312" s="251">
        <f t="shared" si="109"/>
        <v>0.397989696702784</v>
      </c>
      <c r="V312" s="383">
        <f t="shared" si="110"/>
        <v>26.686350761506638</v>
      </c>
      <c r="W312" s="402">
        <f t="shared" si="111"/>
        <v>0</v>
      </c>
      <c r="X312" s="157">
        <f t="shared" si="112"/>
        <v>44859</v>
      </c>
      <c r="Y312" s="385">
        <f t="shared" si="113"/>
        <v>17.969134722158298</v>
      </c>
      <c r="Z312" s="385">
        <f t="shared" si="114"/>
        <v>18.627400569293851</v>
      </c>
      <c r="AA312" s="386">
        <f t="shared" si="115"/>
        <v>21.965221881100494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0.1519593714952909</v>
      </c>
      <c r="AD312" s="231">
        <f>(INDEX(Models!$BJ312:$BT312,,AH312)*(1-AF312)+INDEX(Models!$BJ312:$BT312,,AH312+1)*AF312-ERP_i)*AE312*Ramure*Pc/MaxiM</f>
        <v>3.5211516488286689E-3</v>
      </c>
      <c r="AE312" s="305">
        <f t="shared" si="117"/>
        <v>0.7</v>
      </c>
      <c r="AF312" s="177">
        <f t="shared" si="118"/>
        <v>0.397989696702784</v>
      </c>
      <c r="AG312" s="810">
        <f t="shared" si="124"/>
        <v>0</v>
      </c>
      <c r="AH312" s="176">
        <f t="shared" si="119"/>
        <v>6</v>
      </c>
      <c r="AI312" s="225">
        <f t="shared" si="120"/>
        <v>0.397989696702784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42">
        <v>11.348000000000001</v>
      </c>
      <c r="C313" s="840"/>
      <c r="D313" s="393">
        <f t="shared" si="102"/>
        <v>11.763986649988036</v>
      </c>
      <c r="E313" s="385">
        <f t="shared" si="125"/>
        <v>13.054446122163251</v>
      </c>
      <c r="F313" s="385">
        <f t="shared" si="103"/>
        <v>13.063081098837227</v>
      </c>
      <c r="G313" s="110">
        <f t="shared" si="126"/>
        <v>0.42899023941524328</v>
      </c>
      <c r="H313" s="414" t="b">
        <f>Wh_hp&gt;='2021'!Maxi_hp</f>
        <v>0</v>
      </c>
      <c r="I313" s="380">
        <f>IF(H313,Wh_hp,'2021'!Maxi_hp)</f>
        <v>30.638103345226707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3.5361027036566517E-2</v>
      </c>
      <c r="M313" s="844"/>
      <c r="N313" s="844"/>
      <c r="O313" s="48">
        <f>IF(t&lt;Tnet,'2021'!Resal+('2021'!Salim-'2021'!Resal)*(1-EXP(('2021'!Tnet-t)/('2021'!Tau_j))),Resal+(Salim-Resal)*(1-EXP((Tnet-t)/(Tau_j))))*Salcycl</f>
        <v>9.8852104493681342E-2</v>
      </c>
      <c r="P313" s="339">
        <f>(INDEX(Models!$BJ313:$BT313,,T313)*(1-R313)+INDEX(Models!$BJ313:$BT313,,T313+1)*R313-ERP_i)*Q313*Ramure*Pc/MaxiM</f>
        <v>3.5529165916685116E-3</v>
      </c>
      <c r="Q313" s="305">
        <f t="shared" si="105"/>
        <v>0.7</v>
      </c>
      <c r="R313" s="177">
        <f t="shared" si="106"/>
        <v>0.39804717807096757</v>
      </c>
      <c r="S313" s="810">
        <f t="shared" si="107"/>
        <v>0</v>
      </c>
      <c r="T313" s="176">
        <f t="shared" si="108"/>
        <v>6</v>
      </c>
      <c r="U313" s="251">
        <f t="shared" si="109"/>
        <v>0.39804717807096757</v>
      </c>
      <c r="V313" s="383">
        <f t="shared" si="110"/>
        <v>26.376266933250829</v>
      </c>
      <c r="W313" s="402">
        <f t="shared" si="111"/>
        <v>0</v>
      </c>
      <c r="X313" s="157">
        <f t="shared" si="112"/>
        <v>44860</v>
      </c>
      <c r="Y313" s="385">
        <f t="shared" si="113"/>
        <v>10.680075044906138</v>
      </c>
      <c r="Z313" s="385">
        <f t="shared" si="114"/>
        <v>11.071577392416827</v>
      </c>
      <c r="AA313" s="386">
        <f t="shared" si="115"/>
        <v>13.054446122163251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0.15189221443719456</v>
      </c>
      <c r="AD313" s="231">
        <f>(INDEX(Models!$BJ313:$BT313,,AH313)*(1-AF313)+INDEX(Models!$BJ313:$BT313,,AH313+1)*AF313-ERP_i)*AE313*Ramure*Pc/MaxiM</f>
        <v>3.5529165916685116E-3</v>
      </c>
      <c r="AE313" s="305">
        <f t="shared" si="117"/>
        <v>0.7</v>
      </c>
      <c r="AF313" s="177">
        <f t="shared" si="118"/>
        <v>0.39804717807096757</v>
      </c>
      <c r="AG313" s="810">
        <f t="shared" si="124"/>
        <v>0</v>
      </c>
      <c r="AH313" s="176">
        <f t="shared" si="119"/>
        <v>6</v>
      </c>
      <c r="AI313" s="225">
        <f t="shared" si="120"/>
        <v>0.39804717807096757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42">
        <v>11.527000000000001</v>
      </c>
      <c r="C314" s="840"/>
      <c r="D314" s="393">
        <f t="shared" si="102"/>
        <v>11.949826390447472</v>
      </c>
      <c r="E314" s="385">
        <f t="shared" si="125"/>
        <v>13.26105884629667</v>
      </c>
      <c r="F314" s="385">
        <f t="shared" si="103"/>
        <v>13.270669526894064</v>
      </c>
      <c r="G314" s="110">
        <f t="shared" si="126"/>
        <v>0.44091592543248487</v>
      </c>
      <c r="H314" s="414" t="b">
        <f>Wh_hp&gt;='2021'!Maxi_hp</f>
        <v>0</v>
      </c>
      <c r="I314" s="380">
        <f>IF(H314,Wh_hp,'2021'!Maxi_hp)</f>
        <v>28.51542722480329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3.538347559471422E-2</v>
      </c>
      <c r="M314" s="844"/>
      <c r="N314" s="844"/>
      <c r="O314" s="48">
        <f>IF(t&lt;Tnet,'2021'!Resal+('2021'!Salim-'2021'!Resal)*(1-EXP(('2021'!Tnet-t)/('2021'!Tau_j))),Resal+(Salim-Resal)*(1-EXP((Tnet-t)/(Tau_j))))*Salcycl</f>
        <v>9.8878413183075275E-2</v>
      </c>
      <c r="P314" s="339">
        <f>(INDEX(Models!$BJ314:$BT314,,T314)*(1-R314)+INDEX(Models!$BJ314:$BT314,,T314+1)*R314-ERP_i)*Q314*Ramure*Pc/MaxiM</f>
        <v>3.5656723808494819E-3</v>
      </c>
      <c r="Q314" s="305">
        <f t="shared" si="105"/>
        <v>0.7</v>
      </c>
      <c r="R314" s="177">
        <f t="shared" si="106"/>
        <v>0.39810236063958943</v>
      </c>
      <c r="S314" s="810">
        <f t="shared" si="107"/>
        <v>0</v>
      </c>
      <c r="T314" s="176">
        <f t="shared" si="108"/>
        <v>6</v>
      </c>
      <c r="U314" s="251">
        <f t="shared" si="109"/>
        <v>0.39810236063958943</v>
      </c>
      <c r="V314" s="383">
        <f t="shared" si="110"/>
        <v>26.068966895917814</v>
      </c>
      <c r="W314" s="402">
        <f t="shared" si="111"/>
        <v>0</v>
      </c>
      <c r="X314" s="157">
        <f t="shared" si="112"/>
        <v>44861</v>
      </c>
      <c r="Y314" s="385">
        <f t="shared" si="113"/>
        <v>10.849728294309871</v>
      </c>
      <c r="Z314" s="385">
        <f t="shared" si="114"/>
        <v>11.247711416719763</v>
      </c>
      <c r="AA314" s="386">
        <f t="shared" si="115"/>
        <v>13.26105884629667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0.15182403252355378</v>
      </c>
      <c r="AD314" s="231">
        <f>(INDEX(Models!$BJ314:$BT314,,AH314)*(1-AF314)+INDEX(Models!$BJ314:$BT314,,AH314+1)*AF314-ERP_i)*AE314*Ramure*Pc/MaxiM</f>
        <v>3.5656723808494819E-3</v>
      </c>
      <c r="AE314" s="305">
        <f t="shared" si="117"/>
        <v>0.7</v>
      </c>
      <c r="AF314" s="177">
        <f t="shared" si="118"/>
        <v>0.39810236063958943</v>
      </c>
      <c r="AG314" s="810">
        <f t="shared" si="124"/>
        <v>0</v>
      </c>
      <c r="AH314" s="176">
        <f t="shared" si="119"/>
        <v>6</v>
      </c>
      <c r="AI314" s="225">
        <f t="shared" si="120"/>
        <v>0.39810236063958943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42">
        <v>15.602</v>
      </c>
      <c r="C315" s="840"/>
      <c r="D315" s="393">
        <f t="shared" si="102"/>
        <v>16.174679465917293</v>
      </c>
      <c r="E315" s="385">
        <f t="shared" si="125"/>
        <v>17.950006296859552</v>
      </c>
      <c r="F315" s="385">
        <f t="shared" si="103"/>
        <v>17.977936447416361</v>
      </c>
      <c r="G315" s="110">
        <f t="shared" si="126"/>
        <v>0.60434702451368372</v>
      </c>
      <c r="H315" s="414" t="b">
        <f>Wh_hp&gt;='2021'!Maxi_hp</f>
        <v>0</v>
      </c>
      <c r="I315" s="380">
        <f>IF(H315,Wh_hp,'2021'!Maxi_hp)</f>
        <v>29.596972349647235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3.5405923630451142E-2</v>
      </c>
      <c r="M315" s="844"/>
      <c r="N315" s="844"/>
      <c r="O315" s="48">
        <f>IF(t&lt;Tnet,'2021'!Resal+('2021'!Salim-'2021'!Resal)*(1-EXP(('2021'!Tnet-t)/('2021'!Tau_j))),Resal+(Salim-Resal)*(1-EXP((Tnet-t)/(Tau_j))))*Salcycl</f>
        <v>9.8903967028293557E-2</v>
      </c>
      <c r="P315" s="339">
        <f>(INDEX(Models!$BJ315:$BT315,,T315)*(1-R315)+INDEX(Models!$BJ315:$BT315,,T315+1)*R315-ERP_i)*Q315*Ramure*Pc/MaxiM</f>
        <v>3.559018415714967E-3</v>
      </c>
      <c r="Q315" s="305">
        <f t="shared" si="105"/>
        <v>0.7</v>
      </c>
      <c r="R315" s="177">
        <f t="shared" si="106"/>
        <v>0.39815533574261508</v>
      </c>
      <c r="S315" s="810">
        <f t="shared" si="107"/>
        <v>0</v>
      </c>
      <c r="T315" s="176">
        <f t="shared" si="108"/>
        <v>6</v>
      </c>
      <c r="U315" s="251">
        <f t="shared" si="109"/>
        <v>0.39815533574261508</v>
      </c>
      <c r="V315" s="383">
        <f t="shared" si="110"/>
        <v>25.764439672113841</v>
      </c>
      <c r="W315" s="402">
        <f t="shared" si="111"/>
        <v>0</v>
      </c>
      <c r="X315" s="157">
        <f t="shared" si="112"/>
        <v>44862</v>
      </c>
      <c r="Y315" s="385">
        <f t="shared" si="113"/>
        <v>14.686913079746196</v>
      </c>
      <c r="Z315" s="385">
        <f t="shared" si="114"/>
        <v>15.22600380776073</v>
      </c>
      <c r="AA315" s="386">
        <f t="shared" si="115"/>
        <v>17.950006296859552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0.15175496008463241</v>
      </c>
      <c r="AD315" s="231">
        <f>(INDEX(Models!$BJ315:$BT315,,AH315)*(1-AF315)+INDEX(Models!$BJ315:$BT315,,AH315+1)*AF315-ERP_i)*AE315*Ramure*Pc/MaxiM</f>
        <v>3.559018415714967E-3</v>
      </c>
      <c r="AE315" s="305">
        <f t="shared" si="117"/>
        <v>0.7</v>
      </c>
      <c r="AF315" s="177">
        <f t="shared" si="118"/>
        <v>0.39815533574261508</v>
      </c>
      <c r="AG315" s="810">
        <f t="shared" si="124"/>
        <v>0</v>
      </c>
      <c r="AH315" s="176">
        <f t="shared" si="119"/>
        <v>6</v>
      </c>
      <c r="AI315" s="225">
        <f t="shared" si="120"/>
        <v>0.39815533574261508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42">
        <v>21.965</v>
      </c>
      <c r="C316" s="840"/>
      <c r="D316" s="393">
        <f t="shared" si="102"/>
        <v>22.771766598656971</v>
      </c>
      <c r="E316" s="385">
        <f t="shared" si="125"/>
        <v>25.271885302123373</v>
      </c>
      <c r="F316" s="385">
        <f t="shared" si="103"/>
        <v>25.343845067374431</v>
      </c>
      <c r="G316" s="110">
        <f t="shared" si="126"/>
        <v>0.8620355465311802</v>
      </c>
      <c r="H316" s="414" t="b">
        <f>Wh_hp&gt;='2021'!Maxi_hp</f>
        <v>0</v>
      </c>
      <c r="I316" s="380">
        <f>IF(H316,Wh_hp,'2021'!Maxi_hp)</f>
        <v>26.808132600527212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3.5428371143789605E-2</v>
      </c>
      <c r="M316" s="844"/>
      <c r="N316" s="844"/>
      <c r="O316" s="48">
        <f>IF(t&lt;Tnet,'2021'!Resal+('2021'!Salim-'2021'!Resal)*(1-EXP(('2021'!Tnet-t)/('2021'!Tau_j))),Resal+(Salim-Resal)*(1-EXP((Tnet-t)/(Tau_j))))*Salcycl</f>
        <v>9.8928856061891821E-2</v>
      </c>
      <c r="P316" s="339">
        <f>(INDEX(Models!$BJ316:$BT316,,T316)*(1-R316)+INDEX(Models!$BJ316:$BT316,,T316+1)*R316-ERP_i)*Q316*Ramure*Pc/MaxiM</f>
        <v>3.5325502184736968E-3</v>
      </c>
      <c r="Q316" s="305">
        <f t="shared" si="105"/>
        <v>0.7</v>
      </c>
      <c r="R316" s="177">
        <f t="shared" si="106"/>
        <v>0.39820619113240402</v>
      </c>
      <c r="S316" s="810">
        <f t="shared" si="107"/>
        <v>0</v>
      </c>
      <c r="T316" s="176">
        <f t="shared" si="108"/>
        <v>6</v>
      </c>
      <c r="U316" s="251">
        <f t="shared" si="109"/>
        <v>0.39820619113240402</v>
      </c>
      <c r="V316" s="383">
        <f t="shared" si="110"/>
        <v>25.462674185312636</v>
      </c>
      <c r="W316" s="402">
        <f t="shared" si="111"/>
        <v>0</v>
      </c>
      <c r="X316" s="157">
        <f t="shared" si="112"/>
        <v>44863</v>
      </c>
      <c r="Y316" s="385">
        <f t="shared" si="113"/>
        <v>20.678984231274402</v>
      </c>
      <c r="Z316" s="385">
        <f t="shared" si="114"/>
        <v>21.438515930429713</v>
      </c>
      <c r="AA316" s="386">
        <f t="shared" si="115"/>
        <v>25.271885302123373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0.15168513650113688</v>
      </c>
      <c r="AD316" s="231">
        <f>(INDEX(Models!$BJ316:$BT316,,AH316)*(1-AF316)+INDEX(Models!$BJ316:$BT316,,AH316+1)*AF316-ERP_i)*AE316*Ramure*Pc/MaxiM</f>
        <v>3.5325502184736968E-3</v>
      </c>
      <c r="AE316" s="305">
        <f t="shared" si="117"/>
        <v>0.7</v>
      </c>
      <c r="AF316" s="177">
        <f t="shared" si="118"/>
        <v>0.39820619113240402</v>
      </c>
      <c r="AG316" s="810">
        <f t="shared" si="124"/>
        <v>0</v>
      </c>
      <c r="AH316" s="176">
        <f t="shared" si="119"/>
        <v>6</v>
      </c>
      <c r="AI316" s="225">
        <f t="shared" si="120"/>
        <v>0.39820619113240402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42">
        <v>18.154</v>
      </c>
      <c r="C317" s="840"/>
      <c r="D317" s="393">
        <f t="shared" si="102"/>
        <v>18.821227928360837</v>
      </c>
      <c r="E317" s="385">
        <f t="shared" si="125"/>
        <v>20.888179587631978</v>
      </c>
      <c r="F317" s="385">
        <f t="shared" si="103"/>
        <v>20.932114095940204</v>
      </c>
      <c r="G317" s="110">
        <f t="shared" si="126"/>
        <v>0.72046386819704533</v>
      </c>
      <c r="H317" s="414" t="b">
        <f>Wh_hp&gt;='2021'!Maxi_hp</f>
        <v>0</v>
      </c>
      <c r="I317" s="380">
        <f>IF(H317,Wh_hp,'2021'!Maxi_hp)</f>
        <v>25.646872317786048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3.5450818134741491E-2</v>
      </c>
      <c r="M317" s="844"/>
      <c r="N317" s="844"/>
      <c r="O317" s="48">
        <f>IF(t&lt;Tnet,'2021'!Resal+('2021'!Salim-'2021'!Resal)*(1-EXP(('2021'!Tnet-t)/('2021'!Tau_j))),Resal+(Salim-Resal)*(1-EXP((Tnet-t)/(Tau_j))))*Salcycl</f>
        <v>9.895317352092263E-2</v>
      </c>
      <c r="P317" s="339">
        <f>(INDEX(Models!$BJ317:$BT317,,T317)*(1-R317)+INDEX(Models!$BJ317:$BT317,,T317+1)*R317-ERP_i)*Q317*Ramure*Pc/MaxiM</f>
        <v>3.4860004044431157E-3</v>
      </c>
      <c r="Q317" s="305">
        <f t="shared" si="105"/>
        <v>0.7</v>
      </c>
      <c r="R317" s="177">
        <f t="shared" si="106"/>
        <v>0.39825501111643818</v>
      </c>
      <c r="S317" s="810">
        <f t="shared" si="107"/>
        <v>0</v>
      </c>
      <c r="T317" s="176">
        <f t="shared" si="108"/>
        <v>6</v>
      </c>
      <c r="U317" s="251">
        <f t="shared" si="109"/>
        <v>0.39825501111643818</v>
      </c>
      <c r="V317" s="383">
        <f t="shared" si="110"/>
        <v>25.162629934217172</v>
      </c>
      <c r="W317" s="402">
        <f t="shared" si="111"/>
        <v>0</v>
      </c>
      <c r="X317" s="157">
        <f t="shared" si="112"/>
        <v>44864</v>
      </c>
      <c r="Y317" s="385">
        <f t="shared" si="113"/>
        <v>17.092992484720209</v>
      </c>
      <c r="Z317" s="385">
        <f t="shared" si="114"/>
        <v>17.721224387610327</v>
      </c>
      <c r="AA317" s="386">
        <f t="shared" si="115"/>
        <v>20.888179587631978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0.15161470566333238</v>
      </c>
      <c r="AD317" s="231">
        <f>(INDEX(Models!$BJ317:$BT317,,AH317)*(1-AF317)+INDEX(Models!$BJ317:$BT317,,AH317+1)*AF317-ERP_i)*AE317*Ramure*Pc/MaxiM</f>
        <v>3.4860004044431157E-3</v>
      </c>
      <c r="AE317" s="305">
        <f t="shared" si="117"/>
        <v>0.7</v>
      </c>
      <c r="AF317" s="177">
        <f t="shared" si="118"/>
        <v>0.39825501111643818</v>
      </c>
      <c r="AG317" s="810">
        <f t="shared" si="124"/>
        <v>0</v>
      </c>
      <c r="AH317" s="176">
        <f t="shared" si="119"/>
        <v>6</v>
      </c>
      <c r="AI317" s="225">
        <f t="shared" si="120"/>
        <v>0.39825501111643818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42">
        <v>17.16</v>
      </c>
      <c r="C318" s="840"/>
      <c r="D318" s="393">
        <f t="shared" si="102"/>
        <v>17.791108706740626</v>
      </c>
      <c r="E318" s="385">
        <f t="shared" si="125"/>
        <v>19.745454902241164</v>
      </c>
      <c r="F318" s="385">
        <f t="shared" si="103"/>
        <v>19.783168943056491</v>
      </c>
      <c r="G318" s="110">
        <f t="shared" si="126"/>
        <v>0.6891200133597235</v>
      </c>
      <c r="H318" s="414" t="b">
        <f>Wh_hp&gt;='2021'!Maxi_hp</f>
        <v>0</v>
      </c>
      <c r="I318" s="380">
        <f>IF(H318,Wh_hp,'2021'!Maxi_hp)</f>
        <v>29.156794138449072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3.5473264603319121E-2</v>
      </c>
      <c r="M318" s="844"/>
      <c r="N318" s="844"/>
      <c r="O318" s="48">
        <f>IF(t&lt;Tnet,'2021'!Resal+('2021'!Salim-'2021'!Resal)*(1-EXP(('2021'!Tnet-t)/('2021'!Tau_j))),Resal+(Salim-Resal)*(1-EXP((Tnet-t)/(Tau_j))))*Salcycl</f>
        <v>9.8977015479076738E-2</v>
      </c>
      <c r="P318" s="339">
        <f>(INDEX(Models!$BJ318:$BT318,,T318)*(1-R318)+INDEX(Models!$BJ318:$BT318,,T318+1)*R318-ERP_i)*Q318*Ramure*Pc/MaxiM</f>
        <v>3.4202268340060558E-3</v>
      </c>
      <c r="Q318" s="305">
        <f t="shared" si="105"/>
        <v>0.7</v>
      </c>
      <c r="R318" s="177">
        <f t="shared" si="106"/>
        <v>0.39830187668912687</v>
      </c>
      <c r="S318" s="810">
        <f t="shared" si="107"/>
        <v>0</v>
      </c>
      <c r="T318" s="176">
        <f t="shared" si="108"/>
        <v>6</v>
      </c>
      <c r="U318" s="251">
        <f t="shared" si="109"/>
        <v>0.39830187668912687</v>
      </c>
      <c r="V318" s="383">
        <f t="shared" si="110"/>
        <v>24.863553905853436</v>
      </c>
      <c r="W318" s="402">
        <f t="shared" si="111"/>
        <v>0</v>
      </c>
      <c r="X318" s="157">
        <f t="shared" si="112"/>
        <v>44865</v>
      </c>
      <c r="Y318" s="385">
        <f t="shared" si="113"/>
        <v>16.158864288673438</v>
      </c>
      <c r="Z318" s="385">
        <f t="shared" si="114"/>
        <v>16.753153329677048</v>
      </c>
      <c r="AA318" s="386">
        <f t="shared" si="115"/>
        <v>19.745454902241164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0.15154381539340891</v>
      </c>
      <c r="AD318" s="231">
        <f>(INDEX(Models!$BJ318:$BT318,,AH318)*(1-AF318)+INDEX(Models!$BJ318:$BT318,,AH318+1)*AF318-ERP_i)*AE318*Ramure*Pc/MaxiM</f>
        <v>3.4202268340060558E-3</v>
      </c>
      <c r="AE318" s="305">
        <f t="shared" si="117"/>
        <v>0.7</v>
      </c>
      <c r="AF318" s="177">
        <f t="shared" si="118"/>
        <v>0.39830187668912687</v>
      </c>
      <c r="AG318" s="810">
        <f t="shared" si="124"/>
        <v>0</v>
      </c>
      <c r="AH318" s="176">
        <f t="shared" si="119"/>
        <v>6</v>
      </c>
      <c r="AI318" s="225">
        <f t="shared" si="120"/>
        <v>0.39830187668912687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42">
        <v>17.241</v>
      </c>
      <c r="C319" s="840"/>
      <c r="D319" s="393">
        <f t="shared" si="102"/>
        <v>17.875503705456001</v>
      </c>
      <c r="E319" s="385">
        <f t="shared" si="125"/>
        <v>19.839637333538786</v>
      </c>
      <c r="F319" s="385">
        <f t="shared" si="103"/>
        <v>19.877819570618428</v>
      </c>
      <c r="G319" s="110">
        <f t="shared" si="126"/>
        <v>0.70083198136105695</v>
      </c>
      <c r="H319" s="414" t="b">
        <f>Wh_hp&gt;='2021'!Maxi_hp</f>
        <v>0</v>
      </c>
      <c r="I319" s="380">
        <f>IF(H319,Wh_hp,'2021'!Maxi_hp)</f>
        <v>28.781907422136918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3.5495710549534709E-2</v>
      </c>
      <c r="M319" s="844"/>
      <c r="N319" s="844"/>
      <c r="O319" s="48">
        <f>IF(t&lt;Tnet,'2021'!Resal+('2021'!Salim-'2021'!Resal)*(1-EXP(('2021'!Tnet-t)/('2021'!Tau_j))),Resal+(Salim-Resal)*(1-EXP((Tnet-t)/(Tau_j))))*Salcycl</f>
        <v>9.9000480455478393E-2</v>
      </c>
      <c r="P319" s="339">
        <f>(INDEX(Models!$BJ319:$BT319,,T319)*(1-R319)+INDEX(Models!$BJ319:$BT319,,T319+1)*R319-ERP_i)*Q319*Ramure*Pc/MaxiM</f>
        <v>3.3461371884359586E-3</v>
      </c>
      <c r="Q319" s="305">
        <f t="shared" si="105"/>
        <v>0.7</v>
      </c>
      <c r="R319" s="177">
        <f t="shared" si="106"/>
        <v>0.39834686565884025</v>
      </c>
      <c r="S319" s="810">
        <f t="shared" si="107"/>
        <v>0</v>
      </c>
      <c r="T319" s="176">
        <f t="shared" si="108"/>
        <v>6</v>
      </c>
      <c r="U319" s="251">
        <f t="shared" si="109"/>
        <v>0.39834686565884025</v>
      </c>
      <c r="V319" s="383">
        <f t="shared" si="110"/>
        <v>24.565630173582115</v>
      </c>
      <c r="W319" s="402">
        <f t="shared" si="111"/>
        <v>0</v>
      </c>
      <c r="X319" s="157">
        <f t="shared" si="112"/>
        <v>44866</v>
      </c>
      <c r="Y319" s="385">
        <f t="shared" si="113"/>
        <v>16.23692387821632</v>
      </c>
      <c r="Z319" s="385">
        <f t="shared" si="114"/>
        <v>16.834475549577338</v>
      </c>
      <c r="AA319" s="386">
        <f t="shared" si="115"/>
        <v>19.839637333538786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0.1514726168346455</v>
      </c>
      <c r="AD319" s="231">
        <f>(INDEX(Models!$BJ319:$BT319,,AH319)*(1-AF319)+INDEX(Models!$BJ319:$BT319,,AH319+1)*AF319-ERP_i)*AE319*Ramure*Pc/MaxiM</f>
        <v>3.3461371884359586E-3</v>
      </c>
      <c r="AE319" s="305">
        <f t="shared" si="117"/>
        <v>0.7</v>
      </c>
      <c r="AF319" s="177">
        <f t="shared" si="118"/>
        <v>0.39834686565884025</v>
      </c>
      <c r="AG319" s="810">
        <f t="shared" si="124"/>
        <v>0</v>
      </c>
      <c r="AH319" s="176">
        <f t="shared" si="119"/>
        <v>6</v>
      </c>
      <c r="AI319" s="225">
        <f t="shared" si="120"/>
        <v>0.39834686565884025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42">
        <v>23.363</v>
      </c>
      <c r="C320" s="840"/>
      <c r="D320" s="393">
        <f t="shared" si="102"/>
        <v>24.22336941301268</v>
      </c>
      <c r="E320" s="385">
        <f t="shared" si="125"/>
        <v>26.885688979416134</v>
      </c>
      <c r="F320" s="385">
        <f t="shared" si="103"/>
        <v>26.969006906693245</v>
      </c>
      <c r="G320" s="110">
        <f t="shared" si="126"/>
        <v>0.96248731849241609</v>
      </c>
      <c r="H320" s="414" t="b">
        <f>Wh_hp&gt;='2021'!Maxi_hp</f>
        <v>1</v>
      </c>
      <c r="I320" s="380">
        <f>IF(H320,Wh_hp,'2021'!Maxi_hp)</f>
        <v>26.969006906693245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3.5518155973400356E-2</v>
      </c>
      <c r="M320" s="844"/>
      <c r="N320" s="844"/>
      <c r="O320" s="48">
        <f>IF(t&lt;Tnet,'2021'!Resal+('2021'!Salim-'2021'!Resal)*(1-EXP(('2021'!Tnet-t)/('2021'!Tau_j))),Resal+(Salim-Resal)*(1-EXP((Tnet-t)/(Tau_j))))*Salcycl</f>
        <v>9.90236690025591E-2</v>
      </c>
      <c r="P320" s="339">
        <f>(INDEX(Models!$BJ320:$BT320,,T320)*(1-R320)+INDEX(Models!$BJ320:$BT320,,T320+1)*R320-ERP_i)*Q320*Ramure*Pc/MaxiM</f>
        <v>3.2635011804196777E-3</v>
      </c>
      <c r="Q320" s="305">
        <f t="shared" si="105"/>
        <v>0.7</v>
      </c>
      <c r="R320" s="177">
        <f t="shared" si="106"/>
        <v>0.39839005277032352</v>
      </c>
      <c r="S320" s="810">
        <f t="shared" si="107"/>
        <v>0</v>
      </c>
      <c r="T320" s="176">
        <f t="shared" si="108"/>
        <v>6</v>
      </c>
      <c r="U320" s="251">
        <f t="shared" si="109"/>
        <v>0.39839005277032352</v>
      </c>
      <c r="V320" s="383">
        <f t="shared" si="110"/>
        <v>24.269327308107101</v>
      </c>
      <c r="W320" s="402">
        <f t="shared" si="111"/>
        <v>0</v>
      </c>
      <c r="X320" s="157">
        <f t="shared" si="112"/>
        <v>44867</v>
      </c>
      <c r="Y320" s="385">
        <f t="shared" si="113"/>
        <v>22.004809218050966</v>
      </c>
      <c r="Z320" s="385">
        <f t="shared" si="114"/>
        <v>22.815161689496865</v>
      </c>
      <c r="AA320" s="386">
        <f t="shared" si="115"/>
        <v>26.885688979416134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0.15140126381123037</v>
      </c>
      <c r="AD320" s="231">
        <f>(INDEX(Models!$BJ320:$BT320,,AH320)*(1-AF320)+INDEX(Models!$BJ320:$BT320,,AH320+1)*AF320-ERP_i)*AE320*Ramure*Pc/MaxiM</f>
        <v>3.2635011804196777E-3</v>
      </c>
      <c r="AE320" s="305">
        <f t="shared" si="117"/>
        <v>0.7</v>
      </c>
      <c r="AF320" s="177">
        <f t="shared" si="118"/>
        <v>0.39839005277032352</v>
      </c>
      <c r="AG320" s="810">
        <f t="shared" si="124"/>
        <v>0</v>
      </c>
      <c r="AH320" s="176">
        <f t="shared" si="119"/>
        <v>6</v>
      </c>
      <c r="AI320" s="225">
        <f t="shared" si="120"/>
        <v>0.39839005277032352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42">
        <v>9.5129999999999999</v>
      </c>
      <c r="C321" s="840"/>
      <c r="D321" s="393">
        <f t="shared" si="102"/>
        <v>9.8635567330567806</v>
      </c>
      <c r="E321" s="385">
        <f t="shared" si="125"/>
        <v>10.947911007107608</v>
      </c>
      <c r="F321" s="385">
        <f t="shared" si="103"/>
        <v>10.952714785469919</v>
      </c>
      <c r="G321" s="110">
        <f t="shared" si="126"/>
        <v>0.39570134726292927</v>
      </c>
      <c r="H321" s="414" t="b">
        <f>Wh_hp&gt;='2021'!Maxi_hp</f>
        <v>0</v>
      </c>
      <c r="I321" s="380">
        <f>IF(H321,Wh_hp,'2021'!Maxi_hp)</f>
        <v>25.62517790632015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3.5540600874928052E-2</v>
      </c>
      <c r="M321" s="844"/>
      <c r="N321" s="844"/>
      <c r="O321" s="48">
        <f>IF(t&lt;Tnet,'2021'!Resal+('2021'!Salim-'2021'!Resal)*(1-EXP(('2021'!Tnet-t)/('2021'!Tau_j))),Resal+(Salim-Resal)*(1-EXP((Tnet-t)/(Tau_j))))*Salcycl</f>
        <v>9.904668327563515E-2</v>
      </c>
      <c r="P321" s="339">
        <f>(INDEX(Models!$BJ321:$BT321,,T321)*(1-R321)+INDEX(Models!$BJ321:$BT321,,T321+1)*R321-ERP_i)*Q321*Ramure*Pc/MaxiM</f>
        <v>3.1720843450433484E-3</v>
      </c>
      <c r="Q321" s="305">
        <f t="shared" si="105"/>
        <v>0.7</v>
      </c>
      <c r="R321" s="177">
        <f t="shared" si="106"/>
        <v>0.39843150982263809</v>
      </c>
      <c r="S321" s="810">
        <f t="shared" si="107"/>
        <v>0</v>
      </c>
      <c r="T321" s="176">
        <f t="shared" si="108"/>
        <v>6</v>
      </c>
      <c r="U321" s="251">
        <f t="shared" si="109"/>
        <v>0.39843150982263809</v>
      </c>
      <c r="V321" s="383">
        <f t="shared" si="110"/>
        <v>23.975113927443378</v>
      </c>
      <c r="W321" s="402">
        <f t="shared" si="111"/>
        <v>0</v>
      </c>
      <c r="X321" s="157">
        <f t="shared" si="112"/>
        <v>44868</v>
      </c>
      <c r="Y321" s="385">
        <f t="shared" si="113"/>
        <v>8.960951023464073</v>
      </c>
      <c r="Z321" s="385">
        <f t="shared" si="114"/>
        <v>9.2911645960350153</v>
      </c>
      <c r="AA321" s="386">
        <f t="shared" si="115"/>
        <v>10.947911007107608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0.15132991216287736</v>
      </c>
      <c r="AD321" s="231">
        <f>(INDEX(Models!$BJ321:$BT321,,AH321)*(1-AF321)+INDEX(Models!$BJ321:$BT321,,AH321+1)*AF321-ERP_i)*AE321*Ramure*Pc/MaxiM</f>
        <v>3.1720843450433484E-3</v>
      </c>
      <c r="AE321" s="305">
        <f t="shared" si="117"/>
        <v>0.7</v>
      </c>
      <c r="AF321" s="177">
        <f t="shared" si="118"/>
        <v>0.39843150982263809</v>
      </c>
      <c r="AG321" s="810">
        <f t="shared" si="124"/>
        <v>0</v>
      </c>
      <c r="AH321" s="176">
        <f t="shared" si="119"/>
        <v>6</v>
      </c>
      <c r="AI321" s="225">
        <f t="shared" si="120"/>
        <v>0.39843150982263809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42">
        <v>15.756</v>
      </c>
      <c r="C322" s="840"/>
      <c r="D322" s="393">
        <f t="shared" si="102"/>
        <v>16.336993229538496</v>
      </c>
      <c r="E322" s="385">
        <f t="shared" si="125"/>
        <v>18.133469257617318</v>
      </c>
      <c r="F322" s="385">
        <f t="shared" si="103"/>
        <v>18.162581148215125</v>
      </c>
      <c r="G322" s="110">
        <f t="shared" si="126"/>
        <v>0.66429572765912337</v>
      </c>
      <c r="H322" s="414" t="b">
        <f>Wh_hp&gt;='2021'!Maxi_hp</f>
        <v>0</v>
      </c>
      <c r="I322" s="380">
        <f>IF(H322,Wh_hp,'2021'!Maxi_hp)</f>
        <v>21.931273937161258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3.5563045254130232E-2</v>
      </c>
      <c r="M322" s="844"/>
      <c r="N322" s="844"/>
      <c r="O322" s="48">
        <f>IF(t&lt;Tnet,'2021'!Resal+('2021'!Salim-'2021'!Resal)*(1-EXP(('2021'!Tnet-t)/('2021'!Tau_j))),Resal+(Salim-Resal)*(1-EXP((Tnet-t)/(Tau_j))))*Salcycl</f>
        <v>9.9069626586990603E-2</v>
      </c>
      <c r="P322" s="339">
        <f>(INDEX(Models!$BJ322:$BT322,,T322)*(1-R322)+INDEX(Models!$BJ322:$BT322,,T322+1)*R322-ERP_i)*Q322*Ramure*Pc/MaxiM</f>
        <v>3.0716489945016318E-3</v>
      </c>
      <c r="Q322" s="305">
        <f t="shared" si="105"/>
        <v>0.7</v>
      </c>
      <c r="R322" s="177">
        <f t="shared" si="106"/>
        <v>0.39847130578277601</v>
      </c>
      <c r="S322" s="810">
        <f t="shared" si="107"/>
        <v>0</v>
      </c>
      <c r="T322" s="176">
        <f t="shared" si="108"/>
        <v>6</v>
      </c>
      <c r="U322" s="251">
        <f t="shared" si="109"/>
        <v>0.39847130578277601</v>
      </c>
      <c r="V322" s="383">
        <f t="shared" si="110"/>
        <v>23.683458725360925</v>
      </c>
      <c r="W322" s="402">
        <f t="shared" si="111"/>
        <v>0</v>
      </c>
      <c r="X322" s="157">
        <f t="shared" si="112"/>
        <v>44869</v>
      </c>
      <c r="Y322" s="385">
        <f t="shared" si="113"/>
        <v>14.843286470464989</v>
      </c>
      <c r="Z322" s="385">
        <f t="shared" si="114"/>
        <v>15.390623925621153</v>
      </c>
      <c r="AA322" s="386">
        <f t="shared" si="115"/>
        <v>18.133469257617318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0.15125871905862576</v>
      </c>
      <c r="AD322" s="231">
        <f>(INDEX(Models!$BJ322:$BT322,,AH322)*(1-AF322)+INDEX(Models!$BJ322:$BT322,,AH322+1)*AF322-ERP_i)*AE322*Ramure*Pc/MaxiM</f>
        <v>3.0716489945016318E-3</v>
      </c>
      <c r="AE322" s="305">
        <f t="shared" si="117"/>
        <v>0.7</v>
      </c>
      <c r="AF322" s="177">
        <f t="shared" si="118"/>
        <v>0.39847130578277601</v>
      </c>
      <c r="AG322" s="810">
        <f t="shared" si="124"/>
        <v>0</v>
      </c>
      <c r="AH322" s="176">
        <f t="shared" si="119"/>
        <v>6</v>
      </c>
      <c r="AI322" s="225">
        <f t="shared" si="120"/>
        <v>0.39847130578277601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42">
        <v>23.855</v>
      </c>
      <c r="C323" s="840"/>
      <c r="D323" s="393">
        <f t="shared" si="102"/>
        <v>24.735214713858735</v>
      </c>
      <c r="E323" s="385">
        <f t="shared" si="125"/>
        <v>27.455890355415981</v>
      </c>
      <c r="F323" s="385">
        <f t="shared" si="103"/>
        <v>27.537455067889493</v>
      </c>
      <c r="G323" s="110">
        <f t="shared" si="126"/>
        <v>1.0196697086355615</v>
      </c>
      <c r="H323" s="414" t="b">
        <f>Wh_hp&gt;='2021'!Maxi_hp</f>
        <v>1</v>
      </c>
      <c r="I323" s="380">
        <f>IF(H323,Wh_hp,'2021'!Maxi_hp)</f>
        <v>27.537455067889493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3.5585489111018886E-2</v>
      </c>
      <c r="M323" s="844"/>
      <c r="N323" s="844"/>
      <c r="O323" s="48">
        <f>IF(t&lt;Tnet,'2021'!Resal+('2021'!Salim-'2021'!Resal)*(1-EXP(('2021'!Tnet-t)/('2021'!Tau_j))),Resal+(Salim-Resal)*(1-EXP((Tnet-t)/(Tau_j))))*Salcycl</f>
        <v>9.9092602947424085E-2</v>
      </c>
      <c r="P323" s="339">
        <f>(INDEX(Models!$BJ323:$BT323,,T323)*(1-R323)+INDEX(Models!$BJ323:$BT323,,T323+1)*R323-ERP_i)*Q323*Ramure*Pc/MaxiM</f>
        <v>2.9619553539870181E-3</v>
      </c>
      <c r="Q323" s="305">
        <f t="shared" si="105"/>
        <v>0.7</v>
      </c>
      <c r="R323" s="177">
        <f t="shared" si="106"/>
        <v>0.39850950689508752</v>
      </c>
      <c r="S323" s="810">
        <f t="shared" si="107"/>
        <v>0</v>
      </c>
      <c r="T323" s="176">
        <f t="shared" si="108"/>
        <v>6</v>
      </c>
      <c r="U323" s="251">
        <f t="shared" si="109"/>
        <v>0.39850950689508752</v>
      </c>
      <c r="V323" s="383">
        <f t="shared" si="110"/>
        <v>23.394830500477266</v>
      </c>
      <c r="W323" s="402">
        <f t="shared" si="111"/>
        <v>0</v>
      </c>
      <c r="X323" s="157">
        <f t="shared" si="112"/>
        <v>44870</v>
      </c>
      <c r="Y323" s="385">
        <f t="shared" si="113"/>
        <v>22.475577499209795</v>
      </c>
      <c r="Z323" s="385">
        <f t="shared" si="114"/>
        <v>23.304893534308381</v>
      </c>
      <c r="AA323" s="386">
        <f t="shared" si="115"/>
        <v>27.455890355415981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0.15118784229442297</v>
      </c>
      <c r="AD323" s="231">
        <f>(INDEX(Models!$BJ323:$BT323,,AH323)*(1-AF323)+INDEX(Models!$BJ323:$BT323,,AH323+1)*AF323-ERP_i)*AE323*Ramure*Pc/MaxiM</f>
        <v>2.9619553539870181E-3</v>
      </c>
      <c r="AE323" s="305">
        <f t="shared" si="117"/>
        <v>0.7</v>
      </c>
      <c r="AF323" s="177">
        <f t="shared" si="118"/>
        <v>0.39850950689508752</v>
      </c>
      <c r="AG323" s="810">
        <f t="shared" si="124"/>
        <v>0</v>
      </c>
      <c r="AH323" s="176">
        <f t="shared" si="119"/>
        <v>6</v>
      </c>
      <c r="AI323" s="225">
        <f t="shared" si="120"/>
        <v>0.39850950689508752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42">
        <v>23.257000000000001</v>
      </c>
      <c r="C324" s="840"/>
      <c r="D324" s="393">
        <f t="shared" si="102"/>
        <v>24.115710593698196</v>
      </c>
      <c r="E324" s="385">
        <f t="shared" si="125"/>
        <v>26.768932523319897</v>
      </c>
      <c r="F324" s="385">
        <f t="shared" si="103"/>
        <v>26.845351396055356</v>
      </c>
      <c r="G324" s="110">
        <f t="shared" si="126"/>
        <v>1.0063779322927229</v>
      </c>
      <c r="H324" s="414" t="b">
        <f>Wh_hp&gt;='2021'!Maxi_hp</f>
        <v>1</v>
      </c>
      <c r="I324" s="380">
        <f>IF(H324,Wh_hp,'2021'!Maxi_hp)</f>
        <v>26.845351396055356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3.5607932445606227E-2</v>
      </c>
      <c r="M324" s="844"/>
      <c r="N324" s="844"/>
      <c r="O324" s="48">
        <f>IF(t&lt;Tnet,'2021'!Resal+('2021'!Salim-'2021'!Resal)*(1-EXP(('2021'!Tnet-t)/('2021'!Tau_j))),Resal+(Salim-Resal)*(1-EXP((Tnet-t)/(Tau_j))))*Salcycl</f>
        <v>9.9115716598348932E-2</v>
      </c>
      <c r="P324" s="339">
        <f>(INDEX(Models!$BJ324:$BT324,,T324)*(1-R324)+INDEX(Models!$BJ324:$BT324,,T324+1)*R324-ERP_i)*Q324*Ramure*Pc/MaxiM</f>
        <v>2.8466333559220495E-3</v>
      </c>
      <c r="Q324" s="305">
        <f t="shared" si="105"/>
        <v>0.7</v>
      </c>
      <c r="R324" s="177">
        <f t="shared" si="106"/>
        <v>0.39854617678666288</v>
      </c>
      <c r="S324" s="810">
        <f t="shared" si="107"/>
        <v>0</v>
      </c>
      <c r="T324" s="176">
        <f t="shared" si="108"/>
        <v>6</v>
      </c>
      <c r="U324" s="251">
        <f t="shared" si="109"/>
        <v>0.39854617678666288</v>
      </c>
      <c r="V324" s="383">
        <f t="shared" si="110"/>
        <v>23.109608481791799</v>
      </c>
      <c r="W324" s="402">
        <f t="shared" si="111"/>
        <v>0</v>
      </c>
      <c r="X324" s="157">
        <f t="shared" si="112"/>
        <v>44871</v>
      </c>
      <c r="Y324" s="385">
        <f t="shared" si="113"/>
        <v>21.914536718477795</v>
      </c>
      <c r="Z324" s="385">
        <f t="shared" si="114"/>
        <v>22.723679980125684</v>
      </c>
      <c r="AA324" s="386">
        <f t="shared" si="115"/>
        <v>26.768932523319897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0.15111743957926485</v>
      </c>
      <c r="AD324" s="231">
        <f>(INDEX(Models!$BJ324:$BT324,,AH324)*(1-AF324)+INDEX(Models!$BJ324:$BT324,,AH324+1)*AF324-ERP_i)*AE324*Ramure*Pc/MaxiM</f>
        <v>2.8466333559220495E-3</v>
      </c>
      <c r="AE324" s="305">
        <f t="shared" si="117"/>
        <v>0.7</v>
      </c>
      <c r="AF324" s="177">
        <f t="shared" si="118"/>
        <v>0.39854617678666288</v>
      </c>
      <c r="AG324" s="810">
        <f t="shared" si="124"/>
        <v>0</v>
      </c>
      <c r="AH324" s="176">
        <f t="shared" si="119"/>
        <v>6</v>
      </c>
      <c r="AI324" s="225">
        <f t="shared" si="120"/>
        <v>0.39854617678666288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42">
        <v>21.31</v>
      </c>
      <c r="C325" s="840"/>
      <c r="D325" s="393">
        <f t="shared" si="102"/>
        <v>22.097336387693669</v>
      </c>
      <c r="E325" s="385">
        <f t="shared" si="125"/>
        <v>24.529131733363865</v>
      </c>
      <c r="F325" s="385">
        <f t="shared" si="103"/>
        <v>24.589985163206897</v>
      </c>
      <c r="G325" s="110">
        <f t="shared" si="126"/>
        <v>0.93325725207873989</v>
      </c>
      <c r="H325" s="414" t="b">
        <f>Wh_hp&gt;='2021'!Maxi_hp</f>
        <v>1</v>
      </c>
      <c r="I325" s="380">
        <f>IF(H325,Wh_hp,'2021'!Maxi_hp)</f>
        <v>24.589985163206897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3.5630375257904356E-2</v>
      </c>
      <c r="M325" s="844"/>
      <c r="N325" s="844"/>
      <c r="O325" s="48">
        <f>IF(t&lt;Tnet,'2021'!Resal+('2021'!Salim-'2021'!Resal)*(1-EXP(('2021'!Tnet-t)/('2021'!Tau_j))),Resal+(Salim-Resal)*(1-EXP((Tnet-t)/(Tau_j))))*Salcycl</f>
        <v>9.9139071537641676E-2</v>
      </c>
      <c r="P325" s="339">
        <f>(INDEX(Models!$BJ325:$BT325,,T325)*(1-R325)+INDEX(Models!$BJ325:$BT325,,T325+1)*R325-ERP_i)*Q325*Ramure*Pc/MaxiM</f>
        <v>2.7345002787036313E-3</v>
      </c>
      <c r="Q325" s="305">
        <f t="shared" si="105"/>
        <v>0.7</v>
      </c>
      <c r="R325" s="177">
        <f t="shared" si="106"/>
        <v>0.39858137656879977</v>
      </c>
      <c r="S325" s="810">
        <f t="shared" si="107"/>
        <v>0</v>
      </c>
      <c r="T325" s="176">
        <f t="shared" si="108"/>
        <v>6</v>
      </c>
      <c r="U325" s="251">
        <f t="shared" si="109"/>
        <v>0.39858137656879977</v>
      </c>
      <c r="V325" s="383">
        <f t="shared" si="110"/>
        <v>22.828057740087985</v>
      </c>
      <c r="W325" s="402">
        <f t="shared" si="111"/>
        <v>0</v>
      </c>
      <c r="X325" s="157">
        <f t="shared" si="112"/>
        <v>44872</v>
      </c>
      <c r="Y325" s="385">
        <f t="shared" si="113"/>
        <v>20.082094391357025</v>
      </c>
      <c r="Z325" s="385">
        <f t="shared" si="114"/>
        <v>20.824063591517248</v>
      </c>
      <c r="AA325" s="386">
        <f t="shared" si="115"/>
        <v>24.529131733363865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0.1510476678148</v>
      </c>
      <c r="AD325" s="231">
        <f>(INDEX(Models!$BJ325:$BT325,,AH325)*(1-AF325)+INDEX(Models!$BJ325:$BT325,,AH325+1)*AF325-ERP_i)*AE325*Ramure*Pc/MaxiM</f>
        <v>2.7345002787036313E-3</v>
      </c>
      <c r="AE325" s="305">
        <f t="shared" si="117"/>
        <v>0.7</v>
      </c>
      <c r="AF325" s="177">
        <f t="shared" si="118"/>
        <v>0.39858137656879977</v>
      </c>
      <c r="AG325" s="810">
        <f t="shared" si="124"/>
        <v>0</v>
      </c>
      <c r="AH325" s="176">
        <f t="shared" si="119"/>
        <v>6</v>
      </c>
      <c r="AI325" s="225">
        <f t="shared" si="120"/>
        <v>0.39858137656879977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42">
        <v>15.748000000000001</v>
      </c>
      <c r="C326" s="840"/>
      <c r="D326" s="393">
        <f t="shared" si="102"/>
        <v>16.330218293329885</v>
      </c>
      <c r="E326" s="385">
        <f t="shared" si="125"/>
        <v>18.127823505061393</v>
      </c>
      <c r="F326" s="385">
        <f t="shared" si="103"/>
        <v>18.154949169840528</v>
      </c>
      <c r="G326" s="110">
        <f t="shared" si="126"/>
        <v>0.69754767065979462</v>
      </c>
      <c r="H326" s="414" t="b">
        <f>Wh_hp&gt;='2021'!Maxi_hp</f>
        <v>0</v>
      </c>
      <c r="I326" s="380">
        <f>IF(H326,Wh_hp,'2021'!Maxi_hp)</f>
        <v>19.495056583324676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3.5652817547925375E-2</v>
      </c>
      <c r="M326" s="844"/>
      <c r="N326" s="844"/>
      <c r="O326" s="48">
        <f>IF(t&lt;Tnet,'2021'!Resal+('2021'!Salim-'2021'!Resal)*(1-EXP(('2021'!Tnet-t)/('2021'!Tau_j))),Resal+(Salim-Resal)*(1-EXP((Tnet-t)/(Tau_j))))*Salcycl</f>
        <v>9.9162771042513989E-2</v>
      </c>
      <c r="P326" s="339">
        <f>(INDEX(Models!$BJ326:$BT326,,T326)*(1-R326)+INDEX(Models!$BJ326:$BT326,,T326+1)*R326-ERP_i)*Q326*Ramure*Pc/MaxiM</f>
        <v>2.6256119743923653E-3</v>
      </c>
      <c r="Q326" s="305">
        <f t="shared" si="105"/>
        <v>0.7</v>
      </c>
      <c r="R326" s="177">
        <f t="shared" si="106"/>
        <v>0.39861516493469257</v>
      </c>
      <c r="S326" s="810">
        <f t="shared" si="107"/>
        <v>0</v>
      </c>
      <c r="T326" s="176">
        <f t="shared" si="108"/>
        <v>6</v>
      </c>
      <c r="U326" s="251">
        <f t="shared" si="109"/>
        <v>0.39861516493469257</v>
      </c>
      <c r="V326" s="383">
        <f t="shared" si="110"/>
        <v>22.55065174184907</v>
      </c>
      <c r="W326" s="402">
        <f t="shared" si="111"/>
        <v>0</v>
      </c>
      <c r="X326" s="157">
        <f t="shared" si="112"/>
        <v>44873</v>
      </c>
      <c r="Y326" s="385">
        <f t="shared" si="113"/>
        <v>14.842179341829441</v>
      </c>
      <c r="Z326" s="385">
        <f t="shared" si="114"/>
        <v>15.390908597969648</v>
      </c>
      <c r="AA326" s="386">
        <f t="shared" si="115"/>
        <v>18.127823505061393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0.1509786823734014</v>
      </c>
      <c r="AD326" s="231">
        <f>(INDEX(Models!$BJ326:$BT326,,AH326)*(1-AF326)+INDEX(Models!$BJ326:$BT326,,AH326+1)*AF326-ERP_i)*AE326*Ramure*Pc/MaxiM</f>
        <v>2.6256119743923653E-3</v>
      </c>
      <c r="AE326" s="305">
        <f t="shared" si="117"/>
        <v>0.7</v>
      </c>
      <c r="AF326" s="177">
        <f t="shared" si="118"/>
        <v>0.39861516493469257</v>
      </c>
      <c r="AG326" s="810">
        <f t="shared" si="124"/>
        <v>0</v>
      </c>
      <c r="AH326" s="176">
        <f t="shared" si="119"/>
        <v>6</v>
      </c>
      <c r="AI326" s="225">
        <f t="shared" si="120"/>
        <v>0.39861516493469257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42">
        <v>8.4290000000000003</v>
      </c>
      <c r="C327" s="840"/>
      <c r="D327" s="393">
        <f t="shared" si="102"/>
        <v>8.7408314278222168</v>
      </c>
      <c r="E327" s="385">
        <f t="shared" si="125"/>
        <v>9.7032687409274363</v>
      </c>
      <c r="F327" s="385">
        <f t="shared" si="103"/>
        <v>9.706006716360406</v>
      </c>
      <c r="G327" s="110">
        <f t="shared" si="126"/>
        <v>0.37751065639559722</v>
      </c>
      <c r="H327" s="414" t="b">
        <f>Wh_hp&gt;='2021'!Maxi_hp</f>
        <v>0</v>
      </c>
      <c r="I327" s="380">
        <f>IF(H327,Wh_hp,'2021'!Maxi_hp)</f>
        <v>19.997041581744018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3.5675259315681607E-2</v>
      </c>
      <c r="M327" s="844"/>
      <c r="N327" s="844"/>
      <c r="O327" s="48">
        <f>IF(t&lt;Tnet,'2021'!Resal+('2021'!Salim-'2021'!Resal)*(1-EXP(('2021'!Tnet-t)/('2021'!Tau_j))),Resal+(Salim-Resal)*(1-EXP((Tnet-t)/(Tau_j))))*Salcycl</f>
        <v>9.9186917192734619E-2</v>
      </c>
      <c r="P327" s="339">
        <f>(INDEX(Models!$BJ327:$BT327,,T327)*(1-R327)+INDEX(Models!$BJ327:$BT327,,T327+1)*R327-ERP_i)*Q327*Ramure*Pc/MaxiM</f>
        <v>2.5200297684338535E-3</v>
      </c>
      <c r="Q327" s="305">
        <f t="shared" si="105"/>
        <v>0.7</v>
      </c>
      <c r="R327" s="177">
        <f t="shared" si="106"/>
        <v>0.39864759825346818</v>
      </c>
      <c r="S327" s="810">
        <f t="shared" si="107"/>
        <v>0</v>
      </c>
      <c r="T327" s="176">
        <f t="shared" si="108"/>
        <v>6</v>
      </c>
      <c r="U327" s="251">
        <f t="shared" si="109"/>
        <v>0.39864759825346818</v>
      </c>
      <c r="V327" s="383">
        <f t="shared" si="110"/>
        <v>22.277864074592973</v>
      </c>
      <c r="W327" s="402">
        <f t="shared" si="111"/>
        <v>0</v>
      </c>
      <c r="X327" s="157">
        <f t="shared" si="112"/>
        <v>44874</v>
      </c>
      <c r="Y327" s="385">
        <f t="shared" si="113"/>
        <v>7.945015877934706</v>
      </c>
      <c r="Z327" s="385">
        <f t="shared" si="114"/>
        <v>8.2389422802702814</v>
      </c>
      <c r="AA327" s="386">
        <f t="shared" si="115"/>
        <v>9.7032687409274363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0.15091063637975621</v>
      </c>
      <c r="AD327" s="231">
        <f>(INDEX(Models!$BJ327:$BT327,,AH327)*(1-AF327)+INDEX(Models!$BJ327:$BT327,,AH327+1)*AF327-ERP_i)*AE327*Ramure*Pc/MaxiM</f>
        <v>2.5200297684338535E-3</v>
      </c>
      <c r="AE327" s="305">
        <f t="shared" si="117"/>
        <v>0.7</v>
      </c>
      <c r="AF327" s="177">
        <f t="shared" si="118"/>
        <v>0.39864759825346818</v>
      </c>
      <c r="AG327" s="810">
        <f t="shared" si="124"/>
        <v>0</v>
      </c>
      <c r="AH327" s="176">
        <f t="shared" si="119"/>
        <v>6</v>
      </c>
      <c r="AI327" s="225">
        <f t="shared" si="120"/>
        <v>0.39864759825346818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42">
        <v>17.862000000000002</v>
      </c>
      <c r="C328" s="840"/>
      <c r="D328" s="393">
        <f t="shared" si="102"/>
        <v>18.523236966659695</v>
      </c>
      <c r="E328" s="385">
        <f t="shared" si="125"/>
        <v>20.563361140605593</v>
      </c>
      <c r="F328" s="385">
        <f t="shared" si="103"/>
        <v>20.599757890321698</v>
      </c>
      <c r="G328" s="110">
        <f t="shared" si="126"/>
        <v>0.81100478136150944</v>
      </c>
      <c r="H328" s="414" t="b">
        <f>Wh_hp&gt;='2021'!Maxi_hp</f>
        <v>1</v>
      </c>
      <c r="I328" s="380">
        <f>IF(H328,Wh_hp,'2021'!Maxi_hp)</f>
        <v>20.599757890321698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3.5697700561185153E-2</v>
      </c>
      <c r="M328" s="844"/>
      <c r="N328" s="844"/>
      <c r="O328" s="48">
        <f>IF(t&lt;Tnet,'2021'!Resal+('2021'!Salim-'2021'!Resal)*(1-EXP(('2021'!Tnet-t)/('2021'!Tau_j))),Resal+(Salim-Resal)*(1-EXP((Tnet-t)/(Tau_j))))*Salcycl</f>
        <v>9.9211610397550942E-2</v>
      </c>
      <c r="P328" s="339">
        <f>(INDEX(Models!$BJ328:$BT328,,T328)*(1-R328)+INDEX(Models!$BJ328:$BT328,,T328+1)*R328-ERP_i)*Q328*Ramure*Pc/MaxiM</f>
        <v>2.417820315790855E-3</v>
      </c>
      <c r="Q328" s="305">
        <f t="shared" si="105"/>
        <v>0.7</v>
      </c>
      <c r="R328" s="177">
        <f t="shared" si="106"/>
        <v>0.39867873066069631</v>
      </c>
      <c r="S328" s="810">
        <f t="shared" si="107"/>
        <v>0</v>
      </c>
      <c r="T328" s="176">
        <f t="shared" si="108"/>
        <v>6</v>
      </c>
      <c r="U328" s="251">
        <f t="shared" si="109"/>
        <v>0.39867873066069631</v>
      </c>
      <c r="V328" s="383">
        <f t="shared" si="110"/>
        <v>22.010168443386785</v>
      </c>
      <c r="W328" s="402">
        <f t="shared" si="111"/>
        <v>0</v>
      </c>
      <c r="X328" s="157">
        <f t="shared" si="112"/>
        <v>44875</v>
      </c>
      <c r="Y328" s="385">
        <f t="shared" si="113"/>
        <v>16.838172386430902</v>
      </c>
      <c r="Z328" s="385">
        <f t="shared" si="114"/>
        <v>17.461508072966371</v>
      </c>
      <c r="AA328" s="386">
        <f t="shared" si="115"/>
        <v>20.563361140605593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0.15084368000103465</v>
      </c>
      <c r="AD328" s="231">
        <f>(INDEX(Models!$BJ328:$BT328,,AH328)*(1-AF328)+INDEX(Models!$BJ328:$BT328,,AH328+1)*AF328-ERP_i)*AE328*Ramure*Pc/MaxiM</f>
        <v>2.417820315790855E-3</v>
      </c>
      <c r="AE328" s="305">
        <f t="shared" si="117"/>
        <v>0.7</v>
      </c>
      <c r="AF328" s="177">
        <f t="shared" si="118"/>
        <v>0.39867873066069631</v>
      </c>
      <c r="AG328" s="810">
        <f t="shared" si="124"/>
        <v>0</v>
      </c>
      <c r="AH328" s="176">
        <f t="shared" si="119"/>
        <v>6</v>
      </c>
      <c r="AI328" s="225">
        <f t="shared" si="120"/>
        <v>0.39867873066069631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42">
        <v>21.045999999999999</v>
      </c>
      <c r="C329" s="840"/>
      <c r="D329" s="393">
        <f t="shared" si="102"/>
        <v>21.825614016281403</v>
      </c>
      <c r="E329" s="385">
        <f t="shared" si="125"/>
        <v>24.230139091903052</v>
      </c>
      <c r="F329" s="385">
        <f t="shared" si="103"/>
        <v>24.283857705255858</v>
      </c>
      <c r="G329" s="110">
        <f t="shared" si="126"/>
        <v>0.96761572883637725</v>
      </c>
      <c r="H329" s="414" t="b">
        <f>Wh_hp&gt;='2021'!Maxi_hp</f>
        <v>1</v>
      </c>
      <c r="I329" s="380">
        <f>IF(H329,Wh_hp,'2021'!Maxi_hp)</f>
        <v>24.283857705255858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3.5720141284448115E-2</v>
      </c>
      <c r="M329" s="844"/>
      <c r="N329" s="844"/>
      <c r="O329" s="48">
        <f>IF(t&lt;Tnet,'2021'!Resal+('2021'!Salim-'2021'!Resal)*(1-EXP(('2021'!Tnet-t)/('2021'!Tau_j))),Resal+(Salim-Resal)*(1-EXP((Tnet-t)/(Tau_j))))*Salcycl</f>
        <v>9.9236948929656163E-2</v>
      </c>
      <c r="P329" s="339">
        <f>(INDEX(Models!$BJ329:$BT329,,T329)*(1-R329)+INDEX(Models!$BJ329:$BT329,,T329+1)*R329-ERP_i)*Q329*Ramure*Pc/MaxiM</f>
        <v>2.3190554211096532E-3</v>
      </c>
      <c r="Q329" s="305">
        <f t="shared" si="105"/>
        <v>0.7</v>
      </c>
      <c r="R329" s="177">
        <f t="shared" si="106"/>
        <v>0.39870861414549402</v>
      </c>
      <c r="S329" s="810">
        <f t="shared" si="107"/>
        <v>0</v>
      </c>
      <c r="T329" s="176">
        <f t="shared" si="108"/>
        <v>6</v>
      </c>
      <c r="U329" s="251">
        <f t="shared" si="109"/>
        <v>0.39870861414549402</v>
      </c>
      <c r="V329" s="383">
        <f t="shared" si="110"/>
        <v>21.748038660381315</v>
      </c>
      <c r="W329" s="402">
        <f t="shared" si="111"/>
        <v>0</v>
      </c>
      <c r="X329" s="157">
        <f t="shared" si="112"/>
        <v>44876</v>
      </c>
      <c r="Y329" s="385">
        <f t="shared" si="113"/>
        <v>19.841763089471797</v>
      </c>
      <c r="Z329" s="385">
        <f t="shared" si="114"/>
        <v>20.576768155151129</v>
      </c>
      <c r="AA329" s="386">
        <f t="shared" si="115"/>
        <v>24.230139091903052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0.15077795975066285</v>
      </c>
      <c r="AD329" s="231">
        <f>(INDEX(Models!$BJ329:$BT329,,AH329)*(1-AF329)+INDEX(Models!$BJ329:$BT329,,AH329+1)*AF329-ERP_i)*AE329*Ramure*Pc/MaxiM</f>
        <v>2.3190554211096532E-3</v>
      </c>
      <c r="AE329" s="305">
        <f t="shared" si="117"/>
        <v>0.7</v>
      </c>
      <c r="AF329" s="177">
        <f t="shared" si="118"/>
        <v>0.39870861414549402</v>
      </c>
      <c r="AG329" s="810">
        <f t="shared" si="124"/>
        <v>0</v>
      </c>
      <c r="AH329" s="176">
        <f t="shared" si="119"/>
        <v>6</v>
      </c>
      <c r="AI329" s="225">
        <f t="shared" si="120"/>
        <v>0.39870861414549402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42">
        <v>20.852</v>
      </c>
      <c r="C330" s="840"/>
      <c r="D330" s="393">
        <f t="shared" si="102"/>
        <v>21.624930853136146</v>
      </c>
      <c r="E330" s="385">
        <f t="shared" si="125"/>
        <v>24.0080417887057</v>
      </c>
      <c r="F330" s="385">
        <f t="shared" si="103"/>
        <v>24.059269183157991</v>
      </c>
      <c r="G330" s="110">
        <f t="shared" si="126"/>
        <v>0.97013182195982262</v>
      </c>
      <c r="H330" s="414" t="b">
        <f>Wh_hp&gt;='2021'!Maxi_hp</f>
        <v>1</v>
      </c>
      <c r="I330" s="380">
        <f>IF(H330,Wh_hp,'2021'!Maxi_hp)</f>
        <v>24.059269183157991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3.5742581485482594E-2</v>
      </c>
      <c r="M330" s="844"/>
      <c r="N330" s="844"/>
      <c r="O330" s="48">
        <f>IF(t&lt;Tnet,'2021'!Resal+('2021'!Salim-'2021'!Resal)*(1-EXP(('2021'!Tnet-t)/('2021'!Tau_j))),Resal+(Salim-Resal)*(1-EXP((Tnet-t)/(Tau_j))))*Salcycl</f>
        <v>9.9263028469513112E-2</v>
      </c>
      <c r="P330" s="339">
        <f>(INDEX(Models!$BJ330:$BT330,,T330)*(1-R330)+INDEX(Models!$BJ330:$BT330,,T330+1)*R330-ERP_i)*Q330*Ramure*Pc/MaxiM</f>
        <v>2.2238118112361746E-3</v>
      </c>
      <c r="Q330" s="305">
        <f t="shared" si="105"/>
        <v>0.7</v>
      </c>
      <c r="R330" s="177">
        <f t="shared" si="106"/>
        <v>0.39873729863434459</v>
      </c>
      <c r="S330" s="810">
        <f t="shared" si="107"/>
        <v>0</v>
      </c>
      <c r="T330" s="176">
        <f t="shared" si="108"/>
        <v>6</v>
      </c>
      <c r="U330" s="251">
        <f t="shared" si="109"/>
        <v>0.39873729863434459</v>
      </c>
      <c r="V330" s="383">
        <f t="shared" si="110"/>
        <v>21.491948639447713</v>
      </c>
      <c r="W330" s="402">
        <f t="shared" si="111"/>
        <v>0</v>
      </c>
      <c r="X330" s="157">
        <f t="shared" si="112"/>
        <v>44877</v>
      </c>
      <c r="Y330" s="385">
        <f t="shared" si="113"/>
        <v>19.660922334876101</v>
      </c>
      <c r="Z330" s="385">
        <f t="shared" si="114"/>
        <v>20.389702954180688</v>
      </c>
      <c r="AA330" s="386">
        <f t="shared" si="115"/>
        <v>24.0080417887057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0.15071361781064618</v>
      </c>
      <c r="AD330" s="231">
        <f>(INDEX(Models!$BJ330:$BT330,,AH330)*(1-AF330)+INDEX(Models!$BJ330:$BT330,,AH330+1)*AF330-ERP_i)*AE330*Ramure*Pc/MaxiM</f>
        <v>2.2238118112361746E-3</v>
      </c>
      <c r="AE330" s="305">
        <f t="shared" si="117"/>
        <v>0.7</v>
      </c>
      <c r="AF330" s="177">
        <f t="shared" si="118"/>
        <v>0.39873729863434459</v>
      </c>
      <c r="AG330" s="810">
        <f t="shared" si="124"/>
        <v>0</v>
      </c>
      <c r="AH330" s="176">
        <f t="shared" si="119"/>
        <v>6</v>
      </c>
      <c r="AI330" s="225">
        <f t="shared" si="120"/>
        <v>0.39873729863434459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42">
        <v>19.911999999999999</v>
      </c>
      <c r="C331" s="840"/>
      <c r="D331" s="393">
        <f t="shared" si="102"/>
        <v>20.650568001633246</v>
      </c>
      <c r="E331" s="385">
        <f t="shared" si="125"/>
        <v>22.926987225797557</v>
      </c>
      <c r="F331" s="385">
        <f t="shared" si="103"/>
        <v>22.971597015171124</v>
      </c>
      <c r="G331" s="110">
        <f t="shared" si="126"/>
        <v>0.9372997190137623</v>
      </c>
      <c r="H331" s="414" t="b">
        <f>Wh_hp&gt;='2021'!Maxi_hp</f>
        <v>0</v>
      </c>
      <c r="I331" s="380">
        <f>IF(H331,Wh_hp,'2021'!Maxi_hp)</f>
        <v>24.534938344101679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3.5765021164300803E-2</v>
      </c>
      <c r="M331" s="844"/>
      <c r="N331" s="844"/>
      <c r="O331" s="48">
        <f>IF(t&lt;Tnet,'2021'!Resal+('2021'!Salim-'2021'!Resal)*(1-EXP(('2021'!Tnet-t)/('2021'!Tau_j))),Resal+(Salim-Resal)*(1-EXP((Tnet-t)/(Tau_j))))*Salcycl</f>
        <v>9.92899416632846E-2</v>
      </c>
      <c r="P331" s="339">
        <f>(INDEX(Models!$BJ331:$BT331,,T331)*(1-R331)+INDEX(Models!$BJ331:$BT331,,T331+1)*R331-ERP_i)*Q331*Ramure*Pc/MaxiM</f>
        <v>2.1324133924773702E-3</v>
      </c>
      <c r="Q331" s="305">
        <f t="shared" si="105"/>
        <v>0.7</v>
      </c>
      <c r="R331" s="177">
        <f t="shared" si="106"/>
        <v>0.39876483207174518</v>
      </c>
      <c r="S331" s="810">
        <f t="shared" si="107"/>
        <v>0</v>
      </c>
      <c r="T331" s="176">
        <f t="shared" si="108"/>
        <v>6</v>
      </c>
      <c r="U331" s="251">
        <f t="shared" si="109"/>
        <v>0.39876483207174518</v>
      </c>
      <c r="V331" s="383">
        <f t="shared" si="110"/>
        <v>21.239951099659741</v>
      </c>
      <c r="W331" s="402">
        <f t="shared" si="111"/>
        <v>0</v>
      </c>
      <c r="X331" s="157">
        <f t="shared" si="112"/>
        <v>44878</v>
      </c>
      <c r="Y331" s="385">
        <f t="shared" si="113"/>
        <v>18.776565539110994</v>
      </c>
      <c r="Z331" s="385">
        <f t="shared" si="114"/>
        <v>19.473018456334621</v>
      </c>
      <c r="AA331" s="386">
        <f t="shared" si="115"/>
        <v>22.926987225797557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0.15065079137726878</v>
      </c>
      <c r="AD331" s="231">
        <f>(INDEX(Models!$BJ331:$BT331,,AH331)*(1-AF331)+INDEX(Models!$BJ331:$BT331,,AH331+1)*AF331-ERP_i)*AE331*Ramure*Pc/MaxiM</f>
        <v>2.1324133924773702E-3</v>
      </c>
      <c r="AE331" s="305">
        <f t="shared" si="117"/>
        <v>0.7</v>
      </c>
      <c r="AF331" s="177">
        <f t="shared" si="118"/>
        <v>0.39876483207174518</v>
      </c>
      <c r="AG331" s="810">
        <f t="shared" si="124"/>
        <v>0</v>
      </c>
      <c r="AH331" s="176">
        <f t="shared" si="119"/>
        <v>6</v>
      </c>
      <c r="AI331" s="225">
        <f t="shared" si="120"/>
        <v>0.39876483207174518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42">
        <v>7.9990000000000006</v>
      </c>
      <c r="C332" s="840"/>
      <c r="D332" s="393">
        <f t="shared" si="102"/>
        <v>8.2958887909322101</v>
      </c>
      <c r="E332" s="385">
        <f t="shared" si="125"/>
        <v>9.2106722943025474</v>
      </c>
      <c r="F332" s="385">
        <f t="shared" si="103"/>
        <v>9.2128580181597446</v>
      </c>
      <c r="G332" s="110">
        <f t="shared" si="126"/>
        <v>0.38039415210546274</v>
      </c>
      <c r="H332" s="414" t="b">
        <f>Wh_hp&gt;='2021'!Maxi_hp</f>
        <v>0</v>
      </c>
      <c r="I332" s="380">
        <f>IF(H332,Wh_hp,'2021'!Maxi_hp)</f>
        <v>18.564263652887913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3.5787460320914954E-2</v>
      </c>
      <c r="M332" s="844"/>
      <c r="N332" s="844"/>
      <c r="O332" s="48">
        <f>IF(t&lt;Tnet,'2021'!Resal+('2021'!Salim-'2021'!Resal)*(1-EXP(('2021'!Tnet-t)/('2021'!Tau_j))),Resal+(Salim-Resal)*(1-EXP((Tnet-t)/(Tau_j))))*Salcycl</f>
        <v>9.9317777697529822E-2</v>
      </c>
      <c r="P332" s="339">
        <f>(INDEX(Models!$BJ332:$BT332,,T332)*(1-R332)+INDEX(Models!$BJ332:$BT332,,T332+1)*R332-ERP_i)*Q332*Ramure*Pc/MaxiM</f>
        <v>2.0481489039161273E-3</v>
      </c>
      <c r="Q332" s="305">
        <f t="shared" si="105"/>
        <v>0.7</v>
      </c>
      <c r="R332" s="177">
        <f t="shared" si="106"/>
        <v>0.39879126049779451</v>
      </c>
      <c r="S332" s="810">
        <f t="shared" si="107"/>
        <v>0</v>
      </c>
      <c r="T332" s="176">
        <f t="shared" si="108"/>
        <v>6</v>
      </c>
      <c r="U332" s="251">
        <f t="shared" si="109"/>
        <v>0.39879126049779451</v>
      </c>
      <c r="V332" s="383">
        <f t="shared" si="110"/>
        <v>20.990099650190441</v>
      </c>
      <c r="W332" s="402">
        <f t="shared" si="111"/>
        <v>0</v>
      </c>
      <c r="X332" s="157">
        <f t="shared" si="112"/>
        <v>44879</v>
      </c>
      <c r="Y332" s="385">
        <f t="shared" si="113"/>
        <v>7.543652494843669</v>
      </c>
      <c r="Z332" s="385">
        <f t="shared" si="114"/>
        <v>7.8236407269235393</v>
      </c>
      <c r="AA332" s="386">
        <f t="shared" si="115"/>
        <v>9.2106722943025474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0.15058961203483323</v>
      </c>
      <c r="AD332" s="231">
        <f>(INDEX(Models!$BJ332:$BT332,,AH332)*(1-AF332)+INDEX(Models!$BJ332:$BT332,,AH332+1)*AF332-ERP_i)*AE332*Ramure*Pc/MaxiM</f>
        <v>2.0481489039161273E-3</v>
      </c>
      <c r="AE332" s="305">
        <f t="shared" si="117"/>
        <v>0.7</v>
      </c>
      <c r="AF332" s="177">
        <f t="shared" si="118"/>
        <v>0.39879126049779451</v>
      </c>
      <c r="AG332" s="810">
        <f t="shared" si="124"/>
        <v>0</v>
      </c>
      <c r="AH332" s="176">
        <f t="shared" si="119"/>
        <v>6</v>
      </c>
      <c r="AI332" s="225">
        <f t="shared" si="120"/>
        <v>0.39879126049779451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42">
        <v>10.782</v>
      </c>
      <c r="C333" s="840"/>
      <c r="D333" s="393">
        <f t="shared" si="102"/>
        <v>11.182442122479912</v>
      </c>
      <c r="E333" s="385">
        <f t="shared" si="125"/>
        <v>12.415922034281433</v>
      </c>
      <c r="F333" s="385">
        <f t="shared" si="103"/>
        <v>12.423605915958131</v>
      </c>
      <c r="G333" s="110">
        <f t="shared" si="126"/>
        <v>0.51908716327208371</v>
      </c>
      <c r="H333" s="414" t="b">
        <f>Wh_hp&gt;='2021'!Maxi_hp</f>
        <v>0</v>
      </c>
      <c r="I333" s="380">
        <f>IF(H333,Wh_hp,'2021'!Maxi_hp)</f>
        <v>23.679818202153843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3.5809898955337149E-2</v>
      </c>
      <c r="M333" s="844"/>
      <c r="N333" s="844"/>
      <c r="O333" s="48">
        <f>IF(t&lt;Tnet,'2021'!Resal+('2021'!Salim-'2021'!Resal)*(1-EXP(('2021'!Tnet-t)/('2021'!Tau_j))),Resal+(Salim-Resal)*(1-EXP((Tnet-t)/(Tau_j))))*Salcycl</f>
        <v>9.9346621893708451E-2</v>
      </c>
      <c r="P333" s="339">
        <f>(INDEX(Models!$BJ333:$BT333,,T333)*(1-R333)+INDEX(Models!$BJ333:$BT333,,T333+1)*R333-ERP_i)*Q333*Ramure*Pc/MaxiM</f>
        <v>1.9698044657664154E-3</v>
      </c>
      <c r="Q333" s="305">
        <f t="shared" si="105"/>
        <v>0.7</v>
      </c>
      <c r="R333" s="177">
        <f t="shared" si="106"/>
        <v>0.39881662812283059</v>
      </c>
      <c r="S333" s="810">
        <f t="shared" si="107"/>
        <v>0</v>
      </c>
      <c r="T333" s="176">
        <f t="shared" si="108"/>
        <v>6</v>
      </c>
      <c r="U333" s="251">
        <f t="shared" si="109"/>
        <v>0.39881662812283059</v>
      </c>
      <c r="V333" s="383">
        <f t="shared" si="110"/>
        <v>20.742992463082739</v>
      </c>
      <c r="W333" s="402">
        <f t="shared" si="111"/>
        <v>0</v>
      </c>
      <c r="X333" s="157">
        <f t="shared" si="112"/>
        <v>44880</v>
      </c>
      <c r="Y333" s="385">
        <f t="shared" si="113"/>
        <v>10.169265502786459</v>
      </c>
      <c r="Z333" s="385">
        <f t="shared" si="114"/>
        <v>10.546950743186899</v>
      </c>
      <c r="AA333" s="386">
        <f t="shared" si="115"/>
        <v>12.415922034281433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0.15053020516189949</v>
      </c>
      <c r="AD333" s="231">
        <f>(INDEX(Models!$BJ333:$BT333,,AH333)*(1-AF333)+INDEX(Models!$BJ333:$BT333,,AH333+1)*AF333-ERP_i)*AE333*Ramure*Pc/MaxiM</f>
        <v>1.9698044657664154E-3</v>
      </c>
      <c r="AE333" s="305">
        <f t="shared" si="117"/>
        <v>0.7</v>
      </c>
      <c r="AF333" s="177">
        <f t="shared" si="118"/>
        <v>0.39881662812283059</v>
      </c>
      <c r="AG333" s="810">
        <f t="shared" si="124"/>
        <v>0</v>
      </c>
      <c r="AH333" s="176">
        <f t="shared" si="119"/>
        <v>6</v>
      </c>
      <c r="AI333" s="225">
        <f t="shared" si="120"/>
        <v>0.39881662812283059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42">
        <v>20.458000000000002</v>
      </c>
      <c r="C334" s="840"/>
      <c r="D334" s="393">
        <f t="shared" si="102"/>
        <v>21.218301325081804</v>
      </c>
      <c r="E334" s="385">
        <f t="shared" si="125"/>
        <v>23.55957026273936</v>
      </c>
      <c r="F334" s="385">
        <f t="shared" si="103"/>
        <v>23.604229885509767</v>
      </c>
      <c r="G334" s="110">
        <f t="shared" si="126"/>
        <v>0.99798472140786343</v>
      </c>
      <c r="H334" s="414" t="b">
        <f>Wh_hp&gt;='2021'!Maxi_hp</f>
        <v>1</v>
      </c>
      <c r="I334" s="380">
        <f>IF(H334,Wh_hp,'2021'!Maxi_hp)</f>
        <v>23.604229885509767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3.58323370675796E-2</v>
      </c>
      <c r="M334" s="844"/>
      <c r="N334" s="844"/>
      <c r="O334" s="48">
        <f>IF(t&lt;Tnet,'2021'!Resal+('2021'!Salim-'2021'!Resal)*(1-EXP(('2021'!Tnet-t)/('2021'!Tau_j))),Resal+(Salim-Resal)*(1-EXP((Tnet-t)/(Tau_j))))*Salcycl</f>
        <v>9.937655532539115E-2</v>
      </c>
      <c r="P334" s="339">
        <f>(INDEX(Models!$BJ334:$BT334,,T334)*(1-R334)+INDEX(Models!$BJ334:$BT334,,T334+1)*R334-ERP_i)*Q334*Ramure*Pc/MaxiM</f>
        <v>1.897465766096058E-3</v>
      </c>
      <c r="Q334" s="305">
        <f t="shared" si="105"/>
        <v>0.7</v>
      </c>
      <c r="R334" s="177">
        <f t="shared" si="106"/>
        <v>0.39884097739922225</v>
      </c>
      <c r="S334" s="810">
        <f t="shared" si="107"/>
        <v>0</v>
      </c>
      <c r="T334" s="176">
        <f t="shared" si="108"/>
        <v>6</v>
      </c>
      <c r="U334" s="251">
        <f t="shared" si="109"/>
        <v>0.39884097739922225</v>
      </c>
      <c r="V334" s="383">
        <f t="shared" si="110"/>
        <v>20.499199932731305</v>
      </c>
      <c r="W334" s="402">
        <f t="shared" si="111"/>
        <v>0</v>
      </c>
      <c r="X334" s="157">
        <f t="shared" si="112"/>
        <v>44881</v>
      </c>
      <c r="Y334" s="385">
        <f t="shared" si="113"/>
        <v>19.297332113157342</v>
      </c>
      <c r="Z334" s="385">
        <f t="shared" si="114"/>
        <v>20.014498364803501</v>
      </c>
      <c r="AA334" s="386">
        <f t="shared" si="115"/>
        <v>23.55957026273936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0.15047268937424402</v>
      </c>
      <c r="AD334" s="231">
        <f>(INDEX(Models!$BJ334:$BT334,,AH334)*(1-AF334)+INDEX(Models!$BJ334:$BT334,,AH334+1)*AF334-ERP_i)*AE334*Ramure*Pc/MaxiM</f>
        <v>1.897465766096058E-3</v>
      </c>
      <c r="AE334" s="305">
        <f t="shared" si="117"/>
        <v>0.7</v>
      </c>
      <c r="AF334" s="177">
        <f t="shared" si="118"/>
        <v>0.39884097739922225</v>
      </c>
      <c r="AG334" s="810">
        <f t="shared" si="124"/>
        <v>0</v>
      </c>
      <c r="AH334" s="176">
        <f t="shared" si="119"/>
        <v>6</v>
      </c>
      <c r="AI334" s="225">
        <f t="shared" si="120"/>
        <v>0.39884097739922225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42">
        <v>11.942</v>
      </c>
      <c r="C335" s="840"/>
      <c r="D335" s="393">
        <f t="shared" ref="D335:D379" si="127">Wh/(1-Ppv)</f>
        <v>12.386100855044603</v>
      </c>
      <c r="E335" s="385">
        <f t="shared" si="125"/>
        <v>13.753282399519257</v>
      </c>
      <c r="F335" s="385">
        <f t="shared" ref="F335:F379" si="128">Wh_sa/(1-Pvg*MEDIAN((-Sdif+Wh/Env_an)/Csdif,0,1))</f>
        <v>13.763704725378661</v>
      </c>
      <c r="G335" s="110">
        <f t="shared" si="126"/>
        <v>0.58882434659497973</v>
      </c>
      <c r="H335" s="414" t="b">
        <f>Wh_hp&gt;='2021'!Maxi_hp</f>
        <v>0</v>
      </c>
      <c r="I335" s="380">
        <f>IF(H335,Wh_hp,'2021'!Maxi_hp)</f>
        <v>21.890995839338444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3.5854774657654298E-2</v>
      </c>
      <c r="M335" s="844"/>
      <c r="N335" s="844"/>
      <c r="O335" s="48">
        <f>IF(t&lt;Tnet,'2021'!Resal+('2021'!Salim-'2021'!Resal)*(1-EXP(('2021'!Tnet-t)/('2021'!Tau_j))),Resal+(Salim-Resal)*(1-EXP((Tnet-t)/(Tau_j))))*Salcycl</f>
        <v>9.9407654460904826E-2</v>
      </c>
      <c r="P335" s="339">
        <f>(INDEX(Models!$BJ335:$BT335,,T335)*(1-R335)+INDEX(Models!$BJ335:$BT335,,T335+1)*R335-ERP_i)*Q335*Ramure*Pc/MaxiM</f>
        <v>1.8312259461604899E-3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0.39886434909041762</v>
      </c>
      <c r="S335" s="810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0.39886434909041762</v>
      </c>
      <c r="V335" s="383">
        <f t="shared" ref="V335:V379" si="135">MaxiM*(1-Ppv)*(1-Pvg)*(1-Psa)</f>
        <v>20.259292471602993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11.265605503268537</v>
      </c>
      <c r="Z335" s="385">
        <f t="shared" ref="Z335:Z379" si="139">Wh_sa_s*(1-Psa_s)</f>
        <v>11.68455250013646</v>
      </c>
      <c r="AA335" s="386">
        <f t="shared" ref="AA335:AA379" si="140">Wh_hp*(1-Pvg_s*MEDIAN((-Sdif+Wh/Env_an)/Csdif,0,1))</f>
        <v>13.753282399519257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0.15041717600847848</v>
      </c>
      <c r="AD335" s="231">
        <f>(INDEX(Models!$BJ335:$BT335,,AH335)*(1-AF335)+INDEX(Models!$BJ335:$BT335,,AH335+1)*AF335-ERP_i)*AE335*Ramure*Pc/MaxiM</f>
        <v>1.8312259461604899E-3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0.39886434909041762</v>
      </c>
      <c r="AG335" s="810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0.39886434909041762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42">
        <v>12.624000000000001</v>
      </c>
      <c r="C336" s="840"/>
      <c r="D336" s="393">
        <f t="shared" si="127"/>
        <v>13.093767882609912</v>
      </c>
      <c r="E336" s="385">
        <f t="shared" si="125"/>
        <v>14.53958398034484</v>
      </c>
      <c r="F336" s="385">
        <f t="shared" si="128"/>
        <v>14.551751017315215</v>
      </c>
      <c r="G336" s="110">
        <f t="shared" si="126"/>
        <v>0.62985848757023577</v>
      </c>
      <c r="H336" s="414" t="b">
        <f>Wh_hp&gt;='2021'!Maxi_hp</f>
        <v>0</v>
      </c>
      <c r="I336" s="380">
        <f>IF(H336,Wh_hp,'2021'!Maxi_hp)</f>
        <v>21.900036147132251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3.5877211725573566E-2</v>
      </c>
      <c r="M336" s="844"/>
      <c r="N336" s="844"/>
      <c r="O336" s="48">
        <f>IF(t&lt;Tnet,'2021'!Resal+('2021'!Salim-'2021'!Resal)*(1-EXP(('2021'!Tnet-t)/('2021'!Tau_j))),Resal+(Salim-Resal)*(1-EXP((Tnet-t)/(Tau_j))))*Salcycl</f>
        <v>9.9439990833949415E-2</v>
      </c>
      <c r="P336" s="339">
        <f>(INDEX(Models!$BJ336:$BT336,,T336)*(1-R336)+INDEX(Models!$BJ336:$BT336,,T336+1)*R336-ERP_i)*Q336*Ramure*Pc/MaxiM</f>
        <v>1.7711846551190682E-3</v>
      </c>
      <c r="Q336" s="305">
        <f t="shared" si="130"/>
        <v>0.7</v>
      </c>
      <c r="R336" s="177">
        <f t="shared" si="131"/>
        <v>0.39888678233734831</v>
      </c>
      <c r="S336" s="810">
        <f t="shared" si="132"/>
        <v>0</v>
      </c>
      <c r="T336" s="176">
        <f t="shared" si="133"/>
        <v>6</v>
      </c>
      <c r="U336" s="251">
        <f t="shared" si="134"/>
        <v>0.39888678233734831</v>
      </c>
      <c r="V336" s="383">
        <f t="shared" si="135"/>
        <v>20.023840494323778</v>
      </c>
      <c r="W336" s="402">
        <f t="shared" si="136"/>
        <v>0</v>
      </c>
      <c r="X336" s="157">
        <f t="shared" si="137"/>
        <v>44883</v>
      </c>
      <c r="Y336" s="385">
        <f t="shared" si="138"/>
        <v>11.910153321704096</v>
      </c>
      <c r="Z336" s="385">
        <f t="shared" si="139"/>
        <v>12.353357338457608</v>
      </c>
      <c r="AA336" s="386">
        <f t="shared" si="140"/>
        <v>14.53958398034484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0.15036376864995965</v>
      </c>
      <c r="AD336" s="231">
        <f>(INDEX(Models!$BJ336:$BT336,,AH336)*(1-AF336)+INDEX(Models!$BJ336:$BT336,,AH336+1)*AF336-ERP_i)*AE336*Ramure*Pc/MaxiM</f>
        <v>1.7711846551190682E-3</v>
      </c>
      <c r="AE336" s="305">
        <f t="shared" si="142"/>
        <v>0.7</v>
      </c>
      <c r="AF336" s="177">
        <f t="shared" si="143"/>
        <v>0.39888678233734831</v>
      </c>
      <c r="AG336" s="810">
        <f t="shared" ref="AG336:AG379" si="149">INDEX(Echel_vg,AH336)</f>
        <v>0</v>
      </c>
      <c r="AH336" s="176">
        <f t="shared" si="144"/>
        <v>6</v>
      </c>
      <c r="AI336" s="225">
        <f t="shared" si="145"/>
        <v>0.39888678233734831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42">
        <v>7.0040000000000004</v>
      </c>
      <c r="C337" s="840"/>
      <c r="D337" s="393">
        <f t="shared" si="127"/>
        <v>7.264803904947958</v>
      </c>
      <c r="E337" s="385">
        <f t="shared" si="125"/>
        <v>8.0672861483824292</v>
      </c>
      <c r="F337" s="385">
        <f t="shared" si="128"/>
        <v>8.0683522453740668</v>
      </c>
      <c r="G337" s="110">
        <f t="shared" si="126"/>
        <v>0.35329402277442107</v>
      </c>
      <c r="H337" s="414" t="b">
        <f>Wh_hp&gt;='2021'!Maxi_hp</f>
        <v>0</v>
      </c>
      <c r="I337" s="380">
        <f>IF(H337,Wh_hp,'2021'!Maxi_hp)</f>
        <v>22.404148660513918</v>
      </c>
      <c r="J337" s="85">
        <f>IF(H337,An,'2021'!An_max)</f>
        <v>2021</v>
      </c>
      <c r="K337" s="197">
        <f t="shared" si="129"/>
        <v>44884</v>
      </c>
      <c r="L337" s="147">
        <f>IF(t&lt;Tvie,1-EXP((T0-t)*PertePVj)+'2021'!Pspv,1-EXP((T0-t)*PertePVj)+Pspv)</f>
        <v>3.5899648271349394E-2</v>
      </c>
      <c r="M337" s="844"/>
      <c r="N337" s="844"/>
      <c r="O337" s="48">
        <f>IF(t&lt;Tnet,'2021'!Resal+('2021'!Salim-'2021'!Resal)*(1-EXP(('2021'!Tnet-t)/('2021'!Tau_j))),Resal+(Salim-Resal)*(1-EXP((Tnet-t)/(Tau_j))))*Salcycl</f>
        <v>9.9473630744507144E-2</v>
      </c>
      <c r="P337" s="339">
        <f>(INDEX(Models!$BJ337:$BT337,,T337)*(1-R337)+INDEX(Models!$BJ337:$BT337,,T337+1)*R337-ERP_i)*Q337*Ramure*Pc/MaxiM</f>
        <v>1.7174469350330461E-3</v>
      </c>
      <c r="Q337" s="305">
        <f t="shared" si="130"/>
        <v>0.7</v>
      </c>
      <c r="R337" s="177">
        <f t="shared" si="131"/>
        <v>0.39890831472228472</v>
      </c>
      <c r="S337" s="810">
        <f t="shared" si="132"/>
        <v>0</v>
      </c>
      <c r="T337" s="176">
        <f t="shared" si="133"/>
        <v>6</v>
      </c>
      <c r="U337" s="251">
        <f t="shared" si="134"/>
        <v>0.39890831472228472</v>
      </c>
      <c r="V337" s="383">
        <f t="shared" si="135"/>
        <v>19.793414392248557</v>
      </c>
      <c r="W337" s="402">
        <f t="shared" si="136"/>
        <v>0</v>
      </c>
      <c r="X337" s="157">
        <f t="shared" si="137"/>
        <v>44884</v>
      </c>
      <c r="Y337" s="385">
        <f t="shared" si="138"/>
        <v>6.6085913905124043</v>
      </c>
      <c r="Z337" s="385">
        <f t="shared" si="139"/>
        <v>6.8546716933180987</v>
      </c>
      <c r="AA337" s="386">
        <f t="shared" si="140"/>
        <v>8.0672861483824292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0.15031256270827478</v>
      </c>
      <c r="AD337" s="231">
        <f>(INDEX(Models!$BJ337:$BT337,,AH337)*(1-AF337)+INDEX(Models!$BJ337:$BT337,,AH337+1)*AF337-ERP_i)*AE337*Ramure*Pc/MaxiM</f>
        <v>1.7174469350330461E-3</v>
      </c>
      <c r="AE337" s="305">
        <f t="shared" si="142"/>
        <v>0.7</v>
      </c>
      <c r="AF337" s="177">
        <f t="shared" si="143"/>
        <v>0.39890831472228472</v>
      </c>
      <c r="AG337" s="810">
        <f t="shared" si="149"/>
        <v>0</v>
      </c>
      <c r="AH337" s="176">
        <f t="shared" si="144"/>
        <v>6</v>
      </c>
      <c r="AI337" s="225">
        <f t="shared" si="145"/>
        <v>0.39890831472228472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42">
        <v>12.962</v>
      </c>
      <c r="C338" s="840"/>
      <c r="D338" s="393">
        <f t="shared" si="127"/>
        <v>13.444971395824595</v>
      </c>
      <c r="E338" s="385">
        <f t="shared" si="125"/>
        <v>14.930705521764885</v>
      </c>
      <c r="F338" s="385">
        <f t="shared" si="128"/>
        <v>14.943631187742813</v>
      </c>
      <c r="G338" s="110">
        <f t="shared" si="126"/>
        <v>0.66185443642847175</v>
      </c>
      <c r="H338" s="414" t="b">
        <f>Wh_hp&gt;='2021'!Maxi_hp</f>
        <v>0</v>
      </c>
      <c r="I338" s="380">
        <f>IF(H338,Wh_hp,'2021'!Maxi_hp)</f>
        <v>23.081621560560357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3.5922084294994105E-2</v>
      </c>
      <c r="M338" s="844"/>
      <c r="N338" s="844"/>
      <c r="O338" s="48">
        <f>IF(t&lt;Tnet,'2021'!Resal+('2021'!Salim-'2021'!Resal)*(1-EXP(('2021'!Tnet-t)/('2021'!Tau_j))),Resal+(Salim-Resal)*(1-EXP((Tnet-t)/(Tau_j))))*Salcycl</f>
        <v>9.950863499213064E-2</v>
      </c>
      <c r="P338" s="339">
        <f>(INDEX(Models!$BJ338:$BT338,,T338)*(1-R338)+INDEX(Models!$BJ338:$BT338,,T338+1)*R338-ERP_i)*Q338*Ramure*Pc/MaxiM</f>
        <v>1.6707836704707949E-3</v>
      </c>
      <c r="Q338" s="305">
        <f t="shared" si="130"/>
        <v>0.7</v>
      </c>
      <c r="R338" s="177">
        <f t="shared" si="131"/>
        <v>0.39892898233023599</v>
      </c>
      <c r="S338" s="810">
        <f t="shared" si="132"/>
        <v>0</v>
      </c>
      <c r="T338" s="176">
        <f t="shared" si="133"/>
        <v>6</v>
      </c>
      <c r="U338" s="251">
        <f t="shared" si="134"/>
        <v>0.39892898233023599</v>
      </c>
      <c r="V338" s="383">
        <f t="shared" si="135"/>
        <v>19.568571543919052</v>
      </c>
      <c r="W338" s="402">
        <f t="shared" si="136"/>
        <v>0</v>
      </c>
      <c r="X338" s="157">
        <f t="shared" si="137"/>
        <v>44885</v>
      </c>
      <c r="Y338" s="385">
        <f t="shared" si="138"/>
        <v>12.231413937937697</v>
      </c>
      <c r="Z338" s="385">
        <f t="shared" si="139"/>
        <v>12.687163286997579</v>
      </c>
      <c r="AA338" s="386">
        <f t="shared" si="140"/>
        <v>14.930705521764885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0.15026364504321879</v>
      </c>
      <c r="AD338" s="231">
        <f>(INDEX(Models!$BJ338:$BT338,,AH338)*(1-AF338)+INDEX(Models!$BJ338:$BT338,,AH338+1)*AF338-ERP_i)*AE338*Ramure*Pc/MaxiM</f>
        <v>1.6707836704707949E-3</v>
      </c>
      <c r="AE338" s="305">
        <f t="shared" si="142"/>
        <v>0.7</v>
      </c>
      <c r="AF338" s="177">
        <f t="shared" si="143"/>
        <v>0.39892898233023599</v>
      </c>
      <c r="AG338" s="810">
        <f t="shared" si="149"/>
        <v>0</v>
      </c>
      <c r="AH338" s="176">
        <f t="shared" si="144"/>
        <v>6</v>
      </c>
      <c r="AI338" s="225">
        <f t="shared" si="145"/>
        <v>0.39892898233023599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42">
        <v>3.0350000000000001</v>
      </c>
      <c r="C339" s="840"/>
      <c r="D339" s="393">
        <f t="shared" si="127"/>
        <v>3.1481590658655993</v>
      </c>
      <c r="E339" s="385">
        <f t="shared" si="125"/>
        <v>3.4961872285611775</v>
      </c>
      <c r="F339" s="385">
        <f t="shared" si="128"/>
        <v>3.4961872285611775</v>
      </c>
      <c r="G339" s="110">
        <f t="shared" si="126"/>
        <v>0.15659262825288792</v>
      </c>
      <c r="H339" s="414" t="b">
        <f>Wh_hp&gt;='2021'!Maxi_hp</f>
        <v>0</v>
      </c>
      <c r="I339" s="380">
        <f>IF(H339,Wh_hp,'2021'!Maxi_hp)</f>
        <v>22.83442232679824</v>
      </c>
      <c r="J339" s="85">
        <f>IF(H339,An,'2021'!An_max)</f>
        <v>2019</v>
      </c>
      <c r="K339" s="197">
        <f t="shared" si="129"/>
        <v>44886</v>
      </c>
      <c r="L339" s="147">
        <f>IF(t&lt;Tvie,1-EXP((T0-t)*PertePVj)+'2021'!Pspv,1-EXP((T0-t)*PertePVj)+Pspv)</f>
        <v>3.5944519796519803E-2</v>
      </c>
      <c r="M339" s="844"/>
      <c r="N339" s="844"/>
      <c r="O339" s="48">
        <f>IF(t&lt;Tnet,'2021'!Resal+('2021'!Salim-'2021'!Resal)*(1-EXP(('2021'!Tnet-t)/('2021'!Tau_j))),Resal+(Salim-Resal)*(1-EXP((Tnet-t)/(Tau_j))))*Salcycl</f>
        <v>9.9545058643442791E-2</v>
      </c>
      <c r="P339" s="339">
        <f>(INDEX(Models!$BJ339:$BT339,,T339)*(1-R339)+INDEX(Models!$BJ339:$BT339,,T339+1)*R339-ERP_i)*Q339*Ramure*Pc/MaxiM</f>
        <v>1.6269965134896136E-3</v>
      </c>
      <c r="Q339" s="305">
        <f t="shared" si="130"/>
        <v>0.7</v>
      </c>
      <c r="R339" s="177">
        <f t="shared" si="131"/>
        <v>0.39894881980798402</v>
      </c>
      <c r="S339" s="810">
        <f t="shared" si="132"/>
        <v>0</v>
      </c>
      <c r="T339" s="176">
        <f t="shared" si="133"/>
        <v>6</v>
      </c>
      <c r="U339" s="251">
        <f t="shared" si="134"/>
        <v>0.39894881980798402</v>
      </c>
      <c r="V339" s="383">
        <f t="shared" si="135"/>
        <v>19.349966210977612</v>
      </c>
      <c r="W339" s="402">
        <f t="shared" si="136"/>
        <v>0</v>
      </c>
      <c r="X339" s="157">
        <f t="shared" si="137"/>
        <v>44886</v>
      </c>
      <c r="Y339" s="385">
        <f t="shared" si="138"/>
        <v>2.8642089707516751</v>
      </c>
      <c r="Z339" s="385">
        <f t="shared" si="139"/>
        <v>2.971000144252212</v>
      </c>
      <c r="AA339" s="386">
        <f t="shared" si="140"/>
        <v>3.4961872285611775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0.15021709364378097</v>
      </c>
      <c r="AD339" s="231">
        <f>(INDEX(Models!$BJ339:$BT339,,AH339)*(1-AF339)+INDEX(Models!$BJ339:$BT339,,AH339+1)*AF339-ERP_i)*AE339*Ramure*Pc/MaxiM</f>
        <v>1.6269965134896136E-3</v>
      </c>
      <c r="AE339" s="305">
        <f t="shared" si="142"/>
        <v>0.7</v>
      </c>
      <c r="AF339" s="177">
        <f t="shared" si="143"/>
        <v>0.39894881980798402</v>
      </c>
      <c r="AG339" s="810">
        <f t="shared" si="149"/>
        <v>0</v>
      </c>
      <c r="AH339" s="176">
        <f t="shared" si="144"/>
        <v>6</v>
      </c>
      <c r="AI339" s="225">
        <f t="shared" si="145"/>
        <v>0.39894881980798402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42">
        <v>7.19</v>
      </c>
      <c r="C340" s="840"/>
      <c r="D340" s="393">
        <f t="shared" si="127"/>
        <v>7.4582505606214911</v>
      </c>
      <c r="E340" s="385">
        <f t="shared" si="125"/>
        <v>8.2831067754006895</v>
      </c>
      <c r="F340" s="385">
        <f t="shared" si="128"/>
        <v>8.2845275943118661</v>
      </c>
      <c r="G340" s="110">
        <f t="shared" si="126"/>
        <v>0.37515749958207056</v>
      </c>
      <c r="H340" s="414" t="b">
        <f>Wh_hp&gt;='2021'!Maxi_hp</f>
        <v>0</v>
      </c>
      <c r="I340" s="380">
        <f>IF(H340,Wh_hp,'2021'!Maxi_hp)</f>
        <v>22.832707218785405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3.5966954775938476E-2</v>
      </c>
      <c r="M340" s="844"/>
      <c r="N340" s="844"/>
      <c r="O340" s="48">
        <f>IF(t&lt;Tnet,'2021'!Resal+('2021'!Salim-'2021'!Resal)*(1-EXP(('2021'!Tnet-t)/('2021'!Tau_j))),Resal+(Salim-Resal)*(1-EXP((Tnet-t)/(Tau_j))))*Salcycl</f>
        <v>9.9582950835412354E-2</v>
      </c>
      <c r="P340" s="339">
        <f>(INDEX(Models!$BJ340:$BT340,,T340)*(1-R340)+INDEX(Models!$BJ340:$BT340,,T340+1)*R340-ERP_i)*Q340*Ramure*Pc/MaxiM</f>
        <v>1.5861197894749641E-3</v>
      </c>
      <c r="Q340" s="305">
        <f t="shared" si="130"/>
        <v>0.7</v>
      </c>
      <c r="R340" s="177">
        <f t="shared" si="131"/>
        <v>0.39896786042083893</v>
      </c>
      <c r="S340" s="810">
        <f t="shared" si="132"/>
        <v>0</v>
      </c>
      <c r="T340" s="176">
        <f t="shared" si="133"/>
        <v>6</v>
      </c>
      <c r="U340" s="251">
        <f t="shared" si="134"/>
        <v>0.39896786042083893</v>
      </c>
      <c r="V340" s="383">
        <f t="shared" si="135"/>
        <v>19.138167746900312</v>
      </c>
      <c r="W340" s="402">
        <f t="shared" si="136"/>
        <v>0</v>
      </c>
      <c r="X340" s="157">
        <f t="shared" si="137"/>
        <v>44887</v>
      </c>
      <c r="Y340" s="385">
        <f t="shared" si="138"/>
        <v>6.7860290944453032</v>
      </c>
      <c r="Z340" s="385">
        <f t="shared" si="139"/>
        <v>7.0392079691294063</v>
      </c>
      <c r="AA340" s="386">
        <f t="shared" si="140"/>
        <v>8.2831067754006895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0.15017297736224222</v>
      </c>
      <c r="AD340" s="231">
        <f>(INDEX(Models!$BJ340:$BT340,,AH340)*(1-AF340)+INDEX(Models!$BJ340:$BT340,,AH340+1)*AF340-ERP_i)*AE340*Ramure*Pc/MaxiM</f>
        <v>1.5861197894749641E-3</v>
      </c>
      <c r="AE340" s="305">
        <f t="shared" si="142"/>
        <v>0.7</v>
      </c>
      <c r="AF340" s="177">
        <f t="shared" si="143"/>
        <v>0.39896786042083893</v>
      </c>
      <c r="AG340" s="810">
        <f t="shared" si="149"/>
        <v>0</v>
      </c>
      <c r="AH340" s="176">
        <f t="shared" si="144"/>
        <v>6</v>
      </c>
      <c r="AI340" s="225">
        <f t="shared" si="145"/>
        <v>0.39896786042083893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42">
        <v>11.498000000000001</v>
      </c>
      <c r="C341" s="840"/>
      <c r="D341" s="393">
        <f t="shared" si="127"/>
        <v>11.927254608592875</v>
      </c>
      <c r="E341" s="385">
        <f t="shared" si="125"/>
        <v>13.246946622605114</v>
      </c>
      <c r="F341" s="385">
        <f t="shared" si="128"/>
        <v>13.255955326248065</v>
      </c>
      <c r="G341" s="110">
        <f t="shared" si="126"/>
        <v>0.60674768041630245</v>
      </c>
      <c r="H341" s="414" t="b">
        <f>Wh_hp&gt;='2021'!Maxi_hp</f>
        <v>0</v>
      </c>
      <c r="I341" s="380">
        <f>IF(H341,Wh_hp,'2021'!Maxi_hp)</f>
        <v>22.481417216990419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3.5989389233262559E-2</v>
      </c>
      <c r="M341" s="844"/>
      <c r="N341" s="844"/>
      <c r="O341" s="48">
        <f>IF(t&lt;Tnet,'2021'!Resal+('2021'!Salim-'2021'!Resal)*(1-EXP(('2021'!Tnet-t)/('2021'!Tau_j))),Resal+(Salim-Resal)*(1-EXP((Tnet-t)/(Tau_j))))*Salcycl</f>
        <v>9.962235461568654E-2</v>
      </c>
      <c r="P341" s="339">
        <f>(INDEX(Models!$BJ341:$BT341,,T341)*(1-R341)+INDEX(Models!$BJ341:$BT341,,T341+1)*R341-ERP_i)*Q341*Ramure*Pc/MaxiM</f>
        <v>1.5481796790677153E-3</v>
      </c>
      <c r="Q341" s="305">
        <f t="shared" si="130"/>
        <v>0.7</v>
      </c>
      <c r="R341" s="177">
        <f t="shared" si="131"/>
        <v>0.39898613610719869</v>
      </c>
      <c r="S341" s="810">
        <f t="shared" si="132"/>
        <v>0</v>
      </c>
      <c r="T341" s="176">
        <f t="shared" si="133"/>
        <v>6</v>
      </c>
      <c r="U341" s="251">
        <f t="shared" si="134"/>
        <v>0.39898613610719869</v>
      </c>
      <c r="V341" s="383">
        <f t="shared" si="135"/>
        <v>18.933745627881517</v>
      </c>
      <c r="W341" s="402">
        <f t="shared" si="136"/>
        <v>0</v>
      </c>
      <c r="X341" s="157">
        <f t="shared" si="137"/>
        <v>44888</v>
      </c>
      <c r="Y341" s="385">
        <f t="shared" si="138"/>
        <v>10.852990100539884</v>
      </c>
      <c r="Z341" s="385">
        <f t="shared" si="139"/>
        <v>11.258164567201005</v>
      </c>
      <c r="AA341" s="386">
        <f t="shared" si="140"/>
        <v>13.246946622605114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0.15013135570504765</v>
      </c>
      <c r="AD341" s="231">
        <f>(INDEX(Models!$BJ341:$BT341,,AH341)*(1-AF341)+INDEX(Models!$BJ341:$BT341,,AH341+1)*AF341-ERP_i)*AE341*Ramure*Pc/MaxiM</f>
        <v>1.5481796790677153E-3</v>
      </c>
      <c r="AE341" s="305">
        <f t="shared" si="142"/>
        <v>0.7</v>
      </c>
      <c r="AF341" s="177">
        <f t="shared" si="143"/>
        <v>0.39898613610719869</v>
      </c>
      <c r="AG341" s="810">
        <f t="shared" si="149"/>
        <v>0</v>
      </c>
      <c r="AH341" s="176">
        <f t="shared" si="144"/>
        <v>6</v>
      </c>
      <c r="AI341" s="225">
        <f t="shared" si="145"/>
        <v>0.39898613610719869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42">
        <v>11.577999999999999</v>
      </c>
      <c r="C342" s="840"/>
      <c r="D342" s="393">
        <f t="shared" si="127"/>
        <v>12.010520749388631</v>
      </c>
      <c r="E342" s="385">
        <f t="shared" si="125"/>
        <v>13.340032501596989</v>
      </c>
      <c r="F342" s="385">
        <f t="shared" si="128"/>
        <v>13.349206630209045</v>
      </c>
      <c r="G342" s="110">
        <f t="shared" si="126"/>
        <v>0.61740215665994747</v>
      </c>
      <c r="H342" s="414" t="b">
        <f>Wh_hp&gt;='2021'!Maxi_hp</f>
        <v>0</v>
      </c>
      <c r="I342" s="380">
        <f>IF(H342,Wh_hp,'2021'!Maxi_hp)</f>
        <v>21.083338860152271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3.6011823168503931E-2</v>
      </c>
      <c r="M342" s="844"/>
      <c r="N342" s="844"/>
      <c r="O342" s="48">
        <f>IF(t&lt;Tnet,'2021'!Resal+('2021'!Salim-'2021'!Resal)*(1-EXP(('2021'!Tnet-t)/('2021'!Tau_j))),Resal+(Salim-Resal)*(1-EXP((Tnet-t)/(Tau_j))))*Salcycl</f>
        <v>9.9663306820968897E-2</v>
      </c>
      <c r="P342" s="339">
        <f>(INDEX(Models!$BJ342:$BT342,,T342)*(1-R342)+INDEX(Models!$BJ342:$BT342,,T342+1)*R342-ERP_i)*Q342*Ramure*Pc/MaxiM</f>
        <v>1.513210267196502E-3</v>
      </c>
      <c r="Q342" s="305">
        <f t="shared" si="130"/>
        <v>0.7</v>
      </c>
      <c r="R342" s="177">
        <f t="shared" si="131"/>
        <v>0.39900367753099708</v>
      </c>
      <c r="S342" s="810">
        <f t="shared" si="132"/>
        <v>0</v>
      </c>
      <c r="T342" s="176">
        <f t="shared" si="133"/>
        <v>6</v>
      </c>
      <c r="U342" s="251">
        <f t="shared" si="134"/>
        <v>0.39900367753099708</v>
      </c>
      <c r="V342" s="383">
        <f t="shared" si="135"/>
        <v>18.737269107364536</v>
      </c>
      <c r="W342" s="402">
        <f t="shared" si="136"/>
        <v>0</v>
      </c>
      <c r="X342" s="157">
        <f t="shared" si="137"/>
        <v>44889</v>
      </c>
      <c r="Y342" s="385">
        <f t="shared" si="138"/>
        <v>10.929501898537968</v>
      </c>
      <c r="Z342" s="385">
        <f t="shared" si="139"/>
        <v>11.337796625744748</v>
      </c>
      <c r="AA342" s="386">
        <f t="shared" si="140"/>
        <v>13.340032501596989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0.15009227868167088</v>
      </c>
      <c r="AD342" s="231">
        <f>(INDEX(Models!$BJ342:$BT342,,AH342)*(1-AF342)+INDEX(Models!$BJ342:$BT342,,AH342+1)*AF342-ERP_i)*AE342*Ramure*Pc/MaxiM</f>
        <v>1.513210267196502E-3</v>
      </c>
      <c r="AE342" s="305">
        <f t="shared" si="142"/>
        <v>0.7</v>
      </c>
      <c r="AF342" s="177">
        <f t="shared" si="143"/>
        <v>0.39900367753099708</v>
      </c>
      <c r="AG342" s="810">
        <f t="shared" si="149"/>
        <v>0</v>
      </c>
      <c r="AH342" s="176">
        <f t="shared" si="144"/>
        <v>6</v>
      </c>
      <c r="AI342" s="225">
        <f t="shared" si="145"/>
        <v>0.39900367753099708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42">
        <v>4.7110000000000003</v>
      </c>
      <c r="C343" s="840"/>
      <c r="D343" s="393">
        <f t="shared" si="127"/>
        <v>4.8871031280575314</v>
      </c>
      <c r="E343" s="385">
        <f t="shared" si="125"/>
        <v>5.4283403517456721</v>
      </c>
      <c r="F343" s="385">
        <f t="shared" si="128"/>
        <v>5.4283403517456721</v>
      </c>
      <c r="G343" s="110">
        <f t="shared" si="126"/>
        <v>0.25359555314582838</v>
      </c>
      <c r="H343" s="414" t="b">
        <f>Wh_hp&gt;='2021'!Maxi_hp</f>
        <v>0</v>
      </c>
      <c r="I343" s="380">
        <f>IF(H343,Wh_hp,'2021'!Maxi_hp)</f>
        <v>19.914924416032331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3.6034256581674917E-2</v>
      </c>
      <c r="M343" s="844"/>
      <c r="N343" s="844"/>
      <c r="O343" s="48">
        <f>IF(t&lt;Tnet,'2021'!Resal+('2021'!Salim-'2021'!Resal)*(1-EXP(('2021'!Tnet-t)/('2021'!Tau_j))),Resal+(Salim-Resal)*(1-EXP((Tnet-t)/(Tau_j))))*Salcycl</f>
        <v>9.9705837994127841E-2</v>
      </c>
      <c r="P343" s="339">
        <f>(INDEX(Models!$BJ343:$BT343,,T343)*(1-R343)+INDEX(Models!$BJ343:$BT343,,T343+1)*R343-ERP_i)*Q343*Ramure*Pc/MaxiM</f>
        <v>1.4812533175848791E-3</v>
      </c>
      <c r="Q343" s="305">
        <f t="shared" si="130"/>
        <v>0.7</v>
      </c>
      <c r="R343" s="177">
        <f t="shared" si="131"/>
        <v>0.39902051413211498</v>
      </c>
      <c r="S343" s="810">
        <f t="shared" si="132"/>
        <v>0</v>
      </c>
      <c r="T343" s="176">
        <f t="shared" si="133"/>
        <v>6</v>
      </c>
      <c r="U343" s="251">
        <f t="shared" si="134"/>
        <v>0.39902051413211498</v>
      </c>
      <c r="V343" s="383">
        <f t="shared" si="135"/>
        <v>18.549307183300026</v>
      </c>
      <c r="W343" s="402">
        <f t="shared" si="136"/>
        <v>0</v>
      </c>
      <c r="X343" s="157">
        <f t="shared" si="137"/>
        <v>44890</v>
      </c>
      <c r="Y343" s="385">
        <f t="shared" si="138"/>
        <v>4.4475321042597029</v>
      </c>
      <c r="Z343" s="385">
        <f t="shared" si="139"/>
        <v>4.6137864697227524</v>
      </c>
      <c r="AA343" s="386">
        <f t="shared" si="140"/>
        <v>5.4283403517456721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0.15005578671222625</v>
      </c>
      <c r="AD343" s="231">
        <f>(INDEX(Models!$BJ343:$BT343,,AH343)*(1-AF343)+INDEX(Models!$BJ343:$BT343,,AH343+1)*AF343-ERP_i)*AE343*Ramure*Pc/MaxiM</f>
        <v>1.4812533175848791E-3</v>
      </c>
      <c r="AE343" s="305">
        <f t="shared" si="142"/>
        <v>0.7</v>
      </c>
      <c r="AF343" s="177">
        <f t="shared" si="143"/>
        <v>0.39902051413211498</v>
      </c>
      <c r="AG343" s="810">
        <f t="shared" si="149"/>
        <v>0</v>
      </c>
      <c r="AH343" s="176">
        <f t="shared" si="144"/>
        <v>6</v>
      </c>
      <c r="AI343" s="225">
        <f t="shared" si="145"/>
        <v>0.39902051413211498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42">
        <v>10.575000000000001</v>
      </c>
      <c r="C344" s="840"/>
      <c r="D344" s="393">
        <f t="shared" si="127"/>
        <v>10.970562152888622</v>
      </c>
      <c r="E344" s="385">
        <f t="shared" si="125"/>
        <v>12.186128093113453</v>
      </c>
      <c r="F344" s="385">
        <f t="shared" si="128"/>
        <v>12.193101588893775</v>
      </c>
      <c r="G344" s="110">
        <f t="shared" si="126"/>
        <v>0.57514630132248767</v>
      </c>
      <c r="H344" s="414" t="b">
        <f>Wh_hp&gt;='2021'!Maxi_hp</f>
        <v>0</v>
      </c>
      <c r="I344" s="380">
        <f>IF(H344,Wh_hp,'2021'!Maxi_hp)</f>
        <v>21.504267084607424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3.6056689472787506E-2</v>
      </c>
      <c r="M344" s="844"/>
      <c r="N344" s="844"/>
      <c r="O344" s="48">
        <f>IF(t&lt;Tnet,'2021'!Resal+('2021'!Salim-'2021'!Resal)*(1-EXP(('2021'!Tnet-t)/('2021'!Tau_j))),Resal+(Salim-Resal)*(1-EXP((Tnet-t)/(Tau_j))))*Salcycl</f>
        <v>9.9749972340415771E-2</v>
      </c>
      <c r="P344" s="339">
        <f>(INDEX(Models!$BJ344:$BT344,,T344)*(1-R344)+INDEX(Models!$BJ344:$BT344,,T344+1)*R344-ERP_i)*Q344*Ramure*Pc/MaxiM</f>
        <v>1.4523490898279462E-3</v>
      </c>
      <c r="Q344" s="305">
        <f t="shared" si="130"/>
        <v>0.7</v>
      </c>
      <c r="R344" s="177">
        <f t="shared" si="131"/>
        <v>0.39903667417483368</v>
      </c>
      <c r="S344" s="810">
        <f t="shared" si="132"/>
        <v>0</v>
      </c>
      <c r="T344" s="176">
        <f t="shared" si="133"/>
        <v>6</v>
      </c>
      <c r="U344" s="251">
        <f t="shared" si="134"/>
        <v>0.39903667417483368</v>
      </c>
      <c r="V344" s="383">
        <f t="shared" si="135"/>
        <v>18.370428750030573</v>
      </c>
      <c r="W344" s="402">
        <f t="shared" si="136"/>
        <v>0</v>
      </c>
      <c r="X344" s="157">
        <f t="shared" si="137"/>
        <v>44891</v>
      </c>
      <c r="Y344" s="385">
        <f t="shared" si="138"/>
        <v>9.9844687801176342</v>
      </c>
      <c r="Z344" s="385">
        <f t="shared" si="139"/>
        <v>10.357941873839861</v>
      </c>
      <c r="AA344" s="386">
        <f t="shared" si="140"/>
        <v>12.186128093113453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0.15002191059412245</v>
      </c>
      <c r="AD344" s="231">
        <f>(INDEX(Models!$BJ344:$BT344,,AH344)*(1-AF344)+INDEX(Models!$BJ344:$BT344,,AH344+1)*AF344-ERP_i)*AE344*Ramure*Pc/MaxiM</f>
        <v>1.4523490898279462E-3</v>
      </c>
      <c r="AE344" s="305">
        <f t="shared" si="142"/>
        <v>0.7</v>
      </c>
      <c r="AF344" s="177">
        <f t="shared" si="143"/>
        <v>0.39903667417483368</v>
      </c>
      <c r="AG344" s="810">
        <f t="shared" si="149"/>
        <v>0</v>
      </c>
      <c r="AH344" s="176">
        <f t="shared" si="144"/>
        <v>6</v>
      </c>
      <c r="AI344" s="225">
        <f t="shared" si="145"/>
        <v>0.39903667417483368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42">
        <v>11.918000000000001</v>
      </c>
      <c r="C345" s="840"/>
      <c r="D345" s="393">
        <f t="shared" si="127"/>
        <v>12.364085341499026</v>
      </c>
      <c r="E345" s="385">
        <f t="shared" si="125"/>
        <v>13.734755235301375</v>
      </c>
      <c r="F345" s="385">
        <f t="shared" si="128"/>
        <v>13.744696913504615</v>
      </c>
      <c r="G345" s="110">
        <f t="shared" si="126"/>
        <v>0.65441909095777107</v>
      </c>
      <c r="H345" s="414" t="b">
        <f>Wh_hp&gt;='2021'!Maxi_hp</f>
        <v>0</v>
      </c>
      <c r="I345" s="380">
        <f>IF(H345,Wh_hp,'2021'!Maxi_hp)</f>
        <v>18.227231813309963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3.6079121841854023E-2</v>
      </c>
      <c r="M345" s="844"/>
      <c r="N345" s="844"/>
      <c r="O345" s="48">
        <f>IF(t&lt;Tnet,'2021'!Resal+('2021'!Salim-'2021'!Resal)*(1-EXP(('2021'!Tnet-t)/('2021'!Tau_j))),Resal+(Salim-Resal)*(1-EXP((Tnet-t)/(Tau_j))))*Salcycl</f>
        <v>9.9795727722866379E-2</v>
      </c>
      <c r="P345" s="339">
        <f>(INDEX(Models!$BJ345:$BT345,,T345)*(1-R345)+INDEX(Models!$BJ345:$BT345,,T345+1)*R345-ERP_i)*Q345*Ramure*Pc/MaxiM</f>
        <v>1.4267272420271804E-3</v>
      </c>
      <c r="Q345" s="305">
        <f t="shared" si="130"/>
        <v>0.7</v>
      </c>
      <c r="R345" s="177">
        <f t="shared" si="131"/>
        <v>0.39905218479440213</v>
      </c>
      <c r="S345" s="810">
        <f t="shared" si="132"/>
        <v>0</v>
      </c>
      <c r="T345" s="176">
        <f t="shared" si="133"/>
        <v>6</v>
      </c>
      <c r="U345" s="251">
        <f t="shared" si="134"/>
        <v>0.39905218479440213</v>
      </c>
      <c r="V345" s="383">
        <f t="shared" si="135"/>
        <v>18.198751795318724</v>
      </c>
      <c r="W345" s="402">
        <f t="shared" si="136"/>
        <v>0</v>
      </c>
      <c r="X345" s="157">
        <f t="shared" si="137"/>
        <v>44892</v>
      </c>
      <c r="Y345" s="385">
        <f t="shared" si="138"/>
        <v>11.25345823021773</v>
      </c>
      <c r="Z345" s="385">
        <f t="shared" si="139"/>
        <v>11.674670074291541</v>
      </c>
      <c r="AA345" s="386">
        <f t="shared" si="140"/>
        <v>13.734755235301375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0.14999067152758261</v>
      </c>
      <c r="AD345" s="231">
        <f>(INDEX(Models!$BJ345:$BT345,,AH345)*(1-AF345)+INDEX(Models!$BJ345:$BT345,,AH345+1)*AF345-ERP_i)*AE345*Ramure*Pc/MaxiM</f>
        <v>1.4267272420271804E-3</v>
      </c>
      <c r="AE345" s="305">
        <f t="shared" si="142"/>
        <v>0.7</v>
      </c>
      <c r="AF345" s="177">
        <f t="shared" si="143"/>
        <v>0.39905218479440213</v>
      </c>
      <c r="AG345" s="810">
        <f t="shared" si="149"/>
        <v>0</v>
      </c>
      <c r="AH345" s="176">
        <f t="shared" si="144"/>
        <v>6</v>
      </c>
      <c r="AI345" s="225">
        <f t="shared" si="145"/>
        <v>0.39905218479440213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42">
        <v>10.119</v>
      </c>
      <c r="C346" s="840"/>
      <c r="D346" s="393">
        <f t="shared" si="127"/>
        <v>10.497993890047139</v>
      </c>
      <c r="E346" s="385">
        <f t="shared" si="125"/>
        <v>11.662404713120102</v>
      </c>
      <c r="F346" s="385">
        <f t="shared" si="128"/>
        <v>11.668521902416954</v>
      </c>
      <c r="G346" s="110">
        <f t="shared" si="126"/>
        <v>0.56066442703033914</v>
      </c>
      <c r="H346" s="414" t="b">
        <f>Wh_hp&gt;='2021'!Maxi_hp</f>
        <v>0</v>
      </c>
      <c r="I346" s="380">
        <f>IF(H346,Wh_hp,'2021'!Maxi_hp)</f>
        <v>13.863925920515646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3.6101553688886567E-2</v>
      </c>
      <c r="M346" s="844"/>
      <c r="N346" s="844"/>
      <c r="O346" s="48">
        <f>IF(t&lt;Tnet,'2021'!Resal+('2021'!Salim-'2021'!Resal)*(1-EXP(('2021'!Tnet-t)/('2021'!Tau_j))),Resal+(Salim-Resal)*(1-EXP((Tnet-t)/(Tau_j))))*Salcycl</f>
        <v>9.9843115696629084E-2</v>
      </c>
      <c r="P346" s="339">
        <f>(INDEX(Models!$BJ346:$BT346,,T346)*(1-R346)+INDEX(Models!$BJ346:$BT346,,T346+1)*R346-ERP_i)*Q346*Ramure*Pc/MaxiM</f>
        <v>1.4051706709338385E-3</v>
      </c>
      <c r="Q346" s="305">
        <f t="shared" si="130"/>
        <v>0.7</v>
      </c>
      <c r="R346" s="177">
        <f t="shared" si="131"/>
        <v>0.39906707204178993</v>
      </c>
      <c r="S346" s="810">
        <f t="shared" si="132"/>
        <v>0</v>
      </c>
      <c r="T346" s="176">
        <f t="shared" si="133"/>
        <v>6</v>
      </c>
      <c r="U346" s="251">
        <f t="shared" si="134"/>
        <v>0.39906707204178993</v>
      </c>
      <c r="V346" s="383">
        <f t="shared" si="135"/>
        <v>18.032321602369681</v>
      </c>
      <c r="W346" s="402">
        <f t="shared" si="136"/>
        <v>0</v>
      </c>
      <c r="X346" s="157">
        <f t="shared" si="137"/>
        <v>44893</v>
      </c>
      <c r="Y346" s="385">
        <f t="shared" si="138"/>
        <v>9.5555939751547072</v>
      </c>
      <c r="Z346" s="385">
        <f t="shared" si="139"/>
        <v>9.9134862305509817</v>
      </c>
      <c r="AA346" s="386">
        <f t="shared" si="140"/>
        <v>11.662404713120102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0.14996208119939469</v>
      </c>
      <c r="AD346" s="231">
        <f>(INDEX(Models!$BJ346:$BT346,,AH346)*(1-AF346)+INDEX(Models!$BJ346:$BT346,,AH346+1)*AF346-ERP_i)*AE346*Ramure*Pc/MaxiM</f>
        <v>1.4051706709338385E-3</v>
      </c>
      <c r="AE346" s="305">
        <f t="shared" si="142"/>
        <v>0.7</v>
      </c>
      <c r="AF346" s="177">
        <f t="shared" si="143"/>
        <v>0.39906707204178993</v>
      </c>
      <c r="AG346" s="810">
        <f t="shared" si="149"/>
        <v>0</v>
      </c>
      <c r="AH346" s="176">
        <f t="shared" si="144"/>
        <v>6</v>
      </c>
      <c r="AI346" s="225">
        <f t="shared" si="145"/>
        <v>0.39906707204178993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42">
        <v>13.599</v>
      </c>
      <c r="C347" s="840"/>
      <c r="D347" s="393">
        <f t="shared" si="127"/>
        <v>14.10866106072374</v>
      </c>
      <c r="E347" s="385">
        <f t="shared" si="125"/>
        <v>15.674411603866929</v>
      </c>
      <c r="F347" s="385">
        <f t="shared" si="128"/>
        <v>15.688713120255274</v>
      </c>
      <c r="G347" s="110">
        <f t="shared" si="126"/>
        <v>0.76056476005729923</v>
      </c>
      <c r="H347" s="414" t="b">
        <f>Wh_hp&gt;='2021'!Maxi_hp</f>
        <v>0</v>
      </c>
      <c r="I347" s="380">
        <f>IF(H347,Wh_hp,'2021'!Maxi_hp)</f>
        <v>20.020068183984399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3.6123985013897242E-2</v>
      </c>
      <c r="M347" s="844"/>
      <c r="N347" s="844"/>
      <c r="O347" s="48">
        <f>IF(t&lt;Tnet,'2021'!Resal+('2021'!Salim-'2021'!Resal)*(1-EXP(('2021'!Tnet-t)/('2021'!Tau_j))),Resal+(Salim-Resal)*(1-EXP((Tnet-t)/(Tau_j))))*Salcycl</f>
        <v>9.9892141581691823E-2</v>
      </c>
      <c r="P347" s="339">
        <f>(INDEX(Models!$BJ347:$BT347,,T347)*(1-R347)+INDEX(Models!$BJ347:$BT347,,T347+1)*R347-ERP_i)*Q347*Ramure*Pc/MaxiM</f>
        <v>1.3844034190402953E-3</v>
      </c>
      <c r="Q347" s="305">
        <f t="shared" si="130"/>
        <v>0.7</v>
      </c>
      <c r="R347" s="177">
        <f t="shared" si="131"/>
        <v>0.39908136092669322</v>
      </c>
      <c r="S347" s="810">
        <f t="shared" si="132"/>
        <v>0</v>
      </c>
      <c r="T347" s="176">
        <f t="shared" si="133"/>
        <v>6</v>
      </c>
      <c r="U347" s="251">
        <f t="shared" si="134"/>
        <v>0.39908136092669322</v>
      </c>
      <c r="V347" s="383">
        <f t="shared" si="135"/>
        <v>17.871672368751756</v>
      </c>
      <c r="W347" s="402">
        <f t="shared" si="136"/>
        <v>0</v>
      </c>
      <c r="X347" s="157">
        <f t="shared" si="137"/>
        <v>44894</v>
      </c>
      <c r="Y347" s="385">
        <f t="shared" si="138"/>
        <v>12.842925764798688</v>
      </c>
      <c r="Z347" s="385">
        <f t="shared" si="139"/>
        <v>13.324250801057497</v>
      </c>
      <c r="AA347" s="386">
        <f t="shared" si="140"/>
        <v>15.674411603866929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0.14993614192379889</v>
      </c>
      <c r="AD347" s="231">
        <f>(INDEX(Models!$BJ347:$BT347,,AH347)*(1-AF347)+INDEX(Models!$BJ347:$BT347,,AH347+1)*AF347-ERP_i)*AE347*Ramure*Pc/MaxiM</f>
        <v>1.3844034190402953E-3</v>
      </c>
      <c r="AE347" s="305">
        <f t="shared" si="142"/>
        <v>0.7</v>
      </c>
      <c r="AF347" s="177">
        <f t="shared" si="143"/>
        <v>0.39908136092669322</v>
      </c>
      <c r="AG347" s="810">
        <f t="shared" si="149"/>
        <v>0</v>
      </c>
      <c r="AH347" s="176">
        <f t="shared" si="144"/>
        <v>6</v>
      </c>
      <c r="AI347" s="225">
        <f t="shared" si="145"/>
        <v>0.39908136092669322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42">
        <v>3.835</v>
      </c>
      <c r="C348" s="840"/>
      <c r="D348" s="393">
        <f t="shared" si="127"/>
        <v>3.9788200852625253</v>
      </c>
      <c r="E348" s="385">
        <f t="shared" si="125"/>
        <v>4.4206302726967692</v>
      </c>
      <c r="F348" s="385">
        <f t="shared" si="128"/>
        <v>4.4206302726967692</v>
      </c>
      <c r="G348" s="110">
        <f t="shared" si="126"/>
        <v>0.21616003529446343</v>
      </c>
      <c r="H348" s="414" t="b">
        <f>Wh_hp&gt;='2021'!Maxi_hp</f>
        <v>0</v>
      </c>
      <c r="I348" s="380">
        <f>IF(H348,Wh_hp,'2021'!Maxi_hp)</f>
        <v>19.556605009076051</v>
      </c>
      <c r="J348" s="85">
        <f>IF(H348,An,'2021'!An_max)</f>
        <v>2021</v>
      </c>
      <c r="K348" s="197">
        <f t="shared" si="129"/>
        <v>44895</v>
      </c>
      <c r="L348" s="147">
        <f>IF(t&lt;Tvie,1-EXP((T0-t)*PertePVj)+'2021'!Pspv,1-EXP((T0-t)*PertePVj)+Pspv)</f>
        <v>3.6146415816898148E-2</v>
      </c>
      <c r="M348" s="844"/>
      <c r="N348" s="844"/>
      <c r="O348" s="48">
        <f>IF(t&lt;Tnet,'2021'!Resal+('2021'!Salim-'2021'!Resal)*(1-EXP(('2021'!Tnet-t)/('2021'!Tau_j))),Resal+(Salim-Resal)*(1-EXP((Tnet-t)/(Tau_j))))*Salcycl</f>
        <v>9.9942804573140837E-2</v>
      </c>
      <c r="P348" s="339">
        <f>(INDEX(Models!$BJ348:$BT348,,T348)*(1-R348)+INDEX(Models!$BJ348:$BT348,,T348+1)*R348-ERP_i)*Q348*Ramure*Pc/MaxiM</f>
        <v>1.3644099353474009E-3</v>
      </c>
      <c r="Q348" s="305">
        <f t="shared" si="130"/>
        <v>0.7</v>
      </c>
      <c r="R348" s="177">
        <f t="shared" si="131"/>
        <v>0.39909507545886047</v>
      </c>
      <c r="S348" s="810">
        <f t="shared" si="132"/>
        <v>0</v>
      </c>
      <c r="T348" s="176">
        <f t="shared" si="133"/>
        <v>6</v>
      </c>
      <c r="U348" s="251">
        <f t="shared" si="134"/>
        <v>0.39909507545886047</v>
      </c>
      <c r="V348" s="383">
        <f t="shared" si="135"/>
        <v>17.717278231754786</v>
      </c>
      <c r="W348" s="402">
        <f t="shared" si="136"/>
        <v>0</v>
      </c>
      <c r="X348" s="157">
        <f t="shared" si="137"/>
        <v>44895</v>
      </c>
      <c r="Y348" s="385">
        <f t="shared" si="138"/>
        <v>3.622085628487663</v>
      </c>
      <c r="Z348" s="385">
        <f t="shared" si="139"/>
        <v>3.7579210036942508</v>
      </c>
      <c r="AA348" s="386">
        <f t="shared" si="140"/>
        <v>4.4206302726967692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0.14991284683897313</v>
      </c>
      <c r="AD348" s="231">
        <f>(INDEX(Models!$BJ348:$BT348,,AH348)*(1-AF348)+INDEX(Models!$BJ348:$BT348,,AH348+1)*AF348-ERP_i)*AE348*Ramure*Pc/MaxiM</f>
        <v>1.3644099353474009E-3</v>
      </c>
      <c r="AE348" s="305">
        <f t="shared" si="142"/>
        <v>0.7</v>
      </c>
      <c r="AF348" s="177">
        <f t="shared" si="143"/>
        <v>0.39909507545886047</v>
      </c>
      <c r="AG348" s="810">
        <f t="shared" si="149"/>
        <v>0</v>
      </c>
      <c r="AH348" s="176">
        <f t="shared" si="144"/>
        <v>6</v>
      </c>
      <c r="AI348" s="225">
        <f t="shared" si="145"/>
        <v>0.39909507545886047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42">
        <v>3.6339999999999999</v>
      </c>
      <c r="C349" s="840"/>
      <c r="D349" s="393">
        <f t="shared" si="127"/>
        <v>3.7703699297202062</v>
      </c>
      <c r="E349" s="385">
        <f t="shared" si="125"/>
        <v>4.18927710379318</v>
      </c>
      <c r="F349" s="385">
        <f t="shared" si="128"/>
        <v>4.18927710379318</v>
      </c>
      <c r="G349" s="110">
        <f t="shared" si="126"/>
        <v>0.20655614834452121</v>
      </c>
      <c r="H349" s="414" t="b">
        <f>Wh_hp&gt;='2021'!Maxi_hp</f>
        <v>0</v>
      </c>
      <c r="I349" s="380">
        <f>IF(H349,Wh_hp,'2021'!Maxi_hp)</f>
        <v>20.229052187489842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3.6168846097901608E-2</v>
      </c>
      <c r="M349" s="844"/>
      <c r="N349" s="844"/>
      <c r="O349" s="48">
        <f>IF(t&lt;Tnet,'2021'!Resal+('2021'!Salim-'2021'!Resal)*(1-EXP(('2021'!Tnet-t)/('2021'!Tau_j))),Resal+(Salim-Resal)*(1-EXP((Tnet-t)/(Tau_j))))*Salcycl</f>
        <v>9.9995097887813147E-2</v>
      </c>
      <c r="P349" s="339">
        <f>(INDEX(Models!$BJ349:$BT349,,T349)*(1-R349)+INDEX(Models!$BJ349:$BT349,,T349+1)*R349-ERP_i)*Q349*Ramure*Pc/MaxiM</f>
        <v>1.3451747305346319E-3</v>
      </c>
      <c r="Q349" s="305">
        <f t="shared" si="130"/>
        <v>0.7</v>
      </c>
      <c r="R349" s="177">
        <f t="shared" si="131"/>
        <v>0.39910823868780088</v>
      </c>
      <c r="S349" s="810">
        <f t="shared" si="132"/>
        <v>0</v>
      </c>
      <c r="T349" s="176">
        <f t="shared" si="133"/>
        <v>6</v>
      </c>
      <c r="U349" s="251">
        <f t="shared" si="134"/>
        <v>0.39910823868780088</v>
      </c>
      <c r="V349" s="383">
        <f t="shared" si="135"/>
        <v>17.569613221951315</v>
      </c>
      <c r="W349" s="402">
        <f t="shared" si="136"/>
        <v>0</v>
      </c>
      <c r="X349" s="157">
        <f t="shared" si="137"/>
        <v>44896</v>
      </c>
      <c r="Y349" s="385">
        <f t="shared" si="138"/>
        <v>3.4325277674141397</v>
      </c>
      <c r="Z349" s="385">
        <f t="shared" si="139"/>
        <v>3.5613372254231992</v>
      </c>
      <c r="AA349" s="386">
        <f t="shared" si="140"/>
        <v>4.18927710379318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0.14989218015714761</v>
      </c>
      <c r="AD349" s="231">
        <f>(INDEX(Models!$BJ349:$BT349,,AH349)*(1-AF349)+INDEX(Models!$BJ349:$BT349,,AH349+1)*AF349-ERP_i)*AE349*Ramure*Pc/MaxiM</f>
        <v>1.3451747305346319E-3</v>
      </c>
      <c r="AE349" s="305">
        <f t="shared" si="142"/>
        <v>0.7</v>
      </c>
      <c r="AF349" s="177">
        <f t="shared" si="143"/>
        <v>0.39910823868780088</v>
      </c>
      <c r="AG349" s="810">
        <f t="shared" si="149"/>
        <v>0</v>
      </c>
      <c r="AH349" s="176">
        <f t="shared" si="144"/>
        <v>6</v>
      </c>
      <c r="AI349" s="225">
        <f t="shared" si="145"/>
        <v>0.39910823868780088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42">
        <v>5.49</v>
      </c>
      <c r="C350" s="840"/>
      <c r="D350" s="393">
        <f t="shared" si="127"/>
        <v>5.6961509711184073</v>
      </c>
      <c r="E350" s="385">
        <f t="shared" si="125"/>
        <v>6.3294012982270047</v>
      </c>
      <c r="F350" s="385">
        <f t="shared" si="128"/>
        <v>6.329581115591794</v>
      </c>
      <c r="G350" s="110">
        <f t="shared" si="126"/>
        <v>0.3145805666734543</v>
      </c>
      <c r="H350" s="414" t="b">
        <f>Wh_hp&gt;='2021'!Maxi_hp</f>
        <v>0</v>
      </c>
      <c r="I350" s="380">
        <f>IF(H350,Wh_hp,'2021'!Maxi_hp)</f>
        <v>9.3592865081560959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3.6191275856919614E-2</v>
      </c>
      <c r="M350" s="844"/>
      <c r="N350" s="844"/>
      <c r="O350" s="48">
        <f>IF(t&lt;Tnet,'2021'!Resal+('2021'!Salim-'2021'!Resal)*(1-EXP(('2021'!Tnet-t)/('2021'!Tau_j))),Resal+(Salim-Resal)*(1-EXP((Tnet-t)/(Tau_j))))*Salcycl</f>
        <v>0.10004900894591461</v>
      </c>
      <c r="P350" s="339">
        <f>(INDEX(Models!$BJ350:$BT350,,T350)*(1-R350)+INDEX(Models!$BJ350:$BT350,,T350+1)*R350-ERP_i)*Q350*Ramure*Pc/MaxiM</f>
        <v>1.3266823474679572E-3</v>
      </c>
      <c r="Q350" s="305">
        <f t="shared" si="130"/>
        <v>0.7</v>
      </c>
      <c r="R350" s="177">
        <f t="shared" si="131"/>
        <v>0.39912087274093844</v>
      </c>
      <c r="S350" s="810">
        <f t="shared" si="132"/>
        <v>0</v>
      </c>
      <c r="T350" s="176">
        <f t="shared" si="133"/>
        <v>6</v>
      </c>
      <c r="U350" s="251">
        <f t="shared" si="134"/>
        <v>0.39912087274093844</v>
      </c>
      <c r="V350" s="383">
        <f t="shared" si="135"/>
        <v>17.429151250712085</v>
      </c>
      <c r="W350" s="402">
        <f t="shared" si="136"/>
        <v>0</v>
      </c>
      <c r="X350" s="157">
        <f t="shared" si="137"/>
        <v>44897</v>
      </c>
      <c r="Y350" s="385">
        <f t="shared" si="138"/>
        <v>5.1860502866331633</v>
      </c>
      <c r="Z350" s="385">
        <f t="shared" si="139"/>
        <v>5.3807878645672833</v>
      </c>
      <c r="AA350" s="386">
        <f t="shared" si="140"/>
        <v>6.3294012982270047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0.14987411746596754</v>
      </c>
      <c r="AD350" s="231">
        <f>(INDEX(Models!$BJ350:$BT350,,AH350)*(1-AF350)+INDEX(Models!$BJ350:$BT350,,AH350+1)*AF350-ERP_i)*AE350*Ramure*Pc/MaxiM</f>
        <v>1.3266823474679572E-3</v>
      </c>
      <c r="AE350" s="305">
        <f t="shared" si="142"/>
        <v>0.7</v>
      </c>
      <c r="AF350" s="177">
        <f t="shared" si="143"/>
        <v>0.39912087274093844</v>
      </c>
      <c r="AG350" s="810">
        <f t="shared" si="149"/>
        <v>0</v>
      </c>
      <c r="AH350" s="176">
        <f t="shared" si="144"/>
        <v>6</v>
      </c>
      <c r="AI350" s="225">
        <f t="shared" si="145"/>
        <v>0.39912087274093844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42">
        <v>7.46</v>
      </c>
      <c r="C351" s="840"/>
      <c r="D351" s="393">
        <f t="shared" si="127"/>
        <v>7.7403051272142358</v>
      </c>
      <c r="E351" s="385">
        <f t="shared" si="125"/>
        <v>8.6013379283252736</v>
      </c>
      <c r="F351" s="385">
        <f t="shared" si="128"/>
        <v>8.6034502805683353</v>
      </c>
      <c r="G351" s="110">
        <f t="shared" si="126"/>
        <v>0.4308457104992226</v>
      </c>
      <c r="H351" s="414" t="b">
        <f>Wh_hp&gt;='2021'!Maxi_hp</f>
        <v>0</v>
      </c>
      <c r="I351" s="380">
        <f>IF(H351,Wh_hp,'2021'!Maxi_hp)</f>
        <v>13.44927584857693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3.6213705093964266E-2</v>
      </c>
      <c r="M351" s="844"/>
      <c r="N351" s="844"/>
      <c r="O351" s="48">
        <f>IF(t&lt;Tnet,'2021'!Resal+('2021'!Salim-'2021'!Resal)*(1-EXP(('2021'!Tnet-t)/('2021'!Tau_j))),Resal+(Salim-Resal)*(1-EXP((Tnet-t)/(Tau_j))))*Salcycl</f>
        <v>0.10010451958590644</v>
      </c>
      <c r="P351" s="339">
        <f>(INDEX(Models!$BJ351:$BT351,,T351)*(1-R351)+INDEX(Models!$BJ351:$BT351,,T351+1)*R351-ERP_i)*Q351*Ramure*Pc/MaxiM</f>
        <v>1.308917329477558E-3</v>
      </c>
      <c r="Q351" s="305">
        <f t="shared" si="130"/>
        <v>0.7</v>
      </c>
      <c r="R351" s="177">
        <f t="shared" si="131"/>
        <v>0.39913299886026854</v>
      </c>
      <c r="S351" s="810">
        <f t="shared" si="132"/>
        <v>0</v>
      </c>
      <c r="T351" s="176">
        <f t="shared" si="133"/>
        <v>6</v>
      </c>
      <c r="U351" s="251">
        <f t="shared" si="134"/>
        <v>0.39913299886026854</v>
      </c>
      <c r="V351" s="383">
        <f t="shared" si="135"/>
        <v>17.296366088491595</v>
      </c>
      <c r="W351" s="402">
        <f t="shared" si="136"/>
        <v>0</v>
      </c>
      <c r="X351" s="157">
        <f t="shared" si="137"/>
        <v>44898</v>
      </c>
      <c r="Y351" s="385">
        <f t="shared" si="138"/>
        <v>7.0475458400316455</v>
      </c>
      <c r="Z351" s="385">
        <f t="shared" si="139"/>
        <v>7.3123532439509793</v>
      </c>
      <c r="AA351" s="386">
        <f t="shared" si="140"/>
        <v>8.6013379283252736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0.14985862607833456</v>
      </c>
      <c r="AD351" s="231">
        <f>(INDEX(Models!$BJ351:$BT351,,AH351)*(1-AF351)+INDEX(Models!$BJ351:$BT351,,AH351+1)*AF351-ERP_i)*AE351*Ramure*Pc/MaxiM</f>
        <v>1.308917329477558E-3</v>
      </c>
      <c r="AE351" s="305">
        <f t="shared" si="142"/>
        <v>0.7</v>
      </c>
      <c r="AF351" s="177">
        <f t="shared" si="143"/>
        <v>0.39913299886026854</v>
      </c>
      <c r="AG351" s="810">
        <f t="shared" si="149"/>
        <v>0</v>
      </c>
      <c r="AH351" s="176">
        <f t="shared" si="144"/>
        <v>6</v>
      </c>
      <c r="AI351" s="225">
        <f t="shared" si="145"/>
        <v>0.39913299886026854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42">
        <v>13.881</v>
      </c>
      <c r="C352" s="840"/>
      <c r="D352" s="393">
        <f t="shared" si="127"/>
        <v>14.402905615108146</v>
      </c>
      <c r="E352" s="385">
        <f t="shared" si="125"/>
        <v>16.006102558101563</v>
      </c>
      <c r="F352" s="385">
        <f t="shared" si="128"/>
        <v>16.021146633315308</v>
      </c>
      <c r="G352" s="110">
        <f t="shared" si="126"/>
        <v>0.80807795061921539</v>
      </c>
      <c r="H352" s="414" t="b">
        <f>Wh_hp&gt;='2021'!Maxi_hp</f>
        <v>1</v>
      </c>
      <c r="I352" s="380">
        <f>IF(H352,Wh_hp,'2021'!Maxi_hp)</f>
        <v>16.021146633315308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3.6236133809047888E-2</v>
      </c>
      <c r="M352" s="844"/>
      <c r="N352" s="844"/>
      <c r="O352" s="48">
        <f>IF(t&lt;Tnet,'2021'!Resal+('2021'!Salim-'2021'!Resal)*(1-EXP(('2021'!Tnet-t)/('2021'!Tau_j))),Resal+(Salim-Resal)*(1-EXP((Tnet-t)/(Tau_j))))*Salcycl</f>
        <v>0.10016160631071006</v>
      </c>
      <c r="P352" s="339">
        <f>(INDEX(Models!$BJ352:$BT352,,T352)*(1-R352)+INDEX(Models!$BJ352:$BT352,,T352+1)*R352-ERP_i)*Q352*Ramure*Pc/MaxiM</f>
        <v>1.2929890423401356E-3</v>
      </c>
      <c r="Q352" s="305">
        <f t="shared" si="130"/>
        <v>0.7</v>
      </c>
      <c r="R352" s="177">
        <f t="shared" si="131"/>
        <v>0.3991446374375765</v>
      </c>
      <c r="S352" s="810">
        <f t="shared" si="132"/>
        <v>0</v>
      </c>
      <c r="T352" s="176">
        <f t="shared" si="133"/>
        <v>6</v>
      </c>
      <c r="U352" s="251">
        <f t="shared" si="134"/>
        <v>0.3991446374375765</v>
      </c>
      <c r="V352" s="383">
        <f t="shared" si="135"/>
        <v>17.171712009458421</v>
      </c>
      <c r="W352" s="402">
        <f t="shared" si="136"/>
        <v>0</v>
      </c>
      <c r="X352" s="157">
        <f t="shared" si="137"/>
        <v>44899</v>
      </c>
      <c r="Y352" s="385">
        <f t="shared" si="138"/>
        <v>13.114568572492381</v>
      </c>
      <c r="Z352" s="385">
        <f t="shared" si="139"/>
        <v>13.607657469380545</v>
      </c>
      <c r="AA352" s="386">
        <f t="shared" si="140"/>
        <v>16.006102558101563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0.14984566542759248</v>
      </c>
      <c r="AD352" s="231">
        <f>(INDEX(Models!$BJ352:$BT352,,AH352)*(1-AF352)+INDEX(Models!$BJ352:$BT352,,AH352+1)*AF352-ERP_i)*AE352*Ramure*Pc/MaxiM</f>
        <v>1.2929890423401356E-3</v>
      </c>
      <c r="AE352" s="305">
        <f t="shared" si="142"/>
        <v>0.7</v>
      </c>
      <c r="AF352" s="177">
        <f t="shared" si="143"/>
        <v>0.3991446374375765</v>
      </c>
      <c r="AG352" s="810">
        <f t="shared" si="149"/>
        <v>0</v>
      </c>
      <c r="AH352" s="176">
        <f t="shared" si="144"/>
        <v>6</v>
      </c>
      <c r="AI352" s="225">
        <f t="shared" si="145"/>
        <v>0.3991446374375765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42">
        <v>17.327999999999999</v>
      </c>
      <c r="C353" s="840"/>
      <c r="D353" s="393">
        <f t="shared" si="127"/>
        <v>17.979926271510223</v>
      </c>
      <c r="E353" s="385">
        <f t="shared" si="125"/>
        <v>19.982585830516243</v>
      </c>
      <c r="F353" s="385">
        <f t="shared" si="128"/>
        <v>20.008159739519449</v>
      </c>
      <c r="G353" s="110">
        <f t="shared" si="126"/>
        <v>1.0159668303817044</v>
      </c>
      <c r="H353" s="414" t="b">
        <f>Wh_hp&gt;='2021'!Maxi_hp</f>
        <v>1</v>
      </c>
      <c r="I353" s="380">
        <f>IF(H353,Wh_hp,'2021'!Maxi_hp)</f>
        <v>20.008159739519449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3.6258562002182582E-2</v>
      </c>
      <c r="M353" s="844"/>
      <c r="N353" s="844"/>
      <c r="O353" s="48">
        <f>IF(t&lt;Tnet,'2021'!Resal+('2021'!Salim-'2021'!Resal)*(1-EXP(('2021'!Tnet-t)/('2021'!Tau_j))),Resal+(Salim-Resal)*(1-EXP((Tnet-t)/(Tau_j))))*Salcycl</f>
        <v>0.10022024056304432</v>
      </c>
      <c r="P353" s="339">
        <f>(INDEX(Models!$BJ353:$BT353,,T353)*(1-R353)+INDEX(Models!$BJ353:$BT353,,T353+1)*R353-ERP_i)*Q353*Ramure*Pc/MaxiM</f>
        <v>1.2781739718266908E-3</v>
      </c>
      <c r="Q353" s="305">
        <f t="shared" si="130"/>
        <v>0.7</v>
      </c>
      <c r="R353" s="177">
        <f t="shared" si="131"/>
        <v>0.39915580804827167</v>
      </c>
      <c r="S353" s="810">
        <f t="shared" si="132"/>
        <v>0</v>
      </c>
      <c r="T353" s="176">
        <f t="shared" si="133"/>
        <v>6</v>
      </c>
      <c r="U353" s="251">
        <f t="shared" si="134"/>
        <v>0.39915580804827167</v>
      </c>
      <c r="V353" s="383">
        <f t="shared" si="135"/>
        <v>17.055674931326028</v>
      </c>
      <c r="W353" s="402">
        <f t="shared" si="136"/>
        <v>0</v>
      </c>
      <c r="X353" s="157">
        <f t="shared" si="137"/>
        <v>44900</v>
      </c>
      <c r="Y353" s="385">
        <f t="shared" si="138"/>
        <v>16.372513069352564</v>
      </c>
      <c r="Z353" s="385">
        <f t="shared" si="139"/>
        <v>16.988491335774278</v>
      </c>
      <c r="AA353" s="386">
        <f t="shared" si="140"/>
        <v>19.982585830516243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0.14983518750459004</v>
      </c>
      <c r="AD353" s="231">
        <f>(INDEX(Models!$BJ353:$BT353,,AH353)*(1-AF353)+INDEX(Models!$BJ353:$BT353,,AH353+1)*AF353-ERP_i)*AE353*Ramure*Pc/MaxiM</f>
        <v>1.2781739718266908E-3</v>
      </c>
      <c r="AE353" s="305">
        <f t="shared" si="142"/>
        <v>0.7</v>
      </c>
      <c r="AF353" s="177">
        <f t="shared" si="143"/>
        <v>0.39915580804827167</v>
      </c>
      <c r="AG353" s="810">
        <f t="shared" si="149"/>
        <v>0</v>
      </c>
      <c r="AH353" s="176">
        <f t="shared" si="144"/>
        <v>6</v>
      </c>
      <c r="AI353" s="225">
        <f t="shared" si="145"/>
        <v>0.39915580804827167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42">
        <v>9.3689999999999998</v>
      </c>
      <c r="C354" s="840"/>
      <c r="D354" s="393">
        <f t="shared" si="127"/>
        <v>9.7217133828507727</v>
      </c>
      <c r="E354" s="385">
        <f t="shared" si="125"/>
        <v>10.805270068907996</v>
      </c>
      <c r="F354" s="385">
        <f t="shared" si="128"/>
        <v>10.810206261393395</v>
      </c>
      <c r="G354" s="110">
        <f t="shared" si="126"/>
        <v>0.55233807747328634</v>
      </c>
      <c r="H354" s="414" t="b">
        <f>Wh_hp&gt;='2021'!Maxi_hp</f>
        <v>0</v>
      </c>
      <c r="I354" s="380">
        <f>IF(H354,Wh_hp,'2021'!Maxi_hp)</f>
        <v>14.0527233412349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3.6280989673380448E-2</v>
      </c>
      <c r="M354" s="844"/>
      <c r="N354" s="844"/>
      <c r="O354" s="48">
        <f>IF(t&lt;Tnet,'2021'!Resal+('2021'!Salim-'2021'!Resal)*(1-EXP(('2021'!Tnet-t)/('2021'!Tau_j))),Resal+(Salim-Resal)*(1-EXP((Tnet-t)/(Tau_j))))*Salcycl</f>
        <v>0.10028038902749337</v>
      </c>
      <c r="P354" s="339">
        <f>(INDEX(Models!$BJ354:$BT354,,T354)*(1-R354)+INDEX(Models!$BJ354:$BT354,,T354+1)*R354-ERP_i)*Q354*Ramure*Pc/MaxiM</f>
        <v>1.2644600681698173E-3</v>
      </c>
      <c r="Q354" s="305">
        <f t="shared" si="130"/>
        <v>0.7</v>
      </c>
      <c r="R354" s="177">
        <f t="shared" si="131"/>
        <v>0.39916652948389003</v>
      </c>
      <c r="S354" s="810">
        <f t="shared" si="132"/>
        <v>0</v>
      </c>
      <c r="T354" s="176">
        <f t="shared" si="133"/>
        <v>6</v>
      </c>
      <c r="U354" s="251">
        <f t="shared" si="134"/>
        <v>0.39916652948389003</v>
      </c>
      <c r="V354" s="383">
        <f t="shared" si="135"/>
        <v>16.948728146584937</v>
      </c>
      <c r="W354" s="402">
        <f t="shared" si="136"/>
        <v>0</v>
      </c>
      <c r="X354" s="157">
        <f t="shared" si="137"/>
        <v>44901</v>
      </c>
      <c r="Y354" s="385">
        <f t="shared" si="138"/>
        <v>8.8530576117140232</v>
      </c>
      <c r="Z354" s="385">
        <f t="shared" si="139"/>
        <v>9.1863473863751874</v>
      </c>
      <c r="AA354" s="386">
        <f t="shared" si="140"/>
        <v>10.805270068907996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0.14982713733284975</v>
      </c>
      <c r="AD354" s="231">
        <f>(INDEX(Models!$BJ354:$BT354,,AH354)*(1-AF354)+INDEX(Models!$BJ354:$BT354,,AH354+1)*AF354-ERP_i)*AE354*Ramure*Pc/MaxiM</f>
        <v>1.2644600681698173E-3</v>
      </c>
      <c r="AE354" s="305">
        <f t="shared" si="142"/>
        <v>0.7</v>
      </c>
      <c r="AF354" s="177">
        <f t="shared" si="143"/>
        <v>0.39916652948389003</v>
      </c>
      <c r="AG354" s="810">
        <f t="shared" si="149"/>
        <v>0</v>
      </c>
      <c r="AH354" s="176">
        <f t="shared" si="144"/>
        <v>6</v>
      </c>
      <c r="AI354" s="225">
        <f t="shared" si="145"/>
        <v>0.39916652948389003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42">
        <v>15.464</v>
      </c>
      <c r="C355" s="840"/>
      <c r="D355" s="393">
        <f t="shared" si="127"/>
        <v>16.04654438953656</v>
      </c>
      <c r="E355" s="385">
        <f t="shared" si="125"/>
        <v>17.836271826040829</v>
      </c>
      <c r="F355" s="385">
        <f t="shared" si="128"/>
        <v>17.855995616436367</v>
      </c>
      <c r="G355" s="110">
        <f t="shared" si="126"/>
        <v>0.91753631239472033</v>
      </c>
      <c r="H355" s="414" t="b">
        <f>Wh_hp&gt;='2021'!Maxi_hp</f>
        <v>1</v>
      </c>
      <c r="I355" s="380">
        <f>IF(H355,Wh_hp,'2021'!Maxi_hp)</f>
        <v>17.855995616436367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3.6303416822653589E-2</v>
      </c>
      <c r="M355" s="844"/>
      <c r="N355" s="844"/>
      <c r="O355" s="48">
        <f>IF(t&lt;Tnet,'2021'!Resal+('2021'!Salim-'2021'!Resal)*(1-EXP(('2021'!Tnet-t)/('2021'!Tau_j))),Resal+(Salim-Resal)*(1-EXP((Tnet-t)/(Tau_j))))*Salcycl</f>
        <v>0.10034201395671037</v>
      </c>
      <c r="P355" s="339">
        <f>(INDEX(Models!$BJ355:$BT355,,T355)*(1-R355)+INDEX(Models!$BJ355:$BT355,,T355+1)*R355-ERP_i)*Q355*Ramure*Pc/MaxiM</f>
        <v>1.2518339769853307E-3</v>
      </c>
      <c r="Q355" s="305">
        <f t="shared" si="130"/>
        <v>0.7</v>
      </c>
      <c r="R355" s="177">
        <f t="shared" si="131"/>
        <v>0.39917681978331809</v>
      </c>
      <c r="S355" s="810">
        <f t="shared" si="132"/>
        <v>0</v>
      </c>
      <c r="T355" s="176">
        <f t="shared" si="133"/>
        <v>6</v>
      </c>
      <c r="U355" s="251">
        <f t="shared" si="134"/>
        <v>0.39917681978331809</v>
      </c>
      <c r="V355" s="383">
        <f t="shared" si="135"/>
        <v>16.851344733841188</v>
      </c>
      <c r="W355" s="402">
        <f t="shared" si="136"/>
        <v>0</v>
      </c>
      <c r="X355" s="157">
        <f t="shared" si="137"/>
        <v>44902</v>
      </c>
      <c r="Y355" s="385">
        <f t="shared" si="138"/>
        <v>14.61351007535727</v>
      </c>
      <c r="Z355" s="385">
        <f t="shared" si="139"/>
        <v>15.164015656438192</v>
      </c>
      <c r="AA355" s="386">
        <f t="shared" si="140"/>
        <v>17.836271826040829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0.14982145347780376</v>
      </c>
      <c r="AD355" s="231">
        <f>(INDEX(Models!$BJ355:$BT355,,AH355)*(1-AF355)+INDEX(Models!$BJ355:$BT355,,AH355+1)*AF355-ERP_i)*AE355*Ramure*Pc/MaxiM</f>
        <v>1.2518339769853307E-3</v>
      </c>
      <c r="AE355" s="305">
        <f t="shared" si="142"/>
        <v>0.7</v>
      </c>
      <c r="AF355" s="177">
        <f t="shared" si="143"/>
        <v>0.39917681978331809</v>
      </c>
      <c r="AG355" s="810">
        <f t="shared" si="149"/>
        <v>0</v>
      </c>
      <c r="AH355" s="176">
        <f t="shared" si="144"/>
        <v>6</v>
      </c>
      <c r="AI355" s="225">
        <f t="shared" si="145"/>
        <v>0.39917681978331809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42">
        <v>3.9170000000000003</v>
      </c>
      <c r="C356" s="840"/>
      <c r="D356" s="393">
        <f t="shared" si="127"/>
        <v>4.0646519089223139</v>
      </c>
      <c r="E356" s="385">
        <f t="shared" si="125"/>
        <v>4.5183135089725575</v>
      </c>
      <c r="F356" s="385">
        <f t="shared" si="128"/>
        <v>4.5183135089725575</v>
      </c>
      <c r="G356" s="110">
        <f t="shared" si="126"/>
        <v>0.23336568797058588</v>
      </c>
      <c r="H356" s="414" t="b">
        <f>Wh_hp&gt;='2021'!Maxi_hp</f>
        <v>0</v>
      </c>
      <c r="I356" s="380">
        <f>IF(H356,Wh_hp,'2021'!Maxi_hp)</f>
        <v>14.230610193408706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3.6325843450014217E-2</v>
      </c>
      <c r="M356" s="844"/>
      <c r="N356" s="844"/>
      <c r="O356" s="48">
        <f>IF(t&lt;Tnet,'2021'!Resal+('2021'!Salim-'2021'!Resal)*(1-EXP(('2021'!Tnet-t)/('2021'!Tau_j))),Resal+(Salim-Resal)*(1-EXP((Tnet-t)/(Tau_j))))*Salcycl</f>
        <v>0.10040507351899189</v>
      </c>
      <c r="P356" s="339">
        <f>(INDEX(Models!$BJ356:$BT356,,T356)*(1-R356)+INDEX(Models!$BJ356:$BT356,,T356+1)*R356-ERP_i)*Q356*Ramure*Pc/MaxiM</f>
        <v>1.240280817353062E-3</v>
      </c>
      <c r="Q356" s="305">
        <f t="shared" si="130"/>
        <v>0.7</v>
      </c>
      <c r="R356" s="177">
        <f t="shared" si="131"/>
        <v>0.3991866962627853</v>
      </c>
      <c r="S356" s="810">
        <f t="shared" si="132"/>
        <v>0</v>
      </c>
      <c r="T356" s="176">
        <f t="shared" si="133"/>
        <v>6</v>
      </c>
      <c r="U356" s="251">
        <f t="shared" si="134"/>
        <v>0.3991866962627853</v>
      </c>
      <c r="V356" s="383">
        <f t="shared" si="135"/>
        <v>16.763997544195643</v>
      </c>
      <c r="W356" s="402">
        <f t="shared" si="136"/>
        <v>0</v>
      </c>
      <c r="X356" s="157">
        <f t="shared" si="137"/>
        <v>44903</v>
      </c>
      <c r="Y356" s="385">
        <f t="shared" si="138"/>
        <v>3.701846828300916</v>
      </c>
      <c r="Z356" s="385">
        <f t="shared" si="139"/>
        <v>3.8413885057930379</v>
      </c>
      <c r="AA356" s="386">
        <f t="shared" si="140"/>
        <v>4.5183135089725575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0.14981806858582702</v>
      </c>
      <c r="AD356" s="231">
        <f>(INDEX(Models!$BJ356:$BT356,,AH356)*(1-AF356)+INDEX(Models!$BJ356:$BT356,,AH356+1)*AF356-ERP_i)*AE356*Ramure*Pc/MaxiM</f>
        <v>1.240280817353062E-3</v>
      </c>
      <c r="AE356" s="305">
        <f t="shared" si="142"/>
        <v>0.7</v>
      </c>
      <c r="AF356" s="177">
        <f t="shared" si="143"/>
        <v>0.3991866962627853</v>
      </c>
      <c r="AG356" s="810">
        <f t="shared" si="149"/>
        <v>0</v>
      </c>
      <c r="AH356" s="176">
        <f t="shared" si="144"/>
        <v>6</v>
      </c>
      <c r="AI356" s="225">
        <f t="shared" si="145"/>
        <v>0.3991866962627853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42">
        <v>4.7590000000000003</v>
      </c>
      <c r="C357" s="840"/>
      <c r="D357" s="393">
        <f t="shared" si="127"/>
        <v>4.9385061528449787</v>
      </c>
      <c r="E357" s="385">
        <f t="shared" si="125"/>
        <v>5.4900931925366869</v>
      </c>
      <c r="F357" s="385">
        <f t="shared" si="128"/>
        <v>5.4900931925366869</v>
      </c>
      <c r="G357" s="110">
        <f t="shared" si="126"/>
        <v>0.28483862360524764</v>
      </c>
      <c r="H357" s="414" t="b">
        <f>Wh_hp&gt;='2021'!Maxi_hp</f>
        <v>0</v>
      </c>
      <c r="I357" s="380">
        <f>IF(H357,Wh_hp,'2021'!Maxi_hp)</f>
        <v>10.283678349894517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3.6348269555474433E-2</v>
      </c>
      <c r="M357" s="844"/>
      <c r="N357" s="844"/>
      <c r="O357" s="48">
        <f>IF(t&lt;Tnet,'2021'!Resal+('2021'!Salim-'2021'!Resal)*(1-EXP(('2021'!Tnet-t)/('2021'!Tau_j))),Resal+(Salim-Resal)*(1-EXP((Tnet-t)/(Tau_j))))*Salcycl</f>
        <v>0.10046952216431293</v>
      </c>
      <c r="P357" s="339">
        <f>(INDEX(Models!$BJ357:$BT357,,T357)*(1-R357)+INDEX(Models!$BJ357:$BT357,,T357+1)*R357-ERP_i)*Q357*Ramure*Pc/MaxiM</f>
        <v>1.2297839611538129E-3</v>
      </c>
      <c r="Q357" s="305">
        <f t="shared" si="130"/>
        <v>0.7</v>
      </c>
      <c r="R357" s="177">
        <f t="shared" si="131"/>
        <v>0.39919617554467335</v>
      </c>
      <c r="S357" s="810">
        <f t="shared" si="132"/>
        <v>0</v>
      </c>
      <c r="T357" s="176">
        <f t="shared" si="133"/>
        <v>6</v>
      </c>
      <c r="U357" s="251">
        <f t="shared" si="134"/>
        <v>0.39919617554467335</v>
      </c>
      <c r="V357" s="383">
        <f t="shared" si="135"/>
        <v>16.687159199014264</v>
      </c>
      <c r="W357" s="402">
        <f t="shared" si="136"/>
        <v>0</v>
      </c>
      <c r="X357" s="157">
        <f t="shared" si="137"/>
        <v>44904</v>
      </c>
      <c r="Y357" s="385">
        <f t="shared" si="138"/>
        <v>4.4979257793349214</v>
      </c>
      <c r="Z357" s="385">
        <f t="shared" si="139"/>
        <v>4.6675843951009774</v>
      </c>
      <c r="AA357" s="386">
        <f t="shared" si="140"/>
        <v>5.4900931925366869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0.14981690994860344</v>
      </c>
      <c r="AD357" s="231">
        <f>(INDEX(Models!$BJ357:$BT357,,AH357)*(1-AF357)+INDEX(Models!$BJ357:$BT357,,AH357+1)*AF357-ERP_i)*AE357*Ramure*Pc/MaxiM</f>
        <v>1.2297839611538129E-3</v>
      </c>
      <c r="AE357" s="305">
        <f t="shared" si="142"/>
        <v>0.7</v>
      </c>
      <c r="AF357" s="177">
        <f t="shared" si="143"/>
        <v>0.39919617554467335</v>
      </c>
      <c r="AG357" s="810">
        <f t="shared" si="149"/>
        <v>0</v>
      </c>
      <c r="AH357" s="176">
        <f t="shared" si="144"/>
        <v>6</v>
      </c>
      <c r="AI357" s="225">
        <f t="shared" si="145"/>
        <v>0.39919617554467335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42">
        <v>10.8</v>
      </c>
      <c r="C358" s="840"/>
      <c r="D358" s="393">
        <f t="shared" si="127"/>
        <v>11.207629267312893</v>
      </c>
      <c r="E358" s="385">
        <f t="shared" si="125"/>
        <v>12.460332689486036</v>
      </c>
      <c r="F358" s="385">
        <f t="shared" si="128"/>
        <v>12.467935124994206</v>
      </c>
      <c r="G358" s="110">
        <f t="shared" si="126"/>
        <v>0.64937162114384606</v>
      </c>
      <c r="H358" s="414" t="b">
        <f>Wh_hp&gt;='2021'!Maxi_hp</f>
        <v>0</v>
      </c>
      <c r="I358" s="380">
        <f>IF(H358,Wh_hp,'2021'!Maxi_hp)</f>
        <v>16.477677553533571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3.6370695139046449E-2</v>
      </c>
      <c r="M358" s="844"/>
      <c r="N358" s="844"/>
      <c r="O358" s="48">
        <f>IF(t&lt;Tnet,'2021'!Resal+('2021'!Salim-'2021'!Resal)*(1-EXP(('2021'!Tnet-t)/('2021'!Tau_j))),Resal+(Salim-Resal)*(1-EXP((Tnet-t)/(Tau_j))))*Salcycl</f>
        <v>0.10053531100579431</v>
      </c>
      <c r="P358" s="339">
        <f>(INDEX(Models!$BJ358:$BT358,,T358)*(1-R358)+INDEX(Models!$BJ358:$BT358,,T358+1)*R358-ERP_i)*Q358*Ramure*Pc/MaxiM</f>
        <v>1.2203248215800018E-3</v>
      </c>
      <c r="Q358" s="305">
        <f t="shared" si="130"/>
        <v>0.7</v>
      </c>
      <c r="R358" s="177">
        <f t="shared" si="131"/>
        <v>0.39920527358518898</v>
      </c>
      <c r="S358" s="810">
        <f t="shared" si="132"/>
        <v>0</v>
      </c>
      <c r="T358" s="176">
        <f t="shared" si="133"/>
        <v>6</v>
      </c>
      <c r="U358" s="251">
        <f t="shared" si="134"/>
        <v>0.39920527358518898</v>
      </c>
      <c r="V358" s="383">
        <f t="shared" si="135"/>
        <v>16.621302062318076</v>
      </c>
      <c r="W358" s="402">
        <f t="shared" si="136"/>
        <v>0</v>
      </c>
      <c r="X358" s="157">
        <f t="shared" si="137"/>
        <v>44905</v>
      </c>
      <c r="Y358" s="385">
        <f t="shared" si="138"/>
        <v>10.208256968169307</v>
      </c>
      <c r="Z358" s="385">
        <f t="shared" si="139"/>
        <v>10.593551811546767</v>
      </c>
      <c r="AA358" s="386">
        <f t="shared" si="140"/>
        <v>12.460332689486036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0.14981790008820933</v>
      </c>
      <c r="AD358" s="231">
        <f>(INDEX(Models!$BJ358:$BT358,,AH358)*(1-AF358)+INDEX(Models!$BJ358:$BT358,,AH358+1)*AF358-ERP_i)*AE358*Ramure*Pc/MaxiM</f>
        <v>1.2203248215800018E-3</v>
      </c>
      <c r="AE358" s="305">
        <f t="shared" si="142"/>
        <v>0.7</v>
      </c>
      <c r="AF358" s="177">
        <f t="shared" si="143"/>
        <v>0.39920527358518898</v>
      </c>
      <c r="AG358" s="810">
        <f t="shared" si="149"/>
        <v>0</v>
      </c>
      <c r="AH358" s="176">
        <f t="shared" si="144"/>
        <v>6</v>
      </c>
      <c r="AI358" s="225">
        <f t="shared" si="145"/>
        <v>0.39920527358518898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42">
        <v>13.195</v>
      </c>
      <c r="C359" s="840"/>
      <c r="D359" s="393">
        <f t="shared" si="127"/>
        <v>13.693343495792428</v>
      </c>
      <c r="E359" s="385">
        <f t="shared" si="125"/>
        <v>15.225016518103335</v>
      </c>
      <c r="F359" s="385">
        <f t="shared" si="128"/>
        <v>15.238112394902124</v>
      </c>
      <c r="G359" s="110">
        <f t="shared" si="126"/>
        <v>0.79615149117048745</v>
      </c>
      <c r="H359" s="414" t="b">
        <f>Wh_hp&gt;='2021'!Maxi_hp</f>
        <v>0</v>
      </c>
      <c r="I359" s="380">
        <f>IF(H359,Wh_hp,'2021'!Maxi_hp)</f>
        <v>16.479573454056037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3.6393120200742368E-2</v>
      </c>
      <c r="M359" s="844"/>
      <c r="N359" s="844"/>
      <c r="O359" s="48">
        <f>IF(t&lt;Tnet,'2021'!Resal+('2021'!Salim-'2021'!Resal)*(1-EXP(('2021'!Tnet-t)/('2021'!Tau_j))),Resal+(Salim-Resal)*(1-EXP((Tnet-t)/(Tau_j))))*Salcycl</f>
        <v>0.10060238821348194</v>
      </c>
      <c r="P359" s="339">
        <f>(INDEX(Models!$BJ359:$BT359,,T359)*(1-R359)+INDEX(Models!$BJ359:$BT359,,T359+1)*R359-ERP_i)*Q359*Ramure*Pc/MaxiM</f>
        <v>1.2118289542695829E-3</v>
      </c>
      <c r="Q359" s="305">
        <f t="shared" si="130"/>
        <v>0.7</v>
      </c>
      <c r="R359" s="177">
        <f t="shared" si="131"/>
        <v>0.39921400570094207</v>
      </c>
      <c r="S359" s="810">
        <f t="shared" si="132"/>
        <v>0</v>
      </c>
      <c r="T359" s="176">
        <f t="shared" si="133"/>
        <v>6</v>
      </c>
      <c r="U359" s="251">
        <f t="shared" si="134"/>
        <v>0.39921400570094207</v>
      </c>
      <c r="V359" s="383">
        <f t="shared" si="135"/>
        <v>16.567633241736495</v>
      </c>
      <c r="W359" s="402">
        <f t="shared" si="136"/>
        <v>0</v>
      </c>
      <c r="X359" s="157">
        <f t="shared" si="137"/>
        <v>44906</v>
      </c>
      <c r="Y359" s="385">
        <f t="shared" si="138"/>
        <v>12.47291778480003</v>
      </c>
      <c r="Z359" s="385">
        <f t="shared" si="139"/>
        <v>12.943989967566896</v>
      </c>
      <c r="AA359" s="386">
        <f t="shared" si="140"/>
        <v>15.225016518103335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0.14982095735818607</v>
      </c>
      <c r="AD359" s="231">
        <f>(INDEX(Models!$BJ359:$BT359,,AH359)*(1-AF359)+INDEX(Models!$BJ359:$BT359,,AH359+1)*AF359-ERP_i)*AE359*Ramure*Pc/MaxiM</f>
        <v>1.2118289542695829E-3</v>
      </c>
      <c r="AE359" s="305">
        <f t="shared" si="142"/>
        <v>0.7</v>
      </c>
      <c r="AF359" s="177">
        <f t="shared" si="143"/>
        <v>0.39921400570094207</v>
      </c>
      <c r="AG359" s="810">
        <f t="shared" si="149"/>
        <v>0</v>
      </c>
      <c r="AH359" s="176">
        <f t="shared" si="144"/>
        <v>6</v>
      </c>
      <c r="AI359" s="225">
        <f t="shared" si="145"/>
        <v>0.39921400570094207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42">
        <v>4.1450000000000005</v>
      </c>
      <c r="C360" s="840"/>
      <c r="D360" s="393">
        <f t="shared" si="127"/>
        <v>4.301646811938288</v>
      </c>
      <c r="E360" s="385">
        <f t="shared" si="125"/>
        <v>4.7831720918588063</v>
      </c>
      <c r="F360" s="385">
        <f t="shared" si="128"/>
        <v>4.7831720918588063</v>
      </c>
      <c r="G360" s="110">
        <f t="shared" si="126"/>
        <v>0.25050797325339647</v>
      </c>
      <c r="H360" s="414" t="b">
        <f>Wh_hp&gt;='2021'!Maxi_hp</f>
        <v>0</v>
      </c>
      <c r="I360" s="380">
        <f>IF(H360,Wh_hp,'2021'!Maxi_hp)</f>
        <v>18.530251867552792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3.6415544740574401E-2</v>
      </c>
      <c r="M360" s="844"/>
      <c r="N360" s="844"/>
      <c r="O360" s="48">
        <f>IF(t&lt;Tnet,'2021'!Resal+('2021'!Salim-'2021'!Resal)*(1-EXP(('2021'!Tnet-t)/('2021'!Tau_j))),Resal+(Salim-Resal)*(1-EXP((Tnet-t)/(Tau_j))))*Salcycl</f>
        <v>0.10067069941725452</v>
      </c>
      <c r="P360" s="339">
        <f>(INDEX(Models!$BJ360:$BT360,,T360)*(1-R360)+INDEX(Models!$BJ360:$BT360,,T360+1)*R360-ERP_i)*Q360*Ramure*Pc/MaxiM</f>
        <v>1.2042863566047264E-3</v>
      </c>
      <c r="Q360" s="305">
        <f t="shared" si="130"/>
        <v>0.7</v>
      </c>
      <c r="R360" s="177">
        <f t="shared" si="131"/>
        <v>0.39922238659447384</v>
      </c>
      <c r="S360" s="810">
        <f t="shared" si="132"/>
        <v>0</v>
      </c>
      <c r="T360" s="176">
        <f t="shared" si="133"/>
        <v>6</v>
      </c>
      <c r="U360" s="251">
        <f t="shared" si="134"/>
        <v>0.39922238659447384</v>
      </c>
      <c r="V360" s="383">
        <f t="shared" si="135"/>
        <v>16.526452947923254</v>
      </c>
      <c r="W360" s="402">
        <f t="shared" si="136"/>
        <v>0</v>
      </c>
      <c r="X360" s="157">
        <f t="shared" si="137"/>
        <v>44907</v>
      </c>
      <c r="Y360" s="385">
        <f t="shared" si="138"/>
        <v>3.9184437135460151</v>
      </c>
      <c r="Z360" s="385">
        <f t="shared" si="139"/>
        <v>4.0665285664981523</v>
      </c>
      <c r="AA360" s="386">
        <f t="shared" si="140"/>
        <v>4.7831720918588063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0.1498259965558037</v>
      </c>
      <c r="AD360" s="231">
        <f>(INDEX(Models!$BJ360:$BT360,,AH360)*(1-AF360)+INDEX(Models!$BJ360:$BT360,,AH360+1)*AF360-ERP_i)*AE360*Ramure*Pc/MaxiM</f>
        <v>1.2042863566047264E-3</v>
      </c>
      <c r="AE360" s="305">
        <f t="shared" si="142"/>
        <v>0.7</v>
      </c>
      <c r="AF360" s="177">
        <f t="shared" si="143"/>
        <v>0.39922238659447384</v>
      </c>
      <c r="AG360" s="810">
        <f t="shared" si="149"/>
        <v>0</v>
      </c>
      <c r="AH360" s="176">
        <f t="shared" si="144"/>
        <v>6</v>
      </c>
      <c r="AI360" s="225">
        <f t="shared" si="145"/>
        <v>0.39922238659447384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42">
        <v>5.117</v>
      </c>
      <c r="C361" s="840"/>
      <c r="D361" s="393">
        <f t="shared" si="127"/>
        <v>5.3105039780441521</v>
      </c>
      <c r="E361" s="385">
        <f t="shared" ref="E361:E379" si="150">Wh_pvt/(1-Psa)</f>
        <v>5.9054167748431059</v>
      </c>
      <c r="F361" s="385">
        <f t="shared" si="128"/>
        <v>5.9055196006487876</v>
      </c>
      <c r="G361" s="110">
        <f t="shared" ref="G361:G379" si="151">+Wh_hp/MaxiM</f>
        <v>0.30981386198888744</v>
      </c>
      <c r="H361" s="414" t="b">
        <f>Wh_hp&gt;='2021'!Maxi_hp</f>
        <v>0</v>
      </c>
      <c r="I361" s="380">
        <f>IF(H361,Wh_hp,'2021'!Maxi_hp)</f>
        <v>19.130983394548689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3.643796875855454E-2</v>
      </c>
      <c r="M361" s="844"/>
      <c r="N361" s="844"/>
      <c r="O361" s="48">
        <f>IF(t&lt;Tnet,'2021'!Resal+('2021'!Salim-'2021'!Resal)*(1-EXP(('2021'!Tnet-t)/('2021'!Tau_j))),Resal+(Salim-Resal)*(1-EXP((Tnet-t)/(Tau_j))))*Salcycl</f>
        <v>0.10074018811564056</v>
      </c>
      <c r="P361" s="339">
        <f>(INDEX(Models!$BJ361:$BT361,,T361)*(1-R361)+INDEX(Models!$BJ361:$BT361,,T361+1)*R361-ERP_i)*Q361*Ramure*Pc/MaxiM</f>
        <v>1.197294307115347E-3</v>
      </c>
      <c r="Q361" s="305">
        <f t="shared" si="130"/>
        <v>0.7</v>
      </c>
      <c r="R361" s="177">
        <f t="shared" si="131"/>
        <v>0.39923043037877459</v>
      </c>
      <c r="S361" s="810">
        <f t="shared" si="132"/>
        <v>0</v>
      </c>
      <c r="T361" s="176">
        <f t="shared" si="133"/>
        <v>6</v>
      </c>
      <c r="U361" s="251">
        <f t="shared" si="134"/>
        <v>0.39923043037877459</v>
      </c>
      <c r="V361" s="383">
        <f t="shared" si="135"/>
        <v>16.496881073508462</v>
      </c>
      <c r="W361" s="402">
        <f t="shared" si="136"/>
        <v>0</v>
      </c>
      <c r="X361" s="157">
        <f t="shared" si="137"/>
        <v>44908</v>
      </c>
      <c r="Y361" s="385">
        <f t="shared" si="138"/>
        <v>4.8376507456998583</v>
      </c>
      <c r="Z361" s="385">
        <f t="shared" si="139"/>
        <v>5.0205908793096263</v>
      </c>
      <c r="AA361" s="386">
        <f t="shared" si="140"/>
        <v>5.9054167748431059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0.14983292954069063</v>
      </c>
      <c r="AD361" s="231">
        <f>(INDEX(Models!$BJ361:$BT361,,AH361)*(1-AF361)+INDEX(Models!$BJ361:$BT361,,AH361+1)*AF361-ERP_i)*AE361*Ramure*Pc/MaxiM</f>
        <v>1.197294307115347E-3</v>
      </c>
      <c r="AE361" s="305">
        <f t="shared" si="142"/>
        <v>0.7</v>
      </c>
      <c r="AF361" s="177">
        <f t="shared" si="143"/>
        <v>0.39923043037877459</v>
      </c>
      <c r="AG361" s="810">
        <f t="shared" si="149"/>
        <v>0</v>
      </c>
      <c r="AH361" s="176">
        <f t="shared" si="144"/>
        <v>6</v>
      </c>
      <c r="AI361" s="225">
        <f t="shared" si="145"/>
        <v>0.39923043037877459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42">
        <v>14.815</v>
      </c>
      <c r="C362" s="840"/>
      <c r="D362" s="393">
        <f t="shared" si="127"/>
        <v>15.375600422557916</v>
      </c>
      <c r="E362" s="385">
        <f t="shared" si="150"/>
        <v>17.099405059194879</v>
      </c>
      <c r="F362" s="385">
        <f t="shared" si="128"/>
        <v>17.116850872758306</v>
      </c>
      <c r="G362" s="110">
        <f t="shared" si="151"/>
        <v>0.89892139581788022</v>
      </c>
      <c r="H362" s="414" t="b">
        <f>Wh_hp&gt;='2021'!Maxi_hp</f>
        <v>0</v>
      </c>
      <c r="I362" s="380">
        <f>IF(H362,Wh_hp,'2021'!Maxi_hp)</f>
        <v>19.357739032195155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3.6460392254695106E-2</v>
      </c>
      <c r="M362" s="844"/>
      <c r="N362" s="844"/>
      <c r="O362" s="48">
        <f>IF(t&lt;Tnet,'2021'!Resal+('2021'!Salim-'2021'!Resal)*(1-EXP(('2021'!Tnet-t)/('2021'!Tau_j))),Resal+(Salim-Resal)*(1-EXP((Tnet-t)/(Tau_j))))*Salcycl</f>
        <v>0.10081079608731883</v>
      </c>
      <c r="P362" s="339">
        <f>(INDEX(Models!$BJ362:$BT362,,T362)*(1-R362)+INDEX(Models!$BJ362:$BT362,,T362+1)*R362-ERP_i)*Q362*Ramure*Pc/MaxiM</f>
        <v>1.1909225831609218E-3</v>
      </c>
      <c r="Q362" s="305">
        <f t="shared" si="130"/>
        <v>0.7</v>
      </c>
      <c r="R362" s="177">
        <f t="shared" si="131"/>
        <v>0.39923815060083001</v>
      </c>
      <c r="S362" s="810">
        <f t="shared" si="132"/>
        <v>0</v>
      </c>
      <c r="T362" s="176">
        <f t="shared" si="133"/>
        <v>6</v>
      </c>
      <c r="U362" s="251">
        <f t="shared" si="134"/>
        <v>0.39923815060083001</v>
      </c>
      <c r="V362" s="383">
        <f t="shared" si="135"/>
        <v>16.478029869742535</v>
      </c>
      <c r="W362" s="402">
        <f t="shared" si="136"/>
        <v>0</v>
      </c>
      <c r="X362" s="157">
        <f t="shared" si="137"/>
        <v>44909</v>
      </c>
      <c r="Y362" s="385">
        <f t="shared" si="138"/>
        <v>14.007169642998726</v>
      </c>
      <c r="Z362" s="385">
        <f t="shared" si="139"/>
        <v>14.537201719995386</v>
      </c>
      <c r="AA362" s="386">
        <f t="shared" si="140"/>
        <v>17.099405059194879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0.14984166585501854</v>
      </c>
      <c r="AD362" s="231">
        <f>(INDEX(Models!$BJ362:$BT362,,AH362)*(1-AF362)+INDEX(Models!$BJ362:$BT362,,AH362+1)*AF362-ERP_i)*AE362*Ramure*Pc/MaxiM</f>
        <v>1.1909225831609218E-3</v>
      </c>
      <c r="AE362" s="305">
        <f t="shared" si="142"/>
        <v>0.7</v>
      </c>
      <c r="AF362" s="177">
        <f t="shared" si="143"/>
        <v>0.39923815060083001</v>
      </c>
      <c r="AG362" s="810">
        <f t="shared" si="149"/>
        <v>0</v>
      </c>
      <c r="AH362" s="176">
        <f t="shared" si="144"/>
        <v>6</v>
      </c>
      <c r="AI362" s="225">
        <f t="shared" si="145"/>
        <v>0.39923815060083001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42">
        <v>5.5979999999999999</v>
      </c>
      <c r="C363" s="840"/>
      <c r="D363" s="393">
        <f t="shared" si="127"/>
        <v>5.8099638371582634</v>
      </c>
      <c r="E363" s="385">
        <f t="shared" si="150"/>
        <v>6.4618513189352891</v>
      </c>
      <c r="F363" s="385">
        <f t="shared" si="128"/>
        <v>6.4622880234651801</v>
      </c>
      <c r="G363" s="110">
        <f t="shared" si="151"/>
        <v>0.33953117243624248</v>
      </c>
      <c r="H363" s="414" t="b">
        <f>Wh_hp&gt;='2021'!Maxi_hp</f>
        <v>0</v>
      </c>
      <c r="I363" s="380">
        <f>IF(H363,Wh_hp,'2021'!Maxi_hp)</f>
        <v>18.722199127908961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3.6482815229008092E-2</v>
      </c>
      <c r="M363" s="844"/>
      <c r="N363" s="844"/>
      <c r="O363" s="48">
        <f>IF(t&lt;Tnet,'2021'!Resal+('2021'!Salim-'2021'!Resal)*(1-EXP(('2021'!Tnet-t)/('2021'!Tau_j))),Resal+(Salim-Resal)*(1-EXP((Tnet-t)/(Tau_j))))*Salcycl</f>
        <v>0.10088246380209748</v>
      </c>
      <c r="P363" s="339">
        <f>(INDEX(Models!$BJ363:$BT363,,T363)*(1-R363)+INDEX(Models!$BJ363:$BT363,,T363+1)*R363-ERP_i)*Q363*Ramure*Pc/MaxiM</f>
        <v>1.1852383378671636E-3</v>
      </c>
      <c r="Q363" s="305">
        <f t="shared" si="130"/>
        <v>0.7</v>
      </c>
      <c r="R363" s="177">
        <f t="shared" si="131"/>
        <v>0.39924556026423524</v>
      </c>
      <c r="S363" s="810">
        <f t="shared" si="132"/>
        <v>0</v>
      </c>
      <c r="T363" s="176">
        <f t="shared" si="133"/>
        <v>6</v>
      </c>
      <c r="U363" s="251">
        <f t="shared" si="134"/>
        <v>0.39924556026423524</v>
      </c>
      <c r="V363" s="383">
        <f t="shared" si="135"/>
        <v>16.469011876079684</v>
      </c>
      <c r="W363" s="402">
        <f t="shared" si="136"/>
        <v>0</v>
      </c>
      <c r="X363" s="157">
        <f t="shared" si="137"/>
        <v>44910</v>
      </c>
      <c r="Y363" s="385">
        <f t="shared" si="138"/>
        <v>5.2931098303842017</v>
      </c>
      <c r="Z363" s="385">
        <f t="shared" si="139"/>
        <v>5.4935292427008084</v>
      </c>
      <c r="AA363" s="386">
        <f t="shared" si="140"/>
        <v>6.4618513189352891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0.14985211334048923</v>
      </c>
      <c r="AD363" s="231">
        <f>(INDEX(Models!$BJ363:$BT363,,AH363)*(1-AF363)+INDEX(Models!$BJ363:$BT363,,AH363+1)*AF363-ERP_i)*AE363*Ramure*Pc/MaxiM</f>
        <v>1.1852383378671636E-3</v>
      </c>
      <c r="AE363" s="305">
        <f t="shared" si="142"/>
        <v>0.7</v>
      </c>
      <c r="AF363" s="177">
        <f t="shared" si="143"/>
        <v>0.39924556026423524</v>
      </c>
      <c r="AG363" s="810">
        <f t="shared" si="149"/>
        <v>0</v>
      </c>
      <c r="AH363" s="176">
        <f t="shared" si="144"/>
        <v>6</v>
      </c>
      <c r="AI363" s="225">
        <f t="shared" si="145"/>
        <v>0.39924556026423524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42">
        <v>5.008</v>
      </c>
      <c r="C364" s="840"/>
      <c r="D364" s="393">
        <f t="shared" si="127"/>
        <v>5.1977449134742137</v>
      </c>
      <c r="E364" s="385">
        <f t="shared" si="150"/>
        <v>5.7814076824246525</v>
      </c>
      <c r="F364" s="385">
        <f t="shared" si="128"/>
        <v>5.7814475297229588</v>
      </c>
      <c r="G364" s="110">
        <f t="shared" si="151"/>
        <v>0.3037307517662044</v>
      </c>
      <c r="H364" s="414" t="b">
        <f>Wh_hp&gt;='2021'!Maxi_hp</f>
        <v>0</v>
      </c>
      <c r="I364" s="380">
        <f>IF(H364,Wh_hp,'2021'!Maxi_hp)</f>
        <v>18.52551005734108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3.6505237681505709E-2</v>
      </c>
      <c r="M364" s="844"/>
      <c r="N364" s="844"/>
      <c r="O364" s="48">
        <f>IF(t&lt;Tnet,'2021'!Resal+('2021'!Salim-'2021'!Resal)*(1-EXP(('2021'!Tnet-t)/('2021'!Tau_j))),Resal+(Salim-Resal)*(1-EXP((Tnet-t)/(Tau_j))))*Salcycl</f>
        <v>0.10095513082821682</v>
      </c>
      <c r="P364" s="339">
        <f>(INDEX(Models!$BJ364:$BT364,,T364)*(1-R364)+INDEX(Models!$BJ364:$BT364,,T364+1)*R364-ERP_i)*Q364*Ramure*Pc/MaxiM</f>
        <v>1.1803060220946615E-3</v>
      </c>
      <c r="Q364" s="305">
        <f t="shared" si="130"/>
        <v>0.7</v>
      </c>
      <c r="R364" s="177">
        <f t="shared" si="131"/>
        <v>0.3992526718509114</v>
      </c>
      <c r="S364" s="810">
        <f t="shared" si="132"/>
        <v>0</v>
      </c>
      <c r="T364" s="176">
        <f t="shared" si="133"/>
        <v>6</v>
      </c>
      <c r="U364" s="251">
        <f t="shared" si="134"/>
        <v>0.3992526718509114</v>
      </c>
      <c r="V364" s="383">
        <f t="shared" si="135"/>
        <v>16.46893992241618</v>
      </c>
      <c r="W364" s="402">
        <f t="shared" si="136"/>
        <v>0</v>
      </c>
      <c r="X364" s="157">
        <f t="shared" si="137"/>
        <v>44911</v>
      </c>
      <c r="Y364" s="385">
        <f t="shared" si="138"/>
        <v>4.7355591904492638</v>
      </c>
      <c r="Z364" s="385">
        <f t="shared" si="139"/>
        <v>4.9149817680937948</v>
      </c>
      <c r="AA364" s="386">
        <f t="shared" si="140"/>
        <v>5.7814076824246525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0.14986417874746541</v>
      </c>
      <c r="AD364" s="231">
        <f>(INDEX(Models!$BJ364:$BT364,,AH364)*(1-AF364)+INDEX(Models!$BJ364:$BT364,,AH364+1)*AF364-ERP_i)*AE364*Ramure*Pc/MaxiM</f>
        <v>1.1803060220946615E-3</v>
      </c>
      <c r="AE364" s="305">
        <f t="shared" si="142"/>
        <v>0.7</v>
      </c>
      <c r="AF364" s="177">
        <f t="shared" si="143"/>
        <v>0.3992526718509114</v>
      </c>
      <c r="AG364" s="810">
        <f t="shared" si="149"/>
        <v>0</v>
      </c>
      <c r="AH364" s="176">
        <f t="shared" si="144"/>
        <v>6</v>
      </c>
      <c r="AI364" s="225">
        <f t="shared" si="145"/>
        <v>0.3992526718509114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42">
        <v>3.3380000000000001</v>
      </c>
      <c r="C365" s="840"/>
      <c r="D365" s="393">
        <f t="shared" si="127"/>
        <v>3.4645519752611138</v>
      </c>
      <c r="E365" s="385">
        <f t="shared" si="150"/>
        <v>3.8539073660075052</v>
      </c>
      <c r="F365" s="385">
        <f t="shared" si="128"/>
        <v>3.8539073660075052</v>
      </c>
      <c r="G365" s="110">
        <f t="shared" si="151"/>
        <v>0.20234803842144569</v>
      </c>
      <c r="H365" s="414" t="b">
        <f>Wh_hp&gt;='2021'!Maxi_hp</f>
        <v>0</v>
      </c>
      <c r="I365" s="380">
        <f>IF(H365,Wh_hp,'2021'!Maxi_hp)</f>
        <v>18.608834058846831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3.652765961220017E-2</v>
      </c>
      <c r="M365" s="844"/>
      <c r="N365" s="844"/>
      <c r="O365" s="48">
        <f>IF(t&lt;Tnet,'2021'!Resal+('2021'!Salim-'2021'!Resal)*(1-EXP(('2021'!Tnet-t)/('2021'!Tau_j))),Resal+(Salim-Resal)*(1-EXP((Tnet-t)/(Tau_j))))*Salcycl</f>
        <v>0.1010287362328971</v>
      </c>
      <c r="P365" s="339">
        <f>(INDEX(Models!$BJ365:$BT365,,T365)*(1-R365)+INDEX(Models!$BJ365:$BT365,,T365+1)*R365-ERP_i)*Q365*Ramure*Pc/MaxiM</f>
        <v>1.1761873966221305E-3</v>
      </c>
      <c r="Q365" s="305">
        <f t="shared" si="130"/>
        <v>0.7</v>
      </c>
      <c r="R365" s="177">
        <f t="shared" si="131"/>
        <v>0.39925949734196137</v>
      </c>
      <c r="S365" s="810">
        <f t="shared" si="132"/>
        <v>0</v>
      </c>
      <c r="T365" s="176">
        <f t="shared" si="133"/>
        <v>6</v>
      </c>
      <c r="U365" s="251">
        <f t="shared" si="134"/>
        <v>0.39925949734196137</v>
      </c>
      <c r="V365" s="383">
        <f t="shared" si="135"/>
        <v>16.476927142362239</v>
      </c>
      <c r="W365" s="402">
        <f t="shared" si="136"/>
        <v>0</v>
      </c>
      <c r="X365" s="157">
        <f t="shared" si="137"/>
        <v>44912</v>
      </c>
      <c r="Y365" s="385">
        <f t="shared" si="138"/>
        <v>3.1566170395896647</v>
      </c>
      <c r="Z365" s="385">
        <f t="shared" si="139"/>
        <v>3.2762923306330922</v>
      </c>
      <c r="AA365" s="386">
        <f t="shared" si="140"/>
        <v>3.8539073660075052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0.14987776833172811</v>
      </c>
      <c r="AD365" s="231">
        <f>(INDEX(Models!$BJ365:$BT365,,AH365)*(1-AF365)+INDEX(Models!$BJ365:$BT365,,AH365+1)*AF365-ERP_i)*AE365*Ramure*Pc/MaxiM</f>
        <v>1.1761873966221305E-3</v>
      </c>
      <c r="AE365" s="305">
        <f t="shared" si="142"/>
        <v>0.7</v>
      </c>
      <c r="AF365" s="177">
        <f t="shared" si="143"/>
        <v>0.39925949734196137</v>
      </c>
      <c r="AG365" s="810">
        <f t="shared" si="149"/>
        <v>0</v>
      </c>
      <c r="AH365" s="176">
        <f t="shared" si="144"/>
        <v>6</v>
      </c>
      <c r="AI365" s="225">
        <f t="shared" si="145"/>
        <v>0.39925949734196137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42">
        <v>15.333</v>
      </c>
      <c r="C366" s="840"/>
      <c r="D366" s="393">
        <f t="shared" si="127"/>
        <v>15.914682951295006</v>
      </c>
      <c r="E366" s="385">
        <f t="shared" si="150"/>
        <v>17.704683437752493</v>
      </c>
      <c r="F366" s="385">
        <f t="shared" si="128"/>
        <v>17.723386497486395</v>
      </c>
      <c r="G366" s="110">
        <f t="shared" si="151"/>
        <v>0.92960908749657456</v>
      </c>
      <c r="H366" s="414" t="b">
        <f>Wh_hp&gt;='2021'!Maxi_hp</f>
        <v>0</v>
      </c>
      <c r="I366" s="380">
        <f>IF(H366,Wh_hp,'2021'!Maxi_hp)</f>
        <v>18.946814090960533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3.6550081021103464E-2</v>
      </c>
      <c r="M366" s="844"/>
      <c r="N366" s="844"/>
      <c r="O366" s="48">
        <f>IF(t&lt;Tnet,'2021'!Resal+('2021'!Salim-'2021'!Resal)*(1-EXP(('2021'!Tnet-t)/('2021'!Tau_j))),Resal+(Salim-Resal)*(1-EXP((Tnet-t)/(Tau_j))))*Salcycl</f>
        <v>0.10110321897315537</v>
      </c>
      <c r="P366" s="339">
        <f>(INDEX(Models!$BJ366:$BT366,,T366)*(1-R366)+INDEX(Models!$BJ366:$BT366,,T366+1)*R366-ERP_i)*Q366*Ramure*Pc/MaxiM</f>
        <v>1.1730523686604348E-3</v>
      </c>
      <c r="Q366" s="305">
        <f t="shared" si="130"/>
        <v>0.7</v>
      </c>
      <c r="R366" s="177">
        <f t="shared" si="131"/>
        <v>0.39926604823769679</v>
      </c>
      <c r="S366" s="810">
        <f t="shared" si="132"/>
        <v>0</v>
      </c>
      <c r="T366" s="176">
        <f t="shared" si="133"/>
        <v>6</v>
      </c>
      <c r="U366" s="251">
        <f t="shared" si="134"/>
        <v>0.39926604823769679</v>
      </c>
      <c r="V366" s="383">
        <f t="shared" si="135"/>
        <v>16.492085145679916</v>
      </c>
      <c r="W366" s="402">
        <f t="shared" si="136"/>
        <v>0</v>
      </c>
      <c r="X366" s="157">
        <f t="shared" si="137"/>
        <v>44913</v>
      </c>
      <c r="Y366" s="385">
        <f t="shared" si="138"/>
        <v>14.500768219509633</v>
      </c>
      <c r="Z366" s="385">
        <f t="shared" si="139"/>
        <v>15.050879068917393</v>
      </c>
      <c r="AA366" s="386">
        <f t="shared" si="140"/>
        <v>17.704683437752493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0.14989278843451523</v>
      </c>
      <c r="AD366" s="231">
        <f>(INDEX(Models!$BJ366:$BT366,,AH366)*(1-AF366)+INDEX(Models!$BJ366:$BT366,,AH366+1)*AF366-ERP_i)*AE366*Ramure*Pc/MaxiM</f>
        <v>1.1730523686604348E-3</v>
      </c>
      <c r="AE366" s="305">
        <f t="shared" si="142"/>
        <v>0.7</v>
      </c>
      <c r="AF366" s="177">
        <f t="shared" si="143"/>
        <v>0.39926604823769679</v>
      </c>
      <c r="AG366" s="810">
        <f t="shared" si="149"/>
        <v>0</v>
      </c>
      <c r="AH366" s="176">
        <f t="shared" si="144"/>
        <v>6</v>
      </c>
      <c r="AI366" s="225">
        <f t="shared" si="145"/>
        <v>0.39926604823769679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42">
        <v>12.702999999999999</v>
      </c>
      <c r="C367" s="840"/>
      <c r="D367" s="393">
        <f t="shared" si="127"/>
        <v>13.185216350125355</v>
      </c>
      <c r="E367" s="385">
        <f t="shared" si="150"/>
        <v>14.669449516055771</v>
      </c>
      <c r="F367" s="385">
        <f t="shared" si="128"/>
        <v>14.680962179126102</v>
      </c>
      <c r="G367" s="110">
        <f t="shared" si="151"/>
        <v>0.76895035854747207</v>
      </c>
      <c r="H367" s="414" t="b">
        <f>Wh_hp&gt;='2021'!Maxi_hp</f>
        <v>0</v>
      </c>
      <c r="I367" s="380">
        <f>IF(H367,Wh_hp,'2021'!Maxi_hp)</f>
        <v>18.60656481230383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3.6572501908227806E-2</v>
      </c>
      <c r="M367" s="844"/>
      <c r="N367" s="844"/>
      <c r="O367" s="48">
        <f>IF(t&lt;Tnet,'2021'!Resal+('2021'!Salim-'2021'!Resal)*(1-EXP(('2021'!Tnet-t)/('2021'!Tau_j))),Resal+(Salim-Resal)*(1-EXP((Tnet-t)/(Tau_j))))*Salcycl</f>
        <v>0.10117851827404406</v>
      </c>
      <c r="P367" s="339">
        <f>(INDEX(Models!$BJ367:$BT367,,T367)*(1-R367)+INDEX(Models!$BJ367:$BT367,,T367+1)*R367-ERP_i)*Q367*Ramure*Pc/MaxiM</f>
        <v>1.1698161004480409E-3</v>
      </c>
      <c r="Q367" s="305">
        <f t="shared" si="130"/>
        <v>0.7</v>
      </c>
      <c r="R367" s="177">
        <f t="shared" si="131"/>
        <v>0.39927233557686975</v>
      </c>
      <c r="S367" s="810">
        <f t="shared" si="132"/>
        <v>0</v>
      </c>
      <c r="T367" s="176">
        <f t="shared" si="133"/>
        <v>6</v>
      </c>
      <c r="U367" s="251">
        <f t="shared" si="134"/>
        <v>0.39927233557686975</v>
      </c>
      <c r="V367" s="383">
        <f t="shared" si="135"/>
        <v>16.513546557941432</v>
      </c>
      <c r="W367" s="402">
        <f t="shared" si="136"/>
        <v>0</v>
      </c>
      <c r="X367" s="157">
        <f t="shared" si="137"/>
        <v>44914</v>
      </c>
      <c r="Y367" s="385">
        <f t="shared" si="138"/>
        <v>12.014292423336412</v>
      </c>
      <c r="Z367" s="385">
        <f t="shared" si="139"/>
        <v>12.470364866201878</v>
      </c>
      <c r="AA367" s="386">
        <f t="shared" si="140"/>
        <v>14.669449516055771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0.14990914604170966</v>
      </c>
      <c r="AD367" s="231">
        <f>(INDEX(Models!$BJ367:$BT367,,AH367)*(1-AF367)+INDEX(Models!$BJ367:$BT367,,AH367+1)*AF367-ERP_i)*AE367*Ramure*Pc/MaxiM</f>
        <v>1.1698161004480409E-3</v>
      </c>
      <c r="AE367" s="305">
        <f t="shared" si="142"/>
        <v>0.7</v>
      </c>
      <c r="AF367" s="177">
        <f t="shared" si="143"/>
        <v>0.39927233557686975</v>
      </c>
      <c r="AG367" s="810">
        <f t="shared" si="149"/>
        <v>0</v>
      </c>
      <c r="AH367" s="176">
        <f t="shared" si="144"/>
        <v>6</v>
      </c>
      <c r="AI367" s="225">
        <f t="shared" si="145"/>
        <v>0.39927233557686975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42">
        <v>4.4619999999999997</v>
      </c>
      <c r="C368" s="840"/>
      <c r="D368" s="393">
        <f t="shared" si="127"/>
        <v>4.6314889792049732</v>
      </c>
      <c r="E368" s="385">
        <f t="shared" si="150"/>
        <v>5.1532823925178635</v>
      </c>
      <c r="F368" s="385">
        <f t="shared" si="128"/>
        <v>5.1532823925178635</v>
      </c>
      <c r="G368" s="110">
        <f t="shared" si="151"/>
        <v>0.26944862561226796</v>
      </c>
      <c r="H368" s="414" t="b">
        <f>Wh_hp&gt;='2021'!Maxi_hp</f>
        <v>0</v>
      </c>
      <c r="I368" s="380">
        <f>IF(H368,Wh_hp,'2021'!Maxi_hp)</f>
        <v>19.171871090766793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3.6594922273585406E-2</v>
      </c>
      <c r="M368" s="844"/>
      <c r="N368" s="844"/>
      <c r="O368" s="48">
        <f>IF(t&lt;Tnet,'2021'!Resal+('2021'!Salim-'2021'!Resal)*(1-EXP(('2021'!Tnet-t)/('2021'!Tau_j))),Resal+(Salim-Resal)*(1-EXP((Tnet-t)/(Tau_j))))*Salcycl</f>
        <v>0.10125457399161564</v>
      </c>
      <c r="P368" s="339">
        <f>(INDEX(Models!$BJ368:$BT368,,T368)*(1-R368)+INDEX(Models!$BJ368:$BT368,,T368+1)*R368-ERP_i)*Q368*Ramure*Pc/MaxiM</f>
        <v>1.1665406117910408E-3</v>
      </c>
      <c r="Q368" s="305">
        <f t="shared" si="130"/>
        <v>0.7</v>
      </c>
      <c r="R368" s="177">
        <f t="shared" si="131"/>
        <v>0.39927836995514043</v>
      </c>
      <c r="S368" s="810">
        <f t="shared" si="132"/>
        <v>0</v>
      </c>
      <c r="T368" s="176">
        <f t="shared" si="133"/>
        <v>6</v>
      </c>
      <c r="U368" s="251">
        <f t="shared" si="134"/>
        <v>0.39927836995514043</v>
      </c>
      <c r="V368" s="383">
        <f t="shared" si="135"/>
        <v>16.540425417509613</v>
      </c>
      <c r="W368" s="402">
        <f t="shared" si="136"/>
        <v>0</v>
      </c>
      <c r="X368" s="157">
        <f t="shared" si="137"/>
        <v>44915</v>
      </c>
      <c r="Y368" s="385">
        <f t="shared" si="138"/>
        <v>4.2203573278673971</v>
      </c>
      <c r="Z368" s="385">
        <f t="shared" si="139"/>
        <v>4.3806675150884811</v>
      </c>
      <c r="AA368" s="386">
        <f t="shared" si="140"/>
        <v>5.1532823925178635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0.14992674931828981</v>
      </c>
      <c r="AD368" s="231">
        <f>(INDEX(Models!$BJ368:$BT368,,AH368)*(1-AF368)+INDEX(Models!$BJ368:$BT368,,AH368+1)*AF368-ERP_i)*AE368*Ramure*Pc/MaxiM</f>
        <v>1.1665406117910408E-3</v>
      </c>
      <c r="AE368" s="305">
        <f t="shared" si="142"/>
        <v>0.7</v>
      </c>
      <c r="AF368" s="177">
        <f t="shared" si="143"/>
        <v>0.39927836995514043</v>
      </c>
      <c r="AG368" s="810">
        <f t="shared" si="149"/>
        <v>0</v>
      </c>
      <c r="AH368" s="176">
        <f t="shared" si="144"/>
        <v>6</v>
      </c>
      <c r="AI368" s="225">
        <f t="shared" si="145"/>
        <v>0.39927836995514043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42">
        <v>15.907</v>
      </c>
      <c r="C369" s="840"/>
      <c r="D369" s="393">
        <f t="shared" si="127"/>
        <v>16.511611320633683</v>
      </c>
      <c r="E369" s="385">
        <f t="shared" si="150"/>
        <v>18.373413712913187</v>
      </c>
      <c r="F369" s="385">
        <f t="shared" si="128"/>
        <v>18.393584426720921</v>
      </c>
      <c r="G369" s="110">
        <f t="shared" si="151"/>
        <v>0.95981750084931206</v>
      </c>
      <c r="H369" s="414" t="b">
        <f>Wh_hp&gt;='2021'!Maxi_hp</f>
        <v>1</v>
      </c>
      <c r="I369" s="380">
        <f>IF(H369,Wh_hp,'2021'!Maxi_hp)</f>
        <v>18.393584426720921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3.6617342117188367E-2</v>
      </c>
      <c r="M369" s="844"/>
      <c r="N369" s="844"/>
      <c r="O369" s="48">
        <f>IF(t&lt;Tnet,'2021'!Resal+('2021'!Salim-'2021'!Resal)*(1-EXP(('2021'!Tnet-t)/('2021'!Tau_j))),Resal+(Salim-Resal)*(1-EXP((Tnet-t)/(Tau_j))))*Salcycl</f>
        <v>0.10133132695809229</v>
      </c>
      <c r="P369" s="339">
        <f>(INDEX(Models!$BJ369:$BT369,,T369)*(1-R369)+INDEX(Models!$BJ369:$BT369,,T369+1)*R369-ERP_i)*Q369*Ramure*Pc/MaxiM</f>
        <v>1.1632871760175003E-3</v>
      </c>
      <c r="Q369" s="305">
        <f t="shared" si="130"/>
        <v>0.7</v>
      </c>
      <c r="R369" s="177">
        <f t="shared" si="131"/>
        <v>0.39928416154280999</v>
      </c>
      <c r="S369" s="810">
        <f t="shared" si="132"/>
        <v>0</v>
      </c>
      <c r="T369" s="176">
        <f t="shared" si="133"/>
        <v>6</v>
      </c>
      <c r="U369" s="251">
        <f t="shared" si="134"/>
        <v>0.39928416154280999</v>
      </c>
      <c r="V369" s="383">
        <f t="shared" si="135"/>
        <v>16.571836100180484</v>
      </c>
      <c r="W369" s="402">
        <f t="shared" si="136"/>
        <v>0</v>
      </c>
      <c r="X369" s="157">
        <f t="shared" si="137"/>
        <v>44916</v>
      </c>
      <c r="Y369" s="385">
        <f t="shared" si="138"/>
        <v>15.046498457160693</v>
      </c>
      <c r="Z369" s="385">
        <f t="shared" si="139"/>
        <v>15.618402857933726</v>
      </c>
      <c r="AA369" s="386">
        <f t="shared" si="140"/>
        <v>18.373413712913187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0.14994550811443316</v>
      </c>
      <c r="AD369" s="231">
        <f>(INDEX(Models!$BJ369:$BT369,,AH369)*(1-AF369)+INDEX(Models!$BJ369:$BT369,,AH369+1)*AF369-ERP_i)*AE369*Ramure*Pc/MaxiM</f>
        <v>1.1632871760175003E-3</v>
      </c>
      <c r="AE369" s="305">
        <f t="shared" si="142"/>
        <v>0.7</v>
      </c>
      <c r="AF369" s="177">
        <f t="shared" si="143"/>
        <v>0.39928416154280999</v>
      </c>
      <c r="AG369" s="810">
        <f t="shared" si="149"/>
        <v>0</v>
      </c>
      <c r="AH369" s="176">
        <f t="shared" si="144"/>
        <v>6</v>
      </c>
      <c r="AI369" s="225">
        <f t="shared" si="145"/>
        <v>0.39928416154280999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42">
        <v>12.202999999999999</v>
      </c>
      <c r="C370" s="840"/>
      <c r="D370" s="393">
        <f t="shared" si="127"/>
        <v>12.667120264615242</v>
      </c>
      <c r="E370" s="385">
        <f t="shared" si="150"/>
        <v>14.096642752692917</v>
      </c>
      <c r="F370" s="385">
        <f t="shared" si="128"/>
        <v>14.106808447458455</v>
      </c>
      <c r="G370" s="110">
        <f t="shared" si="151"/>
        <v>0.73449216304604659</v>
      </c>
      <c r="H370" s="414" t="b">
        <f>Wh_hp&gt;='2021'!Maxi_hp</f>
        <v>0</v>
      </c>
      <c r="I370" s="380">
        <f>IF(H370,Wh_hp,'2021'!Maxi_hp)</f>
        <v>18.146352200038717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3.663976143904879E-2</v>
      </c>
      <c r="M370" s="844"/>
      <c r="N370" s="844"/>
      <c r="O370" s="48">
        <f>IF(t&lt;Tnet,'2021'!Resal+('2021'!Salim-'2021'!Resal)*(1-EXP(('2021'!Tnet-t)/('2021'!Tau_j))),Resal+(Salim-Resal)*(1-EXP((Tnet-t)/(Tau_j))))*Salcycl</f>
        <v>0.10140871930691361</v>
      </c>
      <c r="P370" s="339">
        <f>(INDEX(Models!$BJ370:$BT370,,T370)*(1-R370)+INDEX(Models!$BJ370:$BT370,,T370+1)*R370-ERP_i)*Q370*Ramure*Pc/MaxiM</f>
        <v>1.160116161386217E-3</v>
      </c>
      <c r="Q370" s="305">
        <f t="shared" si="130"/>
        <v>0.7</v>
      </c>
      <c r="R370" s="177">
        <f t="shared" si="131"/>
        <v>0.39928972010184777</v>
      </c>
      <c r="S370" s="810">
        <f t="shared" si="132"/>
        <v>0</v>
      </c>
      <c r="T370" s="176">
        <f t="shared" si="133"/>
        <v>6</v>
      </c>
      <c r="U370" s="251">
        <f t="shared" si="134"/>
        <v>0.39928972010184777</v>
      </c>
      <c r="V370" s="383">
        <f t="shared" si="135"/>
        <v>16.606893326627823</v>
      </c>
      <c r="W370" s="402">
        <f t="shared" si="136"/>
        <v>0</v>
      </c>
      <c r="X370" s="157">
        <f t="shared" si="137"/>
        <v>44917</v>
      </c>
      <c r="Y370" s="385">
        <f t="shared" si="138"/>
        <v>11.54359411970743</v>
      </c>
      <c r="Z370" s="385">
        <f t="shared" si="139"/>
        <v>11.982635007804586</v>
      </c>
      <c r="AA370" s="386">
        <f t="shared" si="140"/>
        <v>14.096642752692917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0.14996533443996704</v>
      </c>
      <c r="AD370" s="231">
        <f>(INDEX(Models!$BJ370:$BT370,,AH370)*(1-AF370)+INDEX(Models!$BJ370:$BT370,,AH370+1)*AF370-ERP_i)*AE370*Ramure*Pc/MaxiM</f>
        <v>1.160116161386217E-3</v>
      </c>
      <c r="AE370" s="305">
        <f t="shared" si="142"/>
        <v>0.7</v>
      </c>
      <c r="AF370" s="177">
        <f t="shared" si="143"/>
        <v>0.39928972010184777</v>
      </c>
      <c r="AG370" s="810">
        <f t="shared" si="149"/>
        <v>0</v>
      </c>
      <c r="AH370" s="176">
        <f t="shared" si="144"/>
        <v>6</v>
      </c>
      <c r="AI370" s="225">
        <f t="shared" si="145"/>
        <v>0.39928972010184777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42">
        <v>12.838000000000001</v>
      </c>
      <c r="C371" s="840"/>
      <c r="D371" s="393">
        <f t="shared" si="127"/>
        <v>13.326581534178152</v>
      </c>
      <c r="E371" s="385">
        <f t="shared" si="150"/>
        <v>14.831813237144146</v>
      </c>
      <c r="F371" s="385">
        <f t="shared" si="128"/>
        <v>14.843376829420389</v>
      </c>
      <c r="G371" s="110">
        <f t="shared" si="151"/>
        <v>0.77100419252411501</v>
      </c>
      <c r="H371" s="414" t="b">
        <f>Wh_hp&gt;='2021'!Maxi_hp</f>
        <v>0</v>
      </c>
      <c r="I371" s="380">
        <f>IF(H371,Wh_hp,'2021'!Maxi_hp)</f>
        <v>16.298095724245826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3.6662180239178777E-2</v>
      </c>
      <c r="M371" s="844"/>
      <c r="N371" s="844"/>
      <c r="O371" s="48">
        <f>IF(t&lt;Tnet,'2021'!Resal+('2021'!Salim-'2021'!Resal)*(1-EXP(('2021'!Tnet-t)/('2021'!Tau_j))),Resal+(Salim-Resal)*(1-EXP((Tnet-t)/(Tau_j))))*Salcycl</f>
        <v>0.10148669477554899</v>
      </c>
      <c r="P371" s="339">
        <f>(INDEX(Models!$BJ371:$BT371,,T371)*(1-R371)+INDEX(Models!$BJ371:$BT371,,T371+1)*R371-ERP_i)*Q371*Ramure*Pc/MaxiM</f>
        <v>1.1570825433938E-3</v>
      </c>
      <c r="Q371" s="305">
        <f t="shared" si="130"/>
        <v>0.7</v>
      </c>
      <c r="R371" s="177">
        <f t="shared" si="131"/>
        <v>0.39928972010184777</v>
      </c>
      <c r="S371" s="810">
        <f t="shared" si="132"/>
        <v>0</v>
      </c>
      <c r="T371" s="176">
        <f t="shared" si="133"/>
        <v>6</v>
      </c>
      <c r="U371" s="251">
        <f t="shared" si="134"/>
        <v>0.39928972010184777</v>
      </c>
      <c r="V371" s="383">
        <f t="shared" si="135"/>
        <v>16.64471223023887</v>
      </c>
      <c r="W371" s="402">
        <f t="shared" si="136"/>
        <v>0</v>
      </c>
      <c r="X371" s="157">
        <f t="shared" si="137"/>
        <v>44918</v>
      </c>
      <c r="Y371" s="385">
        <f t="shared" si="138"/>
        <v>12.145037623755599</v>
      </c>
      <c r="Z371" s="385">
        <f t="shared" si="139"/>
        <v>12.607246777429525</v>
      </c>
      <c r="AA371" s="386">
        <f t="shared" si="140"/>
        <v>14.831813237144146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0.14998614290419426</v>
      </c>
      <c r="AD371" s="231">
        <f>(INDEX(Models!$BJ371:$BT371,,AH371)*(1-AF371)+INDEX(Models!$BJ371:$BT371,,AH371+1)*AF371-ERP_i)*AE371*Ramure*Pc/MaxiM</f>
        <v>1.1570825433938E-3</v>
      </c>
      <c r="AE371" s="305">
        <f t="shared" si="142"/>
        <v>0.7</v>
      </c>
      <c r="AF371" s="177">
        <f t="shared" si="143"/>
        <v>0.39928972010184777</v>
      </c>
      <c r="AG371" s="810">
        <f t="shared" si="149"/>
        <v>0</v>
      </c>
      <c r="AH371" s="176">
        <f t="shared" si="144"/>
        <v>6</v>
      </c>
      <c r="AI371" s="225">
        <f t="shared" si="145"/>
        <v>0.39928972010184777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42">
        <v>16.495999999999999</v>
      </c>
      <c r="C372" s="840"/>
      <c r="D372" s="393">
        <f t="shared" si="127"/>
        <v>17.124194188751609</v>
      </c>
      <c r="E372" s="385">
        <f t="shared" si="150"/>
        <v>19.060029920246023</v>
      </c>
      <c r="F372" s="385">
        <f t="shared" si="128"/>
        <v>19.0816996155081</v>
      </c>
      <c r="G372" s="110">
        <f t="shared" si="151"/>
        <v>0.98868909924912429</v>
      </c>
      <c r="H372" s="414" t="b">
        <f>Wh_hp&gt;='2021'!Maxi_hp</f>
        <v>1</v>
      </c>
      <c r="I372" s="380">
        <f>IF(H372,Wh_hp,'2021'!Maxi_hp)</f>
        <v>19.0816996155081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3.668459851759065E-2</v>
      </c>
      <c r="M372" s="844"/>
      <c r="N372" s="844"/>
      <c r="O372" s="48">
        <f>IF(t&lt;Tnet,'2021'!Resal+('2021'!Salim-'2021'!Resal)*(1-EXP(('2021'!Tnet-t)/('2021'!Tau_j))),Resal+(Salim-Resal)*(1-EXP((Tnet-t)/(Tau_j))))*Salcycl</f>
        <v>0.10156519898419056</v>
      </c>
      <c r="P372" s="339">
        <f>(INDEX(Models!$BJ372:$BT372,,T372)*(1-R372)+INDEX(Models!$BJ372:$BT372,,T372+1)*R372-ERP_i)*Q372*Ramure*Pc/MaxiM</f>
        <v>1.1542475395509423E-3</v>
      </c>
      <c r="Q372" s="305">
        <f t="shared" si="130"/>
        <v>0.7</v>
      </c>
      <c r="R372" s="177">
        <f t="shared" si="131"/>
        <v>0.39928972010184777</v>
      </c>
      <c r="S372" s="810">
        <f t="shared" si="132"/>
        <v>0</v>
      </c>
      <c r="T372" s="176">
        <f t="shared" si="133"/>
        <v>6</v>
      </c>
      <c r="U372" s="251">
        <f t="shared" si="134"/>
        <v>0.39928972010184777</v>
      </c>
      <c r="V372" s="383">
        <f t="shared" si="135"/>
        <v>16.684408172998044</v>
      </c>
      <c r="W372" s="402">
        <f t="shared" si="136"/>
        <v>0</v>
      </c>
      <c r="X372" s="157">
        <f t="shared" si="137"/>
        <v>44919</v>
      </c>
      <c r="Y372" s="385">
        <f t="shared" si="138"/>
        <v>15.606553165679262</v>
      </c>
      <c r="Z372" s="385">
        <f t="shared" si="139"/>
        <v>16.200875789656152</v>
      </c>
      <c r="AA372" s="386">
        <f t="shared" si="140"/>
        <v>19.060029920246023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0.1500078511184712</v>
      </c>
      <c r="AD372" s="231">
        <f>(INDEX(Models!$BJ372:$BT372,,AH372)*(1-AF372)+INDEX(Models!$BJ372:$BT372,,AH372+1)*AF372-ERP_i)*AE372*Ramure*Pc/MaxiM</f>
        <v>1.1542475395509423E-3</v>
      </c>
      <c r="AE372" s="305">
        <f t="shared" si="142"/>
        <v>0.7</v>
      </c>
      <c r="AF372" s="177">
        <f t="shared" si="143"/>
        <v>0.39928972010184777</v>
      </c>
      <c r="AG372" s="810">
        <f t="shared" si="149"/>
        <v>0</v>
      </c>
      <c r="AH372" s="176">
        <f t="shared" si="144"/>
        <v>6</v>
      </c>
      <c r="AI372" s="225">
        <f t="shared" si="145"/>
        <v>0.39928972010184777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42">
        <v>9.447000000000001</v>
      </c>
      <c r="C373" s="840"/>
      <c r="D373" s="393">
        <f t="shared" si="127"/>
        <v>9.8069851640173695</v>
      </c>
      <c r="E373" s="385">
        <f t="shared" si="150"/>
        <v>10.916593338949909</v>
      </c>
      <c r="F373" s="385">
        <f t="shared" si="128"/>
        <v>10.921351094266241</v>
      </c>
      <c r="G373" s="110">
        <f t="shared" si="151"/>
        <v>0.56439995732774784</v>
      </c>
      <c r="H373" s="414" t="b">
        <f>Wh_hp&gt;='2021'!Maxi_hp</f>
        <v>0</v>
      </c>
      <c r="I373" s="380">
        <f>IF(H373,Wh_hp,'2021'!Maxi_hp)</f>
        <v>15.376095224212161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3.6707016274296289E-2</v>
      </c>
      <c r="M373" s="844"/>
      <c r="N373" s="844"/>
      <c r="O373" s="48">
        <f>IF(t&lt;Tnet,'2021'!Resal+('2021'!Salim-'2021'!Resal)*(1-EXP(('2021'!Tnet-t)/('2021'!Tau_j))),Resal+(Salim-Resal)*(1-EXP((Tnet-t)/(Tau_j))))*Salcycl</f>
        <v>0.10164417968868619</v>
      </c>
      <c r="P373" s="339">
        <f>(INDEX(Models!$BJ373:$BT373,,T373)*(1-R373)+INDEX(Models!$BJ373:$BT373,,T373+1)*R373-ERP_i)*Q373*Ramure*Pc/MaxiM</f>
        <v>1.1515913694152859E-3</v>
      </c>
      <c r="Q373" s="305">
        <f t="shared" si="130"/>
        <v>0.7</v>
      </c>
      <c r="R373" s="177">
        <f t="shared" si="131"/>
        <v>0.39928972010184777</v>
      </c>
      <c r="S373" s="810">
        <f t="shared" si="132"/>
        <v>0</v>
      </c>
      <c r="T373" s="176">
        <f t="shared" si="133"/>
        <v>6</v>
      </c>
      <c r="U373" s="251">
        <f t="shared" si="134"/>
        <v>0.39928972010184777</v>
      </c>
      <c r="V373" s="383">
        <f t="shared" si="135"/>
        <v>16.726141308098107</v>
      </c>
      <c r="W373" s="402">
        <f t="shared" si="136"/>
        <v>0</v>
      </c>
      <c r="X373" s="157">
        <f t="shared" si="137"/>
        <v>44920</v>
      </c>
      <c r="Y373" s="385">
        <f t="shared" si="138"/>
        <v>8.9381766311674902</v>
      </c>
      <c r="Z373" s="385">
        <f t="shared" si="139"/>
        <v>9.2787726913545363</v>
      </c>
      <c r="AA373" s="386">
        <f t="shared" si="140"/>
        <v>10.916593338949909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0.15003038005929042</v>
      </c>
      <c r="AD373" s="231">
        <f>(INDEX(Models!$BJ373:$BT373,,AH373)*(1-AF373)+INDEX(Models!$BJ373:$BT373,,AH373+1)*AF373-ERP_i)*AE373*Ramure*Pc/MaxiM</f>
        <v>1.1515913694152859E-3</v>
      </c>
      <c r="AE373" s="305">
        <f t="shared" si="142"/>
        <v>0.7</v>
      </c>
      <c r="AF373" s="177">
        <f t="shared" si="143"/>
        <v>0.39928972010184777</v>
      </c>
      <c r="AG373" s="810">
        <f t="shared" si="149"/>
        <v>0</v>
      </c>
      <c r="AH373" s="176">
        <f t="shared" si="144"/>
        <v>6</v>
      </c>
      <c r="AI373" s="225">
        <f t="shared" si="145"/>
        <v>0.39928972010184777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42">
        <v>16.068999999999999</v>
      </c>
      <c r="C374" s="840"/>
      <c r="D374" s="393">
        <f t="shared" si="127"/>
        <v>16.681709749049283</v>
      </c>
      <c r="E374" s="385">
        <f t="shared" si="150"/>
        <v>18.57079792783869</v>
      </c>
      <c r="F374" s="385">
        <f t="shared" si="128"/>
        <v>18.590882091539495</v>
      </c>
      <c r="G374" s="110">
        <f t="shared" si="151"/>
        <v>0.95807642820021588</v>
      </c>
      <c r="H374" s="414" t="b">
        <f>Wh_hp&gt;='2021'!Maxi_hp</f>
        <v>1</v>
      </c>
      <c r="I374" s="380">
        <f>IF(H374,Wh_hp,'2021'!Maxi_hp)</f>
        <v>18.590882091539495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3.6729433509308129E-2</v>
      </c>
      <c r="M374" s="844"/>
      <c r="N374" s="844"/>
      <c r="O374" s="48">
        <f>IF(t&lt;Tnet,'2021'!Resal+('2021'!Salim-'2021'!Resal)*(1-EXP(('2021'!Tnet-t)/('2021'!Tau_j))),Resal+(Salim-Resal)*(1-EXP((Tnet-t)/(Tau_j))))*Salcycl</f>
        <v>0.10172358700632649</v>
      </c>
      <c r="P374" s="339">
        <f>(INDEX(Models!$BJ374:$BT374,,T374)*(1-R374)+INDEX(Models!$BJ374:$BT374,,T374+1)*R374-ERP_i)*Q374*Ramure*Pc/MaxiM</f>
        <v>1.1490315947549705E-3</v>
      </c>
      <c r="Q374" s="305">
        <f t="shared" si="130"/>
        <v>0.7</v>
      </c>
      <c r="R374" s="177">
        <f t="shared" si="131"/>
        <v>0.39928972010184777</v>
      </c>
      <c r="S374" s="810">
        <f t="shared" si="132"/>
        <v>0</v>
      </c>
      <c r="T374" s="176">
        <f t="shared" si="133"/>
        <v>6</v>
      </c>
      <c r="U374" s="251">
        <f t="shared" si="134"/>
        <v>0.39928972010184777</v>
      </c>
      <c r="V374" s="383">
        <f t="shared" si="135"/>
        <v>16.770994734811456</v>
      </c>
      <c r="W374" s="402">
        <f t="shared" si="136"/>
        <v>0</v>
      </c>
      <c r="X374" s="157">
        <f t="shared" si="137"/>
        <v>44921</v>
      </c>
      <c r="Y374" s="385">
        <f t="shared" si="138"/>
        <v>15.204437776663775</v>
      </c>
      <c r="Z374" s="385">
        <f t="shared" si="139"/>
        <v>15.784181833828198</v>
      </c>
      <c r="AA374" s="386">
        <f t="shared" si="140"/>
        <v>18.57079792783869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0.15005365439000312</v>
      </c>
      <c r="AD374" s="231">
        <f>(INDEX(Models!$BJ374:$BT374,,AH374)*(1-AF374)+INDEX(Models!$BJ374:$BT374,,AH374+1)*AF374-ERP_i)*AE374*Ramure*Pc/MaxiM</f>
        <v>1.1490315947549705E-3</v>
      </c>
      <c r="AE374" s="305">
        <f t="shared" si="142"/>
        <v>0.7</v>
      </c>
      <c r="AF374" s="177">
        <f t="shared" si="143"/>
        <v>0.39928972010184777</v>
      </c>
      <c r="AG374" s="810">
        <f t="shared" si="149"/>
        <v>0</v>
      </c>
      <c r="AH374" s="176">
        <f t="shared" si="144"/>
        <v>6</v>
      </c>
      <c r="AI374" s="225">
        <f t="shared" si="145"/>
        <v>0.39928972010184777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42">
        <v>6.53</v>
      </c>
      <c r="C375" s="840"/>
      <c r="D375" s="393">
        <f t="shared" si="127"/>
        <v>6.7791461644741249</v>
      </c>
      <c r="E375" s="385">
        <f t="shared" si="150"/>
        <v>7.547507934588916</v>
      </c>
      <c r="F375" s="385">
        <f t="shared" si="128"/>
        <v>7.5485999922501916</v>
      </c>
      <c r="G375" s="110">
        <f t="shared" si="151"/>
        <v>0.38785155171363972</v>
      </c>
      <c r="H375" s="414" t="b">
        <f>Wh_hp&gt;='2021'!Maxi_hp</f>
        <v>0</v>
      </c>
      <c r="I375" s="380">
        <f>IF(H375,Wh_hp,'2021'!Maxi_hp)</f>
        <v>18.041116002865003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3.6751850222638049E-2</v>
      </c>
      <c r="M375" s="844"/>
      <c r="N375" s="844"/>
      <c r="O375" s="48">
        <f>IF(t&lt;Tnet,'2021'!Resal+('2021'!Salim-'2021'!Resal)*(1-EXP(('2021'!Tnet-t)/('2021'!Tau_j))),Resal+(Salim-Resal)*(1-EXP((Tnet-t)/(Tau_j))))*Salcycl</f>
        <v>0.10180337361336489</v>
      </c>
      <c r="P375" s="339">
        <f>(INDEX(Models!$BJ375:$BT375,,T375)*(1-R375)+INDEX(Models!$BJ375:$BT375,,T375+1)*R375-ERP_i)*Q375*Ramure*Pc/MaxiM</f>
        <v>1.147642865062066E-3</v>
      </c>
      <c r="Q375" s="305">
        <f t="shared" si="130"/>
        <v>0.7</v>
      </c>
      <c r="R375" s="177">
        <f t="shared" si="131"/>
        <v>0.39928972010184777</v>
      </c>
      <c r="S375" s="810">
        <f t="shared" si="132"/>
        <v>0</v>
      </c>
      <c r="T375" s="176">
        <f t="shared" si="133"/>
        <v>6</v>
      </c>
      <c r="U375" s="251">
        <f t="shared" si="134"/>
        <v>0.39928972010184777</v>
      </c>
      <c r="V375" s="383">
        <f t="shared" si="135"/>
        <v>16.819449637877444</v>
      </c>
      <c r="W375" s="402">
        <f t="shared" si="136"/>
        <v>0</v>
      </c>
      <c r="X375" s="157">
        <f t="shared" si="137"/>
        <v>44922</v>
      </c>
      <c r="Y375" s="385">
        <f t="shared" si="138"/>
        <v>6.1790404139422934</v>
      </c>
      <c r="Z375" s="385">
        <f t="shared" si="139"/>
        <v>6.4147960371068153</v>
      </c>
      <c r="AA375" s="386">
        <f t="shared" si="140"/>
        <v>7.547507934588916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0.15007760273971749</v>
      </c>
      <c r="AD375" s="231">
        <f>(INDEX(Models!$BJ375:$BT375,,AH375)*(1-AF375)+INDEX(Models!$BJ375:$BT375,,AH375+1)*AF375-ERP_i)*AE375*Ramure*Pc/MaxiM</f>
        <v>1.147642865062066E-3</v>
      </c>
      <c r="AE375" s="305">
        <f t="shared" si="142"/>
        <v>0.7</v>
      </c>
      <c r="AF375" s="177">
        <f t="shared" si="143"/>
        <v>0.39928972010184777</v>
      </c>
      <c r="AG375" s="810">
        <f t="shared" si="149"/>
        <v>0</v>
      </c>
      <c r="AH375" s="176">
        <f t="shared" si="144"/>
        <v>6</v>
      </c>
      <c r="AI375" s="225">
        <f t="shared" si="145"/>
        <v>0.39928972010184777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42">
        <v>15.540000000000001</v>
      </c>
      <c r="C376" s="840"/>
      <c r="D376" s="393">
        <f t="shared" si="127"/>
        <v>16.1332899009569</v>
      </c>
      <c r="E376" s="385">
        <f t="shared" si="150"/>
        <v>17.963471119375125</v>
      </c>
      <c r="F376" s="385">
        <f t="shared" si="128"/>
        <v>17.981774315909167</v>
      </c>
      <c r="G376" s="110">
        <f t="shared" si="151"/>
        <v>0.92093292212590749</v>
      </c>
      <c r="H376" s="414" t="b">
        <f>Wh_hp&gt;='2021'!Maxi_hp</f>
        <v>1</v>
      </c>
      <c r="I376" s="380">
        <f>IF(H376,Wh_hp,'2021'!Maxi_hp)</f>
        <v>17.981774315909167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3.6774266414298373E-2</v>
      </c>
      <c r="M376" s="844"/>
      <c r="N376" s="844"/>
      <c r="O376" s="48">
        <f>IF(t&lt;Tnet,'2021'!Resal+('2021'!Salim-'2021'!Resal)*(1-EXP(('2021'!Tnet-t)/('2021'!Tau_j))),Resal+(Salim-Resal)*(1-EXP((Tnet-t)/(Tau_j))))*Salcycl</f>
        <v>0.10188349491342004</v>
      </c>
      <c r="P376" s="339">
        <f>(INDEX(Models!$BJ376:$BT376,,T376)*(1-R376)+INDEX(Models!$BJ376:$BT376,,T376+1)*R376-ERP_i)*Q376*Ramure*Pc/MaxiM</f>
        <v>1.1472665248973689E-3</v>
      </c>
      <c r="Q376" s="305">
        <f t="shared" si="130"/>
        <v>0.7</v>
      </c>
      <c r="R376" s="177">
        <f t="shared" si="131"/>
        <v>0.39928972010184777</v>
      </c>
      <c r="S376" s="810">
        <f t="shared" si="132"/>
        <v>0</v>
      </c>
      <c r="T376" s="176">
        <f t="shared" si="133"/>
        <v>6</v>
      </c>
      <c r="U376" s="251">
        <f t="shared" si="134"/>
        <v>0.39928972010184777</v>
      </c>
      <c r="V376" s="383">
        <f t="shared" si="135"/>
        <v>16.872007539197327</v>
      </c>
      <c r="W376" s="402">
        <f t="shared" si="136"/>
        <v>0</v>
      </c>
      <c r="X376" s="157">
        <f t="shared" si="137"/>
        <v>44923</v>
      </c>
      <c r="Y376" s="385">
        <f t="shared" si="138"/>
        <v>14.705678373392564</v>
      </c>
      <c r="Z376" s="385">
        <f t="shared" si="139"/>
        <v>15.267115340294371</v>
      </c>
      <c r="AA376" s="386">
        <f t="shared" si="140"/>
        <v>17.963471119375125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0.15010215793831214</v>
      </c>
      <c r="AD376" s="231">
        <f>(INDEX(Models!$BJ376:$BT376,,AH376)*(1-AF376)+INDEX(Models!$BJ376:$BT376,,AH376+1)*AF376-ERP_i)*AE376*Ramure*Pc/MaxiM</f>
        <v>1.1472665248973689E-3</v>
      </c>
      <c r="AE376" s="305">
        <f t="shared" si="142"/>
        <v>0.7</v>
      </c>
      <c r="AF376" s="177">
        <f t="shared" si="143"/>
        <v>0.39928972010184777</v>
      </c>
      <c r="AG376" s="810">
        <f t="shared" si="149"/>
        <v>0</v>
      </c>
      <c r="AH376" s="176">
        <f t="shared" si="144"/>
        <v>6</v>
      </c>
      <c r="AI376" s="225">
        <f t="shared" si="145"/>
        <v>0.39928972010184777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42">
        <v>8.7949999999999999</v>
      </c>
      <c r="C377" s="840"/>
      <c r="D377" s="393">
        <f t="shared" si="127"/>
        <v>9.1309901413459968</v>
      </c>
      <c r="E377" s="385">
        <f t="shared" si="150"/>
        <v>10.167731825755082</v>
      </c>
      <c r="F377" s="385">
        <f t="shared" si="128"/>
        <v>10.171393146348544</v>
      </c>
      <c r="G377" s="110">
        <f t="shared" si="151"/>
        <v>0.51910809141394487</v>
      </c>
      <c r="H377" s="414" t="b">
        <f>Wh_hp&gt;='2021'!Maxi_hp</f>
        <v>0</v>
      </c>
      <c r="I377" s="380">
        <f>IF(H377,Wh_hp,'2021'!Maxi_hp)</f>
        <v>20.470863800267029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3.6796682084301091E-2</v>
      </c>
      <c r="M377" s="844"/>
      <c r="N377" s="844"/>
      <c r="O377" s="48">
        <f>IF(t&lt;Tnet,'2021'!Resal+('2021'!Salim-'2021'!Resal)*(1-EXP(('2021'!Tnet-t)/('2021'!Tau_j))),Resal+(Salim-Resal)*(1-EXP((Tnet-t)/(Tau_j))))*Salcycl</f>
        <v>0.10196390917618388</v>
      </c>
      <c r="P377" s="339">
        <f>(INDEX(Models!$BJ377:$BT377,,T377)*(1-R377)+INDEX(Models!$BJ377:$BT377,,T377+1)*R377-ERP_i)*Q377*Ramure*Pc/MaxiM</f>
        <v>1.1478525084198542E-3</v>
      </c>
      <c r="Q377" s="305">
        <f t="shared" si="130"/>
        <v>0.7</v>
      </c>
      <c r="R377" s="177">
        <f t="shared" si="131"/>
        <v>0.39928972010184777</v>
      </c>
      <c r="S377" s="810">
        <f t="shared" si="132"/>
        <v>0</v>
      </c>
      <c r="T377" s="176">
        <f t="shared" si="133"/>
        <v>6</v>
      </c>
      <c r="U377" s="251">
        <f t="shared" si="134"/>
        <v>0.39928972010184777</v>
      </c>
      <c r="V377" s="383">
        <f t="shared" si="135"/>
        <v>16.929167851352791</v>
      </c>
      <c r="W377" s="402">
        <f t="shared" si="136"/>
        <v>0</v>
      </c>
      <c r="X377" s="157">
        <f t="shared" si="137"/>
        <v>44924</v>
      </c>
      <c r="Y377" s="385">
        <f t="shared" si="138"/>
        <v>8.3233077704130256</v>
      </c>
      <c r="Z377" s="385">
        <f t="shared" si="139"/>
        <v>8.6412781347390411</v>
      </c>
      <c r="AA377" s="386">
        <f t="shared" si="140"/>
        <v>10.167731825755082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0.15012725720691228</v>
      </c>
      <c r="AD377" s="231">
        <f>(INDEX(Models!$BJ377:$BT377,,AH377)*(1-AF377)+INDEX(Models!$BJ377:$BT377,,AH377+1)*AF377-ERP_i)*AE377*Ramure*Pc/MaxiM</f>
        <v>1.1478525084198542E-3</v>
      </c>
      <c r="AE377" s="305">
        <f t="shared" si="142"/>
        <v>0.7</v>
      </c>
      <c r="AF377" s="177">
        <f t="shared" si="143"/>
        <v>0.39928972010184777</v>
      </c>
      <c r="AG377" s="810">
        <f t="shared" si="149"/>
        <v>0</v>
      </c>
      <c r="AH377" s="176">
        <f t="shared" si="144"/>
        <v>6</v>
      </c>
      <c r="AI377" s="225">
        <f t="shared" si="145"/>
        <v>0.39928972010184777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42">
        <v>11.659000000000001</v>
      </c>
      <c r="C378" s="840"/>
      <c r="D378" s="393">
        <f t="shared" si="127"/>
        <v>12.104683519474076</v>
      </c>
      <c r="E378" s="385">
        <f t="shared" si="150"/>
        <v>13.480272202982365</v>
      </c>
      <c r="F378" s="385">
        <f t="shared" si="128"/>
        <v>13.488824966250135</v>
      </c>
      <c r="G378" s="110">
        <f t="shared" si="151"/>
        <v>0.68581565296766933</v>
      </c>
      <c r="H378" s="414" t="b">
        <f>Wh_hp&gt;='2021'!Maxi_hp</f>
        <v>0</v>
      </c>
      <c r="I378" s="380">
        <f>IF(H378,Wh_hp,'2021'!Maxi_hp)</f>
        <v>18.88344038484756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3.6819097232658526E-2</v>
      </c>
      <c r="M378" s="844"/>
      <c r="N378" s="844"/>
      <c r="O378" s="48">
        <f>IF(t&lt;Tnet,'2021'!Resal+('2021'!Salim-'2021'!Resal)*(1-EXP(('2021'!Tnet-t)/('2021'!Tau_j))),Resal+(Salim-Resal)*(1-EXP((Tnet-t)/(Tau_j))))*Salcycl</f>
        <v>0.10204457764613648</v>
      </c>
      <c r="P378" s="339">
        <f>(INDEX(Models!$BJ378:$BT378,,T378)*(1-R378)+INDEX(Models!$BJ378:$BT378,,T378+1)*R378-ERP_i)*Q378*Ramure*Pc/MaxiM</f>
        <v>1.1493504135875715E-3</v>
      </c>
      <c r="Q378" s="305">
        <f t="shared" si="130"/>
        <v>0.7</v>
      </c>
      <c r="R378" s="177">
        <f t="shared" si="131"/>
        <v>0.39928972010184777</v>
      </c>
      <c r="S378" s="810">
        <f t="shared" si="132"/>
        <v>0</v>
      </c>
      <c r="T378" s="176">
        <f t="shared" si="133"/>
        <v>6</v>
      </c>
      <c r="U378" s="251">
        <f t="shared" si="134"/>
        <v>0.39928972010184777</v>
      </c>
      <c r="V378" s="383">
        <f t="shared" si="135"/>
        <v>16.991429694808396</v>
      </c>
      <c r="W378" s="402">
        <f t="shared" si="136"/>
        <v>0</v>
      </c>
      <c r="X378" s="157">
        <f t="shared" si="137"/>
        <v>44925</v>
      </c>
      <c r="Y378" s="385">
        <f t="shared" si="138"/>
        <v>11.034365142101489</v>
      </c>
      <c r="Z378" s="385">
        <f t="shared" si="139"/>
        <v>11.456171016678541</v>
      </c>
      <c r="AA378" s="386">
        <f t="shared" si="140"/>
        <v>13.480272202982365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0.15015284230358594</v>
      </c>
      <c r="AD378" s="231">
        <f>(INDEX(Models!$BJ378:$BT378,,AH378)*(1-AF378)+INDEX(Models!$BJ378:$BT378,,AH378+1)*AF378-ERP_i)*AE378*Ramure*Pc/MaxiM</f>
        <v>1.1493504135875715E-3</v>
      </c>
      <c r="AE378" s="305">
        <f t="shared" si="142"/>
        <v>0.7</v>
      </c>
      <c r="AF378" s="177">
        <f t="shared" si="143"/>
        <v>0.39928972010184777</v>
      </c>
      <c r="AG378" s="810">
        <f t="shared" si="149"/>
        <v>0</v>
      </c>
      <c r="AH378" s="176">
        <f t="shared" si="144"/>
        <v>6</v>
      </c>
      <c r="AI378" s="225">
        <f t="shared" si="145"/>
        <v>0.39928972010184777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42">
        <v>8.6780000000000008</v>
      </c>
      <c r="C379" s="840"/>
      <c r="D379" s="393">
        <f t="shared" si="127"/>
        <v>9.0099398041468</v>
      </c>
      <c r="E379" s="385">
        <f t="shared" si="150"/>
        <v>10.034742549354132</v>
      </c>
      <c r="F379" s="385">
        <f t="shared" si="128"/>
        <v>10.038189341821168</v>
      </c>
      <c r="G379" s="110">
        <f t="shared" si="151"/>
        <v>0.50828503624015831</v>
      </c>
      <c r="H379" s="414" t="b">
        <f>Wh_hp&gt;='2021'!Maxi_hp</f>
        <v>0</v>
      </c>
      <c r="I379" s="380">
        <f>IF(H379,Wh_hp,'2021'!Maxi_hp)</f>
        <v>18.889316634056641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3.684151185938267E-2</v>
      </c>
      <c r="M379" s="844"/>
      <c r="N379" s="844"/>
      <c r="O379" s="48">
        <f>IF(t&lt;Tnet,'2021'!Resal+('2021'!Salim-'2021'!Resal)*(1-EXP(('2021'!Tnet-t)/('2021'!Tau_j))),Resal+(Salim-Resal)*(1-EXP((Tnet-t)/(Tau_j))))*Salcycl</f>
        <v>0.10212546462124136</v>
      </c>
      <c r="P379" s="339">
        <f>(INDEX(Models!$BJ379:$BT379,,T379)*(1-R379)+INDEX(Models!$BJ379:$BT379,,T379+1)*R379-ERP_i)*Q379*Ramure*Pc/MaxiM</f>
        <v>1.1517093181135502E-3</v>
      </c>
      <c r="Q379" s="306">
        <f t="shared" si="130"/>
        <v>0.7</v>
      </c>
      <c r="R379" s="177">
        <f t="shared" si="131"/>
        <v>0.39928972010184777</v>
      </c>
      <c r="S379" s="810">
        <f t="shared" si="132"/>
        <v>0</v>
      </c>
      <c r="T379" s="176">
        <f t="shared" si="133"/>
        <v>6</v>
      </c>
      <c r="U379" s="307">
        <f t="shared" si="134"/>
        <v>0.39928972010184777</v>
      </c>
      <c r="V379" s="383">
        <f t="shared" si="135"/>
        <v>17.05929190487792</v>
      </c>
      <c r="W379" s="402">
        <f t="shared" si="136"/>
        <v>0</v>
      </c>
      <c r="X379" s="157">
        <f t="shared" si="137"/>
        <v>44926</v>
      </c>
      <c r="Y379" s="385">
        <f t="shared" si="138"/>
        <v>8.213561656549631</v>
      </c>
      <c r="Z379" s="385">
        <f t="shared" si="139"/>
        <v>8.5277363566674858</v>
      </c>
      <c r="AA379" s="386">
        <f t="shared" si="140"/>
        <v>10.034742549354132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0.15017885962441982</v>
      </c>
      <c r="AD379" s="231">
        <f>(INDEX(Models!$BJ379:$BT379,,AH379)*(1-AF379)+INDEX(Models!$BJ379:$BT379,,AH379+1)*AF379-ERP_i)*AE379*Ramure*Pc/MaxiM</f>
        <v>1.1517093181135502E-3</v>
      </c>
      <c r="AE379" s="306">
        <f t="shared" si="142"/>
        <v>0.7</v>
      </c>
      <c r="AF379" s="177">
        <f t="shared" si="143"/>
        <v>0.39928972010184777</v>
      </c>
      <c r="AG379" s="810">
        <f t="shared" si="149"/>
        <v>0</v>
      </c>
      <c r="AH379" s="176">
        <f t="shared" si="144"/>
        <v>6</v>
      </c>
      <c r="AI379" s="222">
        <f t="shared" si="145"/>
        <v>0.39928972010184777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84">
        <f>(35.45+42.78)*0.05</f>
        <v>3.9115000000000002</v>
      </c>
      <c r="C380" s="848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11.874887310297245</v>
      </c>
      <c r="J380" s="85">
        <f>IF(H380,An,'2021'!An_max)</f>
        <v>2020</v>
      </c>
      <c r="K380" s="234"/>
      <c r="L380" s="214"/>
      <c r="M380" s="849"/>
      <c r="N380" s="849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1.7110000000000001</v>
      </c>
      <c r="C381" s="375"/>
      <c r="D381" s="373">
        <f>MIN(D15:D380)</f>
        <v>1.7618313949977646</v>
      </c>
      <c r="E381" s="373">
        <f>MIN(E15:E380)</f>
        <v>1.8820767016149937</v>
      </c>
      <c r="F381" s="374">
        <f>MIN(F15:F380)</f>
        <v>1.8820767016149937</v>
      </c>
      <c r="G381" s="125">
        <f>+MIN(G15:G380)</f>
        <v>8.9449673339919308E-2</v>
      </c>
      <c r="H381" s="94"/>
      <c r="I381" s="374">
        <f>MIN(I15:I380)</f>
        <v>9.3592865081560959</v>
      </c>
      <c r="J381" s="57">
        <f>MIN(J15:J380)</f>
        <v>2018</v>
      </c>
      <c r="K381" s="200" t="s">
        <v>7</v>
      </c>
      <c r="L381" s="146">
        <f t="shared" ref="L381:T381" si="152">MIN(L15:L380)</f>
        <v>2.8648028530731451E-2</v>
      </c>
      <c r="M381" s="846"/>
      <c r="N381" s="846"/>
      <c r="O381" s="47">
        <f t="shared" si="152"/>
        <v>6.2558490680034787E-2</v>
      </c>
      <c r="P381" s="341">
        <f t="shared" si="152"/>
        <v>1.0602465824061162E-4</v>
      </c>
      <c r="Q381" s="310">
        <f t="shared" si="152"/>
        <v>0.7</v>
      </c>
      <c r="R381" s="311">
        <f t="shared" si="152"/>
        <v>5.2726981612712673E-5</v>
      </c>
      <c r="S381" s="810">
        <f t="shared" si="152"/>
        <v>-1</v>
      </c>
      <c r="T381" s="176">
        <f t="shared" si="152"/>
        <v>5</v>
      </c>
      <c r="U381" s="252">
        <f>+MIN(U15:U380)</f>
        <v>-7.0926146921550725E-4</v>
      </c>
      <c r="V381" s="373">
        <f>MIN(V15:V380)</f>
        <v>16.46893992241618</v>
      </c>
      <c r="W381" s="392"/>
      <c r="X381" s="112" t="s">
        <v>7</v>
      </c>
      <c r="Y381" s="373">
        <f>MIN(Y15:Y380)</f>
        <v>1.5814435809985552</v>
      </c>
      <c r="Z381" s="373">
        <f>MIN(Z15:Z380)</f>
        <v>1.6284260376510489</v>
      </c>
      <c r="AA381" s="373">
        <f>MIN(AA15:AA380)</f>
        <v>1.8820767016149937</v>
      </c>
      <c r="AB381" s="200" t="s">
        <v>7</v>
      </c>
      <c r="AC381" s="47">
        <f t="shared" ref="AC381:AH381" si="153">MIN(AC15:AC380)</f>
        <v>0.13416417074664641</v>
      </c>
      <c r="AD381" s="168">
        <f t="shared" si="153"/>
        <v>1.0602465824061162E-4</v>
      </c>
      <c r="AE381" s="310">
        <f t="shared" si="153"/>
        <v>0.7</v>
      </c>
      <c r="AF381" s="311">
        <f t="shared" si="153"/>
        <v>5.2726981612712673E-5</v>
      </c>
      <c r="AG381" s="810">
        <f t="shared" si="153"/>
        <v>-1</v>
      </c>
      <c r="AH381" s="176">
        <f t="shared" si="153"/>
        <v>5</v>
      </c>
      <c r="AI381" s="226">
        <f>MIN(AI15:AI380)</f>
        <v>-7.0926146921550725E-4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28.413797814207616</v>
      </c>
      <c r="C382" s="375"/>
      <c r="D382" s="375">
        <f>AVERAGE(D15:D380)</f>
        <v>29.441329474897977</v>
      </c>
      <c r="E382" s="375">
        <f>AVERAGE(E15:E380)</f>
        <v>32.225258114892</v>
      </c>
      <c r="F382" s="376">
        <f>AVERAGE(F15:F380)</f>
        <v>32.243076258096039</v>
      </c>
      <c r="G382" s="126">
        <f>AVERAGE(G15:G380)</f>
        <v>0.71311977652129799</v>
      </c>
      <c r="H382" s="94"/>
      <c r="I382" s="376">
        <f>AVERAGE(I15:I380)</f>
        <v>41.217568322299591</v>
      </c>
      <c r="J382" s="59">
        <f>AVERAGE(J15:J380)</f>
        <v>2020.3797814207651</v>
      </c>
      <c r="K382" s="200" t="s">
        <v>8</v>
      </c>
      <c r="L382" s="147">
        <f t="shared" ref="L382:V382" si="154">AVERAGE(L15:L380)</f>
        <v>3.2750538153664355E-2</v>
      </c>
      <c r="M382" s="844"/>
      <c r="N382" s="844"/>
      <c r="O382" s="48">
        <f t="shared" si="154"/>
        <v>8.6059525897041092E-2</v>
      </c>
      <c r="P382" s="169">
        <f t="shared" si="154"/>
        <v>1.0533841057513414E-3</v>
      </c>
      <c r="Q382" s="312">
        <f t="shared" si="154"/>
        <v>0.69999999999999529</v>
      </c>
      <c r="R382" s="177">
        <f t="shared" si="154"/>
        <v>0.28073186270544204</v>
      </c>
      <c r="S382" s="810">
        <f t="shared" si="154"/>
        <v>-5.7534246575342465E-2</v>
      </c>
      <c r="T382" s="176">
        <f t="shared" si="154"/>
        <v>5.9424657534246572</v>
      </c>
      <c r="U382" s="251">
        <f t="shared" si="154"/>
        <v>0.22319761613009975</v>
      </c>
      <c r="V382" s="375">
        <f t="shared" si="154"/>
        <v>38.685733459130908</v>
      </c>
      <c r="W382" s="392"/>
      <c r="X382" s="112" t="s">
        <v>8</v>
      </c>
      <c r="Y382" s="375">
        <f>AVERAGE(Y15:Y380)</f>
        <v>26.585037350006086</v>
      </c>
      <c r="Z382" s="375">
        <f>AVERAGE(Z15:Z380)</f>
        <v>27.481765299746556</v>
      </c>
      <c r="AA382" s="375">
        <f>AVERAGE(AA15:AA380)</f>
        <v>32.225258114892</v>
      </c>
      <c r="AB382" s="200" t="s">
        <v>8</v>
      </c>
      <c r="AC382" s="48">
        <f t="shared" ref="AC382:AH382" si="155">AVERAGE(AC15:AC380)</f>
        <v>0.14631273154879029</v>
      </c>
      <c r="AD382" s="169">
        <f t="shared" si="155"/>
        <v>1.0533841057513414E-3</v>
      </c>
      <c r="AE382" s="312">
        <f t="shared" si="155"/>
        <v>0.69999999999999529</v>
      </c>
      <c r="AF382" s="177">
        <f t="shared" si="155"/>
        <v>0.28073186270544204</v>
      </c>
      <c r="AG382" s="810">
        <f t="shared" si="155"/>
        <v>-5.7534246575342465E-2</v>
      </c>
      <c r="AH382" s="176">
        <f t="shared" si="155"/>
        <v>5.9424657534246572</v>
      </c>
      <c r="AI382" s="225">
        <f>AVERAGE(AI15:AI380)</f>
        <v>0.22319761613009975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57.998000000000005</v>
      </c>
      <c r="C383" s="377"/>
      <c r="D383" s="377">
        <f>MAX(D15:D380)</f>
        <v>59.914535374791427</v>
      </c>
      <c r="E383" s="377">
        <f>MAX(E15:E380)</f>
        <v>65.386696905369973</v>
      </c>
      <c r="F383" s="378">
        <f>MAX(F15:F380)</f>
        <v>65.39386312317626</v>
      </c>
      <c r="G383" s="127">
        <f>+MAX(G15:G380)</f>
        <v>1.0469751951243977</v>
      </c>
      <c r="H383" s="94"/>
      <c r="I383" s="378">
        <f>MAX(I15:I380)</f>
        <v>66.086546918529152</v>
      </c>
      <c r="J383" s="60">
        <f>MAX(J15:J380)</f>
        <v>2022</v>
      </c>
      <c r="K383" s="200" t="s">
        <v>9</v>
      </c>
      <c r="L383" s="148">
        <f t="shared" ref="L383:T383" si="156">MAX(L15:L380)</f>
        <v>3.684151185938267E-2</v>
      </c>
      <c r="M383" s="847"/>
      <c r="N383" s="847"/>
      <c r="O383" s="49">
        <f t="shared" si="156"/>
        <v>0.10212546462124136</v>
      </c>
      <c r="P383" s="170">
        <f t="shared" si="156"/>
        <v>3.5656723808494819E-3</v>
      </c>
      <c r="Q383" s="313">
        <f t="shared" si="156"/>
        <v>0.7</v>
      </c>
      <c r="R383" s="314">
        <f t="shared" si="156"/>
        <v>0.99999975187858703</v>
      </c>
      <c r="S383" s="811">
        <f t="shared" si="156"/>
        <v>0</v>
      </c>
      <c r="T383" s="233">
        <f t="shared" si="156"/>
        <v>6</v>
      </c>
      <c r="U383" s="253">
        <f>+MAX(U15:U380)</f>
        <v>0.39928972010184777</v>
      </c>
      <c r="V383" s="377">
        <f>MAX(V15:V380)</f>
        <v>56.915353639044163</v>
      </c>
      <c r="W383" s="392"/>
      <c r="X383" s="112" t="s">
        <v>9</v>
      </c>
      <c r="Y383" s="377">
        <f>MAX(Y15:Y380)</f>
        <v>54.030748183969308</v>
      </c>
      <c r="Z383" s="377">
        <f>MAX(Z15:Z380)</f>
        <v>55.816186306336022</v>
      </c>
      <c r="AA383" s="377">
        <f>MAX(AA15:AA380)</f>
        <v>65.386696905369973</v>
      </c>
      <c r="AB383" s="200" t="s">
        <v>9</v>
      </c>
      <c r="AC383" s="49">
        <f t="shared" ref="AC383:AH383" si="157">MAX(AC15:AC380)</f>
        <v>0.15312944143407412</v>
      </c>
      <c r="AD383" s="170">
        <f t="shared" si="157"/>
        <v>3.5656723808494819E-3</v>
      </c>
      <c r="AE383" s="313">
        <f t="shared" si="157"/>
        <v>0.7</v>
      </c>
      <c r="AF383" s="314">
        <f t="shared" si="157"/>
        <v>0.99999975187858703</v>
      </c>
      <c r="AG383" s="811">
        <f t="shared" si="157"/>
        <v>0</v>
      </c>
      <c r="AH383" s="233">
        <f t="shared" si="157"/>
        <v>6</v>
      </c>
      <c r="AI383" s="227">
        <f>MAX(AI15:AI380)</f>
        <v>0.39928972010184777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9"/>
      <c r="AK384" s="829"/>
      <c r="AL384" s="829"/>
      <c r="AM384" s="829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2023-01-15T14:43:52Z</dcterms:modified>
</cp:coreProperties>
</file>